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172" yWindow="120" windowWidth="8640" windowHeight="9060" tabRatio="916"/>
  </bookViews>
  <sheets>
    <sheet name="2013-2015isa" sheetId="170" r:id="rId1"/>
    <sheet name="pb-2013-2015kop" sheetId="146" r:id="rId2"/>
    <sheet name="01-3" sheetId="46" r:id="rId3"/>
    <sheet name="02-3" sheetId="30" r:id="rId4"/>
    <sheet name="03-3" sheetId="34" r:id="rId5"/>
    <sheet name="04-3" sheetId="78" r:id="rId6"/>
    <sheet name="05-3" sheetId="54" r:id="rId7"/>
    <sheet name="08-3" sheetId="231" r:id="rId8"/>
    <sheet name="09-3" sheetId="232" r:id="rId9"/>
    <sheet name="10-3" sheetId="50" r:id="rId10"/>
    <sheet name="11-3" sheetId="2" r:id="rId11"/>
    <sheet name="12-3" sheetId="118" r:id="rId12"/>
    <sheet name="13-3" sheetId="138" r:id="rId13"/>
    <sheet name="14-3" sheetId="66" r:id="rId14"/>
    <sheet name="15-3" sheetId="86" r:id="rId15"/>
    <sheet name="16-3" sheetId="106" r:id="rId16"/>
    <sheet name="17-3" sheetId="74" r:id="rId17"/>
    <sheet name="18-3" sheetId="5" r:id="rId18"/>
    <sheet name="19-3" sheetId="134" r:id="rId19"/>
    <sheet name="21-3" sheetId="98" r:id="rId20"/>
    <sheet name="22-3" sheetId="110" r:id="rId21"/>
    <sheet name="24-3" sheetId="17" r:id="rId22"/>
    <sheet name="25-3" sheetId="233" r:id="rId23"/>
    <sheet name="28-3" sheetId="126" r:id="rId24"/>
    <sheet name="29-3" sheetId="142" r:id="rId25"/>
    <sheet name="30-3" sheetId="130" r:id="rId26"/>
    <sheet name="32-3" sheetId="70" r:id="rId27"/>
    <sheet name="35-3" sheetId="122" r:id="rId28"/>
    <sheet name="37-3" sheetId="102" r:id="rId29"/>
    <sheet name="47-3" sheetId="114" r:id="rId30"/>
    <sheet name="62-3" sheetId="90" r:id="rId31"/>
    <sheet name="64-3" sheetId="94" r:id="rId32"/>
    <sheet name="74-3" sheetId="150" r:id="rId33"/>
    <sheet name="18s-3" sheetId="166" r:id="rId34"/>
  </sheets>
  <externalReferences>
    <externalReference r:id="rId35"/>
    <externalReference r:id="rId36"/>
  </externalReferences>
  <definedNames>
    <definedName name="_xlnm._FilterDatabase" localSheetId="2" hidden="1">'01-3'!$B$1:$M$413</definedName>
    <definedName name="_xlnm._FilterDatabase" localSheetId="3" hidden="1">'02-3'!$C$1:$Q$352</definedName>
    <definedName name="_xlnm._FilterDatabase" localSheetId="4" hidden="1">'03-3'!$A$1:$Q$261</definedName>
    <definedName name="BEx00291TFWM0SH72LN67BUNGOVC" localSheetId="7" hidden="1">#REF!</definedName>
    <definedName name="BEx00291TFWM0SH72LN67BUNGOVC" localSheetId="8" hidden="1">#REF!</definedName>
    <definedName name="BEx00291TFWM0SH72LN67BUNGOVC" localSheetId="0" hidden="1">#REF!</definedName>
    <definedName name="BEx00291TFWM0SH72LN67BUNGOVC" localSheetId="22" hidden="1">#REF!</definedName>
    <definedName name="BEx00291TFWM0SH72LN67BUNGOVC" hidden="1">#REF!</definedName>
    <definedName name="BEx00HU50CPAI00QYS8RH31HV892" localSheetId="7" hidden="1">#REF!</definedName>
    <definedName name="BEx00HU50CPAI00QYS8RH31HV892" localSheetId="8" hidden="1">#REF!</definedName>
    <definedName name="BEx00HU50CPAI00QYS8RH31HV892" localSheetId="0" hidden="1">#REF!</definedName>
    <definedName name="BEx00HU50CPAI00QYS8RH31HV892" localSheetId="22" hidden="1">#REF!</definedName>
    <definedName name="BEx00HU50CPAI00QYS8RH31HV892" hidden="1">#REF!</definedName>
    <definedName name="BEx01NHUJB8UAP930A5BCDCMYNEA" localSheetId="7" hidden="1">#REF!</definedName>
    <definedName name="BEx01NHUJB8UAP930A5BCDCMYNEA" localSheetId="8" hidden="1">#REF!</definedName>
    <definedName name="BEx01NHUJB8UAP930A5BCDCMYNEA" localSheetId="0" hidden="1">#REF!</definedName>
    <definedName name="BEx01NHUJB8UAP930A5BCDCMYNEA" localSheetId="22" hidden="1">#REF!</definedName>
    <definedName name="BEx01NHUJB8UAP930A5BCDCMYNEA" hidden="1">#REF!</definedName>
    <definedName name="BEx0208CCC0GPMY8E1YUS6CMS8LW" localSheetId="7" hidden="1">[1]ZQBC_PLN_01_03_N!#REF!</definedName>
    <definedName name="BEx0208CCC0GPMY8E1YUS6CMS8LW" localSheetId="8" hidden="1">[1]ZQBC_PLN_01_03_N!#REF!</definedName>
    <definedName name="BEx0208CCC0GPMY8E1YUS6CMS8LW" localSheetId="0" hidden="1">[1]ZQBC_PLN_01_03_N!#REF!</definedName>
    <definedName name="BEx0208CCC0GPMY8E1YUS6CMS8LW" localSheetId="22" hidden="1">[1]ZQBC_PLN_01_03_N!#REF!</definedName>
    <definedName name="BEx0208CCC0GPMY8E1YUS6CMS8LW" hidden="1">[1]ZQBC_PLN_01_03_N!#REF!</definedName>
    <definedName name="BEx027Q26MB8W11ZR5SY4LYW13MM" localSheetId="7" hidden="1">#REF!</definedName>
    <definedName name="BEx027Q26MB8W11ZR5SY4LYW13MM" localSheetId="8" hidden="1">#REF!</definedName>
    <definedName name="BEx027Q26MB8W11ZR5SY4LYW13MM" localSheetId="0" hidden="1">#REF!</definedName>
    <definedName name="BEx027Q26MB8W11ZR5SY4LYW13MM" localSheetId="22" hidden="1">#REF!</definedName>
    <definedName name="BEx027Q26MB8W11ZR5SY4LYW13MM" hidden="1">#REF!</definedName>
    <definedName name="BEx02S3RMMAM49IRGCTRSYXIBTM3" localSheetId="7" hidden="1">#REF!</definedName>
    <definedName name="BEx02S3RMMAM49IRGCTRSYXIBTM3" localSheetId="8" hidden="1">#REF!</definedName>
    <definedName name="BEx02S3RMMAM49IRGCTRSYXIBTM3" localSheetId="0" hidden="1">#REF!</definedName>
    <definedName name="BEx02S3RMMAM49IRGCTRSYXIBTM3" localSheetId="22" hidden="1">#REF!</definedName>
    <definedName name="BEx02S3RMMAM49IRGCTRSYXIBTM3" hidden="1">#REF!</definedName>
    <definedName name="BEx032AM2DL844ES1XUQULMO2T8F" localSheetId="7" hidden="1">#REF!</definedName>
    <definedName name="BEx032AM2DL844ES1XUQULMO2T8F" localSheetId="8" hidden="1">#REF!</definedName>
    <definedName name="BEx032AM2DL844ES1XUQULMO2T8F" localSheetId="0" hidden="1">#REF!</definedName>
    <definedName name="BEx032AM2DL844ES1XUQULMO2T8F" localSheetId="22" hidden="1">#REF!</definedName>
    <definedName name="BEx032AM2DL844ES1XUQULMO2T8F" hidden="1">#REF!</definedName>
    <definedName name="BEx1EMES7PS4H6TVFGLSKAUB0C4G" localSheetId="7" hidden="1">#REF!</definedName>
    <definedName name="BEx1EMES7PS4H6TVFGLSKAUB0C4G" localSheetId="8" hidden="1">#REF!</definedName>
    <definedName name="BEx1EMES7PS4H6TVFGLSKAUB0C4G" localSheetId="0" hidden="1">#REF!</definedName>
    <definedName name="BEx1EMES7PS4H6TVFGLSKAUB0C4G" localSheetId="22" hidden="1">#REF!</definedName>
    <definedName name="BEx1EMES7PS4H6TVFGLSKAUB0C4G" hidden="1">#REF!</definedName>
    <definedName name="BEx1H7X513BJSY31BXLRNLKF2DL3" localSheetId="7" hidden="1">#REF!</definedName>
    <definedName name="BEx1H7X513BJSY31BXLRNLKF2DL3" localSheetId="8" hidden="1">#REF!</definedName>
    <definedName name="BEx1H7X513BJSY31BXLRNLKF2DL3" localSheetId="0" hidden="1">#REF!</definedName>
    <definedName name="BEx1H7X513BJSY31BXLRNLKF2DL3" localSheetId="22" hidden="1">#REF!</definedName>
    <definedName name="BEx1H7X513BJSY31BXLRNLKF2DL3" hidden="1">#REF!</definedName>
    <definedName name="BEx1HDBC3V0SMEMHJ6FNBD808V81" localSheetId="7" hidden="1">#REF!</definedName>
    <definedName name="BEx1HDBC3V0SMEMHJ6FNBD808V81" localSheetId="8" hidden="1">#REF!</definedName>
    <definedName name="BEx1HDBC3V0SMEMHJ6FNBD808V81" localSheetId="0" hidden="1">#REF!</definedName>
    <definedName name="BEx1HDBC3V0SMEMHJ6FNBD808V81" localSheetId="22" hidden="1">#REF!</definedName>
    <definedName name="BEx1HDBC3V0SMEMHJ6FNBD808V81" hidden="1">#REF!</definedName>
    <definedName name="BEx1HI9C72EAJA5BQVO8AFVN8RH6" localSheetId="7" hidden="1">#REF!</definedName>
    <definedName name="BEx1HI9C72EAJA5BQVO8AFVN8RH6" localSheetId="8" hidden="1">#REF!</definedName>
    <definedName name="BEx1HI9C72EAJA5BQVO8AFVN8RH6" localSheetId="0" hidden="1">#REF!</definedName>
    <definedName name="BEx1HI9C72EAJA5BQVO8AFVN8RH6" localSheetId="22" hidden="1">#REF!</definedName>
    <definedName name="BEx1HI9C72EAJA5BQVO8AFVN8RH6" hidden="1">#REF!</definedName>
    <definedName name="BEx1HUJOE2F93EKUUTEF19LI90JG" localSheetId="7" hidden="1">[1]ZQZBC_REG_02_04!#REF!</definedName>
    <definedName name="BEx1HUJOE2F93EKUUTEF19LI90JG" localSheetId="8" hidden="1">[1]ZQZBC_REG_02_04!#REF!</definedName>
    <definedName name="BEx1HUJOE2F93EKUUTEF19LI90JG" localSheetId="0" hidden="1">[1]ZQZBC_REG_02_04!#REF!</definedName>
    <definedName name="BEx1HUJOE2F93EKUUTEF19LI90JG" localSheetId="22" hidden="1">[1]ZQZBC_REG_02_04!#REF!</definedName>
    <definedName name="BEx1HUJOE2F93EKUUTEF19LI90JG" hidden="1">[1]ZQZBC_REG_02_04!#REF!</definedName>
    <definedName name="BEx1HXE4ZIDYPNCS0IM3J3PDJHIX" localSheetId="7" hidden="1">#REF!</definedName>
    <definedName name="BEx1HXE4ZIDYPNCS0IM3J3PDJHIX" localSheetId="8" hidden="1">#REF!</definedName>
    <definedName name="BEx1HXE4ZIDYPNCS0IM3J3PDJHIX" localSheetId="0" hidden="1">#REF!</definedName>
    <definedName name="BEx1HXE4ZIDYPNCS0IM3J3PDJHIX" localSheetId="22" hidden="1">#REF!</definedName>
    <definedName name="BEx1HXE4ZIDYPNCS0IM3J3PDJHIX" hidden="1">#REF!</definedName>
    <definedName name="BEx1ILD9KYF8KV7QTO8AEJ2O44QJ" localSheetId="7" hidden="1">#REF!</definedName>
    <definedName name="BEx1ILD9KYF8KV7QTO8AEJ2O44QJ" localSheetId="8" hidden="1">#REF!</definedName>
    <definedName name="BEx1ILD9KYF8KV7QTO8AEJ2O44QJ" localSheetId="0" hidden="1">#REF!</definedName>
    <definedName name="BEx1ILD9KYF8KV7QTO8AEJ2O44QJ" localSheetId="22" hidden="1">#REF!</definedName>
    <definedName name="BEx1ILD9KYF8KV7QTO8AEJ2O44QJ" hidden="1">#REF!</definedName>
    <definedName name="BEx1IW5P9Z08SAPLGYM8MHHKGTE8" localSheetId="7" hidden="1">#REF!</definedName>
    <definedName name="BEx1IW5P9Z08SAPLGYM8MHHKGTE8" localSheetId="8" hidden="1">#REF!</definedName>
    <definedName name="BEx1IW5P9Z08SAPLGYM8MHHKGTE8" localSheetId="0" hidden="1">#REF!</definedName>
    <definedName name="BEx1IW5P9Z08SAPLGYM8MHHKGTE8" localSheetId="22" hidden="1">#REF!</definedName>
    <definedName name="BEx1IW5P9Z08SAPLGYM8MHHKGTE8" hidden="1">#REF!</definedName>
    <definedName name="BEx1IZ03YPLP7AX60UXK4V7IR1W1" localSheetId="7" hidden="1">#REF!</definedName>
    <definedName name="BEx1IZ03YPLP7AX60UXK4V7IR1W1" localSheetId="8" hidden="1">#REF!</definedName>
    <definedName name="BEx1IZ03YPLP7AX60UXK4V7IR1W1" localSheetId="0" hidden="1">#REF!</definedName>
    <definedName name="BEx1IZ03YPLP7AX60UXK4V7IR1W1" localSheetId="22" hidden="1">#REF!</definedName>
    <definedName name="BEx1IZ03YPLP7AX60UXK4V7IR1W1" hidden="1">#REF!</definedName>
    <definedName name="BEx1J0NL2IUMPIX5RPF7HM71A7CY" localSheetId="7" hidden="1">#REF!</definedName>
    <definedName name="BEx1J0NL2IUMPIX5RPF7HM71A7CY" localSheetId="8" hidden="1">#REF!</definedName>
    <definedName name="BEx1J0NL2IUMPIX5RPF7HM71A7CY" localSheetId="0" hidden="1">#REF!</definedName>
    <definedName name="BEx1J0NL2IUMPIX5RPF7HM71A7CY" localSheetId="22" hidden="1">#REF!</definedName>
    <definedName name="BEx1J0NL2IUMPIX5RPF7HM71A7CY" hidden="1">#REF!</definedName>
    <definedName name="BEx1J8QVM0ELU03BS6YLSVWWKA64" localSheetId="7" hidden="1">#REF!</definedName>
    <definedName name="BEx1J8QVM0ELU03BS6YLSVWWKA64" localSheetId="8" hidden="1">#REF!</definedName>
    <definedName name="BEx1J8QVM0ELU03BS6YLSVWWKA64" localSheetId="0" hidden="1">#REF!</definedName>
    <definedName name="BEx1J8QVM0ELU03BS6YLSVWWKA64" localSheetId="22" hidden="1">#REF!</definedName>
    <definedName name="BEx1J8QVM0ELU03BS6YLSVWWKA64" hidden="1">#REF!</definedName>
    <definedName name="BEx1J91O4L4U9RH1N6TZ5DMPA09Z" localSheetId="7" hidden="1">#REF!</definedName>
    <definedName name="BEx1J91O4L4U9RH1N6TZ5DMPA09Z" localSheetId="8" hidden="1">#REF!</definedName>
    <definedName name="BEx1J91O4L4U9RH1N6TZ5DMPA09Z" localSheetId="0" hidden="1">#REF!</definedName>
    <definedName name="BEx1J91O4L4U9RH1N6TZ5DMPA09Z" localSheetId="22" hidden="1">#REF!</definedName>
    <definedName name="BEx1J91O4L4U9RH1N6TZ5DMPA09Z" hidden="1">#REF!</definedName>
    <definedName name="BEx1JGE45F5PDQFFGLPFTKA7M1I8" localSheetId="7" hidden="1">#REF!</definedName>
    <definedName name="BEx1JGE45F5PDQFFGLPFTKA7M1I8" localSheetId="8" hidden="1">#REF!</definedName>
    <definedName name="BEx1JGE45F5PDQFFGLPFTKA7M1I8" localSheetId="0" hidden="1">#REF!</definedName>
    <definedName name="BEx1JGE45F5PDQFFGLPFTKA7M1I8" localSheetId="22" hidden="1">#REF!</definedName>
    <definedName name="BEx1JGE45F5PDQFFGLPFTKA7M1I8" hidden="1">#REF!</definedName>
    <definedName name="BEx1JVIVQ4HNH47Q8YHSFOT7XE3E" localSheetId="7" hidden="1">#REF!</definedName>
    <definedName name="BEx1JVIVQ4HNH47Q8YHSFOT7XE3E" localSheetId="8" hidden="1">#REF!</definedName>
    <definedName name="BEx1JVIVQ4HNH47Q8YHSFOT7XE3E" localSheetId="0" hidden="1">#REF!</definedName>
    <definedName name="BEx1JVIVQ4HNH47Q8YHSFOT7XE3E" localSheetId="22" hidden="1">#REF!</definedName>
    <definedName name="BEx1JVIVQ4HNH47Q8YHSFOT7XE3E" hidden="1">#REF!</definedName>
    <definedName name="BEx1KMHSDKGTN8PUUPW0T5J4VYIX" localSheetId="7" hidden="1">#REF!</definedName>
    <definedName name="BEx1KMHSDKGTN8PUUPW0T5J4VYIX" localSheetId="8" hidden="1">#REF!</definedName>
    <definedName name="BEx1KMHSDKGTN8PUUPW0T5J4VYIX" localSheetId="0" hidden="1">#REF!</definedName>
    <definedName name="BEx1KMHSDKGTN8PUUPW0T5J4VYIX" localSheetId="22" hidden="1">#REF!</definedName>
    <definedName name="BEx1KMHSDKGTN8PUUPW0T5J4VYIX" hidden="1">#REF!</definedName>
    <definedName name="BEx1KP6WIEC74GT8JHR2WP9QPQJZ" localSheetId="7" hidden="1">#REF!</definedName>
    <definedName name="BEx1KP6WIEC74GT8JHR2WP9QPQJZ" localSheetId="8" hidden="1">#REF!</definedName>
    <definedName name="BEx1KP6WIEC74GT8JHR2WP9QPQJZ" localSheetId="0" hidden="1">#REF!</definedName>
    <definedName name="BEx1KP6WIEC74GT8JHR2WP9QPQJZ" localSheetId="22" hidden="1">#REF!</definedName>
    <definedName name="BEx1KP6WIEC74GT8JHR2WP9QPQJZ" hidden="1">#REF!</definedName>
    <definedName name="BEx1KWJD9OT4RI2N2N6MN4BMO1PX" localSheetId="7" hidden="1">#REF!</definedName>
    <definedName name="BEx1KWJD9OT4RI2N2N6MN4BMO1PX" localSheetId="8" hidden="1">#REF!</definedName>
    <definedName name="BEx1KWJD9OT4RI2N2N6MN4BMO1PX" localSheetId="0" hidden="1">#REF!</definedName>
    <definedName name="BEx1KWJD9OT4RI2N2N6MN4BMO1PX" localSheetId="22" hidden="1">#REF!</definedName>
    <definedName name="BEx1KWJD9OT4RI2N2N6MN4BMO1PX" hidden="1">#REF!</definedName>
    <definedName name="BEx1KYS60F20L2OOLZ90K7WBIGTF" localSheetId="7" hidden="1">#REF!</definedName>
    <definedName name="BEx1KYS60F20L2OOLZ90K7WBIGTF" localSheetId="8" hidden="1">#REF!</definedName>
    <definedName name="BEx1KYS60F20L2OOLZ90K7WBIGTF" localSheetId="0" hidden="1">#REF!</definedName>
    <definedName name="BEx1KYS60F20L2OOLZ90K7WBIGTF" localSheetId="22" hidden="1">#REF!</definedName>
    <definedName name="BEx1KYS60F20L2OOLZ90K7WBIGTF" hidden="1">#REF!</definedName>
    <definedName name="BEx1MF8DBI0SECBUJO5235FRIR3R" localSheetId="7" hidden="1">#REF!</definedName>
    <definedName name="BEx1MF8DBI0SECBUJO5235FRIR3R" localSheetId="8" hidden="1">#REF!</definedName>
    <definedName name="BEx1MF8DBI0SECBUJO5235FRIR3R" localSheetId="0" hidden="1">#REF!</definedName>
    <definedName name="BEx1MF8DBI0SECBUJO5235FRIR3R" localSheetId="22" hidden="1">#REF!</definedName>
    <definedName name="BEx1MF8DBI0SECBUJO5235FRIR3R" hidden="1">#REF!</definedName>
    <definedName name="BEx1MJKVJJAUNYBM1BYB9LYH1CWL" localSheetId="7" hidden="1">#REF!</definedName>
    <definedName name="BEx1MJKVJJAUNYBM1BYB9LYH1CWL" localSheetId="8" hidden="1">#REF!</definedName>
    <definedName name="BEx1MJKVJJAUNYBM1BYB9LYH1CWL" localSheetId="0" hidden="1">#REF!</definedName>
    <definedName name="BEx1MJKVJJAUNYBM1BYB9LYH1CWL" localSheetId="22" hidden="1">#REF!</definedName>
    <definedName name="BEx1MJKVJJAUNYBM1BYB9LYH1CWL" hidden="1">#REF!</definedName>
    <definedName name="BEx1MMKMLWIJSHHE74V478CELFN5" localSheetId="7" hidden="1">#REF!</definedName>
    <definedName name="BEx1MMKMLWIJSHHE74V478CELFN5" localSheetId="8" hidden="1">#REF!</definedName>
    <definedName name="BEx1MMKMLWIJSHHE74V478CELFN5" localSheetId="0" hidden="1">#REF!</definedName>
    <definedName name="BEx1MMKMLWIJSHHE74V478CELFN5" localSheetId="22" hidden="1">#REF!</definedName>
    <definedName name="BEx1MMKMLWIJSHHE74V478CELFN5" hidden="1">#REF!</definedName>
    <definedName name="BEx1MS4BYFL60IBZC8LZ7VX13KM8" localSheetId="7" hidden="1">#REF!</definedName>
    <definedName name="BEx1MS4BYFL60IBZC8LZ7VX13KM8" localSheetId="8" hidden="1">#REF!</definedName>
    <definedName name="BEx1MS4BYFL60IBZC8LZ7VX13KM8" localSheetId="0" hidden="1">#REF!</definedName>
    <definedName name="BEx1MS4BYFL60IBZC8LZ7VX13KM8" localSheetId="22" hidden="1">#REF!</definedName>
    <definedName name="BEx1MS4BYFL60IBZC8LZ7VX13KM8" hidden="1">#REF!</definedName>
    <definedName name="BEx1N7UPHKMV146I76NFLOD466ZN" localSheetId="7" hidden="1">#REF!</definedName>
    <definedName name="BEx1N7UPHKMV146I76NFLOD466ZN" localSheetId="8" hidden="1">#REF!</definedName>
    <definedName name="BEx1N7UPHKMV146I76NFLOD466ZN" localSheetId="0" hidden="1">#REF!</definedName>
    <definedName name="BEx1N7UPHKMV146I76NFLOD466ZN" localSheetId="22" hidden="1">#REF!</definedName>
    <definedName name="BEx1N7UPHKMV146I76NFLOD466ZN" hidden="1">#REF!</definedName>
    <definedName name="BEx1NFSQ8OBXEVEO2J7XKVWL648X" localSheetId="7" hidden="1">#REF!</definedName>
    <definedName name="BEx1NFSQ8OBXEVEO2J7XKVWL648X" localSheetId="8" hidden="1">#REF!</definedName>
    <definedName name="BEx1NFSQ8OBXEVEO2J7XKVWL648X" localSheetId="0" hidden="1">#REF!</definedName>
    <definedName name="BEx1NFSQ8OBXEVEO2J7XKVWL648X" localSheetId="22" hidden="1">#REF!</definedName>
    <definedName name="BEx1NFSQ8OBXEVEO2J7XKVWL648X" hidden="1">#REF!</definedName>
    <definedName name="BEx1NU6EQD2X7ZYX7MH30RT06NKE" localSheetId="7" hidden="1">[1]ZQBC_PLN_01_03_N!#REF!</definedName>
    <definedName name="BEx1NU6EQD2X7ZYX7MH30RT06NKE" localSheetId="8" hidden="1">[1]ZQBC_PLN_01_03_N!#REF!</definedName>
    <definedName name="BEx1NU6EQD2X7ZYX7MH30RT06NKE" localSheetId="0" hidden="1">[1]ZQBC_PLN_01_03_N!#REF!</definedName>
    <definedName name="BEx1NU6EQD2X7ZYX7MH30RT06NKE" localSheetId="22" hidden="1">[1]ZQBC_PLN_01_03_N!#REF!</definedName>
    <definedName name="BEx1NU6EQD2X7ZYX7MH30RT06NKE" hidden="1">[1]ZQBC_PLN_01_03_N!#REF!</definedName>
    <definedName name="BEx1O29SHHY4NN4Q9BA6RJFYXTCO" localSheetId="7" hidden="1">#REF!</definedName>
    <definedName name="BEx1O29SHHY4NN4Q9BA6RJFYXTCO" localSheetId="8" hidden="1">#REF!</definedName>
    <definedName name="BEx1O29SHHY4NN4Q9BA6RJFYXTCO" localSheetId="0" hidden="1">#REF!</definedName>
    <definedName name="BEx1O29SHHY4NN4Q9BA6RJFYXTCO" localSheetId="22" hidden="1">#REF!</definedName>
    <definedName name="BEx1O29SHHY4NN4Q9BA6RJFYXTCO" hidden="1">#REF!</definedName>
    <definedName name="BEx1OBV1G3O5YRNMCQJK4X07U8ZR" localSheetId="7" hidden="1">[1]ZQZBC_REG_02_04!#REF!</definedName>
    <definedName name="BEx1OBV1G3O5YRNMCQJK4X07U8ZR" localSheetId="8" hidden="1">[1]ZQZBC_REG_02_04!#REF!</definedName>
    <definedName name="BEx1OBV1G3O5YRNMCQJK4X07U8ZR" localSheetId="0" hidden="1">[1]ZQZBC_REG_02_04!#REF!</definedName>
    <definedName name="BEx1OBV1G3O5YRNMCQJK4X07U8ZR" localSheetId="22" hidden="1">[1]ZQZBC_REG_02_04!#REF!</definedName>
    <definedName name="BEx1OBV1G3O5YRNMCQJK4X07U8ZR" hidden="1">[1]ZQZBC_REG_02_04!#REF!</definedName>
    <definedName name="BEx1OF5Q9HR3ZKT7VNQYLE1UY8BX" localSheetId="7" hidden="1">#REF!</definedName>
    <definedName name="BEx1OF5Q9HR3ZKT7VNQYLE1UY8BX" localSheetId="8" hidden="1">#REF!</definedName>
    <definedName name="BEx1OF5Q9HR3ZKT7VNQYLE1UY8BX" localSheetId="0" hidden="1">#REF!</definedName>
    <definedName name="BEx1OF5Q9HR3ZKT7VNQYLE1UY8BX" localSheetId="22" hidden="1">#REF!</definedName>
    <definedName name="BEx1OF5Q9HR3ZKT7VNQYLE1UY8BX" hidden="1">#REF!</definedName>
    <definedName name="BEx1OOWGET6S1KYHJBFZLD9XWWBC" localSheetId="7" hidden="1">#REF!</definedName>
    <definedName name="BEx1OOWGET6S1KYHJBFZLD9XWWBC" localSheetId="8" hidden="1">#REF!</definedName>
    <definedName name="BEx1OOWGET6S1KYHJBFZLD9XWWBC" localSheetId="0" hidden="1">#REF!</definedName>
    <definedName name="BEx1OOWGET6S1KYHJBFZLD9XWWBC" localSheetId="22" hidden="1">#REF!</definedName>
    <definedName name="BEx1OOWGET6S1KYHJBFZLD9XWWBC" hidden="1">#REF!</definedName>
    <definedName name="BEx1OVN4QERGPD9WLOCMS33UZ5HD" localSheetId="7" hidden="1">#REF!</definedName>
    <definedName name="BEx1OVN4QERGPD9WLOCMS33UZ5HD" localSheetId="8" hidden="1">#REF!</definedName>
    <definedName name="BEx1OVN4QERGPD9WLOCMS33UZ5HD" localSheetId="0" hidden="1">#REF!</definedName>
    <definedName name="BEx1OVN4QERGPD9WLOCMS33UZ5HD" localSheetId="22" hidden="1">#REF!</definedName>
    <definedName name="BEx1OVN4QERGPD9WLOCMS33UZ5HD" hidden="1">#REF!</definedName>
    <definedName name="BEx1OXL6TK8CFOQFV1VP2SPMQJQ3" localSheetId="7" hidden="1">#REF!</definedName>
    <definedName name="BEx1OXL6TK8CFOQFV1VP2SPMQJQ3" localSheetId="8" hidden="1">#REF!</definedName>
    <definedName name="BEx1OXL6TK8CFOQFV1VP2SPMQJQ3" localSheetId="0" hidden="1">#REF!</definedName>
    <definedName name="BEx1OXL6TK8CFOQFV1VP2SPMQJQ3" localSheetId="22" hidden="1">#REF!</definedName>
    <definedName name="BEx1OXL6TK8CFOQFV1VP2SPMQJQ3" hidden="1">#REF!</definedName>
    <definedName name="BEx1P2OSGCKL4ANRW5JU86B3OUP2" localSheetId="7" hidden="1">#REF!</definedName>
    <definedName name="BEx1P2OSGCKL4ANRW5JU86B3OUP2" localSheetId="8" hidden="1">#REF!</definedName>
    <definedName name="BEx1P2OSGCKL4ANRW5JU86B3OUP2" localSheetId="0" hidden="1">#REF!</definedName>
    <definedName name="BEx1P2OSGCKL4ANRW5JU86B3OUP2" localSheetId="22" hidden="1">#REF!</definedName>
    <definedName name="BEx1P2OSGCKL4ANRW5JU86B3OUP2" hidden="1">#REF!</definedName>
    <definedName name="BEx1PGH3GRG8414N36YXACK3CPOO" localSheetId="7" hidden="1">#REF!</definedName>
    <definedName name="BEx1PGH3GRG8414N36YXACK3CPOO" localSheetId="8" hidden="1">#REF!</definedName>
    <definedName name="BEx1PGH3GRG8414N36YXACK3CPOO" localSheetId="0" hidden="1">#REF!</definedName>
    <definedName name="BEx1PGH3GRG8414N36YXACK3CPOO" localSheetId="22" hidden="1">#REF!</definedName>
    <definedName name="BEx1PGH3GRG8414N36YXACK3CPOO" hidden="1">#REF!</definedName>
    <definedName name="BEx1PZI52U2L6EJ14D1UJRH12VF3" localSheetId="7" hidden="1">#REF!</definedName>
    <definedName name="BEx1PZI52U2L6EJ14D1UJRH12VF3" localSheetId="8" hidden="1">#REF!</definedName>
    <definedName name="BEx1PZI52U2L6EJ14D1UJRH12VF3" localSheetId="0" hidden="1">#REF!</definedName>
    <definedName name="BEx1PZI52U2L6EJ14D1UJRH12VF3" localSheetId="22" hidden="1">#REF!</definedName>
    <definedName name="BEx1PZI52U2L6EJ14D1UJRH12VF3" hidden="1">#REF!</definedName>
    <definedName name="BEx1QIOKL5Q10OA4YYC11TAJUBJD" localSheetId="7" hidden="1">#REF!</definedName>
    <definedName name="BEx1QIOKL5Q10OA4YYC11TAJUBJD" localSheetId="8" hidden="1">#REF!</definedName>
    <definedName name="BEx1QIOKL5Q10OA4YYC11TAJUBJD" localSheetId="0" hidden="1">#REF!</definedName>
    <definedName name="BEx1QIOKL5Q10OA4YYC11TAJUBJD" localSheetId="22" hidden="1">#REF!</definedName>
    <definedName name="BEx1QIOKL5Q10OA4YYC11TAJUBJD" hidden="1">#REF!</definedName>
    <definedName name="BEx1QL3156WEYPI3R9CJQ00GSPI4" localSheetId="7" hidden="1">#REF!</definedName>
    <definedName name="BEx1QL3156WEYPI3R9CJQ00GSPI4" localSheetId="8" hidden="1">#REF!</definedName>
    <definedName name="BEx1QL3156WEYPI3R9CJQ00GSPI4" localSheetId="0" hidden="1">#REF!</definedName>
    <definedName name="BEx1QL3156WEYPI3R9CJQ00GSPI4" localSheetId="22" hidden="1">#REF!</definedName>
    <definedName name="BEx1QL3156WEYPI3R9CJQ00GSPI4" hidden="1">#REF!</definedName>
    <definedName name="BEx1QPKVDU9SLK3O0E92FYO40BZP" localSheetId="7" hidden="1">#REF!</definedName>
    <definedName name="BEx1QPKVDU9SLK3O0E92FYO40BZP" localSheetId="8" hidden="1">#REF!</definedName>
    <definedName name="BEx1QPKVDU9SLK3O0E92FYO40BZP" localSheetId="0" hidden="1">#REF!</definedName>
    <definedName name="BEx1QPKVDU9SLK3O0E92FYO40BZP" localSheetId="22" hidden="1">#REF!</definedName>
    <definedName name="BEx1QPKVDU9SLK3O0E92FYO40BZP" hidden="1">#REF!</definedName>
    <definedName name="BEx1R97ILREFR0LOS6EL3KQNJHVO" localSheetId="7" hidden="1">[1]ZQZBC_REG_02_04!#REF!</definedName>
    <definedName name="BEx1R97ILREFR0LOS6EL3KQNJHVO" localSheetId="8" hidden="1">[1]ZQZBC_REG_02_04!#REF!</definedName>
    <definedName name="BEx1R97ILREFR0LOS6EL3KQNJHVO" localSheetId="0" hidden="1">[1]ZQZBC_REG_02_04!#REF!</definedName>
    <definedName name="BEx1R97ILREFR0LOS6EL3KQNJHVO" localSheetId="22" hidden="1">[1]ZQZBC_REG_02_04!#REF!</definedName>
    <definedName name="BEx1R97ILREFR0LOS6EL3KQNJHVO" hidden="1">[1]ZQZBC_REG_02_04!#REF!</definedName>
    <definedName name="BEx1RWFLPSSJNYBT45O733I6XDK9" localSheetId="7" hidden="1">[1]ZQZBC_REG_02_04!#REF!</definedName>
    <definedName name="BEx1RWFLPSSJNYBT45O733I6XDK9" localSheetId="8" hidden="1">[1]ZQZBC_REG_02_04!#REF!</definedName>
    <definedName name="BEx1RWFLPSSJNYBT45O733I6XDK9" localSheetId="0" hidden="1">[1]ZQZBC_REG_02_04!#REF!</definedName>
    <definedName name="BEx1RWFLPSSJNYBT45O733I6XDK9" localSheetId="22" hidden="1">[1]ZQZBC_REG_02_04!#REF!</definedName>
    <definedName name="BEx1RWFLPSSJNYBT45O733I6XDK9" hidden="1">[1]ZQZBC_REG_02_04!#REF!</definedName>
    <definedName name="BEx1S29Y998ITE3PDN2GJGJ309QO" localSheetId="7" hidden="1">#REF!</definedName>
    <definedName name="BEx1S29Y998ITE3PDN2GJGJ309QO" localSheetId="8" hidden="1">#REF!</definedName>
    <definedName name="BEx1S29Y998ITE3PDN2GJGJ309QO" localSheetId="0" hidden="1">#REF!</definedName>
    <definedName name="BEx1S29Y998ITE3PDN2GJGJ309QO" localSheetId="22" hidden="1">#REF!</definedName>
    <definedName name="BEx1S29Y998ITE3PDN2GJGJ309QO" hidden="1">#REF!</definedName>
    <definedName name="BEx1SUG5GCPP5E1UPZD3TR8HR1DH" localSheetId="7" hidden="1">#REF!</definedName>
    <definedName name="BEx1SUG5GCPP5E1UPZD3TR8HR1DH" localSheetId="8" hidden="1">#REF!</definedName>
    <definedName name="BEx1SUG5GCPP5E1UPZD3TR8HR1DH" localSheetId="0" hidden="1">#REF!</definedName>
    <definedName name="BEx1SUG5GCPP5E1UPZD3TR8HR1DH" localSheetId="22" hidden="1">#REF!</definedName>
    <definedName name="BEx1SUG5GCPP5E1UPZD3TR8HR1DH" hidden="1">#REF!</definedName>
    <definedName name="BEx1SWEE6QH7IS51BPQX1W6Z9OP6" localSheetId="7" hidden="1">#REF!</definedName>
    <definedName name="BEx1SWEE6QH7IS51BPQX1W6Z9OP6" localSheetId="8" hidden="1">#REF!</definedName>
    <definedName name="BEx1SWEE6QH7IS51BPQX1W6Z9OP6" localSheetId="0" hidden="1">#REF!</definedName>
    <definedName name="BEx1SWEE6QH7IS51BPQX1W6Z9OP6" localSheetId="22" hidden="1">#REF!</definedName>
    <definedName name="BEx1SWEE6QH7IS51BPQX1W6Z9OP6" hidden="1">#REF!</definedName>
    <definedName name="BEx1SXLDPNAODYVJG7J4NSKBOYLO" localSheetId="7" hidden="1">#REF!</definedName>
    <definedName name="BEx1SXLDPNAODYVJG7J4NSKBOYLO" localSheetId="8" hidden="1">#REF!</definedName>
    <definedName name="BEx1SXLDPNAODYVJG7J4NSKBOYLO" localSheetId="0" hidden="1">#REF!</definedName>
    <definedName name="BEx1SXLDPNAODYVJG7J4NSKBOYLO" localSheetId="22" hidden="1">#REF!</definedName>
    <definedName name="BEx1SXLDPNAODYVJG7J4NSKBOYLO" hidden="1">#REF!</definedName>
    <definedName name="BEx1T64YGK6TUA6FFFPBSX2QPPNB" localSheetId="7" hidden="1">#REF!</definedName>
    <definedName name="BEx1T64YGK6TUA6FFFPBSX2QPPNB" localSheetId="8" hidden="1">#REF!</definedName>
    <definedName name="BEx1T64YGK6TUA6FFFPBSX2QPPNB" localSheetId="0" hidden="1">#REF!</definedName>
    <definedName name="BEx1T64YGK6TUA6FFFPBSX2QPPNB" localSheetId="22" hidden="1">#REF!</definedName>
    <definedName name="BEx1T64YGK6TUA6FFFPBSX2QPPNB" hidden="1">#REF!</definedName>
    <definedName name="BEx1T9FNYP9XC413EICJJS3CIB3I" localSheetId="7" hidden="1">#REF!</definedName>
    <definedName name="BEx1T9FNYP9XC413EICJJS3CIB3I" localSheetId="8" hidden="1">#REF!</definedName>
    <definedName name="BEx1T9FNYP9XC413EICJJS3CIB3I" localSheetId="0" hidden="1">#REF!</definedName>
    <definedName name="BEx1T9FNYP9XC413EICJJS3CIB3I" localSheetId="22" hidden="1">#REF!</definedName>
    <definedName name="BEx1T9FNYP9XC413EICJJS3CIB3I" hidden="1">#REF!</definedName>
    <definedName name="BEx1TN7Z2YEMFUYVV51CQO4UUAYJ" localSheetId="7" hidden="1">#REF!</definedName>
    <definedName name="BEx1TN7Z2YEMFUYVV51CQO4UUAYJ" localSheetId="8" hidden="1">#REF!</definedName>
    <definedName name="BEx1TN7Z2YEMFUYVV51CQO4UUAYJ" localSheetId="0" hidden="1">#REF!</definedName>
    <definedName name="BEx1TN7Z2YEMFUYVV51CQO4UUAYJ" localSheetId="22" hidden="1">#REF!</definedName>
    <definedName name="BEx1TN7Z2YEMFUYVV51CQO4UUAYJ" hidden="1">#REF!</definedName>
    <definedName name="BEx1TW7NCS8E0LGFJ1322FYIRC7B" localSheetId="7" hidden="1">#REF!</definedName>
    <definedName name="BEx1TW7NCS8E0LGFJ1322FYIRC7B" localSheetId="8" hidden="1">#REF!</definedName>
    <definedName name="BEx1TW7NCS8E0LGFJ1322FYIRC7B" localSheetId="0" hidden="1">#REF!</definedName>
    <definedName name="BEx1TW7NCS8E0LGFJ1322FYIRC7B" localSheetId="22" hidden="1">#REF!</definedName>
    <definedName name="BEx1TW7NCS8E0LGFJ1322FYIRC7B" hidden="1">#REF!</definedName>
    <definedName name="BEx1U5Y88STU4G32G3NCHCEJ5QF5" localSheetId="7" hidden="1">#REF!</definedName>
    <definedName name="BEx1U5Y88STU4G32G3NCHCEJ5QF5" localSheetId="8" hidden="1">#REF!</definedName>
    <definedName name="BEx1U5Y88STU4G32G3NCHCEJ5QF5" localSheetId="0" hidden="1">#REF!</definedName>
    <definedName name="BEx1U5Y88STU4G32G3NCHCEJ5QF5" localSheetId="22" hidden="1">#REF!</definedName>
    <definedName name="BEx1U5Y88STU4G32G3NCHCEJ5QF5" hidden="1">#REF!</definedName>
    <definedName name="BEx1UOU0SIP0VL35IYJ3IEV9IEQ9" localSheetId="7" hidden="1">#REF!</definedName>
    <definedName name="BEx1UOU0SIP0VL35IYJ3IEV9IEQ9" localSheetId="8" hidden="1">#REF!</definedName>
    <definedName name="BEx1UOU0SIP0VL35IYJ3IEV9IEQ9" localSheetId="0" hidden="1">#REF!</definedName>
    <definedName name="BEx1UOU0SIP0VL35IYJ3IEV9IEQ9" localSheetId="22" hidden="1">#REF!</definedName>
    <definedName name="BEx1UOU0SIP0VL35IYJ3IEV9IEQ9" hidden="1">#REF!</definedName>
    <definedName name="BEx1V79N0TQAFIRH3KFHSLZAL1GW" localSheetId="7" hidden="1">#REF!</definedName>
    <definedName name="BEx1V79N0TQAFIRH3KFHSLZAL1GW" localSheetId="8" hidden="1">#REF!</definedName>
    <definedName name="BEx1V79N0TQAFIRH3KFHSLZAL1GW" localSheetId="0" hidden="1">#REF!</definedName>
    <definedName name="BEx1V79N0TQAFIRH3KFHSLZAL1GW" localSheetId="22" hidden="1">#REF!</definedName>
    <definedName name="BEx1V79N0TQAFIRH3KFHSLZAL1GW" hidden="1">#REF!</definedName>
    <definedName name="BEx1VZVTULZORT9RPBIYQMS8LAIS" localSheetId="7" hidden="1">#REF!</definedName>
    <definedName name="BEx1VZVTULZORT9RPBIYQMS8LAIS" localSheetId="8" hidden="1">#REF!</definedName>
    <definedName name="BEx1VZVTULZORT9RPBIYQMS8LAIS" localSheetId="0" hidden="1">#REF!</definedName>
    <definedName name="BEx1VZVTULZORT9RPBIYQMS8LAIS" localSheetId="22" hidden="1">#REF!</definedName>
    <definedName name="BEx1VZVTULZORT9RPBIYQMS8LAIS" hidden="1">#REF!</definedName>
    <definedName name="BEx1W66EZ12EH9GPTUTM3ET4FUL2" localSheetId="7" hidden="1">#REF!</definedName>
    <definedName name="BEx1W66EZ12EH9GPTUTM3ET4FUL2" localSheetId="8" hidden="1">#REF!</definedName>
    <definedName name="BEx1W66EZ12EH9GPTUTM3ET4FUL2" localSheetId="0" hidden="1">#REF!</definedName>
    <definedName name="BEx1W66EZ12EH9GPTUTM3ET4FUL2" localSheetId="22" hidden="1">#REF!</definedName>
    <definedName name="BEx1W66EZ12EH9GPTUTM3ET4FUL2" hidden="1">#REF!</definedName>
    <definedName name="BEx1W9RV1JQUGHRFI7EU9J8END50" localSheetId="7" hidden="1">#REF!</definedName>
    <definedName name="BEx1W9RV1JQUGHRFI7EU9J8END50" localSheetId="8" hidden="1">#REF!</definedName>
    <definedName name="BEx1W9RV1JQUGHRFI7EU9J8END50" localSheetId="0" hidden="1">#REF!</definedName>
    <definedName name="BEx1W9RV1JQUGHRFI7EU9J8END50" localSheetId="22" hidden="1">#REF!</definedName>
    <definedName name="BEx1W9RV1JQUGHRFI7EU9J8END50" hidden="1">#REF!</definedName>
    <definedName name="BEx1WHKK4EWJNI2ZYDJKG5VN3BOD" localSheetId="7" hidden="1">#REF!</definedName>
    <definedName name="BEx1WHKK4EWJNI2ZYDJKG5VN3BOD" localSheetId="8" hidden="1">#REF!</definedName>
    <definedName name="BEx1WHKK4EWJNI2ZYDJKG5VN3BOD" localSheetId="0" hidden="1">#REF!</definedName>
    <definedName name="BEx1WHKK4EWJNI2ZYDJKG5VN3BOD" localSheetId="22" hidden="1">#REF!</definedName>
    <definedName name="BEx1WHKK4EWJNI2ZYDJKG5VN3BOD" hidden="1">#REF!</definedName>
    <definedName name="BEx1XJ1394CX4S34Z4EZIYEQ73N8" localSheetId="7" hidden="1">#REF!</definedName>
    <definedName name="BEx1XJ1394CX4S34Z4EZIYEQ73N8" localSheetId="8" hidden="1">#REF!</definedName>
    <definedName name="BEx1XJ1394CX4S34Z4EZIYEQ73N8" localSheetId="0" hidden="1">#REF!</definedName>
    <definedName name="BEx1XJ1394CX4S34Z4EZIYEQ73N8" localSheetId="22" hidden="1">#REF!</definedName>
    <definedName name="BEx1XJ1394CX4S34Z4EZIYEQ73N8" hidden="1">#REF!</definedName>
    <definedName name="BEx1XM0ZHSX4LKVGHKLQT41WT4J7" localSheetId="7" hidden="1">#REF!</definedName>
    <definedName name="BEx1XM0ZHSX4LKVGHKLQT41WT4J7" localSheetId="8" hidden="1">#REF!</definedName>
    <definedName name="BEx1XM0ZHSX4LKVGHKLQT41WT4J7" localSheetId="0" hidden="1">#REF!</definedName>
    <definedName name="BEx1XM0ZHSX4LKVGHKLQT41WT4J7" localSheetId="22" hidden="1">#REF!</definedName>
    <definedName name="BEx1XM0ZHSX4LKVGHKLQT41WT4J7" hidden="1">#REF!</definedName>
    <definedName name="BEx1XPMHFJ6EMBC383RB1U9P1Y6O" localSheetId="7" hidden="1">#REF!</definedName>
    <definedName name="BEx1XPMHFJ6EMBC383RB1U9P1Y6O" localSheetId="8" hidden="1">#REF!</definedName>
    <definedName name="BEx1XPMHFJ6EMBC383RB1U9P1Y6O" localSheetId="0" hidden="1">#REF!</definedName>
    <definedName name="BEx1XPMHFJ6EMBC383RB1U9P1Y6O" localSheetId="22" hidden="1">#REF!</definedName>
    <definedName name="BEx1XPMHFJ6EMBC383RB1U9P1Y6O" hidden="1">#REF!</definedName>
    <definedName name="BEx3BAKJ2PVA6AP0FIEUIXNJRR1Q" localSheetId="7" hidden="1">#REF!</definedName>
    <definedName name="BEx3BAKJ2PVA6AP0FIEUIXNJRR1Q" localSheetId="8" hidden="1">#REF!</definedName>
    <definedName name="BEx3BAKJ2PVA6AP0FIEUIXNJRR1Q" localSheetId="0" hidden="1">#REF!</definedName>
    <definedName name="BEx3BAKJ2PVA6AP0FIEUIXNJRR1Q" localSheetId="22" hidden="1">#REF!</definedName>
    <definedName name="BEx3BAKJ2PVA6AP0FIEUIXNJRR1Q" hidden="1">#REF!</definedName>
    <definedName name="BEx3D5JXASMNSBUKYQ5DIK3ZFWAF" localSheetId="7" hidden="1">#REF!</definedName>
    <definedName name="BEx3D5JXASMNSBUKYQ5DIK3ZFWAF" localSheetId="8" hidden="1">#REF!</definedName>
    <definedName name="BEx3D5JXASMNSBUKYQ5DIK3ZFWAF" localSheetId="0" hidden="1">#REF!</definedName>
    <definedName name="BEx3D5JXASMNSBUKYQ5DIK3ZFWAF" localSheetId="22" hidden="1">#REF!</definedName>
    <definedName name="BEx3D5JXASMNSBUKYQ5DIK3ZFWAF" hidden="1">#REF!</definedName>
    <definedName name="BEx3DHE1CEQ0EUM0NF3VG4L8Y352" localSheetId="7" hidden="1">#REF!</definedName>
    <definedName name="BEx3DHE1CEQ0EUM0NF3VG4L8Y352" localSheetId="8" hidden="1">#REF!</definedName>
    <definedName name="BEx3DHE1CEQ0EUM0NF3VG4L8Y352" localSheetId="0" hidden="1">#REF!</definedName>
    <definedName name="BEx3DHE1CEQ0EUM0NF3VG4L8Y352" localSheetId="22" hidden="1">#REF!</definedName>
    <definedName name="BEx3DHE1CEQ0EUM0NF3VG4L8Y352" hidden="1">#REF!</definedName>
    <definedName name="BEx3DV115V8LX7NWYAJZTP346O7D" localSheetId="7" hidden="1">#REF!</definedName>
    <definedName name="BEx3DV115V8LX7NWYAJZTP346O7D" localSheetId="8" hidden="1">#REF!</definedName>
    <definedName name="BEx3DV115V8LX7NWYAJZTP346O7D" localSheetId="0" hidden="1">#REF!</definedName>
    <definedName name="BEx3DV115V8LX7NWYAJZTP346O7D" localSheetId="22" hidden="1">#REF!</definedName>
    <definedName name="BEx3DV115V8LX7NWYAJZTP346O7D" hidden="1">#REF!</definedName>
    <definedName name="BEx3EYAB2I7N6QDFHR9LIJKXKPR2" localSheetId="7" hidden="1">#REF!</definedName>
    <definedName name="BEx3EYAB2I7N6QDFHR9LIJKXKPR2" localSheetId="8" hidden="1">#REF!</definedName>
    <definedName name="BEx3EYAB2I7N6QDFHR9LIJKXKPR2" localSheetId="0" hidden="1">#REF!</definedName>
    <definedName name="BEx3EYAB2I7N6QDFHR9LIJKXKPR2" localSheetId="22" hidden="1">#REF!</definedName>
    <definedName name="BEx3EYAB2I7N6QDFHR9LIJKXKPR2" hidden="1">#REF!</definedName>
    <definedName name="BEx3F6Z7Y33TXV9KZVL5HE4EREHD" localSheetId="7" hidden="1">#REF!</definedName>
    <definedName name="BEx3F6Z7Y33TXV9KZVL5HE4EREHD" localSheetId="8" hidden="1">#REF!</definedName>
    <definedName name="BEx3F6Z7Y33TXV9KZVL5HE4EREHD" localSheetId="0" hidden="1">#REF!</definedName>
    <definedName name="BEx3F6Z7Y33TXV9KZVL5HE4EREHD" localSheetId="22" hidden="1">#REF!</definedName>
    <definedName name="BEx3F6Z7Y33TXV9KZVL5HE4EREHD" hidden="1">#REF!</definedName>
    <definedName name="BEx3FYZZKXJZZERKHK5KVPCXV8Z2" localSheetId="7" hidden="1">#REF!</definedName>
    <definedName name="BEx3FYZZKXJZZERKHK5KVPCXV8Z2" localSheetId="8" hidden="1">#REF!</definedName>
    <definedName name="BEx3FYZZKXJZZERKHK5KVPCXV8Z2" localSheetId="0" hidden="1">#REF!</definedName>
    <definedName name="BEx3FYZZKXJZZERKHK5KVPCXV8Z2" localSheetId="22" hidden="1">#REF!</definedName>
    <definedName name="BEx3FYZZKXJZZERKHK5KVPCXV8Z2" hidden="1">#REF!</definedName>
    <definedName name="BEx3GEL2IVRK3B7QT1Z061PXHSM2" localSheetId="7" hidden="1">#REF!</definedName>
    <definedName name="BEx3GEL2IVRK3B7QT1Z061PXHSM2" localSheetId="8" hidden="1">#REF!</definedName>
    <definedName name="BEx3GEL2IVRK3B7QT1Z061PXHSM2" localSheetId="0" hidden="1">#REF!</definedName>
    <definedName name="BEx3GEL2IVRK3B7QT1Z061PXHSM2" localSheetId="22" hidden="1">#REF!</definedName>
    <definedName name="BEx3GEL2IVRK3B7QT1Z061PXHSM2" hidden="1">#REF!</definedName>
    <definedName name="BEx3GJJ6IYBBSCURXRIA3BSCE5N1" localSheetId="7" hidden="1">#REF!</definedName>
    <definedName name="BEx3GJJ6IYBBSCURXRIA3BSCE5N1" localSheetId="8" hidden="1">#REF!</definedName>
    <definedName name="BEx3GJJ6IYBBSCURXRIA3BSCE5N1" localSheetId="0" hidden="1">#REF!</definedName>
    <definedName name="BEx3GJJ6IYBBSCURXRIA3BSCE5N1" localSheetId="22" hidden="1">#REF!</definedName>
    <definedName name="BEx3GJJ6IYBBSCURXRIA3BSCE5N1" hidden="1">#REF!</definedName>
    <definedName name="BEx3GYYQE4GM75J1C4G14SQ3HUNY" localSheetId="7" hidden="1">[1]ZQZBC_REG_02_04!#REF!</definedName>
    <definedName name="BEx3GYYQE4GM75J1C4G14SQ3HUNY" localSheetId="8" hidden="1">[1]ZQZBC_REG_02_04!#REF!</definedName>
    <definedName name="BEx3GYYQE4GM75J1C4G14SQ3HUNY" localSheetId="0" hidden="1">[1]ZQZBC_REG_02_04!#REF!</definedName>
    <definedName name="BEx3GYYQE4GM75J1C4G14SQ3HUNY" localSheetId="22" hidden="1">[1]ZQZBC_REG_02_04!#REF!</definedName>
    <definedName name="BEx3GYYQE4GM75J1C4G14SQ3HUNY" hidden="1">[1]ZQZBC_REG_02_04!#REF!</definedName>
    <definedName name="BEx3GYYQJ8UDIR9F1OFIENEZS7NF" localSheetId="7" hidden="1">#REF!</definedName>
    <definedName name="BEx3GYYQJ8UDIR9F1OFIENEZS7NF" localSheetId="8" hidden="1">#REF!</definedName>
    <definedName name="BEx3GYYQJ8UDIR9F1OFIENEZS7NF" localSheetId="0" hidden="1">#REF!</definedName>
    <definedName name="BEx3GYYQJ8UDIR9F1OFIENEZS7NF" localSheetId="22" hidden="1">#REF!</definedName>
    <definedName name="BEx3GYYQJ8UDIR9F1OFIENEZS7NF" hidden="1">#REF!</definedName>
    <definedName name="BEx3HSHFIL4OI87P0ATYG5URLRA7" localSheetId="7" hidden="1">#REF!</definedName>
    <definedName name="BEx3HSHFIL4OI87P0ATYG5URLRA7" localSheetId="8" hidden="1">#REF!</definedName>
    <definedName name="BEx3HSHFIL4OI87P0ATYG5URLRA7" localSheetId="0" hidden="1">#REF!</definedName>
    <definedName name="BEx3HSHFIL4OI87P0ATYG5URLRA7" localSheetId="22" hidden="1">#REF!</definedName>
    <definedName name="BEx3HSHFIL4OI87P0ATYG5URLRA7" hidden="1">#REF!</definedName>
    <definedName name="BEx3I7RORXESPXMIDKUURJTFXSAV" localSheetId="7" hidden="1">#REF!</definedName>
    <definedName name="BEx3I7RORXESPXMIDKUURJTFXSAV" localSheetId="8" hidden="1">#REF!</definedName>
    <definedName name="BEx3I7RORXESPXMIDKUURJTFXSAV" localSheetId="0" hidden="1">#REF!</definedName>
    <definedName name="BEx3I7RORXESPXMIDKUURJTFXSAV" localSheetId="22" hidden="1">#REF!</definedName>
    <definedName name="BEx3I7RORXESPXMIDKUURJTFXSAV" hidden="1">#REF!</definedName>
    <definedName name="BEx3ISR02IT8KYZ04V9ZZ4X3GTI0" localSheetId="7" hidden="1">#REF!</definedName>
    <definedName name="BEx3ISR02IT8KYZ04V9ZZ4X3GTI0" localSheetId="8" hidden="1">#REF!</definedName>
    <definedName name="BEx3ISR02IT8KYZ04V9ZZ4X3GTI0" localSheetId="0" hidden="1">#REF!</definedName>
    <definedName name="BEx3ISR02IT8KYZ04V9ZZ4X3GTI0" localSheetId="22" hidden="1">#REF!</definedName>
    <definedName name="BEx3ISR02IT8KYZ04V9ZZ4X3GTI0" hidden="1">#REF!</definedName>
    <definedName name="BEx3J038XRYS3ZOK3FXG4HGBXE5F" localSheetId="7" hidden="1">#REF!</definedName>
    <definedName name="BEx3J038XRYS3ZOK3FXG4HGBXE5F" localSheetId="8" hidden="1">#REF!</definedName>
    <definedName name="BEx3J038XRYS3ZOK3FXG4HGBXE5F" localSheetId="0" hidden="1">#REF!</definedName>
    <definedName name="BEx3J038XRYS3ZOK3FXG4HGBXE5F" localSheetId="22" hidden="1">#REF!</definedName>
    <definedName name="BEx3J038XRYS3ZOK3FXG4HGBXE5F" hidden="1">#REF!</definedName>
    <definedName name="BEx3J8C1U0FYI26JH9JI54RUZLAZ" localSheetId="7" hidden="1">#REF!</definedName>
    <definedName name="BEx3J8C1U0FYI26JH9JI54RUZLAZ" localSheetId="8" hidden="1">#REF!</definedName>
    <definedName name="BEx3J8C1U0FYI26JH9JI54RUZLAZ" localSheetId="0" hidden="1">#REF!</definedName>
    <definedName name="BEx3J8C1U0FYI26JH9JI54RUZLAZ" localSheetId="22" hidden="1">#REF!</definedName>
    <definedName name="BEx3J8C1U0FYI26JH9JI54RUZLAZ" hidden="1">#REF!</definedName>
    <definedName name="BEx3J92XIHJHWBI9NRU822WLQ848" localSheetId="7" hidden="1">#REF!</definedName>
    <definedName name="BEx3J92XIHJHWBI9NRU822WLQ848" localSheetId="8" hidden="1">#REF!</definedName>
    <definedName name="BEx3J92XIHJHWBI9NRU822WLQ848" localSheetId="0" hidden="1">#REF!</definedName>
    <definedName name="BEx3J92XIHJHWBI9NRU822WLQ848" localSheetId="22" hidden="1">#REF!</definedName>
    <definedName name="BEx3J92XIHJHWBI9NRU822WLQ848" hidden="1">#REF!</definedName>
    <definedName name="BEx3JKRQMYNU9ORP9UW5CKAI5NKC" localSheetId="7" hidden="1">#REF!</definedName>
    <definedName name="BEx3JKRQMYNU9ORP9UW5CKAI5NKC" localSheetId="8" hidden="1">#REF!</definedName>
    <definedName name="BEx3JKRQMYNU9ORP9UW5CKAI5NKC" localSheetId="0" hidden="1">#REF!</definedName>
    <definedName name="BEx3JKRQMYNU9ORP9UW5CKAI5NKC" localSheetId="22" hidden="1">#REF!</definedName>
    <definedName name="BEx3JKRQMYNU9ORP9UW5CKAI5NKC" hidden="1">#REF!</definedName>
    <definedName name="BEx3JL80G3AZGNZH0WT8T6OQ3PXQ" localSheetId="7" hidden="1">#REF!</definedName>
    <definedName name="BEx3JL80G3AZGNZH0WT8T6OQ3PXQ" localSheetId="8" hidden="1">#REF!</definedName>
    <definedName name="BEx3JL80G3AZGNZH0WT8T6OQ3PXQ" localSheetId="0" hidden="1">#REF!</definedName>
    <definedName name="BEx3JL80G3AZGNZH0WT8T6OQ3PXQ" localSheetId="22" hidden="1">#REF!</definedName>
    <definedName name="BEx3JL80G3AZGNZH0WT8T6OQ3PXQ" hidden="1">#REF!</definedName>
    <definedName name="BEx3JPF1VX9EQ3WW6Y43S8UX965K" localSheetId="7" hidden="1">#REF!</definedName>
    <definedName name="BEx3JPF1VX9EQ3WW6Y43S8UX965K" localSheetId="8" hidden="1">#REF!</definedName>
    <definedName name="BEx3JPF1VX9EQ3WW6Y43S8UX965K" localSheetId="0" hidden="1">#REF!</definedName>
    <definedName name="BEx3JPF1VX9EQ3WW6Y43S8UX965K" localSheetId="22" hidden="1">#REF!</definedName>
    <definedName name="BEx3JPF1VX9EQ3WW6Y43S8UX965K" hidden="1">#REF!</definedName>
    <definedName name="BEx3JZGFSV34NYGIFLMUPO321I52" localSheetId="7" hidden="1">#REF!</definedName>
    <definedName name="BEx3JZGFSV34NYGIFLMUPO321I52" localSheetId="8" hidden="1">#REF!</definedName>
    <definedName name="BEx3JZGFSV34NYGIFLMUPO321I52" localSheetId="0" hidden="1">#REF!</definedName>
    <definedName name="BEx3JZGFSV34NYGIFLMUPO321I52" localSheetId="22" hidden="1">#REF!</definedName>
    <definedName name="BEx3JZGFSV34NYGIFLMUPO321I52" hidden="1">#REF!</definedName>
    <definedName name="BEx3JZR6XIEL1LTK3JAQ2QHJZ653" localSheetId="7" hidden="1">#REF!</definedName>
    <definedName name="BEx3JZR6XIEL1LTK3JAQ2QHJZ653" localSheetId="8" hidden="1">#REF!</definedName>
    <definedName name="BEx3JZR6XIEL1LTK3JAQ2QHJZ653" localSheetId="0" hidden="1">#REF!</definedName>
    <definedName name="BEx3JZR6XIEL1LTK3JAQ2QHJZ653" localSheetId="22" hidden="1">#REF!</definedName>
    <definedName name="BEx3JZR6XIEL1LTK3JAQ2QHJZ653" hidden="1">#REF!</definedName>
    <definedName name="BEx3KNA4YR3MXLI9IM9P15UAW7MQ" localSheetId="7" hidden="1">#REF!</definedName>
    <definedName name="BEx3KNA4YR3MXLI9IM9P15UAW7MQ" localSheetId="8" hidden="1">#REF!</definedName>
    <definedName name="BEx3KNA4YR3MXLI9IM9P15UAW7MQ" localSheetId="0" hidden="1">#REF!</definedName>
    <definedName name="BEx3KNA4YR3MXLI9IM9P15UAW7MQ" localSheetId="22" hidden="1">#REF!</definedName>
    <definedName name="BEx3KNA4YR3MXLI9IM9P15UAW7MQ" hidden="1">#REF!</definedName>
    <definedName name="BEx3KO6H3WRDKXYD37B5379Y0XLC" localSheetId="7" hidden="1">#REF!</definedName>
    <definedName name="BEx3KO6H3WRDKXYD37B5379Y0XLC" localSheetId="8" hidden="1">#REF!</definedName>
    <definedName name="BEx3KO6H3WRDKXYD37B5379Y0XLC" localSheetId="0" hidden="1">#REF!</definedName>
    <definedName name="BEx3KO6H3WRDKXYD37B5379Y0XLC" localSheetId="22" hidden="1">#REF!</definedName>
    <definedName name="BEx3KO6H3WRDKXYD37B5379Y0XLC" hidden="1">#REF!</definedName>
    <definedName name="BEx3LI5FPRNE0KB6PP7EXTK9U5LJ" localSheetId="7" hidden="1">#REF!</definedName>
    <definedName name="BEx3LI5FPRNE0KB6PP7EXTK9U5LJ" localSheetId="8" hidden="1">#REF!</definedName>
    <definedName name="BEx3LI5FPRNE0KB6PP7EXTK9U5LJ" localSheetId="0" hidden="1">#REF!</definedName>
    <definedName name="BEx3LI5FPRNE0KB6PP7EXTK9U5LJ" localSheetId="22" hidden="1">#REF!</definedName>
    <definedName name="BEx3LI5FPRNE0KB6PP7EXTK9U5LJ" hidden="1">#REF!</definedName>
    <definedName name="BEx3LJNE53HQCNAYXJXZTS5YSOC7" localSheetId="7" hidden="1">#REF!</definedName>
    <definedName name="BEx3LJNE53HQCNAYXJXZTS5YSOC7" localSheetId="8" hidden="1">#REF!</definedName>
    <definedName name="BEx3LJNE53HQCNAYXJXZTS5YSOC7" localSheetId="0" hidden="1">#REF!</definedName>
    <definedName name="BEx3LJNE53HQCNAYXJXZTS5YSOC7" localSheetId="22" hidden="1">#REF!</definedName>
    <definedName name="BEx3LJNE53HQCNAYXJXZTS5YSOC7" hidden="1">#REF!</definedName>
    <definedName name="BEx3LR54HIP45KED74OABARDXXC3" localSheetId="7" hidden="1">#REF!</definedName>
    <definedName name="BEx3LR54HIP45KED74OABARDXXC3" localSheetId="8" hidden="1">#REF!</definedName>
    <definedName name="BEx3LR54HIP45KED74OABARDXXC3" localSheetId="0" hidden="1">#REF!</definedName>
    <definedName name="BEx3LR54HIP45KED74OABARDXXC3" localSheetId="22" hidden="1">#REF!</definedName>
    <definedName name="BEx3LR54HIP45KED74OABARDXXC3" hidden="1">#REF!</definedName>
    <definedName name="BEx3M2J4ZKTQMUNH4JK8EAYFHS9F" localSheetId="7" hidden="1">#REF!</definedName>
    <definedName name="BEx3M2J4ZKTQMUNH4JK8EAYFHS9F" localSheetId="8" hidden="1">#REF!</definedName>
    <definedName name="BEx3M2J4ZKTQMUNH4JK8EAYFHS9F" localSheetId="0" hidden="1">#REF!</definedName>
    <definedName name="BEx3M2J4ZKTQMUNH4JK8EAYFHS9F" localSheetId="22" hidden="1">#REF!</definedName>
    <definedName name="BEx3M2J4ZKTQMUNH4JK8EAYFHS9F" hidden="1">#REF!</definedName>
    <definedName name="BEx3MABND2VSOUTTVZ0PPZ7DTD57" localSheetId="7" hidden="1">#REF!</definedName>
    <definedName name="BEx3MABND2VSOUTTVZ0PPZ7DTD57" localSheetId="8" hidden="1">#REF!</definedName>
    <definedName name="BEx3MABND2VSOUTTVZ0PPZ7DTD57" localSheetId="0" hidden="1">#REF!</definedName>
    <definedName name="BEx3MABND2VSOUTTVZ0PPZ7DTD57" localSheetId="22" hidden="1">#REF!</definedName>
    <definedName name="BEx3MABND2VSOUTTVZ0PPZ7DTD57" hidden="1">#REF!</definedName>
    <definedName name="BEx3MYWG911V0YMT73OFHD748CEV" localSheetId="7" hidden="1">#REF!</definedName>
    <definedName name="BEx3MYWG911V0YMT73OFHD748CEV" localSheetId="8" hidden="1">#REF!</definedName>
    <definedName name="BEx3MYWG911V0YMT73OFHD748CEV" localSheetId="0" hidden="1">#REF!</definedName>
    <definedName name="BEx3MYWG911V0YMT73OFHD748CEV" localSheetId="22" hidden="1">#REF!</definedName>
    <definedName name="BEx3MYWG911V0YMT73OFHD748CEV" hidden="1">#REF!</definedName>
    <definedName name="BEx3NB1BS3C8N163E5A2M7TWZMIN" localSheetId="7" hidden="1">#REF!</definedName>
    <definedName name="BEx3NB1BS3C8N163E5A2M7TWZMIN" localSheetId="8" hidden="1">#REF!</definedName>
    <definedName name="BEx3NB1BS3C8N163E5A2M7TWZMIN" localSheetId="0" hidden="1">#REF!</definedName>
    <definedName name="BEx3NB1BS3C8N163E5A2M7TWZMIN" localSheetId="22" hidden="1">#REF!</definedName>
    <definedName name="BEx3NB1BS3C8N163E5A2M7TWZMIN" hidden="1">#REF!</definedName>
    <definedName name="BEx3NCZEK7I7ZTH867UNWHSBE5X3" localSheetId="7" hidden="1">#REF!</definedName>
    <definedName name="BEx3NCZEK7I7ZTH867UNWHSBE5X3" localSheetId="8" hidden="1">#REF!</definedName>
    <definedName name="BEx3NCZEK7I7ZTH867UNWHSBE5X3" localSheetId="0" hidden="1">#REF!</definedName>
    <definedName name="BEx3NCZEK7I7ZTH867UNWHSBE5X3" localSheetId="22" hidden="1">#REF!</definedName>
    <definedName name="BEx3NCZEK7I7ZTH867UNWHSBE5X3" hidden="1">#REF!</definedName>
    <definedName name="BEx3NFDQJ1UG1SOMDJP1TMQUI1WY" localSheetId="7" hidden="1">#REF!</definedName>
    <definedName name="BEx3NFDQJ1UG1SOMDJP1TMQUI1WY" localSheetId="8" hidden="1">#REF!</definedName>
    <definedName name="BEx3NFDQJ1UG1SOMDJP1TMQUI1WY" localSheetId="0" hidden="1">#REF!</definedName>
    <definedName name="BEx3NFDQJ1UG1SOMDJP1TMQUI1WY" localSheetId="22" hidden="1">#REF!</definedName>
    <definedName name="BEx3NFDQJ1UG1SOMDJP1TMQUI1WY" hidden="1">#REF!</definedName>
    <definedName name="BEx3NHH8CN35OXMD80N7V10NC97W" localSheetId="7" hidden="1">#REF!</definedName>
    <definedName name="BEx3NHH8CN35OXMD80N7V10NC97W" localSheetId="8" hidden="1">#REF!</definedName>
    <definedName name="BEx3NHH8CN35OXMD80N7V10NC97W" localSheetId="0" hidden="1">#REF!</definedName>
    <definedName name="BEx3NHH8CN35OXMD80N7V10NC97W" localSheetId="22" hidden="1">#REF!</definedName>
    <definedName name="BEx3NHH8CN35OXMD80N7V10NC97W" hidden="1">#REF!</definedName>
    <definedName name="BEx3OH56LZ7X59ZL0HJPA6QHYSY8" localSheetId="7" hidden="1">#REF!</definedName>
    <definedName name="BEx3OH56LZ7X59ZL0HJPA6QHYSY8" localSheetId="8" hidden="1">#REF!</definedName>
    <definedName name="BEx3OH56LZ7X59ZL0HJPA6QHYSY8" localSheetId="0" hidden="1">#REF!</definedName>
    <definedName name="BEx3OH56LZ7X59ZL0HJPA6QHYSY8" localSheetId="22" hidden="1">#REF!</definedName>
    <definedName name="BEx3OH56LZ7X59ZL0HJPA6QHYSY8" hidden="1">#REF!</definedName>
    <definedName name="BEx3OHFYXXT8O8BZECGO4G67T5KV" localSheetId="7" hidden="1">#REF!</definedName>
    <definedName name="BEx3OHFYXXT8O8BZECGO4G67T5KV" localSheetId="8" hidden="1">#REF!</definedName>
    <definedName name="BEx3OHFYXXT8O8BZECGO4G67T5KV" localSheetId="0" hidden="1">#REF!</definedName>
    <definedName name="BEx3OHFYXXT8O8BZECGO4G67T5KV" localSheetId="22" hidden="1">#REF!</definedName>
    <definedName name="BEx3OHFYXXT8O8BZECGO4G67T5KV" hidden="1">#REF!</definedName>
    <definedName name="BEx3OHW3021FOKZBPERP4SVSYT54" localSheetId="7" hidden="1">#REF!</definedName>
    <definedName name="BEx3OHW3021FOKZBPERP4SVSYT54" localSheetId="8" hidden="1">#REF!</definedName>
    <definedName name="BEx3OHW3021FOKZBPERP4SVSYT54" localSheetId="0" hidden="1">#REF!</definedName>
    <definedName name="BEx3OHW3021FOKZBPERP4SVSYT54" localSheetId="22" hidden="1">#REF!</definedName>
    <definedName name="BEx3OHW3021FOKZBPERP4SVSYT54" hidden="1">#REF!</definedName>
    <definedName name="BEx3OTVP3JBTBAPUS9RJMIIOJBHB" localSheetId="7" hidden="1">#REF!</definedName>
    <definedName name="BEx3OTVP3JBTBAPUS9RJMIIOJBHB" localSheetId="8" hidden="1">#REF!</definedName>
    <definedName name="BEx3OTVP3JBTBAPUS9RJMIIOJBHB" localSheetId="0" hidden="1">#REF!</definedName>
    <definedName name="BEx3OTVP3JBTBAPUS9RJMIIOJBHB" localSheetId="22" hidden="1">#REF!</definedName>
    <definedName name="BEx3OTVP3JBTBAPUS9RJMIIOJBHB" hidden="1">#REF!</definedName>
    <definedName name="BEx3OWKRCQ64AMBOB45C7OZOIL99" localSheetId="7" hidden="1">#REF!</definedName>
    <definedName name="BEx3OWKRCQ64AMBOB45C7OZOIL99" localSheetId="8" hidden="1">#REF!</definedName>
    <definedName name="BEx3OWKRCQ64AMBOB45C7OZOIL99" localSheetId="0" hidden="1">#REF!</definedName>
    <definedName name="BEx3OWKRCQ64AMBOB45C7OZOIL99" localSheetId="22" hidden="1">#REF!</definedName>
    <definedName name="BEx3OWKRCQ64AMBOB45C7OZOIL99" hidden="1">#REF!</definedName>
    <definedName name="BEx3Q34XI5G67Q6MKH9R08Y92W3W" localSheetId="7" hidden="1">#REF!</definedName>
    <definedName name="BEx3Q34XI5G67Q6MKH9R08Y92W3W" localSheetId="8" hidden="1">#REF!</definedName>
    <definedName name="BEx3Q34XI5G67Q6MKH9R08Y92W3W" localSheetId="0" hidden="1">#REF!</definedName>
    <definedName name="BEx3Q34XI5G67Q6MKH9R08Y92W3W" localSheetId="22" hidden="1">#REF!</definedName>
    <definedName name="BEx3Q34XI5G67Q6MKH9R08Y92W3W" hidden="1">#REF!</definedName>
    <definedName name="BEx3Q58GA3E2VZFYARH5P3P8STJ3" localSheetId="7" hidden="1">#REF!</definedName>
    <definedName name="BEx3Q58GA3E2VZFYARH5P3P8STJ3" localSheetId="8" hidden="1">#REF!</definedName>
    <definedName name="BEx3Q58GA3E2VZFYARH5P3P8STJ3" localSheetId="0" hidden="1">#REF!</definedName>
    <definedName name="BEx3Q58GA3E2VZFYARH5P3P8STJ3" localSheetId="22" hidden="1">#REF!</definedName>
    <definedName name="BEx3Q58GA3E2VZFYARH5P3P8STJ3" hidden="1">#REF!</definedName>
    <definedName name="BEx3R38YXLNQDFK6MYEKKE0L1AK6" localSheetId="7" hidden="1">#REF!</definedName>
    <definedName name="BEx3R38YXLNQDFK6MYEKKE0L1AK6" localSheetId="8" hidden="1">#REF!</definedName>
    <definedName name="BEx3R38YXLNQDFK6MYEKKE0L1AK6" localSheetId="0" hidden="1">#REF!</definedName>
    <definedName name="BEx3R38YXLNQDFK6MYEKKE0L1AK6" localSheetId="22" hidden="1">#REF!</definedName>
    <definedName name="BEx3R38YXLNQDFK6MYEKKE0L1AK6" hidden="1">#REF!</definedName>
    <definedName name="BEx3R3UKZ0W8VNAQUZQ23VQJXAYE" localSheetId="7" hidden="1">#REF!</definedName>
    <definedName name="BEx3R3UKZ0W8VNAQUZQ23VQJXAYE" localSheetId="8" hidden="1">#REF!</definedName>
    <definedName name="BEx3R3UKZ0W8VNAQUZQ23VQJXAYE" localSheetId="0" hidden="1">#REF!</definedName>
    <definedName name="BEx3R3UKZ0W8VNAQUZQ23VQJXAYE" localSheetId="22" hidden="1">#REF!</definedName>
    <definedName name="BEx3R3UKZ0W8VNAQUZQ23VQJXAYE" hidden="1">#REF!</definedName>
    <definedName name="BEx3RRTQZGQBFLT2QK81OSU8L2KL" localSheetId="7" hidden="1">#REF!</definedName>
    <definedName name="BEx3RRTQZGQBFLT2QK81OSU8L2KL" localSheetId="8" hidden="1">#REF!</definedName>
    <definedName name="BEx3RRTQZGQBFLT2QK81OSU8L2KL" localSheetId="0" hidden="1">#REF!</definedName>
    <definedName name="BEx3RRTQZGQBFLT2QK81OSU8L2KL" localSheetId="22" hidden="1">#REF!</definedName>
    <definedName name="BEx3RRTQZGQBFLT2QK81OSU8L2KL" hidden="1">#REF!</definedName>
    <definedName name="BEx3RZRLU0ALXJEMHH4AUF6XFENE" localSheetId="7" hidden="1">#REF!</definedName>
    <definedName name="BEx3RZRLU0ALXJEMHH4AUF6XFENE" localSheetId="8" hidden="1">#REF!</definedName>
    <definedName name="BEx3RZRLU0ALXJEMHH4AUF6XFENE" localSheetId="0" hidden="1">#REF!</definedName>
    <definedName name="BEx3RZRLU0ALXJEMHH4AUF6XFENE" localSheetId="22" hidden="1">#REF!</definedName>
    <definedName name="BEx3RZRLU0ALXJEMHH4AUF6XFENE" hidden="1">#REF!</definedName>
    <definedName name="BEx3SGJT4649KQVIMSVT1NIGYQ2O" localSheetId="7" hidden="1">#REF!</definedName>
    <definedName name="BEx3SGJT4649KQVIMSVT1NIGYQ2O" localSheetId="8" hidden="1">#REF!</definedName>
    <definedName name="BEx3SGJT4649KQVIMSVT1NIGYQ2O" localSheetId="0" hidden="1">#REF!</definedName>
    <definedName name="BEx3SGJT4649KQVIMSVT1NIGYQ2O" localSheetId="22" hidden="1">#REF!</definedName>
    <definedName name="BEx3SGJT4649KQVIMSVT1NIGYQ2O" hidden="1">#REF!</definedName>
    <definedName name="BEx3SRSBB6R9OZUJWQQ7U9YC6H7S" localSheetId="7" hidden="1">#REF!</definedName>
    <definedName name="BEx3SRSBB6R9OZUJWQQ7U9YC6H7S" localSheetId="8" hidden="1">#REF!</definedName>
    <definedName name="BEx3SRSBB6R9OZUJWQQ7U9YC6H7S" localSheetId="0" hidden="1">#REF!</definedName>
    <definedName name="BEx3SRSBB6R9OZUJWQQ7U9YC6H7S" localSheetId="22" hidden="1">#REF!</definedName>
    <definedName name="BEx3SRSBB6R9OZUJWQQ7U9YC6H7S" hidden="1">#REF!</definedName>
    <definedName name="BEx3T0BXISY2B5ITPCUSXFK8Z2T0" localSheetId="7" hidden="1">#REF!</definedName>
    <definedName name="BEx3T0BXISY2B5ITPCUSXFK8Z2T0" localSheetId="8" hidden="1">#REF!</definedName>
    <definedName name="BEx3T0BXISY2B5ITPCUSXFK8Z2T0" localSheetId="0" hidden="1">#REF!</definedName>
    <definedName name="BEx3T0BXISY2B5ITPCUSXFK8Z2T0" localSheetId="22" hidden="1">#REF!</definedName>
    <definedName name="BEx3T0BXISY2B5ITPCUSXFK8Z2T0" hidden="1">#REF!</definedName>
    <definedName name="BEx3T0H8MRQCYUG4XJPAPPP1ALFR" localSheetId="7" hidden="1">#REF!</definedName>
    <definedName name="BEx3T0H8MRQCYUG4XJPAPPP1ALFR" localSheetId="8" hidden="1">#REF!</definedName>
    <definedName name="BEx3T0H8MRQCYUG4XJPAPPP1ALFR" localSheetId="0" hidden="1">#REF!</definedName>
    <definedName name="BEx3T0H8MRQCYUG4XJPAPPP1ALFR" localSheetId="22" hidden="1">#REF!</definedName>
    <definedName name="BEx3T0H8MRQCYUG4XJPAPPP1ALFR" hidden="1">#REF!</definedName>
    <definedName name="BEx3TN998DP2QT7Y11HQ294YGUM6" localSheetId="7" hidden="1">#REF!</definedName>
    <definedName name="BEx3TN998DP2QT7Y11HQ294YGUM6" localSheetId="8" hidden="1">#REF!</definedName>
    <definedName name="BEx3TN998DP2QT7Y11HQ294YGUM6" localSheetId="0" hidden="1">#REF!</definedName>
    <definedName name="BEx3TN998DP2QT7Y11HQ294YGUM6" localSheetId="22" hidden="1">#REF!</definedName>
    <definedName name="BEx3TN998DP2QT7Y11HQ294YGUM6" hidden="1">#REF!</definedName>
    <definedName name="BEx577AWTP9RB5KT0IT37GVSHYD3" localSheetId="7" hidden="1">#REF!</definedName>
    <definedName name="BEx577AWTP9RB5KT0IT37GVSHYD3" localSheetId="8" hidden="1">#REF!</definedName>
    <definedName name="BEx577AWTP9RB5KT0IT37GVSHYD3" localSheetId="0" hidden="1">#REF!</definedName>
    <definedName name="BEx577AWTP9RB5KT0IT37GVSHYD3" localSheetId="22" hidden="1">#REF!</definedName>
    <definedName name="BEx577AWTP9RB5KT0IT37GVSHYD3" hidden="1">#REF!</definedName>
    <definedName name="BEx57JAHMGDF82LJ3ALTJ7B39NWD" localSheetId="7" hidden="1">#REF!</definedName>
    <definedName name="BEx57JAHMGDF82LJ3ALTJ7B39NWD" localSheetId="8" hidden="1">#REF!</definedName>
    <definedName name="BEx57JAHMGDF82LJ3ALTJ7B39NWD" localSheetId="0" hidden="1">#REF!</definedName>
    <definedName name="BEx57JAHMGDF82LJ3ALTJ7B39NWD" localSheetId="22" hidden="1">#REF!</definedName>
    <definedName name="BEx57JAHMGDF82LJ3ALTJ7B39NWD" hidden="1">#REF!</definedName>
    <definedName name="BEx57SA75AY5JB247DBW1TQSKLZ9" localSheetId="7" hidden="1">#REF!</definedName>
    <definedName name="BEx57SA75AY5JB247DBW1TQSKLZ9" localSheetId="8" hidden="1">#REF!</definedName>
    <definedName name="BEx57SA75AY5JB247DBW1TQSKLZ9" localSheetId="0" hidden="1">#REF!</definedName>
    <definedName name="BEx57SA75AY5JB247DBW1TQSKLZ9" localSheetId="22" hidden="1">#REF!</definedName>
    <definedName name="BEx57SA75AY5JB247DBW1TQSKLZ9" hidden="1">#REF!</definedName>
    <definedName name="BEx5862HDRKK9A5W951ZPLYGKI4J" localSheetId="7" hidden="1">#REF!</definedName>
    <definedName name="BEx5862HDRKK9A5W951ZPLYGKI4J" localSheetId="8" hidden="1">#REF!</definedName>
    <definedName name="BEx5862HDRKK9A5W951ZPLYGKI4J" localSheetId="0" hidden="1">#REF!</definedName>
    <definedName name="BEx5862HDRKK9A5W951ZPLYGKI4J" localSheetId="22" hidden="1">#REF!</definedName>
    <definedName name="BEx5862HDRKK9A5W951ZPLYGKI4J" hidden="1">#REF!</definedName>
    <definedName name="BEx58Z550XCJ7WCEA6HMEVVAZP5A" localSheetId="7" hidden="1">#REF!</definedName>
    <definedName name="BEx58Z550XCJ7WCEA6HMEVVAZP5A" localSheetId="8" hidden="1">#REF!</definedName>
    <definedName name="BEx58Z550XCJ7WCEA6HMEVVAZP5A" localSheetId="0" hidden="1">#REF!</definedName>
    <definedName name="BEx58Z550XCJ7WCEA6HMEVVAZP5A" localSheetId="22" hidden="1">#REF!</definedName>
    <definedName name="BEx58Z550XCJ7WCEA6HMEVVAZP5A" hidden="1">#REF!</definedName>
    <definedName name="BEx59GDFJZ0ZJ4MUQEPKQLDF207L" localSheetId="7" hidden="1">#REF!</definedName>
    <definedName name="BEx59GDFJZ0ZJ4MUQEPKQLDF207L" localSheetId="8" hidden="1">#REF!</definedName>
    <definedName name="BEx59GDFJZ0ZJ4MUQEPKQLDF207L" localSheetId="0" hidden="1">#REF!</definedName>
    <definedName name="BEx59GDFJZ0ZJ4MUQEPKQLDF207L" localSheetId="22" hidden="1">#REF!</definedName>
    <definedName name="BEx59GDFJZ0ZJ4MUQEPKQLDF207L" hidden="1">#REF!</definedName>
    <definedName name="BEx59OGQLT7S03BM8OE3KL2230SP" localSheetId="7" hidden="1">#REF!</definedName>
    <definedName name="BEx59OGQLT7S03BM8OE3KL2230SP" localSheetId="8" hidden="1">#REF!</definedName>
    <definedName name="BEx59OGQLT7S03BM8OE3KL2230SP" localSheetId="0" hidden="1">#REF!</definedName>
    <definedName name="BEx59OGQLT7S03BM8OE3KL2230SP" localSheetId="22" hidden="1">#REF!</definedName>
    <definedName name="BEx59OGQLT7S03BM8OE3KL2230SP" hidden="1">#REF!</definedName>
    <definedName name="BEx59QKB3F0ZSWRO8T3M5ZCMTK0X" localSheetId="7" hidden="1">#REF!</definedName>
    <definedName name="BEx59QKB3F0ZSWRO8T3M5ZCMTK0X" localSheetId="8" hidden="1">#REF!</definedName>
    <definedName name="BEx59QKB3F0ZSWRO8T3M5ZCMTK0X" localSheetId="0" hidden="1">#REF!</definedName>
    <definedName name="BEx59QKB3F0ZSWRO8T3M5ZCMTK0X" localSheetId="22" hidden="1">#REF!</definedName>
    <definedName name="BEx59QKB3F0ZSWRO8T3M5ZCMTK0X" hidden="1">#REF!</definedName>
    <definedName name="BEx59XWII6JS1HT1418VE1HDHDRA" localSheetId="7" hidden="1">#REF!</definedName>
    <definedName name="BEx59XWII6JS1HT1418VE1HDHDRA" localSheetId="8" hidden="1">#REF!</definedName>
    <definedName name="BEx59XWII6JS1HT1418VE1HDHDRA" localSheetId="0" hidden="1">#REF!</definedName>
    <definedName name="BEx59XWII6JS1HT1418VE1HDHDRA" localSheetId="22" hidden="1">#REF!</definedName>
    <definedName name="BEx59XWII6JS1HT1418VE1HDHDRA" hidden="1">#REF!</definedName>
    <definedName name="BEx5AB8S2ZYXI52R896Z9U1669M1" localSheetId="7" hidden="1">#REF!</definedName>
    <definedName name="BEx5AB8S2ZYXI52R896Z9U1669M1" localSheetId="8" hidden="1">#REF!</definedName>
    <definedName name="BEx5AB8S2ZYXI52R896Z9U1669M1" localSheetId="0" hidden="1">#REF!</definedName>
    <definedName name="BEx5AB8S2ZYXI52R896Z9U1669M1" localSheetId="22" hidden="1">#REF!</definedName>
    <definedName name="BEx5AB8S2ZYXI52R896Z9U1669M1" hidden="1">#REF!</definedName>
    <definedName name="BEx5AGHHEZYG9FF0SY884LUQIFFT" localSheetId="7" hidden="1">#REF!</definedName>
    <definedName name="BEx5AGHHEZYG9FF0SY884LUQIFFT" localSheetId="8" hidden="1">#REF!</definedName>
    <definedName name="BEx5AGHHEZYG9FF0SY884LUQIFFT" localSheetId="0" hidden="1">#REF!</definedName>
    <definedName name="BEx5AGHHEZYG9FF0SY884LUQIFFT" localSheetId="22" hidden="1">#REF!</definedName>
    <definedName name="BEx5AGHHEZYG9FF0SY884LUQIFFT" hidden="1">#REF!</definedName>
    <definedName name="BEx5AVX8GTF5GSWW9HPC7WO6CSAZ" localSheetId="7" hidden="1">#REF!</definedName>
    <definedName name="BEx5AVX8GTF5GSWW9HPC7WO6CSAZ" localSheetId="8" hidden="1">#REF!</definedName>
    <definedName name="BEx5AVX8GTF5GSWW9HPC7WO6CSAZ" localSheetId="0" hidden="1">#REF!</definedName>
    <definedName name="BEx5AVX8GTF5GSWW9HPC7WO6CSAZ" localSheetId="22" hidden="1">#REF!</definedName>
    <definedName name="BEx5AVX8GTF5GSWW9HPC7WO6CSAZ" hidden="1">#REF!</definedName>
    <definedName name="BEx5AXF71HAVQBJL2TY6WVQR0LLA" localSheetId="7" hidden="1">#REF!</definedName>
    <definedName name="BEx5AXF71HAVQBJL2TY6WVQR0LLA" localSheetId="8" hidden="1">#REF!</definedName>
    <definedName name="BEx5AXF71HAVQBJL2TY6WVQR0LLA" localSheetId="0" hidden="1">#REF!</definedName>
    <definedName name="BEx5AXF71HAVQBJL2TY6WVQR0LLA" localSheetId="22" hidden="1">#REF!</definedName>
    <definedName name="BEx5AXF71HAVQBJL2TY6WVQR0LLA" hidden="1">#REF!</definedName>
    <definedName name="BEx5C7KO889DNC9OX2RFJT8X97OC" localSheetId="7" hidden="1">#REF!</definedName>
    <definedName name="BEx5C7KO889DNC9OX2RFJT8X97OC" localSheetId="8" hidden="1">#REF!</definedName>
    <definedName name="BEx5C7KO889DNC9OX2RFJT8X97OC" localSheetId="0" hidden="1">#REF!</definedName>
    <definedName name="BEx5C7KO889DNC9OX2RFJT8X97OC" localSheetId="22" hidden="1">#REF!</definedName>
    <definedName name="BEx5C7KO889DNC9OX2RFJT8X97OC" hidden="1">#REF!</definedName>
    <definedName name="BEx5CGV5C5LD5SZW1HQYATR3PZW1" localSheetId="7" hidden="1">#REF!</definedName>
    <definedName name="BEx5CGV5C5LD5SZW1HQYATR3PZW1" localSheetId="8" hidden="1">#REF!</definedName>
    <definedName name="BEx5CGV5C5LD5SZW1HQYATR3PZW1" localSheetId="0" hidden="1">#REF!</definedName>
    <definedName name="BEx5CGV5C5LD5SZW1HQYATR3PZW1" localSheetId="22" hidden="1">#REF!</definedName>
    <definedName name="BEx5CGV5C5LD5SZW1HQYATR3PZW1" hidden="1">#REF!</definedName>
    <definedName name="BEx5CHRIWISAWGZYX61UGC3I5MPW" localSheetId="7" hidden="1">[1]ZQZBC_PLN_01_06_N!#REF!</definedName>
    <definedName name="BEx5CHRIWISAWGZYX61UGC3I5MPW" localSheetId="8" hidden="1">[1]ZQZBC_PLN_01_06_N!#REF!</definedName>
    <definedName name="BEx5CHRIWISAWGZYX61UGC3I5MPW" localSheetId="0" hidden="1">[1]ZQZBC_PLN_01_06_N!#REF!</definedName>
    <definedName name="BEx5CHRIWISAWGZYX61UGC3I5MPW" localSheetId="22" hidden="1">[1]ZQZBC_PLN_01_06_N!#REF!</definedName>
    <definedName name="BEx5CHRIWISAWGZYX61UGC3I5MPW" hidden="1">[1]ZQZBC_PLN_01_06_N!#REF!</definedName>
    <definedName name="BEx5CXCJP0NSI1HRWHLBC5OL8KTU" localSheetId="7" hidden="1">[1]ZQBC_PLN_01_03_N!#REF!</definedName>
    <definedName name="BEx5CXCJP0NSI1HRWHLBC5OL8KTU" localSheetId="8" hidden="1">[1]ZQBC_PLN_01_03_N!#REF!</definedName>
    <definedName name="BEx5CXCJP0NSI1HRWHLBC5OL8KTU" localSheetId="0" hidden="1">[1]ZQBC_PLN_01_03_N!#REF!</definedName>
    <definedName name="BEx5CXCJP0NSI1HRWHLBC5OL8KTU" localSheetId="22" hidden="1">[1]ZQBC_PLN_01_03_N!#REF!</definedName>
    <definedName name="BEx5CXCJP0NSI1HRWHLBC5OL8KTU" hidden="1">[1]ZQBC_PLN_01_03_N!#REF!</definedName>
    <definedName name="BEx5D6N1N8R3N5P6KF3KQCG36HE5" localSheetId="7" hidden="1">#REF!</definedName>
    <definedName name="BEx5D6N1N8R3N5P6KF3KQCG36HE5" localSheetId="8" hidden="1">#REF!</definedName>
    <definedName name="BEx5D6N1N8R3N5P6KF3KQCG36HE5" localSheetId="0" hidden="1">#REF!</definedName>
    <definedName name="BEx5D6N1N8R3N5P6KF3KQCG36HE5" localSheetId="22" hidden="1">#REF!</definedName>
    <definedName name="BEx5D6N1N8R3N5P6KF3KQCG36HE5" hidden="1">#REF!</definedName>
    <definedName name="BEx5DCHCU9JR9EVSNYZ48ATUI5WX" localSheetId="7" hidden="1">#REF!</definedName>
    <definedName name="BEx5DCHCU9JR9EVSNYZ48ATUI5WX" localSheetId="8" hidden="1">#REF!</definedName>
    <definedName name="BEx5DCHCU9JR9EVSNYZ48ATUI5WX" localSheetId="0" hidden="1">#REF!</definedName>
    <definedName name="BEx5DCHCU9JR9EVSNYZ48ATUI5WX" localSheetId="22" hidden="1">#REF!</definedName>
    <definedName name="BEx5DCHCU9JR9EVSNYZ48ATUI5WX" hidden="1">#REF!</definedName>
    <definedName name="BEx5DE4R8ZT214VEWH6I31J9ODP1" localSheetId="7" hidden="1">#REF!</definedName>
    <definedName name="BEx5DE4R8ZT214VEWH6I31J9ODP1" localSheetId="8" hidden="1">#REF!</definedName>
    <definedName name="BEx5DE4R8ZT214VEWH6I31J9ODP1" localSheetId="0" hidden="1">#REF!</definedName>
    <definedName name="BEx5DE4R8ZT214VEWH6I31J9ODP1" localSheetId="22" hidden="1">#REF!</definedName>
    <definedName name="BEx5DE4R8ZT214VEWH6I31J9ODP1" hidden="1">#REF!</definedName>
    <definedName name="BEx5DFMPS5X96RJDOCJY23G0L5T4" localSheetId="7" hidden="1">#REF!</definedName>
    <definedName name="BEx5DFMPS5X96RJDOCJY23G0L5T4" localSheetId="8" hidden="1">#REF!</definedName>
    <definedName name="BEx5DFMPS5X96RJDOCJY23G0L5T4" localSheetId="0" hidden="1">#REF!</definedName>
    <definedName name="BEx5DFMPS5X96RJDOCJY23G0L5T4" localSheetId="22" hidden="1">#REF!</definedName>
    <definedName name="BEx5DFMPS5X96RJDOCJY23G0L5T4" hidden="1">#REF!</definedName>
    <definedName name="BEx5DYYLHKHCNBKMYSP0TUJ1QSJQ" localSheetId="7" hidden="1">#REF!</definedName>
    <definedName name="BEx5DYYLHKHCNBKMYSP0TUJ1QSJQ" localSheetId="8" hidden="1">#REF!</definedName>
    <definedName name="BEx5DYYLHKHCNBKMYSP0TUJ1QSJQ" localSheetId="0" hidden="1">#REF!</definedName>
    <definedName name="BEx5DYYLHKHCNBKMYSP0TUJ1QSJQ" localSheetId="22" hidden="1">#REF!</definedName>
    <definedName name="BEx5DYYLHKHCNBKMYSP0TUJ1QSJQ" hidden="1">#REF!</definedName>
    <definedName name="BEx5EB8X1QMUK8A3RJA0NR2IFEF8" localSheetId="7" hidden="1">#REF!</definedName>
    <definedName name="BEx5EB8X1QMUK8A3RJA0NR2IFEF8" localSheetId="8" hidden="1">#REF!</definedName>
    <definedName name="BEx5EB8X1QMUK8A3RJA0NR2IFEF8" localSheetId="0" hidden="1">#REF!</definedName>
    <definedName name="BEx5EB8X1QMUK8A3RJA0NR2IFEF8" localSheetId="22" hidden="1">#REF!</definedName>
    <definedName name="BEx5EB8X1QMUK8A3RJA0NR2IFEF8" hidden="1">#REF!</definedName>
    <definedName name="BEx5EOA86ZTLBOBQ6O0SRXWP9S7C" localSheetId="7" hidden="1">#REF!</definedName>
    <definedName name="BEx5EOA86ZTLBOBQ6O0SRXWP9S7C" localSheetId="8" hidden="1">#REF!</definedName>
    <definedName name="BEx5EOA86ZTLBOBQ6O0SRXWP9S7C" localSheetId="0" hidden="1">#REF!</definedName>
    <definedName name="BEx5EOA86ZTLBOBQ6O0SRXWP9S7C" localSheetId="22" hidden="1">#REF!</definedName>
    <definedName name="BEx5EOA86ZTLBOBQ6O0SRXWP9S7C" hidden="1">#REF!</definedName>
    <definedName name="BEx5EWDIYSY9PGSDBF98H9RCMYGX" localSheetId="7" hidden="1">#REF!</definedName>
    <definedName name="BEx5EWDIYSY9PGSDBF98H9RCMYGX" localSheetId="8" hidden="1">#REF!</definedName>
    <definedName name="BEx5EWDIYSY9PGSDBF98H9RCMYGX" localSheetId="0" hidden="1">#REF!</definedName>
    <definedName name="BEx5EWDIYSY9PGSDBF98H9RCMYGX" localSheetId="22" hidden="1">#REF!</definedName>
    <definedName name="BEx5EWDIYSY9PGSDBF98H9RCMYGX" hidden="1">#REF!</definedName>
    <definedName name="BEx5EYMIRHIZXOWMET7JJ918MHW4" localSheetId="7" hidden="1">#REF!</definedName>
    <definedName name="BEx5EYMIRHIZXOWMET7JJ918MHW4" localSheetId="8" hidden="1">#REF!</definedName>
    <definedName name="BEx5EYMIRHIZXOWMET7JJ918MHW4" localSheetId="0" hidden="1">#REF!</definedName>
    <definedName name="BEx5EYMIRHIZXOWMET7JJ918MHW4" localSheetId="22" hidden="1">#REF!</definedName>
    <definedName name="BEx5EYMIRHIZXOWMET7JJ918MHW4" hidden="1">#REF!</definedName>
    <definedName name="BEx5F1BNSJ89ROV8TQB9SLLMELUX" localSheetId="7" hidden="1">#REF!</definedName>
    <definedName name="BEx5F1BNSJ89ROV8TQB9SLLMELUX" localSheetId="8" hidden="1">#REF!</definedName>
    <definedName name="BEx5F1BNSJ89ROV8TQB9SLLMELUX" localSheetId="0" hidden="1">#REF!</definedName>
    <definedName name="BEx5F1BNSJ89ROV8TQB9SLLMELUX" localSheetId="22" hidden="1">#REF!</definedName>
    <definedName name="BEx5F1BNSJ89ROV8TQB9SLLMELUX" hidden="1">#REF!</definedName>
    <definedName name="BEx5F5D7Z3AZ3S9IXH1FODWIBR68" localSheetId="7" hidden="1">#REF!</definedName>
    <definedName name="BEx5F5D7Z3AZ3S9IXH1FODWIBR68" localSheetId="8" hidden="1">#REF!</definedName>
    <definedName name="BEx5F5D7Z3AZ3S9IXH1FODWIBR68" localSheetId="0" hidden="1">#REF!</definedName>
    <definedName name="BEx5F5D7Z3AZ3S9IXH1FODWIBR68" localSheetId="22" hidden="1">#REF!</definedName>
    <definedName name="BEx5F5D7Z3AZ3S9IXH1FODWIBR68" hidden="1">#REF!</definedName>
    <definedName name="BEx5FBD0PMNMHDQKZ819JIVB3ASX" localSheetId="7" hidden="1">#REF!</definedName>
    <definedName name="BEx5FBD0PMNMHDQKZ819JIVB3ASX" localSheetId="8" hidden="1">#REF!</definedName>
    <definedName name="BEx5FBD0PMNMHDQKZ819JIVB3ASX" localSheetId="0" hidden="1">#REF!</definedName>
    <definedName name="BEx5FBD0PMNMHDQKZ819JIVB3ASX" localSheetId="22" hidden="1">#REF!</definedName>
    <definedName name="BEx5FBD0PMNMHDQKZ819JIVB3ASX" hidden="1">#REF!</definedName>
    <definedName name="BEx5FLEEMZW7NUQC8NSY6T2A2Z59" localSheetId="7" hidden="1">#REF!</definedName>
    <definedName name="BEx5FLEEMZW7NUQC8NSY6T2A2Z59" localSheetId="8" hidden="1">#REF!</definedName>
    <definedName name="BEx5FLEEMZW7NUQC8NSY6T2A2Z59" localSheetId="0" hidden="1">#REF!</definedName>
    <definedName name="BEx5FLEEMZW7NUQC8NSY6T2A2Z59" localSheetId="22" hidden="1">#REF!</definedName>
    <definedName name="BEx5FLEEMZW7NUQC8NSY6T2A2Z59" hidden="1">#REF!</definedName>
    <definedName name="BEx5FRJNRVC8CPJB39KJE6BQ10XL" localSheetId="7" hidden="1">#REF!</definedName>
    <definedName name="BEx5FRJNRVC8CPJB39KJE6BQ10XL" localSheetId="8" hidden="1">#REF!</definedName>
    <definedName name="BEx5FRJNRVC8CPJB39KJE6BQ10XL" localSheetId="0" hidden="1">#REF!</definedName>
    <definedName name="BEx5FRJNRVC8CPJB39KJE6BQ10XL" localSheetId="22" hidden="1">#REF!</definedName>
    <definedName name="BEx5FRJNRVC8CPJB39KJE6BQ10XL" hidden="1">#REF!</definedName>
    <definedName name="BEx5FSW64TA7L06BOFLVWW013BY4" localSheetId="7" hidden="1">#REF!</definedName>
    <definedName name="BEx5FSW64TA7L06BOFLVWW013BY4" localSheetId="8" hidden="1">#REF!</definedName>
    <definedName name="BEx5FSW64TA7L06BOFLVWW013BY4" localSheetId="0" hidden="1">#REF!</definedName>
    <definedName name="BEx5FSW64TA7L06BOFLVWW013BY4" localSheetId="22" hidden="1">#REF!</definedName>
    <definedName name="BEx5FSW64TA7L06BOFLVWW013BY4" hidden="1">#REF!</definedName>
    <definedName name="BEx5G0JCQG7R4GNO578EY5CF2WNR" localSheetId="7" hidden="1">#REF!</definedName>
    <definedName name="BEx5G0JCQG7R4GNO578EY5CF2WNR" localSheetId="8" hidden="1">#REF!</definedName>
    <definedName name="BEx5G0JCQG7R4GNO578EY5CF2WNR" localSheetId="0" hidden="1">#REF!</definedName>
    <definedName name="BEx5G0JCQG7R4GNO578EY5CF2WNR" localSheetId="22" hidden="1">#REF!</definedName>
    <definedName name="BEx5G0JCQG7R4GNO578EY5CF2WNR" hidden="1">#REF!</definedName>
    <definedName name="BEx5GCIXWUWYBRRKNS6SW7MSKVJ9" localSheetId="7" hidden="1">[1]ZQZBC_REG_02_04!#REF!</definedName>
    <definedName name="BEx5GCIXWUWYBRRKNS6SW7MSKVJ9" localSheetId="8" hidden="1">[1]ZQZBC_REG_02_04!#REF!</definedName>
    <definedName name="BEx5GCIXWUWYBRRKNS6SW7MSKVJ9" localSheetId="0" hidden="1">[1]ZQZBC_REG_02_04!#REF!</definedName>
    <definedName name="BEx5GCIXWUWYBRRKNS6SW7MSKVJ9" localSheetId="22" hidden="1">[1]ZQZBC_REG_02_04!#REF!</definedName>
    <definedName name="BEx5GCIXWUWYBRRKNS6SW7MSKVJ9" hidden="1">[1]ZQZBC_REG_02_04!#REF!</definedName>
    <definedName name="BEx5GM47FQDOSQ5WGRIN1R0SEOLK" localSheetId="7" hidden="1">#REF!</definedName>
    <definedName name="BEx5GM47FQDOSQ5WGRIN1R0SEOLK" localSheetId="8" hidden="1">#REF!</definedName>
    <definedName name="BEx5GM47FQDOSQ5WGRIN1R0SEOLK" localSheetId="0" hidden="1">#REF!</definedName>
    <definedName name="BEx5GM47FQDOSQ5WGRIN1R0SEOLK" localSheetId="22" hidden="1">#REF!</definedName>
    <definedName name="BEx5GM47FQDOSQ5WGRIN1R0SEOLK" hidden="1">#REF!</definedName>
    <definedName name="BEx5GTR9OPOVBQ4J2HOD0SU5KWXY" localSheetId="7" hidden="1">#REF!</definedName>
    <definedName name="BEx5GTR9OPOVBQ4J2HOD0SU5KWXY" localSheetId="8" hidden="1">#REF!</definedName>
    <definedName name="BEx5GTR9OPOVBQ4J2HOD0SU5KWXY" localSheetId="0" hidden="1">#REF!</definedName>
    <definedName name="BEx5GTR9OPOVBQ4J2HOD0SU5KWXY" localSheetId="22" hidden="1">#REF!</definedName>
    <definedName name="BEx5GTR9OPOVBQ4J2HOD0SU5KWXY" hidden="1">#REF!</definedName>
    <definedName name="BEx5H61MX1Y5PPT6J1V4BH6YL0N8" localSheetId="7" hidden="1">[1]ZQBC_PLN_01_03_N!#REF!</definedName>
    <definedName name="BEx5H61MX1Y5PPT6J1V4BH6YL0N8" localSheetId="8" hidden="1">[1]ZQBC_PLN_01_03_N!#REF!</definedName>
    <definedName name="BEx5H61MX1Y5PPT6J1V4BH6YL0N8" localSheetId="0" hidden="1">[1]ZQBC_PLN_01_03_N!#REF!</definedName>
    <definedName name="BEx5H61MX1Y5PPT6J1V4BH6YL0N8" localSheetId="22" hidden="1">[1]ZQBC_PLN_01_03_N!#REF!</definedName>
    <definedName name="BEx5H61MX1Y5PPT6J1V4BH6YL0N8" hidden="1">[1]ZQBC_PLN_01_03_N!#REF!</definedName>
    <definedName name="BEx5H8FYO7QVVHOWZ4P3JBUMBYEA" localSheetId="7" hidden="1">#REF!</definedName>
    <definedName name="BEx5H8FYO7QVVHOWZ4P3JBUMBYEA" localSheetId="8" hidden="1">#REF!</definedName>
    <definedName name="BEx5H8FYO7QVVHOWZ4P3JBUMBYEA" localSheetId="0" hidden="1">#REF!</definedName>
    <definedName name="BEx5H8FYO7QVVHOWZ4P3JBUMBYEA" localSheetId="22" hidden="1">#REF!</definedName>
    <definedName name="BEx5H8FYO7QVVHOWZ4P3JBUMBYEA" hidden="1">#REF!</definedName>
    <definedName name="BEx5HEAEICK0UF0TVT8K1A4N5RCU" localSheetId="7" hidden="1">#REF!</definedName>
    <definedName name="BEx5HEAEICK0UF0TVT8K1A4N5RCU" localSheetId="8" hidden="1">#REF!</definedName>
    <definedName name="BEx5HEAEICK0UF0TVT8K1A4N5RCU" localSheetId="0" hidden="1">#REF!</definedName>
    <definedName name="BEx5HEAEICK0UF0TVT8K1A4N5RCU" localSheetId="22" hidden="1">#REF!</definedName>
    <definedName name="BEx5HEAEICK0UF0TVT8K1A4N5RCU" hidden="1">#REF!</definedName>
    <definedName name="BEx5HR0VTNSJYMKXAYNOX1YES8OI" localSheetId="7" hidden="1">#REF!</definedName>
    <definedName name="BEx5HR0VTNSJYMKXAYNOX1YES8OI" localSheetId="8" hidden="1">#REF!</definedName>
    <definedName name="BEx5HR0VTNSJYMKXAYNOX1YES8OI" localSheetId="0" hidden="1">#REF!</definedName>
    <definedName name="BEx5HR0VTNSJYMKXAYNOX1YES8OI" localSheetId="22" hidden="1">#REF!</definedName>
    <definedName name="BEx5HR0VTNSJYMKXAYNOX1YES8OI" hidden="1">#REF!</definedName>
    <definedName name="BEx5I35TILQTCIK986SSI06XGPYY" localSheetId="7" hidden="1">#REF!</definedName>
    <definedName name="BEx5I35TILQTCIK986SSI06XGPYY" localSheetId="8" hidden="1">#REF!</definedName>
    <definedName name="BEx5I35TILQTCIK986SSI06XGPYY" localSheetId="0" hidden="1">#REF!</definedName>
    <definedName name="BEx5I35TILQTCIK986SSI06XGPYY" localSheetId="22" hidden="1">#REF!</definedName>
    <definedName name="BEx5I35TILQTCIK986SSI06XGPYY" hidden="1">#REF!</definedName>
    <definedName name="BEx5I6WSHHZ52M3KEJ3IAI1ZKOMS" localSheetId="7" hidden="1">#REF!</definedName>
    <definedName name="BEx5I6WSHHZ52M3KEJ3IAI1ZKOMS" localSheetId="8" hidden="1">#REF!</definedName>
    <definedName name="BEx5I6WSHHZ52M3KEJ3IAI1ZKOMS" localSheetId="0" hidden="1">#REF!</definedName>
    <definedName name="BEx5I6WSHHZ52M3KEJ3IAI1ZKOMS" localSheetId="22" hidden="1">#REF!</definedName>
    <definedName name="BEx5I6WSHHZ52M3KEJ3IAI1ZKOMS" hidden="1">#REF!</definedName>
    <definedName name="BEx5I898BJP9D67ZHG7097ZPXYAG" localSheetId="7" hidden="1">#REF!</definedName>
    <definedName name="BEx5I898BJP9D67ZHG7097ZPXYAG" localSheetId="8" hidden="1">#REF!</definedName>
    <definedName name="BEx5I898BJP9D67ZHG7097ZPXYAG" localSheetId="0" hidden="1">#REF!</definedName>
    <definedName name="BEx5I898BJP9D67ZHG7097ZPXYAG" localSheetId="22" hidden="1">#REF!</definedName>
    <definedName name="BEx5I898BJP9D67ZHG7097ZPXYAG" hidden="1">#REF!</definedName>
    <definedName name="BEx5IGCK5JSNWJYHV82X8U6TCPFB" localSheetId="7" hidden="1">#REF!</definedName>
    <definedName name="BEx5IGCK5JSNWJYHV82X8U6TCPFB" localSheetId="8" hidden="1">#REF!</definedName>
    <definedName name="BEx5IGCK5JSNWJYHV82X8U6TCPFB" localSheetId="0" hidden="1">#REF!</definedName>
    <definedName name="BEx5IGCK5JSNWJYHV82X8U6TCPFB" localSheetId="22" hidden="1">#REF!</definedName>
    <definedName name="BEx5IGCK5JSNWJYHV82X8U6TCPFB" hidden="1">#REF!</definedName>
    <definedName name="BEx5J8TK6J2UGBW37HI2SCFI4O2E" localSheetId="7" hidden="1">#REF!</definedName>
    <definedName name="BEx5J8TK6J2UGBW37HI2SCFI4O2E" localSheetId="8" hidden="1">#REF!</definedName>
    <definedName name="BEx5J8TK6J2UGBW37HI2SCFI4O2E" localSheetId="0" hidden="1">#REF!</definedName>
    <definedName name="BEx5J8TK6J2UGBW37HI2SCFI4O2E" localSheetId="22" hidden="1">#REF!</definedName>
    <definedName name="BEx5J8TK6J2UGBW37HI2SCFI4O2E" hidden="1">#REF!</definedName>
    <definedName name="BEx5JB2F8WF84L5FQ69JISMHNTVK" localSheetId="7" hidden="1">#REF!</definedName>
    <definedName name="BEx5JB2F8WF84L5FQ69JISMHNTVK" localSheetId="8" hidden="1">#REF!</definedName>
    <definedName name="BEx5JB2F8WF84L5FQ69JISMHNTVK" localSheetId="0" hidden="1">#REF!</definedName>
    <definedName name="BEx5JB2F8WF84L5FQ69JISMHNTVK" localSheetId="22" hidden="1">#REF!</definedName>
    <definedName name="BEx5JB2F8WF84L5FQ69JISMHNTVK" hidden="1">#REF!</definedName>
    <definedName name="BEx5JP5JBXZQ5TXL6H3JHVGPB0GD" localSheetId="7" hidden="1">#REF!</definedName>
    <definedName name="BEx5JP5JBXZQ5TXL6H3JHVGPB0GD" localSheetId="8" hidden="1">#REF!</definedName>
    <definedName name="BEx5JP5JBXZQ5TXL6H3JHVGPB0GD" localSheetId="0" hidden="1">#REF!</definedName>
    <definedName name="BEx5JP5JBXZQ5TXL6H3JHVGPB0GD" localSheetId="22" hidden="1">#REF!</definedName>
    <definedName name="BEx5JP5JBXZQ5TXL6H3JHVGPB0GD" hidden="1">#REF!</definedName>
    <definedName name="BEx5K0JK3E42ZHG1JH7Z7W3RY7DA" localSheetId="7" hidden="1">#REF!</definedName>
    <definedName name="BEx5K0JK3E42ZHG1JH7Z7W3RY7DA" localSheetId="8" hidden="1">#REF!</definedName>
    <definedName name="BEx5K0JK3E42ZHG1JH7Z7W3RY7DA" localSheetId="0" hidden="1">#REF!</definedName>
    <definedName name="BEx5K0JK3E42ZHG1JH7Z7W3RY7DA" localSheetId="22" hidden="1">#REF!</definedName>
    <definedName name="BEx5K0JK3E42ZHG1JH7Z7W3RY7DA" hidden="1">#REF!</definedName>
    <definedName name="BEx5KOYSUSMPMB5VLEMHY0ANORN8" localSheetId="7" hidden="1">#REF!</definedName>
    <definedName name="BEx5KOYSUSMPMB5VLEMHY0ANORN8" localSheetId="8" hidden="1">#REF!</definedName>
    <definedName name="BEx5KOYSUSMPMB5VLEMHY0ANORN8" localSheetId="0" hidden="1">#REF!</definedName>
    <definedName name="BEx5KOYSUSMPMB5VLEMHY0ANORN8" localSheetId="22" hidden="1">#REF!</definedName>
    <definedName name="BEx5KOYSUSMPMB5VLEMHY0ANORN8" hidden="1">#REF!</definedName>
    <definedName name="BEx5L4JWTG16ALFDQDG17M6J4C0F" localSheetId="7" hidden="1">#REF!</definedName>
    <definedName name="BEx5L4JWTG16ALFDQDG17M6J4C0F" localSheetId="8" hidden="1">#REF!</definedName>
    <definedName name="BEx5L4JWTG16ALFDQDG17M6J4C0F" localSheetId="0" hidden="1">#REF!</definedName>
    <definedName name="BEx5L4JWTG16ALFDQDG17M6J4C0F" localSheetId="22" hidden="1">#REF!</definedName>
    <definedName name="BEx5L4JWTG16ALFDQDG17M6J4C0F" hidden="1">#REF!</definedName>
    <definedName name="BEx5LELEEAICA4KFUKGOPOIKL9NR" localSheetId="7" hidden="1">#REF!</definedName>
    <definedName name="BEx5LELEEAICA4KFUKGOPOIKL9NR" localSheetId="8" hidden="1">#REF!</definedName>
    <definedName name="BEx5LELEEAICA4KFUKGOPOIKL9NR" localSheetId="0" hidden="1">#REF!</definedName>
    <definedName name="BEx5LELEEAICA4KFUKGOPOIKL9NR" localSheetId="22" hidden="1">#REF!</definedName>
    <definedName name="BEx5LELEEAICA4KFUKGOPOIKL9NR" hidden="1">#REF!</definedName>
    <definedName name="BEx5MO59P5WWA0CCBUQJN78E9O34" localSheetId="7" hidden="1">#REF!</definedName>
    <definedName name="BEx5MO59P5WWA0CCBUQJN78E9O34" localSheetId="8" hidden="1">#REF!</definedName>
    <definedName name="BEx5MO59P5WWA0CCBUQJN78E9O34" localSheetId="0" hidden="1">#REF!</definedName>
    <definedName name="BEx5MO59P5WWA0CCBUQJN78E9O34" localSheetId="22" hidden="1">#REF!</definedName>
    <definedName name="BEx5MO59P5WWA0CCBUQJN78E9O34" hidden="1">#REF!</definedName>
    <definedName name="BEx5N2Z8YJQ1G8EVUKDSPBNEAKJW" localSheetId="7" hidden="1">#REF!</definedName>
    <definedName name="BEx5N2Z8YJQ1G8EVUKDSPBNEAKJW" localSheetId="8" hidden="1">#REF!</definedName>
    <definedName name="BEx5N2Z8YJQ1G8EVUKDSPBNEAKJW" localSheetId="0" hidden="1">#REF!</definedName>
    <definedName name="BEx5N2Z8YJQ1G8EVUKDSPBNEAKJW" localSheetId="22" hidden="1">#REF!</definedName>
    <definedName name="BEx5N2Z8YJQ1G8EVUKDSPBNEAKJW" hidden="1">#REF!</definedName>
    <definedName name="BEx5N4BWM2LYG4WNE87UGZ9BH1I5" localSheetId="7" hidden="1">#REF!</definedName>
    <definedName name="BEx5N4BWM2LYG4WNE87UGZ9BH1I5" localSheetId="8" hidden="1">#REF!</definedName>
    <definedName name="BEx5N4BWM2LYG4WNE87UGZ9BH1I5" localSheetId="0" hidden="1">#REF!</definedName>
    <definedName name="BEx5N4BWM2LYG4WNE87UGZ9BH1I5" localSheetId="22" hidden="1">#REF!</definedName>
    <definedName name="BEx5N4BWM2LYG4WNE87UGZ9BH1I5" hidden="1">#REF!</definedName>
    <definedName name="BEx5NRK15YJIY23N8U2MFMYSEQA7" localSheetId="7" hidden="1">#REF!</definedName>
    <definedName name="BEx5NRK15YJIY23N8U2MFMYSEQA7" localSheetId="8" hidden="1">#REF!</definedName>
    <definedName name="BEx5NRK15YJIY23N8U2MFMYSEQA7" localSheetId="0" hidden="1">#REF!</definedName>
    <definedName name="BEx5NRK15YJIY23N8U2MFMYSEQA7" localSheetId="22" hidden="1">#REF!</definedName>
    <definedName name="BEx5NRK15YJIY23N8U2MFMYSEQA7" hidden="1">#REF!</definedName>
    <definedName name="BEx5OK6DC16CM7OWKQXLV44ZK9IR" localSheetId="7" hidden="1">#REF!</definedName>
    <definedName name="BEx5OK6DC16CM7OWKQXLV44ZK9IR" localSheetId="8" hidden="1">#REF!</definedName>
    <definedName name="BEx5OK6DC16CM7OWKQXLV44ZK9IR" localSheetId="0" hidden="1">#REF!</definedName>
    <definedName name="BEx5OK6DC16CM7OWKQXLV44ZK9IR" localSheetId="22" hidden="1">#REF!</definedName>
    <definedName name="BEx5OK6DC16CM7OWKQXLV44ZK9IR" hidden="1">#REF!</definedName>
    <definedName name="BEx5ONBPFMS4SCSLB6KPCHJ0AWTP" localSheetId="7" hidden="1">#REF!</definedName>
    <definedName name="BEx5ONBPFMS4SCSLB6KPCHJ0AWTP" localSheetId="8" hidden="1">#REF!</definedName>
    <definedName name="BEx5ONBPFMS4SCSLB6KPCHJ0AWTP" localSheetId="0" hidden="1">#REF!</definedName>
    <definedName name="BEx5ONBPFMS4SCSLB6KPCHJ0AWTP" localSheetId="22" hidden="1">#REF!</definedName>
    <definedName name="BEx5ONBPFMS4SCSLB6KPCHJ0AWTP" hidden="1">#REF!</definedName>
    <definedName name="BEx5ONXAE0DMRG4WQ9DTBNC59T1N" localSheetId="7" hidden="1">#REF!</definedName>
    <definedName name="BEx5ONXAE0DMRG4WQ9DTBNC59T1N" localSheetId="8" hidden="1">#REF!</definedName>
    <definedName name="BEx5ONXAE0DMRG4WQ9DTBNC59T1N" localSheetId="0" hidden="1">#REF!</definedName>
    <definedName name="BEx5ONXAE0DMRG4WQ9DTBNC59T1N" localSheetId="22" hidden="1">#REF!</definedName>
    <definedName name="BEx5ONXAE0DMRG4WQ9DTBNC59T1N" hidden="1">#REF!</definedName>
    <definedName name="BEx5OR7ZRGHEZGRPE2M6L03SBJPM" localSheetId="7" hidden="1">#REF!</definedName>
    <definedName name="BEx5OR7ZRGHEZGRPE2M6L03SBJPM" localSheetId="8" hidden="1">#REF!</definedName>
    <definedName name="BEx5OR7ZRGHEZGRPE2M6L03SBJPM" localSheetId="0" hidden="1">#REF!</definedName>
    <definedName name="BEx5OR7ZRGHEZGRPE2M6L03SBJPM" localSheetId="22" hidden="1">#REF!</definedName>
    <definedName name="BEx5OR7ZRGHEZGRPE2M6L03SBJPM" hidden="1">#REF!</definedName>
    <definedName name="BEx5P91WJTN8QGJ866QZ3F1M6SNA" localSheetId="7" hidden="1">#REF!</definedName>
    <definedName name="BEx5P91WJTN8QGJ866QZ3F1M6SNA" localSheetId="8" hidden="1">#REF!</definedName>
    <definedName name="BEx5P91WJTN8QGJ866QZ3F1M6SNA" localSheetId="0" hidden="1">#REF!</definedName>
    <definedName name="BEx5P91WJTN8QGJ866QZ3F1M6SNA" localSheetId="22" hidden="1">#REF!</definedName>
    <definedName name="BEx5P91WJTN8QGJ866QZ3F1M6SNA" hidden="1">#REF!</definedName>
    <definedName name="BEx5PB5F014M1BTQWCPT2UOXBXRT" localSheetId="7" hidden="1">#REF!</definedName>
    <definedName name="BEx5PB5F014M1BTQWCPT2UOXBXRT" localSheetId="8" hidden="1">#REF!</definedName>
    <definedName name="BEx5PB5F014M1BTQWCPT2UOXBXRT" localSheetId="0" hidden="1">#REF!</definedName>
    <definedName name="BEx5PB5F014M1BTQWCPT2UOXBXRT" localSheetId="22" hidden="1">#REF!</definedName>
    <definedName name="BEx5PB5F014M1BTQWCPT2UOXBXRT" hidden="1">#REF!</definedName>
    <definedName name="BEx5PNFTCHG9FM0BPRC20G3CJ09M" localSheetId="7" hidden="1">#REF!</definedName>
    <definedName name="BEx5PNFTCHG9FM0BPRC20G3CJ09M" localSheetId="8" hidden="1">#REF!</definedName>
    <definedName name="BEx5PNFTCHG9FM0BPRC20G3CJ09M" localSheetId="0" hidden="1">#REF!</definedName>
    <definedName name="BEx5PNFTCHG9FM0BPRC20G3CJ09M" localSheetId="22" hidden="1">#REF!</definedName>
    <definedName name="BEx5PNFTCHG9FM0BPRC20G3CJ09M" hidden="1">#REF!</definedName>
    <definedName name="BEx5PV309UV13TA0A7SGNBYR9K15" localSheetId="7" hidden="1">#REF!</definedName>
    <definedName name="BEx5PV309UV13TA0A7SGNBYR9K15" localSheetId="8" hidden="1">#REF!</definedName>
    <definedName name="BEx5PV309UV13TA0A7SGNBYR9K15" localSheetId="0" hidden="1">#REF!</definedName>
    <definedName name="BEx5PV309UV13TA0A7SGNBYR9K15" localSheetId="22" hidden="1">#REF!</definedName>
    <definedName name="BEx5PV309UV13TA0A7SGNBYR9K15" hidden="1">#REF!</definedName>
    <definedName name="BEx5PZQ52UBTXI53RWCO5AJTC8PN" localSheetId="7" hidden="1">#REF!</definedName>
    <definedName name="BEx5PZQ52UBTXI53RWCO5AJTC8PN" localSheetId="8" hidden="1">#REF!</definedName>
    <definedName name="BEx5PZQ52UBTXI53RWCO5AJTC8PN" localSheetId="0" hidden="1">#REF!</definedName>
    <definedName name="BEx5PZQ52UBTXI53RWCO5AJTC8PN" localSheetId="22" hidden="1">#REF!</definedName>
    <definedName name="BEx5PZQ52UBTXI53RWCO5AJTC8PN" hidden="1">#REF!</definedName>
    <definedName name="BEx5RG6CWHJK87HMTGHQ3BLB32WJ" localSheetId="7" hidden="1">#REF!</definedName>
    <definedName name="BEx5RG6CWHJK87HMTGHQ3BLB32WJ" localSheetId="8" hidden="1">#REF!</definedName>
    <definedName name="BEx5RG6CWHJK87HMTGHQ3BLB32WJ" localSheetId="0" hidden="1">#REF!</definedName>
    <definedName name="BEx5RG6CWHJK87HMTGHQ3BLB32WJ" localSheetId="22" hidden="1">#REF!</definedName>
    <definedName name="BEx5RG6CWHJK87HMTGHQ3BLB32WJ" hidden="1">#REF!</definedName>
    <definedName name="BEx73YWN8ENJTFR6NJ1IBTAH0HB5" localSheetId="7" hidden="1">#REF!</definedName>
    <definedName name="BEx73YWN8ENJTFR6NJ1IBTAH0HB5" localSheetId="8" hidden="1">#REF!</definedName>
    <definedName name="BEx73YWN8ENJTFR6NJ1IBTAH0HB5" localSheetId="0" hidden="1">#REF!</definedName>
    <definedName name="BEx73YWN8ENJTFR6NJ1IBTAH0HB5" localSheetId="22" hidden="1">#REF!</definedName>
    <definedName name="BEx73YWN8ENJTFR6NJ1IBTAH0HB5" hidden="1">#REF!</definedName>
    <definedName name="BEx75262ODJ8IEZ310LOI4HCAZ6D" localSheetId="7" hidden="1">#REF!</definedName>
    <definedName name="BEx75262ODJ8IEZ310LOI4HCAZ6D" localSheetId="8" hidden="1">#REF!</definedName>
    <definedName name="BEx75262ODJ8IEZ310LOI4HCAZ6D" localSheetId="0" hidden="1">#REF!</definedName>
    <definedName name="BEx75262ODJ8IEZ310LOI4HCAZ6D" localSheetId="22" hidden="1">#REF!</definedName>
    <definedName name="BEx75262ODJ8IEZ310LOI4HCAZ6D" hidden="1">#REF!</definedName>
    <definedName name="BEx759D26E46YIRTFFPTPTT2V1NC" localSheetId="7" hidden="1">#REF!</definedName>
    <definedName name="BEx759D26E46YIRTFFPTPTT2V1NC" localSheetId="8" hidden="1">#REF!</definedName>
    <definedName name="BEx759D26E46YIRTFFPTPTT2V1NC" localSheetId="0" hidden="1">#REF!</definedName>
    <definedName name="BEx759D26E46YIRTFFPTPTT2V1NC" localSheetId="22" hidden="1">#REF!</definedName>
    <definedName name="BEx759D26E46YIRTFFPTPTT2V1NC" hidden="1">#REF!</definedName>
    <definedName name="BEx76KKCYTTLKPNX4GQS5I8TO92F" localSheetId="7" hidden="1">#REF!</definedName>
    <definedName name="BEx76KKCYTTLKPNX4GQS5I8TO92F" localSheetId="8" hidden="1">#REF!</definedName>
    <definedName name="BEx76KKCYTTLKPNX4GQS5I8TO92F" localSheetId="0" hidden="1">#REF!</definedName>
    <definedName name="BEx76KKCYTTLKPNX4GQS5I8TO92F" localSheetId="22" hidden="1">#REF!</definedName>
    <definedName name="BEx76KKCYTTLKPNX4GQS5I8TO92F" hidden="1">#REF!</definedName>
    <definedName name="BEx76TK0AXZO9PBDLJIGH3WNKI84" localSheetId="7" hidden="1">#REF!</definedName>
    <definedName name="BEx76TK0AXZO9PBDLJIGH3WNKI84" localSheetId="8" hidden="1">#REF!</definedName>
    <definedName name="BEx76TK0AXZO9PBDLJIGH3WNKI84" localSheetId="0" hidden="1">#REF!</definedName>
    <definedName name="BEx76TK0AXZO9PBDLJIGH3WNKI84" localSheetId="22" hidden="1">#REF!</definedName>
    <definedName name="BEx76TK0AXZO9PBDLJIGH3WNKI84" hidden="1">#REF!</definedName>
    <definedName name="BEx771SSXSI588G8HF38L6GDL00G" localSheetId="7" hidden="1">#REF!</definedName>
    <definedName name="BEx771SSXSI588G8HF38L6GDL00G" localSheetId="8" hidden="1">#REF!</definedName>
    <definedName name="BEx771SSXSI588G8HF38L6GDL00G" localSheetId="0" hidden="1">#REF!</definedName>
    <definedName name="BEx771SSXSI588G8HF38L6GDL00G" localSheetId="22" hidden="1">#REF!</definedName>
    <definedName name="BEx771SSXSI588G8HF38L6GDL00G" hidden="1">#REF!</definedName>
    <definedName name="BEx77TTJYNS6TPSI75BIWH4M7S4Y" localSheetId="7" hidden="1">#REF!</definedName>
    <definedName name="BEx77TTJYNS6TPSI75BIWH4M7S4Y" localSheetId="8" hidden="1">#REF!</definedName>
    <definedName name="BEx77TTJYNS6TPSI75BIWH4M7S4Y" localSheetId="0" hidden="1">#REF!</definedName>
    <definedName name="BEx77TTJYNS6TPSI75BIWH4M7S4Y" localSheetId="22" hidden="1">#REF!</definedName>
    <definedName name="BEx77TTJYNS6TPSI75BIWH4M7S4Y" hidden="1">#REF!</definedName>
    <definedName name="BEx77UV9C664UJ5IVC1UIHNHFGVF" localSheetId="7" hidden="1">#REF!</definedName>
    <definedName name="BEx77UV9C664UJ5IVC1UIHNHFGVF" localSheetId="8" hidden="1">#REF!</definedName>
    <definedName name="BEx77UV9C664UJ5IVC1UIHNHFGVF" localSheetId="0" hidden="1">#REF!</definedName>
    <definedName name="BEx77UV9C664UJ5IVC1UIHNHFGVF" localSheetId="22" hidden="1">#REF!</definedName>
    <definedName name="BEx77UV9C664UJ5IVC1UIHNHFGVF" hidden="1">#REF!</definedName>
    <definedName name="BEx7809FXG0OGVTGRHA9W8KVZDX9" localSheetId="7" hidden="1">#REF!</definedName>
    <definedName name="BEx7809FXG0OGVTGRHA9W8KVZDX9" localSheetId="8" hidden="1">#REF!</definedName>
    <definedName name="BEx7809FXG0OGVTGRHA9W8KVZDX9" localSheetId="0" hidden="1">#REF!</definedName>
    <definedName name="BEx7809FXG0OGVTGRHA9W8KVZDX9" localSheetId="22" hidden="1">#REF!</definedName>
    <definedName name="BEx7809FXG0OGVTGRHA9W8KVZDX9" hidden="1">#REF!</definedName>
    <definedName name="BEx781M34BS66TJ0X6Q45BD61CR3" localSheetId="7" hidden="1">#REF!</definedName>
    <definedName name="BEx781M34BS66TJ0X6Q45BD61CR3" localSheetId="8" hidden="1">#REF!</definedName>
    <definedName name="BEx781M34BS66TJ0X6Q45BD61CR3" localSheetId="0" hidden="1">#REF!</definedName>
    <definedName name="BEx781M34BS66TJ0X6Q45BD61CR3" localSheetId="22" hidden="1">#REF!</definedName>
    <definedName name="BEx781M34BS66TJ0X6Q45BD61CR3" hidden="1">#REF!</definedName>
    <definedName name="BEx79I23NWSY7O39JF9L6HV2AA69" localSheetId="7" hidden="1">#REF!</definedName>
    <definedName name="BEx79I23NWSY7O39JF9L6HV2AA69" localSheetId="8" hidden="1">#REF!</definedName>
    <definedName name="BEx79I23NWSY7O39JF9L6HV2AA69" localSheetId="0" hidden="1">#REF!</definedName>
    <definedName name="BEx79I23NWSY7O39JF9L6HV2AA69" localSheetId="22" hidden="1">#REF!</definedName>
    <definedName name="BEx79I23NWSY7O39JF9L6HV2AA69" hidden="1">#REF!</definedName>
    <definedName name="BEx79LSWPLVZG6AVWXT2U4UD2LWE" localSheetId="7" hidden="1">[1]ZQZBC_REG_02_04!#REF!</definedName>
    <definedName name="BEx79LSWPLVZG6AVWXT2U4UD2LWE" localSheetId="8" hidden="1">[1]ZQZBC_REG_02_04!#REF!</definedName>
    <definedName name="BEx79LSWPLVZG6AVWXT2U4UD2LWE" localSheetId="0" hidden="1">[1]ZQZBC_REG_02_04!#REF!</definedName>
    <definedName name="BEx79LSWPLVZG6AVWXT2U4UD2LWE" localSheetId="22" hidden="1">[1]ZQZBC_REG_02_04!#REF!</definedName>
    <definedName name="BEx79LSWPLVZG6AVWXT2U4UD2LWE" hidden="1">[1]ZQZBC_REG_02_04!#REF!</definedName>
    <definedName name="BEx79P3LD0VU95LB75HZDOBD728T" localSheetId="7" hidden="1">#REF!</definedName>
    <definedName name="BEx79P3LD0VU95LB75HZDOBD728T" localSheetId="8" hidden="1">#REF!</definedName>
    <definedName name="BEx79P3LD0VU95LB75HZDOBD728T" localSheetId="0" hidden="1">#REF!</definedName>
    <definedName name="BEx79P3LD0VU95LB75HZDOBD728T" localSheetId="22" hidden="1">#REF!</definedName>
    <definedName name="BEx79P3LD0VU95LB75HZDOBD728T" hidden="1">#REF!</definedName>
    <definedName name="BEx7AD896KXVUIDJQHJAVECPL0U7" localSheetId="7" hidden="1">[1]ZQBC_PLN_01_03_N!#REF!</definedName>
    <definedName name="BEx7AD896KXVUIDJQHJAVECPL0U7" localSheetId="8" hidden="1">[1]ZQBC_PLN_01_03_N!#REF!</definedName>
    <definedName name="BEx7AD896KXVUIDJQHJAVECPL0U7" localSheetId="0" hidden="1">[1]ZQBC_PLN_01_03_N!#REF!</definedName>
    <definedName name="BEx7AD896KXVUIDJQHJAVECPL0U7" localSheetId="22" hidden="1">[1]ZQBC_PLN_01_03_N!#REF!</definedName>
    <definedName name="BEx7AD896KXVUIDJQHJAVECPL0U7" hidden="1">[1]ZQBC_PLN_01_03_N!#REF!</definedName>
    <definedName name="BEx7ADODDE6JWHZJTXMZ1B4O4SBT" localSheetId="7" hidden="1">#REF!</definedName>
    <definedName name="BEx7ADODDE6JWHZJTXMZ1B4O4SBT" localSheetId="8" hidden="1">#REF!</definedName>
    <definedName name="BEx7ADODDE6JWHZJTXMZ1B4O4SBT" localSheetId="0" hidden="1">#REF!</definedName>
    <definedName name="BEx7ADODDE6JWHZJTXMZ1B4O4SBT" localSheetId="22" hidden="1">#REF!</definedName>
    <definedName name="BEx7ADODDE6JWHZJTXMZ1B4O4SBT" hidden="1">#REF!</definedName>
    <definedName name="BEx7AMTIU5EFIKBKTG4RK77XZKPA" localSheetId="7" hidden="1">#REF!</definedName>
    <definedName name="BEx7AMTIU5EFIKBKTG4RK77XZKPA" localSheetId="8" hidden="1">#REF!</definedName>
    <definedName name="BEx7AMTIU5EFIKBKTG4RK77XZKPA" localSheetId="0" hidden="1">#REF!</definedName>
    <definedName name="BEx7AMTIU5EFIKBKTG4RK77XZKPA" localSheetId="22" hidden="1">#REF!</definedName>
    <definedName name="BEx7AMTIU5EFIKBKTG4RK77XZKPA" hidden="1">#REF!</definedName>
    <definedName name="BEx7AY21FW2F1MCM9KPLOWB6SCHP" localSheetId="7" hidden="1">#REF!</definedName>
    <definedName name="BEx7AY21FW2F1MCM9KPLOWB6SCHP" localSheetId="8" hidden="1">#REF!</definedName>
    <definedName name="BEx7AY21FW2F1MCM9KPLOWB6SCHP" localSheetId="0" hidden="1">#REF!</definedName>
    <definedName name="BEx7AY21FW2F1MCM9KPLOWB6SCHP" localSheetId="22" hidden="1">#REF!</definedName>
    <definedName name="BEx7AY21FW2F1MCM9KPLOWB6SCHP" hidden="1">#REF!</definedName>
    <definedName name="BEx7B1YB2R24LSVC51Y2T3HJT43J" localSheetId="7" hidden="1">[1]ZQBC_PLN_01_03_N!#REF!</definedName>
    <definedName name="BEx7B1YB2R24LSVC51Y2T3HJT43J" localSheetId="8" hidden="1">[1]ZQBC_PLN_01_03_N!#REF!</definedName>
    <definedName name="BEx7B1YB2R24LSVC51Y2T3HJT43J" localSheetId="0" hidden="1">[1]ZQBC_PLN_01_03_N!#REF!</definedName>
    <definedName name="BEx7B1YB2R24LSVC51Y2T3HJT43J" localSheetId="22" hidden="1">[1]ZQBC_PLN_01_03_N!#REF!</definedName>
    <definedName name="BEx7B1YB2R24LSVC51Y2T3HJT43J" hidden="1">[1]ZQBC_PLN_01_03_N!#REF!</definedName>
    <definedName name="BEx7BM182B3OS37J9XFAWW1OPNNL" localSheetId="7" hidden="1">#REF!</definedName>
    <definedName name="BEx7BM182B3OS37J9XFAWW1OPNNL" localSheetId="8" hidden="1">#REF!</definedName>
    <definedName name="BEx7BM182B3OS37J9XFAWW1OPNNL" localSheetId="0" hidden="1">#REF!</definedName>
    <definedName name="BEx7BM182B3OS37J9XFAWW1OPNNL" localSheetId="22" hidden="1">#REF!</definedName>
    <definedName name="BEx7BM182B3OS37J9XFAWW1OPNNL" hidden="1">#REF!</definedName>
    <definedName name="BEx7CAB0SE4KI9LM0WH3QEU4MBOV" localSheetId="7" hidden="1">#REF!</definedName>
    <definedName name="BEx7CAB0SE4KI9LM0WH3QEU4MBOV" localSheetId="8" hidden="1">#REF!</definedName>
    <definedName name="BEx7CAB0SE4KI9LM0WH3QEU4MBOV" localSheetId="0" hidden="1">#REF!</definedName>
    <definedName name="BEx7CAB0SE4KI9LM0WH3QEU4MBOV" localSheetId="22" hidden="1">#REF!</definedName>
    <definedName name="BEx7CAB0SE4KI9LM0WH3QEU4MBOV" hidden="1">#REF!</definedName>
    <definedName name="BEx7DOCWEVFL33G21XPYE8OHDYH1" localSheetId="7" hidden="1">#REF!</definedName>
    <definedName name="BEx7DOCWEVFL33G21XPYE8OHDYH1" localSheetId="8" hidden="1">#REF!</definedName>
    <definedName name="BEx7DOCWEVFL33G21XPYE8OHDYH1" localSheetId="0" hidden="1">#REF!</definedName>
    <definedName name="BEx7DOCWEVFL33G21XPYE8OHDYH1" localSheetId="22" hidden="1">#REF!</definedName>
    <definedName name="BEx7DOCWEVFL33G21XPYE8OHDYH1" hidden="1">#REF!</definedName>
    <definedName name="BEx7DWQZUDNCKJD7VAYS1OF6GO6F" localSheetId="7" hidden="1">#REF!</definedName>
    <definedName name="BEx7DWQZUDNCKJD7VAYS1OF6GO6F" localSheetId="8" hidden="1">#REF!</definedName>
    <definedName name="BEx7DWQZUDNCKJD7VAYS1OF6GO6F" localSheetId="0" hidden="1">#REF!</definedName>
    <definedName name="BEx7DWQZUDNCKJD7VAYS1OF6GO6F" localSheetId="22" hidden="1">#REF!</definedName>
    <definedName name="BEx7DWQZUDNCKJD7VAYS1OF6GO6F" hidden="1">#REF!</definedName>
    <definedName name="BEx7EF15SEK92OSBPPT39TW3ETOH" localSheetId="7" hidden="1">#REF!</definedName>
    <definedName name="BEx7EF15SEK92OSBPPT39TW3ETOH" localSheetId="8" hidden="1">#REF!</definedName>
    <definedName name="BEx7EF15SEK92OSBPPT39TW3ETOH" localSheetId="0" hidden="1">#REF!</definedName>
    <definedName name="BEx7EF15SEK92OSBPPT39TW3ETOH" localSheetId="22" hidden="1">#REF!</definedName>
    <definedName name="BEx7EF15SEK92OSBPPT39TW3ETOH" hidden="1">#REF!</definedName>
    <definedName name="BEx7EMDFZVNG0CI6XDF0XLVN2YYP" localSheetId="7" hidden="1">#REF!</definedName>
    <definedName name="BEx7EMDFZVNG0CI6XDF0XLVN2YYP" localSheetId="8" hidden="1">#REF!</definedName>
    <definedName name="BEx7EMDFZVNG0CI6XDF0XLVN2YYP" localSheetId="0" hidden="1">#REF!</definedName>
    <definedName name="BEx7EMDFZVNG0CI6XDF0XLVN2YYP" localSheetId="22" hidden="1">#REF!</definedName>
    <definedName name="BEx7EMDFZVNG0CI6XDF0XLVN2YYP" hidden="1">#REF!</definedName>
    <definedName name="BEx7F4NLBXDYNEG2ACHXRYHNVZLH" localSheetId="7" hidden="1">#REF!</definedName>
    <definedName name="BEx7F4NLBXDYNEG2ACHXRYHNVZLH" localSheetId="8" hidden="1">#REF!</definedName>
    <definedName name="BEx7F4NLBXDYNEG2ACHXRYHNVZLH" localSheetId="0" hidden="1">#REF!</definedName>
    <definedName name="BEx7F4NLBXDYNEG2ACHXRYHNVZLH" localSheetId="22" hidden="1">#REF!</definedName>
    <definedName name="BEx7F4NLBXDYNEG2ACHXRYHNVZLH" hidden="1">#REF!</definedName>
    <definedName name="BEx7F7CQJ5U6TAAGWPCKW7OEOF7H" localSheetId="7" hidden="1">#REF!</definedName>
    <definedName name="BEx7F7CQJ5U6TAAGWPCKW7OEOF7H" localSheetId="8" hidden="1">#REF!</definedName>
    <definedName name="BEx7F7CQJ5U6TAAGWPCKW7OEOF7H" localSheetId="0" hidden="1">#REF!</definedName>
    <definedName name="BEx7F7CQJ5U6TAAGWPCKW7OEOF7H" localSheetId="22" hidden="1">#REF!</definedName>
    <definedName name="BEx7F7CQJ5U6TAAGWPCKW7OEOF7H" hidden="1">#REF!</definedName>
    <definedName name="BEx7FMC5NOFD7ZS6KOSC48N8YQWG" localSheetId="7" hidden="1">#REF!</definedName>
    <definedName name="BEx7FMC5NOFD7ZS6KOSC48N8YQWG" localSheetId="8" hidden="1">#REF!</definedName>
    <definedName name="BEx7FMC5NOFD7ZS6KOSC48N8YQWG" localSheetId="0" hidden="1">#REF!</definedName>
    <definedName name="BEx7FMC5NOFD7ZS6KOSC48N8YQWG" localSheetId="22" hidden="1">#REF!</definedName>
    <definedName name="BEx7FMC5NOFD7ZS6KOSC48N8YQWG" hidden="1">#REF!</definedName>
    <definedName name="BEx7FSXJXAFU0GFEOF8OBF16KXF6" localSheetId="7" hidden="1">[1]ZQBC_PLN_01_03_N!#REF!</definedName>
    <definedName name="BEx7FSXJXAFU0GFEOF8OBF16KXF6" localSheetId="8" hidden="1">[1]ZQBC_PLN_01_03_N!#REF!</definedName>
    <definedName name="BEx7FSXJXAFU0GFEOF8OBF16KXF6" localSheetId="0" hidden="1">[1]ZQBC_PLN_01_03_N!#REF!</definedName>
    <definedName name="BEx7FSXJXAFU0GFEOF8OBF16KXF6" localSheetId="22" hidden="1">[1]ZQBC_PLN_01_03_N!#REF!</definedName>
    <definedName name="BEx7FSXJXAFU0GFEOF8OBF16KXF6" hidden="1">[1]ZQBC_PLN_01_03_N!#REF!</definedName>
    <definedName name="BEx7FYMJY7MDGMDXB1ZJVW35MQG1" localSheetId="7" hidden="1">#REF!</definedName>
    <definedName name="BEx7FYMJY7MDGMDXB1ZJVW35MQG1" localSheetId="8" hidden="1">#REF!</definedName>
    <definedName name="BEx7FYMJY7MDGMDXB1ZJVW35MQG1" localSheetId="0" hidden="1">#REF!</definedName>
    <definedName name="BEx7FYMJY7MDGMDXB1ZJVW35MQG1" localSheetId="22" hidden="1">#REF!</definedName>
    <definedName name="BEx7FYMJY7MDGMDXB1ZJVW35MQG1" hidden="1">#REF!</definedName>
    <definedName name="BEx7FZTQB6JFDFCIA7I3ITZLZ77G" localSheetId="7" hidden="1">#REF!</definedName>
    <definedName name="BEx7FZTQB6JFDFCIA7I3ITZLZ77G" localSheetId="8" hidden="1">#REF!</definedName>
    <definedName name="BEx7FZTQB6JFDFCIA7I3ITZLZ77G" localSheetId="0" hidden="1">#REF!</definedName>
    <definedName name="BEx7FZTQB6JFDFCIA7I3ITZLZ77G" localSheetId="22" hidden="1">#REF!</definedName>
    <definedName name="BEx7FZTQB6JFDFCIA7I3ITZLZ77G" hidden="1">#REF!</definedName>
    <definedName name="BEx7HITIHHI9ODLIPYQ2U39LHC6T" localSheetId="7" hidden="1">#REF!</definedName>
    <definedName name="BEx7HITIHHI9ODLIPYQ2U39LHC6T" localSheetId="8" hidden="1">#REF!</definedName>
    <definedName name="BEx7HITIHHI9ODLIPYQ2U39LHC6T" localSheetId="0" hidden="1">#REF!</definedName>
    <definedName name="BEx7HITIHHI9ODLIPYQ2U39LHC6T" localSheetId="22" hidden="1">#REF!</definedName>
    <definedName name="BEx7HITIHHI9ODLIPYQ2U39LHC6T" hidden="1">#REF!</definedName>
    <definedName name="BEx7I2WH57NDYZ7O7Y9VMRSX5SH5" localSheetId="7" hidden="1">[1]ZQZBC_PLN_01_06_N!#REF!</definedName>
    <definedName name="BEx7I2WH57NDYZ7O7Y9VMRSX5SH5" localSheetId="8" hidden="1">[1]ZQZBC_PLN_01_06_N!#REF!</definedName>
    <definedName name="BEx7I2WH57NDYZ7O7Y9VMRSX5SH5" localSheetId="0" hidden="1">[1]ZQZBC_PLN_01_06_N!#REF!</definedName>
    <definedName name="BEx7I2WH57NDYZ7O7Y9VMRSX5SH5" localSheetId="22" hidden="1">[1]ZQZBC_PLN_01_06_N!#REF!</definedName>
    <definedName name="BEx7I2WH57NDYZ7O7Y9VMRSX5SH5" hidden="1">[1]ZQZBC_PLN_01_06_N!#REF!</definedName>
    <definedName name="BEx7IGU383JMFSA3XVEJUTU1M92K" localSheetId="7" hidden="1">#REF!</definedName>
    <definedName name="BEx7IGU383JMFSA3XVEJUTU1M92K" localSheetId="8" hidden="1">#REF!</definedName>
    <definedName name="BEx7IGU383JMFSA3XVEJUTU1M92K" localSheetId="0" hidden="1">#REF!</definedName>
    <definedName name="BEx7IGU383JMFSA3XVEJUTU1M92K" localSheetId="22" hidden="1">#REF!</definedName>
    <definedName name="BEx7IGU383JMFSA3XVEJUTU1M92K" hidden="1">#REF!</definedName>
    <definedName name="BEx7II6K98UXG6IS9TQ0INENDJ0N" localSheetId="7" hidden="1">#REF!</definedName>
    <definedName name="BEx7II6K98UXG6IS9TQ0INENDJ0N" localSheetId="8" hidden="1">#REF!</definedName>
    <definedName name="BEx7II6K98UXG6IS9TQ0INENDJ0N" localSheetId="0" hidden="1">#REF!</definedName>
    <definedName name="BEx7II6K98UXG6IS9TQ0INENDJ0N" localSheetId="22" hidden="1">#REF!</definedName>
    <definedName name="BEx7II6K98UXG6IS9TQ0INENDJ0N" hidden="1">#REF!</definedName>
    <definedName name="BEx7INKRCFXCAHQXTPOYVCGP4YGZ" localSheetId="7" hidden="1">#REF!</definedName>
    <definedName name="BEx7INKRCFXCAHQXTPOYVCGP4YGZ" localSheetId="8" hidden="1">#REF!</definedName>
    <definedName name="BEx7INKRCFXCAHQXTPOYVCGP4YGZ" localSheetId="0" hidden="1">#REF!</definedName>
    <definedName name="BEx7INKRCFXCAHQXTPOYVCGP4YGZ" localSheetId="22" hidden="1">#REF!</definedName>
    <definedName name="BEx7INKRCFXCAHQXTPOYVCGP4YGZ" hidden="1">#REF!</definedName>
    <definedName name="BEx7J7YHLVXCHSFWTFZOCPX4XEOU" localSheetId="7" hidden="1">#REF!</definedName>
    <definedName name="BEx7J7YHLVXCHSFWTFZOCPX4XEOU" localSheetId="8" hidden="1">#REF!</definedName>
    <definedName name="BEx7J7YHLVXCHSFWTFZOCPX4XEOU" localSheetId="0" hidden="1">#REF!</definedName>
    <definedName name="BEx7J7YHLVXCHSFWTFZOCPX4XEOU" localSheetId="22" hidden="1">#REF!</definedName>
    <definedName name="BEx7J7YHLVXCHSFWTFZOCPX4XEOU" hidden="1">#REF!</definedName>
    <definedName name="BEx7JIANCFTKGPCB9NYP49YZ6IWJ" localSheetId="7" hidden="1">#REF!</definedName>
    <definedName name="BEx7JIANCFTKGPCB9NYP49YZ6IWJ" localSheetId="8" hidden="1">#REF!</definedName>
    <definedName name="BEx7JIANCFTKGPCB9NYP49YZ6IWJ" localSheetId="0" hidden="1">#REF!</definedName>
    <definedName name="BEx7JIANCFTKGPCB9NYP49YZ6IWJ" localSheetId="22" hidden="1">#REF!</definedName>
    <definedName name="BEx7JIANCFTKGPCB9NYP49YZ6IWJ" hidden="1">#REF!</definedName>
    <definedName name="BEx7JSMYMYM6O48S30VZU7G7IU8T" localSheetId="7" hidden="1">#REF!</definedName>
    <definedName name="BEx7JSMYMYM6O48S30VZU7G7IU8T" localSheetId="8" hidden="1">#REF!</definedName>
    <definedName name="BEx7JSMYMYM6O48S30VZU7G7IU8T" localSheetId="0" hidden="1">#REF!</definedName>
    <definedName name="BEx7JSMYMYM6O48S30VZU7G7IU8T" localSheetId="22" hidden="1">#REF!</definedName>
    <definedName name="BEx7JSMYMYM6O48S30VZU7G7IU8T" hidden="1">#REF!</definedName>
    <definedName name="BEx7L9OLKK3VGDIFP9MGI31S03AI" localSheetId="7" hidden="1">[1]ZQBC_PLN_01_03_N!#REF!</definedName>
    <definedName name="BEx7L9OLKK3VGDIFP9MGI31S03AI" localSheetId="8" hidden="1">[1]ZQBC_PLN_01_03_N!#REF!</definedName>
    <definedName name="BEx7L9OLKK3VGDIFP9MGI31S03AI" localSheetId="0" hidden="1">[1]ZQBC_PLN_01_03_N!#REF!</definedName>
    <definedName name="BEx7L9OLKK3VGDIFP9MGI31S03AI" localSheetId="22" hidden="1">[1]ZQBC_PLN_01_03_N!#REF!</definedName>
    <definedName name="BEx7L9OLKK3VGDIFP9MGI31S03AI" hidden="1">[1]ZQBC_PLN_01_03_N!#REF!</definedName>
    <definedName name="BEx7LBXKYXZWP7OFD145UNSUD0CC" localSheetId="7" hidden="1">#REF!</definedName>
    <definedName name="BEx7LBXKYXZWP7OFD145UNSUD0CC" localSheetId="8" hidden="1">#REF!</definedName>
    <definedName name="BEx7LBXKYXZWP7OFD145UNSUD0CC" localSheetId="0" hidden="1">#REF!</definedName>
    <definedName name="BEx7LBXKYXZWP7OFD145UNSUD0CC" localSheetId="22" hidden="1">#REF!</definedName>
    <definedName name="BEx7LBXKYXZWP7OFD145UNSUD0CC" hidden="1">#REF!</definedName>
    <definedName name="BEx7MA8WPQ1G26NDP55TSRVR22I5" localSheetId="7" hidden="1">#REF!</definedName>
    <definedName name="BEx7MA8WPQ1G26NDP55TSRVR22I5" localSheetId="8" hidden="1">#REF!</definedName>
    <definedName name="BEx7MA8WPQ1G26NDP55TSRVR22I5" localSheetId="0" hidden="1">#REF!</definedName>
    <definedName name="BEx7MA8WPQ1G26NDP55TSRVR22I5" localSheetId="22" hidden="1">#REF!</definedName>
    <definedName name="BEx7MA8WPQ1G26NDP55TSRVR22I5" hidden="1">#REF!</definedName>
    <definedName name="BEx7MA8WWC60O1OG19F9S4VZQIUM" localSheetId="7" hidden="1">#REF!</definedName>
    <definedName name="BEx7MA8WWC60O1OG19F9S4VZQIUM" localSheetId="8" hidden="1">#REF!</definedName>
    <definedName name="BEx7MA8WWC60O1OG19F9S4VZQIUM" localSheetId="0" hidden="1">#REF!</definedName>
    <definedName name="BEx7MA8WWC60O1OG19F9S4VZQIUM" localSheetId="22" hidden="1">#REF!</definedName>
    <definedName name="BEx7MA8WWC60O1OG19F9S4VZQIUM" hidden="1">#REF!</definedName>
    <definedName name="BEx7MBQUS90XM01HG3QP9VSB45JM" localSheetId="7" hidden="1">#REF!</definedName>
    <definedName name="BEx7MBQUS90XM01HG3QP9VSB45JM" localSheetId="8" hidden="1">#REF!</definedName>
    <definedName name="BEx7MBQUS90XM01HG3QP9VSB45JM" localSheetId="0" hidden="1">#REF!</definedName>
    <definedName name="BEx7MBQUS90XM01HG3QP9VSB45JM" localSheetId="22" hidden="1">#REF!</definedName>
    <definedName name="BEx7MBQUS90XM01HG3QP9VSB45JM" hidden="1">#REF!</definedName>
    <definedName name="BEx7MHFTPWV1O2S9G3LJU6TJ0U9G" localSheetId="7" hidden="1">#REF!</definedName>
    <definedName name="BEx7MHFTPWV1O2S9G3LJU6TJ0U9G" localSheetId="8" hidden="1">#REF!</definedName>
    <definedName name="BEx7MHFTPWV1O2S9G3LJU6TJ0U9G" localSheetId="0" hidden="1">#REF!</definedName>
    <definedName name="BEx7MHFTPWV1O2S9G3LJU6TJ0U9G" localSheetId="22" hidden="1">#REF!</definedName>
    <definedName name="BEx7MHFTPWV1O2S9G3LJU6TJ0U9G" hidden="1">#REF!</definedName>
    <definedName name="BEx7MJ8LL3PU25CBOM4EY29J0XK2" localSheetId="7" hidden="1">#REF!</definedName>
    <definedName name="BEx7MJ8LL3PU25CBOM4EY29J0XK2" localSheetId="8" hidden="1">#REF!</definedName>
    <definedName name="BEx7MJ8LL3PU25CBOM4EY29J0XK2" localSheetId="0" hidden="1">#REF!</definedName>
    <definedName name="BEx7MJ8LL3PU25CBOM4EY29J0XK2" localSheetId="22" hidden="1">#REF!</definedName>
    <definedName name="BEx7MJ8LL3PU25CBOM4EY29J0XK2" hidden="1">#REF!</definedName>
    <definedName name="BEx7MM8GRDLF6ZFX6M14CPSOWVPK" localSheetId="7" hidden="1">#REF!</definedName>
    <definedName name="BEx7MM8GRDLF6ZFX6M14CPSOWVPK" localSheetId="8" hidden="1">#REF!</definedName>
    <definedName name="BEx7MM8GRDLF6ZFX6M14CPSOWVPK" localSheetId="0" hidden="1">#REF!</definedName>
    <definedName name="BEx7MM8GRDLF6ZFX6M14CPSOWVPK" localSheetId="22" hidden="1">#REF!</definedName>
    <definedName name="BEx7MM8GRDLF6ZFX6M14CPSOWVPK" hidden="1">#REF!</definedName>
    <definedName name="BEx906Q8UE7ZQX141CKE7F6E3QRP" localSheetId="7" hidden="1">#REF!</definedName>
    <definedName name="BEx906Q8UE7ZQX141CKE7F6E3QRP" localSheetId="8" hidden="1">#REF!</definedName>
    <definedName name="BEx906Q8UE7ZQX141CKE7F6E3QRP" localSheetId="0" hidden="1">#REF!</definedName>
    <definedName name="BEx906Q8UE7ZQX141CKE7F6E3QRP" localSheetId="22" hidden="1">#REF!</definedName>
    <definedName name="BEx906Q8UE7ZQX141CKE7F6E3QRP" hidden="1">#REF!</definedName>
    <definedName name="BEx90BODOC50E1PA6K9OCSK2WKB4" localSheetId="7" hidden="1">#REF!</definedName>
    <definedName name="BEx90BODOC50E1PA6K9OCSK2WKB4" localSheetId="8" hidden="1">#REF!</definedName>
    <definedName name="BEx90BODOC50E1PA6K9OCSK2WKB4" localSheetId="0" hidden="1">#REF!</definedName>
    <definedName name="BEx90BODOC50E1PA6K9OCSK2WKB4" localSheetId="22" hidden="1">#REF!</definedName>
    <definedName name="BEx90BODOC50E1PA6K9OCSK2WKB4" hidden="1">#REF!</definedName>
    <definedName name="BEx91HHGHKIGJHFEIGTMDH9GJGW2" localSheetId="7" hidden="1">#REF!</definedName>
    <definedName name="BEx91HHGHKIGJHFEIGTMDH9GJGW2" localSheetId="8" hidden="1">#REF!</definedName>
    <definedName name="BEx91HHGHKIGJHFEIGTMDH9GJGW2" localSheetId="0" hidden="1">#REF!</definedName>
    <definedName name="BEx91HHGHKIGJHFEIGTMDH9GJGW2" localSheetId="22" hidden="1">#REF!</definedName>
    <definedName name="BEx91HHGHKIGJHFEIGTMDH9GJGW2" hidden="1">#REF!</definedName>
    <definedName name="BEx92AK0EY4R6RRG324WTHF2QFU8" localSheetId="7" hidden="1">#REF!</definedName>
    <definedName name="BEx92AK0EY4R6RRG324WTHF2QFU8" localSheetId="8" hidden="1">#REF!</definedName>
    <definedName name="BEx92AK0EY4R6RRG324WTHF2QFU8" localSheetId="0" hidden="1">#REF!</definedName>
    <definedName name="BEx92AK0EY4R6RRG324WTHF2QFU8" localSheetId="22" hidden="1">#REF!</definedName>
    <definedName name="BEx92AK0EY4R6RRG324WTHF2QFU8" hidden="1">#REF!</definedName>
    <definedName name="BEx92CNKI9BA08E5SP34O6JG0JT9" localSheetId="7" hidden="1">#REF!</definedName>
    <definedName name="BEx92CNKI9BA08E5SP34O6JG0JT9" localSheetId="8" hidden="1">#REF!</definedName>
    <definedName name="BEx92CNKI9BA08E5SP34O6JG0JT9" localSheetId="0" hidden="1">#REF!</definedName>
    <definedName name="BEx92CNKI9BA08E5SP34O6JG0JT9" localSheetId="22" hidden="1">#REF!</definedName>
    <definedName name="BEx92CNKI9BA08E5SP34O6JG0JT9" hidden="1">#REF!</definedName>
    <definedName name="BEx92PUAJ86STQCU33LZ05E5NA4J" localSheetId="7" hidden="1">#REF!</definedName>
    <definedName name="BEx92PUAJ86STQCU33LZ05E5NA4J" localSheetId="8" hidden="1">#REF!</definedName>
    <definedName name="BEx92PUAJ86STQCU33LZ05E5NA4J" localSheetId="0" hidden="1">#REF!</definedName>
    <definedName name="BEx92PUAJ86STQCU33LZ05E5NA4J" localSheetId="22" hidden="1">#REF!</definedName>
    <definedName name="BEx92PUAJ86STQCU33LZ05E5NA4J" hidden="1">#REF!</definedName>
    <definedName name="BEx92WVSOCD3RLUNZBF8M8X7OISC" localSheetId="7" hidden="1">#REF!</definedName>
    <definedName name="BEx92WVSOCD3RLUNZBF8M8X7OISC" localSheetId="8" hidden="1">#REF!</definedName>
    <definedName name="BEx92WVSOCD3RLUNZBF8M8X7OISC" localSheetId="0" hidden="1">#REF!</definedName>
    <definedName name="BEx92WVSOCD3RLUNZBF8M8X7OISC" localSheetId="22" hidden="1">#REF!</definedName>
    <definedName name="BEx92WVSOCD3RLUNZBF8M8X7OISC" hidden="1">#REF!</definedName>
    <definedName name="BEx94KDG7EPUMXXPEYA4O6T2OZL7" localSheetId="7" hidden="1">#REF!</definedName>
    <definedName name="BEx94KDG7EPUMXXPEYA4O6T2OZL7" localSheetId="8" hidden="1">#REF!</definedName>
    <definedName name="BEx94KDG7EPUMXXPEYA4O6T2OZL7" localSheetId="0" hidden="1">#REF!</definedName>
    <definedName name="BEx94KDG7EPUMXXPEYA4O6T2OZL7" localSheetId="22" hidden="1">#REF!</definedName>
    <definedName name="BEx94KDG7EPUMXXPEYA4O6T2OZL7" hidden="1">#REF!</definedName>
    <definedName name="BEx9563MH34JSHPOSLRMY9J2PZY8" localSheetId="7" hidden="1">#REF!</definedName>
    <definedName name="BEx9563MH34JSHPOSLRMY9J2PZY8" localSheetId="8" hidden="1">#REF!</definedName>
    <definedName name="BEx9563MH34JSHPOSLRMY9J2PZY8" localSheetId="0" hidden="1">#REF!</definedName>
    <definedName name="BEx9563MH34JSHPOSLRMY9J2PZY8" localSheetId="22" hidden="1">#REF!</definedName>
    <definedName name="BEx9563MH34JSHPOSLRMY9J2PZY8" hidden="1">#REF!</definedName>
    <definedName name="BEx95QHAWLL5W9B6OFN0OQSZ0LJL" localSheetId="7" hidden="1">#REF!</definedName>
    <definedName name="BEx95QHAWLL5W9B6OFN0OQSZ0LJL" localSheetId="8" hidden="1">#REF!</definedName>
    <definedName name="BEx95QHAWLL5W9B6OFN0OQSZ0LJL" localSheetId="0" hidden="1">#REF!</definedName>
    <definedName name="BEx95QHAWLL5W9B6OFN0OQSZ0LJL" localSheetId="22" hidden="1">#REF!</definedName>
    <definedName name="BEx95QHAWLL5W9B6OFN0OQSZ0LJL" hidden="1">#REF!</definedName>
    <definedName name="BEx95VF8S7TCG3Z7QJAUBG9OPU3T" localSheetId="7" hidden="1">#REF!</definedName>
    <definedName name="BEx95VF8S7TCG3Z7QJAUBG9OPU3T" localSheetId="8" hidden="1">#REF!</definedName>
    <definedName name="BEx95VF8S7TCG3Z7QJAUBG9OPU3T" localSheetId="0" hidden="1">#REF!</definedName>
    <definedName name="BEx95VF8S7TCG3Z7QJAUBG9OPU3T" localSheetId="22" hidden="1">#REF!</definedName>
    <definedName name="BEx95VF8S7TCG3Z7QJAUBG9OPU3T" hidden="1">#REF!</definedName>
    <definedName name="BEx9632HUTUI1OXE2RH08QZXV6OV" localSheetId="7" hidden="1">#REF!</definedName>
    <definedName name="BEx9632HUTUI1OXE2RH08QZXV6OV" localSheetId="8" hidden="1">#REF!</definedName>
    <definedName name="BEx9632HUTUI1OXE2RH08QZXV6OV" localSheetId="0" hidden="1">#REF!</definedName>
    <definedName name="BEx9632HUTUI1OXE2RH08QZXV6OV" localSheetId="22" hidden="1">#REF!</definedName>
    <definedName name="BEx9632HUTUI1OXE2RH08QZXV6OV" hidden="1">#REF!</definedName>
    <definedName name="BEx96B0CB2RWVNNIHCRB1YAXSR18" localSheetId="7" hidden="1">#REF!</definedName>
    <definedName name="BEx96B0CB2RWVNNIHCRB1YAXSR18" localSheetId="8" hidden="1">#REF!</definedName>
    <definedName name="BEx96B0CB2RWVNNIHCRB1YAXSR18" localSheetId="0" hidden="1">#REF!</definedName>
    <definedName name="BEx96B0CB2RWVNNIHCRB1YAXSR18" localSheetId="22" hidden="1">#REF!</definedName>
    <definedName name="BEx96B0CB2RWVNNIHCRB1YAXSR18" hidden="1">#REF!</definedName>
    <definedName name="BEx96B0HI8T3Q0EERV08GOO6SL53" localSheetId="7" hidden="1">#REF!</definedName>
    <definedName name="BEx96B0HI8T3Q0EERV08GOO6SL53" localSheetId="8" hidden="1">#REF!</definedName>
    <definedName name="BEx96B0HI8T3Q0EERV08GOO6SL53" localSheetId="0" hidden="1">#REF!</definedName>
    <definedName name="BEx96B0HI8T3Q0EERV08GOO6SL53" localSheetId="22" hidden="1">#REF!</definedName>
    <definedName name="BEx96B0HI8T3Q0EERV08GOO6SL53" hidden="1">#REF!</definedName>
    <definedName name="BEx96HWH7U8Z8BT0X9P12QBSLDOT" localSheetId="7" hidden="1">#REF!</definedName>
    <definedName name="BEx96HWH7U8Z8BT0X9P12QBSLDOT" localSheetId="8" hidden="1">#REF!</definedName>
    <definedName name="BEx96HWH7U8Z8BT0X9P12QBSLDOT" localSheetId="0" hidden="1">#REF!</definedName>
    <definedName name="BEx96HWH7U8Z8BT0X9P12QBSLDOT" localSheetId="22" hidden="1">#REF!</definedName>
    <definedName name="BEx96HWH7U8Z8BT0X9P12QBSLDOT" hidden="1">#REF!</definedName>
    <definedName name="BEx96II22L7OXVQ4X5X1NZ61YJLA" localSheetId="7" hidden="1">#REF!</definedName>
    <definedName name="BEx96II22L7OXVQ4X5X1NZ61YJLA" localSheetId="8" hidden="1">#REF!</definedName>
    <definedName name="BEx96II22L7OXVQ4X5X1NZ61YJLA" localSheetId="0" hidden="1">#REF!</definedName>
    <definedName name="BEx96II22L7OXVQ4X5X1NZ61YJLA" localSheetId="22" hidden="1">#REF!</definedName>
    <definedName name="BEx96II22L7OXVQ4X5X1NZ61YJLA" hidden="1">#REF!</definedName>
    <definedName name="BEx96KASH2RZXWWFV9T6M30JU0E0" localSheetId="7" hidden="1">#REF!</definedName>
    <definedName name="BEx96KASH2RZXWWFV9T6M30JU0E0" localSheetId="8" hidden="1">#REF!</definedName>
    <definedName name="BEx96KASH2RZXWWFV9T6M30JU0E0" localSheetId="0" hidden="1">#REF!</definedName>
    <definedName name="BEx96KASH2RZXWWFV9T6M30JU0E0" localSheetId="22" hidden="1">#REF!</definedName>
    <definedName name="BEx96KASH2RZXWWFV9T6M30JU0E0" hidden="1">#REF!</definedName>
    <definedName name="BEx96RSI9NN39KBJDHZFN2TZRFUU" localSheetId="7" hidden="1">#REF!</definedName>
    <definedName name="BEx96RSI9NN39KBJDHZFN2TZRFUU" localSheetId="8" hidden="1">#REF!</definedName>
    <definedName name="BEx96RSI9NN39KBJDHZFN2TZRFUU" localSheetId="0" hidden="1">#REF!</definedName>
    <definedName name="BEx96RSI9NN39KBJDHZFN2TZRFUU" localSheetId="22" hidden="1">#REF!</definedName>
    <definedName name="BEx96RSI9NN39KBJDHZFN2TZRFUU" hidden="1">#REF!</definedName>
    <definedName name="BEx976BXCAH2LW8HXFE1L0IFKRTV" localSheetId="7" hidden="1">#REF!</definedName>
    <definedName name="BEx976BXCAH2LW8HXFE1L0IFKRTV" localSheetId="8" hidden="1">#REF!</definedName>
    <definedName name="BEx976BXCAH2LW8HXFE1L0IFKRTV" localSheetId="0" hidden="1">#REF!</definedName>
    <definedName name="BEx976BXCAH2LW8HXFE1L0IFKRTV" localSheetId="22" hidden="1">#REF!</definedName>
    <definedName name="BEx976BXCAH2LW8HXFE1L0IFKRTV" hidden="1">#REF!</definedName>
    <definedName name="BEx9811STXRX2VI9PP7XGDK699WC" localSheetId="7" hidden="1">#REF!</definedName>
    <definedName name="BEx9811STXRX2VI9PP7XGDK699WC" localSheetId="8" hidden="1">#REF!</definedName>
    <definedName name="BEx9811STXRX2VI9PP7XGDK699WC" localSheetId="0" hidden="1">#REF!</definedName>
    <definedName name="BEx9811STXRX2VI9PP7XGDK699WC" localSheetId="22" hidden="1">#REF!</definedName>
    <definedName name="BEx9811STXRX2VI9PP7XGDK699WC" hidden="1">#REF!</definedName>
    <definedName name="BEx985OYX81U979Z46PJQ4F0DJIQ" localSheetId="7" hidden="1">#REF!</definedName>
    <definedName name="BEx985OYX81U979Z46PJQ4F0DJIQ" localSheetId="8" hidden="1">#REF!</definedName>
    <definedName name="BEx985OYX81U979Z46PJQ4F0DJIQ" localSheetId="0" hidden="1">#REF!</definedName>
    <definedName name="BEx985OYX81U979Z46PJQ4F0DJIQ" localSheetId="22" hidden="1">#REF!</definedName>
    <definedName name="BEx985OYX81U979Z46PJQ4F0DJIQ" hidden="1">#REF!</definedName>
    <definedName name="BEx98GS6HRT03QE3QN8PU8B6ZDCK" localSheetId="7" hidden="1">#REF!</definedName>
    <definedName name="BEx98GS6HRT03QE3QN8PU8B6ZDCK" localSheetId="8" hidden="1">#REF!</definedName>
    <definedName name="BEx98GS6HRT03QE3QN8PU8B6ZDCK" localSheetId="0" hidden="1">#REF!</definedName>
    <definedName name="BEx98GS6HRT03QE3QN8PU8B6ZDCK" localSheetId="22" hidden="1">#REF!</definedName>
    <definedName name="BEx98GS6HRT03QE3QN8PU8B6ZDCK" hidden="1">#REF!</definedName>
    <definedName name="BEx98UKGRATBYK7YT0K6OBIIG3P4" localSheetId="7" hidden="1">#REF!</definedName>
    <definedName name="BEx98UKGRATBYK7YT0K6OBIIG3P4" localSheetId="8" hidden="1">#REF!</definedName>
    <definedName name="BEx98UKGRATBYK7YT0K6OBIIG3P4" localSheetId="0" hidden="1">#REF!</definedName>
    <definedName name="BEx98UKGRATBYK7YT0K6OBIIG3P4" localSheetId="22" hidden="1">#REF!</definedName>
    <definedName name="BEx98UKGRATBYK7YT0K6OBIIG3P4" hidden="1">#REF!</definedName>
    <definedName name="BEx99FZUOSXPB5LBP45ZGOVJ2DJW" localSheetId="7" hidden="1">#REF!</definedName>
    <definedName name="BEx99FZUOSXPB5LBP45ZGOVJ2DJW" localSheetId="8" hidden="1">#REF!</definedName>
    <definedName name="BEx99FZUOSXPB5LBP45ZGOVJ2DJW" localSheetId="0" hidden="1">#REF!</definedName>
    <definedName name="BEx99FZUOSXPB5LBP45ZGOVJ2DJW" localSheetId="22" hidden="1">#REF!</definedName>
    <definedName name="BEx99FZUOSXPB5LBP45ZGOVJ2DJW" hidden="1">#REF!</definedName>
    <definedName name="BEx99PVWMMKMOSRQV65US8ZXBP13" localSheetId="7" hidden="1">#REF!</definedName>
    <definedName name="BEx99PVWMMKMOSRQV65US8ZXBP13" localSheetId="8" hidden="1">#REF!</definedName>
    <definedName name="BEx99PVWMMKMOSRQV65US8ZXBP13" localSheetId="0" hidden="1">#REF!</definedName>
    <definedName name="BEx99PVWMMKMOSRQV65US8ZXBP13" localSheetId="22" hidden="1">#REF!</definedName>
    <definedName name="BEx99PVWMMKMOSRQV65US8ZXBP13" hidden="1">#REF!</definedName>
    <definedName name="BEx9AIIFFPTQKKLOQY3SA0D51FZV" localSheetId="7" hidden="1">#REF!</definedName>
    <definedName name="BEx9AIIFFPTQKKLOQY3SA0D51FZV" localSheetId="8" hidden="1">#REF!</definedName>
    <definedName name="BEx9AIIFFPTQKKLOQY3SA0D51FZV" localSheetId="0" hidden="1">#REF!</definedName>
    <definedName name="BEx9AIIFFPTQKKLOQY3SA0D51FZV" localSheetId="22" hidden="1">#REF!</definedName>
    <definedName name="BEx9AIIFFPTQKKLOQY3SA0D51FZV" hidden="1">#REF!</definedName>
    <definedName name="BEx9AN5KUGSGKSFB2NDCGFC5TTLO" localSheetId="7" hidden="1">[1]ZQZBC_REG_02_04!#REF!</definedName>
    <definedName name="BEx9AN5KUGSGKSFB2NDCGFC5TTLO" localSheetId="8" hidden="1">[1]ZQZBC_REG_02_04!#REF!</definedName>
    <definedName name="BEx9AN5KUGSGKSFB2NDCGFC5TTLO" localSheetId="0" hidden="1">[1]ZQZBC_REG_02_04!#REF!</definedName>
    <definedName name="BEx9AN5KUGSGKSFB2NDCGFC5TTLO" localSheetId="22" hidden="1">[1]ZQZBC_REG_02_04!#REF!</definedName>
    <definedName name="BEx9AN5KUGSGKSFB2NDCGFC5TTLO" hidden="1">[1]ZQZBC_REG_02_04!#REF!</definedName>
    <definedName name="BEx9AQAS8LWBA1DB17STOOPCB5F5" localSheetId="7" hidden="1">[1]ZQBC_PLN_01_03_N!#REF!</definedName>
    <definedName name="BEx9AQAS8LWBA1DB17STOOPCB5F5" localSheetId="8" hidden="1">[1]ZQBC_PLN_01_03_N!#REF!</definedName>
    <definedName name="BEx9AQAS8LWBA1DB17STOOPCB5F5" localSheetId="0" hidden="1">[1]ZQBC_PLN_01_03_N!#REF!</definedName>
    <definedName name="BEx9AQAS8LWBA1DB17STOOPCB5F5" localSheetId="22" hidden="1">[1]ZQBC_PLN_01_03_N!#REF!</definedName>
    <definedName name="BEx9AQAS8LWBA1DB17STOOPCB5F5" hidden="1">[1]ZQBC_PLN_01_03_N!#REF!</definedName>
    <definedName name="BEx9AYOW6W1RCJB9C4J8RXWSJRWM" localSheetId="7" hidden="1">#REF!</definedName>
    <definedName name="BEx9AYOW6W1RCJB9C4J8RXWSJRWM" localSheetId="8" hidden="1">#REF!</definedName>
    <definedName name="BEx9AYOW6W1RCJB9C4J8RXWSJRWM" localSheetId="0" hidden="1">#REF!</definedName>
    <definedName name="BEx9AYOW6W1RCJB9C4J8RXWSJRWM" localSheetId="22" hidden="1">#REF!</definedName>
    <definedName name="BEx9AYOW6W1RCJB9C4J8RXWSJRWM" hidden="1">#REF!</definedName>
    <definedName name="BEx9BIRT7364B07DW7FMC00HEHCI" localSheetId="7" hidden="1">#REF!</definedName>
    <definedName name="BEx9BIRT7364B07DW7FMC00HEHCI" localSheetId="8" hidden="1">#REF!</definedName>
    <definedName name="BEx9BIRT7364B07DW7FMC00HEHCI" localSheetId="0" hidden="1">#REF!</definedName>
    <definedName name="BEx9BIRT7364B07DW7FMC00HEHCI" localSheetId="22" hidden="1">#REF!</definedName>
    <definedName name="BEx9BIRT7364B07DW7FMC00HEHCI" hidden="1">#REF!</definedName>
    <definedName name="BEx9BLGVLM1WK2JP2725FA95HV1M" localSheetId="7" hidden="1">#REF!</definedName>
    <definedName name="BEx9BLGVLM1WK2JP2725FA95HV1M" localSheetId="8" hidden="1">#REF!</definedName>
    <definedName name="BEx9BLGVLM1WK2JP2725FA95HV1M" localSheetId="0" hidden="1">#REF!</definedName>
    <definedName name="BEx9BLGVLM1WK2JP2725FA95HV1M" localSheetId="22" hidden="1">#REF!</definedName>
    <definedName name="BEx9BLGVLM1WK2JP2725FA95HV1M" hidden="1">#REF!</definedName>
    <definedName name="BEx9DBIBX7W2YOI6MEZDS2IZIQC9" localSheetId="7" hidden="1">#REF!</definedName>
    <definedName name="BEx9DBIBX7W2YOI6MEZDS2IZIQC9" localSheetId="8" hidden="1">#REF!</definedName>
    <definedName name="BEx9DBIBX7W2YOI6MEZDS2IZIQC9" localSheetId="0" hidden="1">#REF!</definedName>
    <definedName name="BEx9DBIBX7W2YOI6MEZDS2IZIQC9" localSheetId="22" hidden="1">#REF!</definedName>
    <definedName name="BEx9DBIBX7W2YOI6MEZDS2IZIQC9" hidden="1">#REF!</definedName>
    <definedName name="BEx9DC3WYKZTOOROT10E1J2HJ38F" localSheetId="7" hidden="1">#REF!</definedName>
    <definedName name="BEx9DC3WYKZTOOROT10E1J2HJ38F" localSheetId="8" hidden="1">#REF!</definedName>
    <definedName name="BEx9DC3WYKZTOOROT10E1J2HJ38F" localSheetId="0" hidden="1">#REF!</definedName>
    <definedName name="BEx9DC3WYKZTOOROT10E1J2HJ38F" localSheetId="22" hidden="1">#REF!</definedName>
    <definedName name="BEx9DC3WYKZTOOROT10E1J2HJ38F" hidden="1">#REF!</definedName>
    <definedName name="BEx9DFEGO087V4L9VXPZH78OXUHN" localSheetId="7" hidden="1">#REF!</definedName>
    <definedName name="BEx9DFEGO087V4L9VXPZH78OXUHN" localSheetId="8" hidden="1">#REF!</definedName>
    <definedName name="BEx9DFEGO087V4L9VXPZH78OXUHN" localSheetId="0" hidden="1">#REF!</definedName>
    <definedName name="BEx9DFEGO087V4L9VXPZH78OXUHN" localSheetId="22" hidden="1">#REF!</definedName>
    <definedName name="BEx9DFEGO087V4L9VXPZH78OXUHN" hidden="1">#REF!</definedName>
    <definedName name="BEx9DJ5FHKGQGZ9Q3AUR445WZPKR" localSheetId="7" hidden="1">#REF!</definedName>
    <definedName name="BEx9DJ5FHKGQGZ9Q3AUR445WZPKR" localSheetId="8" hidden="1">#REF!</definedName>
    <definedName name="BEx9DJ5FHKGQGZ9Q3AUR445WZPKR" localSheetId="0" hidden="1">#REF!</definedName>
    <definedName name="BEx9DJ5FHKGQGZ9Q3AUR445WZPKR" localSheetId="22" hidden="1">#REF!</definedName>
    <definedName name="BEx9DJ5FHKGQGZ9Q3AUR445WZPKR" hidden="1">#REF!</definedName>
    <definedName name="BEx9DJQZ74XAFXOJCRDWUCV7BXBD" localSheetId="7" hidden="1">#REF!</definedName>
    <definedName name="BEx9DJQZ74XAFXOJCRDWUCV7BXBD" localSheetId="8" hidden="1">#REF!</definedName>
    <definedName name="BEx9DJQZ74XAFXOJCRDWUCV7BXBD" localSheetId="0" hidden="1">#REF!</definedName>
    <definedName name="BEx9DJQZ74XAFXOJCRDWUCV7BXBD" localSheetId="22" hidden="1">#REF!</definedName>
    <definedName name="BEx9DJQZ74XAFXOJCRDWUCV7BXBD" hidden="1">#REF!</definedName>
    <definedName name="BEx9E1KWMBZY7DZ2W81Y28KREC8K" localSheetId="7" hidden="1">#REF!</definedName>
    <definedName name="BEx9E1KWMBZY7DZ2W81Y28KREC8K" localSheetId="8" hidden="1">#REF!</definedName>
    <definedName name="BEx9E1KWMBZY7DZ2W81Y28KREC8K" localSheetId="0" hidden="1">#REF!</definedName>
    <definedName name="BEx9E1KWMBZY7DZ2W81Y28KREC8K" localSheetId="22" hidden="1">#REF!</definedName>
    <definedName name="BEx9E1KWMBZY7DZ2W81Y28KREC8K" hidden="1">#REF!</definedName>
    <definedName name="BEx9EGV6CYG6ZG9E7TMR9RZYSGH1" localSheetId="7" hidden="1">#REF!</definedName>
    <definedName name="BEx9EGV6CYG6ZG9E7TMR9RZYSGH1" localSheetId="8" hidden="1">#REF!</definedName>
    <definedName name="BEx9EGV6CYG6ZG9E7TMR9RZYSGH1" localSheetId="0" hidden="1">#REF!</definedName>
    <definedName name="BEx9EGV6CYG6ZG9E7TMR9RZYSGH1" localSheetId="22" hidden="1">#REF!</definedName>
    <definedName name="BEx9EGV6CYG6ZG9E7TMR9RZYSGH1" hidden="1">#REF!</definedName>
    <definedName name="BEx9EIIL3MUQBD4ZYG7W1J3C5R3P" localSheetId="7" hidden="1">#REF!</definedName>
    <definedName name="BEx9EIIL3MUQBD4ZYG7W1J3C5R3P" localSheetId="8" hidden="1">#REF!</definedName>
    <definedName name="BEx9EIIL3MUQBD4ZYG7W1J3C5R3P" localSheetId="0" hidden="1">#REF!</definedName>
    <definedName name="BEx9EIIL3MUQBD4ZYG7W1J3C5R3P" localSheetId="22" hidden="1">#REF!</definedName>
    <definedName name="BEx9EIIL3MUQBD4ZYG7W1J3C5R3P" hidden="1">#REF!</definedName>
    <definedName name="BEx9FKVIU1R1D6J2Q36IQCU8DCEX" localSheetId="7" hidden="1">#REF!</definedName>
    <definedName name="BEx9FKVIU1R1D6J2Q36IQCU8DCEX" localSheetId="8" hidden="1">#REF!</definedName>
    <definedName name="BEx9FKVIU1R1D6J2Q36IQCU8DCEX" localSheetId="0" hidden="1">#REF!</definedName>
    <definedName name="BEx9FKVIU1R1D6J2Q36IQCU8DCEX" localSheetId="22" hidden="1">#REF!</definedName>
    <definedName name="BEx9FKVIU1R1D6J2Q36IQCU8DCEX" hidden="1">#REF!</definedName>
    <definedName name="BEx9GFAR0PPRLWMHF6966JUX8WOU" localSheetId="7" hidden="1">#REF!</definedName>
    <definedName name="BEx9GFAR0PPRLWMHF6966JUX8WOU" localSheetId="8" hidden="1">#REF!</definedName>
    <definedName name="BEx9GFAR0PPRLWMHF6966JUX8WOU" localSheetId="0" hidden="1">#REF!</definedName>
    <definedName name="BEx9GFAR0PPRLWMHF6966JUX8WOU" localSheetId="22" hidden="1">#REF!</definedName>
    <definedName name="BEx9GFAR0PPRLWMHF6966JUX8WOU" hidden="1">#REF!</definedName>
    <definedName name="BEx9GHOWIATRBTAFYZCDVDOJPG3X" localSheetId="7" hidden="1">#REF!</definedName>
    <definedName name="BEx9GHOWIATRBTAFYZCDVDOJPG3X" localSheetId="8" hidden="1">#REF!</definedName>
    <definedName name="BEx9GHOWIATRBTAFYZCDVDOJPG3X" localSheetId="0" hidden="1">#REF!</definedName>
    <definedName name="BEx9GHOWIATRBTAFYZCDVDOJPG3X" localSheetId="22" hidden="1">#REF!</definedName>
    <definedName name="BEx9GHOWIATRBTAFYZCDVDOJPG3X" hidden="1">#REF!</definedName>
    <definedName name="BEx9GJXW8UK9GOBZPQJGA4FL0M2O" localSheetId="7" hidden="1">#REF!</definedName>
    <definedName name="BEx9GJXW8UK9GOBZPQJGA4FL0M2O" localSheetId="8" hidden="1">#REF!</definedName>
    <definedName name="BEx9GJXW8UK9GOBZPQJGA4FL0M2O" localSheetId="0" hidden="1">#REF!</definedName>
    <definedName name="BEx9GJXW8UK9GOBZPQJGA4FL0M2O" localSheetId="22" hidden="1">#REF!</definedName>
    <definedName name="BEx9GJXW8UK9GOBZPQJGA4FL0M2O" hidden="1">#REF!</definedName>
    <definedName name="BEx9GQ8I2G33TZ06DURDD3OVVVH0" localSheetId="7" hidden="1">#REF!</definedName>
    <definedName name="BEx9GQ8I2G33TZ06DURDD3OVVVH0" localSheetId="8" hidden="1">#REF!</definedName>
    <definedName name="BEx9GQ8I2G33TZ06DURDD3OVVVH0" localSheetId="0" hidden="1">#REF!</definedName>
    <definedName name="BEx9GQ8I2G33TZ06DURDD3OVVVH0" localSheetId="22" hidden="1">#REF!</definedName>
    <definedName name="BEx9GQ8I2G33TZ06DURDD3OVVVH0" hidden="1">#REF!</definedName>
    <definedName name="BEx9H3VD68DFWCMM9L9ES0OI38OJ" localSheetId="7" hidden="1">#REF!</definedName>
    <definedName name="BEx9H3VD68DFWCMM9L9ES0OI38OJ" localSheetId="8" hidden="1">#REF!</definedName>
    <definedName name="BEx9H3VD68DFWCMM9L9ES0OI38OJ" localSheetId="0" hidden="1">#REF!</definedName>
    <definedName name="BEx9H3VD68DFWCMM9L9ES0OI38OJ" localSheetId="22" hidden="1">#REF!</definedName>
    <definedName name="BEx9H3VD68DFWCMM9L9ES0OI38OJ" hidden="1">#REF!</definedName>
    <definedName name="BEx9H463VQADMKZN7N5G3AEZKKLN" localSheetId="7" hidden="1">#REF!</definedName>
    <definedName name="BEx9H463VQADMKZN7N5G3AEZKKLN" localSheetId="8" hidden="1">#REF!</definedName>
    <definedName name="BEx9H463VQADMKZN7N5G3AEZKKLN" localSheetId="0" hidden="1">#REF!</definedName>
    <definedName name="BEx9H463VQADMKZN7N5G3AEZKKLN" localSheetId="22" hidden="1">#REF!</definedName>
    <definedName name="BEx9H463VQADMKZN7N5G3AEZKKLN" hidden="1">#REF!</definedName>
    <definedName name="BEx9HKT139HM6SWSHO6XVRFA9D25" localSheetId="7" hidden="1">#REF!</definedName>
    <definedName name="BEx9HKT139HM6SWSHO6XVRFA9D25" localSheetId="8" hidden="1">#REF!</definedName>
    <definedName name="BEx9HKT139HM6SWSHO6XVRFA9D25" localSheetId="0" hidden="1">#REF!</definedName>
    <definedName name="BEx9HKT139HM6SWSHO6XVRFA9D25" localSheetId="22" hidden="1">#REF!</definedName>
    <definedName name="BEx9HKT139HM6SWSHO6XVRFA9D25" hidden="1">#REF!</definedName>
    <definedName name="BEx9HU3BPAK91G2PCXDFTVS39TF6" localSheetId="7" hidden="1">#REF!</definedName>
    <definedName name="BEx9HU3BPAK91G2PCXDFTVS39TF6" localSheetId="8" hidden="1">#REF!</definedName>
    <definedName name="BEx9HU3BPAK91G2PCXDFTVS39TF6" localSheetId="0" hidden="1">#REF!</definedName>
    <definedName name="BEx9HU3BPAK91G2PCXDFTVS39TF6" localSheetId="22" hidden="1">#REF!</definedName>
    <definedName name="BEx9HU3BPAK91G2PCXDFTVS39TF6" hidden="1">#REF!</definedName>
    <definedName name="BEx9I0U78LVEHO0MPOB5U4RHMUBV" localSheetId="7" hidden="1">#REF!</definedName>
    <definedName name="BEx9I0U78LVEHO0MPOB5U4RHMUBV" localSheetId="8" hidden="1">#REF!</definedName>
    <definedName name="BEx9I0U78LVEHO0MPOB5U4RHMUBV" localSheetId="0" hidden="1">#REF!</definedName>
    <definedName name="BEx9I0U78LVEHO0MPOB5U4RHMUBV" localSheetId="22" hidden="1">#REF!</definedName>
    <definedName name="BEx9I0U78LVEHO0MPOB5U4RHMUBV" hidden="1">#REF!</definedName>
    <definedName name="BEx9I2MX3GRNC957J8FMHNWP04Q5" localSheetId="7" hidden="1">#REF!</definedName>
    <definedName name="BEx9I2MX3GRNC957J8FMHNWP04Q5" localSheetId="8" hidden="1">#REF!</definedName>
    <definedName name="BEx9I2MX3GRNC957J8FMHNWP04Q5" localSheetId="0" hidden="1">#REF!</definedName>
    <definedName name="BEx9I2MX3GRNC957J8FMHNWP04Q5" localSheetId="22" hidden="1">#REF!</definedName>
    <definedName name="BEx9I2MX3GRNC957J8FMHNWP04Q5" hidden="1">#REF!</definedName>
    <definedName name="BEx9IIO2GFG5G3M13E0XY13CS1X5" localSheetId="7" hidden="1">#REF!</definedName>
    <definedName name="BEx9IIO2GFG5G3M13E0XY13CS1X5" localSheetId="8" hidden="1">#REF!</definedName>
    <definedName name="BEx9IIO2GFG5G3M13E0XY13CS1X5" localSheetId="0" hidden="1">#REF!</definedName>
    <definedName name="BEx9IIO2GFG5G3M13E0XY13CS1X5" localSheetId="22" hidden="1">#REF!</definedName>
    <definedName name="BEx9IIO2GFG5G3M13E0XY13CS1X5" hidden="1">#REF!</definedName>
    <definedName name="BEx9IPV0JNXRW2B881C8WBY5U1KI" localSheetId="7" hidden="1">#REF!</definedName>
    <definedName name="BEx9IPV0JNXRW2B881C8WBY5U1KI" localSheetId="8" hidden="1">#REF!</definedName>
    <definedName name="BEx9IPV0JNXRW2B881C8WBY5U1KI" localSheetId="0" hidden="1">#REF!</definedName>
    <definedName name="BEx9IPV0JNXRW2B881C8WBY5U1KI" localSheetId="22" hidden="1">#REF!</definedName>
    <definedName name="BEx9IPV0JNXRW2B881C8WBY5U1KI" hidden="1">#REF!</definedName>
    <definedName name="BEx9J5G4KNTENNKR0I8QUXAH63HY" localSheetId="7" hidden="1">#REF!</definedName>
    <definedName name="BEx9J5G4KNTENNKR0I8QUXAH63HY" localSheetId="8" hidden="1">#REF!</definedName>
    <definedName name="BEx9J5G4KNTENNKR0I8QUXAH63HY" localSheetId="0" hidden="1">#REF!</definedName>
    <definedName name="BEx9J5G4KNTENNKR0I8QUXAH63HY" localSheetId="22" hidden="1">#REF!</definedName>
    <definedName name="BEx9J5G4KNTENNKR0I8QUXAH63HY" hidden="1">#REF!</definedName>
    <definedName name="BEx9JN4PE4DD8H97OYR79YH4TT1W" localSheetId="7" hidden="1">#REF!</definedName>
    <definedName name="BEx9JN4PE4DD8H97OYR79YH4TT1W" localSheetId="8" hidden="1">#REF!</definedName>
    <definedName name="BEx9JN4PE4DD8H97OYR79YH4TT1W" localSheetId="0" hidden="1">#REF!</definedName>
    <definedName name="BEx9JN4PE4DD8H97OYR79YH4TT1W" localSheetId="22" hidden="1">#REF!</definedName>
    <definedName name="BEx9JN4PE4DD8H97OYR79YH4TT1W" hidden="1">#REF!</definedName>
    <definedName name="BEx9JP87NI23ZCG507BZPI9RDVNS" localSheetId="7" hidden="1">#REF!</definedName>
    <definedName name="BEx9JP87NI23ZCG507BZPI9RDVNS" localSheetId="8" hidden="1">#REF!</definedName>
    <definedName name="BEx9JP87NI23ZCG507BZPI9RDVNS" localSheetId="0" hidden="1">#REF!</definedName>
    <definedName name="BEx9JP87NI23ZCG507BZPI9RDVNS" localSheetId="22" hidden="1">#REF!</definedName>
    <definedName name="BEx9JP87NI23ZCG507BZPI9RDVNS" hidden="1">#REF!</definedName>
    <definedName name="BExAVL1638ABE13R5SQH026SK9EX" localSheetId="7" hidden="1">#REF!</definedName>
    <definedName name="BExAVL1638ABE13R5SQH026SK9EX" localSheetId="8" hidden="1">#REF!</definedName>
    <definedName name="BExAVL1638ABE13R5SQH026SK9EX" localSheetId="0" hidden="1">#REF!</definedName>
    <definedName name="BExAVL1638ABE13R5SQH026SK9EX" localSheetId="22" hidden="1">#REF!</definedName>
    <definedName name="BExAVL1638ABE13R5SQH026SK9EX" hidden="1">#REF!</definedName>
    <definedName name="BExAW1IMBQBTU0E5J2TQQI2B79VY" localSheetId="7" hidden="1">#REF!</definedName>
    <definedName name="BExAW1IMBQBTU0E5J2TQQI2B79VY" localSheetId="8" hidden="1">#REF!</definedName>
    <definedName name="BExAW1IMBQBTU0E5J2TQQI2B79VY" localSheetId="0" hidden="1">#REF!</definedName>
    <definedName name="BExAW1IMBQBTU0E5J2TQQI2B79VY" localSheetId="22" hidden="1">#REF!</definedName>
    <definedName name="BExAW1IMBQBTU0E5J2TQQI2B79VY" hidden="1">#REF!</definedName>
    <definedName name="BExAWQOWYU52ADY8PJEW07L8V0LR" localSheetId="7" hidden="1">#REF!</definedName>
    <definedName name="BExAWQOWYU52ADY8PJEW07L8V0LR" localSheetId="8" hidden="1">#REF!</definedName>
    <definedName name="BExAWQOWYU52ADY8PJEW07L8V0LR" localSheetId="0" hidden="1">#REF!</definedName>
    <definedName name="BExAWQOWYU52ADY8PJEW07L8V0LR" localSheetId="22" hidden="1">#REF!</definedName>
    <definedName name="BExAWQOWYU52ADY8PJEW07L8V0LR" hidden="1">#REF!</definedName>
    <definedName name="BExAWRAJJGQ14IEYUSEF2A75Y29Q" localSheetId="7" hidden="1">#REF!</definedName>
    <definedName name="BExAWRAJJGQ14IEYUSEF2A75Y29Q" localSheetId="8" hidden="1">#REF!</definedName>
    <definedName name="BExAWRAJJGQ14IEYUSEF2A75Y29Q" localSheetId="0" hidden="1">#REF!</definedName>
    <definedName name="BExAWRAJJGQ14IEYUSEF2A75Y29Q" localSheetId="22" hidden="1">#REF!</definedName>
    <definedName name="BExAWRAJJGQ14IEYUSEF2A75Y29Q" hidden="1">#REF!</definedName>
    <definedName name="BExAXBO7C5ABG11DBFA3YE6QOHIJ" localSheetId="7" hidden="1">#REF!</definedName>
    <definedName name="BExAXBO7C5ABG11DBFA3YE6QOHIJ" localSheetId="8" hidden="1">#REF!</definedName>
    <definedName name="BExAXBO7C5ABG11DBFA3YE6QOHIJ" localSheetId="0" hidden="1">#REF!</definedName>
    <definedName name="BExAXBO7C5ABG11DBFA3YE6QOHIJ" localSheetId="22" hidden="1">#REF!</definedName>
    <definedName name="BExAXBO7C5ABG11DBFA3YE6QOHIJ" hidden="1">#REF!</definedName>
    <definedName name="BExAXD0OJP1HKJKJ5K01GDQ5ZNUN" localSheetId="7" hidden="1">#REF!</definedName>
    <definedName name="BExAXD0OJP1HKJKJ5K01GDQ5ZNUN" localSheetId="8" hidden="1">#REF!</definedName>
    <definedName name="BExAXD0OJP1HKJKJ5K01GDQ5ZNUN" localSheetId="0" hidden="1">#REF!</definedName>
    <definedName name="BExAXD0OJP1HKJKJ5K01GDQ5ZNUN" localSheetId="22" hidden="1">#REF!</definedName>
    <definedName name="BExAXD0OJP1HKJKJ5K01GDQ5ZNUN" hidden="1">#REF!</definedName>
    <definedName name="BExAXKYORDQC03W5C0H08JVIEXU4" localSheetId="7" hidden="1">#REF!</definedName>
    <definedName name="BExAXKYORDQC03W5C0H08JVIEXU4" localSheetId="8" hidden="1">#REF!</definedName>
    <definedName name="BExAXKYORDQC03W5C0H08JVIEXU4" localSheetId="0" hidden="1">#REF!</definedName>
    <definedName name="BExAXKYORDQC03W5C0H08JVIEXU4" localSheetId="22" hidden="1">#REF!</definedName>
    <definedName name="BExAXKYORDQC03W5C0H08JVIEXU4" hidden="1">#REF!</definedName>
    <definedName name="BExAY9JGYSISL3L87W3W7QBQCYOH" localSheetId="7" hidden="1">#REF!</definedName>
    <definedName name="BExAY9JGYSISL3L87W3W7QBQCYOH" localSheetId="8" hidden="1">#REF!</definedName>
    <definedName name="BExAY9JGYSISL3L87W3W7QBQCYOH" localSheetId="0" hidden="1">#REF!</definedName>
    <definedName name="BExAY9JGYSISL3L87W3W7QBQCYOH" localSheetId="22" hidden="1">#REF!</definedName>
    <definedName name="BExAY9JGYSISL3L87W3W7QBQCYOH" hidden="1">#REF!</definedName>
    <definedName name="BExAYGQ74PJTS6LEG3M06ZBDBD3W" localSheetId="7" hidden="1">#REF!</definedName>
    <definedName name="BExAYGQ74PJTS6LEG3M06ZBDBD3W" localSheetId="8" hidden="1">#REF!</definedName>
    <definedName name="BExAYGQ74PJTS6LEG3M06ZBDBD3W" localSheetId="0" hidden="1">#REF!</definedName>
    <definedName name="BExAYGQ74PJTS6LEG3M06ZBDBD3W" localSheetId="22" hidden="1">#REF!</definedName>
    <definedName name="BExAYGQ74PJTS6LEG3M06ZBDBD3W" hidden="1">#REF!</definedName>
    <definedName name="BExAZEW9RFEB53NSLTQHJR5KW05P" localSheetId="7" hidden="1">#REF!</definedName>
    <definedName name="BExAZEW9RFEB53NSLTQHJR5KW05P" localSheetId="8" hidden="1">#REF!</definedName>
    <definedName name="BExAZEW9RFEB53NSLTQHJR5KW05P" localSheetId="0" hidden="1">#REF!</definedName>
    <definedName name="BExAZEW9RFEB53NSLTQHJR5KW05P" localSheetId="22" hidden="1">#REF!</definedName>
    <definedName name="BExAZEW9RFEB53NSLTQHJR5KW05P" hidden="1">#REF!</definedName>
    <definedName name="BExAZOC6XQOJNQTSOVB8QUBDEM7O" localSheetId="7" hidden="1">#REF!</definedName>
    <definedName name="BExAZOC6XQOJNQTSOVB8QUBDEM7O" localSheetId="8" hidden="1">#REF!</definedName>
    <definedName name="BExAZOC6XQOJNQTSOVB8QUBDEM7O" localSheetId="0" hidden="1">#REF!</definedName>
    <definedName name="BExAZOC6XQOJNQTSOVB8QUBDEM7O" localSheetId="22" hidden="1">#REF!</definedName>
    <definedName name="BExAZOC6XQOJNQTSOVB8QUBDEM7O" hidden="1">#REF!</definedName>
    <definedName name="BExAZOHJNJ3OWICYTAY04Q25XN3R" localSheetId="7" hidden="1">#REF!</definedName>
    <definedName name="BExAZOHJNJ3OWICYTAY04Q25XN3R" localSheetId="8" hidden="1">#REF!</definedName>
    <definedName name="BExAZOHJNJ3OWICYTAY04Q25XN3R" localSheetId="0" hidden="1">#REF!</definedName>
    <definedName name="BExAZOHJNJ3OWICYTAY04Q25XN3R" localSheetId="22" hidden="1">#REF!</definedName>
    <definedName name="BExAZOHJNJ3OWICYTAY04Q25XN3R" hidden="1">#REF!</definedName>
    <definedName name="BExB0EPIWU3MF95AV50Q7N6AUGB3" localSheetId="7" hidden="1">#REF!</definedName>
    <definedName name="BExB0EPIWU3MF95AV50Q7N6AUGB3" localSheetId="8" hidden="1">#REF!</definedName>
    <definedName name="BExB0EPIWU3MF95AV50Q7N6AUGB3" localSheetId="0" hidden="1">#REF!</definedName>
    <definedName name="BExB0EPIWU3MF95AV50Q7N6AUGB3" localSheetId="22" hidden="1">#REF!</definedName>
    <definedName name="BExB0EPIWU3MF95AV50Q7N6AUGB3" hidden="1">#REF!</definedName>
    <definedName name="BExB0G260IMYB3VLVDPA5K54HYBY" localSheetId="7" hidden="1">#REF!</definedName>
    <definedName name="BExB0G260IMYB3VLVDPA5K54HYBY" localSheetId="8" hidden="1">#REF!</definedName>
    <definedName name="BExB0G260IMYB3VLVDPA5K54HYBY" localSheetId="0" hidden="1">#REF!</definedName>
    <definedName name="BExB0G260IMYB3VLVDPA5K54HYBY" localSheetId="22" hidden="1">#REF!</definedName>
    <definedName name="BExB0G260IMYB3VLVDPA5K54HYBY" hidden="1">#REF!</definedName>
    <definedName name="BExB0MYBF7BVQ9V0ITCDFR9URZXH" localSheetId="7" hidden="1">#REF!</definedName>
    <definedName name="BExB0MYBF7BVQ9V0ITCDFR9URZXH" localSheetId="8" hidden="1">#REF!</definedName>
    <definedName name="BExB0MYBF7BVQ9V0ITCDFR9URZXH" localSheetId="0" hidden="1">#REF!</definedName>
    <definedName name="BExB0MYBF7BVQ9V0ITCDFR9URZXH" localSheetId="22" hidden="1">#REF!</definedName>
    <definedName name="BExB0MYBF7BVQ9V0ITCDFR9URZXH" hidden="1">#REF!</definedName>
    <definedName name="BExB1DH4P2EVOI478BAF6G8GWQZX" localSheetId="7" hidden="1">#REF!</definedName>
    <definedName name="BExB1DH4P2EVOI478BAF6G8GWQZX" localSheetId="8" hidden="1">#REF!</definedName>
    <definedName name="BExB1DH4P2EVOI478BAF6G8GWQZX" localSheetId="0" hidden="1">#REF!</definedName>
    <definedName name="BExB1DH4P2EVOI478BAF6G8GWQZX" localSheetId="22" hidden="1">#REF!</definedName>
    <definedName name="BExB1DH4P2EVOI478BAF6G8GWQZX" hidden="1">#REF!</definedName>
    <definedName name="BExB1E2PI3YB9R2S4E9KA0I5F7F2" localSheetId="7" hidden="1">#REF!</definedName>
    <definedName name="BExB1E2PI3YB9R2S4E9KA0I5F7F2" localSheetId="8" hidden="1">#REF!</definedName>
    <definedName name="BExB1E2PI3YB9R2S4E9KA0I5F7F2" localSheetId="0" hidden="1">#REF!</definedName>
    <definedName name="BExB1E2PI3YB9R2S4E9KA0I5F7F2" localSheetId="22" hidden="1">#REF!</definedName>
    <definedName name="BExB1E2PI3YB9R2S4E9KA0I5F7F2" hidden="1">#REF!</definedName>
    <definedName name="BExB1EO9IK6VVT3ZJU8OA7ISGQWB" localSheetId="7" hidden="1">[1]ZQBC_PLN_01_03_N!#REF!</definedName>
    <definedName name="BExB1EO9IK6VVT3ZJU8OA7ISGQWB" localSheetId="8" hidden="1">[1]ZQBC_PLN_01_03_N!#REF!</definedName>
    <definedName name="BExB1EO9IK6VVT3ZJU8OA7ISGQWB" localSheetId="0" hidden="1">[1]ZQBC_PLN_01_03_N!#REF!</definedName>
    <definedName name="BExB1EO9IK6VVT3ZJU8OA7ISGQWB" localSheetId="22" hidden="1">[1]ZQBC_PLN_01_03_N!#REF!</definedName>
    <definedName name="BExB1EO9IK6VVT3ZJU8OA7ISGQWB" hidden="1">[1]ZQBC_PLN_01_03_N!#REF!</definedName>
    <definedName name="BExB1KTDW9PPFVAAGRLUC0Q6UAY2" localSheetId="7" hidden="1">#REF!</definedName>
    <definedName name="BExB1KTDW9PPFVAAGRLUC0Q6UAY2" localSheetId="8" hidden="1">#REF!</definedName>
    <definedName name="BExB1KTDW9PPFVAAGRLUC0Q6UAY2" localSheetId="0" hidden="1">#REF!</definedName>
    <definedName name="BExB1KTDW9PPFVAAGRLUC0Q6UAY2" localSheetId="22" hidden="1">#REF!</definedName>
    <definedName name="BExB1KTDW9PPFVAAGRLUC0Q6UAY2" hidden="1">#REF!</definedName>
    <definedName name="BExB29OXW83G4RINVNPVFQZYP15G" localSheetId="7" hidden="1">#REF!</definedName>
    <definedName name="BExB29OXW83G4RINVNPVFQZYP15G" localSheetId="8" hidden="1">#REF!</definedName>
    <definedName name="BExB29OXW83G4RINVNPVFQZYP15G" localSheetId="0" hidden="1">#REF!</definedName>
    <definedName name="BExB29OXW83G4RINVNPVFQZYP15G" localSheetId="22" hidden="1">#REF!</definedName>
    <definedName name="BExB29OXW83G4RINVNPVFQZYP15G" hidden="1">#REF!</definedName>
    <definedName name="BExB2VPW6K0D6PXFNB2EI2PAJRLJ" localSheetId="7" hidden="1">#REF!</definedName>
    <definedName name="BExB2VPW6K0D6PXFNB2EI2PAJRLJ" localSheetId="8" hidden="1">#REF!</definedName>
    <definedName name="BExB2VPW6K0D6PXFNB2EI2PAJRLJ" localSheetId="0" hidden="1">#REF!</definedName>
    <definedName name="BExB2VPW6K0D6PXFNB2EI2PAJRLJ" localSheetId="22" hidden="1">#REF!</definedName>
    <definedName name="BExB2VPW6K0D6PXFNB2EI2PAJRLJ" hidden="1">#REF!</definedName>
    <definedName name="BExB3JUJXC8QYV4XAOBJCULQAADA" localSheetId="7" hidden="1">#REF!</definedName>
    <definedName name="BExB3JUJXC8QYV4XAOBJCULQAADA" localSheetId="8" hidden="1">#REF!</definedName>
    <definedName name="BExB3JUJXC8QYV4XAOBJCULQAADA" localSheetId="0" hidden="1">#REF!</definedName>
    <definedName name="BExB3JUJXC8QYV4XAOBJCULQAADA" localSheetId="22" hidden="1">#REF!</definedName>
    <definedName name="BExB3JUJXC8QYV4XAOBJCULQAADA" hidden="1">#REF!</definedName>
    <definedName name="BExB41TWQ6820BR7SVX3Q7SR1LZ8" localSheetId="7" hidden="1">#REF!</definedName>
    <definedName name="BExB41TWQ6820BR7SVX3Q7SR1LZ8" localSheetId="8" hidden="1">#REF!</definedName>
    <definedName name="BExB41TWQ6820BR7SVX3Q7SR1LZ8" localSheetId="0" hidden="1">#REF!</definedName>
    <definedName name="BExB41TWQ6820BR7SVX3Q7SR1LZ8" localSheetId="22" hidden="1">#REF!</definedName>
    <definedName name="BExB41TWQ6820BR7SVX3Q7SR1LZ8" hidden="1">#REF!</definedName>
    <definedName name="BExB44OC6FOXVZBDEY5BR6SHCZNQ" localSheetId="7" hidden="1">#REF!</definedName>
    <definedName name="BExB44OC6FOXVZBDEY5BR6SHCZNQ" localSheetId="8" hidden="1">#REF!</definedName>
    <definedName name="BExB44OC6FOXVZBDEY5BR6SHCZNQ" localSheetId="0" hidden="1">#REF!</definedName>
    <definedName name="BExB44OC6FOXVZBDEY5BR6SHCZNQ" localSheetId="22" hidden="1">#REF!</definedName>
    <definedName name="BExB44OC6FOXVZBDEY5BR6SHCZNQ" hidden="1">#REF!</definedName>
    <definedName name="BExB4A2KCGRFVC87ZRC18R8O2XYF" localSheetId="7" hidden="1">#REF!</definedName>
    <definedName name="BExB4A2KCGRFVC87ZRC18R8O2XYF" localSheetId="8" hidden="1">#REF!</definedName>
    <definedName name="BExB4A2KCGRFVC87ZRC18R8O2XYF" localSheetId="0" hidden="1">#REF!</definedName>
    <definedName name="BExB4A2KCGRFVC87ZRC18R8O2XYF" localSheetId="22" hidden="1">#REF!</definedName>
    <definedName name="BExB4A2KCGRFVC87ZRC18R8O2XYF" hidden="1">#REF!</definedName>
    <definedName name="BExB50W4NZMCTI79LJI7K2M3YYWH" localSheetId="7" hidden="1">#REF!</definedName>
    <definedName name="BExB50W4NZMCTI79LJI7K2M3YYWH" localSheetId="8" hidden="1">#REF!</definedName>
    <definedName name="BExB50W4NZMCTI79LJI7K2M3YYWH" localSheetId="0" hidden="1">#REF!</definedName>
    <definedName name="BExB50W4NZMCTI79LJI7K2M3YYWH" localSheetId="22" hidden="1">#REF!</definedName>
    <definedName name="BExB50W4NZMCTI79LJI7K2M3YYWH" hidden="1">#REF!</definedName>
    <definedName name="BExB5FFI169HPUHIANYQ0AD30899" localSheetId="7" hidden="1">#REF!</definedName>
    <definedName name="BExB5FFI169HPUHIANYQ0AD30899" localSheetId="8" hidden="1">#REF!</definedName>
    <definedName name="BExB5FFI169HPUHIANYQ0AD30899" localSheetId="0" hidden="1">#REF!</definedName>
    <definedName name="BExB5FFI169HPUHIANYQ0AD30899" localSheetId="22" hidden="1">#REF!</definedName>
    <definedName name="BExB5FFI169HPUHIANYQ0AD30899" hidden="1">#REF!</definedName>
    <definedName name="BExB5QO1H00A2F31OA0QJMJ9IBK1" localSheetId="7" hidden="1">#REF!</definedName>
    <definedName name="BExB5QO1H00A2F31OA0QJMJ9IBK1" localSheetId="8" hidden="1">#REF!</definedName>
    <definedName name="BExB5QO1H00A2F31OA0QJMJ9IBK1" localSheetId="0" hidden="1">#REF!</definedName>
    <definedName name="BExB5QO1H00A2F31OA0QJMJ9IBK1" localSheetId="22" hidden="1">#REF!</definedName>
    <definedName name="BExB5QO1H00A2F31OA0QJMJ9IBK1" hidden="1">#REF!</definedName>
    <definedName name="BExB5U9JN1UHEARI0481VU3P9GGG" localSheetId="7" hidden="1">#REF!</definedName>
    <definedName name="BExB5U9JN1UHEARI0481VU3P9GGG" localSheetId="8" hidden="1">#REF!</definedName>
    <definedName name="BExB5U9JN1UHEARI0481VU3P9GGG" localSheetId="0" hidden="1">#REF!</definedName>
    <definedName name="BExB5U9JN1UHEARI0481VU3P9GGG" localSheetId="22" hidden="1">#REF!</definedName>
    <definedName name="BExB5U9JN1UHEARI0481VU3P9GGG" hidden="1">#REF!</definedName>
    <definedName name="BExB6ALHO50DC73G2A4ASHMSPM4W" localSheetId="7" hidden="1">#REF!</definedName>
    <definedName name="BExB6ALHO50DC73G2A4ASHMSPM4W" localSheetId="8" hidden="1">#REF!</definedName>
    <definedName name="BExB6ALHO50DC73G2A4ASHMSPM4W" localSheetId="0" hidden="1">#REF!</definedName>
    <definedName name="BExB6ALHO50DC73G2A4ASHMSPM4W" localSheetId="22" hidden="1">#REF!</definedName>
    <definedName name="BExB6ALHO50DC73G2A4ASHMSPM4W" hidden="1">#REF!</definedName>
    <definedName name="BExB719QDZHUCTEG17RLVAVI7NF7" localSheetId="7" hidden="1">#REF!</definedName>
    <definedName name="BExB719QDZHUCTEG17RLVAVI7NF7" localSheetId="8" hidden="1">#REF!</definedName>
    <definedName name="BExB719QDZHUCTEG17RLVAVI7NF7" localSheetId="0" hidden="1">#REF!</definedName>
    <definedName name="BExB719QDZHUCTEG17RLVAVI7NF7" localSheetId="22" hidden="1">#REF!</definedName>
    <definedName name="BExB719QDZHUCTEG17RLVAVI7NF7" hidden="1">#REF!</definedName>
    <definedName name="BExB7749H9BAN46UEXTPW9MWLDL4" localSheetId="7" hidden="1">#REF!</definedName>
    <definedName name="BExB7749H9BAN46UEXTPW9MWLDL4" localSheetId="8" hidden="1">#REF!</definedName>
    <definedName name="BExB7749H9BAN46UEXTPW9MWLDL4" localSheetId="0" hidden="1">#REF!</definedName>
    <definedName name="BExB7749H9BAN46UEXTPW9MWLDL4" localSheetId="22" hidden="1">#REF!</definedName>
    <definedName name="BExB7749H9BAN46UEXTPW9MWLDL4" hidden="1">#REF!</definedName>
    <definedName name="BExB78M1VRF2LR9CU9MYJY68R1GW" localSheetId="7" hidden="1">#REF!</definedName>
    <definedName name="BExB78M1VRF2LR9CU9MYJY68R1GW" localSheetId="8" hidden="1">#REF!</definedName>
    <definedName name="BExB78M1VRF2LR9CU9MYJY68R1GW" localSheetId="0" hidden="1">#REF!</definedName>
    <definedName name="BExB78M1VRF2LR9CU9MYJY68R1GW" localSheetId="22" hidden="1">#REF!</definedName>
    <definedName name="BExB78M1VRF2LR9CU9MYJY68R1GW" hidden="1">#REF!</definedName>
    <definedName name="BExB78WULSYWGEPQ4MRTK78PT3NF" localSheetId="7" hidden="1">#REF!</definedName>
    <definedName name="BExB78WULSYWGEPQ4MRTK78PT3NF" localSheetId="8" hidden="1">#REF!</definedName>
    <definedName name="BExB78WULSYWGEPQ4MRTK78PT3NF" localSheetId="0" hidden="1">#REF!</definedName>
    <definedName name="BExB78WULSYWGEPQ4MRTK78PT3NF" localSheetId="22" hidden="1">#REF!</definedName>
    <definedName name="BExB78WULSYWGEPQ4MRTK78PT3NF" hidden="1">#REF!</definedName>
    <definedName name="BExB7A44ESAWP3PMXNXFDPRXTP0T" localSheetId="7" hidden="1">#REF!</definedName>
    <definedName name="BExB7A44ESAWP3PMXNXFDPRXTP0T" localSheetId="8" hidden="1">#REF!</definedName>
    <definedName name="BExB7A44ESAWP3PMXNXFDPRXTP0T" localSheetId="0" hidden="1">#REF!</definedName>
    <definedName name="BExB7A44ESAWP3PMXNXFDPRXTP0T" localSheetId="22" hidden="1">#REF!</definedName>
    <definedName name="BExB7A44ESAWP3PMXNXFDPRXTP0T" hidden="1">#REF!</definedName>
    <definedName name="BExB7CCZRTPP5XRFAR84CPLTOXI3" localSheetId="7" hidden="1">#REF!</definedName>
    <definedName name="BExB7CCZRTPP5XRFAR84CPLTOXI3" localSheetId="8" hidden="1">#REF!</definedName>
    <definedName name="BExB7CCZRTPP5XRFAR84CPLTOXI3" localSheetId="0" hidden="1">#REF!</definedName>
    <definedName name="BExB7CCZRTPP5XRFAR84CPLTOXI3" localSheetId="22" hidden="1">#REF!</definedName>
    <definedName name="BExB7CCZRTPP5XRFAR84CPLTOXI3" hidden="1">#REF!</definedName>
    <definedName name="BExB7JJWTPXE7I91QSE59OHIGWW6" localSheetId="7" hidden="1">#REF!</definedName>
    <definedName name="BExB7JJWTPXE7I91QSE59OHIGWW6" localSheetId="8" hidden="1">#REF!</definedName>
    <definedName name="BExB7JJWTPXE7I91QSE59OHIGWW6" localSheetId="0" hidden="1">#REF!</definedName>
    <definedName name="BExB7JJWTPXE7I91QSE59OHIGWW6" localSheetId="22" hidden="1">#REF!</definedName>
    <definedName name="BExB7JJWTPXE7I91QSE59OHIGWW6" hidden="1">#REF!</definedName>
    <definedName name="BExB8KEWJQOO05VHW4CS61VYZE5U" localSheetId="7" hidden="1">#REF!</definedName>
    <definedName name="BExB8KEWJQOO05VHW4CS61VYZE5U" localSheetId="8" hidden="1">#REF!</definedName>
    <definedName name="BExB8KEWJQOO05VHW4CS61VYZE5U" localSheetId="0" hidden="1">#REF!</definedName>
    <definedName name="BExB8KEWJQOO05VHW4CS61VYZE5U" localSheetId="22" hidden="1">#REF!</definedName>
    <definedName name="BExB8KEWJQOO05VHW4CS61VYZE5U" hidden="1">#REF!</definedName>
    <definedName name="BExB9EDVITSRZC6AZLBXID7PHJ91" localSheetId="7" hidden="1">#REF!</definedName>
    <definedName name="BExB9EDVITSRZC6AZLBXID7PHJ91" localSheetId="8" hidden="1">#REF!</definedName>
    <definedName name="BExB9EDVITSRZC6AZLBXID7PHJ91" localSheetId="0" hidden="1">#REF!</definedName>
    <definedName name="BExB9EDVITSRZC6AZLBXID7PHJ91" localSheetId="22" hidden="1">#REF!</definedName>
    <definedName name="BExB9EDVITSRZC6AZLBXID7PHJ91" hidden="1">#REF!</definedName>
    <definedName name="BExB9YRJT7W79QH0GANZ95GLGTVE" localSheetId="7" hidden="1">#REF!</definedName>
    <definedName name="BExB9YRJT7W79QH0GANZ95GLGTVE" localSheetId="8" hidden="1">#REF!</definedName>
    <definedName name="BExB9YRJT7W79QH0GANZ95GLGTVE" localSheetId="0" hidden="1">#REF!</definedName>
    <definedName name="BExB9YRJT7W79QH0GANZ95GLGTVE" localSheetId="22" hidden="1">#REF!</definedName>
    <definedName name="BExB9YRJT7W79QH0GANZ95GLGTVE" hidden="1">#REF!</definedName>
    <definedName name="BExBA6K3TLYXUTIOWFXK3NMRGHR2" localSheetId="7" hidden="1">#REF!</definedName>
    <definedName name="BExBA6K3TLYXUTIOWFXK3NMRGHR2" localSheetId="8" hidden="1">#REF!</definedName>
    <definedName name="BExBA6K3TLYXUTIOWFXK3NMRGHR2" localSheetId="0" hidden="1">#REF!</definedName>
    <definedName name="BExBA6K3TLYXUTIOWFXK3NMRGHR2" localSheetId="22" hidden="1">#REF!</definedName>
    <definedName name="BExBA6K3TLYXUTIOWFXK3NMRGHR2" hidden="1">#REF!</definedName>
    <definedName name="BExBA6PE8EEX0NM9BM28HHNN23ES" localSheetId="7" hidden="1">#REF!</definedName>
    <definedName name="BExBA6PE8EEX0NM9BM28HHNN23ES" localSheetId="8" hidden="1">#REF!</definedName>
    <definedName name="BExBA6PE8EEX0NM9BM28HHNN23ES" localSheetId="0" hidden="1">#REF!</definedName>
    <definedName name="BExBA6PE8EEX0NM9BM28HHNN23ES" localSheetId="22" hidden="1">#REF!</definedName>
    <definedName name="BExBA6PE8EEX0NM9BM28HHNN23ES" hidden="1">#REF!</definedName>
    <definedName name="BExBAQ6Q2YRK8BWGHD73X0U6HX7V" localSheetId="7" hidden="1">#REF!</definedName>
    <definedName name="BExBAQ6Q2YRK8BWGHD73X0U6HX7V" localSheetId="8" hidden="1">#REF!</definedName>
    <definedName name="BExBAQ6Q2YRK8BWGHD73X0U6HX7V" localSheetId="0" hidden="1">#REF!</definedName>
    <definedName name="BExBAQ6Q2YRK8BWGHD73X0U6HX7V" localSheetId="22" hidden="1">#REF!</definedName>
    <definedName name="BExBAQ6Q2YRK8BWGHD73X0U6HX7V" hidden="1">#REF!</definedName>
    <definedName name="BExBAVA55ICV4FQI243PBJYPUA75" localSheetId="7" hidden="1">#REF!</definedName>
    <definedName name="BExBAVA55ICV4FQI243PBJYPUA75" localSheetId="8" hidden="1">#REF!</definedName>
    <definedName name="BExBAVA55ICV4FQI243PBJYPUA75" localSheetId="0" hidden="1">#REF!</definedName>
    <definedName name="BExBAVA55ICV4FQI243PBJYPUA75" localSheetId="22" hidden="1">#REF!</definedName>
    <definedName name="BExBAVA55ICV4FQI243PBJYPUA75" hidden="1">#REF!</definedName>
    <definedName name="BExBBH5SN6L572X4H3M4QTZFF7T0" localSheetId="7" hidden="1">[1]ZQZBC_PLN_01_06_N!#REF!</definedName>
    <definedName name="BExBBH5SN6L572X4H3M4QTZFF7T0" localSheetId="8" hidden="1">[1]ZQZBC_PLN_01_06_N!#REF!</definedName>
    <definedName name="BExBBH5SN6L572X4H3M4QTZFF7T0" localSheetId="0" hidden="1">[1]ZQZBC_PLN_01_06_N!#REF!</definedName>
    <definedName name="BExBBH5SN6L572X4H3M4QTZFF7T0" localSheetId="22" hidden="1">[1]ZQZBC_PLN_01_06_N!#REF!</definedName>
    <definedName name="BExBBH5SN6L572X4H3M4QTZFF7T0" hidden="1">[1]ZQZBC_PLN_01_06_N!#REF!</definedName>
    <definedName name="BExBBONITUEQJHSQOLFGHVHC65A9" localSheetId="7" hidden="1">[1]ZQZBC_REG_02_04!#REF!</definedName>
    <definedName name="BExBBONITUEQJHSQOLFGHVHC65A9" localSheetId="8" hidden="1">[1]ZQZBC_REG_02_04!#REF!</definedName>
    <definedName name="BExBBONITUEQJHSQOLFGHVHC65A9" localSheetId="0" hidden="1">[1]ZQZBC_REG_02_04!#REF!</definedName>
    <definedName name="BExBBONITUEQJHSQOLFGHVHC65A9" localSheetId="22" hidden="1">[1]ZQZBC_REG_02_04!#REF!</definedName>
    <definedName name="BExBBONITUEQJHSQOLFGHVHC65A9" hidden="1">[1]ZQZBC_REG_02_04!#REF!</definedName>
    <definedName name="BExBCBFKB15FXW0NFNSZEZQRQ8H6" localSheetId="7" hidden="1">[1]ZQBC_PLN_01_03_N!#REF!</definedName>
    <definedName name="BExBCBFKB15FXW0NFNSZEZQRQ8H6" localSheetId="8" hidden="1">[1]ZQBC_PLN_01_03_N!#REF!</definedName>
    <definedName name="BExBCBFKB15FXW0NFNSZEZQRQ8H6" localSheetId="0" hidden="1">[1]ZQBC_PLN_01_03_N!#REF!</definedName>
    <definedName name="BExBCBFKB15FXW0NFNSZEZQRQ8H6" localSheetId="22" hidden="1">[1]ZQBC_PLN_01_03_N!#REF!</definedName>
    <definedName name="BExBCBFKB15FXW0NFNSZEZQRQ8H6" hidden="1">[1]ZQBC_PLN_01_03_N!#REF!</definedName>
    <definedName name="BExBCIH0UBOD07PZ27392P9YXEYX" localSheetId="7" hidden="1">#REF!</definedName>
    <definedName name="BExBCIH0UBOD07PZ27392P9YXEYX" localSheetId="8" hidden="1">#REF!</definedName>
    <definedName name="BExBCIH0UBOD07PZ27392P9YXEYX" localSheetId="0" hidden="1">#REF!</definedName>
    <definedName name="BExBCIH0UBOD07PZ27392P9YXEYX" localSheetId="22" hidden="1">#REF!</definedName>
    <definedName name="BExBCIH0UBOD07PZ27392P9YXEYX" hidden="1">#REF!</definedName>
    <definedName name="BExBCOGUPM5Z6QHXYY5E10ELG9G8" localSheetId="7" hidden="1">#REF!</definedName>
    <definedName name="BExBCOGUPM5Z6QHXYY5E10ELG9G8" localSheetId="8" hidden="1">#REF!</definedName>
    <definedName name="BExBCOGUPM5Z6QHXYY5E10ELG9G8" localSheetId="0" hidden="1">#REF!</definedName>
    <definedName name="BExBCOGUPM5Z6QHXYY5E10ELG9G8" localSheetId="22" hidden="1">#REF!</definedName>
    <definedName name="BExBCOGUPM5Z6QHXYY5E10ELG9G8" hidden="1">#REF!</definedName>
    <definedName name="BExBDCLASWBCUKQ99SIH7MEJ6YOG" localSheetId="7" hidden="1">#REF!</definedName>
    <definedName name="BExBDCLASWBCUKQ99SIH7MEJ6YOG" localSheetId="8" hidden="1">#REF!</definedName>
    <definedName name="BExBDCLASWBCUKQ99SIH7MEJ6YOG" localSheetId="0" hidden="1">#REF!</definedName>
    <definedName name="BExBDCLASWBCUKQ99SIH7MEJ6YOG" localSheetId="22" hidden="1">#REF!</definedName>
    <definedName name="BExBDCLASWBCUKQ99SIH7MEJ6YOG" hidden="1">#REF!</definedName>
    <definedName name="BExBE7BBX2NP1GFQT3X635DFIIBD" localSheetId="7" hidden="1">#REF!</definedName>
    <definedName name="BExBE7BBX2NP1GFQT3X635DFIIBD" localSheetId="8" hidden="1">#REF!</definedName>
    <definedName name="BExBE7BBX2NP1GFQT3X635DFIIBD" localSheetId="0" hidden="1">#REF!</definedName>
    <definedName name="BExBE7BBX2NP1GFQT3X635DFIIBD" localSheetId="22" hidden="1">#REF!</definedName>
    <definedName name="BExBE7BBX2NP1GFQT3X635DFIIBD" hidden="1">#REF!</definedName>
    <definedName name="BExBEA0GG7687K6HIOVHXOZ6PD3F" localSheetId="7" hidden="1">#REF!</definedName>
    <definedName name="BExBEA0GG7687K6HIOVHXOZ6PD3F" localSheetId="8" hidden="1">#REF!</definedName>
    <definedName name="BExBEA0GG7687K6HIOVHXOZ6PD3F" localSheetId="0" hidden="1">#REF!</definedName>
    <definedName name="BExBEA0GG7687K6HIOVHXOZ6PD3F" localSheetId="22" hidden="1">#REF!</definedName>
    <definedName name="BExBEA0GG7687K6HIOVHXOZ6PD3F" hidden="1">#REF!</definedName>
    <definedName name="BExBEKY7F5N6N9WH09ZKFZ3TJJ14" localSheetId="7" hidden="1">#REF!</definedName>
    <definedName name="BExBEKY7F5N6N9WH09ZKFZ3TJJ14" localSheetId="8" hidden="1">#REF!</definedName>
    <definedName name="BExBEKY7F5N6N9WH09ZKFZ3TJJ14" localSheetId="0" hidden="1">#REF!</definedName>
    <definedName name="BExBEKY7F5N6N9WH09ZKFZ3TJJ14" localSheetId="22" hidden="1">#REF!</definedName>
    <definedName name="BExBEKY7F5N6N9WH09ZKFZ3TJJ14" hidden="1">#REF!</definedName>
    <definedName name="BExBENN9Z0JJ1YMZZDUYFE3OR74M" localSheetId="7" hidden="1">#REF!</definedName>
    <definedName name="BExBENN9Z0JJ1YMZZDUYFE3OR74M" localSheetId="8" hidden="1">#REF!</definedName>
    <definedName name="BExBENN9Z0JJ1YMZZDUYFE3OR74M" localSheetId="0" hidden="1">#REF!</definedName>
    <definedName name="BExBENN9Z0JJ1YMZZDUYFE3OR74M" localSheetId="22" hidden="1">#REF!</definedName>
    <definedName name="BExBENN9Z0JJ1YMZZDUYFE3OR74M" hidden="1">#REF!</definedName>
    <definedName name="BExCRYEGVK7KU00YBTX1M0GH26ZC" localSheetId="7" hidden="1">#REF!</definedName>
    <definedName name="BExCRYEGVK7KU00YBTX1M0GH26ZC" localSheetId="8" hidden="1">#REF!</definedName>
    <definedName name="BExCRYEGVK7KU00YBTX1M0GH26ZC" localSheetId="0" hidden="1">#REF!</definedName>
    <definedName name="BExCRYEGVK7KU00YBTX1M0GH26ZC" localSheetId="22" hidden="1">#REF!</definedName>
    <definedName name="BExCRYEGVK7KU00YBTX1M0GH26ZC" hidden="1">#REF!</definedName>
    <definedName name="BExCS374J04NGO2XYCNH8S3KUK18" localSheetId="7" hidden="1">[1]ZQBC_PLN_01_03_N!#REF!</definedName>
    <definedName name="BExCS374J04NGO2XYCNH8S3KUK18" localSheetId="8" hidden="1">[1]ZQBC_PLN_01_03_N!#REF!</definedName>
    <definedName name="BExCS374J04NGO2XYCNH8S3KUK18" localSheetId="0" hidden="1">[1]ZQBC_PLN_01_03_N!#REF!</definedName>
    <definedName name="BExCS374J04NGO2XYCNH8S3KUK18" localSheetId="22" hidden="1">[1]ZQBC_PLN_01_03_N!#REF!</definedName>
    <definedName name="BExCS374J04NGO2XYCNH8S3KUK18" hidden="1">[1]ZQBC_PLN_01_03_N!#REF!</definedName>
    <definedName name="BExCS9SHI3N58U0N2PGEOZ4RH8IF" localSheetId="7" hidden="1">#REF!</definedName>
    <definedName name="BExCS9SHI3N58U0N2PGEOZ4RH8IF" localSheetId="8" hidden="1">#REF!</definedName>
    <definedName name="BExCS9SHI3N58U0N2PGEOZ4RH8IF" localSheetId="0" hidden="1">#REF!</definedName>
    <definedName name="BExCS9SHI3N58U0N2PGEOZ4RH8IF" localSheetId="22" hidden="1">#REF!</definedName>
    <definedName name="BExCS9SHI3N58U0N2PGEOZ4RH8IF" hidden="1">#REF!</definedName>
    <definedName name="BExCSHFJMTBG8TXFAPM1YMJ2C7TB" localSheetId="7" hidden="1">#REF!</definedName>
    <definedName name="BExCSHFJMTBG8TXFAPM1YMJ2C7TB" localSheetId="8" hidden="1">#REF!</definedName>
    <definedName name="BExCSHFJMTBG8TXFAPM1YMJ2C7TB" localSheetId="0" hidden="1">#REF!</definedName>
    <definedName name="BExCSHFJMTBG8TXFAPM1YMJ2C7TB" localSheetId="22" hidden="1">#REF!</definedName>
    <definedName name="BExCSHFJMTBG8TXFAPM1YMJ2C7TB" hidden="1">#REF!</definedName>
    <definedName name="BExCSUGZNI42DM5JIEXJLRDBF6Z4" localSheetId="7" hidden="1">[1]ZQZBC_REG_02_04!#REF!</definedName>
    <definedName name="BExCSUGZNI42DM5JIEXJLRDBF6Z4" localSheetId="8" hidden="1">[1]ZQZBC_REG_02_04!#REF!</definedName>
    <definedName name="BExCSUGZNI42DM5JIEXJLRDBF6Z4" localSheetId="0" hidden="1">[1]ZQZBC_REG_02_04!#REF!</definedName>
    <definedName name="BExCSUGZNI42DM5JIEXJLRDBF6Z4" localSheetId="22" hidden="1">[1]ZQZBC_REG_02_04!#REF!</definedName>
    <definedName name="BExCSUGZNI42DM5JIEXJLRDBF6Z4" hidden="1">[1]ZQZBC_REG_02_04!#REF!</definedName>
    <definedName name="BExCTH8YWODCTNH1ADX45WCZUZ5C" localSheetId="7" hidden="1">#REF!</definedName>
    <definedName name="BExCTH8YWODCTNH1ADX45WCZUZ5C" localSheetId="8" hidden="1">#REF!</definedName>
    <definedName name="BExCTH8YWODCTNH1ADX45WCZUZ5C" localSheetId="0" hidden="1">#REF!</definedName>
    <definedName name="BExCTH8YWODCTNH1ADX45WCZUZ5C" localSheetId="22" hidden="1">#REF!</definedName>
    <definedName name="BExCTH8YWODCTNH1ADX45WCZUZ5C" hidden="1">#REF!</definedName>
    <definedName name="BExCUQCQVOC1XPB61WI3R3CW0CRD" localSheetId="7" hidden="1">#REF!</definedName>
    <definedName name="BExCUQCQVOC1XPB61WI3R3CW0CRD" localSheetId="8" hidden="1">#REF!</definedName>
    <definedName name="BExCUQCQVOC1XPB61WI3R3CW0CRD" localSheetId="0" hidden="1">#REF!</definedName>
    <definedName name="BExCUQCQVOC1XPB61WI3R3CW0CRD" localSheetId="22" hidden="1">#REF!</definedName>
    <definedName name="BExCUQCQVOC1XPB61WI3R3CW0CRD" hidden="1">#REF!</definedName>
    <definedName name="BExCV155OWE7PIVZUK23BXNDWP3Q" localSheetId="7" hidden="1">#REF!</definedName>
    <definedName name="BExCV155OWE7PIVZUK23BXNDWP3Q" localSheetId="8" hidden="1">#REF!</definedName>
    <definedName name="BExCV155OWE7PIVZUK23BXNDWP3Q" localSheetId="0" hidden="1">#REF!</definedName>
    <definedName name="BExCV155OWE7PIVZUK23BXNDWP3Q" localSheetId="22" hidden="1">#REF!</definedName>
    <definedName name="BExCV155OWE7PIVZUK23BXNDWP3Q" hidden="1">#REF!</definedName>
    <definedName name="BExCV3ZMETOSDFFYA3PTQUD7GPJM" localSheetId="7" hidden="1">#REF!</definedName>
    <definedName name="BExCV3ZMETOSDFFYA3PTQUD7GPJM" localSheetId="8" hidden="1">#REF!</definedName>
    <definedName name="BExCV3ZMETOSDFFYA3PTQUD7GPJM" localSheetId="0" hidden="1">#REF!</definedName>
    <definedName name="BExCV3ZMETOSDFFYA3PTQUD7GPJM" localSheetId="22" hidden="1">#REF!</definedName>
    <definedName name="BExCV3ZMETOSDFFYA3PTQUD7GPJM" hidden="1">#REF!</definedName>
    <definedName name="BExCV5N016BKAHGA5WBLU48U1RS3" localSheetId="7" hidden="1">#REF!</definedName>
    <definedName name="BExCV5N016BKAHGA5WBLU48U1RS3" localSheetId="8" hidden="1">#REF!</definedName>
    <definedName name="BExCV5N016BKAHGA5WBLU48U1RS3" localSheetId="0" hidden="1">#REF!</definedName>
    <definedName name="BExCV5N016BKAHGA5WBLU48U1RS3" localSheetId="22" hidden="1">#REF!</definedName>
    <definedName name="BExCV5N016BKAHGA5WBLU48U1RS3" hidden="1">#REF!</definedName>
    <definedName name="BExCVM9RY4KS1QHWHDGY48P399TD" localSheetId="7" hidden="1">#REF!</definedName>
    <definedName name="BExCVM9RY4KS1QHWHDGY48P399TD" localSheetId="8" hidden="1">#REF!</definedName>
    <definedName name="BExCVM9RY4KS1QHWHDGY48P399TD" localSheetId="0" hidden="1">#REF!</definedName>
    <definedName name="BExCVM9RY4KS1QHWHDGY48P399TD" localSheetId="22" hidden="1">#REF!</definedName>
    <definedName name="BExCVM9RY4KS1QHWHDGY48P399TD" hidden="1">#REF!</definedName>
    <definedName name="BExCWV80WWPJLTUL2VJBPU5W7SI9" localSheetId="7" hidden="1">#REF!</definedName>
    <definedName name="BExCWV80WWPJLTUL2VJBPU5W7SI9" localSheetId="8" hidden="1">#REF!</definedName>
    <definedName name="BExCWV80WWPJLTUL2VJBPU5W7SI9" localSheetId="0" hidden="1">#REF!</definedName>
    <definedName name="BExCWV80WWPJLTUL2VJBPU5W7SI9" localSheetId="22" hidden="1">#REF!</definedName>
    <definedName name="BExCWV80WWPJLTUL2VJBPU5W7SI9" hidden="1">#REF!</definedName>
    <definedName name="BExCXT8KYZE7Q8L5Z2LZX96ANYH9" localSheetId="7" hidden="1">#REF!</definedName>
    <definedName name="BExCXT8KYZE7Q8L5Z2LZX96ANYH9" localSheetId="8" hidden="1">#REF!</definedName>
    <definedName name="BExCXT8KYZE7Q8L5Z2LZX96ANYH9" localSheetId="0" hidden="1">#REF!</definedName>
    <definedName name="BExCXT8KYZE7Q8L5Z2LZX96ANYH9" localSheetId="22" hidden="1">#REF!</definedName>
    <definedName name="BExCXT8KYZE7Q8L5Z2LZX96ANYH9" hidden="1">#REF!</definedName>
    <definedName name="BExCXVHM1BRN73RACVC4B9T2I1YG" localSheetId="7" hidden="1">#REF!</definedName>
    <definedName name="BExCXVHM1BRN73RACVC4B9T2I1YG" localSheetId="8" hidden="1">#REF!</definedName>
    <definedName name="BExCXVHM1BRN73RACVC4B9T2I1YG" localSheetId="0" hidden="1">#REF!</definedName>
    <definedName name="BExCXVHM1BRN73RACVC4B9T2I1YG" localSheetId="22" hidden="1">#REF!</definedName>
    <definedName name="BExCXVHM1BRN73RACVC4B9T2I1YG" hidden="1">#REF!</definedName>
    <definedName name="BExCXWDY0AOQLRBGHBB2DDB68LEF" localSheetId="7" hidden="1">[1]ZQBC_PLN_01_03_N!#REF!</definedName>
    <definedName name="BExCXWDY0AOQLRBGHBB2DDB68LEF" localSheetId="8" hidden="1">[1]ZQBC_PLN_01_03_N!#REF!</definedName>
    <definedName name="BExCXWDY0AOQLRBGHBB2DDB68LEF" localSheetId="0" hidden="1">[1]ZQBC_PLN_01_03_N!#REF!</definedName>
    <definedName name="BExCXWDY0AOQLRBGHBB2DDB68LEF" localSheetId="22" hidden="1">[1]ZQBC_PLN_01_03_N!#REF!</definedName>
    <definedName name="BExCXWDY0AOQLRBGHBB2DDB68LEF" hidden="1">[1]ZQBC_PLN_01_03_N!#REF!</definedName>
    <definedName name="BExCY887SHTTEYO0U875YVNOAV60" localSheetId="7" hidden="1">#REF!</definedName>
    <definedName name="BExCY887SHTTEYO0U875YVNOAV60" localSheetId="8" hidden="1">#REF!</definedName>
    <definedName name="BExCY887SHTTEYO0U875YVNOAV60" localSheetId="0" hidden="1">#REF!</definedName>
    <definedName name="BExCY887SHTTEYO0U875YVNOAV60" localSheetId="22" hidden="1">#REF!</definedName>
    <definedName name="BExCY887SHTTEYO0U875YVNOAV60" hidden="1">#REF!</definedName>
    <definedName name="BExCYTYF7KGOW2BCYK1LH7OMH040" localSheetId="7" hidden="1">#REF!</definedName>
    <definedName name="BExCYTYF7KGOW2BCYK1LH7OMH040" localSheetId="8" hidden="1">#REF!</definedName>
    <definedName name="BExCYTYF7KGOW2BCYK1LH7OMH040" localSheetId="0" hidden="1">#REF!</definedName>
    <definedName name="BExCYTYF7KGOW2BCYK1LH7OMH040" localSheetId="22" hidden="1">#REF!</definedName>
    <definedName name="BExCYTYF7KGOW2BCYK1LH7OMH040" hidden="1">#REF!</definedName>
    <definedName name="BExCZ8CA1LQC2DRCGF6SW926PTMI" localSheetId="7" hidden="1">#REF!</definedName>
    <definedName name="BExCZ8CA1LQC2DRCGF6SW926PTMI" localSheetId="8" hidden="1">#REF!</definedName>
    <definedName name="BExCZ8CA1LQC2DRCGF6SW926PTMI" localSheetId="0" hidden="1">#REF!</definedName>
    <definedName name="BExCZ8CA1LQC2DRCGF6SW926PTMI" localSheetId="22" hidden="1">#REF!</definedName>
    <definedName name="BExCZ8CA1LQC2DRCGF6SW926PTMI" hidden="1">#REF!</definedName>
    <definedName name="BExD0L6V9ZAQ8DYCKUZHD1HCK0R6" localSheetId="7" hidden="1">#REF!</definedName>
    <definedName name="BExD0L6V9ZAQ8DYCKUZHD1HCK0R6" localSheetId="8" hidden="1">#REF!</definedName>
    <definedName name="BExD0L6V9ZAQ8DYCKUZHD1HCK0R6" localSheetId="0" hidden="1">#REF!</definedName>
    <definedName name="BExD0L6V9ZAQ8DYCKUZHD1HCK0R6" localSheetId="22" hidden="1">#REF!</definedName>
    <definedName name="BExD0L6V9ZAQ8DYCKUZHD1HCK0R6" hidden="1">#REF!</definedName>
    <definedName name="BExD0YDM6QOAH0SUN3EB83EKA7JZ" localSheetId="7" hidden="1">#REF!</definedName>
    <definedName name="BExD0YDM6QOAH0SUN3EB83EKA7JZ" localSheetId="8" hidden="1">#REF!</definedName>
    <definedName name="BExD0YDM6QOAH0SUN3EB83EKA7JZ" localSheetId="0" hidden="1">#REF!</definedName>
    <definedName name="BExD0YDM6QOAH0SUN3EB83EKA7JZ" localSheetId="22" hidden="1">#REF!</definedName>
    <definedName name="BExD0YDM6QOAH0SUN3EB83EKA7JZ" hidden="1">#REF!</definedName>
    <definedName name="BExD11IYZB04LHMTVAC6VO4DE2DR" localSheetId="7" hidden="1">#REF!</definedName>
    <definedName name="BExD11IYZB04LHMTVAC6VO4DE2DR" localSheetId="8" hidden="1">#REF!</definedName>
    <definedName name="BExD11IYZB04LHMTVAC6VO4DE2DR" localSheetId="0" hidden="1">#REF!</definedName>
    <definedName name="BExD11IYZB04LHMTVAC6VO4DE2DR" localSheetId="22" hidden="1">#REF!</definedName>
    <definedName name="BExD11IYZB04LHMTVAC6VO4DE2DR" hidden="1">#REF!</definedName>
    <definedName name="BExD1TP06FGT18KW5BYXXVZB0NZC" localSheetId="7" hidden="1">#REF!</definedName>
    <definedName name="BExD1TP06FGT18KW5BYXXVZB0NZC" localSheetId="8" hidden="1">#REF!</definedName>
    <definedName name="BExD1TP06FGT18KW5BYXXVZB0NZC" localSheetId="0" hidden="1">#REF!</definedName>
    <definedName name="BExD1TP06FGT18KW5BYXXVZB0NZC" localSheetId="22" hidden="1">#REF!</definedName>
    <definedName name="BExD1TP06FGT18KW5BYXXVZB0NZC" hidden="1">#REF!</definedName>
    <definedName name="BExD23QJNRMXRMQLM98NN33TURL6" localSheetId="7" hidden="1">#REF!</definedName>
    <definedName name="BExD23QJNRMXRMQLM98NN33TURL6" localSheetId="8" hidden="1">#REF!</definedName>
    <definedName name="BExD23QJNRMXRMQLM98NN33TURL6" localSheetId="0" hidden="1">#REF!</definedName>
    <definedName name="BExD23QJNRMXRMQLM98NN33TURL6" localSheetId="22" hidden="1">#REF!</definedName>
    <definedName name="BExD23QJNRMXRMQLM98NN33TURL6" hidden="1">#REF!</definedName>
    <definedName name="BExD246NLMA11PV6Y99H1FAEAOGI" localSheetId="7" hidden="1">#REF!</definedName>
    <definedName name="BExD246NLMA11PV6Y99H1FAEAOGI" localSheetId="8" hidden="1">#REF!</definedName>
    <definedName name="BExD246NLMA11PV6Y99H1FAEAOGI" localSheetId="0" hidden="1">#REF!</definedName>
    <definedName name="BExD246NLMA11PV6Y99H1FAEAOGI" localSheetId="22" hidden="1">#REF!</definedName>
    <definedName name="BExD246NLMA11PV6Y99H1FAEAOGI" hidden="1">#REF!</definedName>
    <definedName name="BExD2DBTWO7RQCUN679N84OXQ5OT" localSheetId="7" hidden="1">#REF!</definedName>
    <definedName name="BExD2DBTWO7RQCUN679N84OXQ5OT" localSheetId="8" hidden="1">#REF!</definedName>
    <definedName name="BExD2DBTWO7RQCUN679N84OXQ5OT" localSheetId="0" hidden="1">#REF!</definedName>
    <definedName name="BExD2DBTWO7RQCUN679N84OXQ5OT" localSheetId="22" hidden="1">#REF!</definedName>
    <definedName name="BExD2DBTWO7RQCUN679N84OXQ5OT" hidden="1">#REF!</definedName>
    <definedName name="BExD2ETTJYF64I3N9P3TP46EW3NG" localSheetId="7" hidden="1">#REF!</definedName>
    <definedName name="BExD2ETTJYF64I3N9P3TP46EW3NG" localSheetId="8" hidden="1">#REF!</definedName>
    <definedName name="BExD2ETTJYF64I3N9P3TP46EW3NG" localSheetId="0" hidden="1">#REF!</definedName>
    <definedName name="BExD2ETTJYF64I3N9P3TP46EW3NG" localSheetId="22" hidden="1">#REF!</definedName>
    <definedName name="BExD2ETTJYF64I3N9P3TP46EW3NG" hidden="1">#REF!</definedName>
    <definedName name="BExD2O9L33JZKZOL6FY41I5S1591" localSheetId="7" hidden="1">#REF!</definedName>
    <definedName name="BExD2O9L33JZKZOL6FY41I5S1591" localSheetId="8" hidden="1">#REF!</definedName>
    <definedName name="BExD2O9L33JZKZOL6FY41I5S1591" localSheetId="0" hidden="1">#REF!</definedName>
    <definedName name="BExD2O9L33JZKZOL6FY41I5S1591" localSheetId="22" hidden="1">#REF!</definedName>
    <definedName name="BExD2O9L33JZKZOL6FY41I5S1591" hidden="1">#REF!</definedName>
    <definedName name="BExD2VWMESKUJL8ZGDBUAQV67D7Q" localSheetId="7" hidden="1">#REF!</definedName>
    <definedName name="BExD2VWMESKUJL8ZGDBUAQV67D7Q" localSheetId="8" hidden="1">#REF!</definedName>
    <definedName name="BExD2VWMESKUJL8ZGDBUAQV67D7Q" localSheetId="0" hidden="1">#REF!</definedName>
    <definedName name="BExD2VWMESKUJL8ZGDBUAQV67D7Q" localSheetId="22" hidden="1">#REF!</definedName>
    <definedName name="BExD2VWMESKUJL8ZGDBUAQV67D7Q" hidden="1">#REF!</definedName>
    <definedName name="BExD3ESDJXZXXBH1F4AJUVK5HPGN" localSheetId="7" hidden="1">#REF!</definedName>
    <definedName name="BExD3ESDJXZXXBH1F4AJUVK5HPGN" localSheetId="8" hidden="1">#REF!</definedName>
    <definedName name="BExD3ESDJXZXXBH1F4AJUVK5HPGN" localSheetId="0" hidden="1">#REF!</definedName>
    <definedName name="BExD3ESDJXZXXBH1F4AJUVK5HPGN" localSheetId="22" hidden="1">#REF!</definedName>
    <definedName name="BExD3ESDJXZXXBH1F4AJUVK5HPGN" hidden="1">#REF!</definedName>
    <definedName name="BExD3KXILJSLO1GNOXBY52GJPVTY" localSheetId="7" hidden="1">#REF!</definedName>
    <definedName name="BExD3KXILJSLO1GNOXBY52GJPVTY" localSheetId="8" hidden="1">#REF!</definedName>
    <definedName name="BExD3KXILJSLO1GNOXBY52GJPVTY" localSheetId="0" hidden="1">#REF!</definedName>
    <definedName name="BExD3KXILJSLO1GNOXBY52GJPVTY" localSheetId="22" hidden="1">#REF!</definedName>
    <definedName name="BExD3KXILJSLO1GNOXBY52GJPVTY" hidden="1">#REF!</definedName>
    <definedName name="BExD3O2VQHMUJ12Y5K7ZJ4UX1FYC" localSheetId="7" hidden="1">#REF!</definedName>
    <definedName name="BExD3O2VQHMUJ12Y5K7ZJ4UX1FYC" localSheetId="8" hidden="1">#REF!</definedName>
    <definedName name="BExD3O2VQHMUJ12Y5K7ZJ4UX1FYC" localSheetId="0" hidden="1">#REF!</definedName>
    <definedName name="BExD3O2VQHMUJ12Y5K7ZJ4UX1FYC" localSheetId="22" hidden="1">#REF!</definedName>
    <definedName name="BExD3O2VQHMUJ12Y5K7ZJ4UX1FYC" hidden="1">#REF!</definedName>
    <definedName name="BExD3ZX46964SM8TAF5PFJHE1X8V" localSheetId="7" hidden="1">#REF!</definedName>
    <definedName name="BExD3ZX46964SM8TAF5PFJHE1X8V" localSheetId="8" hidden="1">#REF!</definedName>
    <definedName name="BExD3ZX46964SM8TAF5PFJHE1X8V" localSheetId="0" hidden="1">#REF!</definedName>
    <definedName name="BExD3ZX46964SM8TAF5PFJHE1X8V" localSheetId="22" hidden="1">#REF!</definedName>
    <definedName name="BExD3ZX46964SM8TAF5PFJHE1X8V" hidden="1">#REF!</definedName>
    <definedName name="BExD4BR8QFJNSY44FUCSMWOEFWM9" localSheetId="7" hidden="1">#REF!</definedName>
    <definedName name="BExD4BR8QFJNSY44FUCSMWOEFWM9" localSheetId="8" hidden="1">#REF!</definedName>
    <definedName name="BExD4BR8QFJNSY44FUCSMWOEFWM9" localSheetId="0" hidden="1">#REF!</definedName>
    <definedName name="BExD4BR8QFJNSY44FUCSMWOEFWM9" localSheetId="22" hidden="1">#REF!</definedName>
    <definedName name="BExD4BR8QFJNSY44FUCSMWOEFWM9" hidden="1">#REF!</definedName>
    <definedName name="BExD4NAKCGI0A97E382ZDPX0UYWK" localSheetId="7" hidden="1">#REF!</definedName>
    <definedName name="BExD4NAKCGI0A97E382ZDPX0UYWK" localSheetId="8" hidden="1">#REF!</definedName>
    <definedName name="BExD4NAKCGI0A97E382ZDPX0UYWK" localSheetId="0" hidden="1">#REF!</definedName>
    <definedName name="BExD4NAKCGI0A97E382ZDPX0UYWK" localSheetId="22" hidden="1">#REF!</definedName>
    <definedName name="BExD4NAKCGI0A97E382ZDPX0UYWK" hidden="1">#REF!</definedName>
    <definedName name="BExD53BQVO4DZ3KUOQ4QMNZQIO51" localSheetId="7" hidden="1">#REF!</definedName>
    <definedName name="BExD53BQVO4DZ3KUOQ4QMNZQIO51" localSheetId="8" hidden="1">#REF!</definedName>
    <definedName name="BExD53BQVO4DZ3KUOQ4QMNZQIO51" localSheetId="0" hidden="1">#REF!</definedName>
    <definedName name="BExD53BQVO4DZ3KUOQ4QMNZQIO51" localSheetId="22" hidden="1">#REF!</definedName>
    <definedName name="BExD53BQVO4DZ3KUOQ4QMNZQIO51" hidden="1">#REF!</definedName>
    <definedName name="BExD5FBB7KCQQLQDGVGVASJKNVTS" localSheetId="7" hidden="1">#REF!</definedName>
    <definedName name="BExD5FBB7KCQQLQDGVGVASJKNVTS" localSheetId="8" hidden="1">#REF!</definedName>
    <definedName name="BExD5FBB7KCQQLQDGVGVASJKNVTS" localSheetId="0" hidden="1">#REF!</definedName>
    <definedName name="BExD5FBB7KCQQLQDGVGVASJKNVTS" localSheetId="22" hidden="1">#REF!</definedName>
    <definedName name="BExD5FBB7KCQQLQDGVGVASJKNVTS" hidden="1">#REF!</definedName>
    <definedName name="BExD5YHUPYG63IIQASMTVOB8J7EN" localSheetId="7" hidden="1">[1]ZQZBC_REG_02_04!#REF!</definedName>
    <definedName name="BExD5YHUPYG63IIQASMTVOB8J7EN" localSheetId="8" hidden="1">[1]ZQZBC_REG_02_04!#REF!</definedName>
    <definedName name="BExD5YHUPYG63IIQASMTVOB8J7EN" localSheetId="0" hidden="1">[1]ZQZBC_REG_02_04!#REF!</definedName>
    <definedName name="BExD5YHUPYG63IIQASMTVOB8J7EN" localSheetId="22" hidden="1">[1]ZQZBC_REG_02_04!#REF!</definedName>
    <definedName name="BExD5YHUPYG63IIQASMTVOB8J7EN" hidden="1">[1]ZQZBC_REG_02_04!#REF!</definedName>
    <definedName name="BExD6TD71XX9N49HGDUK8MXKKXYU" localSheetId="7" hidden="1">#REF!</definedName>
    <definedName name="BExD6TD71XX9N49HGDUK8MXKKXYU" localSheetId="8" hidden="1">#REF!</definedName>
    <definedName name="BExD6TD71XX9N49HGDUK8MXKKXYU" localSheetId="0" hidden="1">#REF!</definedName>
    <definedName name="BExD6TD71XX9N49HGDUK8MXKKXYU" localSheetId="22" hidden="1">#REF!</definedName>
    <definedName name="BExD6TD71XX9N49HGDUK8MXKKXYU" hidden="1">#REF!</definedName>
    <definedName name="BExD74LQMOBXLBZOAA3JSIKTP1I3" localSheetId="7" hidden="1">#REF!</definedName>
    <definedName name="BExD74LQMOBXLBZOAA3JSIKTP1I3" localSheetId="8" hidden="1">#REF!</definedName>
    <definedName name="BExD74LQMOBXLBZOAA3JSIKTP1I3" localSheetId="0" hidden="1">#REF!</definedName>
    <definedName name="BExD74LQMOBXLBZOAA3JSIKTP1I3" localSheetId="22" hidden="1">#REF!</definedName>
    <definedName name="BExD74LQMOBXLBZOAA3JSIKTP1I3" hidden="1">#REF!</definedName>
    <definedName name="BExD7GFZVGH9M9T7QDEKAI00Y8MZ" localSheetId="7" hidden="1">#REF!</definedName>
    <definedName name="BExD7GFZVGH9M9T7QDEKAI00Y8MZ" localSheetId="8" hidden="1">#REF!</definedName>
    <definedName name="BExD7GFZVGH9M9T7QDEKAI00Y8MZ" localSheetId="0" hidden="1">#REF!</definedName>
    <definedName name="BExD7GFZVGH9M9T7QDEKAI00Y8MZ" localSheetId="22" hidden="1">#REF!</definedName>
    <definedName name="BExD7GFZVGH9M9T7QDEKAI00Y8MZ" hidden="1">#REF!</definedName>
    <definedName name="BExD7VFH7K6AZE1MD0CWFQ5FP9OU" localSheetId="7" hidden="1">[1]ZQBC_PLN_01_03_N!#REF!</definedName>
    <definedName name="BExD7VFH7K6AZE1MD0CWFQ5FP9OU" localSheetId="8" hidden="1">[1]ZQBC_PLN_01_03_N!#REF!</definedName>
    <definedName name="BExD7VFH7K6AZE1MD0CWFQ5FP9OU" localSheetId="0" hidden="1">[1]ZQBC_PLN_01_03_N!#REF!</definedName>
    <definedName name="BExD7VFH7K6AZE1MD0CWFQ5FP9OU" localSheetId="22" hidden="1">[1]ZQBC_PLN_01_03_N!#REF!</definedName>
    <definedName name="BExD7VFH7K6AZE1MD0CWFQ5FP9OU" hidden="1">[1]ZQBC_PLN_01_03_N!#REF!</definedName>
    <definedName name="BExD7XJ00CUN1NP0Q2FUR4KBFTZG" localSheetId="7" hidden="1">#REF!</definedName>
    <definedName name="BExD7XJ00CUN1NP0Q2FUR4KBFTZG" localSheetId="8" hidden="1">#REF!</definedName>
    <definedName name="BExD7XJ00CUN1NP0Q2FUR4KBFTZG" localSheetId="0" hidden="1">#REF!</definedName>
    <definedName name="BExD7XJ00CUN1NP0Q2FUR4KBFTZG" localSheetId="22" hidden="1">#REF!</definedName>
    <definedName name="BExD7XJ00CUN1NP0Q2FUR4KBFTZG" hidden="1">#REF!</definedName>
    <definedName name="BExD8DEOZEU2F6BY1LG8OX5FFVIE" localSheetId="7" hidden="1">#REF!</definedName>
    <definedName name="BExD8DEOZEU2F6BY1LG8OX5FFVIE" localSheetId="8" hidden="1">#REF!</definedName>
    <definedName name="BExD8DEOZEU2F6BY1LG8OX5FFVIE" localSheetId="0" hidden="1">#REF!</definedName>
    <definedName name="BExD8DEOZEU2F6BY1LG8OX5FFVIE" localSheetId="22" hidden="1">#REF!</definedName>
    <definedName name="BExD8DEOZEU2F6BY1LG8OX5FFVIE" hidden="1">#REF!</definedName>
    <definedName name="BExD9FX2QXLTBF9PYSSKEWXA1I61" localSheetId="7" hidden="1">#REF!</definedName>
    <definedName name="BExD9FX2QXLTBF9PYSSKEWXA1I61" localSheetId="8" hidden="1">#REF!</definedName>
    <definedName name="BExD9FX2QXLTBF9PYSSKEWXA1I61" localSheetId="0" hidden="1">#REF!</definedName>
    <definedName name="BExD9FX2QXLTBF9PYSSKEWXA1I61" localSheetId="22" hidden="1">#REF!</definedName>
    <definedName name="BExD9FX2QXLTBF9PYSSKEWXA1I61" hidden="1">#REF!</definedName>
    <definedName name="BExD9H9OZGM7SX84VYX9N7KFJ268" localSheetId="7" hidden="1">#REF!</definedName>
    <definedName name="BExD9H9OZGM7SX84VYX9N7KFJ268" localSheetId="8" hidden="1">#REF!</definedName>
    <definedName name="BExD9H9OZGM7SX84VYX9N7KFJ268" localSheetId="0" hidden="1">#REF!</definedName>
    <definedName name="BExD9H9OZGM7SX84VYX9N7KFJ268" localSheetId="22" hidden="1">#REF!</definedName>
    <definedName name="BExD9H9OZGM7SX84VYX9N7KFJ268" hidden="1">#REF!</definedName>
    <definedName name="BExDA8ZOARVEQ1TIPE80ROPCZDQJ" localSheetId="7" hidden="1">#REF!</definedName>
    <definedName name="BExDA8ZOARVEQ1TIPE80ROPCZDQJ" localSheetId="8" hidden="1">#REF!</definedName>
    <definedName name="BExDA8ZOARVEQ1TIPE80ROPCZDQJ" localSheetId="0" hidden="1">#REF!</definedName>
    <definedName name="BExDA8ZOARVEQ1TIPE80ROPCZDQJ" localSheetId="22" hidden="1">#REF!</definedName>
    <definedName name="BExDA8ZOARVEQ1TIPE80ROPCZDQJ" hidden="1">#REF!</definedName>
    <definedName name="BExDAKZAX8R6L0QCZSZ72YS114XS" localSheetId="7" hidden="1">#REF!</definedName>
    <definedName name="BExDAKZAX8R6L0QCZSZ72YS114XS" localSheetId="8" hidden="1">#REF!</definedName>
    <definedName name="BExDAKZAX8R6L0QCZSZ72YS114XS" localSheetId="0" hidden="1">#REF!</definedName>
    <definedName name="BExDAKZAX8R6L0QCZSZ72YS114XS" localSheetId="22" hidden="1">#REF!</definedName>
    <definedName name="BExDAKZAX8R6L0QCZSZ72YS114XS" hidden="1">#REF!</definedName>
    <definedName name="BExDAP0ZHY8ZXU6RB652G3F9U9JR" localSheetId="7" hidden="1">[1]ZQZBC_REG_02_04!#REF!</definedName>
    <definedName name="BExDAP0ZHY8ZXU6RB652G3F9U9JR" localSheetId="8" hidden="1">[1]ZQZBC_REG_02_04!#REF!</definedName>
    <definedName name="BExDAP0ZHY8ZXU6RB652G3F9U9JR" localSheetId="0" hidden="1">[1]ZQZBC_REG_02_04!#REF!</definedName>
    <definedName name="BExDAP0ZHY8ZXU6RB652G3F9U9JR" localSheetId="22" hidden="1">[1]ZQZBC_REG_02_04!#REF!</definedName>
    <definedName name="BExDAP0ZHY8ZXU6RB652G3F9U9JR" hidden="1">[1]ZQZBC_REG_02_04!#REF!</definedName>
    <definedName name="BExDATTNCV0F68Y5PK3GMRSXBEPR" localSheetId="7" hidden="1">#REF!</definedName>
    <definedName name="BExDATTNCV0F68Y5PK3GMRSXBEPR" localSheetId="8" hidden="1">#REF!</definedName>
    <definedName name="BExDATTNCV0F68Y5PK3GMRSXBEPR" localSheetId="0" hidden="1">#REF!</definedName>
    <definedName name="BExDATTNCV0F68Y5PK3GMRSXBEPR" localSheetId="22" hidden="1">#REF!</definedName>
    <definedName name="BExDATTNCV0F68Y5PK3GMRSXBEPR" hidden="1">#REF!</definedName>
    <definedName name="BExDC14O9WFNT0WE801ENJUU5L5J" localSheetId="7" hidden="1">#REF!</definedName>
    <definedName name="BExDC14O9WFNT0WE801ENJUU5L5J" localSheetId="8" hidden="1">#REF!</definedName>
    <definedName name="BExDC14O9WFNT0WE801ENJUU5L5J" localSheetId="0" hidden="1">#REF!</definedName>
    <definedName name="BExDC14O9WFNT0WE801ENJUU5L5J" localSheetId="22" hidden="1">#REF!</definedName>
    <definedName name="BExDC14O9WFNT0WE801ENJUU5L5J" hidden="1">#REF!</definedName>
    <definedName name="BExEOJ41HX998KGAAA8TYGGS7X8M" localSheetId="7" hidden="1">#REF!</definedName>
    <definedName name="BExEOJ41HX998KGAAA8TYGGS7X8M" localSheetId="8" hidden="1">#REF!</definedName>
    <definedName name="BExEOJ41HX998KGAAA8TYGGS7X8M" localSheetId="0" hidden="1">#REF!</definedName>
    <definedName name="BExEOJ41HX998KGAAA8TYGGS7X8M" localSheetId="22" hidden="1">#REF!</definedName>
    <definedName name="BExEOJ41HX998KGAAA8TYGGS7X8M" hidden="1">#REF!</definedName>
    <definedName name="BExEON0ALKWI5WIGWRJLLTF4XGCC" localSheetId="7" hidden="1">#REF!</definedName>
    <definedName name="BExEON0ALKWI5WIGWRJLLTF4XGCC" localSheetId="8" hidden="1">#REF!</definedName>
    <definedName name="BExEON0ALKWI5WIGWRJLLTF4XGCC" localSheetId="0" hidden="1">#REF!</definedName>
    <definedName name="BExEON0ALKWI5WIGWRJLLTF4XGCC" localSheetId="22" hidden="1">#REF!</definedName>
    <definedName name="BExEON0ALKWI5WIGWRJLLTF4XGCC" hidden="1">#REF!</definedName>
    <definedName name="BExEPC15P2REPF88BIEY2UMCP9GM" localSheetId="7" hidden="1">#REF!</definedName>
    <definedName name="BExEPC15P2REPF88BIEY2UMCP9GM" localSheetId="8" hidden="1">#REF!</definedName>
    <definedName name="BExEPC15P2REPF88BIEY2UMCP9GM" localSheetId="0" hidden="1">#REF!</definedName>
    <definedName name="BExEPC15P2REPF88BIEY2UMCP9GM" localSheetId="22" hidden="1">#REF!</definedName>
    <definedName name="BExEPC15P2REPF88BIEY2UMCP9GM" hidden="1">#REF!</definedName>
    <definedName name="BExEPEVPYN0G39HQ3DU1M85J9MER" localSheetId="7" hidden="1">#REF!</definedName>
    <definedName name="BExEPEVPYN0G39HQ3DU1M85J9MER" localSheetId="8" hidden="1">#REF!</definedName>
    <definedName name="BExEPEVPYN0G39HQ3DU1M85J9MER" localSheetId="0" hidden="1">#REF!</definedName>
    <definedName name="BExEPEVPYN0G39HQ3DU1M85J9MER" localSheetId="22" hidden="1">#REF!</definedName>
    <definedName name="BExEPEVPYN0G39HQ3DU1M85J9MER" hidden="1">#REF!</definedName>
    <definedName name="BExEPR64GURFJHR2U73JSL2UON2A" localSheetId="7" hidden="1">#REF!</definedName>
    <definedName name="BExEPR64GURFJHR2U73JSL2UON2A" localSheetId="8" hidden="1">#REF!</definedName>
    <definedName name="BExEPR64GURFJHR2U73JSL2UON2A" localSheetId="0" hidden="1">#REF!</definedName>
    <definedName name="BExEPR64GURFJHR2U73JSL2UON2A" localSheetId="22" hidden="1">#REF!</definedName>
    <definedName name="BExEPR64GURFJHR2U73JSL2UON2A" hidden="1">#REF!</definedName>
    <definedName name="BExEQEJPDDC0SUQQHSBVHX1VETKU" localSheetId="7" hidden="1">#REF!</definedName>
    <definedName name="BExEQEJPDDC0SUQQHSBVHX1VETKU" localSheetId="8" hidden="1">#REF!</definedName>
    <definedName name="BExEQEJPDDC0SUQQHSBVHX1VETKU" localSheetId="0" hidden="1">#REF!</definedName>
    <definedName name="BExEQEJPDDC0SUQQHSBVHX1VETKU" localSheetId="22" hidden="1">#REF!</definedName>
    <definedName name="BExEQEJPDDC0SUQQHSBVHX1VETKU" hidden="1">#REF!</definedName>
    <definedName name="BExEQJ1K3Q7LOLBHHKVOZD6EXF1U" localSheetId="7" hidden="1">#REF!</definedName>
    <definedName name="BExEQJ1K3Q7LOLBHHKVOZD6EXF1U" localSheetId="8" hidden="1">#REF!</definedName>
    <definedName name="BExEQJ1K3Q7LOLBHHKVOZD6EXF1U" localSheetId="0" hidden="1">#REF!</definedName>
    <definedName name="BExEQJ1K3Q7LOLBHHKVOZD6EXF1U" localSheetId="22" hidden="1">#REF!</definedName>
    <definedName name="BExEQJ1K3Q7LOLBHHKVOZD6EXF1U" hidden="1">#REF!</definedName>
    <definedName name="BExEQSHC2NRA0LAKB0JUMSYJWC5P" localSheetId="7" hidden="1">#REF!</definedName>
    <definedName name="BExEQSHC2NRA0LAKB0JUMSYJWC5P" localSheetId="8" hidden="1">#REF!</definedName>
    <definedName name="BExEQSHC2NRA0LAKB0JUMSYJWC5P" localSheetId="0" hidden="1">#REF!</definedName>
    <definedName name="BExEQSHC2NRA0LAKB0JUMSYJWC5P" localSheetId="22" hidden="1">#REF!</definedName>
    <definedName name="BExEQSHC2NRA0LAKB0JUMSYJWC5P" hidden="1">#REF!</definedName>
    <definedName name="BExEQUFDXWZN9ROGQISKH4SDFZYX" localSheetId="7" hidden="1">#REF!</definedName>
    <definedName name="BExEQUFDXWZN9ROGQISKH4SDFZYX" localSheetId="8" hidden="1">#REF!</definedName>
    <definedName name="BExEQUFDXWZN9ROGQISKH4SDFZYX" localSheetId="0" hidden="1">#REF!</definedName>
    <definedName name="BExEQUFDXWZN9ROGQISKH4SDFZYX" localSheetId="22" hidden="1">#REF!</definedName>
    <definedName name="BExEQUFDXWZN9ROGQISKH4SDFZYX" hidden="1">#REF!</definedName>
    <definedName name="BExER57UU183X1RFWKP1BH49FEJE" localSheetId="7" hidden="1">#REF!</definedName>
    <definedName name="BExER57UU183X1RFWKP1BH49FEJE" localSheetId="8" hidden="1">#REF!</definedName>
    <definedName name="BExER57UU183X1RFWKP1BH49FEJE" localSheetId="0" hidden="1">#REF!</definedName>
    <definedName name="BExER57UU183X1RFWKP1BH49FEJE" localSheetId="22" hidden="1">#REF!</definedName>
    <definedName name="BExER57UU183X1RFWKP1BH49FEJE" hidden="1">#REF!</definedName>
    <definedName name="BExERLEGOJ8LKU0LINW33J526GVF" localSheetId="7" hidden="1">#REF!</definedName>
    <definedName name="BExERLEGOJ8LKU0LINW33J526GVF" localSheetId="8" hidden="1">#REF!</definedName>
    <definedName name="BExERLEGOJ8LKU0LINW33J526GVF" localSheetId="0" hidden="1">#REF!</definedName>
    <definedName name="BExERLEGOJ8LKU0LINW33J526GVF" localSheetId="22" hidden="1">#REF!</definedName>
    <definedName name="BExERLEGOJ8LKU0LINW33J526GVF" hidden="1">#REF!</definedName>
    <definedName name="BExES2S9BD8ZXCTKN9JER0HI5OA6" localSheetId="7" hidden="1">[1]ZQBC_PLN_01_03_N!#REF!</definedName>
    <definedName name="BExES2S9BD8ZXCTKN9JER0HI5OA6" localSheetId="8" hidden="1">[1]ZQBC_PLN_01_03_N!#REF!</definedName>
    <definedName name="BExES2S9BD8ZXCTKN9JER0HI5OA6" localSheetId="0" hidden="1">[1]ZQBC_PLN_01_03_N!#REF!</definedName>
    <definedName name="BExES2S9BD8ZXCTKN9JER0HI5OA6" localSheetId="22" hidden="1">[1]ZQBC_PLN_01_03_N!#REF!</definedName>
    <definedName name="BExES2S9BD8ZXCTKN9JER0HI5OA6" hidden="1">[1]ZQBC_PLN_01_03_N!#REF!</definedName>
    <definedName name="BExES3ZGDXY8KNY6G6Z0C2Q7W1UE" localSheetId="7" hidden="1">#REF!</definedName>
    <definedName name="BExES3ZGDXY8KNY6G6Z0C2Q7W1UE" localSheetId="8" hidden="1">#REF!</definedName>
    <definedName name="BExES3ZGDXY8KNY6G6Z0C2Q7W1UE" localSheetId="0" hidden="1">#REF!</definedName>
    <definedName name="BExES3ZGDXY8KNY6G6Z0C2Q7W1UE" localSheetId="22" hidden="1">#REF!</definedName>
    <definedName name="BExES3ZGDXY8KNY6G6Z0C2Q7W1UE" hidden="1">#REF!</definedName>
    <definedName name="BExET0I18QJURUPDE70GTHOEX0SQ" localSheetId="7" hidden="1">#REF!</definedName>
    <definedName name="BExET0I18QJURUPDE70GTHOEX0SQ" localSheetId="8" hidden="1">#REF!</definedName>
    <definedName name="BExET0I18QJURUPDE70GTHOEX0SQ" localSheetId="0" hidden="1">#REF!</definedName>
    <definedName name="BExET0I18QJURUPDE70GTHOEX0SQ" localSheetId="22" hidden="1">#REF!</definedName>
    <definedName name="BExET0I18QJURUPDE70GTHOEX0SQ" hidden="1">#REF!</definedName>
    <definedName name="BExET2WCLE0DG23ZOO35V56ZWFE0" localSheetId="7" hidden="1">#REF!</definedName>
    <definedName name="BExET2WCLE0DG23ZOO35V56ZWFE0" localSheetId="8" hidden="1">#REF!</definedName>
    <definedName name="BExET2WCLE0DG23ZOO35V56ZWFE0" localSheetId="0" hidden="1">#REF!</definedName>
    <definedName name="BExET2WCLE0DG23ZOO35V56ZWFE0" localSheetId="22" hidden="1">#REF!</definedName>
    <definedName name="BExET2WCLE0DG23ZOO35V56ZWFE0" hidden="1">#REF!</definedName>
    <definedName name="BExET7ZSNZQOBO7Y3I86YBBZQCHH" localSheetId="7" hidden="1">#REF!</definedName>
    <definedName name="BExET7ZSNZQOBO7Y3I86YBBZQCHH" localSheetId="8" hidden="1">#REF!</definedName>
    <definedName name="BExET7ZSNZQOBO7Y3I86YBBZQCHH" localSheetId="0" hidden="1">#REF!</definedName>
    <definedName name="BExET7ZSNZQOBO7Y3I86YBBZQCHH" localSheetId="22" hidden="1">#REF!</definedName>
    <definedName name="BExET7ZSNZQOBO7Y3I86YBBZQCHH" hidden="1">#REF!</definedName>
    <definedName name="BExETNVMGCJC3ALIE9UAACWRR2FP" localSheetId="7" hidden="1">[1]ZQZBC_REG_02_04!#REF!</definedName>
    <definedName name="BExETNVMGCJC3ALIE9UAACWRR2FP" localSheetId="8" hidden="1">[1]ZQZBC_REG_02_04!#REF!</definedName>
    <definedName name="BExETNVMGCJC3ALIE9UAACWRR2FP" localSheetId="0" hidden="1">[1]ZQZBC_REG_02_04!#REF!</definedName>
    <definedName name="BExETNVMGCJC3ALIE9UAACWRR2FP" localSheetId="22" hidden="1">[1]ZQZBC_REG_02_04!#REF!</definedName>
    <definedName name="BExETNVMGCJC3ALIE9UAACWRR2FP" hidden="1">[1]ZQZBC_REG_02_04!#REF!</definedName>
    <definedName name="BExETQVI3OYIOG4I10N5MR6Q532N" localSheetId="7" hidden="1">#REF!</definedName>
    <definedName name="BExETQVI3OYIOG4I10N5MR6Q532N" localSheetId="8" hidden="1">#REF!</definedName>
    <definedName name="BExETQVI3OYIOG4I10N5MR6Q532N" localSheetId="0" hidden="1">#REF!</definedName>
    <definedName name="BExETQVI3OYIOG4I10N5MR6Q532N" localSheetId="22" hidden="1">#REF!</definedName>
    <definedName name="BExETQVI3OYIOG4I10N5MR6Q532N" hidden="1">#REF!</definedName>
    <definedName name="BExETTKNDWYFZUG3HN4NEKWEB5YV" localSheetId="7" hidden="1">#REF!</definedName>
    <definedName name="BExETTKNDWYFZUG3HN4NEKWEB5YV" localSheetId="8" hidden="1">#REF!</definedName>
    <definedName name="BExETTKNDWYFZUG3HN4NEKWEB5YV" localSheetId="0" hidden="1">#REF!</definedName>
    <definedName name="BExETTKNDWYFZUG3HN4NEKWEB5YV" localSheetId="22" hidden="1">#REF!</definedName>
    <definedName name="BExETTKNDWYFZUG3HN4NEKWEB5YV" hidden="1">#REF!</definedName>
    <definedName name="BExETVO4QFP3S410LJIEWIHYDHOU" localSheetId="7" hidden="1">#REF!</definedName>
    <definedName name="BExETVO4QFP3S410LJIEWIHYDHOU" localSheetId="8" hidden="1">#REF!</definedName>
    <definedName name="BExETVO4QFP3S410LJIEWIHYDHOU" localSheetId="0" hidden="1">#REF!</definedName>
    <definedName name="BExETVO4QFP3S410LJIEWIHYDHOU" localSheetId="22" hidden="1">#REF!</definedName>
    <definedName name="BExETVO4QFP3S410LJIEWIHYDHOU" hidden="1">#REF!</definedName>
    <definedName name="BExEUK8W4EHPSN1LEAL67UI9LBU2" localSheetId="7" hidden="1">#REF!</definedName>
    <definedName name="BExEUK8W4EHPSN1LEAL67UI9LBU2" localSheetId="8" hidden="1">#REF!</definedName>
    <definedName name="BExEUK8W4EHPSN1LEAL67UI9LBU2" localSheetId="0" hidden="1">#REF!</definedName>
    <definedName name="BExEUK8W4EHPSN1LEAL67UI9LBU2" localSheetId="22" hidden="1">#REF!</definedName>
    <definedName name="BExEUK8W4EHPSN1LEAL67UI9LBU2" hidden="1">#REF!</definedName>
    <definedName name="BExEUNJKP9A47DKEHQJLAJH3BZP5" localSheetId="7" hidden="1">#REF!</definedName>
    <definedName name="BExEUNJKP9A47DKEHQJLAJH3BZP5" localSheetId="8" hidden="1">#REF!</definedName>
    <definedName name="BExEUNJKP9A47DKEHQJLAJH3BZP5" localSheetId="0" hidden="1">#REF!</definedName>
    <definedName name="BExEUNJKP9A47DKEHQJLAJH3BZP5" localSheetId="22" hidden="1">#REF!</definedName>
    <definedName name="BExEUNJKP9A47DKEHQJLAJH3BZP5" hidden="1">#REF!</definedName>
    <definedName name="BExEV7BIXY0PNBZD7CP4KPCKXYBN" localSheetId="7" hidden="1">#REF!</definedName>
    <definedName name="BExEV7BIXY0PNBZD7CP4KPCKXYBN" localSheetId="8" hidden="1">#REF!</definedName>
    <definedName name="BExEV7BIXY0PNBZD7CP4KPCKXYBN" localSheetId="0" hidden="1">#REF!</definedName>
    <definedName name="BExEV7BIXY0PNBZD7CP4KPCKXYBN" localSheetId="22" hidden="1">#REF!</definedName>
    <definedName name="BExEV7BIXY0PNBZD7CP4KPCKXYBN" hidden="1">#REF!</definedName>
    <definedName name="BExEWAA7JPZT6S8NDDQAF91HY7P7" localSheetId="7" hidden="1">#REF!</definedName>
    <definedName name="BExEWAA7JPZT6S8NDDQAF91HY7P7" localSheetId="8" hidden="1">#REF!</definedName>
    <definedName name="BExEWAA7JPZT6S8NDDQAF91HY7P7" localSheetId="0" hidden="1">#REF!</definedName>
    <definedName name="BExEWAA7JPZT6S8NDDQAF91HY7P7" localSheetId="22" hidden="1">#REF!</definedName>
    <definedName name="BExEWAA7JPZT6S8NDDQAF91HY7P7" hidden="1">#REF!</definedName>
    <definedName name="BExEX25N6632Q2U1DH066VVMMAGN" localSheetId="7" hidden="1">#REF!</definedName>
    <definedName name="BExEX25N6632Q2U1DH066VVMMAGN" localSheetId="8" hidden="1">#REF!</definedName>
    <definedName name="BExEX25N6632Q2U1DH066VVMMAGN" localSheetId="0" hidden="1">#REF!</definedName>
    <definedName name="BExEX25N6632Q2U1DH066VVMMAGN" localSheetId="22" hidden="1">#REF!</definedName>
    <definedName name="BExEX25N6632Q2U1DH066VVMMAGN" hidden="1">#REF!</definedName>
    <definedName name="BExEX2AYGYOUGXE1L7DN0B6WR66E" localSheetId="7" hidden="1">#REF!</definedName>
    <definedName name="BExEX2AYGYOUGXE1L7DN0B6WR66E" localSheetId="8" hidden="1">#REF!</definedName>
    <definedName name="BExEX2AYGYOUGXE1L7DN0B6WR66E" localSheetId="0" hidden="1">#REF!</definedName>
    <definedName name="BExEX2AYGYOUGXE1L7DN0B6WR66E" localSheetId="22" hidden="1">#REF!</definedName>
    <definedName name="BExEX2AYGYOUGXE1L7DN0B6WR66E" hidden="1">#REF!</definedName>
    <definedName name="BExEX4JXQ0L060X8PFTI6UGHNFNW" localSheetId="7" hidden="1">#REF!</definedName>
    <definedName name="BExEX4JXQ0L060X8PFTI6UGHNFNW" localSheetId="8" hidden="1">#REF!</definedName>
    <definedName name="BExEX4JXQ0L060X8PFTI6UGHNFNW" localSheetId="0" hidden="1">#REF!</definedName>
    <definedName name="BExEX4JXQ0L060X8PFTI6UGHNFNW" localSheetId="22" hidden="1">#REF!</definedName>
    <definedName name="BExEX4JXQ0L060X8PFTI6UGHNFNW" hidden="1">#REF!</definedName>
    <definedName name="BExEY6GS4CBI6JNK5AV1BZ04YHFQ" localSheetId="7" hidden="1">[1]ZQZBC_REG_02_04!#REF!</definedName>
    <definedName name="BExEY6GS4CBI6JNK5AV1BZ04YHFQ" localSheetId="8" hidden="1">[1]ZQZBC_REG_02_04!#REF!</definedName>
    <definedName name="BExEY6GS4CBI6JNK5AV1BZ04YHFQ" localSheetId="0" hidden="1">[1]ZQZBC_REG_02_04!#REF!</definedName>
    <definedName name="BExEY6GS4CBI6JNK5AV1BZ04YHFQ" localSheetId="22" hidden="1">[1]ZQZBC_REG_02_04!#REF!</definedName>
    <definedName name="BExEY6GS4CBI6JNK5AV1BZ04YHFQ" hidden="1">[1]ZQZBC_REG_02_04!#REF!</definedName>
    <definedName name="BExEY7IFW8RTSNNV3FHHYEO5H0AE" localSheetId="7" hidden="1">#REF!</definedName>
    <definedName name="BExEY7IFW8RTSNNV3FHHYEO5H0AE" localSheetId="8" hidden="1">#REF!</definedName>
    <definedName name="BExEY7IFW8RTSNNV3FHHYEO5H0AE" localSheetId="0" hidden="1">#REF!</definedName>
    <definedName name="BExEY7IFW8RTSNNV3FHHYEO5H0AE" localSheetId="22" hidden="1">#REF!</definedName>
    <definedName name="BExEY7IFW8RTSNNV3FHHYEO5H0AE" hidden="1">#REF!</definedName>
    <definedName name="BExEYKJVZPE3A96B8AIP3IITD56G" localSheetId="7" hidden="1">#REF!</definedName>
    <definedName name="BExEYKJVZPE3A96B8AIP3IITD56G" localSheetId="8" hidden="1">#REF!</definedName>
    <definedName name="BExEYKJVZPE3A96B8AIP3IITD56G" localSheetId="0" hidden="1">#REF!</definedName>
    <definedName name="BExEYKJVZPE3A96B8AIP3IITD56G" localSheetId="22" hidden="1">#REF!</definedName>
    <definedName name="BExEYKJVZPE3A96B8AIP3IITD56G" hidden="1">#REF!</definedName>
    <definedName name="BExEYT3BE479OQUPMUL7NL87HFNU" localSheetId="7" hidden="1">#REF!</definedName>
    <definedName name="BExEYT3BE479OQUPMUL7NL87HFNU" localSheetId="8" hidden="1">#REF!</definedName>
    <definedName name="BExEYT3BE479OQUPMUL7NL87HFNU" localSheetId="0" hidden="1">#REF!</definedName>
    <definedName name="BExEYT3BE479OQUPMUL7NL87HFNU" localSheetId="22" hidden="1">#REF!</definedName>
    <definedName name="BExEYT3BE479OQUPMUL7NL87HFNU" hidden="1">#REF!</definedName>
    <definedName name="BExEZW1Y3M57RRZ56VV7DF9X619L" localSheetId="7" hidden="1">#REF!</definedName>
    <definedName name="BExEZW1Y3M57RRZ56VV7DF9X619L" localSheetId="8" hidden="1">#REF!</definedName>
    <definedName name="BExEZW1Y3M57RRZ56VV7DF9X619L" localSheetId="0" hidden="1">#REF!</definedName>
    <definedName name="BExEZW1Y3M57RRZ56VV7DF9X619L" localSheetId="22" hidden="1">#REF!</definedName>
    <definedName name="BExEZW1Y3M57RRZ56VV7DF9X619L" hidden="1">#REF!</definedName>
    <definedName name="BExF0MKRZGF4F706JCNS1KIYEVDX" localSheetId="7" hidden="1">#REF!</definedName>
    <definedName name="BExF0MKRZGF4F706JCNS1KIYEVDX" localSheetId="8" hidden="1">#REF!</definedName>
    <definedName name="BExF0MKRZGF4F706JCNS1KIYEVDX" localSheetId="0" hidden="1">#REF!</definedName>
    <definedName name="BExF0MKRZGF4F706JCNS1KIYEVDX" localSheetId="22" hidden="1">#REF!</definedName>
    <definedName name="BExF0MKRZGF4F706JCNS1KIYEVDX" hidden="1">#REF!</definedName>
    <definedName name="BExF14K5R2H1H9JV0N6DBLHUIIKD" localSheetId="7" hidden="1">#REF!</definedName>
    <definedName name="BExF14K5R2H1H9JV0N6DBLHUIIKD" localSheetId="8" hidden="1">#REF!</definedName>
    <definedName name="BExF14K5R2H1H9JV0N6DBLHUIIKD" localSheetId="0" hidden="1">#REF!</definedName>
    <definedName name="BExF14K5R2H1H9JV0N6DBLHUIIKD" localSheetId="22" hidden="1">#REF!</definedName>
    <definedName name="BExF14K5R2H1H9JV0N6DBLHUIIKD" hidden="1">#REF!</definedName>
    <definedName name="BExF1DZY1QG8VP29J7H1KWT95A9V" localSheetId="7" hidden="1">#REF!</definedName>
    <definedName name="BExF1DZY1QG8VP29J7H1KWT95A9V" localSheetId="8" hidden="1">#REF!</definedName>
    <definedName name="BExF1DZY1QG8VP29J7H1KWT95A9V" localSheetId="0" hidden="1">#REF!</definedName>
    <definedName name="BExF1DZY1QG8VP29J7H1KWT95A9V" localSheetId="22" hidden="1">#REF!</definedName>
    <definedName name="BExF1DZY1QG8VP29J7H1KWT95A9V" hidden="1">#REF!</definedName>
    <definedName name="BExF1TVSQQHB0Z0I0TL2ZLVCDE50" localSheetId="7" hidden="1">#REF!</definedName>
    <definedName name="BExF1TVSQQHB0Z0I0TL2ZLVCDE50" localSheetId="8" hidden="1">#REF!</definedName>
    <definedName name="BExF1TVSQQHB0Z0I0TL2ZLVCDE50" localSheetId="0" hidden="1">#REF!</definedName>
    <definedName name="BExF1TVSQQHB0Z0I0TL2ZLVCDE50" localSheetId="22" hidden="1">#REF!</definedName>
    <definedName name="BExF1TVSQQHB0Z0I0TL2ZLVCDE50" hidden="1">#REF!</definedName>
    <definedName name="BExF1UMV2FVEBVJLPLBOGV7DN1JS" localSheetId="7" hidden="1">#REF!</definedName>
    <definedName name="BExF1UMV2FVEBVJLPLBOGV7DN1JS" localSheetId="8" hidden="1">#REF!</definedName>
    <definedName name="BExF1UMV2FVEBVJLPLBOGV7DN1JS" localSheetId="0" hidden="1">#REF!</definedName>
    <definedName name="BExF1UMV2FVEBVJLPLBOGV7DN1JS" localSheetId="22" hidden="1">#REF!</definedName>
    <definedName name="BExF1UMV2FVEBVJLPLBOGV7DN1JS" hidden="1">#REF!</definedName>
    <definedName name="BExF277T1DEYNBXIVP54NWDNZRGX" localSheetId="7" hidden="1">#REF!</definedName>
    <definedName name="BExF277T1DEYNBXIVP54NWDNZRGX" localSheetId="8" hidden="1">#REF!</definedName>
    <definedName name="BExF277T1DEYNBXIVP54NWDNZRGX" localSheetId="0" hidden="1">#REF!</definedName>
    <definedName name="BExF277T1DEYNBXIVP54NWDNZRGX" localSheetId="22" hidden="1">#REF!</definedName>
    <definedName name="BExF277T1DEYNBXIVP54NWDNZRGX" hidden="1">#REF!</definedName>
    <definedName name="BExF3LPZ4VPJKH07FJC9FE74ZN6K" localSheetId="7" hidden="1">#REF!</definedName>
    <definedName name="BExF3LPZ4VPJKH07FJC9FE74ZN6K" localSheetId="8" hidden="1">#REF!</definedName>
    <definedName name="BExF3LPZ4VPJKH07FJC9FE74ZN6K" localSheetId="0" hidden="1">#REF!</definedName>
    <definedName name="BExF3LPZ4VPJKH07FJC9FE74ZN6K" localSheetId="22" hidden="1">#REF!</definedName>
    <definedName name="BExF3LPZ4VPJKH07FJC9FE74ZN6K" hidden="1">#REF!</definedName>
    <definedName name="BExF46EBVUYMWD5OAGU662W1V91N" localSheetId="7" hidden="1">#REF!</definedName>
    <definedName name="BExF46EBVUYMWD5OAGU662W1V91N" localSheetId="8" hidden="1">#REF!</definedName>
    <definedName name="BExF46EBVUYMWD5OAGU662W1V91N" localSheetId="0" hidden="1">#REF!</definedName>
    <definedName name="BExF46EBVUYMWD5OAGU662W1V91N" localSheetId="22" hidden="1">#REF!</definedName>
    <definedName name="BExF46EBVUYMWD5OAGU662W1V91N" hidden="1">#REF!</definedName>
    <definedName name="BExF4C3AU5TU7WPX9SVGYD0WUAI2" localSheetId="7" hidden="1">#REF!</definedName>
    <definedName name="BExF4C3AU5TU7WPX9SVGYD0WUAI2" localSheetId="8" hidden="1">#REF!</definedName>
    <definedName name="BExF4C3AU5TU7WPX9SVGYD0WUAI2" localSheetId="0" hidden="1">#REF!</definedName>
    <definedName name="BExF4C3AU5TU7WPX9SVGYD0WUAI2" localSheetId="22" hidden="1">#REF!</definedName>
    <definedName name="BExF4C3AU5TU7WPX9SVGYD0WUAI2" hidden="1">#REF!</definedName>
    <definedName name="BExF4MVQLYANEICBT7GH7RGV15G6" localSheetId="7" hidden="1">#REF!</definedName>
    <definedName name="BExF4MVQLYANEICBT7GH7RGV15G6" localSheetId="8" hidden="1">#REF!</definedName>
    <definedName name="BExF4MVQLYANEICBT7GH7RGV15G6" localSheetId="0" hidden="1">#REF!</definedName>
    <definedName name="BExF4MVQLYANEICBT7GH7RGV15G6" localSheetId="22" hidden="1">#REF!</definedName>
    <definedName name="BExF4MVQLYANEICBT7GH7RGV15G6" hidden="1">#REF!</definedName>
    <definedName name="BExF54EZT3FMJ79XYOCGA3DVLRAP" localSheetId="7" hidden="1">#REF!</definedName>
    <definedName name="BExF54EZT3FMJ79XYOCGA3DVLRAP" localSheetId="8" hidden="1">#REF!</definedName>
    <definedName name="BExF54EZT3FMJ79XYOCGA3DVLRAP" localSheetId="0" hidden="1">#REF!</definedName>
    <definedName name="BExF54EZT3FMJ79XYOCGA3DVLRAP" localSheetId="22" hidden="1">#REF!</definedName>
    <definedName name="BExF54EZT3FMJ79XYOCGA3DVLRAP" hidden="1">#REF!</definedName>
    <definedName name="BExF5L72S3DQ59NKC35YOMUWEG08" localSheetId="7" hidden="1">#REF!</definedName>
    <definedName name="BExF5L72S3DQ59NKC35YOMUWEG08" localSheetId="8" hidden="1">#REF!</definedName>
    <definedName name="BExF5L72S3DQ59NKC35YOMUWEG08" localSheetId="0" hidden="1">#REF!</definedName>
    <definedName name="BExF5L72S3DQ59NKC35YOMUWEG08" localSheetId="22" hidden="1">#REF!</definedName>
    <definedName name="BExF5L72S3DQ59NKC35YOMUWEG08" hidden="1">#REF!</definedName>
    <definedName name="BExF5OSJPJUHOBH5UO519MS5FV6M" localSheetId="7" hidden="1">#REF!</definedName>
    <definedName name="BExF5OSJPJUHOBH5UO519MS5FV6M" localSheetId="8" hidden="1">#REF!</definedName>
    <definedName name="BExF5OSJPJUHOBH5UO519MS5FV6M" localSheetId="0" hidden="1">#REF!</definedName>
    <definedName name="BExF5OSJPJUHOBH5UO519MS5FV6M" localSheetId="22" hidden="1">#REF!</definedName>
    <definedName name="BExF5OSJPJUHOBH5UO519MS5FV6M" hidden="1">#REF!</definedName>
    <definedName name="BExF6N3V8FNSQJC6A6MCF03ZAA5W" localSheetId="7" hidden="1">#REF!</definedName>
    <definedName name="BExF6N3V8FNSQJC6A6MCF03ZAA5W" localSheetId="8" hidden="1">#REF!</definedName>
    <definedName name="BExF6N3V8FNSQJC6A6MCF03ZAA5W" localSheetId="0" hidden="1">#REF!</definedName>
    <definedName name="BExF6N3V8FNSQJC6A6MCF03ZAA5W" localSheetId="22" hidden="1">#REF!</definedName>
    <definedName name="BExF6N3V8FNSQJC6A6MCF03ZAA5W" hidden="1">#REF!</definedName>
    <definedName name="BExF6RLQ6WFFIEHQGHDCL8RWF7PA" localSheetId="7" hidden="1">[1]ZQBC_PLN_01_03_N!#REF!</definedName>
    <definedName name="BExF6RLQ6WFFIEHQGHDCL8RWF7PA" localSheetId="8" hidden="1">[1]ZQBC_PLN_01_03_N!#REF!</definedName>
    <definedName name="BExF6RLQ6WFFIEHQGHDCL8RWF7PA" localSheetId="0" hidden="1">[1]ZQBC_PLN_01_03_N!#REF!</definedName>
    <definedName name="BExF6RLQ6WFFIEHQGHDCL8RWF7PA" localSheetId="22" hidden="1">[1]ZQBC_PLN_01_03_N!#REF!</definedName>
    <definedName name="BExF6RLQ6WFFIEHQGHDCL8RWF7PA" hidden="1">[1]ZQBC_PLN_01_03_N!#REF!</definedName>
    <definedName name="BExF78ORD51H2LCFAQWCLGK8FBM1" localSheetId="7" hidden="1">#REF!</definedName>
    <definedName name="BExF78ORD51H2LCFAQWCLGK8FBM1" localSheetId="8" hidden="1">#REF!</definedName>
    <definedName name="BExF78ORD51H2LCFAQWCLGK8FBM1" localSheetId="0" hidden="1">#REF!</definedName>
    <definedName name="BExF78ORD51H2LCFAQWCLGK8FBM1" localSheetId="22" hidden="1">#REF!</definedName>
    <definedName name="BExF78ORD51H2LCFAQWCLGK8FBM1" hidden="1">#REF!</definedName>
    <definedName name="BExF7SGU8IEYI1XVA6BWE687GAIJ" localSheetId="7" hidden="1">#REF!</definedName>
    <definedName name="BExF7SGU8IEYI1XVA6BWE687GAIJ" localSheetId="8" hidden="1">#REF!</definedName>
    <definedName name="BExF7SGU8IEYI1XVA6BWE687GAIJ" localSheetId="0" hidden="1">#REF!</definedName>
    <definedName name="BExF7SGU8IEYI1XVA6BWE687GAIJ" localSheetId="22" hidden="1">#REF!</definedName>
    <definedName name="BExF7SGU8IEYI1XVA6BWE687GAIJ" hidden="1">#REF!</definedName>
    <definedName name="BExF8C8YV94YAIMXCKIUOWNQNRBC" localSheetId="7" hidden="1">#REF!</definedName>
    <definedName name="BExF8C8YV94YAIMXCKIUOWNQNRBC" localSheetId="8" hidden="1">#REF!</definedName>
    <definedName name="BExF8C8YV94YAIMXCKIUOWNQNRBC" localSheetId="0" hidden="1">#REF!</definedName>
    <definedName name="BExF8C8YV94YAIMXCKIUOWNQNRBC" localSheetId="22" hidden="1">#REF!</definedName>
    <definedName name="BExF8C8YV94YAIMXCKIUOWNQNRBC" hidden="1">#REF!</definedName>
    <definedName name="BExF8FJMWWMW7WS84NZV7MCDWBO0" localSheetId="7" hidden="1">[1]ZQZBC_PLN_01_06_N!#REF!</definedName>
    <definedName name="BExF8FJMWWMW7WS84NZV7MCDWBO0" localSheetId="8" hidden="1">[1]ZQZBC_PLN_01_06_N!#REF!</definedName>
    <definedName name="BExF8FJMWWMW7WS84NZV7MCDWBO0" localSheetId="0" hidden="1">[1]ZQZBC_PLN_01_06_N!#REF!</definedName>
    <definedName name="BExF8FJMWWMW7WS84NZV7MCDWBO0" localSheetId="22" hidden="1">[1]ZQZBC_PLN_01_06_N!#REF!</definedName>
    <definedName name="BExF8FJMWWMW7WS84NZV7MCDWBO0" hidden="1">[1]ZQZBC_PLN_01_06_N!#REF!</definedName>
    <definedName name="BExGL6IPXDOHQ1LB2D3GZXKLLB4P" localSheetId="7" hidden="1">#REF!</definedName>
    <definedName name="BExGL6IPXDOHQ1LB2D3GZXKLLB4P" localSheetId="8" hidden="1">#REF!</definedName>
    <definedName name="BExGL6IPXDOHQ1LB2D3GZXKLLB4P" localSheetId="0" hidden="1">#REF!</definedName>
    <definedName name="BExGL6IPXDOHQ1LB2D3GZXKLLB4P" localSheetId="22" hidden="1">#REF!</definedName>
    <definedName name="BExGL6IPXDOHQ1LB2D3GZXKLLB4P" hidden="1">#REF!</definedName>
    <definedName name="BExGLF242K2L0E9HZNZTF0TTN33Q" localSheetId="7" hidden="1">#REF!</definedName>
    <definedName name="BExGLF242K2L0E9HZNZTF0TTN33Q" localSheetId="8" hidden="1">#REF!</definedName>
    <definedName name="BExGLF242K2L0E9HZNZTF0TTN33Q" localSheetId="0" hidden="1">#REF!</definedName>
    <definedName name="BExGLF242K2L0E9HZNZTF0TTN33Q" localSheetId="22" hidden="1">#REF!</definedName>
    <definedName name="BExGLF242K2L0E9HZNZTF0TTN33Q" hidden="1">#REF!</definedName>
    <definedName name="BExGM4ZIOWDPXHAR2FQQAOBA3QQD" localSheetId="7" hidden="1">#REF!</definedName>
    <definedName name="BExGM4ZIOWDPXHAR2FQQAOBA3QQD" localSheetId="8" hidden="1">#REF!</definedName>
    <definedName name="BExGM4ZIOWDPXHAR2FQQAOBA3QQD" localSheetId="0" hidden="1">#REF!</definedName>
    <definedName name="BExGM4ZIOWDPXHAR2FQQAOBA3QQD" localSheetId="22" hidden="1">#REF!</definedName>
    <definedName name="BExGM4ZIOWDPXHAR2FQQAOBA3QQD" hidden="1">#REF!</definedName>
    <definedName name="BExGMC6GO2W9TXUG7N8LXR0L17CZ" localSheetId="7" hidden="1">#REF!</definedName>
    <definedName name="BExGMC6GO2W9TXUG7N8LXR0L17CZ" localSheetId="8" hidden="1">#REF!</definedName>
    <definedName name="BExGMC6GO2W9TXUG7N8LXR0L17CZ" localSheetId="0" hidden="1">#REF!</definedName>
    <definedName name="BExGMC6GO2W9TXUG7N8LXR0L17CZ" localSheetId="22" hidden="1">#REF!</definedName>
    <definedName name="BExGMC6GO2W9TXUG7N8LXR0L17CZ" hidden="1">#REF!</definedName>
    <definedName name="BExGMP2FJRFW3IHF713S83MUNO63" localSheetId="7" hidden="1">#REF!</definedName>
    <definedName name="BExGMP2FJRFW3IHF713S83MUNO63" localSheetId="8" hidden="1">#REF!</definedName>
    <definedName name="BExGMP2FJRFW3IHF713S83MUNO63" localSheetId="0" hidden="1">#REF!</definedName>
    <definedName name="BExGMP2FJRFW3IHF713S83MUNO63" localSheetId="22" hidden="1">#REF!</definedName>
    <definedName name="BExGMP2FJRFW3IHF713S83MUNO63" hidden="1">#REF!</definedName>
    <definedName name="BExGNEUCBX3Y5PZ217AK4UFULZGP" localSheetId="7" hidden="1">#REF!</definedName>
    <definedName name="BExGNEUCBX3Y5PZ217AK4UFULZGP" localSheetId="8" hidden="1">#REF!</definedName>
    <definedName name="BExGNEUCBX3Y5PZ217AK4UFULZGP" localSheetId="0" hidden="1">#REF!</definedName>
    <definedName name="BExGNEUCBX3Y5PZ217AK4UFULZGP" localSheetId="22" hidden="1">#REF!</definedName>
    <definedName name="BExGNEUCBX3Y5PZ217AK4UFULZGP" hidden="1">#REF!</definedName>
    <definedName name="BExGNUKPXEN546BV5YY8S7LMWOX2" localSheetId="7" hidden="1">#REF!</definedName>
    <definedName name="BExGNUKPXEN546BV5YY8S7LMWOX2" localSheetId="8" hidden="1">#REF!</definedName>
    <definedName name="BExGNUKPXEN546BV5YY8S7LMWOX2" localSheetId="0" hidden="1">#REF!</definedName>
    <definedName name="BExGNUKPXEN546BV5YY8S7LMWOX2" localSheetId="22" hidden="1">#REF!</definedName>
    <definedName name="BExGNUKPXEN546BV5YY8S7LMWOX2" hidden="1">#REF!</definedName>
    <definedName name="BExGO1GWKH1LJYM1TW7FQYDWB4Q9" localSheetId="7" hidden="1">#REF!</definedName>
    <definedName name="BExGO1GWKH1LJYM1TW7FQYDWB4Q9" localSheetId="8" hidden="1">#REF!</definedName>
    <definedName name="BExGO1GWKH1LJYM1TW7FQYDWB4Q9" localSheetId="0" hidden="1">#REF!</definedName>
    <definedName name="BExGO1GWKH1LJYM1TW7FQYDWB4Q9" localSheetId="22" hidden="1">#REF!</definedName>
    <definedName name="BExGO1GWKH1LJYM1TW7FQYDWB4Q9" hidden="1">#REF!</definedName>
    <definedName name="BExGO7GOTXWOUHKJKTX32MSP3GNH" localSheetId="7" hidden="1">[1]ZQBC_PLN_01_03_N!#REF!</definedName>
    <definedName name="BExGO7GOTXWOUHKJKTX32MSP3GNH" localSheetId="8" hidden="1">[1]ZQBC_PLN_01_03_N!#REF!</definedName>
    <definedName name="BExGO7GOTXWOUHKJKTX32MSP3GNH" localSheetId="0" hidden="1">[1]ZQBC_PLN_01_03_N!#REF!</definedName>
    <definedName name="BExGO7GOTXWOUHKJKTX32MSP3GNH" localSheetId="22" hidden="1">[1]ZQBC_PLN_01_03_N!#REF!</definedName>
    <definedName name="BExGO7GOTXWOUHKJKTX32MSP3GNH" hidden="1">[1]ZQBC_PLN_01_03_N!#REF!</definedName>
    <definedName name="BExGPTLP106PIE3TKA2163916WPX" localSheetId="7" hidden="1">#REF!</definedName>
    <definedName name="BExGPTLP106PIE3TKA2163916WPX" localSheetId="8" hidden="1">#REF!</definedName>
    <definedName name="BExGPTLP106PIE3TKA2163916WPX" localSheetId="0" hidden="1">#REF!</definedName>
    <definedName name="BExGPTLP106PIE3TKA2163916WPX" localSheetId="22" hidden="1">#REF!</definedName>
    <definedName name="BExGPTLP106PIE3TKA2163916WPX" hidden="1">#REF!</definedName>
    <definedName name="BExGPU1Y147223U8ADBU8O74KD9T" localSheetId="7" hidden="1">#REF!</definedName>
    <definedName name="BExGPU1Y147223U8ADBU8O74KD9T" localSheetId="8" hidden="1">#REF!</definedName>
    <definedName name="BExGPU1Y147223U8ADBU8O74KD9T" localSheetId="0" hidden="1">#REF!</definedName>
    <definedName name="BExGPU1Y147223U8ADBU8O74KD9T" localSheetId="22" hidden="1">#REF!</definedName>
    <definedName name="BExGPU1Y147223U8ADBU8O74KD9T" hidden="1">#REF!</definedName>
    <definedName name="BExGPXSS8MSSUPWV44K89Z96B9TR" localSheetId="7" hidden="1">#REF!</definedName>
    <definedName name="BExGPXSS8MSSUPWV44K89Z96B9TR" localSheetId="8" hidden="1">#REF!</definedName>
    <definedName name="BExGPXSS8MSSUPWV44K89Z96B9TR" localSheetId="0" hidden="1">#REF!</definedName>
    <definedName name="BExGPXSS8MSSUPWV44K89Z96B9TR" localSheetId="22" hidden="1">#REF!</definedName>
    <definedName name="BExGPXSS8MSSUPWV44K89Z96B9TR" hidden="1">#REF!</definedName>
    <definedName name="BExGQ9SCA2OJYNB1N6WEQ2UEK5TX" localSheetId="7" hidden="1">#REF!</definedName>
    <definedName name="BExGQ9SCA2OJYNB1N6WEQ2UEK5TX" localSheetId="8" hidden="1">#REF!</definedName>
    <definedName name="BExGQ9SCA2OJYNB1N6WEQ2UEK5TX" localSheetId="0" hidden="1">#REF!</definedName>
    <definedName name="BExGQ9SCA2OJYNB1N6WEQ2UEK5TX" localSheetId="22" hidden="1">#REF!</definedName>
    <definedName name="BExGQ9SCA2OJYNB1N6WEQ2UEK5TX" hidden="1">#REF!</definedName>
    <definedName name="BExGQBAA4HRKVWA7F9DJELI595BJ" localSheetId="7" hidden="1">[1]ZQZBC_REG_02_04!#REF!</definedName>
    <definedName name="BExGQBAA4HRKVWA7F9DJELI595BJ" localSheetId="8" hidden="1">[1]ZQZBC_REG_02_04!#REF!</definedName>
    <definedName name="BExGQBAA4HRKVWA7F9DJELI595BJ" localSheetId="0" hidden="1">[1]ZQZBC_REG_02_04!#REF!</definedName>
    <definedName name="BExGQBAA4HRKVWA7F9DJELI595BJ" localSheetId="22" hidden="1">[1]ZQZBC_REG_02_04!#REF!</definedName>
    <definedName name="BExGQBAA4HRKVWA7F9DJELI595BJ" hidden="1">[1]ZQZBC_REG_02_04!#REF!</definedName>
    <definedName name="BExGQJTX2KEG6KNLHJUI6XXVYUAP" localSheetId="7" hidden="1">#REF!</definedName>
    <definedName name="BExGQJTX2KEG6KNLHJUI6XXVYUAP" localSheetId="8" hidden="1">#REF!</definedName>
    <definedName name="BExGQJTX2KEG6KNLHJUI6XXVYUAP" localSheetId="0" hidden="1">#REF!</definedName>
    <definedName name="BExGQJTX2KEG6KNLHJUI6XXVYUAP" localSheetId="22" hidden="1">#REF!</definedName>
    <definedName name="BExGQJTX2KEG6KNLHJUI6XXVYUAP" hidden="1">#REF!</definedName>
    <definedName name="BExGQT9PRQRURO5VSJ7QAB75O4ZO" localSheetId="7" hidden="1">#REF!</definedName>
    <definedName name="BExGQT9PRQRURO5VSJ7QAB75O4ZO" localSheetId="8" hidden="1">#REF!</definedName>
    <definedName name="BExGQT9PRQRURO5VSJ7QAB75O4ZO" localSheetId="0" hidden="1">#REF!</definedName>
    <definedName name="BExGQT9PRQRURO5VSJ7QAB75O4ZO" localSheetId="22" hidden="1">#REF!</definedName>
    <definedName name="BExGQT9PRQRURO5VSJ7QAB75O4ZO" hidden="1">#REF!</definedName>
    <definedName name="BExGR1T3LM1R8MCKU012AAAYTME2" localSheetId="7" hidden="1">#REF!</definedName>
    <definedName name="BExGR1T3LM1R8MCKU012AAAYTME2" localSheetId="8" hidden="1">#REF!</definedName>
    <definedName name="BExGR1T3LM1R8MCKU012AAAYTME2" localSheetId="0" hidden="1">#REF!</definedName>
    <definedName name="BExGR1T3LM1R8MCKU012AAAYTME2" localSheetId="22" hidden="1">#REF!</definedName>
    <definedName name="BExGR1T3LM1R8MCKU012AAAYTME2" hidden="1">#REF!</definedName>
    <definedName name="BExGR3B0XW7Z8V6KTDKTWZB2DCY2" localSheetId="7" hidden="1">#REF!</definedName>
    <definedName name="BExGR3B0XW7Z8V6KTDKTWZB2DCY2" localSheetId="8" hidden="1">#REF!</definedName>
    <definedName name="BExGR3B0XW7Z8V6KTDKTWZB2DCY2" localSheetId="0" hidden="1">#REF!</definedName>
    <definedName name="BExGR3B0XW7Z8V6KTDKTWZB2DCY2" localSheetId="22" hidden="1">#REF!</definedName>
    <definedName name="BExGR3B0XW7Z8V6KTDKTWZB2DCY2" hidden="1">#REF!</definedName>
    <definedName name="BExGR9WETFADNTMJ20GHNAJ1F7GF" localSheetId="7" hidden="1">#REF!</definedName>
    <definedName name="BExGR9WETFADNTMJ20GHNAJ1F7GF" localSheetId="8" hidden="1">#REF!</definedName>
    <definedName name="BExGR9WETFADNTMJ20GHNAJ1F7GF" localSheetId="0" hidden="1">#REF!</definedName>
    <definedName name="BExGR9WETFADNTMJ20GHNAJ1F7GF" localSheetId="22" hidden="1">#REF!</definedName>
    <definedName name="BExGR9WETFADNTMJ20GHNAJ1F7GF" hidden="1">#REF!</definedName>
    <definedName name="BExGROL49CRZFR0ZM4E999I1QQ9S" localSheetId="7" hidden="1">#REF!</definedName>
    <definedName name="BExGROL49CRZFR0ZM4E999I1QQ9S" localSheetId="8" hidden="1">#REF!</definedName>
    <definedName name="BExGROL49CRZFR0ZM4E999I1QQ9S" localSheetId="0" hidden="1">#REF!</definedName>
    <definedName name="BExGROL49CRZFR0ZM4E999I1QQ9S" localSheetId="22" hidden="1">#REF!</definedName>
    <definedName name="BExGROL49CRZFR0ZM4E999I1QQ9S" hidden="1">#REF!</definedName>
    <definedName name="BExGRTOI9X3XYYD89XDEAVZ9OJYR" localSheetId="7" hidden="1">#REF!</definedName>
    <definedName name="BExGRTOI9X3XYYD89XDEAVZ9OJYR" localSheetId="8" hidden="1">#REF!</definedName>
    <definedName name="BExGRTOI9X3XYYD89XDEAVZ9OJYR" localSheetId="0" hidden="1">#REF!</definedName>
    <definedName name="BExGRTOI9X3XYYD89XDEAVZ9OJYR" localSheetId="22" hidden="1">#REF!</definedName>
    <definedName name="BExGRTOI9X3XYYD89XDEAVZ9OJYR" hidden="1">#REF!</definedName>
    <definedName name="BExGRUKW38WQTDJEN27QDQNQUYGY" localSheetId="7" hidden="1">#REF!</definedName>
    <definedName name="BExGRUKW38WQTDJEN27QDQNQUYGY" localSheetId="8" hidden="1">#REF!</definedName>
    <definedName name="BExGRUKW38WQTDJEN27QDQNQUYGY" localSheetId="0" hidden="1">#REF!</definedName>
    <definedName name="BExGRUKW38WQTDJEN27QDQNQUYGY" localSheetId="22" hidden="1">#REF!</definedName>
    <definedName name="BExGRUKW38WQTDJEN27QDQNQUYGY" hidden="1">#REF!</definedName>
    <definedName name="BExGS40UM7IOCY32AO2PA15YRVVK" localSheetId="7" hidden="1">#REF!</definedName>
    <definedName name="BExGS40UM7IOCY32AO2PA15YRVVK" localSheetId="8" hidden="1">#REF!</definedName>
    <definedName name="BExGS40UM7IOCY32AO2PA15YRVVK" localSheetId="0" hidden="1">#REF!</definedName>
    <definedName name="BExGS40UM7IOCY32AO2PA15YRVVK" localSheetId="22" hidden="1">#REF!</definedName>
    <definedName name="BExGS40UM7IOCY32AO2PA15YRVVK" hidden="1">#REF!</definedName>
    <definedName name="BExGSNI1EAT5IRCJ0AXWH8ANOETX" localSheetId="7" hidden="1">[1]ZQZBC_REG_02_04!#REF!</definedName>
    <definedName name="BExGSNI1EAT5IRCJ0AXWH8ANOETX" localSheetId="8" hidden="1">[1]ZQZBC_REG_02_04!#REF!</definedName>
    <definedName name="BExGSNI1EAT5IRCJ0AXWH8ANOETX" localSheetId="0" hidden="1">[1]ZQZBC_REG_02_04!#REF!</definedName>
    <definedName name="BExGSNI1EAT5IRCJ0AXWH8ANOETX" localSheetId="22" hidden="1">[1]ZQZBC_REG_02_04!#REF!</definedName>
    <definedName name="BExGSNI1EAT5IRCJ0AXWH8ANOETX" hidden="1">[1]ZQZBC_REG_02_04!#REF!</definedName>
    <definedName name="BExGTEMEB67U5UI9VJ04JZCOEFXF" localSheetId="7" hidden="1">#REF!</definedName>
    <definedName name="BExGTEMEB67U5UI9VJ04JZCOEFXF" localSheetId="8" hidden="1">#REF!</definedName>
    <definedName name="BExGTEMEB67U5UI9VJ04JZCOEFXF" localSheetId="0" hidden="1">#REF!</definedName>
    <definedName name="BExGTEMEB67U5UI9VJ04JZCOEFXF" localSheetId="22" hidden="1">#REF!</definedName>
    <definedName name="BExGTEMEB67U5UI9VJ04JZCOEFXF" hidden="1">#REF!</definedName>
    <definedName name="BExGTMPV2QPNUZ0KSJPPAJWMZ30O" localSheetId="7" hidden="1">#REF!</definedName>
    <definedName name="BExGTMPV2QPNUZ0KSJPPAJWMZ30O" localSheetId="8" hidden="1">#REF!</definedName>
    <definedName name="BExGTMPV2QPNUZ0KSJPPAJWMZ30O" localSheetId="0" hidden="1">#REF!</definedName>
    <definedName name="BExGTMPV2QPNUZ0KSJPPAJWMZ30O" localSheetId="22" hidden="1">#REF!</definedName>
    <definedName name="BExGTMPV2QPNUZ0KSJPPAJWMZ30O" hidden="1">#REF!</definedName>
    <definedName name="BExGTP9IOR5YLLW4H17ARKFWK1DT" localSheetId="7" hidden="1">#REF!</definedName>
    <definedName name="BExGTP9IOR5YLLW4H17ARKFWK1DT" localSheetId="8" hidden="1">#REF!</definedName>
    <definedName name="BExGTP9IOR5YLLW4H17ARKFWK1DT" localSheetId="0" hidden="1">#REF!</definedName>
    <definedName name="BExGTP9IOR5YLLW4H17ARKFWK1DT" localSheetId="22" hidden="1">#REF!</definedName>
    <definedName name="BExGTP9IOR5YLLW4H17ARKFWK1DT" hidden="1">#REF!</definedName>
    <definedName name="BExGTRNUSPUD0J6S0N1V8YEOT8GH" localSheetId="7" hidden="1">#REF!</definedName>
    <definedName name="BExGTRNUSPUD0J6S0N1V8YEOT8GH" localSheetId="8" hidden="1">#REF!</definedName>
    <definedName name="BExGTRNUSPUD0J6S0N1V8YEOT8GH" localSheetId="0" hidden="1">#REF!</definedName>
    <definedName name="BExGTRNUSPUD0J6S0N1V8YEOT8GH" localSheetId="22" hidden="1">#REF!</definedName>
    <definedName name="BExGTRNUSPUD0J6S0N1V8YEOT8GH" hidden="1">#REF!</definedName>
    <definedName name="BExGU4ZW66RINTPSA4PIO5Q6IMM1" localSheetId="7" hidden="1">#REF!</definedName>
    <definedName name="BExGU4ZW66RINTPSA4PIO5Q6IMM1" localSheetId="8" hidden="1">#REF!</definedName>
    <definedName name="BExGU4ZW66RINTPSA4PIO5Q6IMM1" localSheetId="0" hidden="1">#REF!</definedName>
    <definedName name="BExGU4ZW66RINTPSA4PIO5Q6IMM1" localSheetId="22" hidden="1">#REF!</definedName>
    <definedName name="BExGU4ZW66RINTPSA4PIO5Q6IMM1" hidden="1">#REF!</definedName>
    <definedName name="BExGUB4ZYK53FVNAULUIBHN8D8KT" localSheetId="7" hidden="1">#REF!</definedName>
    <definedName name="BExGUB4ZYK53FVNAULUIBHN8D8KT" localSheetId="8" hidden="1">#REF!</definedName>
    <definedName name="BExGUB4ZYK53FVNAULUIBHN8D8KT" localSheetId="0" hidden="1">#REF!</definedName>
    <definedName name="BExGUB4ZYK53FVNAULUIBHN8D8KT" localSheetId="22" hidden="1">#REF!</definedName>
    <definedName name="BExGUB4ZYK53FVNAULUIBHN8D8KT" hidden="1">#REF!</definedName>
    <definedName name="BExGUF18YDHXY8MC0905QAE23Q0A" localSheetId="7" hidden="1">#REF!</definedName>
    <definedName name="BExGUF18YDHXY8MC0905QAE23Q0A" localSheetId="8" hidden="1">#REF!</definedName>
    <definedName name="BExGUF18YDHXY8MC0905QAE23Q0A" localSheetId="0" hidden="1">#REF!</definedName>
    <definedName name="BExGUF18YDHXY8MC0905QAE23Q0A" localSheetId="22" hidden="1">#REF!</definedName>
    <definedName name="BExGUF18YDHXY8MC0905QAE23Q0A" hidden="1">#REF!</definedName>
    <definedName name="BExGUGU5SMJJAKC62NZE6ZCQR2QY" localSheetId="7" hidden="1">#REF!</definedName>
    <definedName name="BExGUGU5SMJJAKC62NZE6ZCQR2QY" localSheetId="8" hidden="1">#REF!</definedName>
    <definedName name="BExGUGU5SMJJAKC62NZE6ZCQR2QY" localSheetId="0" hidden="1">#REF!</definedName>
    <definedName name="BExGUGU5SMJJAKC62NZE6ZCQR2QY" localSheetId="22" hidden="1">#REF!</definedName>
    <definedName name="BExGUGU5SMJJAKC62NZE6ZCQR2QY" hidden="1">#REF!</definedName>
    <definedName name="BExGUNQBGWVAODJNAE79WA3TY0KA" localSheetId="7" hidden="1">#REF!</definedName>
    <definedName name="BExGUNQBGWVAODJNAE79WA3TY0KA" localSheetId="8" hidden="1">#REF!</definedName>
    <definedName name="BExGUNQBGWVAODJNAE79WA3TY0KA" localSheetId="0" hidden="1">#REF!</definedName>
    <definedName name="BExGUNQBGWVAODJNAE79WA3TY0KA" localSheetId="22" hidden="1">#REF!</definedName>
    <definedName name="BExGUNQBGWVAODJNAE79WA3TY0KA" hidden="1">#REF!</definedName>
    <definedName name="BExGUXX0RMWL5UWEX9XQGVON7C81" localSheetId="7" hidden="1">[1]ZQZBC_REG_02_04!#REF!</definedName>
    <definedName name="BExGUXX0RMWL5UWEX9XQGVON7C81" localSheetId="8" hidden="1">[1]ZQZBC_REG_02_04!#REF!</definedName>
    <definedName name="BExGUXX0RMWL5UWEX9XQGVON7C81" localSheetId="0" hidden="1">[1]ZQZBC_REG_02_04!#REF!</definedName>
    <definedName name="BExGUXX0RMWL5UWEX9XQGVON7C81" localSheetId="22" hidden="1">[1]ZQZBC_REG_02_04!#REF!</definedName>
    <definedName name="BExGUXX0RMWL5UWEX9XQGVON7C81" hidden="1">[1]ZQZBC_REG_02_04!#REF!</definedName>
    <definedName name="BExGV7NSHPKQEYFH3A6ADICPV7J3" localSheetId="7" hidden="1">#REF!</definedName>
    <definedName name="BExGV7NSHPKQEYFH3A6ADICPV7J3" localSheetId="8" hidden="1">#REF!</definedName>
    <definedName name="BExGV7NSHPKQEYFH3A6ADICPV7J3" localSheetId="0" hidden="1">#REF!</definedName>
    <definedName name="BExGV7NSHPKQEYFH3A6ADICPV7J3" localSheetId="22" hidden="1">#REF!</definedName>
    <definedName name="BExGV7NSHPKQEYFH3A6ADICPV7J3" hidden="1">#REF!</definedName>
    <definedName name="BExGV89CM03VO6YMTQCGLZTTHWKT" localSheetId="7" hidden="1">[1]ZQZBC_REG_02_04!#REF!</definedName>
    <definedName name="BExGV89CM03VO6YMTQCGLZTTHWKT" localSheetId="8" hidden="1">[1]ZQZBC_REG_02_04!#REF!</definedName>
    <definedName name="BExGV89CM03VO6YMTQCGLZTTHWKT" localSheetId="0" hidden="1">[1]ZQZBC_REG_02_04!#REF!</definedName>
    <definedName name="BExGV89CM03VO6YMTQCGLZTTHWKT" localSheetId="22" hidden="1">[1]ZQZBC_REG_02_04!#REF!</definedName>
    <definedName name="BExGV89CM03VO6YMTQCGLZTTHWKT" hidden="1">[1]ZQZBC_REG_02_04!#REF!</definedName>
    <definedName name="BExGVDSVEAGIFKSJN0ZD3H4YH73S" localSheetId="7" hidden="1">[1]ZQZBC_REG_02_04!#REF!</definedName>
    <definedName name="BExGVDSVEAGIFKSJN0ZD3H4YH73S" localSheetId="8" hidden="1">[1]ZQZBC_REG_02_04!#REF!</definedName>
    <definedName name="BExGVDSVEAGIFKSJN0ZD3H4YH73S" localSheetId="0" hidden="1">[1]ZQZBC_REG_02_04!#REF!</definedName>
    <definedName name="BExGVDSVEAGIFKSJN0ZD3H4YH73S" localSheetId="22" hidden="1">[1]ZQZBC_REG_02_04!#REF!</definedName>
    <definedName name="BExGVDSVEAGIFKSJN0ZD3H4YH73S" hidden="1">[1]ZQZBC_REG_02_04!#REF!</definedName>
    <definedName name="BExGWTNGUZLDT8OWLGBMXPUG5HMJ" localSheetId="7" hidden="1">#REF!</definedName>
    <definedName name="BExGWTNGUZLDT8OWLGBMXPUG5HMJ" localSheetId="8" hidden="1">#REF!</definedName>
    <definedName name="BExGWTNGUZLDT8OWLGBMXPUG5HMJ" localSheetId="0" hidden="1">#REF!</definedName>
    <definedName name="BExGWTNGUZLDT8OWLGBMXPUG5HMJ" localSheetId="22" hidden="1">#REF!</definedName>
    <definedName name="BExGWTNGUZLDT8OWLGBMXPUG5HMJ" hidden="1">#REF!</definedName>
    <definedName name="BExGX6JF49MJ890OVWJNG424P81P" localSheetId="7" hidden="1">#REF!</definedName>
    <definedName name="BExGX6JF49MJ890OVWJNG424P81P" localSheetId="8" hidden="1">#REF!</definedName>
    <definedName name="BExGX6JF49MJ890OVWJNG424P81P" localSheetId="0" hidden="1">#REF!</definedName>
    <definedName name="BExGX6JF49MJ890OVWJNG424P81P" localSheetId="22" hidden="1">#REF!</definedName>
    <definedName name="BExGX6JF49MJ890OVWJNG424P81P" hidden="1">#REF!</definedName>
    <definedName name="BExGX750HSKAL5M99Y0IC32NWEH5" localSheetId="7" hidden="1">#REF!</definedName>
    <definedName name="BExGX750HSKAL5M99Y0IC32NWEH5" localSheetId="8" hidden="1">#REF!</definedName>
    <definedName name="BExGX750HSKAL5M99Y0IC32NWEH5" localSheetId="0" hidden="1">#REF!</definedName>
    <definedName name="BExGX750HSKAL5M99Y0IC32NWEH5" localSheetId="22" hidden="1">#REF!</definedName>
    <definedName name="BExGX750HSKAL5M99Y0IC32NWEH5" hidden="1">#REF!</definedName>
    <definedName name="BExGXFJ4V0ESH0BTBTS5WODT9QO3" localSheetId="7" hidden="1">#REF!</definedName>
    <definedName name="BExGXFJ4V0ESH0BTBTS5WODT9QO3" localSheetId="8" hidden="1">#REF!</definedName>
    <definedName name="BExGXFJ4V0ESH0BTBTS5WODT9QO3" localSheetId="0" hidden="1">#REF!</definedName>
    <definedName name="BExGXFJ4V0ESH0BTBTS5WODT9QO3" localSheetId="22" hidden="1">#REF!</definedName>
    <definedName name="BExGXFJ4V0ESH0BTBTS5WODT9QO3" hidden="1">#REF!</definedName>
    <definedName name="BExGXYPIJEJ93NGVAM484CLDDIO7" localSheetId="7" hidden="1">#REF!</definedName>
    <definedName name="BExGXYPIJEJ93NGVAM484CLDDIO7" localSheetId="8" hidden="1">#REF!</definedName>
    <definedName name="BExGXYPIJEJ93NGVAM484CLDDIO7" localSheetId="0" hidden="1">#REF!</definedName>
    <definedName name="BExGXYPIJEJ93NGVAM484CLDDIO7" localSheetId="22" hidden="1">#REF!</definedName>
    <definedName name="BExGXYPIJEJ93NGVAM484CLDDIO7" hidden="1">#REF!</definedName>
    <definedName name="BExGYI1ICI41GGI0IJ9BPAT69IIQ" localSheetId="7" hidden="1">[1]ZQZBC_REG_02_04!#REF!</definedName>
    <definedName name="BExGYI1ICI41GGI0IJ9BPAT69IIQ" localSheetId="8" hidden="1">[1]ZQZBC_REG_02_04!#REF!</definedName>
    <definedName name="BExGYI1ICI41GGI0IJ9BPAT69IIQ" localSheetId="0" hidden="1">[1]ZQZBC_REG_02_04!#REF!</definedName>
    <definedName name="BExGYI1ICI41GGI0IJ9BPAT69IIQ" localSheetId="22" hidden="1">[1]ZQZBC_REG_02_04!#REF!</definedName>
    <definedName name="BExGYI1ICI41GGI0IJ9BPAT69IIQ" hidden="1">[1]ZQZBC_REG_02_04!#REF!</definedName>
    <definedName name="BExGYUH6UKKA3O4KEDTI3PZK3S0X" localSheetId="7" hidden="1">#REF!</definedName>
    <definedName name="BExGYUH6UKKA3O4KEDTI3PZK3S0X" localSheetId="8" hidden="1">#REF!</definedName>
    <definedName name="BExGYUH6UKKA3O4KEDTI3PZK3S0X" localSheetId="0" hidden="1">#REF!</definedName>
    <definedName name="BExGYUH6UKKA3O4KEDTI3PZK3S0X" localSheetId="22" hidden="1">#REF!</definedName>
    <definedName name="BExGYUH6UKKA3O4KEDTI3PZK3S0X" hidden="1">#REF!</definedName>
    <definedName name="BExGYY2ONE6WQ2Y2VQKX8XVVYJ6Y" localSheetId="7" hidden="1">#REF!</definedName>
    <definedName name="BExGYY2ONE6WQ2Y2VQKX8XVVYJ6Y" localSheetId="8" hidden="1">#REF!</definedName>
    <definedName name="BExGYY2ONE6WQ2Y2VQKX8XVVYJ6Y" localSheetId="0" hidden="1">#REF!</definedName>
    <definedName name="BExGYY2ONE6WQ2Y2VQKX8XVVYJ6Y" localSheetId="22" hidden="1">#REF!</definedName>
    <definedName name="BExGYY2ONE6WQ2Y2VQKX8XVVYJ6Y" hidden="1">#REF!</definedName>
    <definedName name="BExGZ2KIBCFCQQM8SVEARX84ALTB" localSheetId="7" hidden="1">#REF!</definedName>
    <definedName name="BExGZ2KIBCFCQQM8SVEARX84ALTB" localSheetId="8" hidden="1">#REF!</definedName>
    <definedName name="BExGZ2KIBCFCQQM8SVEARX84ALTB" localSheetId="0" hidden="1">#REF!</definedName>
    <definedName name="BExGZ2KIBCFCQQM8SVEARX84ALTB" localSheetId="22" hidden="1">#REF!</definedName>
    <definedName name="BExGZ2KIBCFCQQM8SVEARX84ALTB" hidden="1">#REF!</definedName>
    <definedName name="BExGZ6WW6IFSRA6M01SYGYTI9SYM" localSheetId="7" hidden="1">#REF!</definedName>
    <definedName name="BExGZ6WW6IFSRA6M01SYGYTI9SYM" localSheetId="8" hidden="1">#REF!</definedName>
    <definedName name="BExGZ6WW6IFSRA6M01SYGYTI9SYM" localSheetId="0" hidden="1">#REF!</definedName>
    <definedName name="BExGZ6WW6IFSRA6M01SYGYTI9SYM" localSheetId="22" hidden="1">#REF!</definedName>
    <definedName name="BExGZ6WW6IFSRA6M01SYGYTI9SYM" hidden="1">#REF!</definedName>
    <definedName name="BExGZ7NY2FDQEEKVKOHQ713UK89H" localSheetId="7" hidden="1">#REF!</definedName>
    <definedName name="BExGZ7NY2FDQEEKVKOHQ713UK89H" localSheetId="8" hidden="1">#REF!</definedName>
    <definedName name="BExGZ7NY2FDQEEKVKOHQ713UK89H" localSheetId="0" hidden="1">#REF!</definedName>
    <definedName name="BExGZ7NY2FDQEEKVKOHQ713UK89H" localSheetId="22" hidden="1">#REF!</definedName>
    <definedName name="BExGZ7NY2FDQEEKVKOHQ713UK89H" hidden="1">#REF!</definedName>
    <definedName name="BExGZ9BDDDJ8M4OMDCW6TR3YAWGW" localSheetId="7" hidden="1">#REF!</definedName>
    <definedName name="BExGZ9BDDDJ8M4OMDCW6TR3YAWGW" localSheetId="8" hidden="1">#REF!</definedName>
    <definedName name="BExGZ9BDDDJ8M4OMDCW6TR3YAWGW" localSheetId="0" hidden="1">#REF!</definedName>
    <definedName name="BExGZ9BDDDJ8M4OMDCW6TR3YAWGW" localSheetId="22" hidden="1">#REF!</definedName>
    <definedName name="BExGZ9BDDDJ8M4OMDCW6TR3YAWGW" hidden="1">#REF!</definedName>
    <definedName name="BExH05ZAO58KEEBYEVQXU5JLP0LH" localSheetId="7" hidden="1">#REF!</definedName>
    <definedName name="BExH05ZAO58KEEBYEVQXU5JLP0LH" localSheetId="8" hidden="1">#REF!</definedName>
    <definedName name="BExH05ZAO58KEEBYEVQXU5JLP0LH" localSheetId="0" hidden="1">#REF!</definedName>
    <definedName name="BExH05ZAO58KEEBYEVQXU5JLP0LH" localSheetId="22" hidden="1">#REF!</definedName>
    <definedName name="BExH05ZAO58KEEBYEVQXU5JLP0LH" hidden="1">#REF!</definedName>
    <definedName name="BExH0ETHUGLBXBWZPRRWL8IVCYIJ" localSheetId="7" hidden="1">#REF!</definedName>
    <definedName name="BExH0ETHUGLBXBWZPRRWL8IVCYIJ" localSheetId="8" hidden="1">#REF!</definedName>
    <definedName name="BExH0ETHUGLBXBWZPRRWL8IVCYIJ" localSheetId="0" hidden="1">#REF!</definedName>
    <definedName name="BExH0ETHUGLBXBWZPRRWL8IVCYIJ" localSheetId="22" hidden="1">#REF!</definedName>
    <definedName name="BExH0ETHUGLBXBWZPRRWL8IVCYIJ" hidden="1">#REF!</definedName>
    <definedName name="BExH163DCM6TVKA7ZI26Y76WO0JV" localSheetId="7" hidden="1">#REF!</definedName>
    <definedName name="BExH163DCM6TVKA7ZI26Y76WO0JV" localSheetId="8" hidden="1">#REF!</definedName>
    <definedName name="BExH163DCM6TVKA7ZI26Y76WO0JV" localSheetId="0" hidden="1">#REF!</definedName>
    <definedName name="BExH163DCM6TVKA7ZI26Y76WO0JV" localSheetId="22" hidden="1">#REF!</definedName>
    <definedName name="BExH163DCM6TVKA7ZI26Y76WO0JV" hidden="1">#REF!</definedName>
    <definedName name="BExH1JKW7W9AQEV1383HV6JKL8VK" localSheetId="7" hidden="1">#REF!</definedName>
    <definedName name="BExH1JKW7W9AQEV1383HV6JKL8VK" localSheetId="8" hidden="1">#REF!</definedName>
    <definedName name="BExH1JKW7W9AQEV1383HV6JKL8VK" localSheetId="0" hidden="1">#REF!</definedName>
    <definedName name="BExH1JKW7W9AQEV1383HV6JKL8VK" localSheetId="22" hidden="1">#REF!</definedName>
    <definedName name="BExH1JKW7W9AQEV1383HV6JKL8VK" hidden="1">#REF!</definedName>
    <definedName name="BExH1OIU3XT4H0UBC9WIAPBQ4Z2L" localSheetId="7" hidden="1">#REF!</definedName>
    <definedName name="BExH1OIU3XT4H0UBC9WIAPBQ4Z2L" localSheetId="8" hidden="1">#REF!</definedName>
    <definedName name="BExH1OIU3XT4H0UBC9WIAPBQ4Z2L" localSheetId="0" hidden="1">#REF!</definedName>
    <definedName name="BExH1OIU3XT4H0UBC9WIAPBQ4Z2L" localSheetId="22" hidden="1">#REF!</definedName>
    <definedName name="BExH1OIU3XT4H0UBC9WIAPBQ4Z2L" hidden="1">#REF!</definedName>
    <definedName name="BExH1SFA1V8KQVQV8MT7CRF9WDDS" localSheetId="7" hidden="1">#REF!</definedName>
    <definedName name="BExH1SFA1V8KQVQV8MT7CRF9WDDS" localSheetId="8" hidden="1">#REF!</definedName>
    <definedName name="BExH1SFA1V8KQVQV8MT7CRF9WDDS" localSheetId="0" hidden="1">#REF!</definedName>
    <definedName name="BExH1SFA1V8KQVQV8MT7CRF9WDDS" localSheetId="22" hidden="1">#REF!</definedName>
    <definedName name="BExH1SFA1V8KQVQV8MT7CRF9WDDS" hidden="1">#REF!</definedName>
    <definedName name="BExH1UYVN4CGUVVAP79RZAW1IYMK" localSheetId="7" hidden="1">#REF!</definedName>
    <definedName name="BExH1UYVN4CGUVVAP79RZAW1IYMK" localSheetId="8" hidden="1">#REF!</definedName>
    <definedName name="BExH1UYVN4CGUVVAP79RZAW1IYMK" localSheetId="0" hidden="1">#REF!</definedName>
    <definedName name="BExH1UYVN4CGUVVAP79RZAW1IYMK" localSheetId="22" hidden="1">#REF!</definedName>
    <definedName name="BExH1UYVN4CGUVVAP79RZAW1IYMK" hidden="1">#REF!</definedName>
    <definedName name="BExH1UYWZROXJ27N5NSXTAD179HH" localSheetId="7" hidden="1">[1]ZQBC_PLN_01_03_N!#REF!</definedName>
    <definedName name="BExH1UYWZROXJ27N5NSXTAD179HH" localSheetId="8" hidden="1">[1]ZQBC_PLN_01_03_N!#REF!</definedName>
    <definedName name="BExH1UYWZROXJ27N5NSXTAD179HH" localSheetId="0" hidden="1">[1]ZQBC_PLN_01_03_N!#REF!</definedName>
    <definedName name="BExH1UYWZROXJ27N5NSXTAD179HH" localSheetId="22" hidden="1">[1]ZQBC_PLN_01_03_N!#REF!</definedName>
    <definedName name="BExH1UYWZROXJ27N5NSXTAD179HH" hidden="1">[1]ZQBC_PLN_01_03_N!#REF!</definedName>
    <definedName name="BExH1XO01C71DZD1HMM8VFB0BM0P" localSheetId="7" hidden="1">#REF!</definedName>
    <definedName name="BExH1XO01C71DZD1HMM8VFB0BM0P" localSheetId="8" hidden="1">#REF!</definedName>
    <definedName name="BExH1XO01C71DZD1HMM8VFB0BM0P" localSheetId="0" hidden="1">#REF!</definedName>
    <definedName name="BExH1XO01C71DZD1HMM8VFB0BM0P" localSheetId="22" hidden="1">#REF!</definedName>
    <definedName name="BExH1XO01C71DZD1HMM8VFB0BM0P" hidden="1">#REF!</definedName>
    <definedName name="BExH1Z5YO4WB4ZASLB8ZC5J1B2XP" localSheetId="7" hidden="1">[1]ZQZBC_REG_02_04!#REF!</definedName>
    <definedName name="BExH1Z5YO4WB4ZASLB8ZC5J1B2XP" localSheetId="8" hidden="1">[1]ZQZBC_REG_02_04!#REF!</definedName>
    <definedName name="BExH1Z5YO4WB4ZASLB8ZC5J1B2XP" localSheetId="0" hidden="1">[1]ZQZBC_REG_02_04!#REF!</definedName>
    <definedName name="BExH1Z5YO4WB4ZASLB8ZC5J1B2XP" localSheetId="22" hidden="1">[1]ZQZBC_REG_02_04!#REF!</definedName>
    <definedName name="BExH1Z5YO4WB4ZASLB8ZC5J1B2XP" hidden="1">[1]ZQZBC_REG_02_04!#REF!</definedName>
    <definedName name="BExH2LCD5JOVYO5OKLZJRHPV9DNT" localSheetId="7" hidden="1">[1]ZQZBC_REG_02_04!#REF!</definedName>
    <definedName name="BExH2LCD5JOVYO5OKLZJRHPV9DNT" localSheetId="8" hidden="1">[1]ZQZBC_REG_02_04!#REF!</definedName>
    <definedName name="BExH2LCD5JOVYO5OKLZJRHPV9DNT" localSheetId="0" hidden="1">[1]ZQZBC_REG_02_04!#REF!</definedName>
    <definedName name="BExH2LCD5JOVYO5OKLZJRHPV9DNT" localSheetId="22" hidden="1">[1]ZQZBC_REG_02_04!#REF!</definedName>
    <definedName name="BExH2LCD5JOVYO5OKLZJRHPV9DNT" hidden="1">[1]ZQZBC_REG_02_04!#REF!</definedName>
    <definedName name="BExH2SU3WWM0HRFZNQFCAR46PYGF" localSheetId="7" hidden="1">#REF!</definedName>
    <definedName name="BExH2SU3WWM0HRFZNQFCAR46PYGF" localSheetId="8" hidden="1">#REF!</definedName>
    <definedName name="BExH2SU3WWM0HRFZNQFCAR46PYGF" localSheetId="0" hidden="1">#REF!</definedName>
    <definedName name="BExH2SU3WWM0HRFZNQFCAR46PYGF" localSheetId="22" hidden="1">#REF!</definedName>
    <definedName name="BExH2SU3WWM0HRFZNQFCAR46PYGF" hidden="1">#REF!</definedName>
    <definedName name="BExH372KPBADCDAILORTD8CH2MPU" localSheetId="7" hidden="1">#REF!</definedName>
    <definedName name="BExH372KPBADCDAILORTD8CH2MPU" localSheetId="8" hidden="1">#REF!</definedName>
    <definedName name="BExH372KPBADCDAILORTD8CH2MPU" localSheetId="0" hidden="1">#REF!</definedName>
    <definedName name="BExH372KPBADCDAILORTD8CH2MPU" localSheetId="22" hidden="1">#REF!</definedName>
    <definedName name="BExH372KPBADCDAILORTD8CH2MPU" hidden="1">#REF!</definedName>
    <definedName name="BExIGAXL27FGCA1ZIATR39XQ7AR3" localSheetId="7" hidden="1">#REF!</definedName>
    <definedName name="BExIGAXL27FGCA1ZIATR39XQ7AR3" localSheetId="8" hidden="1">#REF!</definedName>
    <definedName name="BExIGAXL27FGCA1ZIATR39XQ7AR3" localSheetId="0" hidden="1">#REF!</definedName>
    <definedName name="BExIGAXL27FGCA1ZIATR39XQ7AR3" localSheetId="22" hidden="1">#REF!</definedName>
    <definedName name="BExIGAXL27FGCA1ZIATR39XQ7AR3" hidden="1">#REF!</definedName>
    <definedName name="BExIGBTZ5ZM3SXDXH73GJZX372PB" localSheetId="7" hidden="1">#REF!</definedName>
    <definedName name="BExIGBTZ5ZM3SXDXH73GJZX372PB" localSheetId="8" hidden="1">#REF!</definedName>
    <definedName name="BExIGBTZ5ZM3SXDXH73GJZX372PB" localSheetId="0" hidden="1">#REF!</definedName>
    <definedName name="BExIGBTZ5ZM3SXDXH73GJZX372PB" localSheetId="22" hidden="1">#REF!</definedName>
    <definedName name="BExIGBTZ5ZM3SXDXH73GJZX372PB" hidden="1">#REF!</definedName>
    <definedName name="BExIHUTSOQ77YW4U4HT2QCEKSDS9" localSheetId="7" hidden="1">#REF!</definedName>
    <definedName name="BExIHUTSOQ77YW4U4HT2QCEKSDS9" localSheetId="8" hidden="1">#REF!</definedName>
    <definedName name="BExIHUTSOQ77YW4U4HT2QCEKSDS9" localSheetId="0" hidden="1">#REF!</definedName>
    <definedName name="BExIHUTSOQ77YW4U4HT2QCEKSDS9" localSheetId="22" hidden="1">#REF!</definedName>
    <definedName name="BExIHUTSOQ77YW4U4HT2QCEKSDS9" hidden="1">#REF!</definedName>
    <definedName name="BExII7V7CJZ7DPTHN0YKHZE57NM4" localSheetId="7" hidden="1">#REF!</definedName>
    <definedName name="BExII7V7CJZ7DPTHN0YKHZE57NM4" localSheetId="8" hidden="1">#REF!</definedName>
    <definedName name="BExII7V7CJZ7DPTHN0YKHZE57NM4" localSheetId="0" hidden="1">#REF!</definedName>
    <definedName name="BExII7V7CJZ7DPTHN0YKHZE57NM4" localSheetId="22" hidden="1">#REF!</definedName>
    <definedName name="BExII7V7CJZ7DPTHN0YKHZE57NM4" hidden="1">#REF!</definedName>
    <definedName name="BExIIM3MJCPGT5ISU0ROUP3XPNMV" localSheetId="7" hidden="1">#REF!</definedName>
    <definedName name="BExIIM3MJCPGT5ISU0ROUP3XPNMV" localSheetId="8" hidden="1">#REF!</definedName>
    <definedName name="BExIIM3MJCPGT5ISU0ROUP3XPNMV" localSheetId="0" hidden="1">#REF!</definedName>
    <definedName name="BExIIM3MJCPGT5ISU0ROUP3XPNMV" localSheetId="22" hidden="1">#REF!</definedName>
    <definedName name="BExIIM3MJCPGT5ISU0ROUP3XPNMV" hidden="1">#REF!</definedName>
    <definedName name="BExIIMP742P7WFXRWEWWZZT657OF" localSheetId="7" hidden="1">#REF!</definedName>
    <definedName name="BExIIMP742P7WFXRWEWWZZT657OF" localSheetId="8" hidden="1">#REF!</definedName>
    <definedName name="BExIIMP742P7WFXRWEWWZZT657OF" localSheetId="0" hidden="1">#REF!</definedName>
    <definedName name="BExIIMP742P7WFXRWEWWZZT657OF" localSheetId="22" hidden="1">#REF!</definedName>
    <definedName name="BExIIMP742P7WFXRWEWWZZT657OF" hidden="1">#REF!</definedName>
    <definedName name="BExIIR1QC64BTPROBS5UKJC9EPBW" localSheetId="7" hidden="1">#REF!</definedName>
    <definedName name="BExIIR1QC64BTPROBS5UKJC9EPBW" localSheetId="8" hidden="1">#REF!</definedName>
    <definedName name="BExIIR1QC64BTPROBS5UKJC9EPBW" localSheetId="0" hidden="1">#REF!</definedName>
    <definedName name="BExIIR1QC64BTPROBS5UKJC9EPBW" localSheetId="22" hidden="1">#REF!</definedName>
    <definedName name="BExIIR1QC64BTPROBS5UKJC9EPBW" hidden="1">#REF!</definedName>
    <definedName name="BExIJ0HITVM4OYEEEMFIVUPCNM9S" localSheetId="7" hidden="1">#REF!</definedName>
    <definedName name="BExIJ0HITVM4OYEEEMFIVUPCNM9S" localSheetId="8" hidden="1">#REF!</definedName>
    <definedName name="BExIJ0HITVM4OYEEEMFIVUPCNM9S" localSheetId="0" hidden="1">#REF!</definedName>
    <definedName name="BExIJ0HITVM4OYEEEMFIVUPCNM9S" localSheetId="22" hidden="1">#REF!</definedName>
    <definedName name="BExIJ0HITVM4OYEEEMFIVUPCNM9S" hidden="1">#REF!</definedName>
    <definedName name="BExIJ24Y767M0FBMK90JAK8JEAPN" localSheetId="7" hidden="1">#REF!</definedName>
    <definedName name="BExIJ24Y767M0FBMK90JAK8JEAPN" localSheetId="8" hidden="1">#REF!</definedName>
    <definedName name="BExIJ24Y767M0FBMK90JAK8JEAPN" localSheetId="0" hidden="1">#REF!</definedName>
    <definedName name="BExIJ24Y767M0FBMK90JAK8JEAPN" localSheetId="22" hidden="1">#REF!</definedName>
    <definedName name="BExIJ24Y767M0FBMK90JAK8JEAPN" hidden="1">#REF!</definedName>
    <definedName name="BExIJDTKW3K70476I233PSVWPB30" localSheetId="7" hidden="1">#REF!</definedName>
    <definedName name="BExIJDTKW3K70476I233PSVWPB30" localSheetId="8" hidden="1">#REF!</definedName>
    <definedName name="BExIJDTKW3K70476I233PSVWPB30" localSheetId="0" hidden="1">#REF!</definedName>
    <definedName name="BExIJDTKW3K70476I233PSVWPB30" localSheetId="22" hidden="1">#REF!</definedName>
    <definedName name="BExIJDTKW3K70476I233PSVWPB30" hidden="1">#REF!</definedName>
    <definedName name="BExIJF0Q8SOCLLWCS8V6CSQI370T" localSheetId="7" hidden="1">#REF!</definedName>
    <definedName name="BExIJF0Q8SOCLLWCS8V6CSQI370T" localSheetId="8" hidden="1">#REF!</definedName>
    <definedName name="BExIJF0Q8SOCLLWCS8V6CSQI370T" localSheetId="0" hidden="1">#REF!</definedName>
    <definedName name="BExIJF0Q8SOCLLWCS8V6CSQI370T" localSheetId="22" hidden="1">#REF!</definedName>
    <definedName name="BExIJF0Q8SOCLLWCS8V6CSQI370T" hidden="1">#REF!</definedName>
    <definedName name="BExIKJ12322HZC9UKYV08BRUJVMQ" localSheetId="7" hidden="1">#REF!</definedName>
    <definedName name="BExIKJ12322HZC9UKYV08BRUJVMQ" localSheetId="8" hidden="1">#REF!</definedName>
    <definedName name="BExIKJ12322HZC9UKYV08BRUJVMQ" localSheetId="0" hidden="1">#REF!</definedName>
    <definedName name="BExIKJ12322HZC9UKYV08BRUJVMQ" localSheetId="22" hidden="1">#REF!</definedName>
    <definedName name="BExIKJ12322HZC9UKYV08BRUJVMQ" hidden="1">#REF!</definedName>
    <definedName name="BExIKWO30UC464DLNY2WXL9L69U3" localSheetId="7" hidden="1">#REF!</definedName>
    <definedName name="BExIKWO30UC464DLNY2WXL9L69U3" localSheetId="8" hidden="1">#REF!</definedName>
    <definedName name="BExIKWO30UC464DLNY2WXL9L69U3" localSheetId="0" hidden="1">#REF!</definedName>
    <definedName name="BExIKWO30UC464DLNY2WXL9L69U3" localSheetId="22" hidden="1">#REF!</definedName>
    <definedName name="BExIKWO30UC464DLNY2WXL9L69U3" hidden="1">#REF!</definedName>
    <definedName name="BExILBSVW26Q15YL0NSMG34Q8AGG" localSheetId="7" hidden="1">#REF!</definedName>
    <definedName name="BExILBSVW26Q15YL0NSMG34Q8AGG" localSheetId="8" hidden="1">#REF!</definedName>
    <definedName name="BExILBSVW26Q15YL0NSMG34Q8AGG" localSheetId="0" hidden="1">#REF!</definedName>
    <definedName name="BExILBSVW26Q15YL0NSMG34Q8AGG" localSheetId="22" hidden="1">#REF!</definedName>
    <definedName name="BExILBSVW26Q15YL0NSMG34Q8AGG" hidden="1">#REF!</definedName>
    <definedName name="BExILFJV3X1X0HX1F7SIL38LFRXX" localSheetId="7" hidden="1">#REF!</definedName>
    <definedName name="BExILFJV3X1X0HX1F7SIL38LFRXX" localSheetId="8" hidden="1">#REF!</definedName>
    <definedName name="BExILFJV3X1X0HX1F7SIL38LFRXX" localSheetId="0" hidden="1">#REF!</definedName>
    <definedName name="BExILFJV3X1X0HX1F7SIL38LFRXX" localSheetId="22" hidden="1">#REF!</definedName>
    <definedName name="BExILFJV3X1X0HX1F7SIL38LFRXX" hidden="1">#REF!</definedName>
    <definedName name="BExILQ6SMDHMRJSBYOYUMQKOZ2RM" localSheetId="7" hidden="1">#REF!</definedName>
    <definedName name="BExILQ6SMDHMRJSBYOYUMQKOZ2RM" localSheetId="8" hidden="1">#REF!</definedName>
    <definedName name="BExILQ6SMDHMRJSBYOYUMQKOZ2RM" localSheetId="0" hidden="1">#REF!</definedName>
    <definedName name="BExILQ6SMDHMRJSBYOYUMQKOZ2RM" localSheetId="22" hidden="1">#REF!</definedName>
    <definedName name="BExILQ6SMDHMRJSBYOYUMQKOZ2RM" hidden="1">#REF!</definedName>
    <definedName name="BExILSQFQ1CHDGOZTB1FB8MG0U2S" localSheetId="7" hidden="1">#REF!</definedName>
    <definedName name="BExILSQFQ1CHDGOZTB1FB8MG0U2S" localSheetId="8" hidden="1">#REF!</definedName>
    <definedName name="BExILSQFQ1CHDGOZTB1FB8MG0U2S" localSheetId="0" hidden="1">#REF!</definedName>
    <definedName name="BExILSQFQ1CHDGOZTB1FB8MG0U2S" localSheetId="22" hidden="1">#REF!</definedName>
    <definedName name="BExILSQFQ1CHDGOZTB1FB8MG0U2S" hidden="1">#REF!</definedName>
    <definedName name="BExILUOMF8FLBLG5RXQBHIEZ9C0E" localSheetId="7" hidden="1">#REF!</definedName>
    <definedName name="BExILUOMF8FLBLG5RXQBHIEZ9C0E" localSheetId="8" hidden="1">#REF!</definedName>
    <definedName name="BExILUOMF8FLBLG5RXQBHIEZ9C0E" localSheetId="0" hidden="1">#REF!</definedName>
    <definedName name="BExILUOMF8FLBLG5RXQBHIEZ9C0E" localSheetId="22" hidden="1">#REF!</definedName>
    <definedName name="BExILUOMF8FLBLG5RXQBHIEZ9C0E" hidden="1">#REF!</definedName>
    <definedName name="BExIMEBBD14IYSW0X6M3CP1YG17P" localSheetId="7" hidden="1">#REF!</definedName>
    <definedName name="BExIMEBBD14IYSW0X6M3CP1YG17P" localSheetId="8" hidden="1">#REF!</definedName>
    <definedName name="BExIMEBBD14IYSW0X6M3CP1YG17P" localSheetId="0" hidden="1">#REF!</definedName>
    <definedName name="BExIMEBBD14IYSW0X6M3CP1YG17P" localSheetId="22" hidden="1">#REF!</definedName>
    <definedName name="BExIMEBBD14IYSW0X6M3CP1YG17P" hidden="1">#REF!</definedName>
    <definedName name="BExIMH5PBYAXU77GVUFT0KZXEUVA" localSheetId="7" hidden="1">#REF!</definedName>
    <definedName name="BExIMH5PBYAXU77GVUFT0KZXEUVA" localSheetId="8" hidden="1">#REF!</definedName>
    <definedName name="BExIMH5PBYAXU77GVUFT0KZXEUVA" localSheetId="0" hidden="1">#REF!</definedName>
    <definedName name="BExIMH5PBYAXU77GVUFT0KZXEUVA" localSheetId="22" hidden="1">#REF!</definedName>
    <definedName name="BExIMH5PBYAXU77GVUFT0KZXEUVA" hidden="1">#REF!</definedName>
    <definedName name="BExIMRI188MAJJM4PQQ1UDGIFM99" localSheetId="7" hidden="1">#REF!</definedName>
    <definedName name="BExIMRI188MAJJM4PQQ1UDGIFM99" localSheetId="8" hidden="1">#REF!</definedName>
    <definedName name="BExIMRI188MAJJM4PQQ1UDGIFM99" localSheetId="0" hidden="1">#REF!</definedName>
    <definedName name="BExIMRI188MAJJM4PQQ1UDGIFM99" localSheetId="22" hidden="1">#REF!</definedName>
    <definedName name="BExIMRI188MAJJM4PQQ1UDGIFM99" hidden="1">#REF!</definedName>
    <definedName name="BExIMZ582U68S6TAWFCCCAKROP7B" localSheetId="7" hidden="1">#REF!</definedName>
    <definedName name="BExIMZ582U68S6TAWFCCCAKROP7B" localSheetId="8" hidden="1">#REF!</definedName>
    <definedName name="BExIMZ582U68S6TAWFCCCAKROP7B" localSheetId="0" hidden="1">#REF!</definedName>
    <definedName name="BExIMZ582U68S6TAWFCCCAKROP7B" localSheetId="22" hidden="1">#REF!</definedName>
    <definedName name="BExIMZ582U68S6TAWFCCCAKROP7B" hidden="1">#REF!</definedName>
    <definedName name="BExINGIWJUD0MFKK34QQ3922PHUF" localSheetId="7" hidden="1">#REF!</definedName>
    <definedName name="BExINGIWJUD0MFKK34QQ3922PHUF" localSheetId="8" hidden="1">#REF!</definedName>
    <definedName name="BExINGIWJUD0MFKK34QQ3922PHUF" localSheetId="0" hidden="1">#REF!</definedName>
    <definedName name="BExINGIWJUD0MFKK34QQ3922PHUF" localSheetId="22" hidden="1">#REF!</definedName>
    <definedName name="BExINGIWJUD0MFKK34QQ3922PHUF" hidden="1">#REF!</definedName>
    <definedName name="BExINHF87PUEYJ4GDDZSN6KRBCRT" localSheetId="7" hidden="1">#REF!</definedName>
    <definedName name="BExINHF87PUEYJ4GDDZSN6KRBCRT" localSheetId="8" hidden="1">#REF!</definedName>
    <definedName name="BExINHF87PUEYJ4GDDZSN6KRBCRT" localSheetId="0" hidden="1">#REF!</definedName>
    <definedName name="BExINHF87PUEYJ4GDDZSN6KRBCRT" localSheetId="22" hidden="1">#REF!</definedName>
    <definedName name="BExINHF87PUEYJ4GDDZSN6KRBCRT" hidden="1">#REF!</definedName>
    <definedName name="BExIO7762PI3R6Z4PB2EC46EJT7G" localSheetId="7" hidden="1">#REF!</definedName>
    <definedName name="BExIO7762PI3R6Z4PB2EC46EJT7G" localSheetId="8" hidden="1">#REF!</definedName>
    <definedName name="BExIO7762PI3R6Z4PB2EC46EJT7G" localSheetId="0" hidden="1">#REF!</definedName>
    <definedName name="BExIO7762PI3R6Z4PB2EC46EJT7G" localSheetId="22" hidden="1">#REF!</definedName>
    <definedName name="BExIO7762PI3R6Z4PB2EC46EJT7G" hidden="1">#REF!</definedName>
    <definedName name="BExIOCG31CW4YS7LAL2RP9VJ65FR" localSheetId="7" hidden="1">#REF!</definedName>
    <definedName name="BExIOCG31CW4YS7LAL2RP9VJ65FR" localSheetId="8" hidden="1">#REF!</definedName>
    <definedName name="BExIOCG31CW4YS7LAL2RP9VJ65FR" localSheetId="0" hidden="1">#REF!</definedName>
    <definedName name="BExIOCG31CW4YS7LAL2RP9VJ65FR" localSheetId="22" hidden="1">#REF!</definedName>
    <definedName name="BExIOCG31CW4YS7LAL2RP9VJ65FR" hidden="1">#REF!</definedName>
    <definedName name="BExIOTDLO0Q2IYB5B4Q3TXRA2YDZ" localSheetId="7" hidden="1">#REF!</definedName>
    <definedName name="BExIOTDLO0Q2IYB5B4Q3TXRA2YDZ" localSheetId="8" hidden="1">#REF!</definedName>
    <definedName name="BExIOTDLO0Q2IYB5B4Q3TXRA2YDZ" localSheetId="0" hidden="1">#REF!</definedName>
    <definedName name="BExIOTDLO0Q2IYB5B4Q3TXRA2YDZ" localSheetId="22" hidden="1">#REF!</definedName>
    <definedName name="BExIOTDLO0Q2IYB5B4Q3TXRA2YDZ" hidden="1">#REF!</definedName>
    <definedName name="BExIP0VAZJ2K3DG6TC8PMLLUMAEI" localSheetId="7" hidden="1">#REF!</definedName>
    <definedName name="BExIP0VAZJ2K3DG6TC8PMLLUMAEI" localSheetId="8" hidden="1">#REF!</definedName>
    <definedName name="BExIP0VAZJ2K3DG6TC8PMLLUMAEI" localSheetId="0" hidden="1">#REF!</definedName>
    <definedName name="BExIP0VAZJ2K3DG6TC8PMLLUMAEI" localSheetId="22" hidden="1">#REF!</definedName>
    <definedName name="BExIP0VAZJ2K3DG6TC8PMLLUMAEI" hidden="1">#REF!</definedName>
    <definedName name="BExIP643TMP1ZBG0SHCNS1R03PJK" localSheetId="7" hidden="1">#REF!</definedName>
    <definedName name="BExIP643TMP1ZBG0SHCNS1R03PJK" localSheetId="8" hidden="1">#REF!</definedName>
    <definedName name="BExIP643TMP1ZBG0SHCNS1R03PJK" localSheetId="0" hidden="1">#REF!</definedName>
    <definedName name="BExIP643TMP1ZBG0SHCNS1R03PJK" localSheetId="22" hidden="1">#REF!</definedName>
    <definedName name="BExIP643TMP1ZBG0SHCNS1R03PJK" hidden="1">#REF!</definedName>
    <definedName name="BExIPE7DY6LFJKS1X0GZF9RL4H46" localSheetId="7" hidden="1">#REF!</definedName>
    <definedName name="BExIPE7DY6LFJKS1X0GZF9RL4H46" localSheetId="8" hidden="1">#REF!</definedName>
    <definedName name="BExIPE7DY6LFJKS1X0GZF9RL4H46" localSheetId="0" hidden="1">#REF!</definedName>
    <definedName name="BExIPE7DY6LFJKS1X0GZF9RL4H46" localSheetId="22" hidden="1">#REF!</definedName>
    <definedName name="BExIPE7DY6LFJKS1X0GZF9RL4H46" hidden="1">#REF!</definedName>
    <definedName name="BExIPYQFE5K0VIXLOXATD7IP8IJU" localSheetId="7" hidden="1">#REF!</definedName>
    <definedName name="BExIPYQFE5K0VIXLOXATD7IP8IJU" localSheetId="8" hidden="1">#REF!</definedName>
    <definedName name="BExIPYQFE5K0VIXLOXATD7IP8IJU" localSheetId="0" hidden="1">#REF!</definedName>
    <definedName name="BExIPYQFE5K0VIXLOXATD7IP8IJU" localSheetId="22" hidden="1">#REF!</definedName>
    <definedName name="BExIPYQFE5K0VIXLOXATD7IP8IJU" hidden="1">#REF!</definedName>
    <definedName name="BExIQ6OEUJ2DOYD770WM1TA78M20" localSheetId="7" hidden="1">#REF!</definedName>
    <definedName name="BExIQ6OEUJ2DOYD770WM1TA78M20" localSheetId="8" hidden="1">#REF!</definedName>
    <definedName name="BExIQ6OEUJ2DOYD770WM1TA78M20" localSheetId="0" hidden="1">#REF!</definedName>
    <definedName name="BExIQ6OEUJ2DOYD770WM1TA78M20" localSheetId="22" hidden="1">#REF!</definedName>
    <definedName name="BExIQ6OEUJ2DOYD770WM1TA78M20" hidden="1">#REF!</definedName>
    <definedName name="BExIQINZ72CNY56V9O50HDTRAD8M" localSheetId="7" hidden="1">#REF!</definedName>
    <definedName name="BExIQINZ72CNY56V9O50HDTRAD8M" localSheetId="8" hidden="1">#REF!</definedName>
    <definedName name="BExIQINZ72CNY56V9O50HDTRAD8M" localSheetId="0" hidden="1">#REF!</definedName>
    <definedName name="BExIQINZ72CNY56V9O50HDTRAD8M" localSheetId="22" hidden="1">#REF!</definedName>
    <definedName name="BExIQINZ72CNY56V9O50HDTRAD8M" hidden="1">#REF!</definedName>
    <definedName name="BExIQLD3ROMGT3HSAEOSAZYFGZVK" localSheetId="7" hidden="1">#REF!</definedName>
    <definedName name="BExIQLD3ROMGT3HSAEOSAZYFGZVK" localSheetId="8" hidden="1">#REF!</definedName>
    <definedName name="BExIQLD3ROMGT3HSAEOSAZYFGZVK" localSheetId="0" hidden="1">#REF!</definedName>
    <definedName name="BExIQLD3ROMGT3HSAEOSAZYFGZVK" localSheetId="22" hidden="1">#REF!</definedName>
    <definedName name="BExIQLD3ROMGT3HSAEOSAZYFGZVK" hidden="1">#REF!</definedName>
    <definedName name="BExIQN5P2F0WP5TNF00ZW9UP6BGL" localSheetId="7" hidden="1">#REF!</definedName>
    <definedName name="BExIQN5P2F0WP5TNF00ZW9UP6BGL" localSheetId="8" hidden="1">#REF!</definedName>
    <definedName name="BExIQN5P2F0WP5TNF00ZW9UP6BGL" localSheetId="0" hidden="1">#REF!</definedName>
    <definedName name="BExIQN5P2F0WP5TNF00ZW9UP6BGL" localSheetId="22" hidden="1">#REF!</definedName>
    <definedName name="BExIQN5P2F0WP5TNF00ZW9UP6BGL" hidden="1">#REF!</definedName>
    <definedName name="BExIQOCZULQN5NV7QGN82B6Z1CFC" localSheetId="7" hidden="1">#REF!</definedName>
    <definedName name="BExIQOCZULQN5NV7QGN82B6Z1CFC" localSheetId="8" hidden="1">#REF!</definedName>
    <definedName name="BExIQOCZULQN5NV7QGN82B6Z1CFC" localSheetId="0" hidden="1">#REF!</definedName>
    <definedName name="BExIQOCZULQN5NV7QGN82B6Z1CFC" localSheetId="22" hidden="1">#REF!</definedName>
    <definedName name="BExIQOCZULQN5NV7QGN82B6Z1CFC" hidden="1">#REF!</definedName>
    <definedName name="BExIQTLR3QHV0I0NYWEJMMRU9S0A" localSheetId="7" hidden="1">#REF!</definedName>
    <definedName name="BExIQTLR3QHV0I0NYWEJMMRU9S0A" localSheetId="8" hidden="1">#REF!</definedName>
    <definedName name="BExIQTLR3QHV0I0NYWEJMMRU9S0A" localSheetId="0" hidden="1">#REF!</definedName>
    <definedName name="BExIQTLR3QHV0I0NYWEJMMRU9S0A" localSheetId="22" hidden="1">#REF!</definedName>
    <definedName name="BExIQTLR3QHV0I0NYWEJMMRU9S0A" hidden="1">#REF!</definedName>
    <definedName name="BExIQYECFYOQTSZR9U5X5YRQUVBX" localSheetId="7" hidden="1">#REF!</definedName>
    <definedName name="BExIQYECFYOQTSZR9U5X5YRQUVBX" localSheetId="8" hidden="1">#REF!</definedName>
    <definedName name="BExIQYECFYOQTSZR9U5X5YRQUVBX" localSheetId="0" hidden="1">#REF!</definedName>
    <definedName name="BExIQYECFYOQTSZR9U5X5YRQUVBX" localSheetId="22" hidden="1">#REF!</definedName>
    <definedName name="BExIQYECFYOQTSZR9U5X5YRQUVBX" hidden="1">#REF!</definedName>
    <definedName name="BExIR8AFUP9ZN9QD1VQ02UWGFJKA" localSheetId="7" hidden="1">[1]ZQZBC_REG_02_04!#REF!</definedName>
    <definedName name="BExIR8AFUP9ZN9QD1VQ02UWGFJKA" localSheetId="8" hidden="1">[1]ZQZBC_REG_02_04!#REF!</definedName>
    <definedName name="BExIR8AFUP9ZN9QD1VQ02UWGFJKA" localSheetId="0" hidden="1">[1]ZQZBC_REG_02_04!#REF!</definedName>
    <definedName name="BExIR8AFUP9ZN9QD1VQ02UWGFJKA" localSheetId="22" hidden="1">[1]ZQZBC_REG_02_04!#REF!</definedName>
    <definedName name="BExIR8AFUP9ZN9QD1VQ02UWGFJKA" hidden="1">[1]ZQZBC_REG_02_04!#REF!</definedName>
    <definedName name="BExIRI15PZOMCJQX4K5T6EL3A8H0" localSheetId="7" hidden="1">#REF!</definedName>
    <definedName name="BExIRI15PZOMCJQX4K5T6EL3A8H0" localSheetId="8" hidden="1">#REF!</definedName>
    <definedName name="BExIRI15PZOMCJQX4K5T6EL3A8H0" localSheetId="0" hidden="1">#REF!</definedName>
    <definedName name="BExIRI15PZOMCJQX4K5T6EL3A8H0" localSheetId="22" hidden="1">#REF!</definedName>
    <definedName name="BExIRI15PZOMCJQX4K5T6EL3A8H0" hidden="1">#REF!</definedName>
    <definedName name="BExIRO69MUD3ZV8E65IXJLETKOY7" localSheetId="7" hidden="1">#REF!</definedName>
    <definedName name="BExIRO69MUD3ZV8E65IXJLETKOY7" localSheetId="8" hidden="1">#REF!</definedName>
    <definedName name="BExIRO69MUD3ZV8E65IXJLETKOY7" localSheetId="0" hidden="1">#REF!</definedName>
    <definedName name="BExIRO69MUD3ZV8E65IXJLETKOY7" localSheetId="22" hidden="1">#REF!</definedName>
    <definedName name="BExIRO69MUD3ZV8E65IXJLETKOY7" hidden="1">#REF!</definedName>
    <definedName name="BExIRRGYUYEWEZY2WOZ37HNWSK0N" localSheetId="7" hidden="1">#REF!</definedName>
    <definedName name="BExIRRGYUYEWEZY2WOZ37HNWSK0N" localSheetId="8" hidden="1">#REF!</definedName>
    <definedName name="BExIRRGYUYEWEZY2WOZ37HNWSK0N" localSheetId="0" hidden="1">#REF!</definedName>
    <definedName name="BExIRRGYUYEWEZY2WOZ37HNWSK0N" localSheetId="22" hidden="1">#REF!</definedName>
    <definedName name="BExIRRGYUYEWEZY2WOZ37HNWSK0N" hidden="1">#REF!</definedName>
    <definedName name="BExIRVNZZ9L9LIBAEBPWRS1IHM4A" localSheetId="7" hidden="1">#REF!</definedName>
    <definedName name="BExIRVNZZ9L9LIBAEBPWRS1IHM4A" localSheetId="8" hidden="1">#REF!</definedName>
    <definedName name="BExIRVNZZ9L9LIBAEBPWRS1IHM4A" localSheetId="0" hidden="1">#REF!</definedName>
    <definedName name="BExIRVNZZ9L9LIBAEBPWRS1IHM4A" localSheetId="22" hidden="1">#REF!</definedName>
    <definedName name="BExIRVNZZ9L9LIBAEBPWRS1IHM4A" hidden="1">#REF!</definedName>
    <definedName name="BExISCWB08J256FCO83NSPBFFE46" localSheetId="7" hidden="1">#REF!</definedName>
    <definedName name="BExISCWB08J256FCO83NSPBFFE46" localSheetId="8" hidden="1">#REF!</definedName>
    <definedName name="BExISCWB08J256FCO83NSPBFFE46" localSheetId="0" hidden="1">#REF!</definedName>
    <definedName name="BExISCWB08J256FCO83NSPBFFE46" localSheetId="22" hidden="1">#REF!</definedName>
    <definedName name="BExISCWB08J256FCO83NSPBFFE46" hidden="1">#REF!</definedName>
    <definedName name="BExISXVM10L89SO56S9V336HLT7R" localSheetId="7" hidden="1">#REF!</definedName>
    <definedName name="BExISXVM10L89SO56S9V336HLT7R" localSheetId="8" hidden="1">#REF!</definedName>
    <definedName name="BExISXVM10L89SO56S9V336HLT7R" localSheetId="0" hidden="1">#REF!</definedName>
    <definedName name="BExISXVM10L89SO56S9V336HLT7R" localSheetId="22" hidden="1">#REF!</definedName>
    <definedName name="BExISXVM10L89SO56S9V336HLT7R" hidden="1">#REF!</definedName>
    <definedName name="BExISYS0B76N1U5ILES3FGOLC6FK" localSheetId="7" hidden="1">#REF!</definedName>
    <definedName name="BExISYS0B76N1U5ILES3FGOLC6FK" localSheetId="8" hidden="1">#REF!</definedName>
    <definedName name="BExISYS0B76N1U5ILES3FGOLC6FK" localSheetId="0" hidden="1">#REF!</definedName>
    <definedName name="BExISYS0B76N1U5ILES3FGOLC6FK" localSheetId="22" hidden="1">#REF!</definedName>
    <definedName name="BExISYS0B76N1U5ILES3FGOLC6FK" hidden="1">#REF!</definedName>
    <definedName name="BExIT7RNMGO1UM8PG9BYGYT92AY3" localSheetId="7" hidden="1">#REF!</definedName>
    <definedName name="BExIT7RNMGO1UM8PG9BYGYT92AY3" localSheetId="8" hidden="1">#REF!</definedName>
    <definedName name="BExIT7RNMGO1UM8PG9BYGYT92AY3" localSheetId="0" hidden="1">#REF!</definedName>
    <definedName name="BExIT7RNMGO1UM8PG9BYGYT92AY3" localSheetId="22" hidden="1">#REF!</definedName>
    <definedName name="BExIT7RNMGO1UM8PG9BYGYT92AY3" hidden="1">#REF!</definedName>
    <definedName name="BExITE29MVZ3QJJRPAWAATQ1PUOM" localSheetId="7" hidden="1">#REF!</definedName>
    <definedName name="BExITE29MVZ3QJJRPAWAATQ1PUOM" localSheetId="8" hidden="1">#REF!</definedName>
    <definedName name="BExITE29MVZ3QJJRPAWAATQ1PUOM" localSheetId="0" hidden="1">#REF!</definedName>
    <definedName name="BExITE29MVZ3QJJRPAWAATQ1PUOM" localSheetId="22" hidden="1">#REF!</definedName>
    <definedName name="BExITE29MVZ3QJJRPAWAATQ1PUOM" hidden="1">#REF!</definedName>
    <definedName name="BExITR8TRXQULDLPTACROH947Y33" localSheetId="7" hidden="1">#REF!</definedName>
    <definedName name="BExITR8TRXQULDLPTACROH947Y33" localSheetId="8" hidden="1">#REF!</definedName>
    <definedName name="BExITR8TRXQULDLPTACROH947Y33" localSheetId="0" hidden="1">#REF!</definedName>
    <definedName name="BExITR8TRXQULDLPTACROH947Y33" localSheetId="22" hidden="1">#REF!</definedName>
    <definedName name="BExITR8TRXQULDLPTACROH947Y33" hidden="1">#REF!</definedName>
    <definedName name="BExIU5S8A378AM7I6B8NBMQL8G1T" localSheetId="7" hidden="1">#REF!</definedName>
    <definedName name="BExIU5S8A378AM7I6B8NBMQL8G1T" localSheetId="8" hidden="1">#REF!</definedName>
    <definedName name="BExIU5S8A378AM7I6B8NBMQL8G1T" localSheetId="0" hidden="1">#REF!</definedName>
    <definedName name="BExIU5S8A378AM7I6B8NBMQL8G1T" localSheetId="22" hidden="1">#REF!</definedName>
    <definedName name="BExIU5S8A378AM7I6B8NBMQL8G1T" hidden="1">#REF!</definedName>
    <definedName name="BExIUQ5VSYENRLPNJTJAKPBBHISD" localSheetId="7" hidden="1">#REF!</definedName>
    <definedName name="BExIUQ5VSYENRLPNJTJAKPBBHISD" localSheetId="8" hidden="1">#REF!</definedName>
    <definedName name="BExIUQ5VSYENRLPNJTJAKPBBHISD" localSheetId="0" hidden="1">#REF!</definedName>
    <definedName name="BExIUQ5VSYENRLPNJTJAKPBBHISD" localSheetId="22" hidden="1">#REF!</definedName>
    <definedName name="BExIUQ5VSYENRLPNJTJAKPBBHISD" hidden="1">#REF!</definedName>
    <definedName name="BExIUSV14VVM8P7TCNQNCW1S82WU" localSheetId="7" hidden="1">#REF!</definedName>
    <definedName name="BExIUSV14VVM8P7TCNQNCW1S82WU" localSheetId="8" hidden="1">#REF!</definedName>
    <definedName name="BExIUSV14VVM8P7TCNQNCW1S82WU" localSheetId="0" hidden="1">#REF!</definedName>
    <definedName name="BExIUSV14VVM8P7TCNQNCW1S82WU" localSheetId="22" hidden="1">#REF!</definedName>
    <definedName name="BExIUSV14VVM8P7TCNQNCW1S82WU" hidden="1">#REF!</definedName>
    <definedName name="BExIVHQDVUHKLS148QWVCM3KMNJW" localSheetId="7" hidden="1">#REF!</definedName>
    <definedName name="BExIVHQDVUHKLS148QWVCM3KMNJW" localSheetId="8" hidden="1">#REF!</definedName>
    <definedName name="BExIVHQDVUHKLS148QWVCM3KMNJW" localSheetId="0" hidden="1">#REF!</definedName>
    <definedName name="BExIVHQDVUHKLS148QWVCM3KMNJW" localSheetId="22" hidden="1">#REF!</definedName>
    <definedName name="BExIVHQDVUHKLS148QWVCM3KMNJW" hidden="1">#REF!</definedName>
    <definedName name="BExIVLMNTSVCWMWYXMDSCEV4JBFR" localSheetId="7" hidden="1">#REF!</definedName>
    <definedName name="BExIVLMNTSVCWMWYXMDSCEV4JBFR" localSheetId="8" hidden="1">#REF!</definedName>
    <definedName name="BExIVLMNTSVCWMWYXMDSCEV4JBFR" localSheetId="0" hidden="1">#REF!</definedName>
    <definedName name="BExIVLMNTSVCWMWYXMDSCEV4JBFR" localSheetId="22" hidden="1">#REF!</definedName>
    <definedName name="BExIVLMNTSVCWMWYXMDSCEV4JBFR" hidden="1">#REF!</definedName>
    <definedName name="BExIVP84UVWAZ7PANN1LVKADLNNY" localSheetId="7" hidden="1">#REF!</definedName>
    <definedName name="BExIVP84UVWAZ7PANN1LVKADLNNY" localSheetId="8" hidden="1">#REF!</definedName>
    <definedName name="BExIVP84UVWAZ7PANN1LVKADLNNY" localSheetId="0" hidden="1">#REF!</definedName>
    <definedName name="BExIVP84UVWAZ7PANN1LVKADLNNY" localSheetId="22" hidden="1">#REF!</definedName>
    <definedName name="BExIVP84UVWAZ7PANN1LVKADLNNY" hidden="1">#REF!</definedName>
    <definedName name="BExIWTDXFUWVYBQESO5CWKRJER7E" localSheetId="7" hidden="1">#REF!</definedName>
    <definedName name="BExIWTDXFUWVYBQESO5CWKRJER7E" localSheetId="8" hidden="1">#REF!</definedName>
    <definedName name="BExIWTDXFUWVYBQESO5CWKRJER7E" localSheetId="0" hidden="1">#REF!</definedName>
    <definedName name="BExIWTDXFUWVYBQESO5CWKRJER7E" localSheetId="22" hidden="1">#REF!</definedName>
    <definedName name="BExIWTDXFUWVYBQESO5CWKRJER7E" hidden="1">#REF!</definedName>
    <definedName name="BExIX0A3PWRKTM1XZER1O9CA7OBA" localSheetId="7" hidden="1">#REF!</definedName>
    <definedName name="BExIX0A3PWRKTM1XZER1O9CA7OBA" localSheetId="8" hidden="1">#REF!</definedName>
    <definedName name="BExIX0A3PWRKTM1XZER1O9CA7OBA" localSheetId="0" hidden="1">#REF!</definedName>
    <definedName name="BExIX0A3PWRKTM1XZER1O9CA7OBA" localSheetId="22" hidden="1">#REF!</definedName>
    <definedName name="BExIX0A3PWRKTM1XZER1O9CA7OBA" hidden="1">#REF!</definedName>
    <definedName name="BExIX76ANFIYB411PVORG0OVBF3C" localSheetId="7" hidden="1">#REF!</definedName>
    <definedName name="BExIX76ANFIYB411PVORG0OVBF3C" localSheetId="8" hidden="1">#REF!</definedName>
    <definedName name="BExIX76ANFIYB411PVORG0OVBF3C" localSheetId="0" hidden="1">#REF!</definedName>
    <definedName name="BExIX76ANFIYB411PVORG0OVBF3C" localSheetId="22" hidden="1">#REF!</definedName>
    <definedName name="BExIX76ANFIYB411PVORG0OVBF3C" hidden="1">#REF!</definedName>
    <definedName name="BExIY9333RU81ENX122Q7CXEUA32" localSheetId="7" hidden="1">#REF!</definedName>
    <definedName name="BExIY9333RU81ENX122Q7CXEUA32" localSheetId="8" hidden="1">#REF!</definedName>
    <definedName name="BExIY9333RU81ENX122Q7CXEUA32" localSheetId="0" hidden="1">#REF!</definedName>
    <definedName name="BExIY9333RU81ENX122Q7CXEUA32" localSheetId="22" hidden="1">#REF!</definedName>
    <definedName name="BExIY9333RU81ENX122Q7CXEUA32" hidden="1">#REF!</definedName>
    <definedName name="BExIYF2VWNO8NBSIVR69ZH9LZF4W" localSheetId="7" hidden="1">#REF!</definedName>
    <definedName name="BExIYF2VWNO8NBSIVR69ZH9LZF4W" localSheetId="8" hidden="1">#REF!</definedName>
    <definedName name="BExIYF2VWNO8NBSIVR69ZH9LZF4W" localSheetId="0" hidden="1">#REF!</definedName>
    <definedName name="BExIYF2VWNO8NBSIVR69ZH9LZF4W" localSheetId="22" hidden="1">#REF!</definedName>
    <definedName name="BExIYF2VWNO8NBSIVR69ZH9LZF4W" hidden="1">#REF!</definedName>
    <definedName name="BExIYL2OUVLJZVI6HDEXM1IEJT9R" localSheetId="7" hidden="1">#REF!</definedName>
    <definedName name="BExIYL2OUVLJZVI6HDEXM1IEJT9R" localSheetId="8" hidden="1">#REF!</definedName>
    <definedName name="BExIYL2OUVLJZVI6HDEXM1IEJT9R" localSheetId="0" hidden="1">#REF!</definedName>
    <definedName name="BExIYL2OUVLJZVI6HDEXM1IEJT9R" localSheetId="22" hidden="1">#REF!</definedName>
    <definedName name="BExIYL2OUVLJZVI6HDEXM1IEJT9R" hidden="1">#REF!</definedName>
    <definedName name="BExIZAJS6YJQZNIMXSWXT0RU51DT" localSheetId="7" hidden="1">#REF!</definedName>
    <definedName name="BExIZAJS6YJQZNIMXSWXT0RU51DT" localSheetId="8" hidden="1">#REF!</definedName>
    <definedName name="BExIZAJS6YJQZNIMXSWXT0RU51DT" localSheetId="0" hidden="1">#REF!</definedName>
    <definedName name="BExIZAJS6YJQZNIMXSWXT0RU51DT" localSheetId="22" hidden="1">#REF!</definedName>
    <definedName name="BExIZAJS6YJQZNIMXSWXT0RU51DT" hidden="1">#REF!</definedName>
    <definedName name="BExIZLHJQM4IHHTD3UEY6TRLSCPU" localSheetId="7" hidden="1">#REF!</definedName>
    <definedName name="BExIZLHJQM4IHHTD3UEY6TRLSCPU" localSheetId="8" hidden="1">#REF!</definedName>
    <definedName name="BExIZLHJQM4IHHTD3UEY6TRLSCPU" localSheetId="0" hidden="1">#REF!</definedName>
    <definedName name="BExIZLHJQM4IHHTD3UEY6TRLSCPU" localSheetId="22" hidden="1">#REF!</definedName>
    <definedName name="BExIZLHJQM4IHHTD3UEY6TRLSCPU" hidden="1">#REF!</definedName>
    <definedName name="BExIZLXSRKW3L5QVJ61B21FNSLV8" localSheetId="7" hidden="1">#REF!</definedName>
    <definedName name="BExIZLXSRKW3L5QVJ61B21FNSLV8" localSheetId="8" hidden="1">#REF!</definedName>
    <definedName name="BExIZLXSRKW3L5QVJ61B21FNSLV8" localSheetId="0" hidden="1">#REF!</definedName>
    <definedName name="BExIZLXSRKW3L5QVJ61B21FNSLV8" localSheetId="22" hidden="1">#REF!</definedName>
    <definedName name="BExIZLXSRKW3L5QVJ61B21FNSLV8" hidden="1">#REF!</definedName>
    <definedName name="BExIZM34IL9I3T662RCBZYUZ9OPX" localSheetId="7" hidden="1">#REF!</definedName>
    <definedName name="BExIZM34IL9I3T662RCBZYUZ9OPX" localSheetId="8" hidden="1">#REF!</definedName>
    <definedName name="BExIZM34IL9I3T662RCBZYUZ9OPX" localSheetId="0" hidden="1">#REF!</definedName>
    <definedName name="BExIZM34IL9I3T662RCBZYUZ9OPX" localSheetId="22" hidden="1">#REF!</definedName>
    <definedName name="BExIZM34IL9I3T662RCBZYUZ9OPX" hidden="1">#REF!</definedName>
    <definedName name="BExIZYOB8PNB1QA8EEMTFK613JYM" localSheetId="7" hidden="1">#REF!</definedName>
    <definedName name="BExIZYOB8PNB1QA8EEMTFK613JYM" localSheetId="8" hidden="1">#REF!</definedName>
    <definedName name="BExIZYOB8PNB1QA8EEMTFK613JYM" localSheetId="0" hidden="1">#REF!</definedName>
    <definedName name="BExIZYOB8PNB1QA8EEMTFK613JYM" localSheetId="22" hidden="1">#REF!</definedName>
    <definedName name="BExIZYOB8PNB1QA8EEMTFK613JYM" hidden="1">#REF!</definedName>
    <definedName name="BExJ08KB1IAN6JNARQ00WCSHAPF0" localSheetId="7" hidden="1">#REF!</definedName>
    <definedName name="BExJ08KB1IAN6JNARQ00WCSHAPF0" localSheetId="8" hidden="1">#REF!</definedName>
    <definedName name="BExJ08KB1IAN6JNARQ00WCSHAPF0" localSheetId="0" hidden="1">#REF!</definedName>
    <definedName name="BExJ08KB1IAN6JNARQ00WCSHAPF0" localSheetId="22" hidden="1">#REF!</definedName>
    <definedName name="BExJ08KB1IAN6JNARQ00WCSHAPF0" hidden="1">#REF!</definedName>
    <definedName name="BExJ0RQUMO8XC8F9KBEUCYPP77WI" localSheetId="7" hidden="1">#REF!</definedName>
    <definedName name="BExJ0RQUMO8XC8F9KBEUCYPP77WI" localSheetId="8" hidden="1">#REF!</definedName>
    <definedName name="BExJ0RQUMO8XC8F9KBEUCYPP77WI" localSheetId="0" hidden="1">#REF!</definedName>
    <definedName name="BExJ0RQUMO8XC8F9KBEUCYPP77WI" localSheetId="22" hidden="1">#REF!</definedName>
    <definedName name="BExJ0RQUMO8XC8F9KBEUCYPP77WI" hidden="1">#REF!</definedName>
    <definedName name="BExJ0SCGFCJ9MJRPD4GPKIWNP5UF" localSheetId="7" hidden="1">[1]ZQBC_PLN_01_03_N!#REF!</definedName>
    <definedName name="BExJ0SCGFCJ9MJRPD4GPKIWNP5UF" localSheetId="8" hidden="1">[1]ZQBC_PLN_01_03_N!#REF!</definedName>
    <definedName name="BExJ0SCGFCJ9MJRPD4GPKIWNP5UF" localSheetId="0" hidden="1">[1]ZQBC_PLN_01_03_N!#REF!</definedName>
    <definedName name="BExJ0SCGFCJ9MJRPD4GPKIWNP5UF" localSheetId="22" hidden="1">[1]ZQBC_PLN_01_03_N!#REF!</definedName>
    <definedName name="BExJ0SCGFCJ9MJRPD4GPKIWNP5UF" hidden="1">[1]ZQBC_PLN_01_03_N!#REF!</definedName>
    <definedName name="BExJ18TUXRCLPD89DQ2AY2YBC6TU" localSheetId="7" hidden="1">#REF!</definedName>
    <definedName name="BExJ18TUXRCLPD89DQ2AY2YBC6TU" localSheetId="8" hidden="1">#REF!</definedName>
    <definedName name="BExJ18TUXRCLPD89DQ2AY2YBC6TU" localSheetId="0" hidden="1">#REF!</definedName>
    <definedName name="BExJ18TUXRCLPD89DQ2AY2YBC6TU" localSheetId="22" hidden="1">#REF!</definedName>
    <definedName name="BExJ18TUXRCLPD89DQ2AY2YBC6TU" hidden="1">#REF!</definedName>
    <definedName name="BExKCDYJ50O8B2OSSXLQ4A1K0812" localSheetId="7" hidden="1">#REF!</definedName>
    <definedName name="BExKCDYJ50O8B2OSSXLQ4A1K0812" localSheetId="8" hidden="1">#REF!</definedName>
    <definedName name="BExKCDYJ50O8B2OSSXLQ4A1K0812" localSheetId="0" hidden="1">#REF!</definedName>
    <definedName name="BExKCDYJ50O8B2OSSXLQ4A1K0812" localSheetId="22" hidden="1">#REF!</definedName>
    <definedName name="BExKCDYJ50O8B2OSSXLQ4A1K0812" hidden="1">#REF!</definedName>
    <definedName name="BExKER2TTEJ75PW11WCEFJN8TWZ0" localSheetId="7" hidden="1">#REF!</definedName>
    <definedName name="BExKER2TTEJ75PW11WCEFJN8TWZ0" localSheetId="8" hidden="1">#REF!</definedName>
    <definedName name="BExKER2TTEJ75PW11WCEFJN8TWZ0" localSheetId="0" hidden="1">#REF!</definedName>
    <definedName name="BExKER2TTEJ75PW11WCEFJN8TWZ0" localSheetId="22" hidden="1">#REF!</definedName>
    <definedName name="BExKER2TTEJ75PW11WCEFJN8TWZ0" hidden="1">#REF!</definedName>
    <definedName name="BExKF0O2XK0JHGNOK7YRFP9SBOHH" localSheetId="7" hidden="1">#REF!</definedName>
    <definedName name="BExKF0O2XK0JHGNOK7YRFP9SBOHH" localSheetId="8" hidden="1">#REF!</definedName>
    <definedName name="BExKF0O2XK0JHGNOK7YRFP9SBOHH" localSheetId="0" hidden="1">#REF!</definedName>
    <definedName name="BExKF0O2XK0JHGNOK7YRFP9SBOHH" localSheetId="22" hidden="1">#REF!</definedName>
    <definedName name="BExKF0O2XK0JHGNOK7YRFP9SBOHH" hidden="1">#REF!</definedName>
    <definedName name="BExKFCSZWOIJFD4WW4948OB5R4K9" localSheetId="7" hidden="1">#REF!</definedName>
    <definedName name="BExKFCSZWOIJFD4WW4948OB5R4K9" localSheetId="8" hidden="1">#REF!</definedName>
    <definedName name="BExKFCSZWOIJFD4WW4948OB5R4K9" localSheetId="0" hidden="1">#REF!</definedName>
    <definedName name="BExKFCSZWOIJFD4WW4948OB5R4K9" localSheetId="22" hidden="1">#REF!</definedName>
    <definedName name="BExKFCSZWOIJFD4WW4948OB5R4K9" hidden="1">#REF!</definedName>
    <definedName name="BExKFIY2TWFR0EC18X6Q1DDMRRX3" localSheetId="7" hidden="1">#REF!</definedName>
    <definedName name="BExKFIY2TWFR0EC18X6Q1DDMRRX3" localSheetId="8" hidden="1">#REF!</definedName>
    <definedName name="BExKFIY2TWFR0EC18X6Q1DDMRRX3" localSheetId="0" hidden="1">#REF!</definedName>
    <definedName name="BExKFIY2TWFR0EC18X6Q1DDMRRX3" localSheetId="22" hidden="1">#REF!</definedName>
    <definedName name="BExKFIY2TWFR0EC18X6Q1DDMRRX3" hidden="1">#REF!</definedName>
    <definedName name="BExKFMJQHSDU04MON4WU9XM9FD0B" localSheetId="7" hidden="1">#REF!</definedName>
    <definedName name="BExKFMJQHSDU04MON4WU9XM9FD0B" localSheetId="8" hidden="1">#REF!</definedName>
    <definedName name="BExKFMJQHSDU04MON4WU9XM9FD0B" localSheetId="0" hidden="1">#REF!</definedName>
    <definedName name="BExKFMJQHSDU04MON4WU9XM9FD0B" localSheetId="22" hidden="1">#REF!</definedName>
    <definedName name="BExKFMJQHSDU04MON4WU9XM9FD0B" hidden="1">#REF!</definedName>
    <definedName name="BExKG1ZCBSQHAXSC30LLVFNYH4PR" localSheetId="7" hidden="1">#REF!</definedName>
    <definedName name="BExKG1ZCBSQHAXSC30LLVFNYH4PR" localSheetId="8" hidden="1">#REF!</definedName>
    <definedName name="BExKG1ZCBSQHAXSC30LLVFNYH4PR" localSheetId="0" hidden="1">#REF!</definedName>
    <definedName name="BExKG1ZCBSQHAXSC30LLVFNYH4PR" localSheetId="22" hidden="1">#REF!</definedName>
    <definedName name="BExKG1ZCBSQHAXSC30LLVFNYH4PR" hidden="1">#REF!</definedName>
    <definedName name="BExKG3XCZYDY0NPQZD4P69LUGBJD" localSheetId="7" hidden="1">[1]ZQZBC_REG_02_04!#REF!</definedName>
    <definedName name="BExKG3XCZYDY0NPQZD4P69LUGBJD" localSheetId="8" hidden="1">[1]ZQZBC_REG_02_04!#REF!</definedName>
    <definedName name="BExKG3XCZYDY0NPQZD4P69LUGBJD" localSheetId="0" hidden="1">[1]ZQZBC_REG_02_04!#REF!</definedName>
    <definedName name="BExKG3XCZYDY0NPQZD4P69LUGBJD" localSheetId="22" hidden="1">[1]ZQZBC_REG_02_04!#REF!</definedName>
    <definedName name="BExKG3XCZYDY0NPQZD4P69LUGBJD" hidden="1">[1]ZQZBC_REG_02_04!#REF!</definedName>
    <definedName name="BExKG5KSNA0HLNSB38O534SVSW3L" localSheetId="7" hidden="1">#REF!</definedName>
    <definedName name="BExKG5KSNA0HLNSB38O534SVSW3L" localSheetId="8" hidden="1">#REF!</definedName>
    <definedName name="BExKG5KSNA0HLNSB38O534SVSW3L" localSheetId="0" hidden="1">#REF!</definedName>
    <definedName name="BExKG5KSNA0HLNSB38O534SVSW3L" localSheetId="22" hidden="1">#REF!</definedName>
    <definedName name="BExKG5KSNA0HLNSB38O534SVSW3L" hidden="1">#REF!</definedName>
    <definedName name="BExKGSI47IPRI0G85MHN9NSFTF50" localSheetId="7" hidden="1">#REF!</definedName>
    <definedName name="BExKGSI47IPRI0G85MHN9NSFTF50" localSheetId="8" hidden="1">#REF!</definedName>
    <definedName name="BExKGSI47IPRI0G85MHN9NSFTF50" localSheetId="0" hidden="1">#REF!</definedName>
    <definedName name="BExKGSI47IPRI0G85MHN9NSFTF50" localSheetId="22" hidden="1">#REF!</definedName>
    <definedName name="BExKGSI47IPRI0G85MHN9NSFTF50" hidden="1">#REF!</definedName>
    <definedName name="BExKH7MW8NIHYLBS5XVMYIF9XV2S" localSheetId="7" hidden="1">[1]ZQZBC_REG_02_04!#REF!</definedName>
    <definedName name="BExKH7MW8NIHYLBS5XVMYIF9XV2S" localSheetId="8" hidden="1">[1]ZQZBC_REG_02_04!#REF!</definedName>
    <definedName name="BExKH7MW8NIHYLBS5XVMYIF9XV2S" localSheetId="0" hidden="1">[1]ZQZBC_REG_02_04!#REF!</definedName>
    <definedName name="BExKH7MW8NIHYLBS5XVMYIF9XV2S" localSheetId="22" hidden="1">[1]ZQZBC_REG_02_04!#REF!</definedName>
    <definedName name="BExKH7MW8NIHYLBS5XVMYIF9XV2S" hidden="1">[1]ZQZBC_REG_02_04!#REF!</definedName>
    <definedName name="BExKHJRZPOAAYWTXC8WANK0L3XCO" localSheetId="7" hidden="1">#REF!</definedName>
    <definedName name="BExKHJRZPOAAYWTXC8WANK0L3XCO" localSheetId="8" hidden="1">#REF!</definedName>
    <definedName name="BExKHJRZPOAAYWTXC8WANK0L3XCO" localSheetId="0" hidden="1">#REF!</definedName>
    <definedName name="BExKHJRZPOAAYWTXC8WANK0L3XCO" localSheetId="22" hidden="1">#REF!</definedName>
    <definedName name="BExKHJRZPOAAYWTXC8WANK0L3XCO" hidden="1">#REF!</definedName>
    <definedName name="BExKHMH2B8OT8TU7L1QE26IBQ8FS" localSheetId="7" hidden="1">#REF!</definedName>
    <definedName name="BExKHMH2B8OT8TU7L1QE26IBQ8FS" localSheetId="8" hidden="1">#REF!</definedName>
    <definedName name="BExKHMH2B8OT8TU7L1QE26IBQ8FS" localSheetId="0" hidden="1">#REF!</definedName>
    <definedName name="BExKHMH2B8OT8TU7L1QE26IBQ8FS" localSheetId="22" hidden="1">#REF!</definedName>
    <definedName name="BExKHMH2B8OT8TU7L1QE26IBQ8FS" hidden="1">#REF!</definedName>
    <definedName name="BExKHU455ZH5GKG6E2QGSHXSSD09" localSheetId="7" hidden="1">#REF!</definedName>
    <definedName name="BExKHU455ZH5GKG6E2QGSHXSSD09" localSheetId="8" hidden="1">#REF!</definedName>
    <definedName name="BExKHU455ZH5GKG6E2QGSHXSSD09" localSheetId="0" hidden="1">#REF!</definedName>
    <definedName name="BExKHU455ZH5GKG6E2QGSHXSSD09" localSheetId="22" hidden="1">#REF!</definedName>
    <definedName name="BExKHU455ZH5GKG6E2QGSHXSSD09" hidden="1">#REF!</definedName>
    <definedName name="BExKHYRGYD3D7I182CB9ABBIKAIV" localSheetId="7" hidden="1">#REF!</definedName>
    <definedName name="BExKHYRGYD3D7I182CB9ABBIKAIV" localSheetId="8" hidden="1">#REF!</definedName>
    <definedName name="BExKHYRGYD3D7I182CB9ABBIKAIV" localSheetId="0" hidden="1">#REF!</definedName>
    <definedName name="BExKHYRGYD3D7I182CB9ABBIKAIV" localSheetId="22" hidden="1">#REF!</definedName>
    <definedName name="BExKHYRGYD3D7I182CB9ABBIKAIV" hidden="1">#REF!</definedName>
    <definedName name="BExKI45II0L9T8AWY4U7JCILHXCG" localSheetId="7" hidden="1">#REF!</definedName>
    <definedName name="BExKI45II0L9T8AWY4U7JCILHXCG" localSheetId="8" hidden="1">#REF!</definedName>
    <definedName name="BExKI45II0L9T8AWY4U7JCILHXCG" localSheetId="0" hidden="1">#REF!</definedName>
    <definedName name="BExKI45II0L9T8AWY4U7JCILHXCG" localSheetId="22" hidden="1">#REF!</definedName>
    <definedName name="BExKI45II0L9T8AWY4U7JCILHXCG" hidden="1">#REF!</definedName>
    <definedName name="BExKIC3IGBBP53RDZ6SSVPIQ2JEV" localSheetId="7" hidden="1">#REF!</definedName>
    <definedName name="BExKIC3IGBBP53RDZ6SSVPIQ2JEV" localSheetId="8" hidden="1">#REF!</definedName>
    <definedName name="BExKIC3IGBBP53RDZ6SSVPIQ2JEV" localSheetId="0" hidden="1">#REF!</definedName>
    <definedName name="BExKIC3IGBBP53RDZ6SSVPIQ2JEV" localSheetId="22" hidden="1">#REF!</definedName>
    <definedName name="BExKIC3IGBBP53RDZ6SSVPIQ2JEV" hidden="1">#REF!</definedName>
    <definedName name="BExKIDAP6Q5LLW3KNPTNETM4FK8G" localSheetId="7" hidden="1">[1]ZQBC_PLN_01_03_N!#REF!</definedName>
    <definedName name="BExKIDAP6Q5LLW3KNPTNETM4FK8G" localSheetId="8" hidden="1">[1]ZQBC_PLN_01_03_N!#REF!</definedName>
    <definedName name="BExKIDAP6Q5LLW3KNPTNETM4FK8G" localSheetId="0" hidden="1">[1]ZQBC_PLN_01_03_N!#REF!</definedName>
    <definedName name="BExKIDAP6Q5LLW3KNPTNETM4FK8G" localSheetId="22" hidden="1">[1]ZQBC_PLN_01_03_N!#REF!</definedName>
    <definedName name="BExKIDAP6Q5LLW3KNPTNETM4FK8G" hidden="1">[1]ZQBC_PLN_01_03_N!#REF!</definedName>
    <definedName name="BExKIWXB61X2ZFKEM516HYN09OMX" localSheetId="7" hidden="1">#REF!</definedName>
    <definedName name="BExKIWXB61X2ZFKEM516HYN09OMX" localSheetId="8" hidden="1">#REF!</definedName>
    <definedName name="BExKIWXB61X2ZFKEM516HYN09OMX" localSheetId="0" hidden="1">#REF!</definedName>
    <definedName name="BExKIWXB61X2ZFKEM516HYN09OMX" localSheetId="22" hidden="1">#REF!</definedName>
    <definedName name="BExKIWXB61X2ZFKEM516HYN09OMX" hidden="1">#REF!</definedName>
    <definedName name="BExKK0C1XGFVNDIKCWYAR98RG9OK" localSheetId="7" hidden="1">#REF!</definedName>
    <definedName name="BExKK0C1XGFVNDIKCWYAR98RG9OK" localSheetId="8" hidden="1">#REF!</definedName>
    <definedName name="BExKK0C1XGFVNDIKCWYAR98RG9OK" localSheetId="0" hidden="1">#REF!</definedName>
    <definedName name="BExKK0C1XGFVNDIKCWYAR98RG9OK" localSheetId="22" hidden="1">#REF!</definedName>
    <definedName name="BExKK0C1XGFVNDIKCWYAR98RG9OK" hidden="1">#REF!</definedName>
    <definedName name="BExKKGZ0BG8GH5G0FL4OM1XMN4FR" localSheetId="7" hidden="1">#REF!</definedName>
    <definedName name="BExKKGZ0BG8GH5G0FL4OM1XMN4FR" localSheetId="8" hidden="1">#REF!</definedName>
    <definedName name="BExKKGZ0BG8GH5G0FL4OM1XMN4FR" localSheetId="0" hidden="1">#REF!</definedName>
    <definedName name="BExKKGZ0BG8GH5G0FL4OM1XMN4FR" localSheetId="22" hidden="1">#REF!</definedName>
    <definedName name="BExKKGZ0BG8GH5G0FL4OM1XMN4FR" hidden="1">#REF!</definedName>
    <definedName name="BExKKQ40P3CU9NH7936UH9LM6VRJ" localSheetId="7" hidden="1">#REF!</definedName>
    <definedName name="BExKKQ40P3CU9NH7936UH9LM6VRJ" localSheetId="8" hidden="1">#REF!</definedName>
    <definedName name="BExKKQ40P3CU9NH7936UH9LM6VRJ" localSheetId="0" hidden="1">#REF!</definedName>
    <definedName name="BExKKQ40P3CU9NH7936UH9LM6VRJ" localSheetId="22" hidden="1">#REF!</definedName>
    <definedName name="BExKKQ40P3CU9NH7936UH9LM6VRJ" hidden="1">#REF!</definedName>
    <definedName name="BExKLLA4GE53GR94DWBMDFMYAB05" localSheetId="7" hidden="1">#REF!</definedName>
    <definedName name="BExKLLA4GE53GR94DWBMDFMYAB05" localSheetId="8" hidden="1">#REF!</definedName>
    <definedName name="BExKLLA4GE53GR94DWBMDFMYAB05" localSheetId="0" hidden="1">#REF!</definedName>
    <definedName name="BExKLLA4GE53GR94DWBMDFMYAB05" localSheetId="22" hidden="1">#REF!</definedName>
    <definedName name="BExKLLA4GE53GR94DWBMDFMYAB05" hidden="1">#REF!</definedName>
    <definedName name="BExKM87GLBXV13KUPDU4NIA7Y5NQ" localSheetId="7" hidden="1">#REF!</definedName>
    <definedName name="BExKM87GLBXV13KUPDU4NIA7Y5NQ" localSheetId="8" hidden="1">#REF!</definedName>
    <definedName name="BExKM87GLBXV13KUPDU4NIA7Y5NQ" localSheetId="0" hidden="1">#REF!</definedName>
    <definedName name="BExKM87GLBXV13KUPDU4NIA7Y5NQ" localSheetId="22" hidden="1">#REF!</definedName>
    <definedName name="BExKM87GLBXV13KUPDU4NIA7Y5NQ" hidden="1">#REF!</definedName>
    <definedName name="BExKMG5F5P8TUG5A0TI9SI8E5JLV" localSheetId="7" hidden="1">#REF!</definedName>
    <definedName name="BExKMG5F5P8TUG5A0TI9SI8E5JLV" localSheetId="8" hidden="1">#REF!</definedName>
    <definedName name="BExKMG5F5P8TUG5A0TI9SI8E5JLV" localSheetId="0" hidden="1">#REF!</definedName>
    <definedName name="BExKMG5F5P8TUG5A0TI9SI8E5JLV" localSheetId="22" hidden="1">#REF!</definedName>
    <definedName name="BExKMG5F5P8TUG5A0TI9SI8E5JLV" hidden="1">#REF!</definedName>
    <definedName name="BExKN9O4PYB67UMV1XA2V0BLMGZV" localSheetId="7" hidden="1">#REF!</definedName>
    <definedName name="BExKN9O4PYB67UMV1XA2V0BLMGZV" localSheetId="8" hidden="1">#REF!</definedName>
    <definedName name="BExKN9O4PYB67UMV1XA2V0BLMGZV" localSheetId="0" hidden="1">#REF!</definedName>
    <definedName name="BExKN9O4PYB67UMV1XA2V0BLMGZV" localSheetId="22" hidden="1">#REF!</definedName>
    <definedName name="BExKN9O4PYB67UMV1XA2V0BLMGZV" hidden="1">#REF!</definedName>
    <definedName name="BExKNQAXDD23AFVJLU72AR6X1PIR" localSheetId="7" hidden="1">[1]ZQZBC_REG_02_04!#REF!</definedName>
    <definedName name="BExKNQAXDD23AFVJLU72AR6X1PIR" localSheetId="8" hidden="1">[1]ZQZBC_REG_02_04!#REF!</definedName>
    <definedName name="BExKNQAXDD23AFVJLU72AR6X1PIR" localSheetId="0" hidden="1">[1]ZQZBC_REG_02_04!#REF!</definedName>
    <definedName name="BExKNQAXDD23AFVJLU72AR6X1PIR" localSheetId="22" hidden="1">[1]ZQZBC_REG_02_04!#REF!</definedName>
    <definedName name="BExKNQAXDD23AFVJLU72AR6X1PIR" hidden="1">[1]ZQZBC_REG_02_04!#REF!</definedName>
    <definedName name="BExKOHKQPF954ZYX2POUB0ZP5RPJ" localSheetId="7" hidden="1">#REF!</definedName>
    <definedName name="BExKOHKQPF954ZYX2POUB0ZP5RPJ" localSheetId="8" hidden="1">#REF!</definedName>
    <definedName name="BExKOHKQPF954ZYX2POUB0ZP5RPJ" localSheetId="0" hidden="1">#REF!</definedName>
    <definedName name="BExKOHKQPF954ZYX2POUB0ZP5RPJ" localSheetId="22" hidden="1">#REF!</definedName>
    <definedName name="BExKOHKQPF954ZYX2POUB0ZP5RPJ" hidden="1">#REF!</definedName>
    <definedName name="BExKOLH0512OR3NJN08UMM9EAM0W" localSheetId="7" hidden="1">#REF!</definedName>
    <definedName name="BExKOLH0512OR3NJN08UMM9EAM0W" localSheetId="8" hidden="1">#REF!</definedName>
    <definedName name="BExKOLH0512OR3NJN08UMM9EAM0W" localSheetId="0" hidden="1">#REF!</definedName>
    <definedName name="BExKOLH0512OR3NJN08UMM9EAM0W" localSheetId="22" hidden="1">#REF!</definedName>
    <definedName name="BExKOLH0512OR3NJN08UMM9EAM0W" hidden="1">#REF!</definedName>
    <definedName name="BExKOR0J3AHVLAIKDV88C0WQFNRO" localSheetId="7" hidden="1">#REF!</definedName>
    <definedName name="BExKOR0J3AHVLAIKDV88C0WQFNRO" localSheetId="8" hidden="1">#REF!</definedName>
    <definedName name="BExKOR0J3AHVLAIKDV88C0WQFNRO" localSheetId="0" hidden="1">#REF!</definedName>
    <definedName name="BExKOR0J3AHVLAIKDV88C0WQFNRO" localSheetId="22" hidden="1">#REF!</definedName>
    <definedName name="BExKOR0J3AHVLAIKDV88C0WQFNRO" hidden="1">#REF!</definedName>
    <definedName name="BExKPASNFSJMGKE8NVFL5X8LR6X1" localSheetId="7" hidden="1">#REF!</definedName>
    <definedName name="BExKPASNFSJMGKE8NVFL5X8LR6X1" localSheetId="8" hidden="1">#REF!</definedName>
    <definedName name="BExKPASNFSJMGKE8NVFL5X8LR6X1" localSheetId="0" hidden="1">#REF!</definedName>
    <definedName name="BExKPASNFSJMGKE8NVFL5X8LR6X1" localSheetId="22" hidden="1">#REF!</definedName>
    <definedName name="BExKPASNFSJMGKE8NVFL5X8LR6X1" hidden="1">#REF!</definedName>
    <definedName name="BExKPKZHYYPCAGJ5HQ0DW3TH7SAT" localSheetId="7" hidden="1">#REF!</definedName>
    <definedName name="BExKPKZHYYPCAGJ5HQ0DW3TH7SAT" localSheetId="8" hidden="1">#REF!</definedName>
    <definedName name="BExKPKZHYYPCAGJ5HQ0DW3TH7SAT" localSheetId="0" hidden="1">#REF!</definedName>
    <definedName name="BExKPKZHYYPCAGJ5HQ0DW3TH7SAT" localSheetId="22" hidden="1">#REF!</definedName>
    <definedName name="BExKPKZHYYPCAGJ5HQ0DW3TH7SAT" hidden="1">#REF!</definedName>
    <definedName name="BExKQMR0OMKJG5P7K2X9Q3EL8MIG" localSheetId="7" hidden="1">#REF!</definedName>
    <definedName name="BExKQMR0OMKJG5P7K2X9Q3EL8MIG" localSheetId="8" hidden="1">#REF!</definedName>
    <definedName name="BExKQMR0OMKJG5P7K2X9Q3EL8MIG" localSheetId="0" hidden="1">#REF!</definedName>
    <definedName name="BExKQMR0OMKJG5P7K2X9Q3EL8MIG" localSheetId="22" hidden="1">#REF!</definedName>
    <definedName name="BExKQMR0OMKJG5P7K2X9Q3EL8MIG" hidden="1">#REF!</definedName>
    <definedName name="BExKQOZTBIJZ6MNH4K3END5NOYR1" localSheetId="7" hidden="1">#REF!</definedName>
    <definedName name="BExKQOZTBIJZ6MNH4K3END5NOYR1" localSheetId="8" hidden="1">#REF!</definedName>
    <definedName name="BExKQOZTBIJZ6MNH4K3END5NOYR1" localSheetId="0" hidden="1">#REF!</definedName>
    <definedName name="BExKQOZTBIJZ6MNH4K3END5NOYR1" localSheetId="22" hidden="1">#REF!</definedName>
    <definedName name="BExKQOZTBIJZ6MNH4K3END5NOYR1" hidden="1">#REF!</definedName>
    <definedName name="BExKQUOUJJD11PRIRWBWSYL57F0B" localSheetId="7" hidden="1">#REF!</definedName>
    <definedName name="BExKQUOUJJD11PRIRWBWSYL57F0B" localSheetId="8" hidden="1">#REF!</definedName>
    <definedName name="BExKQUOUJJD11PRIRWBWSYL57F0B" localSheetId="0" hidden="1">#REF!</definedName>
    <definedName name="BExKQUOUJJD11PRIRWBWSYL57F0B" localSheetId="22" hidden="1">#REF!</definedName>
    <definedName name="BExKQUOUJJD11PRIRWBWSYL57F0B" hidden="1">#REF!</definedName>
    <definedName name="BExKQUU5QA10KXLVN9WW0YRWN457" localSheetId="7" hidden="1">#REF!</definedName>
    <definedName name="BExKQUU5QA10KXLVN9WW0YRWN457" localSheetId="8" hidden="1">#REF!</definedName>
    <definedName name="BExKQUU5QA10KXLVN9WW0YRWN457" localSheetId="0" hidden="1">#REF!</definedName>
    <definedName name="BExKQUU5QA10KXLVN9WW0YRWN457" localSheetId="22" hidden="1">#REF!</definedName>
    <definedName name="BExKQUU5QA10KXLVN9WW0YRWN457" hidden="1">#REF!</definedName>
    <definedName name="BExKR26LEB6FSIZVDUIG998JIFAA" localSheetId="7" hidden="1">#REF!</definedName>
    <definedName name="BExKR26LEB6FSIZVDUIG998JIFAA" localSheetId="8" hidden="1">#REF!</definedName>
    <definedName name="BExKR26LEB6FSIZVDUIG998JIFAA" localSheetId="0" hidden="1">#REF!</definedName>
    <definedName name="BExKR26LEB6FSIZVDUIG998JIFAA" localSheetId="22" hidden="1">#REF!</definedName>
    <definedName name="BExKR26LEB6FSIZVDUIG998JIFAA" hidden="1">#REF!</definedName>
    <definedName name="BExKRRNJ7WYH0VSZCM4KRSVYEEWG" localSheetId="7" hidden="1">#REF!</definedName>
    <definedName name="BExKRRNJ7WYH0VSZCM4KRSVYEEWG" localSheetId="8" hidden="1">#REF!</definedName>
    <definedName name="BExKRRNJ7WYH0VSZCM4KRSVYEEWG" localSheetId="0" hidden="1">#REF!</definedName>
    <definedName name="BExKRRNJ7WYH0VSZCM4KRSVYEEWG" localSheetId="22" hidden="1">#REF!</definedName>
    <definedName name="BExKRRNJ7WYH0VSZCM4KRSVYEEWG" hidden="1">#REF!</definedName>
    <definedName name="BExKSG8FV6NDQ12FX8MPCQLA3PBG" localSheetId="7" hidden="1">#REF!</definedName>
    <definedName name="BExKSG8FV6NDQ12FX8MPCQLA3PBG" localSheetId="8" hidden="1">#REF!</definedName>
    <definedName name="BExKSG8FV6NDQ12FX8MPCQLA3PBG" localSheetId="0" hidden="1">#REF!</definedName>
    <definedName name="BExKSG8FV6NDQ12FX8MPCQLA3PBG" localSheetId="22" hidden="1">#REF!</definedName>
    <definedName name="BExKSG8FV6NDQ12FX8MPCQLA3PBG" hidden="1">#REF!</definedName>
    <definedName name="BExKSNVJDEDLE2Q90VVIDP2677MI" localSheetId="7" hidden="1">#REF!</definedName>
    <definedName name="BExKSNVJDEDLE2Q90VVIDP2677MI" localSheetId="8" hidden="1">#REF!</definedName>
    <definedName name="BExKSNVJDEDLE2Q90VVIDP2677MI" localSheetId="0" hidden="1">#REF!</definedName>
    <definedName name="BExKSNVJDEDLE2Q90VVIDP2677MI" localSheetId="22" hidden="1">#REF!</definedName>
    <definedName name="BExKSNVJDEDLE2Q90VVIDP2677MI" hidden="1">#REF!</definedName>
    <definedName name="BExKSUX0C9NVFLFDK5HHKDTKTJKZ" localSheetId="7" hidden="1">#REF!</definedName>
    <definedName name="BExKSUX0C9NVFLFDK5HHKDTKTJKZ" localSheetId="8" hidden="1">#REF!</definedName>
    <definedName name="BExKSUX0C9NVFLFDK5HHKDTKTJKZ" localSheetId="0" hidden="1">#REF!</definedName>
    <definedName name="BExKSUX0C9NVFLFDK5HHKDTKTJKZ" localSheetId="22" hidden="1">#REF!</definedName>
    <definedName name="BExKSUX0C9NVFLFDK5HHKDTKTJKZ" hidden="1">#REF!</definedName>
    <definedName name="BExKSXM32YE7WZK4GITMNNVQYK3J" localSheetId="7" hidden="1">#REF!</definedName>
    <definedName name="BExKSXM32YE7WZK4GITMNNVQYK3J" localSheetId="8" hidden="1">#REF!</definedName>
    <definedName name="BExKSXM32YE7WZK4GITMNNVQYK3J" localSheetId="0" hidden="1">#REF!</definedName>
    <definedName name="BExKSXM32YE7WZK4GITMNNVQYK3J" localSheetId="22" hidden="1">#REF!</definedName>
    <definedName name="BExKSXM32YE7WZK4GITMNNVQYK3J" hidden="1">#REF!</definedName>
    <definedName name="BExKT2PJ0FSK12M0GGIY5DM7HH5M" localSheetId="7" hidden="1">[1]ZQZBC_PLN_01_06_N!#REF!</definedName>
    <definedName name="BExKT2PJ0FSK12M0GGIY5DM7HH5M" localSheetId="8" hidden="1">[1]ZQZBC_PLN_01_06_N!#REF!</definedName>
    <definedName name="BExKT2PJ0FSK12M0GGIY5DM7HH5M" localSheetId="0" hidden="1">[1]ZQZBC_PLN_01_06_N!#REF!</definedName>
    <definedName name="BExKT2PJ0FSK12M0GGIY5DM7HH5M" localSheetId="22" hidden="1">[1]ZQZBC_PLN_01_06_N!#REF!</definedName>
    <definedName name="BExKT2PJ0FSK12M0GGIY5DM7HH5M" hidden="1">[1]ZQZBC_PLN_01_06_N!#REF!</definedName>
    <definedName name="BExKU3KNJR9D5HU56GUT5H2IS7SB" localSheetId="7" hidden="1">#REF!</definedName>
    <definedName name="BExKU3KNJR9D5HU56GUT5H2IS7SB" localSheetId="8" hidden="1">#REF!</definedName>
    <definedName name="BExKU3KNJR9D5HU56GUT5H2IS7SB" localSheetId="0" hidden="1">#REF!</definedName>
    <definedName name="BExKU3KNJR9D5HU56GUT5H2IS7SB" localSheetId="22" hidden="1">#REF!</definedName>
    <definedName name="BExKU3KNJR9D5HU56GUT5H2IS7SB" hidden="1">#REF!</definedName>
    <definedName name="BExKV334TF72KF5T4TNAVXPARXIP" localSheetId="7" hidden="1">[1]ZQBC_PLN_01_03_N!#REF!</definedName>
    <definedName name="BExKV334TF72KF5T4TNAVXPARXIP" localSheetId="8" hidden="1">[1]ZQBC_PLN_01_03_N!#REF!</definedName>
    <definedName name="BExKV334TF72KF5T4TNAVXPARXIP" localSheetId="0" hidden="1">[1]ZQBC_PLN_01_03_N!#REF!</definedName>
    <definedName name="BExKV334TF72KF5T4TNAVXPARXIP" localSheetId="22" hidden="1">[1]ZQBC_PLN_01_03_N!#REF!</definedName>
    <definedName name="BExKV334TF72KF5T4TNAVXPARXIP" hidden="1">[1]ZQBC_PLN_01_03_N!#REF!</definedName>
    <definedName name="BExKV56NZ8EC9WR0KVHOW1TV9N6M" localSheetId="7" hidden="1">#REF!</definedName>
    <definedName name="BExKV56NZ8EC9WR0KVHOW1TV9N6M" localSheetId="8" hidden="1">#REF!</definedName>
    <definedName name="BExKV56NZ8EC9WR0KVHOW1TV9N6M" localSheetId="0" hidden="1">#REF!</definedName>
    <definedName name="BExKV56NZ8EC9WR0KVHOW1TV9N6M" localSheetId="22" hidden="1">#REF!</definedName>
    <definedName name="BExKV56NZ8EC9WR0KVHOW1TV9N6M" hidden="1">#REF!</definedName>
    <definedName name="BExKVK65NA9FIMJY42CZTL6KPB1U" localSheetId="7" hidden="1">#REF!</definedName>
    <definedName name="BExKVK65NA9FIMJY42CZTL6KPB1U" localSheetId="8" hidden="1">#REF!</definedName>
    <definedName name="BExKVK65NA9FIMJY42CZTL6KPB1U" localSheetId="0" hidden="1">#REF!</definedName>
    <definedName name="BExKVK65NA9FIMJY42CZTL6KPB1U" localSheetId="22" hidden="1">#REF!</definedName>
    <definedName name="BExKVK65NA9FIMJY42CZTL6KPB1U" hidden="1">#REF!</definedName>
    <definedName name="BExKVMV9AEIU94QDY3F6PRZJNG39" localSheetId="7" hidden="1">#REF!</definedName>
    <definedName name="BExKVMV9AEIU94QDY3F6PRZJNG39" localSheetId="8" hidden="1">#REF!</definedName>
    <definedName name="BExKVMV9AEIU94QDY3F6PRZJNG39" localSheetId="0" hidden="1">#REF!</definedName>
    <definedName name="BExKVMV9AEIU94QDY3F6PRZJNG39" localSheetId="22" hidden="1">#REF!</definedName>
    <definedName name="BExKVMV9AEIU94QDY3F6PRZJNG39" hidden="1">#REF!</definedName>
    <definedName name="BExKW3Y92HZEVAZWX06TJ9355384" localSheetId="7" hidden="1">#REF!</definedName>
    <definedName name="BExKW3Y92HZEVAZWX06TJ9355384" localSheetId="8" hidden="1">#REF!</definedName>
    <definedName name="BExKW3Y92HZEVAZWX06TJ9355384" localSheetId="0" hidden="1">#REF!</definedName>
    <definedName name="BExKW3Y92HZEVAZWX06TJ9355384" localSheetId="22" hidden="1">#REF!</definedName>
    <definedName name="BExKW3Y92HZEVAZWX06TJ9355384" hidden="1">#REF!</definedName>
    <definedName name="BExM995RT6RGZQ9UK3AJ9LM2BCZX" localSheetId="7" hidden="1">#REF!</definedName>
    <definedName name="BExM995RT6RGZQ9UK3AJ9LM2BCZX" localSheetId="8" hidden="1">#REF!</definedName>
    <definedName name="BExM995RT6RGZQ9UK3AJ9LM2BCZX" localSheetId="0" hidden="1">#REF!</definedName>
    <definedName name="BExM995RT6RGZQ9UK3AJ9LM2BCZX" localSheetId="22" hidden="1">#REF!</definedName>
    <definedName name="BExM995RT6RGZQ9UK3AJ9LM2BCZX" hidden="1">#REF!</definedName>
    <definedName name="BExMBJQ8ICWUWKP68CPPYASWUN4E" localSheetId="7" hidden="1">#REF!</definedName>
    <definedName name="BExMBJQ8ICWUWKP68CPPYASWUN4E" localSheetId="8" hidden="1">#REF!</definedName>
    <definedName name="BExMBJQ8ICWUWKP68CPPYASWUN4E" localSheetId="0" hidden="1">#REF!</definedName>
    <definedName name="BExMBJQ8ICWUWKP68CPPYASWUN4E" localSheetId="22" hidden="1">#REF!</definedName>
    <definedName name="BExMBJQ8ICWUWKP68CPPYASWUN4E" hidden="1">#REF!</definedName>
    <definedName name="BExMBYPQZ7QLT1PRZKWH0D7KQVAB" localSheetId="7" hidden="1">[1]ZQZBC_REG_02_04!#REF!</definedName>
    <definedName name="BExMBYPQZ7QLT1PRZKWH0D7KQVAB" localSheetId="8" hidden="1">[1]ZQZBC_REG_02_04!#REF!</definedName>
    <definedName name="BExMBYPQZ7QLT1PRZKWH0D7KQVAB" localSheetId="0" hidden="1">[1]ZQZBC_REG_02_04!#REF!</definedName>
    <definedName name="BExMBYPQZ7QLT1PRZKWH0D7KQVAB" localSheetId="22" hidden="1">[1]ZQZBC_REG_02_04!#REF!</definedName>
    <definedName name="BExMBYPQZ7QLT1PRZKWH0D7KQVAB" hidden="1">[1]ZQZBC_REG_02_04!#REF!</definedName>
    <definedName name="BExMC1PMJS9R7QEPMHKS0NIDNOFY" localSheetId="7" hidden="1">#REF!</definedName>
    <definedName name="BExMC1PMJS9R7QEPMHKS0NIDNOFY" localSheetId="8" hidden="1">#REF!</definedName>
    <definedName name="BExMC1PMJS9R7QEPMHKS0NIDNOFY" localSheetId="0" hidden="1">#REF!</definedName>
    <definedName name="BExMC1PMJS9R7QEPMHKS0NIDNOFY" localSheetId="22" hidden="1">#REF!</definedName>
    <definedName name="BExMC1PMJS9R7QEPMHKS0NIDNOFY" hidden="1">#REF!</definedName>
    <definedName name="BExMC85HGDL5XZPO73ZKYQMVMVLW" localSheetId="7" hidden="1">#REF!</definedName>
    <definedName name="BExMC85HGDL5XZPO73ZKYQMVMVLW" localSheetId="8" hidden="1">#REF!</definedName>
    <definedName name="BExMC85HGDL5XZPO73ZKYQMVMVLW" localSheetId="0" hidden="1">#REF!</definedName>
    <definedName name="BExMC85HGDL5XZPO73ZKYQMVMVLW" localSheetId="22" hidden="1">#REF!</definedName>
    <definedName name="BExMC85HGDL5XZPO73ZKYQMVMVLW" hidden="1">#REF!</definedName>
    <definedName name="BExMD89QIOU6JY2D1UKA7M26M80B" localSheetId="7" hidden="1">#REF!</definedName>
    <definedName name="BExMD89QIOU6JY2D1UKA7M26M80B" localSheetId="8" hidden="1">#REF!</definedName>
    <definedName name="BExMD89QIOU6JY2D1UKA7M26M80B" localSheetId="0" hidden="1">#REF!</definedName>
    <definedName name="BExMD89QIOU6JY2D1UKA7M26M80B" localSheetId="22" hidden="1">#REF!</definedName>
    <definedName name="BExMD89QIOU6JY2D1UKA7M26M80B" hidden="1">#REF!</definedName>
    <definedName name="BExMDFM170RLAP1NOWSXEMXARNZ0" localSheetId="7" hidden="1">#REF!</definedName>
    <definedName name="BExMDFM170RLAP1NOWSXEMXARNZ0" localSheetId="8" hidden="1">#REF!</definedName>
    <definedName name="BExMDFM170RLAP1NOWSXEMXARNZ0" localSheetId="0" hidden="1">#REF!</definedName>
    <definedName name="BExMDFM170RLAP1NOWSXEMXARNZ0" localSheetId="22" hidden="1">#REF!</definedName>
    <definedName name="BExMDFM170RLAP1NOWSXEMXARNZ0" hidden="1">#REF!</definedName>
    <definedName name="BExMDH3YAZD1RLELE7M26FTF7SV5" localSheetId="7" hidden="1">#REF!</definedName>
    <definedName name="BExMDH3YAZD1RLELE7M26FTF7SV5" localSheetId="8" hidden="1">#REF!</definedName>
    <definedName name="BExMDH3YAZD1RLELE7M26FTF7SV5" localSheetId="0" hidden="1">#REF!</definedName>
    <definedName name="BExMDH3YAZD1RLELE7M26FTF7SV5" localSheetId="22" hidden="1">#REF!</definedName>
    <definedName name="BExMDH3YAZD1RLELE7M26FTF7SV5" hidden="1">#REF!</definedName>
    <definedName name="BExMDUFZSAL97ZXAJXGOSGNMZQ41" localSheetId="7" hidden="1">#REF!</definedName>
    <definedName name="BExMDUFZSAL97ZXAJXGOSGNMZQ41" localSheetId="8" hidden="1">#REF!</definedName>
    <definedName name="BExMDUFZSAL97ZXAJXGOSGNMZQ41" localSheetId="0" hidden="1">#REF!</definedName>
    <definedName name="BExMDUFZSAL97ZXAJXGOSGNMZQ41" localSheetId="22" hidden="1">#REF!</definedName>
    <definedName name="BExMDUFZSAL97ZXAJXGOSGNMZQ41" hidden="1">#REF!</definedName>
    <definedName name="BExME9A6MTZX1393DHZYMZQQSIUZ" localSheetId="7" hidden="1">#REF!</definedName>
    <definedName name="BExME9A6MTZX1393DHZYMZQQSIUZ" localSheetId="8" hidden="1">#REF!</definedName>
    <definedName name="BExME9A6MTZX1393DHZYMZQQSIUZ" localSheetId="0" hidden="1">#REF!</definedName>
    <definedName name="BExME9A6MTZX1393DHZYMZQQSIUZ" localSheetId="22" hidden="1">#REF!</definedName>
    <definedName name="BExME9A6MTZX1393DHZYMZQQSIUZ" hidden="1">#REF!</definedName>
    <definedName name="BExME9KY0V8VJS19ZKMR22YVGZUX" localSheetId="7" hidden="1">#REF!</definedName>
    <definedName name="BExME9KY0V8VJS19ZKMR22YVGZUX" localSheetId="8" hidden="1">#REF!</definedName>
    <definedName name="BExME9KY0V8VJS19ZKMR22YVGZUX" localSheetId="0" hidden="1">#REF!</definedName>
    <definedName name="BExME9KY0V8VJS19ZKMR22YVGZUX" localSheetId="22" hidden="1">#REF!</definedName>
    <definedName name="BExME9KY0V8VJS19ZKMR22YVGZUX" hidden="1">#REF!</definedName>
    <definedName name="BExMEMGXPZSX6ZTYL39EP1MYZEWK" localSheetId="7" hidden="1">#REF!</definedName>
    <definedName name="BExMEMGXPZSX6ZTYL39EP1MYZEWK" localSheetId="8" hidden="1">#REF!</definedName>
    <definedName name="BExMEMGXPZSX6ZTYL39EP1MYZEWK" localSheetId="0" hidden="1">#REF!</definedName>
    <definedName name="BExMEMGXPZSX6ZTYL39EP1MYZEWK" localSheetId="22" hidden="1">#REF!</definedName>
    <definedName name="BExMEMGXPZSX6ZTYL39EP1MYZEWK" hidden="1">#REF!</definedName>
    <definedName name="BExMER9KTDPG9973XI4H5B59JY3P" localSheetId="7" hidden="1">#REF!</definedName>
    <definedName name="BExMER9KTDPG9973XI4H5B59JY3P" localSheetId="8" hidden="1">#REF!</definedName>
    <definedName name="BExMER9KTDPG9973XI4H5B59JY3P" localSheetId="0" hidden="1">#REF!</definedName>
    <definedName name="BExMER9KTDPG9973XI4H5B59JY3P" localSheetId="22" hidden="1">#REF!</definedName>
    <definedName name="BExMER9KTDPG9973XI4H5B59JY3P" hidden="1">#REF!</definedName>
    <definedName name="BExMEYLTMI0OCLSFH9PG9XZYJI0Y" localSheetId="7" hidden="1">#REF!</definedName>
    <definedName name="BExMEYLTMI0OCLSFH9PG9XZYJI0Y" localSheetId="8" hidden="1">#REF!</definedName>
    <definedName name="BExMEYLTMI0OCLSFH9PG9XZYJI0Y" localSheetId="0" hidden="1">#REF!</definedName>
    <definedName name="BExMEYLTMI0OCLSFH9PG9XZYJI0Y" localSheetId="22" hidden="1">#REF!</definedName>
    <definedName name="BExMEYLTMI0OCLSFH9PG9XZYJI0Y" hidden="1">#REF!</definedName>
    <definedName name="BExMF9ZU6OXZS7RNXKTPJM8NPORQ" localSheetId="7" hidden="1">#REF!</definedName>
    <definedName name="BExMF9ZU6OXZS7RNXKTPJM8NPORQ" localSheetId="8" hidden="1">#REF!</definedName>
    <definedName name="BExMF9ZU6OXZS7RNXKTPJM8NPORQ" localSheetId="0" hidden="1">#REF!</definedName>
    <definedName name="BExMF9ZU6OXZS7RNXKTPJM8NPORQ" localSheetId="22" hidden="1">#REF!</definedName>
    <definedName name="BExMF9ZU6OXZS7RNXKTPJM8NPORQ" hidden="1">#REF!</definedName>
    <definedName name="BExMFF39FFBKECWXMONJ53UF2OP2" localSheetId="7" hidden="1">#REF!</definedName>
    <definedName name="BExMFF39FFBKECWXMONJ53UF2OP2" localSheetId="8" hidden="1">#REF!</definedName>
    <definedName name="BExMFF39FFBKECWXMONJ53UF2OP2" localSheetId="0" hidden="1">#REF!</definedName>
    <definedName name="BExMFF39FFBKECWXMONJ53UF2OP2" localSheetId="22" hidden="1">#REF!</definedName>
    <definedName name="BExMFF39FFBKECWXMONJ53UF2OP2" hidden="1">#REF!</definedName>
    <definedName name="BExMFTBORCDR83T5QYG04CHDA3E3" localSheetId="7" hidden="1">#REF!</definedName>
    <definedName name="BExMFTBORCDR83T5QYG04CHDA3E3" localSheetId="8" hidden="1">#REF!</definedName>
    <definedName name="BExMFTBORCDR83T5QYG04CHDA3E3" localSheetId="0" hidden="1">#REF!</definedName>
    <definedName name="BExMFTBORCDR83T5QYG04CHDA3E3" localSheetId="22" hidden="1">#REF!</definedName>
    <definedName name="BExMFTBORCDR83T5QYG04CHDA3E3" hidden="1">#REF!</definedName>
    <definedName name="BExMFW6A041ITRTYGVLWTC1EYHTU" localSheetId="7" hidden="1">#REF!</definedName>
    <definedName name="BExMFW6A041ITRTYGVLWTC1EYHTU" localSheetId="8" hidden="1">#REF!</definedName>
    <definedName name="BExMFW6A041ITRTYGVLWTC1EYHTU" localSheetId="0" hidden="1">#REF!</definedName>
    <definedName name="BExMFW6A041ITRTYGVLWTC1EYHTU" localSheetId="22" hidden="1">#REF!</definedName>
    <definedName name="BExMFW6A041ITRTYGVLWTC1EYHTU" hidden="1">#REF!</definedName>
    <definedName name="BExMG7V3GYOBAVGKY0PQNMZCW6BX" localSheetId="7" hidden="1">#REF!</definedName>
    <definedName name="BExMG7V3GYOBAVGKY0PQNMZCW6BX" localSheetId="8" hidden="1">#REF!</definedName>
    <definedName name="BExMG7V3GYOBAVGKY0PQNMZCW6BX" localSheetId="0" hidden="1">#REF!</definedName>
    <definedName name="BExMG7V3GYOBAVGKY0PQNMZCW6BX" localSheetId="22" hidden="1">#REF!</definedName>
    <definedName name="BExMG7V3GYOBAVGKY0PQNMZCW6BX" hidden="1">#REF!</definedName>
    <definedName name="BExMG9T4W0673NYDINN36IEZ3D60" localSheetId="7" hidden="1">#REF!</definedName>
    <definedName name="BExMG9T4W0673NYDINN36IEZ3D60" localSheetId="8" hidden="1">#REF!</definedName>
    <definedName name="BExMG9T4W0673NYDINN36IEZ3D60" localSheetId="0" hidden="1">#REF!</definedName>
    <definedName name="BExMG9T4W0673NYDINN36IEZ3D60" localSheetId="22" hidden="1">#REF!</definedName>
    <definedName name="BExMG9T4W0673NYDINN36IEZ3D60" hidden="1">#REF!</definedName>
    <definedName name="BExMGFCMMQLDT07FIN1OYG7U8N1T" localSheetId="7" hidden="1">#REF!</definedName>
    <definedName name="BExMGFCMMQLDT07FIN1OYG7U8N1T" localSheetId="8" hidden="1">#REF!</definedName>
    <definedName name="BExMGFCMMQLDT07FIN1OYG7U8N1T" localSheetId="0" hidden="1">#REF!</definedName>
    <definedName name="BExMGFCMMQLDT07FIN1OYG7U8N1T" localSheetId="22" hidden="1">#REF!</definedName>
    <definedName name="BExMGFCMMQLDT07FIN1OYG7U8N1T" hidden="1">#REF!</definedName>
    <definedName name="BExMGXXQVF1M47YTCSVTZQGK14FK" localSheetId="7" hidden="1">#REF!</definedName>
    <definedName name="BExMGXXQVF1M47YTCSVTZQGK14FK" localSheetId="8" hidden="1">#REF!</definedName>
    <definedName name="BExMGXXQVF1M47YTCSVTZQGK14FK" localSheetId="0" hidden="1">#REF!</definedName>
    <definedName name="BExMGXXQVF1M47YTCSVTZQGK14FK" localSheetId="22" hidden="1">#REF!</definedName>
    <definedName name="BExMGXXQVF1M47YTCSVTZQGK14FK" hidden="1">#REF!</definedName>
    <definedName name="BExMH317MZHXQF08DPNEV321PI0M" localSheetId="7" hidden="1">#REF!</definedName>
    <definedName name="BExMH317MZHXQF08DPNEV321PI0M" localSheetId="8" hidden="1">#REF!</definedName>
    <definedName name="BExMH317MZHXQF08DPNEV321PI0M" localSheetId="0" hidden="1">#REF!</definedName>
    <definedName name="BExMH317MZHXQF08DPNEV321PI0M" localSheetId="22" hidden="1">#REF!</definedName>
    <definedName name="BExMH317MZHXQF08DPNEV321PI0M" hidden="1">#REF!</definedName>
    <definedName name="BExMH3XEHZLKC3266GTFKG5WKM0L" localSheetId="7" hidden="1">#REF!</definedName>
    <definedName name="BExMH3XEHZLKC3266GTFKG5WKM0L" localSheetId="8" hidden="1">#REF!</definedName>
    <definedName name="BExMH3XEHZLKC3266GTFKG5WKM0L" localSheetId="0" hidden="1">#REF!</definedName>
    <definedName name="BExMH3XEHZLKC3266GTFKG5WKM0L" localSheetId="22" hidden="1">#REF!</definedName>
    <definedName name="BExMH3XEHZLKC3266GTFKG5WKM0L" hidden="1">#REF!</definedName>
    <definedName name="BExMHJ7MXO5LSY0TQRIT0TL3NO1I" localSheetId="7" hidden="1">#REF!</definedName>
    <definedName name="BExMHJ7MXO5LSY0TQRIT0TL3NO1I" localSheetId="8" hidden="1">#REF!</definedName>
    <definedName name="BExMHJ7MXO5LSY0TQRIT0TL3NO1I" localSheetId="0" hidden="1">#REF!</definedName>
    <definedName name="BExMHJ7MXO5LSY0TQRIT0TL3NO1I" localSheetId="22" hidden="1">#REF!</definedName>
    <definedName name="BExMHJ7MXO5LSY0TQRIT0TL3NO1I" hidden="1">#REF!</definedName>
    <definedName name="BExMI2UBHLKAYYITHPOMUEUDWMQW" localSheetId="7" hidden="1">#REF!</definedName>
    <definedName name="BExMI2UBHLKAYYITHPOMUEUDWMQW" localSheetId="8" hidden="1">#REF!</definedName>
    <definedName name="BExMI2UBHLKAYYITHPOMUEUDWMQW" localSheetId="0" hidden="1">#REF!</definedName>
    <definedName name="BExMI2UBHLKAYYITHPOMUEUDWMQW" localSheetId="22" hidden="1">#REF!</definedName>
    <definedName name="BExMI2UBHLKAYYITHPOMUEUDWMQW" hidden="1">#REF!</definedName>
    <definedName name="BExMIHZ9GCX94UOD944C8VQBSS44" localSheetId="7" hidden="1">#REF!</definedName>
    <definedName name="BExMIHZ9GCX94UOD944C8VQBSS44" localSheetId="8" hidden="1">#REF!</definedName>
    <definedName name="BExMIHZ9GCX94UOD944C8VQBSS44" localSheetId="0" hidden="1">#REF!</definedName>
    <definedName name="BExMIHZ9GCX94UOD944C8VQBSS44" localSheetId="22" hidden="1">#REF!</definedName>
    <definedName name="BExMIHZ9GCX94UOD944C8VQBSS44" hidden="1">#REF!</definedName>
    <definedName name="BExMJX2T1KI1CO0DQ7PW6I92PS6N" localSheetId="7" hidden="1">[1]ZQBC_PLN_01_03_N!#REF!</definedName>
    <definedName name="BExMJX2T1KI1CO0DQ7PW6I92PS6N" localSheetId="8" hidden="1">[1]ZQBC_PLN_01_03_N!#REF!</definedName>
    <definedName name="BExMJX2T1KI1CO0DQ7PW6I92PS6N" localSheetId="0" hidden="1">[1]ZQBC_PLN_01_03_N!#REF!</definedName>
    <definedName name="BExMJX2T1KI1CO0DQ7PW6I92PS6N" localSheetId="22" hidden="1">[1]ZQBC_PLN_01_03_N!#REF!</definedName>
    <definedName name="BExMJX2T1KI1CO0DQ7PW6I92PS6N" hidden="1">[1]ZQBC_PLN_01_03_N!#REF!</definedName>
    <definedName name="BExMKDV2AKHPQECHKDHPABXDEQV5" localSheetId="7" hidden="1">#REF!</definedName>
    <definedName name="BExMKDV2AKHPQECHKDHPABXDEQV5" localSheetId="8" hidden="1">#REF!</definedName>
    <definedName name="BExMKDV2AKHPQECHKDHPABXDEQV5" localSheetId="0" hidden="1">#REF!</definedName>
    <definedName name="BExMKDV2AKHPQECHKDHPABXDEQV5" localSheetId="22" hidden="1">#REF!</definedName>
    <definedName name="BExMKDV2AKHPQECHKDHPABXDEQV5" hidden="1">#REF!</definedName>
    <definedName name="BExMLI0NYX7946LFCDG136PHZCVH" localSheetId="7" hidden="1">#REF!</definedName>
    <definedName name="BExMLI0NYX7946LFCDG136PHZCVH" localSheetId="8" hidden="1">#REF!</definedName>
    <definedName name="BExMLI0NYX7946LFCDG136PHZCVH" localSheetId="0" hidden="1">#REF!</definedName>
    <definedName name="BExMLI0NYX7946LFCDG136PHZCVH" localSheetId="22" hidden="1">#REF!</definedName>
    <definedName name="BExMLI0NYX7946LFCDG136PHZCVH" hidden="1">#REF!</definedName>
    <definedName name="BExMLTPGZCDCEXCV9I173UCVJXSW" localSheetId="7" hidden="1">#REF!</definedName>
    <definedName name="BExMLTPGZCDCEXCV9I173UCVJXSW" localSheetId="8" hidden="1">#REF!</definedName>
    <definedName name="BExMLTPGZCDCEXCV9I173UCVJXSW" localSheetId="0" hidden="1">#REF!</definedName>
    <definedName name="BExMLTPGZCDCEXCV9I173UCVJXSW" localSheetId="22" hidden="1">#REF!</definedName>
    <definedName name="BExMLTPGZCDCEXCV9I173UCVJXSW" hidden="1">#REF!</definedName>
    <definedName name="BExMLULUFFXGWM7MW9UVYJQKQST5" localSheetId="7" hidden="1">[1]ZQBC_PLN_01_03_N!#REF!</definedName>
    <definedName name="BExMLULUFFXGWM7MW9UVYJQKQST5" localSheetId="8" hidden="1">[1]ZQBC_PLN_01_03_N!#REF!</definedName>
    <definedName name="BExMLULUFFXGWM7MW9UVYJQKQST5" localSheetId="0" hidden="1">[1]ZQBC_PLN_01_03_N!#REF!</definedName>
    <definedName name="BExMLULUFFXGWM7MW9UVYJQKQST5" localSheetId="22" hidden="1">[1]ZQBC_PLN_01_03_N!#REF!</definedName>
    <definedName name="BExMLULUFFXGWM7MW9UVYJQKQST5" hidden="1">[1]ZQBC_PLN_01_03_N!#REF!</definedName>
    <definedName name="BExMM5EB2LJIEB3K3MO4DEENRB57" localSheetId="7" hidden="1">#REF!</definedName>
    <definedName name="BExMM5EB2LJIEB3K3MO4DEENRB57" localSheetId="8" hidden="1">#REF!</definedName>
    <definedName name="BExMM5EB2LJIEB3K3MO4DEENRB57" localSheetId="0" hidden="1">#REF!</definedName>
    <definedName name="BExMM5EB2LJIEB3K3MO4DEENRB57" localSheetId="22" hidden="1">#REF!</definedName>
    <definedName name="BExMM5EB2LJIEB3K3MO4DEENRB57" hidden="1">#REF!</definedName>
    <definedName name="BExMM8JNL4UJDCM80D8YTOVQIBHL" localSheetId="7" hidden="1">#REF!</definedName>
    <definedName name="BExMM8JNL4UJDCM80D8YTOVQIBHL" localSheetId="8" hidden="1">#REF!</definedName>
    <definedName name="BExMM8JNL4UJDCM80D8YTOVQIBHL" localSheetId="0" hidden="1">#REF!</definedName>
    <definedName name="BExMM8JNL4UJDCM80D8YTOVQIBHL" localSheetId="22" hidden="1">#REF!</definedName>
    <definedName name="BExMM8JNL4UJDCM80D8YTOVQIBHL" hidden="1">#REF!</definedName>
    <definedName name="BExMME8HJ3FK84V7S83EW7KFR4XO" localSheetId="7" hidden="1">#REF!</definedName>
    <definedName name="BExMME8HJ3FK84V7S83EW7KFR4XO" localSheetId="8" hidden="1">#REF!</definedName>
    <definedName name="BExMME8HJ3FK84V7S83EW7KFR4XO" localSheetId="0" hidden="1">#REF!</definedName>
    <definedName name="BExMME8HJ3FK84V7S83EW7KFR4XO" localSheetId="22" hidden="1">#REF!</definedName>
    <definedName name="BExMME8HJ3FK84V7S83EW7KFR4XO" hidden="1">#REF!</definedName>
    <definedName name="BExMMT801NP1I1628IFWJDTTLXY2" localSheetId="7" hidden="1">#REF!</definedName>
    <definedName name="BExMMT801NP1I1628IFWJDTTLXY2" localSheetId="8" hidden="1">#REF!</definedName>
    <definedName name="BExMMT801NP1I1628IFWJDTTLXY2" localSheetId="0" hidden="1">#REF!</definedName>
    <definedName name="BExMMT801NP1I1628IFWJDTTLXY2" localSheetId="22" hidden="1">#REF!</definedName>
    <definedName name="BExMMT801NP1I1628IFWJDTTLXY2" hidden="1">#REF!</definedName>
    <definedName name="BExMNUJCONO38X75AAGASRLA6FAF" localSheetId="7" hidden="1">[1]ZQBC_PLN_01_03_N!#REF!</definedName>
    <definedName name="BExMNUJCONO38X75AAGASRLA6FAF" localSheetId="8" hidden="1">[1]ZQBC_PLN_01_03_N!#REF!</definedName>
    <definedName name="BExMNUJCONO38X75AAGASRLA6FAF" localSheetId="0" hidden="1">[1]ZQBC_PLN_01_03_N!#REF!</definedName>
    <definedName name="BExMNUJCONO38X75AAGASRLA6FAF" localSheetId="22" hidden="1">[1]ZQBC_PLN_01_03_N!#REF!</definedName>
    <definedName name="BExMNUJCONO38X75AAGASRLA6FAF" hidden="1">[1]ZQBC_PLN_01_03_N!#REF!</definedName>
    <definedName name="BExMNW15B1Z446IJ52CA76TR0G3T" localSheetId="7" hidden="1">[1]ZQZBC_REG_02_04!#REF!</definedName>
    <definedName name="BExMNW15B1Z446IJ52CA76TR0G3T" localSheetId="8" hidden="1">[1]ZQZBC_REG_02_04!#REF!</definedName>
    <definedName name="BExMNW15B1Z446IJ52CA76TR0G3T" localSheetId="0" hidden="1">[1]ZQZBC_REG_02_04!#REF!</definedName>
    <definedName name="BExMNW15B1Z446IJ52CA76TR0G3T" localSheetId="22" hidden="1">[1]ZQZBC_REG_02_04!#REF!</definedName>
    <definedName name="BExMNW15B1Z446IJ52CA76TR0G3T" hidden="1">[1]ZQZBC_REG_02_04!#REF!</definedName>
    <definedName name="BExMO5BMRZW9MNRPMB5YDE5R9EJP" localSheetId="7" hidden="1">#REF!</definedName>
    <definedName name="BExMO5BMRZW9MNRPMB5YDE5R9EJP" localSheetId="8" hidden="1">#REF!</definedName>
    <definedName name="BExMO5BMRZW9MNRPMB5YDE5R9EJP" localSheetId="0" hidden="1">#REF!</definedName>
    <definedName name="BExMO5BMRZW9MNRPMB5YDE5R9EJP" localSheetId="22" hidden="1">#REF!</definedName>
    <definedName name="BExMO5BMRZW9MNRPMB5YDE5R9EJP" hidden="1">#REF!</definedName>
    <definedName name="BExMOTWE8B6ECDDUJIN0Q4S67S85" localSheetId="7" hidden="1">#REF!</definedName>
    <definedName name="BExMOTWE8B6ECDDUJIN0Q4S67S85" localSheetId="8" hidden="1">#REF!</definedName>
    <definedName name="BExMOTWE8B6ECDDUJIN0Q4S67S85" localSheetId="0" hidden="1">#REF!</definedName>
    <definedName name="BExMOTWE8B6ECDDUJIN0Q4S67S85" localSheetId="22" hidden="1">#REF!</definedName>
    <definedName name="BExMOTWE8B6ECDDUJIN0Q4S67S85" hidden="1">#REF!</definedName>
    <definedName name="BExMOYE8I8L9AEOCS0K6CD2WULFK" localSheetId="7" hidden="1">#REF!</definedName>
    <definedName name="BExMOYE8I8L9AEOCS0K6CD2WULFK" localSheetId="8" hidden="1">#REF!</definedName>
    <definedName name="BExMOYE8I8L9AEOCS0K6CD2WULFK" localSheetId="0" hidden="1">#REF!</definedName>
    <definedName name="BExMOYE8I8L9AEOCS0K6CD2WULFK" localSheetId="22" hidden="1">#REF!</definedName>
    <definedName name="BExMOYE8I8L9AEOCS0K6CD2WULFK" hidden="1">#REF!</definedName>
    <definedName name="BExMOYUBIL8WGYY0EMIMB3J05GVI" localSheetId="7" hidden="1">#REF!</definedName>
    <definedName name="BExMOYUBIL8WGYY0EMIMB3J05GVI" localSheetId="8" hidden="1">#REF!</definedName>
    <definedName name="BExMOYUBIL8WGYY0EMIMB3J05GVI" localSheetId="0" hidden="1">#REF!</definedName>
    <definedName name="BExMOYUBIL8WGYY0EMIMB3J05GVI" localSheetId="22" hidden="1">#REF!</definedName>
    <definedName name="BExMOYUBIL8WGYY0EMIMB3J05GVI" hidden="1">#REF!</definedName>
    <definedName name="BExMPDZ9DAO9PPXPLKS8XWZBSO4F" localSheetId="7" hidden="1">#REF!</definedName>
    <definedName name="BExMPDZ9DAO9PPXPLKS8XWZBSO4F" localSheetId="8" hidden="1">#REF!</definedName>
    <definedName name="BExMPDZ9DAO9PPXPLKS8XWZBSO4F" localSheetId="0" hidden="1">#REF!</definedName>
    <definedName name="BExMPDZ9DAO9PPXPLKS8XWZBSO4F" localSheetId="22" hidden="1">#REF!</definedName>
    <definedName name="BExMPDZ9DAO9PPXPLKS8XWZBSO4F" hidden="1">#REF!</definedName>
    <definedName name="BExMPMTHYLUMSE5B4CQ2JRURU0GX" localSheetId="7" hidden="1">#REF!</definedName>
    <definedName name="BExMPMTHYLUMSE5B4CQ2JRURU0GX" localSheetId="8" hidden="1">#REF!</definedName>
    <definedName name="BExMPMTHYLUMSE5B4CQ2JRURU0GX" localSheetId="0" hidden="1">#REF!</definedName>
    <definedName name="BExMPMTHYLUMSE5B4CQ2JRURU0GX" localSheetId="22" hidden="1">#REF!</definedName>
    <definedName name="BExMPMTHYLUMSE5B4CQ2JRURU0GX" hidden="1">#REF!</definedName>
    <definedName name="BExMQB3G76098LOWKE1MHMYROQTC" localSheetId="7" hidden="1">#REF!</definedName>
    <definedName name="BExMQB3G76098LOWKE1MHMYROQTC" localSheetId="8" hidden="1">#REF!</definedName>
    <definedName name="BExMQB3G76098LOWKE1MHMYROQTC" localSheetId="0" hidden="1">#REF!</definedName>
    <definedName name="BExMQB3G76098LOWKE1MHMYROQTC" localSheetId="22" hidden="1">#REF!</definedName>
    <definedName name="BExMQB3G76098LOWKE1MHMYROQTC" hidden="1">#REF!</definedName>
    <definedName name="BExMR8D546NIQ5GXU4T53GUOB5FU" localSheetId="7" hidden="1">#REF!</definedName>
    <definedName name="BExMR8D546NIQ5GXU4T53GUOB5FU" localSheetId="8" hidden="1">#REF!</definedName>
    <definedName name="BExMR8D546NIQ5GXU4T53GUOB5FU" localSheetId="0" hidden="1">#REF!</definedName>
    <definedName name="BExMR8D546NIQ5GXU4T53GUOB5FU" localSheetId="22" hidden="1">#REF!</definedName>
    <definedName name="BExMR8D546NIQ5GXU4T53GUOB5FU" hidden="1">#REF!</definedName>
    <definedName name="BExMRUZMZTEQJX0VCDFUUF0MJA8I" localSheetId="7" hidden="1">#REF!</definedName>
    <definedName name="BExMRUZMZTEQJX0VCDFUUF0MJA8I" localSheetId="8" hidden="1">#REF!</definedName>
    <definedName name="BExMRUZMZTEQJX0VCDFUUF0MJA8I" localSheetId="0" hidden="1">#REF!</definedName>
    <definedName name="BExMRUZMZTEQJX0VCDFUUF0MJA8I" localSheetId="22" hidden="1">#REF!</definedName>
    <definedName name="BExMRUZMZTEQJX0VCDFUUF0MJA8I" hidden="1">#REF!</definedName>
    <definedName name="BExMRW6SSAWQ437QSOA5ZZEO8FHQ" localSheetId="7" hidden="1">[1]ZQBC_PLN_01_03_N!#REF!</definedName>
    <definedName name="BExMRW6SSAWQ437QSOA5ZZEO8FHQ" localSheetId="8" hidden="1">[1]ZQBC_PLN_01_03_N!#REF!</definedName>
    <definedName name="BExMRW6SSAWQ437QSOA5ZZEO8FHQ" localSheetId="0" hidden="1">[1]ZQBC_PLN_01_03_N!#REF!</definedName>
    <definedName name="BExMRW6SSAWQ437QSOA5ZZEO8FHQ" localSheetId="22" hidden="1">[1]ZQBC_PLN_01_03_N!#REF!</definedName>
    <definedName name="BExMRW6SSAWQ437QSOA5ZZEO8FHQ" hidden="1">[1]ZQBC_PLN_01_03_N!#REF!</definedName>
    <definedName name="BExMSZR1TOIJEBSIRF58MVQ0QK7O" localSheetId="7" hidden="1">#REF!</definedName>
    <definedName name="BExMSZR1TOIJEBSIRF58MVQ0QK7O" localSheetId="8" hidden="1">#REF!</definedName>
    <definedName name="BExMSZR1TOIJEBSIRF58MVQ0QK7O" localSheetId="0" hidden="1">#REF!</definedName>
    <definedName name="BExMSZR1TOIJEBSIRF58MVQ0QK7O" localSheetId="22" hidden="1">#REF!</definedName>
    <definedName name="BExMSZR1TOIJEBSIRF58MVQ0QK7O" hidden="1">#REF!</definedName>
    <definedName name="BExO52QY0WRQ2VKQQ980SF8S62Y1" localSheetId="7" hidden="1">#REF!</definedName>
    <definedName name="BExO52QY0WRQ2VKQQ980SF8S62Y1" localSheetId="8" hidden="1">#REF!</definedName>
    <definedName name="BExO52QY0WRQ2VKQQ980SF8S62Y1" localSheetId="0" hidden="1">#REF!</definedName>
    <definedName name="BExO52QY0WRQ2VKQQ980SF8S62Y1" localSheetId="22" hidden="1">#REF!</definedName>
    <definedName name="BExO52QY0WRQ2VKQQ980SF8S62Y1" hidden="1">#REF!</definedName>
    <definedName name="BExO5RBP1UYRTCP01OJPUVR4YRMW" localSheetId="7" hidden="1">#REF!</definedName>
    <definedName name="BExO5RBP1UYRTCP01OJPUVR4YRMW" localSheetId="8" hidden="1">#REF!</definedName>
    <definedName name="BExO5RBP1UYRTCP01OJPUVR4YRMW" localSheetId="0" hidden="1">#REF!</definedName>
    <definedName name="BExO5RBP1UYRTCP01OJPUVR4YRMW" localSheetId="22" hidden="1">#REF!</definedName>
    <definedName name="BExO5RBP1UYRTCP01OJPUVR4YRMW" hidden="1">#REF!</definedName>
    <definedName name="BExO5XM9A27AJ8GW3QHYHI27FDE1" localSheetId="7" hidden="1">#REF!</definedName>
    <definedName name="BExO5XM9A27AJ8GW3QHYHI27FDE1" localSheetId="8" hidden="1">#REF!</definedName>
    <definedName name="BExO5XM9A27AJ8GW3QHYHI27FDE1" localSheetId="0" hidden="1">#REF!</definedName>
    <definedName name="BExO5XM9A27AJ8GW3QHYHI27FDE1" localSheetId="22" hidden="1">#REF!</definedName>
    <definedName name="BExO5XM9A27AJ8GW3QHYHI27FDE1" hidden="1">#REF!</definedName>
    <definedName name="BExO6VSB7TBR03OL0I2I00L18BEU" localSheetId="7" hidden="1">#REF!</definedName>
    <definedName name="BExO6VSB7TBR03OL0I2I00L18BEU" localSheetId="8" hidden="1">#REF!</definedName>
    <definedName name="BExO6VSB7TBR03OL0I2I00L18BEU" localSheetId="0" hidden="1">#REF!</definedName>
    <definedName name="BExO6VSB7TBR03OL0I2I00L18BEU" localSheetId="22" hidden="1">#REF!</definedName>
    <definedName name="BExO6VSB7TBR03OL0I2I00L18BEU" hidden="1">#REF!</definedName>
    <definedName name="BExO7R3R22P95JHI70DMJ1ZILP3F" localSheetId="7" hidden="1">#REF!</definedName>
    <definedName name="BExO7R3R22P95JHI70DMJ1ZILP3F" localSheetId="8" hidden="1">#REF!</definedName>
    <definedName name="BExO7R3R22P95JHI70DMJ1ZILP3F" localSheetId="0" hidden="1">#REF!</definedName>
    <definedName name="BExO7R3R22P95JHI70DMJ1ZILP3F" localSheetId="22" hidden="1">#REF!</definedName>
    <definedName name="BExO7R3R22P95JHI70DMJ1ZILP3F" hidden="1">#REF!</definedName>
    <definedName name="BExO874WE6OJ5VPT6JA22YNBKOK3" localSheetId="7" hidden="1">#REF!</definedName>
    <definedName name="BExO874WE6OJ5VPT6JA22YNBKOK3" localSheetId="8" hidden="1">#REF!</definedName>
    <definedName name="BExO874WE6OJ5VPT6JA22YNBKOK3" localSheetId="0" hidden="1">#REF!</definedName>
    <definedName name="BExO874WE6OJ5VPT6JA22YNBKOK3" localSheetId="22" hidden="1">#REF!</definedName>
    <definedName name="BExO874WE6OJ5VPT6JA22YNBKOK3" hidden="1">#REF!</definedName>
    <definedName name="BExO8TBCKMDSPONJIBH8YZ1L224J" localSheetId="7" hidden="1">#REF!</definedName>
    <definedName name="BExO8TBCKMDSPONJIBH8YZ1L224J" localSheetId="8" hidden="1">#REF!</definedName>
    <definedName name="BExO8TBCKMDSPONJIBH8YZ1L224J" localSheetId="0" hidden="1">#REF!</definedName>
    <definedName name="BExO8TBCKMDSPONJIBH8YZ1L224J" localSheetId="22" hidden="1">#REF!</definedName>
    <definedName name="BExO8TBCKMDSPONJIBH8YZ1L224J" hidden="1">#REF!</definedName>
    <definedName name="BExO93SZ82LERATPWVTA62BAQQYF" localSheetId="7" hidden="1">#REF!</definedName>
    <definedName name="BExO93SZ82LERATPWVTA62BAQQYF" localSheetId="8" hidden="1">#REF!</definedName>
    <definedName name="BExO93SZ82LERATPWVTA62BAQQYF" localSheetId="0" hidden="1">#REF!</definedName>
    <definedName name="BExO93SZ82LERATPWVTA62BAQQYF" localSheetId="22" hidden="1">#REF!</definedName>
    <definedName name="BExO93SZ82LERATPWVTA62BAQQYF" hidden="1">#REF!</definedName>
    <definedName name="BExO97P9IM6KUXIIQ31CF4F4NPG5" localSheetId="7" hidden="1">#REF!</definedName>
    <definedName name="BExO97P9IM6KUXIIQ31CF4F4NPG5" localSheetId="8" hidden="1">#REF!</definedName>
    <definedName name="BExO97P9IM6KUXIIQ31CF4F4NPG5" localSheetId="0" hidden="1">#REF!</definedName>
    <definedName name="BExO97P9IM6KUXIIQ31CF4F4NPG5" localSheetId="22" hidden="1">#REF!</definedName>
    <definedName name="BExO97P9IM6KUXIIQ31CF4F4NPG5" hidden="1">#REF!</definedName>
    <definedName name="BExO9VDMQVOUQHAHSP0LAU1G1ARK" localSheetId="7" hidden="1">#REF!</definedName>
    <definedName name="BExO9VDMQVOUQHAHSP0LAU1G1ARK" localSheetId="8" hidden="1">#REF!</definedName>
    <definedName name="BExO9VDMQVOUQHAHSP0LAU1G1ARK" localSheetId="0" hidden="1">#REF!</definedName>
    <definedName name="BExO9VDMQVOUQHAHSP0LAU1G1ARK" localSheetId="22" hidden="1">#REF!</definedName>
    <definedName name="BExO9VDMQVOUQHAHSP0LAU1G1ARK" hidden="1">#REF!</definedName>
    <definedName name="BExOAGI72JQAOPO4AT0D71D2RJBJ" localSheetId="7" hidden="1">[1]ZQBC_PLN_01_03_N!#REF!</definedName>
    <definedName name="BExOAGI72JQAOPO4AT0D71D2RJBJ" localSheetId="8" hidden="1">[1]ZQBC_PLN_01_03_N!#REF!</definedName>
    <definedName name="BExOAGI72JQAOPO4AT0D71D2RJBJ" localSheetId="0" hidden="1">[1]ZQBC_PLN_01_03_N!#REF!</definedName>
    <definedName name="BExOAGI72JQAOPO4AT0D71D2RJBJ" localSheetId="22" hidden="1">[1]ZQBC_PLN_01_03_N!#REF!</definedName>
    <definedName name="BExOAGI72JQAOPO4AT0D71D2RJBJ" hidden="1">[1]ZQBC_PLN_01_03_N!#REF!</definedName>
    <definedName name="BExOB04TVYJL1842F0HTTOLPFK6J" localSheetId="7" hidden="1">#REF!</definedName>
    <definedName name="BExOB04TVYJL1842F0HTTOLPFK6J" localSheetId="8" hidden="1">#REF!</definedName>
    <definedName name="BExOB04TVYJL1842F0HTTOLPFK6J" localSheetId="0" hidden="1">#REF!</definedName>
    <definedName name="BExOB04TVYJL1842F0HTTOLPFK6J" localSheetId="22" hidden="1">#REF!</definedName>
    <definedName name="BExOB04TVYJL1842F0HTTOLPFK6J" hidden="1">#REF!</definedName>
    <definedName name="BExOBBTOD2ZW5HUVUK0ZJHN21OK0" localSheetId="7" hidden="1">#REF!</definedName>
    <definedName name="BExOBBTOD2ZW5HUVUK0ZJHN21OK0" localSheetId="8" hidden="1">#REF!</definedName>
    <definedName name="BExOBBTOD2ZW5HUVUK0ZJHN21OK0" localSheetId="0" hidden="1">#REF!</definedName>
    <definedName name="BExOBBTOD2ZW5HUVUK0ZJHN21OK0" localSheetId="22" hidden="1">#REF!</definedName>
    <definedName name="BExOBBTOD2ZW5HUVUK0ZJHN21OK0" hidden="1">#REF!</definedName>
    <definedName name="BExOC0P6VWRPK33VR3X86F7MV8S0" localSheetId="7" hidden="1">#REF!</definedName>
    <definedName name="BExOC0P6VWRPK33VR3X86F7MV8S0" localSheetId="8" hidden="1">#REF!</definedName>
    <definedName name="BExOC0P6VWRPK33VR3X86F7MV8S0" localSheetId="0" hidden="1">#REF!</definedName>
    <definedName name="BExOC0P6VWRPK33VR3X86F7MV8S0" localSheetId="22" hidden="1">#REF!</definedName>
    <definedName name="BExOC0P6VWRPK33VR3X86F7MV8S0" hidden="1">#REF!</definedName>
    <definedName name="BExOCLIYM89RXYNJRCNRKDVOH6SW" localSheetId="7" hidden="1">#REF!</definedName>
    <definedName name="BExOCLIYM89RXYNJRCNRKDVOH6SW" localSheetId="8" hidden="1">#REF!</definedName>
    <definedName name="BExOCLIYM89RXYNJRCNRKDVOH6SW" localSheetId="0" hidden="1">#REF!</definedName>
    <definedName name="BExOCLIYM89RXYNJRCNRKDVOH6SW" localSheetId="22" hidden="1">#REF!</definedName>
    <definedName name="BExOCLIYM89RXYNJRCNRKDVOH6SW" hidden="1">#REF!</definedName>
    <definedName name="BExOD0IGNXPKEBJAX649UN2ODLZN" localSheetId="7" hidden="1">[1]ZQZBC_REG_02_04!#REF!</definedName>
    <definedName name="BExOD0IGNXPKEBJAX649UN2ODLZN" localSheetId="8" hidden="1">[1]ZQZBC_REG_02_04!#REF!</definedName>
    <definedName name="BExOD0IGNXPKEBJAX649UN2ODLZN" localSheetId="0" hidden="1">[1]ZQZBC_REG_02_04!#REF!</definedName>
    <definedName name="BExOD0IGNXPKEBJAX649UN2ODLZN" localSheetId="22" hidden="1">[1]ZQZBC_REG_02_04!#REF!</definedName>
    <definedName name="BExOD0IGNXPKEBJAX649UN2ODLZN" hidden="1">[1]ZQZBC_REG_02_04!#REF!</definedName>
    <definedName name="BExOD8WLOETWE7NEBBTM1S2VZFK6" localSheetId="7" hidden="1">#REF!</definedName>
    <definedName name="BExOD8WLOETWE7NEBBTM1S2VZFK6" localSheetId="8" hidden="1">#REF!</definedName>
    <definedName name="BExOD8WLOETWE7NEBBTM1S2VZFK6" localSheetId="0" hidden="1">#REF!</definedName>
    <definedName name="BExOD8WLOETWE7NEBBTM1S2VZFK6" localSheetId="22" hidden="1">#REF!</definedName>
    <definedName name="BExOD8WLOETWE7NEBBTM1S2VZFK6" hidden="1">#REF!</definedName>
    <definedName name="BExODAEJJGZDHRQOC05X43TZH630" localSheetId="7" hidden="1">#REF!</definedName>
    <definedName name="BExODAEJJGZDHRQOC05X43TZH630" localSheetId="8" hidden="1">#REF!</definedName>
    <definedName name="BExODAEJJGZDHRQOC05X43TZH630" localSheetId="0" hidden="1">#REF!</definedName>
    <definedName name="BExODAEJJGZDHRQOC05X43TZH630" localSheetId="22" hidden="1">#REF!</definedName>
    <definedName name="BExODAEJJGZDHRQOC05X43TZH630" hidden="1">#REF!</definedName>
    <definedName name="BExODBAW59S6T7KPEMO7F4EYC5F1" localSheetId="7" hidden="1">#REF!</definedName>
    <definedName name="BExODBAW59S6T7KPEMO7F4EYC5F1" localSheetId="8" hidden="1">#REF!</definedName>
    <definedName name="BExODBAW59S6T7KPEMO7F4EYC5F1" localSheetId="0" hidden="1">#REF!</definedName>
    <definedName name="BExODBAW59S6T7KPEMO7F4EYC5F1" localSheetId="22" hidden="1">#REF!</definedName>
    <definedName name="BExODBAW59S6T7KPEMO7F4EYC5F1" hidden="1">#REF!</definedName>
    <definedName name="BExODD3NP5IBTTD6R83ECGIB7SVB" localSheetId="7" hidden="1">#REF!</definedName>
    <definedName name="BExODD3NP5IBTTD6R83ECGIB7SVB" localSheetId="8" hidden="1">#REF!</definedName>
    <definedName name="BExODD3NP5IBTTD6R83ECGIB7SVB" localSheetId="0" hidden="1">#REF!</definedName>
    <definedName name="BExODD3NP5IBTTD6R83ECGIB7SVB" localSheetId="22" hidden="1">#REF!</definedName>
    <definedName name="BExODD3NP5IBTTD6R83ECGIB7SVB" hidden="1">#REF!</definedName>
    <definedName name="BExODUXJ82KP4EOEDVI3JH4147JP" localSheetId="7" hidden="1">#REF!</definedName>
    <definedName name="BExODUXJ82KP4EOEDVI3JH4147JP" localSheetId="8" hidden="1">#REF!</definedName>
    <definedName name="BExODUXJ82KP4EOEDVI3JH4147JP" localSheetId="0" hidden="1">#REF!</definedName>
    <definedName name="BExODUXJ82KP4EOEDVI3JH4147JP" localSheetId="22" hidden="1">#REF!</definedName>
    <definedName name="BExODUXJ82KP4EOEDVI3JH4147JP" hidden="1">#REF!</definedName>
    <definedName name="BExOE36BH1S8JG93SPDT4VZZVSG1" localSheetId="7" hidden="1">#REF!</definedName>
    <definedName name="BExOE36BH1S8JG93SPDT4VZZVSG1" localSheetId="8" hidden="1">#REF!</definedName>
    <definedName name="BExOE36BH1S8JG93SPDT4VZZVSG1" localSheetId="0" hidden="1">#REF!</definedName>
    <definedName name="BExOE36BH1S8JG93SPDT4VZZVSG1" localSheetId="22" hidden="1">#REF!</definedName>
    <definedName name="BExOE36BH1S8JG93SPDT4VZZVSG1" hidden="1">#REF!</definedName>
    <definedName name="BExOE84AQT4S34M212OMXWQX1VXN" localSheetId="7" hidden="1">#REF!</definedName>
    <definedName name="BExOE84AQT4S34M212OMXWQX1VXN" localSheetId="8" hidden="1">#REF!</definedName>
    <definedName name="BExOE84AQT4S34M212OMXWQX1VXN" localSheetId="0" hidden="1">#REF!</definedName>
    <definedName name="BExOE84AQT4S34M212OMXWQX1VXN" localSheetId="22" hidden="1">#REF!</definedName>
    <definedName name="BExOE84AQT4S34M212OMXWQX1VXN" hidden="1">#REF!</definedName>
    <definedName name="BExOEYCAL8KM3VDG4H21LLPCXJGM" localSheetId="7" hidden="1">#REF!</definedName>
    <definedName name="BExOEYCAL8KM3VDG4H21LLPCXJGM" localSheetId="8" hidden="1">#REF!</definedName>
    <definedName name="BExOEYCAL8KM3VDG4H21LLPCXJGM" localSheetId="0" hidden="1">#REF!</definedName>
    <definedName name="BExOEYCAL8KM3VDG4H21LLPCXJGM" localSheetId="22" hidden="1">#REF!</definedName>
    <definedName name="BExOEYCAL8KM3VDG4H21LLPCXJGM" hidden="1">#REF!</definedName>
    <definedName name="BExOG7WAT1C7Z3UR9FX7NF09NE89" localSheetId="7" hidden="1">#REF!</definedName>
    <definedName name="BExOG7WAT1C7Z3UR9FX7NF09NE89" localSheetId="8" hidden="1">#REF!</definedName>
    <definedName name="BExOG7WAT1C7Z3UR9FX7NF09NE89" localSheetId="0" hidden="1">#REF!</definedName>
    <definedName name="BExOG7WAT1C7Z3UR9FX7NF09NE89" localSheetId="22" hidden="1">#REF!</definedName>
    <definedName name="BExOG7WAT1C7Z3UR9FX7NF09NE89" hidden="1">#REF!</definedName>
    <definedName name="BExOGEN0C5WQZXVJJVASPCKTFDVF" localSheetId="7" hidden="1">#REF!</definedName>
    <definedName name="BExOGEN0C5WQZXVJJVASPCKTFDVF" localSheetId="8" hidden="1">#REF!</definedName>
    <definedName name="BExOGEN0C5WQZXVJJVASPCKTFDVF" localSheetId="0" hidden="1">#REF!</definedName>
    <definedName name="BExOGEN0C5WQZXVJJVASPCKTFDVF" localSheetId="22" hidden="1">#REF!</definedName>
    <definedName name="BExOGEN0C5WQZXVJJVASPCKTFDVF" hidden="1">#REF!</definedName>
    <definedName name="BExOGMVUNE8SNQO9YK1T1K1FG1X3" localSheetId="7" hidden="1">#REF!</definedName>
    <definedName name="BExOGMVUNE8SNQO9YK1T1K1FG1X3" localSheetId="8" hidden="1">#REF!</definedName>
    <definedName name="BExOGMVUNE8SNQO9YK1T1K1FG1X3" localSheetId="0" hidden="1">#REF!</definedName>
    <definedName name="BExOGMVUNE8SNQO9YK1T1K1FG1X3" localSheetId="22" hidden="1">#REF!</definedName>
    <definedName name="BExOGMVUNE8SNQO9YK1T1K1FG1X3" hidden="1">#REF!</definedName>
    <definedName name="BExOGSVM0FKAK4Z4EV2ELSSOGT9K" localSheetId="7" hidden="1">#REF!</definedName>
    <definedName name="BExOGSVM0FKAK4Z4EV2ELSSOGT9K" localSheetId="8" hidden="1">#REF!</definedName>
    <definedName name="BExOGSVM0FKAK4Z4EV2ELSSOGT9K" localSheetId="0" hidden="1">#REF!</definedName>
    <definedName name="BExOGSVM0FKAK4Z4EV2ELSSOGT9K" localSheetId="22" hidden="1">#REF!</definedName>
    <definedName name="BExOGSVM0FKAK4Z4EV2ELSSOGT9K" hidden="1">#REF!</definedName>
    <definedName name="BExOH6T98XAQDSE42M68LZMZSQN1" localSheetId="7" hidden="1">[1]ZQZBC_REG_02_04!#REF!</definedName>
    <definedName name="BExOH6T98XAQDSE42M68LZMZSQN1" localSheetId="8" hidden="1">[1]ZQZBC_REG_02_04!#REF!</definedName>
    <definedName name="BExOH6T98XAQDSE42M68LZMZSQN1" localSheetId="0" hidden="1">[1]ZQZBC_REG_02_04!#REF!</definedName>
    <definedName name="BExOH6T98XAQDSE42M68LZMZSQN1" localSheetId="22" hidden="1">[1]ZQZBC_REG_02_04!#REF!</definedName>
    <definedName name="BExOH6T98XAQDSE42M68LZMZSQN1" hidden="1">[1]ZQZBC_REG_02_04!#REF!</definedName>
    <definedName name="BExOHDK1WJFHNJBRDFZSSCCCXQJB" localSheetId="7" hidden="1">#REF!</definedName>
    <definedName name="BExOHDK1WJFHNJBRDFZSSCCCXQJB" localSheetId="8" hidden="1">#REF!</definedName>
    <definedName name="BExOHDK1WJFHNJBRDFZSSCCCXQJB" localSheetId="0" hidden="1">#REF!</definedName>
    <definedName name="BExOHDK1WJFHNJBRDFZSSCCCXQJB" localSheetId="22" hidden="1">#REF!</definedName>
    <definedName name="BExOHDK1WJFHNJBRDFZSSCCCXQJB" hidden="1">#REF!</definedName>
    <definedName name="BExOHHWGLD3HFC6RASLHABVL82KR" localSheetId="7" hidden="1">#REF!</definedName>
    <definedName name="BExOHHWGLD3HFC6RASLHABVL82KR" localSheetId="8" hidden="1">#REF!</definedName>
    <definedName name="BExOHHWGLD3HFC6RASLHABVL82KR" localSheetId="0" hidden="1">#REF!</definedName>
    <definedName name="BExOHHWGLD3HFC6RASLHABVL82KR" localSheetId="22" hidden="1">#REF!</definedName>
    <definedName name="BExOHHWGLD3HFC6RASLHABVL82KR" hidden="1">#REF!</definedName>
    <definedName name="BExOIHPRIZWRO9M5UR06YCG1187S" localSheetId="7" hidden="1">#REF!</definedName>
    <definedName name="BExOIHPRIZWRO9M5UR06YCG1187S" localSheetId="8" hidden="1">#REF!</definedName>
    <definedName name="BExOIHPRIZWRO9M5UR06YCG1187S" localSheetId="0" hidden="1">#REF!</definedName>
    <definedName name="BExOIHPRIZWRO9M5UR06YCG1187S" localSheetId="22" hidden="1">#REF!</definedName>
    <definedName name="BExOIHPRIZWRO9M5UR06YCG1187S" hidden="1">#REF!</definedName>
    <definedName name="BExOILWSNQEBMXQYY0TYKR3XKK8D" localSheetId="7" hidden="1">#REF!</definedName>
    <definedName name="BExOILWSNQEBMXQYY0TYKR3XKK8D" localSheetId="8" hidden="1">#REF!</definedName>
    <definedName name="BExOILWSNQEBMXQYY0TYKR3XKK8D" localSheetId="0" hidden="1">#REF!</definedName>
    <definedName name="BExOILWSNQEBMXQYY0TYKR3XKK8D" localSheetId="22" hidden="1">#REF!</definedName>
    <definedName name="BExOILWSNQEBMXQYY0TYKR3XKK8D" hidden="1">#REF!</definedName>
    <definedName name="BExOJA6SFCC5BE1YHLWLT3MHAXFW" localSheetId="7" hidden="1">#REF!</definedName>
    <definedName name="BExOJA6SFCC5BE1YHLWLT3MHAXFW" localSheetId="8" hidden="1">#REF!</definedName>
    <definedName name="BExOJA6SFCC5BE1YHLWLT3MHAXFW" localSheetId="0" hidden="1">#REF!</definedName>
    <definedName name="BExOJA6SFCC5BE1YHLWLT3MHAXFW" localSheetId="22" hidden="1">#REF!</definedName>
    <definedName name="BExOJA6SFCC5BE1YHLWLT3MHAXFW" hidden="1">#REF!</definedName>
    <definedName name="BExOJEOMLFIVKGT3LCU08310PIY8" localSheetId="7" hidden="1">#REF!</definedName>
    <definedName name="BExOJEOMLFIVKGT3LCU08310PIY8" localSheetId="8" hidden="1">#REF!</definedName>
    <definedName name="BExOJEOMLFIVKGT3LCU08310PIY8" localSheetId="0" hidden="1">#REF!</definedName>
    <definedName name="BExOJEOMLFIVKGT3LCU08310PIY8" localSheetId="22" hidden="1">#REF!</definedName>
    <definedName name="BExOJEOMLFIVKGT3LCU08310PIY8" hidden="1">#REF!</definedName>
    <definedName name="BExOJYWTJZK3BJDRE03WG01JR9ON" localSheetId="7" hidden="1">#REF!</definedName>
    <definedName name="BExOJYWTJZK3BJDRE03WG01JR9ON" localSheetId="8" hidden="1">#REF!</definedName>
    <definedName name="BExOJYWTJZK3BJDRE03WG01JR9ON" localSheetId="0" hidden="1">#REF!</definedName>
    <definedName name="BExOJYWTJZK3BJDRE03WG01JR9ON" localSheetId="22" hidden="1">#REF!</definedName>
    <definedName name="BExOJYWTJZK3BJDRE03WG01JR9ON" hidden="1">#REF!</definedName>
    <definedName name="BExOKQHGYQPY83U5DGJSLYI8L5QH" localSheetId="7" hidden="1">#REF!</definedName>
    <definedName name="BExOKQHGYQPY83U5DGJSLYI8L5QH" localSheetId="8" hidden="1">#REF!</definedName>
    <definedName name="BExOKQHGYQPY83U5DGJSLYI8L5QH" localSheetId="0" hidden="1">#REF!</definedName>
    <definedName name="BExOKQHGYQPY83U5DGJSLYI8L5QH" localSheetId="22" hidden="1">#REF!</definedName>
    <definedName name="BExOKQHGYQPY83U5DGJSLYI8L5QH" hidden="1">#REF!</definedName>
    <definedName name="BExOKXDNJ8W1WVKP54HLQD3FEIHV" localSheetId="7" hidden="1">#REF!</definedName>
    <definedName name="BExOKXDNJ8W1WVKP54HLQD3FEIHV" localSheetId="8" hidden="1">#REF!</definedName>
    <definedName name="BExOKXDNJ8W1WVKP54HLQD3FEIHV" localSheetId="0" hidden="1">#REF!</definedName>
    <definedName name="BExOKXDNJ8W1WVKP54HLQD3FEIHV" localSheetId="22" hidden="1">#REF!</definedName>
    <definedName name="BExOKXDNJ8W1WVKP54HLQD3FEIHV" hidden="1">#REF!</definedName>
    <definedName name="BExOL32MM12201L2PNM4MHC0GIAR" localSheetId="7" hidden="1">#REF!</definedName>
    <definedName name="BExOL32MM12201L2PNM4MHC0GIAR" localSheetId="8" hidden="1">#REF!</definedName>
    <definedName name="BExOL32MM12201L2PNM4MHC0GIAR" localSheetId="0" hidden="1">#REF!</definedName>
    <definedName name="BExOL32MM12201L2PNM4MHC0GIAR" localSheetId="22" hidden="1">#REF!</definedName>
    <definedName name="BExOL32MM12201L2PNM4MHC0GIAR" hidden="1">#REF!</definedName>
    <definedName name="BExOL8BCWT3QITJK3J6C5I52LATZ" localSheetId="7" hidden="1">#REF!</definedName>
    <definedName name="BExOL8BCWT3QITJK3J6C5I52LATZ" localSheetId="8" hidden="1">#REF!</definedName>
    <definedName name="BExOL8BCWT3QITJK3J6C5I52LATZ" localSheetId="0" hidden="1">#REF!</definedName>
    <definedName name="BExOL8BCWT3QITJK3J6C5I52LATZ" localSheetId="22" hidden="1">#REF!</definedName>
    <definedName name="BExOL8BCWT3QITJK3J6C5I52LATZ" hidden="1">#REF!</definedName>
    <definedName name="BExOLKR2377X900V4JGUMD9SZK37" localSheetId="7" hidden="1">#REF!</definedName>
    <definedName name="BExOLKR2377X900V4JGUMD9SZK37" localSheetId="8" hidden="1">#REF!</definedName>
    <definedName name="BExOLKR2377X900V4JGUMD9SZK37" localSheetId="0" hidden="1">#REF!</definedName>
    <definedName name="BExOLKR2377X900V4JGUMD9SZK37" localSheetId="22" hidden="1">#REF!</definedName>
    <definedName name="BExOLKR2377X900V4JGUMD9SZK37" hidden="1">#REF!</definedName>
    <definedName name="BExOLQQV0S49QNZ54U4RVRRGLCT2" localSheetId="7" hidden="1">[1]ZQZBC_REG_02_04!#REF!</definedName>
    <definedName name="BExOLQQV0S49QNZ54U4RVRRGLCT2" localSheetId="8" hidden="1">[1]ZQZBC_REG_02_04!#REF!</definedName>
    <definedName name="BExOLQQV0S49QNZ54U4RVRRGLCT2" localSheetId="0" hidden="1">[1]ZQZBC_REG_02_04!#REF!</definedName>
    <definedName name="BExOLQQV0S49QNZ54U4RVRRGLCT2" localSheetId="22" hidden="1">[1]ZQZBC_REG_02_04!#REF!</definedName>
    <definedName name="BExOLQQV0S49QNZ54U4RVRRGLCT2" hidden="1">[1]ZQZBC_REG_02_04!#REF!</definedName>
    <definedName name="BExOM31EZJWCWR2G3KFDUC0QLMR3" localSheetId="7" hidden="1">#REF!</definedName>
    <definedName name="BExOM31EZJWCWR2G3KFDUC0QLMR3" localSheetId="8" hidden="1">#REF!</definedName>
    <definedName name="BExOM31EZJWCWR2G3KFDUC0QLMR3" localSheetId="0" hidden="1">#REF!</definedName>
    <definedName name="BExOM31EZJWCWR2G3KFDUC0QLMR3" localSheetId="22" hidden="1">#REF!</definedName>
    <definedName name="BExOM31EZJWCWR2G3KFDUC0QLMR3" hidden="1">#REF!</definedName>
    <definedName name="BExOM7ZC3N7KPGK2UEA488HGQ1XV" localSheetId="7" hidden="1">#REF!</definedName>
    <definedName name="BExOM7ZC3N7KPGK2UEA488HGQ1XV" localSheetId="8" hidden="1">#REF!</definedName>
    <definedName name="BExOM7ZC3N7KPGK2UEA488HGQ1XV" localSheetId="0" hidden="1">#REF!</definedName>
    <definedName name="BExOM7ZC3N7KPGK2UEA488HGQ1XV" localSheetId="22" hidden="1">#REF!</definedName>
    <definedName name="BExOM7ZC3N7KPGK2UEA488HGQ1XV" hidden="1">#REF!</definedName>
    <definedName name="BExOMH4C54HCQY4FV7X0SNQ7SSWT" localSheetId="7" hidden="1">#REF!</definedName>
    <definedName name="BExOMH4C54HCQY4FV7X0SNQ7SSWT" localSheetId="8" hidden="1">#REF!</definedName>
    <definedName name="BExOMH4C54HCQY4FV7X0SNQ7SSWT" localSheetId="0" hidden="1">#REF!</definedName>
    <definedName name="BExOMH4C54HCQY4FV7X0SNQ7SSWT" localSheetId="22" hidden="1">#REF!</definedName>
    <definedName name="BExOMH4C54HCQY4FV7X0SNQ7SSWT" hidden="1">#REF!</definedName>
    <definedName name="BExOMSD0WDXA7BQKCJSSOW6CYKGH" localSheetId="7" hidden="1">#REF!</definedName>
    <definedName name="BExOMSD0WDXA7BQKCJSSOW6CYKGH" localSheetId="8" hidden="1">#REF!</definedName>
    <definedName name="BExOMSD0WDXA7BQKCJSSOW6CYKGH" localSheetId="0" hidden="1">#REF!</definedName>
    <definedName name="BExOMSD0WDXA7BQKCJSSOW6CYKGH" localSheetId="22" hidden="1">#REF!</definedName>
    <definedName name="BExOMSD0WDXA7BQKCJSSOW6CYKGH" hidden="1">#REF!</definedName>
    <definedName name="BExOMX5NYHPKRIMFUES3VCFIX412" localSheetId="7" hidden="1">#REF!</definedName>
    <definedName name="BExOMX5NYHPKRIMFUES3VCFIX412" localSheetId="8" hidden="1">#REF!</definedName>
    <definedName name="BExOMX5NYHPKRIMFUES3VCFIX412" localSheetId="0" hidden="1">#REF!</definedName>
    <definedName name="BExOMX5NYHPKRIMFUES3VCFIX412" localSheetId="22" hidden="1">#REF!</definedName>
    <definedName name="BExOMX5NYHPKRIMFUES3VCFIX412" hidden="1">#REF!</definedName>
    <definedName name="BExON53JIUPI2N5KYKX07OE9XVSS" localSheetId="7" hidden="1">#REF!</definedName>
    <definedName name="BExON53JIUPI2N5KYKX07OE9XVSS" localSheetId="8" hidden="1">#REF!</definedName>
    <definedName name="BExON53JIUPI2N5KYKX07OE9XVSS" localSheetId="0" hidden="1">#REF!</definedName>
    <definedName name="BExON53JIUPI2N5KYKX07OE9XVSS" localSheetId="22" hidden="1">#REF!</definedName>
    <definedName name="BExON53JIUPI2N5KYKX07OE9XVSS" hidden="1">#REF!</definedName>
    <definedName name="BExOO1M407DVW7MB37GQT8LYHFW9" localSheetId="7" hidden="1">#REF!</definedName>
    <definedName name="BExOO1M407DVW7MB37GQT8LYHFW9" localSheetId="8" hidden="1">#REF!</definedName>
    <definedName name="BExOO1M407DVW7MB37GQT8LYHFW9" localSheetId="0" hidden="1">#REF!</definedName>
    <definedName name="BExOO1M407DVW7MB37GQT8LYHFW9" localSheetId="22" hidden="1">#REF!</definedName>
    <definedName name="BExOO1M407DVW7MB37GQT8LYHFW9" hidden="1">#REF!</definedName>
    <definedName name="BExOOB7DJXLBBOTYGO6KBGLLRINR" localSheetId="7" hidden="1">#REF!</definedName>
    <definedName name="BExOOB7DJXLBBOTYGO6KBGLLRINR" localSheetId="8" hidden="1">#REF!</definedName>
    <definedName name="BExOOB7DJXLBBOTYGO6KBGLLRINR" localSheetId="0" hidden="1">#REF!</definedName>
    <definedName name="BExOOB7DJXLBBOTYGO6KBGLLRINR" localSheetId="22" hidden="1">#REF!</definedName>
    <definedName name="BExOOB7DJXLBBOTYGO6KBGLLRINR" hidden="1">#REF!</definedName>
    <definedName name="BExOOJQYX1D3FC6CCT9KHKL8L3DZ" localSheetId="7" hidden="1">#REF!</definedName>
    <definedName name="BExOOJQYX1D3FC6CCT9KHKL8L3DZ" localSheetId="8" hidden="1">#REF!</definedName>
    <definedName name="BExOOJQYX1D3FC6CCT9KHKL8L3DZ" localSheetId="0" hidden="1">#REF!</definedName>
    <definedName name="BExOOJQYX1D3FC6CCT9KHKL8L3DZ" localSheetId="22" hidden="1">#REF!</definedName>
    <definedName name="BExOOJQYX1D3FC6CCT9KHKL8L3DZ" hidden="1">#REF!</definedName>
    <definedName name="BExQ2MO8BUZR7D227S8LLVLMLT41" localSheetId="7" hidden="1">[1]ZQBC_PLN_01_03_N!#REF!</definedName>
    <definedName name="BExQ2MO8BUZR7D227S8LLVLMLT41" localSheetId="8" hidden="1">[1]ZQBC_PLN_01_03_N!#REF!</definedName>
    <definedName name="BExQ2MO8BUZR7D227S8LLVLMLT41" localSheetId="0" hidden="1">[1]ZQBC_PLN_01_03_N!#REF!</definedName>
    <definedName name="BExQ2MO8BUZR7D227S8LLVLMLT41" localSheetId="22" hidden="1">[1]ZQBC_PLN_01_03_N!#REF!</definedName>
    <definedName name="BExQ2MO8BUZR7D227S8LLVLMLT41" hidden="1">[1]ZQBC_PLN_01_03_N!#REF!</definedName>
    <definedName name="BExQ3EUGIDKON27CD7VAGPO38OG1" localSheetId="7" hidden="1">#REF!</definedName>
    <definedName name="BExQ3EUGIDKON27CD7VAGPO38OG1" localSheetId="8" hidden="1">#REF!</definedName>
    <definedName name="BExQ3EUGIDKON27CD7VAGPO38OG1" localSheetId="0" hidden="1">#REF!</definedName>
    <definedName name="BExQ3EUGIDKON27CD7VAGPO38OG1" localSheetId="22" hidden="1">#REF!</definedName>
    <definedName name="BExQ3EUGIDKON27CD7VAGPO38OG1" hidden="1">#REF!</definedName>
    <definedName name="BExQ404I92WBL186FTDW6HW6MPES" localSheetId="7" hidden="1">#REF!</definedName>
    <definedName name="BExQ404I92WBL186FTDW6HW6MPES" localSheetId="8" hidden="1">#REF!</definedName>
    <definedName name="BExQ404I92WBL186FTDW6HW6MPES" localSheetId="0" hidden="1">#REF!</definedName>
    <definedName name="BExQ404I92WBL186FTDW6HW6MPES" localSheetId="22" hidden="1">#REF!</definedName>
    <definedName name="BExQ404I92WBL186FTDW6HW6MPES" hidden="1">#REF!</definedName>
    <definedName name="BExQ409ZNOT7UEFUBFKFVXD9IJJC" localSheetId="7" hidden="1">#REF!</definedName>
    <definedName name="BExQ409ZNOT7UEFUBFKFVXD9IJJC" localSheetId="8" hidden="1">#REF!</definedName>
    <definedName name="BExQ409ZNOT7UEFUBFKFVXD9IJJC" localSheetId="0" hidden="1">#REF!</definedName>
    <definedName name="BExQ409ZNOT7UEFUBFKFVXD9IJJC" localSheetId="22" hidden="1">#REF!</definedName>
    <definedName name="BExQ409ZNOT7UEFUBFKFVXD9IJJC" hidden="1">#REF!</definedName>
    <definedName name="BExQ48NYV0P2MLH10I8C44AI019L" localSheetId="7" hidden="1">#REF!</definedName>
    <definedName name="BExQ48NYV0P2MLH10I8C44AI019L" localSheetId="8" hidden="1">#REF!</definedName>
    <definedName name="BExQ48NYV0P2MLH10I8C44AI019L" localSheetId="0" hidden="1">#REF!</definedName>
    <definedName name="BExQ48NYV0P2MLH10I8C44AI019L" localSheetId="22" hidden="1">#REF!</definedName>
    <definedName name="BExQ48NYV0P2MLH10I8C44AI019L" hidden="1">#REF!</definedName>
    <definedName name="BExQ4HNN64MGJ06MFVJ5P5KG7TE7" localSheetId="7" hidden="1">#REF!</definedName>
    <definedName name="BExQ4HNN64MGJ06MFVJ5P5KG7TE7" localSheetId="8" hidden="1">#REF!</definedName>
    <definedName name="BExQ4HNN64MGJ06MFVJ5P5KG7TE7" localSheetId="0" hidden="1">#REF!</definedName>
    <definedName name="BExQ4HNN64MGJ06MFVJ5P5KG7TE7" localSheetId="22" hidden="1">#REF!</definedName>
    <definedName name="BExQ4HNN64MGJ06MFVJ5P5KG7TE7" hidden="1">#REF!</definedName>
    <definedName name="BExQ4TN7DJKU58C45UZX2512SI4U" localSheetId="7" hidden="1">#REF!</definedName>
    <definedName name="BExQ4TN7DJKU58C45UZX2512SI4U" localSheetId="8" hidden="1">#REF!</definedName>
    <definedName name="BExQ4TN7DJKU58C45UZX2512SI4U" localSheetId="0" hidden="1">#REF!</definedName>
    <definedName name="BExQ4TN7DJKU58C45UZX2512SI4U" localSheetId="22" hidden="1">#REF!</definedName>
    <definedName name="BExQ4TN7DJKU58C45UZX2512SI4U" hidden="1">#REF!</definedName>
    <definedName name="BExQ4VFYLOU93U2ATUUXIH217RN0" localSheetId="7" hidden="1">#REF!</definedName>
    <definedName name="BExQ4VFYLOU93U2ATUUXIH217RN0" localSheetId="8" hidden="1">#REF!</definedName>
    <definedName name="BExQ4VFYLOU93U2ATUUXIH217RN0" localSheetId="0" hidden="1">#REF!</definedName>
    <definedName name="BExQ4VFYLOU93U2ATUUXIH217RN0" localSheetId="22" hidden="1">#REF!</definedName>
    <definedName name="BExQ4VFYLOU93U2ATUUXIH217RN0" hidden="1">#REF!</definedName>
    <definedName name="BExQ7HZZIWZG1UWWKU159SECHJB8" localSheetId="7" hidden="1">#REF!</definedName>
    <definedName name="BExQ7HZZIWZG1UWWKU159SECHJB8" localSheetId="8" hidden="1">#REF!</definedName>
    <definedName name="BExQ7HZZIWZG1UWWKU159SECHJB8" localSheetId="0" hidden="1">#REF!</definedName>
    <definedName name="BExQ7HZZIWZG1UWWKU159SECHJB8" localSheetId="22" hidden="1">#REF!</definedName>
    <definedName name="BExQ7HZZIWZG1UWWKU159SECHJB8" hidden="1">#REF!</definedName>
    <definedName name="BExQ7RW2K7LTJYTDUSJUQUES9WJD" localSheetId="7" hidden="1">#REF!</definedName>
    <definedName name="BExQ7RW2K7LTJYTDUSJUQUES9WJD" localSheetId="8" hidden="1">#REF!</definedName>
    <definedName name="BExQ7RW2K7LTJYTDUSJUQUES9WJD" localSheetId="0" hidden="1">#REF!</definedName>
    <definedName name="BExQ7RW2K7LTJYTDUSJUQUES9WJD" localSheetId="22" hidden="1">#REF!</definedName>
    <definedName name="BExQ7RW2K7LTJYTDUSJUQUES9WJD" hidden="1">#REF!</definedName>
    <definedName name="BExQ7ZTWMSXIKEBDGN5PNKYBPPH1" localSheetId="7" hidden="1">#REF!</definedName>
    <definedName name="BExQ7ZTWMSXIKEBDGN5PNKYBPPH1" localSheetId="8" hidden="1">#REF!</definedName>
    <definedName name="BExQ7ZTWMSXIKEBDGN5PNKYBPPH1" localSheetId="0" hidden="1">#REF!</definedName>
    <definedName name="BExQ7ZTWMSXIKEBDGN5PNKYBPPH1" localSheetId="22" hidden="1">#REF!</definedName>
    <definedName name="BExQ7ZTWMSXIKEBDGN5PNKYBPPH1" hidden="1">#REF!</definedName>
    <definedName name="BExQ8CPTYSNF5F0A55M3GDLS8LWX" localSheetId="7" hidden="1">#REF!</definedName>
    <definedName name="BExQ8CPTYSNF5F0A55M3GDLS8LWX" localSheetId="8" hidden="1">#REF!</definedName>
    <definedName name="BExQ8CPTYSNF5F0A55M3GDLS8LWX" localSheetId="0" hidden="1">#REF!</definedName>
    <definedName name="BExQ8CPTYSNF5F0A55M3GDLS8LWX" localSheetId="22" hidden="1">#REF!</definedName>
    <definedName name="BExQ8CPTYSNF5F0A55M3GDLS8LWX" hidden="1">#REF!</definedName>
    <definedName name="BExQ8IPNSLEL9FQC5K9LOTP55NS7" localSheetId="7" hidden="1">#REF!</definedName>
    <definedName name="BExQ8IPNSLEL9FQC5K9LOTP55NS7" localSheetId="8" hidden="1">#REF!</definedName>
    <definedName name="BExQ8IPNSLEL9FQC5K9LOTP55NS7" localSheetId="0" hidden="1">#REF!</definedName>
    <definedName name="BExQ8IPNSLEL9FQC5K9LOTP55NS7" localSheetId="22" hidden="1">#REF!</definedName>
    <definedName name="BExQ8IPNSLEL9FQC5K9LOTP55NS7" hidden="1">#REF!</definedName>
    <definedName name="BExQ8MWOS7J4SF15JX3OV45VHA3F" localSheetId="7" hidden="1">#REF!</definedName>
    <definedName name="BExQ8MWOS7J4SF15JX3OV45VHA3F" localSheetId="8" hidden="1">#REF!</definedName>
    <definedName name="BExQ8MWOS7J4SF15JX3OV45VHA3F" localSheetId="0" hidden="1">#REF!</definedName>
    <definedName name="BExQ8MWOS7J4SF15JX3OV45VHA3F" localSheetId="22" hidden="1">#REF!</definedName>
    <definedName name="BExQ8MWOS7J4SF15JX3OV45VHA3F" hidden="1">#REF!</definedName>
    <definedName name="BExQ9KRZE9W48183D72QWGUOGF4Y" localSheetId="7" hidden="1">#REF!</definedName>
    <definedName name="BExQ9KRZE9W48183D72QWGUOGF4Y" localSheetId="8" hidden="1">#REF!</definedName>
    <definedName name="BExQ9KRZE9W48183D72QWGUOGF4Y" localSheetId="0" hidden="1">#REF!</definedName>
    <definedName name="BExQ9KRZE9W48183D72QWGUOGF4Y" localSheetId="22" hidden="1">#REF!</definedName>
    <definedName name="BExQ9KRZE9W48183D72QWGUOGF4Y" hidden="1">#REF!</definedName>
    <definedName name="BExQA197RL9XYVPZ67SZC57SC2R4" localSheetId="7" hidden="1">#REF!</definedName>
    <definedName name="BExQA197RL9XYVPZ67SZC57SC2R4" localSheetId="8" hidden="1">#REF!</definedName>
    <definedName name="BExQA197RL9XYVPZ67SZC57SC2R4" localSheetId="0" hidden="1">#REF!</definedName>
    <definedName name="BExQA197RL9XYVPZ67SZC57SC2R4" localSheetId="22" hidden="1">#REF!</definedName>
    <definedName name="BExQA197RL9XYVPZ67SZC57SC2R4" hidden="1">#REF!</definedName>
    <definedName name="BExQBJ7C4PP6SGCK3VOF59QI33XO" localSheetId="7" hidden="1">#REF!</definedName>
    <definedName name="BExQBJ7C4PP6SGCK3VOF59QI33XO" localSheetId="8" hidden="1">#REF!</definedName>
    <definedName name="BExQBJ7C4PP6SGCK3VOF59QI33XO" localSheetId="0" hidden="1">#REF!</definedName>
    <definedName name="BExQBJ7C4PP6SGCK3VOF59QI33XO" localSheetId="22" hidden="1">#REF!</definedName>
    <definedName name="BExQBJ7C4PP6SGCK3VOF59QI33XO" hidden="1">#REF!</definedName>
    <definedName name="BExQBV6WWM209ZHY8I7BDY1DJEG0" localSheetId="7" hidden="1">[1]ZQBC_PLN_01_03_N!#REF!</definedName>
    <definedName name="BExQBV6WWM209ZHY8I7BDY1DJEG0" localSheetId="8" hidden="1">[1]ZQBC_PLN_01_03_N!#REF!</definedName>
    <definedName name="BExQBV6WWM209ZHY8I7BDY1DJEG0" localSheetId="0" hidden="1">[1]ZQBC_PLN_01_03_N!#REF!</definedName>
    <definedName name="BExQBV6WWM209ZHY8I7BDY1DJEG0" localSheetId="22" hidden="1">[1]ZQBC_PLN_01_03_N!#REF!</definedName>
    <definedName name="BExQBV6WWM209ZHY8I7BDY1DJEG0" hidden="1">[1]ZQBC_PLN_01_03_N!#REF!</definedName>
    <definedName name="BExQBZZKCSU0GDBO84689SF629S8" localSheetId="7" hidden="1">#REF!</definedName>
    <definedName name="BExQBZZKCSU0GDBO84689SF629S8" localSheetId="8" hidden="1">#REF!</definedName>
    <definedName name="BExQBZZKCSU0GDBO84689SF629S8" localSheetId="0" hidden="1">#REF!</definedName>
    <definedName name="BExQBZZKCSU0GDBO84689SF629S8" localSheetId="22" hidden="1">#REF!</definedName>
    <definedName name="BExQBZZKCSU0GDBO84689SF629S8" hidden="1">#REF!</definedName>
    <definedName name="BExQCT25M6PSWWZ80RDSR8KRTFWR" localSheetId="7" hidden="1">#REF!</definedName>
    <definedName name="BExQCT25M6PSWWZ80RDSR8KRTFWR" localSheetId="8" hidden="1">#REF!</definedName>
    <definedName name="BExQCT25M6PSWWZ80RDSR8KRTFWR" localSheetId="0" hidden="1">#REF!</definedName>
    <definedName name="BExQCT25M6PSWWZ80RDSR8KRTFWR" localSheetId="22" hidden="1">#REF!</definedName>
    <definedName name="BExQCT25M6PSWWZ80RDSR8KRTFWR" hidden="1">#REF!</definedName>
    <definedName name="BExQD1QVLSEB7OGXWRNN54RWXTQL" localSheetId="7" hidden="1">#REF!</definedName>
    <definedName name="BExQD1QVLSEB7OGXWRNN54RWXTQL" localSheetId="8" hidden="1">#REF!</definedName>
    <definedName name="BExQD1QVLSEB7OGXWRNN54RWXTQL" localSheetId="0" hidden="1">#REF!</definedName>
    <definedName name="BExQD1QVLSEB7OGXWRNN54RWXTQL" localSheetId="22" hidden="1">#REF!</definedName>
    <definedName name="BExQD1QVLSEB7OGXWRNN54RWXTQL" hidden="1">#REF!</definedName>
    <definedName name="BExQD7LDQ2HK3AB2LIRP4VKT2TR5" localSheetId="7" hidden="1">#REF!</definedName>
    <definedName name="BExQD7LDQ2HK3AB2LIRP4VKT2TR5" localSheetId="8" hidden="1">#REF!</definedName>
    <definedName name="BExQD7LDQ2HK3AB2LIRP4VKT2TR5" localSheetId="0" hidden="1">#REF!</definedName>
    <definedName name="BExQD7LDQ2HK3AB2LIRP4VKT2TR5" localSheetId="22" hidden="1">#REF!</definedName>
    <definedName name="BExQD7LDQ2HK3AB2LIRP4VKT2TR5" hidden="1">#REF!</definedName>
    <definedName name="BExQDE198F9QDQ163K78ASTXR9ZP" localSheetId="7" hidden="1">#REF!</definedName>
    <definedName name="BExQDE198F9QDQ163K78ASTXR9ZP" localSheetId="8" hidden="1">#REF!</definedName>
    <definedName name="BExQDE198F9QDQ163K78ASTXR9ZP" localSheetId="0" hidden="1">#REF!</definedName>
    <definedName name="BExQDE198F9QDQ163K78ASTXR9ZP" localSheetId="22" hidden="1">#REF!</definedName>
    <definedName name="BExQDE198F9QDQ163K78ASTXR9ZP" hidden="1">#REF!</definedName>
    <definedName name="BExQDF358QKYC5GN5UM4H9QMRO57" localSheetId="7" hidden="1">#REF!</definedName>
    <definedName name="BExQDF358QKYC5GN5UM4H9QMRO57" localSheetId="8" hidden="1">#REF!</definedName>
    <definedName name="BExQDF358QKYC5GN5UM4H9QMRO57" localSheetId="0" hidden="1">#REF!</definedName>
    <definedName name="BExQDF358QKYC5GN5UM4H9QMRO57" localSheetId="22" hidden="1">#REF!</definedName>
    <definedName name="BExQDF358QKYC5GN5UM4H9QMRO57" hidden="1">#REF!</definedName>
    <definedName name="BExQDR81GZ9ZR28WIBVXT8DGXIN2" localSheetId="7" hidden="1">#REF!</definedName>
    <definedName name="BExQDR81GZ9ZR28WIBVXT8DGXIN2" localSheetId="8" hidden="1">#REF!</definedName>
    <definedName name="BExQDR81GZ9ZR28WIBVXT8DGXIN2" localSheetId="0" hidden="1">#REF!</definedName>
    <definedName name="BExQDR81GZ9ZR28WIBVXT8DGXIN2" localSheetId="22" hidden="1">#REF!</definedName>
    <definedName name="BExQDR81GZ9ZR28WIBVXT8DGXIN2" hidden="1">#REF!</definedName>
    <definedName name="BExQDU7XHRKOAATRGPEOIJ6XJ9MD" localSheetId="7" hidden="1">#REF!</definedName>
    <definedName name="BExQDU7XHRKOAATRGPEOIJ6XJ9MD" localSheetId="8" hidden="1">#REF!</definedName>
    <definedName name="BExQDU7XHRKOAATRGPEOIJ6XJ9MD" localSheetId="0" hidden="1">#REF!</definedName>
    <definedName name="BExQDU7XHRKOAATRGPEOIJ6XJ9MD" localSheetId="22" hidden="1">#REF!</definedName>
    <definedName name="BExQDU7XHRKOAATRGPEOIJ6XJ9MD" hidden="1">#REF!</definedName>
    <definedName name="BExQE3T6HNF58IB2WWEAFY432CTS" localSheetId="7" hidden="1">#REF!</definedName>
    <definedName name="BExQE3T6HNF58IB2WWEAFY432CTS" localSheetId="8" hidden="1">#REF!</definedName>
    <definedName name="BExQE3T6HNF58IB2WWEAFY432CTS" localSheetId="0" hidden="1">#REF!</definedName>
    <definedName name="BExQE3T6HNF58IB2WWEAFY432CTS" localSheetId="22" hidden="1">#REF!</definedName>
    <definedName name="BExQE3T6HNF58IB2WWEAFY432CTS" hidden="1">#REF!</definedName>
    <definedName name="BExQELXVH2J0HCBDMQX6PRTMYMJN" localSheetId="7" hidden="1">#REF!</definedName>
    <definedName name="BExQELXVH2J0HCBDMQX6PRTMYMJN" localSheetId="8" hidden="1">#REF!</definedName>
    <definedName name="BExQELXVH2J0HCBDMQX6PRTMYMJN" localSheetId="0" hidden="1">#REF!</definedName>
    <definedName name="BExQELXVH2J0HCBDMQX6PRTMYMJN" localSheetId="22" hidden="1">#REF!</definedName>
    <definedName name="BExQELXVH2J0HCBDMQX6PRTMYMJN" hidden="1">#REF!</definedName>
    <definedName name="BExQEVDUAWWC17V6YEJNU4PZV7TI" localSheetId="7" hidden="1">#REF!</definedName>
    <definedName name="BExQEVDUAWWC17V6YEJNU4PZV7TI" localSheetId="8" hidden="1">#REF!</definedName>
    <definedName name="BExQEVDUAWWC17V6YEJNU4PZV7TI" localSheetId="0" hidden="1">#REF!</definedName>
    <definedName name="BExQEVDUAWWC17V6YEJNU4PZV7TI" localSheetId="22" hidden="1">#REF!</definedName>
    <definedName name="BExQEVDUAWWC17V6YEJNU4PZV7TI" hidden="1">#REF!</definedName>
    <definedName name="BExQFDD8AMSM81VJ7C5J1PL081ZA" localSheetId="7" hidden="1">#REF!</definedName>
    <definedName name="BExQFDD8AMSM81VJ7C5J1PL081ZA" localSheetId="8" hidden="1">#REF!</definedName>
    <definedName name="BExQFDD8AMSM81VJ7C5J1PL081ZA" localSheetId="0" hidden="1">#REF!</definedName>
    <definedName name="BExQFDD8AMSM81VJ7C5J1PL081ZA" localSheetId="22" hidden="1">#REF!</definedName>
    <definedName name="BExQFDD8AMSM81VJ7C5J1PL081ZA" hidden="1">#REF!</definedName>
    <definedName name="BExQG6L3IDMOD49TP0VFB7SQVN55" localSheetId="7" hidden="1">#REF!</definedName>
    <definedName name="BExQG6L3IDMOD49TP0VFB7SQVN55" localSheetId="8" hidden="1">#REF!</definedName>
    <definedName name="BExQG6L3IDMOD49TP0VFB7SQVN55" localSheetId="0" hidden="1">#REF!</definedName>
    <definedName name="BExQG6L3IDMOD49TP0VFB7SQVN55" localSheetId="22" hidden="1">#REF!</definedName>
    <definedName name="BExQG6L3IDMOD49TP0VFB7SQVN55" hidden="1">#REF!</definedName>
    <definedName name="BExQG9A8FDEJT47C3G2G4X9H3HJ3" localSheetId="7" hidden="1">#REF!</definedName>
    <definedName name="BExQG9A8FDEJT47C3G2G4X9H3HJ3" localSheetId="8" hidden="1">#REF!</definedName>
    <definedName name="BExQG9A8FDEJT47C3G2G4X9H3HJ3" localSheetId="0" hidden="1">#REF!</definedName>
    <definedName name="BExQG9A8FDEJT47C3G2G4X9H3HJ3" localSheetId="22" hidden="1">#REF!</definedName>
    <definedName name="BExQG9A8FDEJT47C3G2G4X9H3HJ3" hidden="1">#REF!</definedName>
    <definedName name="BExQGGRZ9PU4DLCW6LIRFFW7K8SB" localSheetId="7" hidden="1">#REF!</definedName>
    <definedName name="BExQGGRZ9PU4DLCW6LIRFFW7K8SB" localSheetId="8" hidden="1">#REF!</definedName>
    <definedName name="BExQGGRZ9PU4DLCW6LIRFFW7K8SB" localSheetId="0" hidden="1">#REF!</definedName>
    <definedName name="BExQGGRZ9PU4DLCW6LIRFFW7K8SB" localSheetId="22" hidden="1">#REF!</definedName>
    <definedName name="BExQGGRZ9PU4DLCW6LIRFFW7K8SB" hidden="1">#REF!</definedName>
    <definedName name="BExQGNIMU06R7XOZP0G4A4JF3PQU" localSheetId="7" hidden="1">#REF!</definedName>
    <definedName name="BExQGNIMU06R7XOZP0G4A4JF3PQU" localSheetId="8" hidden="1">#REF!</definedName>
    <definedName name="BExQGNIMU06R7XOZP0G4A4JF3PQU" localSheetId="0" hidden="1">#REF!</definedName>
    <definedName name="BExQGNIMU06R7XOZP0G4A4JF3PQU" localSheetId="22" hidden="1">#REF!</definedName>
    <definedName name="BExQGNIMU06R7XOZP0G4A4JF3PQU" hidden="1">#REF!</definedName>
    <definedName name="BExQH68WEKMF0U3NP6WEBJL83MF5" localSheetId="7" hidden="1">#REF!</definedName>
    <definedName name="BExQH68WEKMF0U3NP6WEBJL83MF5" localSheetId="8" hidden="1">#REF!</definedName>
    <definedName name="BExQH68WEKMF0U3NP6WEBJL83MF5" localSheetId="0" hidden="1">#REF!</definedName>
    <definedName name="BExQH68WEKMF0U3NP6WEBJL83MF5" localSheetId="22" hidden="1">#REF!</definedName>
    <definedName name="BExQH68WEKMF0U3NP6WEBJL83MF5" hidden="1">#REF!</definedName>
    <definedName name="BExQH8SPMH53GL9KTHE6HAK1T20S" localSheetId="7" hidden="1">#REF!</definedName>
    <definedName name="BExQH8SPMH53GL9KTHE6HAK1T20S" localSheetId="8" hidden="1">#REF!</definedName>
    <definedName name="BExQH8SPMH53GL9KTHE6HAK1T20S" localSheetId="0" hidden="1">#REF!</definedName>
    <definedName name="BExQH8SPMH53GL9KTHE6HAK1T20S" localSheetId="22" hidden="1">#REF!</definedName>
    <definedName name="BExQH8SPMH53GL9KTHE6HAK1T20S" hidden="1">#REF!</definedName>
    <definedName name="BExQHAW8VHKS49T51EGMDEFC81DR" localSheetId="7" hidden="1">#REF!</definedName>
    <definedName name="BExQHAW8VHKS49T51EGMDEFC81DR" localSheetId="8" hidden="1">#REF!</definedName>
    <definedName name="BExQHAW8VHKS49T51EGMDEFC81DR" localSheetId="0" hidden="1">#REF!</definedName>
    <definedName name="BExQHAW8VHKS49T51EGMDEFC81DR" localSheetId="22" hidden="1">#REF!</definedName>
    <definedName name="BExQHAW8VHKS49T51EGMDEFC81DR" hidden="1">#REF!</definedName>
    <definedName name="BExQIPP0Q2OFRI2FEB42BTETA5RE" localSheetId="7" hidden="1">#REF!</definedName>
    <definedName name="BExQIPP0Q2OFRI2FEB42BTETA5RE" localSheetId="8" hidden="1">#REF!</definedName>
    <definedName name="BExQIPP0Q2OFRI2FEB42BTETA5RE" localSheetId="0" hidden="1">#REF!</definedName>
    <definedName name="BExQIPP0Q2OFRI2FEB42BTETA5RE" localSheetId="22" hidden="1">#REF!</definedName>
    <definedName name="BExQIPP0Q2OFRI2FEB42BTETA5RE" hidden="1">#REF!</definedName>
    <definedName name="BExQIX6RUVIAFZOOE140WWQLQVSZ" localSheetId="7" hidden="1">[1]ZQBC_PLN_01_03_N!#REF!</definedName>
    <definedName name="BExQIX6RUVIAFZOOE140WWQLQVSZ" localSheetId="8" hidden="1">[1]ZQBC_PLN_01_03_N!#REF!</definedName>
    <definedName name="BExQIX6RUVIAFZOOE140WWQLQVSZ" localSheetId="0" hidden="1">[1]ZQBC_PLN_01_03_N!#REF!</definedName>
    <definedName name="BExQIX6RUVIAFZOOE140WWQLQVSZ" localSheetId="22" hidden="1">[1]ZQBC_PLN_01_03_N!#REF!</definedName>
    <definedName name="BExQIX6RUVIAFZOOE140WWQLQVSZ" hidden="1">[1]ZQBC_PLN_01_03_N!#REF!</definedName>
    <definedName name="BExQJJ7R4ET8SY4YEP70CTYKYVN1" localSheetId="7" hidden="1">[1]ZQZBC_REG_02_04!#REF!</definedName>
    <definedName name="BExQJJ7R4ET8SY4YEP70CTYKYVN1" localSheetId="8" hidden="1">[1]ZQZBC_REG_02_04!#REF!</definedName>
    <definedName name="BExQJJ7R4ET8SY4YEP70CTYKYVN1" localSheetId="0" hidden="1">[1]ZQZBC_REG_02_04!#REF!</definedName>
    <definedName name="BExQJJ7R4ET8SY4YEP70CTYKYVN1" localSheetId="22" hidden="1">[1]ZQZBC_REG_02_04!#REF!</definedName>
    <definedName name="BExQJJ7R4ET8SY4YEP70CTYKYVN1" hidden="1">[1]ZQZBC_REG_02_04!#REF!</definedName>
    <definedName name="BExQJJYRRIPWAIQHLV9Q73N5SCST" localSheetId="7" hidden="1">#REF!</definedName>
    <definedName name="BExQJJYRRIPWAIQHLV9Q73N5SCST" localSheetId="8" hidden="1">#REF!</definedName>
    <definedName name="BExQJJYRRIPWAIQHLV9Q73N5SCST" localSheetId="0" hidden="1">#REF!</definedName>
    <definedName name="BExQJJYRRIPWAIQHLV9Q73N5SCST" localSheetId="22" hidden="1">#REF!</definedName>
    <definedName name="BExQJJYRRIPWAIQHLV9Q73N5SCST" hidden="1">#REF!</definedName>
    <definedName name="BExQKLA0B915G11EYP0LGKQB8ODL" localSheetId="7" hidden="1">#REF!</definedName>
    <definedName name="BExQKLA0B915G11EYP0LGKQB8ODL" localSheetId="8" hidden="1">#REF!</definedName>
    <definedName name="BExQKLA0B915G11EYP0LGKQB8ODL" localSheetId="0" hidden="1">#REF!</definedName>
    <definedName name="BExQKLA0B915G11EYP0LGKQB8ODL" localSheetId="22" hidden="1">#REF!</definedName>
    <definedName name="BExQKLA0B915G11EYP0LGKQB8ODL" hidden="1">#REF!</definedName>
    <definedName name="BExQLG5AXCWH6GNFB7S4E9NC0XD8" localSheetId="7" hidden="1">#REF!</definedName>
    <definedName name="BExQLG5AXCWH6GNFB7S4E9NC0XD8" localSheetId="8" hidden="1">#REF!</definedName>
    <definedName name="BExQLG5AXCWH6GNFB7S4E9NC0XD8" localSheetId="0" hidden="1">#REF!</definedName>
    <definedName name="BExQLG5AXCWH6GNFB7S4E9NC0XD8" localSheetId="22" hidden="1">#REF!</definedName>
    <definedName name="BExQLG5AXCWH6GNFB7S4E9NC0XD8" hidden="1">#REF!</definedName>
    <definedName name="BExRYKGHJYFMG3OBTPAS9UNL5J15" localSheetId="7" hidden="1">#REF!</definedName>
    <definedName name="BExRYKGHJYFMG3OBTPAS9UNL5J15" localSheetId="8" hidden="1">#REF!</definedName>
    <definedName name="BExRYKGHJYFMG3OBTPAS9UNL5J15" localSheetId="0" hidden="1">#REF!</definedName>
    <definedName name="BExRYKGHJYFMG3OBTPAS9UNL5J15" localSheetId="22" hidden="1">#REF!</definedName>
    <definedName name="BExRYKGHJYFMG3OBTPAS9UNL5J15" hidden="1">#REF!</definedName>
    <definedName name="BExRZ0CBUNTQNDTMSP8907Z8IF0K" localSheetId="7" hidden="1">#REF!</definedName>
    <definedName name="BExRZ0CBUNTQNDTMSP8907Z8IF0K" localSheetId="8" hidden="1">#REF!</definedName>
    <definedName name="BExRZ0CBUNTQNDTMSP8907Z8IF0K" localSheetId="0" hidden="1">#REF!</definedName>
    <definedName name="BExRZ0CBUNTQNDTMSP8907Z8IF0K" localSheetId="22" hidden="1">#REF!</definedName>
    <definedName name="BExRZ0CBUNTQNDTMSP8907Z8IF0K" hidden="1">#REF!</definedName>
    <definedName name="BExRZ0N3FY8C4LE3YPIZQIR4508K" localSheetId="7" hidden="1">#REF!</definedName>
    <definedName name="BExRZ0N3FY8C4LE3YPIZQIR4508K" localSheetId="8" hidden="1">#REF!</definedName>
    <definedName name="BExRZ0N3FY8C4LE3YPIZQIR4508K" localSheetId="0" hidden="1">#REF!</definedName>
    <definedName name="BExRZ0N3FY8C4LE3YPIZQIR4508K" localSheetId="22" hidden="1">#REF!</definedName>
    <definedName name="BExRZ0N3FY8C4LE3YPIZQIR4508K" hidden="1">#REF!</definedName>
    <definedName name="BExRZN4C396IS2YOO3OMM7MKBSE9" localSheetId="7" hidden="1">#REF!</definedName>
    <definedName name="BExRZN4C396IS2YOO3OMM7MKBSE9" localSheetId="8" hidden="1">#REF!</definedName>
    <definedName name="BExRZN4C396IS2YOO3OMM7MKBSE9" localSheetId="0" hidden="1">#REF!</definedName>
    <definedName name="BExRZN4C396IS2YOO3OMM7MKBSE9" localSheetId="22" hidden="1">#REF!</definedName>
    <definedName name="BExRZN4C396IS2YOO3OMM7MKBSE9" hidden="1">#REF!</definedName>
    <definedName name="BExRZSIJUZLUM5HUXHG88BHOLJ7H" localSheetId="7" hidden="1">#REF!</definedName>
    <definedName name="BExRZSIJUZLUM5HUXHG88BHOLJ7H" localSheetId="8" hidden="1">#REF!</definedName>
    <definedName name="BExRZSIJUZLUM5HUXHG88BHOLJ7H" localSheetId="0" hidden="1">#REF!</definedName>
    <definedName name="BExRZSIJUZLUM5HUXHG88BHOLJ7H" localSheetId="22" hidden="1">#REF!</definedName>
    <definedName name="BExRZSIJUZLUM5HUXHG88BHOLJ7H" hidden="1">#REF!</definedName>
    <definedName name="BExS00WO0YBHHO9HE5UL1UQVAUO1" localSheetId="7" hidden="1">#REF!</definedName>
    <definedName name="BExS00WO0YBHHO9HE5UL1UQVAUO1" localSheetId="8" hidden="1">#REF!</definedName>
    <definedName name="BExS00WO0YBHHO9HE5UL1UQVAUO1" localSheetId="0" hidden="1">#REF!</definedName>
    <definedName name="BExS00WO0YBHHO9HE5UL1UQVAUO1" localSheetId="22" hidden="1">#REF!</definedName>
    <definedName name="BExS00WO0YBHHO9HE5UL1UQVAUO1" hidden="1">#REF!</definedName>
    <definedName name="BExS017FERVL1R5ICBNZA7APMDV5" localSheetId="7" hidden="1">#REF!</definedName>
    <definedName name="BExS017FERVL1R5ICBNZA7APMDV5" localSheetId="8" hidden="1">#REF!</definedName>
    <definedName name="BExS017FERVL1R5ICBNZA7APMDV5" localSheetId="0" hidden="1">#REF!</definedName>
    <definedName name="BExS017FERVL1R5ICBNZA7APMDV5" localSheetId="22" hidden="1">#REF!</definedName>
    <definedName name="BExS017FERVL1R5ICBNZA7APMDV5" hidden="1">#REF!</definedName>
    <definedName name="BExS03G9UIZY007C3B3QAX6MCB0W" localSheetId="7" hidden="1">#REF!</definedName>
    <definedName name="BExS03G9UIZY007C3B3QAX6MCB0W" localSheetId="8" hidden="1">#REF!</definedName>
    <definedName name="BExS03G9UIZY007C3B3QAX6MCB0W" localSheetId="0" hidden="1">#REF!</definedName>
    <definedName name="BExS03G9UIZY007C3B3QAX6MCB0W" localSheetId="22" hidden="1">#REF!</definedName>
    <definedName name="BExS03G9UIZY007C3B3QAX6MCB0W" hidden="1">#REF!</definedName>
    <definedName name="BExS1UZKA34PAKDSTYYUBNIR4MXF" localSheetId="7" hidden="1">#REF!</definedName>
    <definedName name="BExS1UZKA34PAKDSTYYUBNIR4MXF" localSheetId="8" hidden="1">#REF!</definedName>
    <definedName name="BExS1UZKA34PAKDSTYYUBNIR4MXF" localSheetId="0" hidden="1">#REF!</definedName>
    <definedName name="BExS1UZKA34PAKDSTYYUBNIR4MXF" localSheetId="22" hidden="1">#REF!</definedName>
    <definedName name="BExS1UZKA34PAKDSTYYUBNIR4MXF" hidden="1">#REF!</definedName>
    <definedName name="BExS2IILHQJOER4TPQKFM1V75VCM" localSheetId="7" hidden="1">#REF!</definedName>
    <definedName name="BExS2IILHQJOER4TPQKFM1V75VCM" localSheetId="8" hidden="1">#REF!</definedName>
    <definedName name="BExS2IILHQJOER4TPQKFM1V75VCM" localSheetId="0" hidden="1">#REF!</definedName>
    <definedName name="BExS2IILHQJOER4TPQKFM1V75VCM" localSheetId="22" hidden="1">#REF!</definedName>
    <definedName name="BExS2IILHQJOER4TPQKFM1V75VCM" hidden="1">#REF!</definedName>
    <definedName name="BExS2O7M2AEYBB4PTCT24NZDL0QZ" localSheetId="7" hidden="1">#REF!</definedName>
    <definedName name="BExS2O7M2AEYBB4PTCT24NZDL0QZ" localSheetId="8" hidden="1">#REF!</definedName>
    <definedName name="BExS2O7M2AEYBB4PTCT24NZDL0QZ" localSheetId="0" hidden="1">#REF!</definedName>
    <definedName name="BExS2O7M2AEYBB4PTCT24NZDL0QZ" localSheetId="22" hidden="1">#REF!</definedName>
    <definedName name="BExS2O7M2AEYBB4PTCT24NZDL0QZ" hidden="1">#REF!</definedName>
    <definedName name="BExS30NAYNI9GKJBG1R245M8N9PR" localSheetId="7" hidden="1">[1]ZQBC_PLN_01_03_N!#REF!</definedName>
    <definedName name="BExS30NAYNI9GKJBG1R245M8N9PR" localSheetId="8" hidden="1">[1]ZQBC_PLN_01_03_N!#REF!</definedName>
    <definedName name="BExS30NAYNI9GKJBG1R245M8N9PR" localSheetId="0" hidden="1">[1]ZQBC_PLN_01_03_N!#REF!</definedName>
    <definedName name="BExS30NAYNI9GKJBG1R245M8N9PR" localSheetId="22" hidden="1">[1]ZQBC_PLN_01_03_N!#REF!</definedName>
    <definedName name="BExS30NAYNI9GKJBG1R245M8N9PR" hidden="1">[1]ZQBC_PLN_01_03_N!#REF!</definedName>
    <definedName name="BExS35LE05QNGV7TXGEPVEF02HF0" localSheetId="7" hidden="1">#REF!</definedName>
    <definedName name="BExS35LE05QNGV7TXGEPVEF02HF0" localSheetId="8" hidden="1">#REF!</definedName>
    <definedName name="BExS35LE05QNGV7TXGEPVEF02HF0" localSheetId="0" hidden="1">#REF!</definedName>
    <definedName name="BExS35LE05QNGV7TXGEPVEF02HF0" localSheetId="22" hidden="1">#REF!</definedName>
    <definedName name="BExS35LE05QNGV7TXGEPVEF02HF0" hidden="1">#REF!</definedName>
    <definedName name="BExS3H4P4WHM9P49A4NZ6UIUR0DL" localSheetId="7" hidden="1">[1]ZQZBC_PLN_01_06_N!#REF!</definedName>
    <definedName name="BExS3H4P4WHM9P49A4NZ6UIUR0DL" localSheetId="8" hidden="1">[1]ZQZBC_PLN_01_06_N!#REF!</definedName>
    <definedName name="BExS3H4P4WHM9P49A4NZ6UIUR0DL" localSheetId="0" hidden="1">[1]ZQZBC_PLN_01_06_N!#REF!</definedName>
    <definedName name="BExS3H4P4WHM9P49A4NZ6UIUR0DL" localSheetId="22" hidden="1">[1]ZQZBC_PLN_01_06_N!#REF!</definedName>
    <definedName name="BExS3H4P4WHM9P49A4NZ6UIUR0DL" hidden="1">[1]ZQZBC_PLN_01_06_N!#REF!</definedName>
    <definedName name="BExS3KFF56GPO2J7TIZ6M5SFJEOG" localSheetId="7" hidden="1">#REF!</definedName>
    <definedName name="BExS3KFF56GPO2J7TIZ6M5SFJEOG" localSheetId="8" hidden="1">#REF!</definedName>
    <definedName name="BExS3KFF56GPO2J7TIZ6M5SFJEOG" localSheetId="0" hidden="1">#REF!</definedName>
    <definedName name="BExS3KFF56GPO2J7TIZ6M5SFJEOG" localSheetId="22" hidden="1">#REF!</definedName>
    <definedName name="BExS3KFF56GPO2J7TIZ6M5SFJEOG" hidden="1">#REF!</definedName>
    <definedName name="BExS3MTPQB1ASW6W43WV8A1SO24G" localSheetId="7" hidden="1">#REF!</definedName>
    <definedName name="BExS3MTPQB1ASW6W43WV8A1SO24G" localSheetId="8" hidden="1">#REF!</definedName>
    <definedName name="BExS3MTPQB1ASW6W43WV8A1SO24G" localSheetId="0" hidden="1">#REF!</definedName>
    <definedName name="BExS3MTPQB1ASW6W43WV8A1SO24G" localSheetId="22" hidden="1">#REF!</definedName>
    <definedName name="BExS3MTPQB1ASW6W43WV8A1SO24G" hidden="1">#REF!</definedName>
    <definedName name="BExS430DGG2C4HT1PRIOPK2L8G2K" localSheetId="7" hidden="1">#REF!</definedName>
    <definedName name="BExS430DGG2C4HT1PRIOPK2L8G2K" localSheetId="8" hidden="1">#REF!</definedName>
    <definedName name="BExS430DGG2C4HT1PRIOPK2L8G2K" localSheetId="0" hidden="1">#REF!</definedName>
    <definedName name="BExS430DGG2C4HT1PRIOPK2L8G2K" localSheetId="22" hidden="1">#REF!</definedName>
    <definedName name="BExS430DGG2C4HT1PRIOPK2L8G2K" hidden="1">#REF!</definedName>
    <definedName name="BExS54BKZWK8K3JVVPE8P9PJH64Z" localSheetId="7" hidden="1">#REF!</definedName>
    <definedName name="BExS54BKZWK8K3JVVPE8P9PJH64Z" localSheetId="8" hidden="1">#REF!</definedName>
    <definedName name="BExS54BKZWK8K3JVVPE8P9PJH64Z" localSheetId="0" hidden="1">#REF!</definedName>
    <definedName name="BExS54BKZWK8K3JVVPE8P9PJH64Z" localSheetId="22" hidden="1">#REF!</definedName>
    <definedName name="BExS54BKZWK8K3JVVPE8P9PJH64Z" hidden="1">#REF!</definedName>
    <definedName name="BExS5ECY78OQP7LJF2PSKE3N2FZO" localSheetId="7" hidden="1">#REF!</definedName>
    <definedName name="BExS5ECY78OQP7LJF2PSKE3N2FZO" localSheetId="8" hidden="1">#REF!</definedName>
    <definedName name="BExS5ECY78OQP7LJF2PSKE3N2FZO" localSheetId="0" hidden="1">#REF!</definedName>
    <definedName name="BExS5ECY78OQP7LJF2PSKE3N2FZO" localSheetId="22" hidden="1">#REF!</definedName>
    <definedName name="BExS5ECY78OQP7LJF2PSKE3N2FZO" hidden="1">#REF!</definedName>
    <definedName name="BExS5O3P3VBTXVHEQLBJJTZ44X5E" localSheetId="7" hidden="1">#REF!</definedName>
    <definedName name="BExS5O3P3VBTXVHEQLBJJTZ44X5E" localSheetId="8" hidden="1">#REF!</definedName>
    <definedName name="BExS5O3P3VBTXVHEQLBJJTZ44X5E" localSheetId="0" hidden="1">#REF!</definedName>
    <definedName name="BExS5O3P3VBTXVHEQLBJJTZ44X5E" localSheetId="22" hidden="1">#REF!</definedName>
    <definedName name="BExS5O3P3VBTXVHEQLBJJTZ44X5E" hidden="1">#REF!</definedName>
    <definedName name="BExS63U2H1AZSHLTRFCLCQXOO2V5" localSheetId="7" hidden="1">#REF!</definedName>
    <definedName name="BExS63U2H1AZSHLTRFCLCQXOO2V5" localSheetId="8" hidden="1">#REF!</definedName>
    <definedName name="BExS63U2H1AZSHLTRFCLCQXOO2V5" localSheetId="0" hidden="1">#REF!</definedName>
    <definedName name="BExS63U2H1AZSHLTRFCLCQXOO2V5" localSheetId="22" hidden="1">#REF!</definedName>
    <definedName name="BExS63U2H1AZSHLTRFCLCQXOO2V5" hidden="1">#REF!</definedName>
    <definedName name="BExS6N5XZTR2P0ABPVQHL0D4FBLS" localSheetId="7" hidden="1">#REF!</definedName>
    <definedName name="BExS6N5XZTR2P0ABPVQHL0D4FBLS" localSheetId="8" hidden="1">#REF!</definedName>
    <definedName name="BExS6N5XZTR2P0ABPVQHL0D4FBLS" localSheetId="0" hidden="1">#REF!</definedName>
    <definedName name="BExS6N5XZTR2P0ABPVQHL0D4FBLS" localSheetId="22" hidden="1">#REF!</definedName>
    <definedName name="BExS6N5XZTR2P0ABPVQHL0D4FBLS" hidden="1">#REF!</definedName>
    <definedName name="BExS71UMVP7OCGUU3OL4BW31F156" localSheetId="7" hidden="1">#REF!</definedName>
    <definedName name="BExS71UMVP7OCGUU3OL4BW31F156" localSheetId="8" hidden="1">#REF!</definedName>
    <definedName name="BExS71UMVP7OCGUU3OL4BW31F156" localSheetId="0" hidden="1">#REF!</definedName>
    <definedName name="BExS71UMVP7OCGUU3OL4BW31F156" localSheetId="22" hidden="1">#REF!</definedName>
    <definedName name="BExS71UMVP7OCGUU3OL4BW31F156" hidden="1">#REF!</definedName>
    <definedName name="BExS87YIXR3FSLSC8E4XR6RYTRUN" localSheetId="7" hidden="1">#REF!</definedName>
    <definedName name="BExS87YIXR3FSLSC8E4XR6RYTRUN" localSheetId="8" hidden="1">#REF!</definedName>
    <definedName name="BExS87YIXR3FSLSC8E4XR6RYTRUN" localSheetId="0" hidden="1">#REF!</definedName>
    <definedName name="BExS87YIXR3FSLSC8E4XR6RYTRUN" localSheetId="22" hidden="1">#REF!</definedName>
    <definedName name="BExS87YIXR3FSLSC8E4XR6RYTRUN" hidden="1">#REF!</definedName>
    <definedName name="BExS8W34H5WAAGKWSE2I4C1I6104" localSheetId="7" hidden="1">#REF!</definedName>
    <definedName name="BExS8W34H5WAAGKWSE2I4C1I6104" localSheetId="8" hidden="1">#REF!</definedName>
    <definedName name="BExS8W34H5WAAGKWSE2I4C1I6104" localSheetId="0" hidden="1">#REF!</definedName>
    <definedName name="BExS8W34H5WAAGKWSE2I4C1I6104" localSheetId="22" hidden="1">#REF!</definedName>
    <definedName name="BExS8W34H5WAAGKWSE2I4C1I6104" hidden="1">#REF!</definedName>
    <definedName name="BExS9EILFQPGCOS09DV3TPIILJKO" localSheetId="7" hidden="1">#REF!</definedName>
    <definedName name="BExS9EILFQPGCOS09DV3TPIILJKO" localSheetId="8" hidden="1">#REF!</definedName>
    <definedName name="BExS9EILFQPGCOS09DV3TPIILJKO" localSheetId="0" hidden="1">#REF!</definedName>
    <definedName name="BExS9EILFQPGCOS09DV3TPIILJKO" localSheetId="22" hidden="1">#REF!</definedName>
    <definedName name="BExS9EILFQPGCOS09DV3TPIILJKO" hidden="1">#REF!</definedName>
    <definedName name="BExS9EILXG8QHHMVBQ51THPGVRC9" localSheetId="7" hidden="1">#REF!</definedName>
    <definedName name="BExS9EILXG8QHHMVBQ51THPGVRC9" localSheetId="8" hidden="1">#REF!</definedName>
    <definedName name="BExS9EILXG8QHHMVBQ51THPGVRC9" localSheetId="0" hidden="1">#REF!</definedName>
    <definedName name="BExS9EILXG8QHHMVBQ51THPGVRC9" localSheetId="22" hidden="1">#REF!</definedName>
    <definedName name="BExS9EILXG8QHHMVBQ51THPGVRC9" hidden="1">#REF!</definedName>
    <definedName name="BExS9Y5A923VPLNU383NPTZCMFLK" localSheetId="7" hidden="1">#REF!</definedName>
    <definedName name="BExS9Y5A923VPLNU383NPTZCMFLK" localSheetId="8" hidden="1">#REF!</definedName>
    <definedName name="BExS9Y5A923VPLNU383NPTZCMFLK" localSheetId="0" hidden="1">#REF!</definedName>
    <definedName name="BExS9Y5A923VPLNU383NPTZCMFLK" localSheetId="22" hidden="1">#REF!</definedName>
    <definedName name="BExS9Y5A923VPLNU383NPTZCMFLK" hidden="1">#REF!</definedName>
    <definedName name="BExSA2SKTP0TBP4IZ9WSU8O9B6XG" localSheetId="7" hidden="1">#REF!</definedName>
    <definedName name="BExSA2SKTP0TBP4IZ9WSU8O9B6XG" localSheetId="8" hidden="1">#REF!</definedName>
    <definedName name="BExSA2SKTP0TBP4IZ9WSU8O9B6XG" localSheetId="0" hidden="1">#REF!</definedName>
    <definedName name="BExSA2SKTP0TBP4IZ9WSU8O9B6XG" localSheetId="22" hidden="1">#REF!</definedName>
    <definedName name="BExSA2SKTP0TBP4IZ9WSU8O9B6XG" hidden="1">#REF!</definedName>
    <definedName name="BExSA3ZRJGVBFURVI9E3RTIC4PVQ" localSheetId="7" hidden="1">[1]ZQBC_PLN_01_03_N!#REF!</definedName>
    <definedName name="BExSA3ZRJGVBFURVI9E3RTIC4PVQ" localSheetId="8" hidden="1">[1]ZQBC_PLN_01_03_N!#REF!</definedName>
    <definedName name="BExSA3ZRJGVBFURVI9E3RTIC4PVQ" localSheetId="0" hidden="1">[1]ZQBC_PLN_01_03_N!#REF!</definedName>
    <definedName name="BExSA3ZRJGVBFURVI9E3RTIC4PVQ" localSheetId="22" hidden="1">[1]ZQBC_PLN_01_03_N!#REF!</definedName>
    <definedName name="BExSA3ZRJGVBFURVI9E3RTIC4PVQ" hidden="1">[1]ZQBC_PLN_01_03_N!#REF!</definedName>
    <definedName name="BExSAIOGDF6W4178BTPAKPW6EA52" localSheetId="7" hidden="1">#REF!</definedName>
    <definedName name="BExSAIOGDF6W4178BTPAKPW6EA52" localSheetId="8" hidden="1">#REF!</definedName>
    <definedName name="BExSAIOGDF6W4178BTPAKPW6EA52" localSheetId="0" hidden="1">#REF!</definedName>
    <definedName name="BExSAIOGDF6W4178BTPAKPW6EA52" localSheetId="22" hidden="1">#REF!</definedName>
    <definedName name="BExSAIOGDF6W4178BTPAKPW6EA52" hidden="1">#REF!</definedName>
    <definedName name="BExSAPV8SMS2DUF17KA3XQI7FPYN" localSheetId="7" hidden="1">[1]ZQZBC_REG_02_04!#REF!</definedName>
    <definedName name="BExSAPV8SMS2DUF17KA3XQI7FPYN" localSheetId="8" hidden="1">[1]ZQZBC_REG_02_04!#REF!</definedName>
    <definedName name="BExSAPV8SMS2DUF17KA3XQI7FPYN" localSheetId="0" hidden="1">[1]ZQZBC_REG_02_04!#REF!</definedName>
    <definedName name="BExSAPV8SMS2DUF17KA3XQI7FPYN" localSheetId="22" hidden="1">[1]ZQZBC_REG_02_04!#REF!</definedName>
    <definedName name="BExSAPV8SMS2DUF17KA3XQI7FPYN" hidden="1">[1]ZQZBC_REG_02_04!#REF!</definedName>
    <definedName name="BExSAS49U4EAIIC6K381GNCFG2Q7" localSheetId="7" hidden="1">#REF!</definedName>
    <definedName name="BExSAS49U4EAIIC6K381GNCFG2Q7" localSheetId="8" hidden="1">#REF!</definedName>
    <definedName name="BExSAS49U4EAIIC6K381GNCFG2Q7" localSheetId="0" hidden="1">#REF!</definedName>
    <definedName name="BExSAS49U4EAIIC6K381GNCFG2Q7" localSheetId="22" hidden="1">#REF!</definedName>
    <definedName name="BExSAS49U4EAIIC6K381GNCFG2Q7" hidden="1">#REF!</definedName>
    <definedName name="BExSAVKEF8BPDO60U394EW42ASGF" localSheetId="7" hidden="1">#REF!</definedName>
    <definedName name="BExSAVKEF8BPDO60U394EW42ASGF" localSheetId="8" hidden="1">#REF!</definedName>
    <definedName name="BExSAVKEF8BPDO60U394EW42ASGF" localSheetId="0" hidden="1">#REF!</definedName>
    <definedName name="BExSAVKEF8BPDO60U394EW42ASGF" localSheetId="22" hidden="1">#REF!</definedName>
    <definedName name="BExSAVKEF8BPDO60U394EW42ASGF" hidden="1">#REF!</definedName>
    <definedName name="BExSAVV6F8RJU7F7Q9WXZVX68ZMW" localSheetId="7" hidden="1">#REF!</definedName>
    <definedName name="BExSAVV6F8RJU7F7Q9WXZVX68ZMW" localSheetId="8" hidden="1">#REF!</definedName>
    <definedName name="BExSAVV6F8RJU7F7Q9WXZVX68ZMW" localSheetId="0" hidden="1">#REF!</definedName>
    <definedName name="BExSAVV6F8RJU7F7Q9WXZVX68ZMW" localSheetId="22" hidden="1">#REF!</definedName>
    <definedName name="BExSAVV6F8RJU7F7Q9WXZVX68ZMW" hidden="1">#REF!</definedName>
    <definedName name="BExSBGE6R3N7T3CT30TA30O65RJY" localSheetId="7" hidden="1">#REF!</definedName>
    <definedName name="BExSBGE6R3N7T3CT30TA30O65RJY" localSheetId="8" hidden="1">#REF!</definedName>
    <definedName name="BExSBGE6R3N7T3CT30TA30O65RJY" localSheetId="0" hidden="1">#REF!</definedName>
    <definedName name="BExSBGE6R3N7T3CT30TA30O65RJY" localSheetId="22" hidden="1">#REF!</definedName>
    <definedName name="BExSBGE6R3N7T3CT30TA30O65RJY" hidden="1">#REF!</definedName>
    <definedName name="BExSDAMIIZPYX3U6GQD0O2XEMDJA" localSheetId="7" hidden="1">#REF!</definedName>
    <definedName name="BExSDAMIIZPYX3U6GQD0O2XEMDJA" localSheetId="8" hidden="1">#REF!</definedName>
    <definedName name="BExSDAMIIZPYX3U6GQD0O2XEMDJA" localSheetId="0" hidden="1">#REF!</definedName>
    <definedName name="BExSDAMIIZPYX3U6GQD0O2XEMDJA" localSheetId="22" hidden="1">#REF!</definedName>
    <definedName name="BExSDAMIIZPYX3U6GQD0O2XEMDJA" hidden="1">#REF!</definedName>
    <definedName name="BExSDBTP6MPL3CYZZVG8A6AP47KH" localSheetId="7" hidden="1">#REF!</definedName>
    <definedName name="BExSDBTP6MPL3CYZZVG8A6AP47KH" localSheetId="8" hidden="1">#REF!</definedName>
    <definedName name="BExSDBTP6MPL3CYZZVG8A6AP47KH" localSheetId="0" hidden="1">#REF!</definedName>
    <definedName name="BExSDBTP6MPL3CYZZVG8A6AP47KH" localSheetId="22" hidden="1">#REF!</definedName>
    <definedName name="BExSDBTP6MPL3CYZZVG8A6AP47KH" hidden="1">#REF!</definedName>
    <definedName name="BExSDM0KAPO82379BMW7HDWPGGHX" localSheetId="7" hidden="1">#REF!</definedName>
    <definedName name="BExSDM0KAPO82379BMW7HDWPGGHX" localSheetId="8" hidden="1">#REF!</definedName>
    <definedName name="BExSDM0KAPO82379BMW7HDWPGGHX" localSheetId="0" hidden="1">#REF!</definedName>
    <definedName name="BExSDM0KAPO82379BMW7HDWPGGHX" localSheetId="22" hidden="1">#REF!</definedName>
    <definedName name="BExSDM0KAPO82379BMW7HDWPGGHX" hidden="1">#REF!</definedName>
    <definedName name="BExSEIJ6KAF32LYAJ4RRJB23D75R" localSheetId="7" hidden="1">#REF!</definedName>
    <definedName name="BExSEIJ6KAF32LYAJ4RRJB23D75R" localSheetId="8" hidden="1">#REF!</definedName>
    <definedName name="BExSEIJ6KAF32LYAJ4RRJB23D75R" localSheetId="0" hidden="1">#REF!</definedName>
    <definedName name="BExSEIJ6KAF32LYAJ4RRJB23D75R" localSheetId="22" hidden="1">#REF!</definedName>
    <definedName name="BExSEIJ6KAF32LYAJ4RRJB23D75R" hidden="1">#REF!</definedName>
    <definedName name="BExSFSORHPSWFWYJE3RVN6FEYCZ0" localSheetId="7" hidden="1">#REF!</definedName>
    <definedName name="BExSFSORHPSWFWYJE3RVN6FEYCZ0" localSheetId="8" hidden="1">#REF!</definedName>
    <definedName name="BExSFSORHPSWFWYJE3RVN6FEYCZ0" localSheetId="0" hidden="1">#REF!</definedName>
    <definedName name="BExSFSORHPSWFWYJE3RVN6FEYCZ0" localSheetId="22" hidden="1">#REF!</definedName>
    <definedName name="BExSFSORHPSWFWYJE3RVN6FEYCZ0" hidden="1">#REF!</definedName>
    <definedName name="BExSFZFEWGGDA4NKOMLLSK7PHMCI" localSheetId="7" hidden="1">#REF!</definedName>
    <definedName name="BExSFZFEWGGDA4NKOMLLSK7PHMCI" localSheetId="8" hidden="1">#REF!</definedName>
    <definedName name="BExSFZFEWGGDA4NKOMLLSK7PHMCI" localSheetId="0" hidden="1">#REF!</definedName>
    <definedName name="BExSFZFEWGGDA4NKOMLLSK7PHMCI" localSheetId="22" hidden="1">#REF!</definedName>
    <definedName name="BExSFZFEWGGDA4NKOMLLSK7PHMCI" hidden="1">#REF!</definedName>
    <definedName name="BExSGBPUBYGSUSIGP8JOG11EU70E" localSheetId="7" hidden="1">[1]ZQZBC_REG_02_04!#REF!</definedName>
    <definedName name="BExSGBPUBYGSUSIGP8JOG11EU70E" localSheetId="8" hidden="1">[1]ZQZBC_REG_02_04!#REF!</definedName>
    <definedName name="BExSGBPUBYGSUSIGP8JOG11EU70E" localSheetId="0" hidden="1">[1]ZQZBC_REG_02_04!#REF!</definedName>
    <definedName name="BExSGBPUBYGSUSIGP8JOG11EU70E" localSheetId="22" hidden="1">[1]ZQZBC_REG_02_04!#REF!</definedName>
    <definedName name="BExSGBPUBYGSUSIGP8JOG11EU70E" hidden="1">[1]ZQZBC_REG_02_04!#REF!</definedName>
    <definedName name="BExSGULKQ81UD7CUQRSVWYRSW9NW" localSheetId="7" hidden="1">[1]ZQBC_PLN_01_03_N!#REF!</definedName>
    <definedName name="BExSGULKQ81UD7CUQRSVWYRSW9NW" localSheetId="8" hidden="1">[1]ZQBC_PLN_01_03_N!#REF!</definedName>
    <definedName name="BExSGULKQ81UD7CUQRSVWYRSW9NW" localSheetId="0" hidden="1">[1]ZQBC_PLN_01_03_N!#REF!</definedName>
    <definedName name="BExSGULKQ81UD7CUQRSVWYRSW9NW" localSheetId="22" hidden="1">[1]ZQBC_PLN_01_03_N!#REF!</definedName>
    <definedName name="BExSGULKQ81UD7CUQRSVWYRSW9NW" hidden="1">[1]ZQBC_PLN_01_03_N!#REF!</definedName>
    <definedName name="BExSH3L8ZU7A9TMERVFAUSWAI7HD" localSheetId="7" hidden="1">#REF!</definedName>
    <definedName name="BExSH3L8ZU7A9TMERVFAUSWAI7HD" localSheetId="8" hidden="1">#REF!</definedName>
    <definedName name="BExSH3L8ZU7A9TMERVFAUSWAI7HD" localSheetId="0" hidden="1">#REF!</definedName>
    <definedName name="BExSH3L8ZU7A9TMERVFAUSWAI7HD" localSheetId="22" hidden="1">#REF!</definedName>
    <definedName name="BExSH3L8ZU7A9TMERVFAUSWAI7HD" hidden="1">#REF!</definedName>
    <definedName name="BExSH46TP1H7CGQSGE8UHOZLSYTI" localSheetId="7" hidden="1">#REF!</definedName>
    <definedName name="BExSH46TP1H7CGQSGE8UHOZLSYTI" localSheetId="8" hidden="1">#REF!</definedName>
    <definedName name="BExSH46TP1H7CGQSGE8UHOZLSYTI" localSheetId="0" hidden="1">#REF!</definedName>
    <definedName name="BExSH46TP1H7CGQSGE8UHOZLSYTI" localSheetId="22" hidden="1">#REF!</definedName>
    <definedName name="BExSH46TP1H7CGQSGE8UHOZLSYTI" hidden="1">#REF!</definedName>
    <definedName name="BExSH6VY0236P5YAREUQ5PG9MV6R" localSheetId="7" hidden="1">#REF!</definedName>
    <definedName name="BExSH6VY0236P5YAREUQ5PG9MV6R" localSheetId="8" hidden="1">#REF!</definedName>
    <definedName name="BExSH6VY0236P5YAREUQ5PG9MV6R" localSheetId="0" hidden="1">#REF!</definedName>
    <definedName name="BExSH6VY0236P5YAREUQ5PG9MV6R" localSheetId="22" hidden="1">#REF!</definedName>
    <definedName name="BExSH6VY0236P5YAREUQ5PG9MV6R" hidden="1">#REF!</definedName>
    <definedName name="BExSH9A9LGHAMMVAUTWYJ7O4I5II" localSheetId="7" hidden="1">#REF!</definedName>
    <definedName name="BExSH9A9LGHAMMVAUTWYJ7O4I5II" localSheetId="8" hidden="1">#REF!</definedName>
    <definedName name="BExSH9A9LGHAMMVAUTWYJ7O4I5II" localSheetId="0" hidden="1">#REF!</definedName>
    <definedName name="BExSH9A9LGHAMMVAUTWYJ7O4I5II" localSheetId="22" hidden="1">#REF!</definedName>
    <definedName name="BExSH9A9LGHAMMVAUTWYJ7O4I5II" hidden="1">#REF!</definedName>
    <definedName name="BExTU9JSAV2531V5PLTFMW5PLVMP" localSheetId="7" hidden="1">#REF!</definedName>
    <definedName name="BExTU9JSAV2531V5PLTFMW5PLVMP" localSheetId="8" hidden="1">#REF!</definedName>
    <definedName name="BExTU9JSAV2531V5PLTFMW5PLVMP" localSheetId="0" hidden="1">#REF!</definedName>
    <definedName name="BExTU9JSAV2531V5PLTFMW5PLVMP" localSheetId="22" hidden="1">#REF!</definedName>
    <definedName name="BExTU9JSAV2531V5PLTFMW5PLVMP" hidden="1">#REF!</definedName>
    <definedName name="BExTUHXW957L5K1435WWHZE4E5RW" localSheetId="7" hidden="1">[1]ZQZBC_REG_02_04!#REF!</definedName>
    <definedName name="BExTUHXW957L5K1435WWHZE4E5RW" localSheetId="8" hidden="1">[1]ZQZBC_REG_02_04!#REF!</definedName>
    <definedName name="BExTUHXW957L5K1435WWHZE4E5RW" localSheetId="0" hidden="1">[1]ZQZBC_REG_02_04!#REF!</definedName>
    <definedName name="BExTUHXW957L5K1435WWHZE4E5RW" localSheetId="22" hidden="1">[1]ZQZBC_REG_02_04!#REF!</definedName>
    <definedName name="BExTUHXW957L5K1435WWHZE4E5RW" hidden="1">[1]ZQZBC_REG_02_04!#REF!</definedName>
    <definedName name="BExTUYQ6IMOA2RJB683QE7RLJ1QT" localSheetId="7" hidden="1">#REF!</definedName>
    <definedName name="BExTUYQ6IMOA2RJB683QE7RLJ1QT" localSheetId="8" hidden="1">#REF!</definedName>
    <definedName name="BExTUYQ6IMOA2RJB683QE7RLJ1QT" localSheetId="0" hidden="1">#REF!</definedName>
    <definedName name="BExTUYQ6IMOA2RJB683QE7RLJ1QT" localSheetId="22" hidden="1">#REF!</definedName>
    <definedName name="BExTUYQ6IMOA2RJB683QE7RLJ1QT" hidden="1">#REF!</definedName>
    <definedName name="BExTW0C5M3IHIGFCS6DO31ROJDSV" localSheetId="7" hidden="1">#REF!</definedName>
    <definedName name="BExTW0C5M3IHIGFCS6DO31ROJDSV" localSheetId="8" hidden="1">#REF!</definedName>
    <definedName name="BExTW0C5M3IHIGFCS6DO31ROJDSV" localSheetId="0" hidden="1">#REF!</definedName>
    <definedName name="BExTW0C5M3IHIGFCS6DO31ROJDSV" localSheetId="22" hidden="1">#REF!</definedName>
    <definedName name="BExTW0C5M3IHIGFCS6DO31ROJDSV" hidden="1">#REF!</definedName>
    <definedName name="BExTW66HSBQIL7850X3CL1QXR2Z2" localSheetId="7" hidden="1">#REF!</definedName>
    <definedName name="BExTW66HSBQIL7850X3CL1QXR2Z2" localSheetId="8" hidden="1">#REF!</definedName>
    <definedName name="BExTW66HSBQIL7850X3CL1QXR2Z2" localSheetId="0" hidden="1">#REF!</definedName>
    <definedName name="BExTW66HSBQIL7850X3CL1QXR2Z2" localSheetId="22" hidden="1">#REF!</definedName>
    <definedName name="BExTW66HSBQIL7850X3CL1QXR2Z2" hidden="1">#REF!</definedName>
    <definedName name="BExTXXF2E0CXNIMDX872LQ83S98O" localSheetId="7" hidden="1">#REF!</definedName>
    <definedName name="BExTXXF2E0CXNIMDX872LQ83S98O" localSheetId="8" hidden="1">#REF!</definedName>
    <definedName name="BExTXXF2E0CXNIMDX872LQ83S98O" localSheetId="0" hidden="1">#REF!</definedName>
    <definedName name="BExTXXF2E0CXNIMDX872LQ83S98O" localSheetId="22" hidden="1">#REF!</definedName>
    <definedName name="BExTXXF2E0CXNIMDX872LQ83S98O" hidden="1">#REF!</definedName>
    <definedName name="BExTY9USJ6IV3TE9WP7R7QFECXTU" localSheetId="7" hidden="1">#REF!</definedName>
    <definedName name="BExTY9USJ6IV3TE9WP7R7QFECXTU" localSheetId="8" hidden="1">#REF!</definedName>
    <definedName name="BExTY9USJ6IV3TE9WP7R7QFECXTU" localSheetId="0" hidden="1">#REF!</definedName>
    <definedName name="BExTY9USJ6IV3TE9WP7R7QFECXTU" localSheetId="22" hidden="1">#REF!</definedName>
    <definedName name="BExTY9USJ6IV3TE9WP7R7QFECXTU" hidden="1">#REF!</definedName>
    <definedName name="BExTYKHR19PZBQGLVL3J36TW8O45" localSheetId="7" hidden="1">#REF!</definedName>
    <definedName name="BExTYKHR19PZBQGLVL3J36TW8O45" localSheetId="8" hidden="1">#REF!</definedName>
    <definedName name="BExTYKHR19PZBQGLVL3J36TW8O45" localSheetId="0" hidden="1">#REF!</definedName>
    <definedName name="BExTYKHR19PZBQGLVL3J36TW8O45" localSheetId="22" hidden="1">#REF!</definedName>
    <definedName name="BExTYKHR19PZBQGLVL3J36TW8O45" hidden="1">#REF!</definedName>
    <definedName name="BExTZSEHYB33J6YFL8XJ87FIYLMS" localSheetId="7" hidden="1">#REF!</definedName>
    <definedName name="BExTZSEHYB33J6YFL8XJ87FIYLMS" localSheetId="8" hidden="1">#REF!</definedName>
    <definedName name="BExTZSEHYB33J6YFL8XJ87FIYLMS" localSheetId="0" hidden="1">#REF!</definedName>
    <definedName name="BExTZSEHYB33J6YFL8XJ87FIYLMS" localSheetId="22" hidden="1">#REF!</definedName>
    <definedName name="BExTZSEHYB33J6YFL8XJ87FIYLMS" hidden="1">#REF!</definedName>
    <definedName name="BExU0FBTXHHGM40O8TBAOH806RGX" localSheetId="7" hidden="1">#REF!</definedName>
    <definedName name="BExU0FBTXHHGM40O8TBAOH806RGX" localSheetId="8" hidden="1">#REF!</definedName>
    <definedName name="BExU0FBTXHHGM40O8TBAOH806RGX" localSheetId="0" hidden="1">#REF!</definedName>
    <definedName name="BExU0FBTXHHGM40O8TBAOH806RGX" localSheetId="22" hidden="1">#REF!</definedName>
    <definedName name="BExU0FBTXHHGM40O8TBAOH806RGX" hidden="1">#REF!</definedName>
    <definedName name="BExU0PIOWVFSB05GOVM1N13YP4AV" localSheetId="7" hidden="1">#REF!</definedName>
    <definedName name="BExU0PIOWVFSB05GOVM1N13YP4AV" localSheetId="8" hidden="1">#REF!</definedName>
    <definedName name="BExU0PIOWVFSB05GOVM1N13YP4AV" localSheetId="0" hidden="1">#REF!</definedName>
    <definedName name="BExU0PIOWVFSB05GOVM1N13YP4AV" localSheetId="22" hidden="1">#REF!</definedName>
    <definedName name="BExU0PIOWVFSB05GOVM1N13YP4AV" hidden="1">#REF!</definedName>
    <definedName name="BExU1O4RI9QWGOL3S503OP230DPS" localSheetId="7" hidden="1">#REF!</definedName>
    <definedName name="BExU1O4RI9QWGOL3S503OP230DPS" localSheetId="8" hidden="1">#REF!</definedName>
    <definedName name="BExU1O4RI9QWGOL3S503OP230DPS" localSheetId="0" hidden="1">#REF!</definedName>
    <definedName name="BExU1O4RI9QWGOL3S503OP230DPS" localSheetId="22" hidden="1">#REF!</definedName>
    <definedName name="BExU1O4RI9QWGOL3S503OP230DPS" hidden="1">#REF!</definedName>
    <definedName name="BExU2J05A3RWUE1IXOYWUWNUQJOC" localSheetId="7" hidden="1">#REF!</definedName>
    <definedName name="BExU2J05A3RWUE1IXOYWUWNUQJOC" localSheetId="8" hidden="1">#REF!</definedName>
    <definedName name="BExU2J05A3RWUE1IXOYWUWNUQJOC" localSheetId="0" hidden="1">#REF!</definedName>
    <definedName name="BExU2J05A3RWUE1IXOYWUWNUQJOC" localSheetId="22" hidden="1">#REF!</definedName>
    <definedName name="BExU2J05A3RWUE1IXOYWUWNUQJOC" hidden="1">#REF!</definedName>
    <definedName name="BExU2WC7HG27N283RAGFT0TVUGA4" localSheetId="7" hidden="1">#REF!</definedName>
    <definedName name="BExU2WC7HG27N283RAGFT0TVUGA4" localSheetId="8" hidden="1">#REF!</definedName>
    <definedName name="BExU2WC7HG27N283RAGFT0TVUGA4" localSheetId="0" hidden="1">#REF!</definedName>
    <definedName name="BExU2WC7HG27N283RAGFT0TVUGA4" localSheetId="22" hidden="1">#REF!</definedName>
    <definedName name="BExU2WC7HG27N283RAGFT0TVUGA4" hidden="1">#REF!</definedName>
    <definedName name="BExU3DVHUU5IWSYXA8LYY9J6QOJB" localSheetId="7" hidden="1">#REF!</definedName>
    <definedName name="BExU3DVHUU5IWSYXA8LYY9J6QOJB" localSheetId="8" hidden="1">#REF!</definedName>
    <definedName name="BExU3DVHUU5IWSYXA8LYY9J6QOJB" localSheetId="0" hidden="1">#REF!</definedName>
    <definedName name="BExU3DVHUU5IWSYXA8LYY9J6QOJB" localSheetId="22" hidden="1">#REF!</definedName>
    <definedName name="BExU3DVHUU5IWSYXA8LYY9J6QOJB" hidden="1">#REF!</definedName>
    <definedName name="BExU3NRIGV5JEUJY64X7NFYG4VG0" localSheetId="7" hidden="1">[1]ZQZBC_REG_02_04!#REF!</definedName>
    <definedName name="BExU3NRIGV5JEUJY64X7NFYG4VG0" localSheetId="8" hidden="1">[1]ZQZBC_REG_02_04!#REF!</definedName>
    <definedName name="BExU3NRIGV5JEUJY64X7NFYG4VG0" localSheetId="0" hidden="1">[1]ZQZBC_REG_02_04!#REF!</definedName>
    <definedName name="BExU3NRIGV5JEUJY64X7NFYG4VG0" localSheetId="22" hidden="1">[1]ZQZBC_REG_02_04!#REF!</definedName>
    <definedName name="BExU3NRIGV5JEUJY64X7NFYG4VG0" hidden="1">[1]ZQZBC_REG_02_04!#REF!</definedName>
    <definedName name="BExU47E6Z34DCGA3UM9Y8OCL9A1M" localSheetId="7" hidden="1">#REF!</definedName>
    <definedName name="BExU47E6Z34DCGA3UM9Y8OCL9A1M" localSheetId="8" hidden="1">#REF!</definedName>
    <definedName name="BExU47E6Z34DCGA3UM9Y8OCL9A1M" localSheetId="0" hidden="1">#REF!</definedName>
    <definedName name="BExU47E6Z34DCGA3UM9Y8OCL9A1M" localSheetId="22" hidden="1">#REF!</definedName>
    <definedName name="BExU47E6Z34DCGA3UM9Y8OCL9A1M" hidden="1">#REF!</definedName>
    <definedName name="BExU4HQBUHJHJD4WHW1DREJM4QGS" localSheetId="7" hidden="1">#REF!</definedName>
    <definedName name="BExU4HQBUHJHJD4WHW1DREJM4QGS" localSheetId="8" hidden="1">#REF!</definedName>
    <definedName name="BExU4HQBUHJHJD4WHW1DREJM4QGS" localSheetId="0" hidden="1">#REF!</definedName>
    <definedName name="BExU4HQBUHJHJD4WHW1DREJM4QGS" localSheetId="22" hidden="1">#REF!</definedName>
    <definedName name="BExU4HQBUHJHJD4WHW1DREJM4QGS" hidden="1">#REF!</definedName>
    <definedName name="BExU5B96IA3VVRLACDM35XFC0QYY" localSheetId="7" hidden="1">#REF!</definedName>
    <definedName name="BExU5B96IA3VVRLACDM35XFC0QYY" localSheetId="8" hidden="1">#REF!</definedName>
    <definedName name="BExU5B96IA3VVRLACDM35XFC0QYY" localSheetId="0" hidden="1">#REF!</definedName>
    <definedName name="BExU5B96IA3VVRLACDM35XFC0QYY" localSheetId="22" hidden="1">#REF!</definedName>
    <definedName name="BExU5B96IA3VVRLACDM35XFC0QYY" hidden="1">#REF!</definedName>
    <definedName name="BExU5T331OMXVAQHGORJ5T6ZXTYQ" localSheetId="7" hidden="1">#REF!</definedName>
    <definedName name="BExU5T331OMXVAQHGORJ5T6ZXTYQ" localSheetId="8" hidden="1">#REF!</definedName>
    <definedName name="BExU5T331OMXVAQHGORJ5T6ZXTYQ" localSheetId="0" hidden="1">#REF!</definedName>
    <definedName name="BExU5T331OMXVAQHGORJ5T6ZXTYQ" localSheetId="22" hidden="1">#REF!</definedName>
    <definedName name="BExU5T331OMXVAQHGORJ5T6ZXTYQ" hidden="1">#REF!</definedName>
    <definedName name="BExU7OTEEIFPZNZ7G4E88SL0UMDX" localSheetId="7" hidden="1">#REF!</definedName>
    <definedName name="BExU7OTEEIFPZNZ7G4E88SL0UMDX" localSheetId="8" hidden="1">#REF!</definedName>
    <definedName name="BExU7OTEEIFPZNZ7G4E88SL0UMDX" localSheetId="0" hidden="1">#REF!</definedName>
    <definedName name="BExU7OTEEIFPZNZ7G4E88SL0UMDX" localSheetId="22" hidden="1">#REF!</definedName>
    <definedName name="BExU7OTEEIFPZNZ7G4E88SL0UMDX" hidden="1">#REF!</definedName>
    <definedName name="BExU8K4TIBBKCG98MZWSMZ2YRLKZ" localSheetId="7" hidden="1">#REF!</definedName>
    <definedName name="BExU8K4TIBBKCG98MZWSMZ2YRLKZ" localSheetId="8" hidden="1">#REF!</definedName>
    <definedName name="BExU8K4TIBBKCG98MZWSMZ2YRLKZ" localSheetId="0" hidden="1">#REF!</definedName>
    <definedName name="BExU8K4TIBBKCG98MZWSMZ2YRLKZ" localSheetId="22" hidden="1">#REF!</definedName>
    <definedName name="BExU8K4TIBBKCG98MZWSMZ2YRLKZ" hidden="1">#REF!</definedName>
    <definedName name="BExU93WXV10E2NUUNA12YIITLX4W" localSheetId="7" hidden="1">#REF!</definedName>
    <definedName name="BExU93WXV10E2NUUNA12YIITLX4W" localSheetId="8" hidden="1">#REF!</definedName>
    <definedName name="BExU93WXV10E2NUUNA12YIITLX4W" localSheetId="0" hidden="1">#REF!</definedName>
    <definedName name="BExU93WXV10E2NUUNA12YIITLX4W" localSheetId="22" hidden="1">#REF!</definedName>
    <definedName name="BExU93WXV10E2NUUNA12YIITLX4W" hidden="1">#REF!</definedName>
    <definedName name="BExUABIPZWYZ1QAOWL7313YI3GMH" localSheetId="7" hidden="1">#REF!</definedName>
    <definedName name="BExUABIPZWYZ1QAOWL7313YI3GMH" localSheetId="8" hidden="1">#REF!</definedName>
    <definedName name="BExUABIPZWYZ1QAOWL7313YI3GMH" localSheetId="0" hidden="1">#REF!</definedName>
    <definedName name="BExUABIPZWYZ1QAOWL7313YI3GMH" localSheetId="22" hidden="1">#REF!</definedName>
    <definedName name="BExUABIPZWYZ1QAOWL7313YI3GMH" hidden="1">#REF!</definedName>
    <definedName name="BExUAMGH2PQMOOFSTXIKCXQ9APDS" localSheetId="7" hidden="1">#REF!</definedName>
    <definedName name="BExUAMGH2PQMOOFSTXIKCXQ9APDS" localSheetId="8" hidden="1">#REF!</definedName>
    <definedName name="BExUAMGH2PQMOOFSTXIKCXQ9APDS" localSheetId="0" hidden="1">#REF!</definedName>
    <definedName name="BExUAMGH2PQMOOFSTXIKCXQ9APDS" localSheetId="22" hidden="1">#REF!</definedName>
    <definedName name="BExUAMGH2PQMOOFSTXIKCXQ9APDS" hidden="1">#REF!</definedName>
    <definedName name="BExUAWI1XRNFEHKOM7X2Q9S94OWP" localSheetId="7" hidden="1">#REF!</definedName>
    <definedName name="BExUAWI1XRNFEHKOM7X2Q9S94OWP" localSheetId="8" hidden="1">#REF!</definedName>
    <definedName name="BExUAWI1XRNFEHKOM7X2Q9S94OWP" localSheetId="0" hidden="1">#REF!</definedName>
    <definedName name="BExUAWI1XRNFEHKOM7X2Q9S94OWP" localSheetId="22" hidden="1">#REF!</definedName>
    <definedName name="BExUAWI1XRNFEHKOM7X2Q9S94OWP" hidden="1">#REF!</definedName>
    <definedName name="BExUB33EBJ0X2C87S737A15786Y1" localSheetId="7" hidden="1">#REF!</definedName>
    <definedName name="BExUB33EBJ0X2C87S737A15786Y1" localSheetId="8" hidden="1">#REF!</definedName>
    <definedName name="BExUB33EBJ0X2C87S737A15786Y1" localSheetId="0" hidden="1">#REF!</definedName>
    <definedName name="BExUB33EBJ0X2C87S737A15786Y1" localSheetId="22" hidden="1">#REF!</definedName>
    <definedName name="BExUB33EBJ0X2C87S737A15786Y1" hidden="1">#REF!</definedName>
    <definedName name="BExUBR7W3EM0PV122APH6H04FCD3" localSheetId="7" hidden="1">#REF!</definedName>
    <definedName name="BExUBR7W3EM0PV122APH6H04FCD3" localSheetId="8" hidden="1">#REF!</definedName>
    <definedName name="BExUBR7W3EM0PV122APH6H04FCD3" localSheetId="0" hidden="1">#REF!</definedName>
    <definedName name="BExUBR7W3EM0PV122APH6H04FCD3" localSheetId="22" hidden="1">#REF!</definedName>
    <definedName name="BExUBR7W3EM0PV122APH6H04FCD3" hidden="1">#REF!</definedName>
    <definedName name="BExUC0T5MPGIS6QIP51PF3UQYEM0" localSheetId="7" hidden="1">[1]ZQZBC_REG_02_04!#REF!</definedName>
    <definedName name="BExUC0T5MPGIS6QIP51PF3UQYEM0" localSheetId="8" hidden="1">[1]ZQZBC_REG_02_04!#REF!</definedName>
    <definedName name="BExUC0T5MPGIS6QIP51PF3UQYEM0" localSheetId="0" hidden="1">[1]ZQZBC_REG_02_04!#REF!</definedName>
    <definedName name="BExUC0T5MPGIS6QIP51PF3UQYEM0" localSheetId="22" hidden="1">[1]ZQZBC_REG_02_04!#REF!</definedName>
    <definedName name="BExUC0T5MPGIS6QIP51PF3UQYEM0" hidden="1">[1]ZQZBC_REG_02_04!#REF!</definedName>
    <definedName name="BExUC43TSMKM9HA05GYAIKVTBGAK" localSheetId="7" hidden="1">#REF!</definedName>
    <definedName name="BExUC43TSMKM9HA05GYAIKVTBGAK" localSheetId="8" hidden="1">#REF!</definedName>
    <definedName name="BExUC43TSMKM9HA05GYAIKVTBGAK" localSheetId="0" hidden="1">#REF!</definedName>
    <definedName name="BExUC43TSMKM9HA05GYAIKVTBGAK" localSheetId="22" hidden="1">#REF!</definedName>
    <definedName name="BExUC43TSMKM9HA05GYAIKVTBGAK" hidden="1">#REF!</definedName>
    <definedName name="BExUDMI27V8E3ENFJD4JKF25YLY5" localSheetId="7" hidden="1">#REF!</definedName>
    <definedName name="BExUDMI27V8E3ENFJD4JKF25YLY5" localSheetId="8" hidden="1">#REF!</definedName>
    <definedName name="BExUDMI27V8E3ENFJD4JKF25YLY5" localSheetId="0" hidden="1">#REF!</definedName>
    <definedName name="BExUDMI27V8E3ENFJD4JKF25YLY5" localSheetId="22" hidden="1">#REF!</definedName>
    <definedName name="BExUDMI27V8E3ENFJD4JKF25YLY5" hidden="1">#REF!</definedName>
    <definedName name="BExUEQYOZDES9F7EJQU6OT1TTXOL" localSheetId="7" hidden="1">#REF!</definedName>
    <definedName name="BExUEQYOZDES9F7EJQU6OT1TTXOL" localSheetId="8" hidden="1">#REF!</definedName>
    <definedName name="BExUEQYOZDES9F7EJQU6OT1TTXOL" localSheetId="0" hidden="1">#REF!</definedName>
    <definedName name="BExUEQYOZDES9F7EJQU6OT1TTXOL" localSheetId="22" hidden="1">#REF!</definedName>
    <definedName name="BExUEQYOZDES9F7EJQU6OT1TTXOL" hidden="1">#REF!</definedName>
    <definedName name="BExUF21WPW72ZWEVF6KS5K1TAPJV" localSheetId="7" hidden="1">#REF!</definedName>
    <definedName name="BExUF21WPW72ZWEVF6KS5K1TAPJV" localSheetId="8" hidden="1">#REF!</definedName>
    <definedName name="BExUF21WPW72ZWEVF6KS5K1TAPJV" localSheetId="0" hidden="1">#REF!</definedName>
    <definedName name="BExUF21WPW72ZWEVF6KS5K1TAPJV" localSheetId="22" hidden="1">#REF!</definedName>
    <definedName name="BExUF21WPW72ZWEVF6KS5K1TAPJV" hidden="1">#REF!</definedName>
    <definedName name="BExVQBDLSADDXHKCYZD30A70YYOV" localSheetId="7" hidden="1">#REF!</definedName>
    <definedName name="BExVQBDLSADDXHKCYZD30A70YYOV" localSheetId="8" hidden="1">#REF!</definedName>
    <definedName name="BExVQBDLSADDXHKCYZD30A70YYOV" localSheetId="0" hidden="1">#REF!</definedName>
    <definedName name="BExVQBDLSADDXHKCYZD30A70YYOV" localSheetId="22" hidden="1">#REF!</definedName>
    <definedName name="BExVQBDLSADDXHKCYZD30A70YYOV" hidden="1">#REF!</definedName>
    <definedName name="BExVQS5UQTZ41QQH10V5S41UK0C0" localSheetId="7" hidden="1">#REF!</definedName>
    <definedName name="BExVQS5UQTZ41QQH10V5S41UK0C0" localSheetId="8" hidden="1">#REF!</definedName>
    <definedName name="BExVQS5UQTZ41QQH10V5S41UK0C0" localSheetId="0" hidden="1">#REF!</definedName>
    <definedName name="BExVQS5UQTZ41QQH10V5S41UK0C0" localSheetId="22" hidden="1">#REF!</definedName>
    <definedName name="BExVQS5UQTZ41QQH10V5S41UK0C0" hidden="1">#REF!</definedName>
    <definedName name="BExVRAG0H6CHAH8TOR10SCZFWV4H" localSheetId="7" hidden="1">[1]ZQZBC_REG_02_04!#REF!</definedName>
    <definedName name="BExVRAG0H6CHAH8TOR10SCZFWV4H" localSheetId="8" hidden="1">[1]ZQZBC_REG_02_04!#REF!</definedName>
    <definedName name="BExVRAG0H6CHAH8TOR10SCZFWV4H" localSheetId="0" hidden="1">[1]ZQZBC_REG_02_04!#REF!</definedName>
    <definedName name="BExVRAG0H6CHAH8TOR10SCZFWV4H" localSheetId="22" hidden="1">[1]ZQZBC_REG_02_04!#REF!</definedName>
    <definedName name="BExVRAG0H6CHAH8TOR10SCZFWV4H" hidden="1">[1]ZQZBC_REG_02_04!#REF!</definedName>
    <definedName name="BExVRJA8N4HQXJOAGF74DJ6ID7C0" localSheetId="7" hidden="1">#REF!</definedName>
    <definedName name="BExVRJA8N4HQXJOAGF74DJ6ID7C0" localSheetId="8" hidden="1">#REF!</definedName>
    <definedName name="BExVRJA8N4HQXJOAGF74DJ6ID7C0" localSheetId="0" hidden="1">#REF!</definedName>
    <definedName name="BExVRJA8N4HQXJOAGF74DJ6ID7C0" localSheetId="22" hidden="1">#REF!</definedName>
    <definedName name="BExVRJA8N4HQXJOAGF74DJ6ID7C0" hidden="1">#REF!</definedName>
    <definedName name="BExVRSFEVELSL81MBS07OHQFJGF3" localSheetId="7" hidden="1">#REF!</definedName>
    <definedName name="BExVRSFEVELSL81MBS07OHQFJGF3" localSheetId="8" hidden="1">#REF!</definedName>
    <definedName name="BExVRSFEVELSL81MBS07OHQFJGF3" localSheetId="0" hidden="1">#REF!</definedName>
    <definedName name="BExVRSFEVELSL81MBS07OHQFJGF3" localSheetId="22" hidden="1">#REF!</definedName>
    <definedName name="BExVRSFEVELSL81MBS07OHQFJGF3" hidden="1">#REF!</definedName>
    <definedName name="BExVRSVI383MR6YMJKZG6SJCCOR7" localSheetId="7" hidden="1">#REF!</definedName>
    <definedName name="BExVRSVI383MR6YMJKZG6SJCCOR7" localSheetId="8" hidden="1">#REF!</definedName>
    <definedName name="BExVRSVI383MR6YMJKZG6SJCCOR7" localSheetId="0" hidden="1">#REF!</definedName>
    <definedName name="BExVRSVI383MR6YMJKZG6SJCCOR7" localSheetId="22" hidden="1">#REF!</definedName>
    <definedName name="BExVRSVI383MR6YMJKZG6SJCCOR7" hidden="1">#REF!</definedName>
    <definedName name="BExVRT0ZJJHBTHMNGC9BSBD5T9TS" localSheetId="7" hidden="1">[1]ZQBC_PLN_01_03_N!#REF!</definedName>
    <definedName name="BExVRT0ZJJHBTHMNGC9BSBD5T9TS" localSheetId="8" hidden="1">[1]ZQBC_PLN_01_03_N!#REF!</definedName>
    <definedName name="BExVRT0ZJJHBTHMNGC9BSBD5T9TS" localSheetId="0" hidden="1">[1]ZQBC_PLN_01_03_N!#REF!</definedName>
    <definedName name="BExVRT0ZJJHBTHMNGC9BSBD5T9TS" localSheetId="22" hidden="1">[1]ZQBC_PLN_01_03_N!#REF!</definedName>
    <definedName name="BExVRT0ZJJHBTHMNGC9BSBD5T9TS" hidden="1">[1]ZQBC_PLN_01_03_N!#REF!</definedName>
    <definedName name="BExVS2MA2OS35TZHB85E569J3QIZ" localSheetId="7" hidden="1">#REF!</definedName>
    <definedName name="BExVS2MA2OS35TZHB85E569J3QIZ" localSheetId="8" hidden="1">#REF!</definedName>
    <definedName name="BExVS2MA2OS35TZHB85E569J3QIZ" localSheetId="0" hidden="1">#REF!</definedName>
    <definedName name="BExVS2MA2OS35TZHB85E569J3QIZ" localSheetId="22" hidden="1">#REF!</definedName>
    <definedName name="BExVS2MA2OS35TZHB85E569J3QIZ" hidden="1">#REF!</definedName>
    <definedName name="BExVSBWQZ595EUUKM647FCG81PNC" localSheetId="7" hidden="1">#REF!</definedName>
    <definedName name="BExVSBWQZ595EUUKM647FCG81PNC" localSheetId="8" hidden="1">#REF!</definedName>
    <definedName name="BExVSBWQZ595EUUKM647FCG81PNC" localSheetId="0" hidden="1">#REF!</definedName>
    <definedName name="BExVSBWQZ595EUUKM647FCG81PNC" localSheetId="22" hidden="1">#REF!</definedName>
    <definedName name="BExVSBWQZ595EUUKM647FCG81PNC" hidden="1">#REF!</definedName>
    <definedName name="BExVSVU74D4UHM1EE8M7XKH475QK" localSheetId="7" hidden="1">#REF!</definedName>
    <definedName name="BExVSVU74D4UHM1EE8M7XKH475QK" localSheetId="8" hidden="1">#REF!</definedName>
    <definedName name="BExVSVU74D4UHM1EE8M7XKH475QK" localSheetId="0" hidden="1">#REF!</definedName>
    <definedName name="BExVSVU74D4UHM1EE8M7XKH475QK" localSheetId="22" hidden="1">#REF!</definedName>
    <definedName name="BExVSVU74D4UHM1EE8M7XKH475QK" hidden="1">#REF!</definedName>
    <definedName name="BExVT2A7CLSANGU9449N0SCGRE8E" localSheetId="7" hidden="1">#REF!</definedName>
    <definedName name="BExVT2A7CLSANGU9449N0SCGRE8E" localSheetId="8" hidden="1">#REF!</definedName>
    <definedName name="BExVT2A7CLSANGU9449N0SCGRE8E" localSheetId="0" hidden="1">#REF!</definedName>
    <definedName name="BExVT2A7CLSANGU9449N0SCGRE8E" localSheetId="22" hidden="1">#REF!</definedName>
    <definedName name="BExVT2A7CLSANGU9449N0SCGRE8E" hidden="1">#REF!</definedName>
    <definedName name="BExVTE9NXE7WTQ5M5U533PZQ8B72" localSheetId="7" hidden="1">#REF!</definedName>
    <definedName name="BExVTE9NXE7WTQ5M5U533PZQ8B72" localSheetId="8" hidden="1">#REF!</definedName>
    <definedName name="BExVTE9NXE7WTQ5M5U533PZQ8B72" localSheetId="0" hidden="1">#REF!</definedName>
    <definedName name="BExVTE9NXE7WTQ5M5U533PZQ8B72" localSheetId="22" hidden="1">#REF!</definedName>
    <definedName name="BExVTE9NXE7WTQ5M5U533PZQ8B72" hidden="1">#REF!</definedName>
    <definedName name="BExVTLRDDDVJGPG0AYJDXS0RCO8Z" localSheetId="7" hidden="1">[1]ZQZBC_REG_02_04!#REF!</definedName>
    <definedName name="BExVTLRDDDVJGPG0AYJDXS0RCO8Z" localSheetId="8" hidden="1">[1]ZQZBC_REG_02_04!#REF!</definedName>
    <definedName name="BExVTLRDDDVJGPG0AYJDXS0RCO8Z" localSheetId="0" hidden="1">[1]ZQZBC_REG_02_04!#REF!</definedName>
    <definedName name="BExVTLRDDDVJGPG0AYJDXS0RCO8Z" localSheetId="22" hidden="1">[1]ZQZBC_REG_02_04!#REF!</definedName>
    <definedName name="BExVTLRDDDVJGPG0AYJDXS0RCO8Z" hidden="1">[1]ZQZBC_REG_02_04!#REF!</definedName>
    <definedName name="BExVUEDVBJDA9ZSRBB69T0Q1DAPC" localSheetId="7" hidden="1">#REF!</definedName>
    <definedName name="BExVUEDVBJDA9ZSRBB69T0Q1DAPC" localSheetId="8" hidden="1">#REF!</definedName>
    <definedName name="BExVUEDVBJDA9ZSRBB69T0Q1DAPC" localSheetId="0" hidden="1">#REF!</definedName>
    <definedName name="BExVUEDVBJDA9ZSRBB69T0Q1DAPC" localSheetId="22" hidden="1">#REF!</definedName>
    <definedName name="BExVUEDVBJDA9ZSRBB69T0Q1DAPC" hidden="1">#REF!</definedName>
    <definedName name="BExVUMH11XU7IL4KYH1KIYDPIPT6" localSheetId="7" hidden="1">#REF!</definedName>
    <definedName name="BExVUMH11XU7IL4KYH1KIYDPIPT6" localSheetId="8" hidden="1">#REF!</definedName>
    <definedName name="BExVUMH11XU7IL4KYH1KIYDPIPT6" localSheetId="0" hidden="1">#REF!</definedName>
    <definedName name="BExVUMH11XU7IL4KYH1KIYDPIPT6" localSheetId="22" hidden="1">#REF!</definedName>
    <definedName name="BExVUMH11XU7IL4KYH1KIYDPIPT6" hidden="1">#REF!</definedName>
    <definedName name="BExVUP0TF488TZ0MPNHXC7BJ7TKI" localSheetId="7" hidden="1">#REF!</definedName>
    <definedName name="BExVUP0TF488TZ0MPNHXC7BJ7TKI" localSheetId="8" hidden="1">#REF!</definedName>
    <definedName name="BExVUP0TF488TZ0MPNHXC7BJ7TKI" localSheetId="0" hidden="1">#REF!</definedName>
    <definedName name="BExVUP0TF488TZ0MPNHXC7BJ7TKI" localSheetId="22" hidden="1">#REF!</definedName>
    <definedName name="BExVUP0TF488TZ0MPNHXC7BJ7TKI" hidden="1">#REF!</definedName>
    <definedName name="BExVUSBJ1YB26LBITUUQ5N5LRYJ5" localSheetId="7" hidden="1">[1]ZQBC_PLN_01_03_N!#REF!</definedName>
    <definedName name="BExVUSBJ1YB26LBITUUQ5N5LRYJ5" localSheetId="8" hidden="1">[1]ZQBC_PLN_01_03_N!#REF!</definedName>
    <definedName name="BExVUSBJ1YB26LBITUUQ5N5LRYJ5" localSheetId="0" hidden="1">[1]ZQBC_PLN_01_03_N!#REF!</definedName>
    <definedName name="BExVUSBJ1YB26LBITUUQ5N5LRYJ5" localSheetId="22" hidden="1">[1]ZQBC_PLN_01_03_N!#REF!</definedName>
    <definedName name="BExVUSBJ1YB26LBITUUQ5N5LRYJ5" hidden="1">[1]ZQBC_PLN_01_03_N!#REF!</definedName>
    <definedName name="BExVV222Y4F9BCKT6JH75GZX3M6S" localSheetId="7" hidden="1">#REF!</definedName>
    <definedName name="BExVV222Y4F9BCKT6JH75GZX3M6S" localSheetId="8" hidden="1">#REF!</definedName>
    <definedName name="BExVV222Y4F9BCKT6JH75GZX3M6S" localSheetId="0" hidden="1">#REF!</definedName>
    <definedName name="BExVV222Y4F9BCKT6JH75GZX3M6S" localSheetId="22" hidden="1">#REF!</definedName>
    <definedName name="BExVV222Y4F9BCKT6JH75GZX3M6S" hidden="1">#REF!</definedName>
    <definedName name="BExVV7R3Q55HP3I9G68BGJUKNWJJ" localSheetId="7" hidden="1">#REF!</definedName>
    <definedName name="BExVV7R3Q55HP3I9G68BGJUKNWJJ" localSheetId="8" hidden="1">#REF!</definedName>
    <definedName name="BExVV7R3Q55HP3I9G68BGJUKNWJJ" localSheetId="0" hidden="1">#REF!</definedName>
    <definedName name="BExVV7R3Q55HP3I9G68BGJUKNWJJ" localSheetId="22" hidden="1">#REF!</definedName>
    <definedName name="BExVV7R3Q55HP3I9G68BGJUKNWJJ" hidden="1">#REF!</definedName>
    <definedName name="BExVVIJJ54QBOTP6Q5ACFTY4O2VE" localSheetId="7" hidden="1">#REF!</definedName>
    <definedName name="BExVVIJJ54QBOTP6Q5ACFTY4O2VE" localSheetId="8" hidden="1">#REF!</definedName>
    <definedName name="BExVVIJJ54QBOTP6Q5ACFTY4O2VE" localSheetId="0" hidden="1">#REF!</definedName>
    <definedName name="BExVVIJJ54QBOTP6Q5ACFTY4O2VE" localSheetId="22" hidden="1">#REF!</definedName>
    <definedName name="BExVVIJJ54QBOTP6Q5ACFTY4O2VE" hidden="1">#REF!</definedName>
    <definedName name="BExVVSA3NHNSPJCX2NHRAYFGVW6O" localSheetId="7" hidden="1">#REF!</definedName>
    <definedName name="BExVVSA3NHNSPJCX2NHRAYFGVW6O" localSheetId="8" hidden="1">#REF!</definedName>
    <definedName name="BExVVSA3NHNSPJCX2NHRAYFGVW6O" localSheetId="0" hidden="1">#REF!</definedName>
    <definedName name="BExVVSA3NHNSPJCX2NHRAYFGVW6O" localSheetId="22" hidden="1">#REF!</definedName>
    <definedName name="BExVVSA3NHNSPJCX2NHRAYFGVW6O" hidden="1">#REF!</definedName>
    <definedName name="BExVX0MYY63UM714QLGCV0504A2Q" localSheetId="7" hidden="1">[2]ZQBC_REG_02_08!#REF!</definedName>
    <definedName name="BExVX0MYY63UM714QLGCV0504A2Q" localSheetId="8" hidden="1">[2]ZQBC_REG_02_08!#REF!</definedName>
    <definedName name="BExVX0MYY63UM714QLGCV0504A2Q" localSheetId="0" hidden="1">[2]ZQBC_REG_02_08!#REF!</definedName>
    <definedName name="BExVX0MYY63UM714QLGCV0504A2Q" localSheetId="22" hidden="1">[2]ZQBC_REG_02_08!#REF!</definedName>
    <definedName name="BExVX0MYY63UM714QLGCV0504A2Q" hidden="1">[2]ZQBC_REG_02_08!#REF!</definedName>
    <definedName name="BExVXGDI0UOWJZ7LAFUH458STFOM" localSheetId="7" hidden="1">#REF!</definedName>
    <definedName name="BExVXGDI0UOWJZ7LAFUH458STFOM" localSheetId="8" hidden="1">#REF!</definedName>
    <definedName name="BExVXGDI0UOWJZ7LAFUH458STFOM" localSheetId="0" hidden="1">#REF!</definedName>
    <definedName name="BExVXGDI0UOWJZ7LAFUH458STFOM" localSheetId="22" hidden="1">#REF!</definedName>
    <definedName name="BExVXGDI0UOWJZ7LAFUH458STFOM" hidden="1">#REF!</definedName>
    <definedName name="BExVXNPST8L449482JTSMS6RI5OC" localSheetId="7" hidden="1">#REF!</definedName>
    <definedName name="BExVXNPST8L449482JTSMS6RI5OC" localSheetId="8" hidden="1">#REF!</definedName>
    <definedName name="BExVXNPST8L449482JTSMS6RI5OC" localSheetId="0" hidden="1">#REF!</definedName>
    <definedName name="BExVXNPST8L449482JTSMS6RI5OC" localSheetId="22" hidden="1">#REF!</definedName>
    <definedName name="BExVXNPST8L449482JTSMS6RI5OC" hidden="1">#REF!</definedName>
    <definedName name="BExVXU0CNKI96ZRNHJDGWLD8IQ42" localSheetId="7" hidden="1">[1]ZQZBC_REG_02_04!#REF!</definedName>
    <definedName name="BExVXU0CNKI96ZRNHJDGWLD8IQ42" localSheetId="8" hidden="1">[1]ZQZBC_REG_02_04!#REF!</definedName>
    <definedName name="BExVXU0CNKI96ZRNHJDGWLD8IQ42" localSheetId="0" hidden="1">[1]ZQZBC_REG_02_04!#REF!</definedName>
    <definedName name="BExVXU0CNKI96ZRNHJDGWLD8IQ42" localSheetId="22" hidden="1">[1]ZQZBC_REG_02_04!#REF!</definedName>
    <definedName name="BExVXU0CNKI96ZRNHJDGWLD8IQ42" hidden="1">[1]ZQZBC_REG_02_04!#REF!</definedName>
    <definedName name="BExVYPH3PULA5XBNP01LWFUNZNDU" localSheetId="7" hidden="1">#REF!</definedName>
    <definedName name="BExVYPH3PULA5XBNP01LWFUNZNDU" localSheetId="8" hidden="1">#REF!</definedName>
    <definedName name="BExVYPH3PULA5XBNP01LWFUNZNDU" localSheetId="0" hidden="1">#REF!</definedName>
    <definedName name="BExVYPH3PULA5XBNP01LWFUNZNDU" localSheetId="22" hidden="1">#REF!</definedName>
    <definedName name="BExVYPH3PULA5XBNP01LWFUNZNDU" hidden="1">#REF!</definedName>
    <definedName name="BExVYS688Z3PU9ANSB9V32UVSO9F" localSheetId="7" hidden="1">#REF!</definedName>
    <definedName name="BExVYS688Z3PU9ANSB9V32UVSO9F" localSheetId="8" hidden="1">#REF!</definedName>
    <definedName name="BExVYS688Z3PU9ANSB9V32UVSO9F" localSheetId="0" hidden="1">#REF!</definedName>
    <definedName name="BExVYS688Z3PU9ANSB9V32UVSO9F" localSheetId="22" hidden="1">#REF!</definedName>
    <definedName name="BExVYS688Z3PU9ANSB9V32UVSO9F" hidden="1">#REF!</definedName>
    <definedName name="BExVZ4BB1GJSDZ1SJCTBEJ1WRGMI" localSheetId="7" hidden="1">#REF!</definedName>
    <definedName name="BExVZ4BB1GJSDZ1SJCTBEJ1WRGMI" localSheetId="8" hidden="1">#REF!</definedName>
    <definedName name="BExVZ4BB1GJSDZ1SJCTBEJ1WRGMI" localSheetId="0" hidden="1">#REF!</definedName>
    <definedName name="BExVZ4BB1GJSDZ1SJCTBEJ1WRGMI" localSheetId="22" hidden="1">#REF!</definedName>
    <definedName name="BExVZ4BB1GJSDZ1SJCTBEJ1WRGMI" hidden="1">#REF!</definedName>
    <definedName name="BExW09IRXJACALU2LJ4F1PP8FNGU" localSheetId="7" hidden="1">#REF!</definedName>
    <definedName name="BExW09IRXJACALU2LJ4F1PP8FNGU" localSheetId="8" hidden="1">#REF!</definedName>
    <definedName name="BExW09IRXJACALU2LJ4F1PP8FNGU" localSheetId="0" hidden="1">#REF!</definedName>
    <definedName name="BExW09IRXJACALU2LJ4F1PP8FNGU" localSheetId="22" hidden="1">#REF!</definedName>
    <definedName name="BExW09IRXJACALU2LJ4F1PP8FNGU" hidden="1">#REF!</definedName>
    <definedName name="BExW0CYYGF0EIC4A3FJ80OX6GA1D" localSheetId="7" hidden="1">#REF!</definedName>
    <definedName name="BExW0CYYGF0EIC4A3FJ80OX6GA1D" localSheetId="8" hidden="1">#REF!</definedName>
    <definedName name="BExW0CYYGF0EIC4A3FJ80OX6GA1D" localSheetId="0" hidden="1">#REF!</definedName>
    <definedName name="BExW0CYYGF0EIC4A3FJ80OX6GA1D" localSheetId="22" hidden="1">#REF!</definedName>
    <definedName name="BExW0CYYGF0EIC4A3FJ80OX6GA1D" hidden="1">#REF!</definedName>
    <definedName name="BExW0ERIW7MD891SN4ESTO8V7WND" localSheetId="7" hidden="1">#REF!</definedName>
    <definedName name="BExW0ERIW7MD891SN4ESTO8V7WND" localSheetId="8" hidden="1">#REF!</definedName>
    <definedName name="BExW0ERIW7MD891SN4ESTO8V7WND" localSheetId="0" hidden="1">#REF!</definedName>
    <definedName name="BExW0ERIW7MD891SN4ESTO8V7WND" localSheetId="22" hidden="1">#REF!</definedName>
    <definedName name="BExW0ERIW7MD891SN4ESTO8V7WND" hidden="1">#REF!</definedName>
    <definedName name="BExW0KLYZY3Q4XDYK76ZJ8T7T6A3" localSheetId="7" hidden="1">#REF!</definedName>
    <definedName name="BExW0KLYZY3Q4XDYK76ZJ8T7T6A3" localSheetId="8" hidden="1">#REF!</definedName>
    <definedName name="BExW0KLYZY3Q4XDYK76ZJ8T7T6A3" localSheetId="0" hidden="1">#REF!</definedName>
    <definedName name="BExW0KLYZY3Q4XDYK76ZJ8T7T6A3" localSheetId="22" hidden="1">#REF!</definedName>
    <definedName name="BExW0KLYZY3Q4XDYK76ZJ8T7T6A3" hidden="1">#REF!</definedName>
    <definedName name="BExW18FO746TD0FTR4BSKN1K3APC" localSheetId="7" hidden="1">#REF!</definedName>
    <definedName name="BExW18FO746TD0FTR4BSKN1K3APC" localSheetId="8" hidden="1">#REF!</definedName>
    <definedName name="BExW18FO746TD0FTR4BSKN1K3APC" localSheetId="0" hidden="1">#REF!</definedName>
    <definedName name="BExW18FO746TD0FTR4BSKN1K3APC" localSheetId="22" hidden="1">#REF!</definedName>
    <definedName name="BExW18FO746TD0FTR4BSKN1K3APC" hidden="1">#REF!</definedName>
    <definedName name="BExW1KKQQUOA71WIDBKWAHFJCH4E" localSheetId="7" hidden="1">#REF!</definedName>
    <definedName name="BExW1KKQQUOA71WIDBKWAHFJCH4E" localSheetId="8" hidden="1">#REF!</definedName>
    <definedName name="BExW1KKQQUOA71WIDBKWAHFJCH4E" localSheetId="0" hidden="1">#REF!</definedName>
    <definedName name="BExW1KKQQUOA71WIDBKWAHFJCH4E" localSheetId="22" hidden="1">#REF!</definedName>
    <definedName name="BExW1KKQQUOA71WIDBKWAHFJCH4E" hidden="1">#REF!</definedName>
    <definedName name="BExW1VIHUI43HZXQRTBQ0C2JB9N0" localSheetId="7" hidden="1">#REF!</definedName>
    <definedName name="BExW1VIHUI43HZXQRTBQ0C2JB9N0" localSheetId="8" hidden="1">#REF!</definedName>
    <definedName name="BExW1VIHUI43HZXQRTBQ0C2JB9N0" localSheetId="0" hidden="1">#REF!</definedName>
    <definedName name="BExW1VIHUI43HZXQRTBQ0C2JB9N0" localSheetId="22" hidden="1">#REF!</definedName>
    <definedName name="BExW1VIHUI43HZXQRTBQ0C2JB9N0" hidden="1">#REF!</definedName>
    <definedName name="BExW2XVF428G0BS6T2PI1BHDNVIN" localSheetId="7" hidden="1">[1]ZQBC_PLN_01_03_N!#REF!</definedName>
    <definedName name="BExW2XVF428G0BS6T2PI1BHDNVIN" localSheetId="8" hidden="1">[1]ZQBC_PLN_01_03_N!#REF!</definedName>
    <definedName name="BExW2XVF428G0BS6T2PI1BHDNVIN" localSheetId="0" hidden="1">[1]ZQBC_PLN_01_03_N!#REF!</definedName>
    <definedName name="BExW2XVF428G0BS6T2PI1BHDNVIN" localSheetId="22" hidden="1">[1]ZQBC_PLN_01_03_N!#REF!</definedName>
    <definedName name="BExW2XVF428G0BS6T2PI1BHDNVIN" hidden="1">[1]ZQBC_PLN_01_03_N!#REF!</definedName>
    <definedName name="BExW3UOY6B5HLIX3ZQA7XCUJXH5C" localSheetId="7" hidden="1">#REF!</definedName>
    <definedName name="BExW3UOY6B5HLIX3ZQA7XCUJXH5C" localSheetId="8" hidden="1">#REF!</definedName>
    <definedName name="BExW3UOY6B5HLIX3ZQA7XCUJXH5C" localSheetId="0" hidden="1">#REF!</definedName>
    <definedName name="BExW3UOY6B5HLIX3ZQA7XCUJXH5C" localSheetId="22" hidden="1">#REF!</definedName>
    <definedName name="BExW3UOY6B5HLIX3ZQA7XCUJXH5C" hidden="1">#REF!</definedName>
    <definedName name="BExW41KYIB2WOTTMD9F9EOGLHMD7" localSheetId="7" hidden="1">#REF!</definedName>
    <definedName name="BExW41KYIB2WOTTMD9F9EOGLHMD7" localSheetId="8" hidden="1">#REF!</definedName>
    <definedName name="BExW41KYIB2WOTTMD9F9EOGLHMD7" localSheetId="0" hidden="1">#REF!</definedName>
    <definedName name="BExW41KYIB2WOTTMD9F9EOGLHMD7" localSheetId="22" hidden="1">#REF!</definedName>
    <definedName name="BExW41KYIB2WOTTMD9F9EOGLHMD7" hidden="1">#REF!</definedName>
    <definedName name="BExW4KBF29M6JY92B11K9KCU8CO2" localSheetId="7" hidden="1">[1]ZQZBC_REG_02_04!#REF!</definedName>
    <definedName name="BExW4KBF29M6JY92B11K9KCU8CO2" localSheetId="8" hidden="1">[1]ZQZBC_REG_02_04!#REF!</definedName>
    <definedName name="BExW4KBF29M6JY92B11K9KCU8CO2" localSheetId="0" hidden="1">[1]ZQZBC_REG_02_04!#REF!</definedName>
    <definedName name="BExW4KBF29M6JY92B11K9KCU8CO2" localSheetId="22" hidden="1">[1]ZQZBC_REG_02_04!#REF!</definedName>
    <definedName name="BExW4KBF29M6JY92B11K9KCU8CO2" hidden="1">[1]ZQZBC_REG_02_04!#REF!</definedName>
    <definedName name="BExW57JIO8884CL27SQT74Y13N25" localSheetId="7" hidden="1">#REF!</definedName>
    <definedName name="BExW57JIO8884CL27SQT74Y13N25" localSheetId="8" hidden="1">#REF!</definedName>
    <definedName name="BExW57JIO8884CL27SQT74Y13N25" localSheetId="0" hidden="1">#REF!</definedName>
    <definedName name="BExW57JIO8884CL27SQT74Y13N25" localSheetId="22" hidden="1">#REF!</definedName>
    <definedName name="BExW57JIO8884CL27SQT74Y13N25" hidden="1">#REF!</definedName>
    <definedName name="BExW5MZ9LCOOHDPGAP9C9PAFTZL4" localSheetId="7" hidden="1">#REF!</definedName>
    <definedName name="BExW5MZ9LCOOHDPGAP9C9PAFTZL4" localSheetId="8" hidden="1">#REF!</definedName>
    <definedName name="BExW5MZ9LCOOHDPGAP9C9PAFTZL4" localSheetId="0" hidden="1">#REF!</definedName>
    <definedName name="BExW5MZ9LCOOHDPGAP9C9PAFTZL4" localSheetId="22" hidden="1">#REF!</definedName>
    <definedName name="BExW5MZ9LCOOHDPGAP9C9PAFTZL4" hidden="1">#REF!</definedName>
    <definedName name="BExW6FASV71T0DNKYK0G5NHVW7DH" localSheetId="7" hidden="1">#REF!</definedName>
    <definedName name="BExW6FASV71T0DNKYK0G5NHVW7DH" localSheetId="8" hidden="1">#REF!</definedName>
    <definedName name="BExW6FASV71T0DNKYK0G5NHVW7DH" localSheetId="0" hidden="1">#REF!</definedName>
    <definedName name="BExW6FASV71T0DNKYK0G5NHVW7DH" localSheetId="22" hidden="1">#REF!</definedName>
    <definedName name="BExW6FASV71T0DNKYK0G5NHVW7DH" hidden="1">#REF!</definedName>
    <definedName name="BExW6JN5IU0E7FU9O1KD1O9U6HO3" localSheetId="7" hidden="1">#REF!</definedName>
    <definedName name="BExW6JN5IU0E7FU9O1KD1O9U6HO3" localSheetId="8" hidden="1">#REF!</definedName>
    <definedName name="BExW6JN5IU0E7FU9O1KD1O9U6HO3" localSheetId="0" hidden="1">#REF!</definedName>
    <definedName name="BExW6JN5IU0E7FU9O1KD1O9U6HO3" localSheetId="22" hidden="1">#REF!</definedName>
    <definedName name="BExW6JN5IU0E7FU9O1KD1O9U6HO3" hidden="1">#REF!</definedName>
    <definedName name="BExW6P1D4DP1W0DR7LN7CYMEE0L3" localSheetId="7" hidden="1">#REF!</definedName>
    <definedName name="BExW6P1D4DP1W0DR7LN7CYMEE0L3" localSheetId="8" hidden="1">#REF!</definedName>
    <definedName name="BExW6P1D4DP1W0DR7LN7CYMEE0L3" localSheetId="0" hidden="1">#REF!</definedName>
    <definedName name="BExW6P1D4DP1W0DR7LN7CYMEE0L3" localSheetId="22" hidden="1">#REF!</definedName>
    <definedName name="BExW6P1D4DP1W0DR7LN7CYMEE0L3" hidden="1">#REF!</definedName>
    <definedName name="BExW6Q8IQOH4HISK9RWBFV69T8CM" localSheetId="7" hidden="1">#REF!</definedName>
    <definedName name="BExW6Q8IQOH4HISK9RWBFV69T8CM" localSheetId="8" hidden="1">#REF!</definedName>
    <definedName name="BExW6Q8IQOH4HISK9RWBFV69T8CM" localSheetId="0" hidden="1">#REF!</definedName>
    <definedName name="BExW6Q8IQOH4HISK9RWBFV69T8CM" localSheetId="22" hidden="1">#REF!</definedName>
    <definedName name="BExW6Q8IQOH4HISK9RWBFV69T8CM" hidden="1">#REF!</definedName>
    <definedName name="BExW740UQ31HQ06SPMCQUZNBOT6R" localSheetId="7" hidden="1">#REF!</definedName>
    <definedName name="BExW740UQ31HQ06SPMCQUZNBOT6R" localSheetId="8" hidden="1">#REF!</definedName>
    <definedName name="BExW740UQ31HQ06SPMCQUZNBOT6R" localSheetId="0" hidden="1">#REF!</definedName>
    <definedName name="BExW740UQ31HQ06SPMCQUZNBOT6R" localSheetId="22" hidden="1">#REF!</definedName>
    <definedName name="BExW740UQ31HQ06SPMCQUZNBOT6R" hidden="1">#REF!</definedName>
    <definedName name="BExW740UYMAD6KONPKO9C54TNQ48" localSheetId="7" hidden="1">#REF!</definedName>
    <definedName name="BExW740UYMAD6KONPKO9C54TNQ48" localSheetId="8" hidden="1">#REF!</definedName>
    <definedName name="BExW740UYMAD6KONPKO9C54TNQ48" localSheetId="0" hidden="1">#REF!</definedName>
    <definedName name="BExW740UYMAD6KONPKO9C54TNQ48" localSheetId="22" hidden="1">#REF!</definedName>
    <definedName name="BExW740UYMAD6KONPKO9C54TNQ48" hidden="1">#REF!</definedName>
    <definedName name="BExW77X54W95TY08XO8JZN3N4TA9" localSheetId="7" hidden="1">#REF!</definedName>
    <definedName name="BExW77X54W95TY08XO8JZN3N4TA9" localSheetId="8" hidden="1">#REF!</definedName>
    <definedName name="BExW77X54W95TY08XO8JZN3N4TA9" localSheetId="0" hidden="1">#REF!</definedName>
    <definedName name="BExW77X54W95TY08XO8JZN3N4TA9" localSheetId="22" hidden="1">#REF!</definedName>
    <definedName name="BExW77X54W95TY08XO8JZN3N4TA9" hidden="1">#REF!</definedName>
    <definedName name="BExW7GRBCUY0T3PHXMG3WZWM6AH7" localSheetId="7" hidden="1">#REF!</definedName>
    <definedName name="BExW7GRBCUY0T3PHXMG3WZWM6AH7" localSheetId="8" hidden="1">#REF!</definedName>
    <definedName name="BExW7GRBCUY0T3PHXMG3WZWM6AH7" localSheetId="0" hidden="1">#REF!</definedName>
    <definedName name="BExW7GRBCUY0T3PHXMG3WZWM6AH7" localSheetId="22" hidden="1">#REF!</definedName>
    <definedName name="BExW7GRBCUY0T3PHXMG3WZWM6AH7" hidden="1">#REF!</definedName>
    <definedName name="BExW7XE8YORV5U9YS6JJHXEK4EZL" localSheetId="7" hidden="1">[2]ZQBC_REG_02_08!#REF!</definedName>
    <definedName name="BExW7XE8YORV5U9YS6JJHXEK4EZL" localSheetId="8" hidden="1">[2]ZQBC_REG_02_08!#REF!</definedName>
    <definedName name="BExW7XE8YORV5U9YS6JJHXEK4EZL" localSheetId="0" hidden="1">[2]ZQBC_REG_02_08!#REF!</definedName>
    <definedName name="BExW7XE8YORV5U9YS6JJHXEK4EZL" localSheetId="22" hidden="1">[2]ZQBC_REG_02_08!#REF!</definedName>
    <definedName name="BExW7XE8YORV5U9YS6JJHXEK4EZL" hidden="1">[2]ZQBC_REG_02_08!#REF!</definedName>
    <definedName name="BExW88MRQ6VUAG6DEV397EKIEE32" localSheetId="7" hidden="1">#REF!</definedName>
    <definedName name="BExW88MRQ6VUAG6DEV397EKIEE32" localSheetId="8" hidden="1">#REF!</definedName>
    <definedName name="BExW88MRQ6VUAG6DEV397EKIEE32" localSheetId="0" hidden="1">#REF!</definedName>
    <definedName name="BExW88MRQ6VUAG6DEV397EKIEE32" localSheetId="22" hidden="1">#REF!</definedName>
    <definedName name="BExW88MRQ6VUAG6DEV397EKIEE32" hidden="1">#REF!</definedName>
    <definedName name="BExW8GVL3HURR4SS12WMB679RPRM" localSheetId="7" hidden="1">#REF!</definedName>
    <definedName name="BExW8GVL3HURR4SS12WMB679RPRM" localSheetId="8" hidden="1">#REF!</definedName>
    <definedName name="BExW8GVL3HURR4SS12WMB679RPRM" localSheetId="0" hidden="1">#REF!</definedName>
    <definedName name="BExW8GVL3HURR4SS12WMB679RPRM" localSheetId="22" hidden="1">#REF!</definedName>
    <definedName name="BExW8GVL3HURR4SS12WMB679RPRM" hidden="1">#REF!</definedName>
    <definedName name="BExW8ITMTUFLK5DWROBG0P9LG3TV" localSheetId="7" hidden="1">[1]ZQZBC_REG_02_04!#REF!</definedName>
    <definedName name="BExW8ITMTUFLK5DWROBG0P9LG3TV" localSheetId="8" hidden="1">[1]ZQZBC_REG_02_04!#REF!</definedName>
    <definedName name="BExW8ITMTUFLK5DWROBG0P9LG3TV" localSheetId="0" hidden="1">[1]ZQZBC_REG_02_04!#REF!</definedName>
    <definedName name="BExW8ITMTUFLK5DWROBG0P9LG3TV" localSheetId="22" hidden="1">[1]ZQZBC_REG_02_04!#REF!</definedName>
    <definedName name="BExW8ITMTUFLK5DWROBG0P9LG3TV" hidden="1">[1]ZQZBC_REG_02_04!#REF!</definedName>
    <definedName name="BExW8UIEAD3OPYNL5TQ13L7L8RVI" localSheetId="7" hidden="1">#REF!</definedName>
    <definedName name="BExW8UIEAD3OPYNL5TQ13L7L8RVI" localSheetId="8" hidden="1">#REF!</definedName>
    <definedName name="BExW8UIEAD3OPYNL5TQ13L7L8RVI" localSheetId="0" hidden="1">#REF!</definedName>
    <definedName name="BExW8UIEAD3OPYNL5TQ13L7L8RVI" localSheetId="22" hidden="1">#REF!</definedName>
    <definedName name="BExW8UIEAD3OPYNL5TQ13L7L8RVI" hidden="1">#REF!</definedName>
    <definedName name="BExXMHURO2ILR6OSP9X9MTDZEJG3" localSheetId="7" hidden="1">#REF!</definedName>
    <definedName name="BExXMHURO2ILR6OSP9X9MTDZEJG3" localSheetId="8" hidden="1">#REF!</definedName>
    <definedName name="BExXMHURO2ILR6OSP9X9MTDZEJG3" localSheetId="0" hidden="1">#REF!</definedName>
    <definedName name="BExXMHURO2ILR6OSP9X9MTDZEJG3" localSheetId="22" hidden="1">#REF!</definedName>
    <definedName name="BExXMHURO2ILR6OSP9X9MTDZEJG3" hidden="1">#REF!</definedName>
    <definedName name="BExXNX3RNEHCVOXBIB3RTFMFVB07" localSheetId="7" hidden="1">#REF!</definedName>
    <definedName name="BExXNX3RNEHCVOXBIB3RTFMFVB07" localSheetId="8" hidden="1">#REF!</definedName>
    <definedName name="BExXNX3RNEHCVOXBIB3RTFMFVB07" localSheetId="0" hidden="1">#REF!</definedName>
    <definedName name="BExXNX3RNEHCVOXBIB3RTFMFVB07" localSheetId="22" hidden="1">#REF!</definedName>
    <definedName name="BExXNX3RNEHCVOXBIB3RTFMFVB07" hidden="1">#REF!</definedName>
    <definedName name="BExXO6ZV426OCKR42CHDTUQD9W9Z" localSheetId="7" hidden="1">#REF!</definedName>
    <definedName name="BExXO6ZV426OCKR42CHDTUQD9W9Z" localSheetId="8" hidden="1">#REF!</definedName>
    <definedName name="BExXO6ZV426OCKR42CHDTUQD9W9Z" localSheetId="0" hidden="1">#REF!</definedName>
    <definedName name="BExXO6ZV426OCKR42CHDTUQD9W9Z" localSheetId="22" hidden="1">#REF!</definedName>
    <definedName name="BExXO6ZV426OCKR42CHDTUQD9W9Z" hidden="1">#REF!</definedName>
    <definedName name="BExXO7W9I31XCAGOMJ78WY3VKB2L" localSheetId="7" hidden="1">#REF!</definedName>
    <definedName name="BExXO7W9I31XCAGOMJ78WY3VKB2L" localSheetId="8" hidden="1">#REF!</definedName>
    <definedName name="BExXO7W9I31XCAGOMJ78WY3VKB2L" localSheetId="0" hidden="1">#REF!</definedName>
    <definedName name="BExXO7W9I31XCAGOMJ78WY3VKB2L" localSheetId="22" hidden="1">#REF!</definedName>
    <definedName name="BExXO7W9I31XCAGOMJ78WY3VKB2L" hidden="1">#REF!</definedName>
    <definedName name="BExXP2RFS6C1LR8CSMJR5FA8OEQE" localSheetId="7" hidden="1">#REF!</definedName>
    <definedName name="BExXP2RFS6C1LR8CSMJR5FA8OEQE" localSheetId="8" hidden="1">#REF!</definedName>
    <definedName name="BExXP2RFS6C1LR8CSMJR5FA8OEQE" localSheetId="0" hidden="1">#REF!</definedName>
    <definedName name="BExXP2RFS6C1LR8CSMJR5FA8OEQE" localSheetId="22" hidden="1">#REF!</definedName>
    <definedName name="BExXP2RFS6C1LR8CSMJR5FA8OEQE" hidden="1">#REF!</definedName>
    <definedName name="BExXPOXTFPTAWFK8EFSP00W822DQ" localSheetId="7" hidden="1">[1]ZQZBC_REG_02_04!#REF!</definedName>
    <definedName name="BExXPOXTFPTAWFK8EFSP00W822DQ" localSheetId="8" hidden="1">[1]ZQZBC_REG_02_04!#REF!</definedName>
    <definedName name="BExXPOXTFPTAWFK8EFSP00W822DQ" localSheetId="0" hidden="1">[1]ZQZBC_REG_02_04!#REF!</definedName>
    <definedName name="BExXPOXTFPTAWFK8EFSP00W822DQ" localSheetId="22" hidden="1">[1]ZQZBC_REG_02_04!#REF!</definedName>
    <definedName name="BExXPOXTFPTAWFK8EFSP00W822DQ" hidden="1">[1]ZQZBC_REG_02_04!#REF!</definedName>
    <definedName name="BExXQ5F8YTQW5GOJP6F3XFW0OBMF" localSheetId="7" hidden="1">#REF!</definedName>
    <definedName name="BExXQ5F8YTQW5GOJP6F3XFW0OBMF" localSheetId="8" hidden="1">#REF!</definedName>
    <definedName name="BExXQ5F8YTQW5GOJP6F3XFW0OBMF" localSheetId="0" hidden="1">#REF!</definedName>
    <definedName name="BExXQ5F8YTQW5GOJP6F3XFW0OBMF" localSheetId="22" hidden="1">#REF!</definedName>
    <definedName name="BExXQ5F8YTQW5GOJP6F3XFW0OBMF" hidden="1">#REF!</definedName>
    <definedName name="BExXQCX0G7S1FW7ZX2MNR3MVAI2F" localSheetId="7" hidden="1">#REF!</definedName>
    <definedName name="BExXQCX0G7S1FW7ZX2MNR3MVAI2F" localSheetId="8" hidden="1">#REF!</definedName>
    <definedName name="BExXQCX0G7S1FW7ZX2MNR3MVAI2F" localSheetId="0" hidden="1">#REF!</definedName>
    <definedName name="BExXQCX0G7S1FW7ZX2MNR3MVAI2F" localSheetId="22" hidden="1">#REF!</definedName>
    <definedName name="BExXQCX0G7S1FW7ZX2MNR3MVAI2F" hidden="1">#REF!</definedName>
    <definedName name="BExXQFGMVC9864UJPBB2A1BGEIGO" localSheetId="7" hidden="1">#REF!</definedName>
    <definedName name="BExXQFGMVC9864UJPBB2A1BGEIGO" localSheetId="8" hidden="1">#REF!</definedName>
    <definedName name="BExXQFGMVC9864UJPBB2A1BGEIGO" localSheetId="0" hidden="1">#REF!</definedName>
    <definedName name="BExXQFGMVC9864UJPBB2A1BGEIGO" localSheetId="22" hidden="1">#REF!</definedName>
    <definedName name="BExXQFGMVC9864UJPBB2A1BGEIGO" hidden="1">#REF!</definedName>
    <definedName name="BExXQM20HWQITNHWW0C6AX3Q79B1" localSheetId="7" hidden="1">[1]ZQZBC_REG_02_04!#REF!</definedName>
    <definedName name="BExXQM20HWQITNHWW0C6AX3Q79B1" localSheetId="8" hidden="1">[1]ZQZBC_REG_02_04!#REF!</definedName>
    <definedName name="BExXQM20HWQITNHWW0C6AX3Q79B1" localSheetId="0" hidden="1">[1]ZQZBC_REG_02_04!#REF!</definedName>
    <definedName name="BExXQM20HWQITNHWW0C6AX3Q79B1" localSheetId="22" hidden="1">[1]ZQZBC_REG_02_04!#REF!</definedName>
    <definedName name="BExXQM20HWQITNHWW0C6AX3Q79B1" hidden="1">[1]ZQZBC_REG_02_04!#REF!</definedName>
    <definedName name="BExXQP7DGNTGAGZ1W78G87GKRPZ1" localSheetId="7" hidden="1">#REF!</definedName>
    <definedName name="BExXQP7DGNTGAGZ1W78G87GKRPZ1" localSheetId="8" hidden="1">#REF!</definedName>
    <definedName name="BExXQP7DGNTGAGZ1W78G87GKRPZ1" localSheetId="0" hidden="1">#REF!</definedName>
    <definedName name="BExXQP7DGNTGAGZ1W78G87GKRPZ1" localSheetId="22" hidden="1">#REF!</definedName>
    <definedName name="BExXQP7DGNTGAGZ1W78G87GKRPZ1" hidden="1">#REF!</definedName>
    <definedName name="BExXQXLI8TDGP7JJ9TJL46VQN221" localSheetId="7" hidden="1">#REF!</definedName>
    <definedName name="BExXQXLI8TDGP7JJ9TJL46VQN221" localSheetId="8" hidden="1">#REF!</definedName>
    <definedName name="BExXQXLI8TDGP7JJ9TJL46VQN221" localSheetId="0" hidden="1">#REF!</definedName>
    <definedName name="BExXQXLI8TDGP7JJ9TJL46VQN221" localSheetId="22" hidden="1">#REF!</definedName>
    <definedName name="BExXQXLI8TDGP7JJ9TJL46VQN221" hidden="1">#REF!</definedName>
    <definedName name="BExXRI4HWZLNIQL25XMAR3DJRSOR" localSheetId="7" hidden="1">#REF!</definedName>
    <definedName name="BExXRI4HWZLNIQL25XMAR3DJRSOR" localSheetId="8" hidden="1">#REF!</definedName>
    <definedName name="BExXRI4HWZLNIQL25XMAR3DJRSOR" localSheetId="0" hidden="1">#REF!</definedName>
    <definedName name="BExXRI4HWZLNIQL25XMAR3DJRSOR" localSheetId="22" hidden="1">#REF!</definedName>
    <definedName name="BExXRI4HWZLNIQL25XMAR3DJRSOR" hidden="1">#REF!</definedName>
    <definedName name="BExXS3JVBAGUVBOWZPVFU7H7AWWO" localSheetId="7" hidden="1">#REF!</definedName>
    <definedName name="BExXS3JVBAGUVBOWZPVFU7H7AWWO" localSheetId="8" hidden="1">#REF!</definedName>
    <definedName name="BExXS3JVBAGUVBOWZPVFU7H7AWWO" localSheetId="0" hidden="1">#REF!</definedName>
    <definedName name="BExXS3JVBAGUVBOWZPVFU7H7AWWO" localSheetId="22" hidden="1">#REF!</definedName>
    <definedName name="BExXS3JVBAGUVBOWZPVFU7H7AWWO" hidden="1">#REF!</definedName>
    <definedName name="BExXSQHDKGWLFF25Z3NA6QOPT6T8" localSheetId="7" hidden="1">#REF!</definedName>
    <definedName name="BExXSQHDKGWLFF25Z3NA6QOPT6T8" localSheetId="8" hidden="1">#REF!</definedName>
    <definedName name="BExXSQHDKGWLFF25Z3NA6QOPT6T8" localSheetId="0" hidden="1">#REF!</definedName>
    <definedName name="BExXSQHDKGWLFF25Z3NA6QOPT6T8" localSheetId="22" hidden="1">#REF!</definedName>
    <definedName name="BExXSQHDKGWLFF25Z3NA6QOPT6T8" hidden="1">#REF!</definedName>
    <definedName name="BExXTBLZBZJ451GEI9DGIDFGFH1F" localSheetId="7" hidden="1">#REF!</definedName>
    <definedName name="BExXTBLZBZJ451GEI9DGIDFGFH1F" localSheetId="8" hidden="1">#REF!</definedName>
    <definedName name="BExXTBLZBZJ451GEI9DGIDFGFH1F" localSheetId="0" hidden="1">#REF!</definedName>
    <definedName name="BExXTBLZBZJ451GEI9DGIDFGFH1F" localSheetId="22" hidden="1">#REF!</definedName>
    <definedName name="BExXTBLZBZJ451GEI9DGIDFGFH1F" hidden="1">#REF!</definedName>
    <definedName name="BExXTHGB6H9QEFOTMTUYBR92U97B" localSheetId="7" hidden="1">#REF!</definedName>
    <definedName name="BExXTHGB6H9QEFOTMTUYBR92U97B" localSheetId="8" hidden="1">#REF!</definedName>
    <definedName name="BExXTHGB6H9QEFOTMTUYBR92U97B" localSheetId="0" hidden="1">#REF!</definedName>
    <definedName name="BExXTHGB6H9QEFOTMTUYBR92U97B" localSheetId="22" hidden="1">#REF!</definedName>
    <definedName name="BExXTHGB6H9QEFOTMTUYBR92U97B" hidden="1">#REF!</definedName>
    <definedName name="BExXTN5AQJNBGKA3WQUIU6YUEPV4" localSheetId="7" hidden="1">#REF!</definedName>
    <definedName name="BExXTN5AQJNBGKA3WQUIU6YUEPV4" localSheetId="8" hidden="1">#REF!</definedName>
    <definedName name="BExXTN5AQJNBGKA3WQUIU6YUEPV4" localSheetId="0" hidden="1">#REF!</definedName>
    <definedName name="BExXTN5AQJNBGKA3WQUIU6YUEPV4" localSheetId="22" hidden="1">#REF!</definedName>
    <definedName name="BExXTN5AQJNBGKA3WQUIU6YUEPV4" hidden="1">#REF!</definedName>
    <definedName name="BExXTOSJ6KXI5G39YESWA22BMQ4W" localSheetId="7" hidden="1">#REF!</definedName>
    <definedName name="BExXTOSJ6KXI5G39YESWA22BMQ4W" localSheetId="8" hidden="1">#REF!</definedName>
    <definedName name="BExXTOSJ6KXI5G39YESWA22BMQ4W" localSheetId="0" hidden="1">#REF!</definedName>
    <definedName name="BExXTOSJ6KXI5G39YESWA22BMQ4W" localSheetId="22" hidden="1">#REF!</definedName>
    <definedName name="BExXTOSJ6KXI5G39YESWA22BMQ4W" hidden="1">#REF!</definedName>
    <definedName name="BExXUA2QVJV1BS8TR8O9H0FYUKAG" localSheetId="7" hidden="1">[1]ZQZBC_REG_02_04!#REF!</definedName>
    <definedName name="BExXUA2QVJV1BS8TR8O9H0FYUKAG" localSheetId="8" hidden="1">[1]ZQZBC_REG_02_04!#REF!</definedName>
    <definedName name="BExXUA2QVJV1BS8TR8O9H0FYUKAG" localSheetId="0" hidden="1">[1]ZQZBC_REG_02_04!#REF!</definedName>
    <definedName name="BExXUA2QVJV1BS8TR8O9H0FYUKAG" localSheetId="22" hidden="1">[1]ZQZBC_REG_02_04!#REF!</definedName>
    <definedName name="BExXUA2QVJV1BS8TR8O9H0FYUKAG" hidden="1">[1]ZQZBC_REG_02_04!#REF!</definedName>
    <definedName name="BExXUR0B78KK4A9EKD6J2EGZSLV5" localSheetId="7" hidden="1">#REF!</definedName>
    <definedName name="BExXUR0B78KK4A9EKD6J2EGZSLV5" localSheetId="8" hidden="1">#REF!</definedName>
    <definedName name="BExXUR0B78KK4A9EKD6J2EGZSLV5" localSheetId="0" hidden="1">#REF!</definedName>
    <definedName name="BExXUR0B78KK4A9EKD6J2EGZSLV5" localSheetId="22" hidden="1">#REF!</definedName>
    <definedName name="BExXUR0B78KK4A9EKD6J2EGZSLV5" hidden="1">#REF!</definedName>
    <definedName name="BExXUZ3ND6SVO9FWDL13LS4W6287" localSheetId="7" hidden="1">#REF!</definedName>
    <definedName name="BExXUZ3ND6SVO9FWDL13LS4W6287" localSheetId="8" hidden="1">#REF!</definedName>
    <definedName name="BExXUZ3ND6SVO9FWDL13LS4W6287" localSheetId="0" hidden="1">#REF!</definedName>
    <definedName name="BExXUZ3ND6SVO9FWDL13LS4W6287" localSheetId="22" hidden="1">#REF!</definedName>
    <definedName name="BExXUZ3ND6SVO9FWDL13LS4W6287" hidden="1">#REF!</definedName>
    <definedName name="BExXV470YTFYBDWFEO0LDZXZ1ZG7" localSheetId="7" hidden="1">#REF!</definedName>
    <definedName name="BExXV470YTFYBDWFEO0LDZXZ1ZG7" localSheetId="8" hidden="1">#REF!</definedName>
    <definedName name="BExXV470YTFYBDWFEO0LDZXZ1ZG7" localSheetId="0" hidden="1">#REF!</definedName>
    <definedName name="BExXV470YTFYBDWFEO0LDZXZ1ZG7" localSheetId="22" hidden="1">#REF!</definedName>
    <definedName name="BExXV470YTFYBDWFEO0LDZXZ1ZG7" hidden="1">#REF!</definedName>
    <definedName name="BExXV5P0F25GGHB05VV24CHATLO1" localSheetId="7" hidden="1">#REF!</definedName>
    <definedName name="BExXV5P0F25GGHB05VV24CHATLO1" localSheetId="8" hidden="1">#REF!</definedName>
    <definedName name="BExXV5P0F25GGHB05VV24CHATLO1" localSheetId="0" hidden="1">#REF!</definedName>
    <definedName name="BExXV5P0F25GGHB05VV24CHATLO1" localSheetId="22" hidden="1">#REF!</definedName>
    <definedName name="BExXV5P0F25GGHB05VV24CHATLO1" hidden="1">#REF!</definedName>
    <definedName name="BExXV7SHVF7F5YGRM61UFB1H5XZ2" localSheetId="7" hidden="1">#REF!</definedName>
    <definedName name="BExXV7SHVF7F5YGRM61UFB1H5XZ2" localSheetId="8" hidden="1">#REF!</definedName>
    <definedName name="BExXV7SHVF7F5YGRM61UFB1H5XZ2" localSheetId="0" hidden="1">#REF!</definedName>
    <definedName name="BExXV7SHVF7F5YGRM61UFB1H5XZ2" localSheetId="22" hidden="1">#REF!</definedName>
    <definedName name="BExXV7SHVF7F5YGRM61UFB1H5XZ2" hidden="1">#REF!</definedName>
    <definedName name="BExXVIVRDQP1TVL82ARPY8NU7L4D" localSheetId="7" hidden="1">#REF!</definedName>
    <definedName name="BExXVIVRDQP1TVL82ARPY8NU7L4D" localSheetId="8" hidden="1">#REF!</definedName>
    <definedName name="BExXVIVRDQP1TVL82ARPY8NU7L4D" localSheetId="0" hidden="1">#REF!</definedName>
    <definedName name="BExXVIVRDQP1TVL82ARPY8NU7L4D" localSheetId="22" hidden="1">#REF!</definedName>
    <definedName name="BExXVIVRDQP1TVL82ARPY8NU7L4D" hidden="1">#REF!</definedName>
    <definedName name="BExXWZH2WDU5PY25RYVE874AVWH4" localSheetId="7" hidden="1">#REF!</definedName>
    <definedName name="BExXWZH2WDU5PY25RYVE874AVWH4" localSheetId="8" hidden="1">#REF!</definedName>
    <definedName name="BExXWZH2WDU5PY25RYVE874AVWH4" localSheetId="0" hidden="1">#REF!</definedName>
    <definedName name="BExXWZH2WDU5PY25RYVE874AVWH4" localSheetId="22" hidden="1">#REF!</definedName>
    <definedName name="BExXWZH2WDU5PY25RYVE874AVWH4" hidden="1">#REF!</definedName>
    <definedName name="BExXX67XRSSJPVXF6MQ2SFIGN4Y7" localSheetId="7" hidden="1">#REF!</definedName>
    <definedName name="BExXX67XRSSJPVXF6MQ2SFIGN4Y7" localSheetId="8" hidden="1">#REF!</definedName>
    <definedName name="BExXX67XRSSJPVXF6MQ2SFIGN4Y7" localSheetId="0" hidden="1">#REF!</definedName>
    <definedName name="BExXX67XRSSJPVXF6MQ2SFIGN4Y7" localSheetId="22" hidden="1">#REF!</definedName>
    <definedName name="BExXX67XRSSJPVXF6MQ2SFIGN4Y7" hidden="1">#REF!</definedName>
    <definedName name="BExXXG3ZOCBXIAAIZVCSP0WU65PV" localSheetId="7" hidden="1">#REF!</definedName>
    <definedName name="BExXXG3ZOCBXIAAIZVCSP0WU65PV" localSheetId="8" hidden="1">#REF!</definedName>
    <definedName name="BExXXG3ZOCBXIAAIZVCSP0WU65PV" localSheetId="0" hidden="1">#REF!</definedName>
    <definedName name="BExXXG3ZOCBXIAAIZVCSP0WU65PV" localSheetId="22" hidden="1">#REF!</definedName>
    <definedName name="BExXXG3ZOCBXIAAIZVCSP0WU65PV" hidden="1">#REF!</definedName>
    <definedName name="BExXXUSOSBP1GGPVPCZ549I5KQMK" localSheetId="7" hidden="1">#REF!</definedName>
    <definedName name="BExXXUSOSBP1GGPVPCZ549I5KQMK" localSheetId="8" hidden="1">#REF!</definedName>
    <definedName name="BExXXUSOSBP1GGPVPCZ549I5KQMK" localSheetId="0" hidden="1">#REF!</definedName>
    <definedName name="BExXXUSOSBP1GGPVPCZ549I5KQMK" localSheetId="22" hidden="1">#REF!</definedName>
    <definedName name="BExXXUSOSBP1GGPVPCZ549I5KQMK" hidden="1">#REF!</definedName>
    <definedName name="BExXXVP14IUC1X0L1S0YLAAXFEHY" localSheetId="7" hidden="1">#REF!</definedName>
    <definedName name="BExXXVP14IUC1X0L1S0YLAAXFEHY" localSheetId="8" hidden="1">#REF!</definedName>
    <definedName name="BExXXVP14IUC1X0L1S0YLAAXFEHY" localSheetId="0" hidden="1">#REF!</definedName>
    <definedName name="BExXXVP14IUC1X0L1S0YLAAXFEHY" localSheetId="22" hidden="1">#REF!</definedName>
    <definedName name="BExXXVP14IUC1X0L1S0YLAAXFEHY" hidden="1">#REF!</definedName>
    <definedName name="BExXXYZRK5WC7BAIE4RFYPCXN67Q" localSheetId="7" hidden="1">#REF!</definedName>
    <definedName name="BExXXYZRK5WC7BAIE4RFYPCXN67Q" localSheetId="8" hidden="1">#REF!</definedName>
    <definedName name="BExXXYZRK5WC7BAIE4RFYPCXN67Q" localSheetId="0" hidden="1">#REF!</definedName>
    <definedName name="BExXXYZRK5WC7BAIE4RFYPCXN67Q" localSheetId="22" hidden="1">#REF!</definedName>
    <definedName name="BExXXYZRK5WC7BAIE4RFYPCXN67Q" hidden="1">#REF!</definedName>
    <definedName name="BExXY7Z8O75WS2SJF492TX1L87F7" localSheetId="7" hidden="1">#REF!</definedName>
    <definedName name="BExXY7Z8O75WS2SJF492TX1L87F7" localSheetId="8" hidden="1">#REF!</definedName>
    <definedName name="BExXY7Z8O75WS2SJF492TX1L87F7" localSheetId="0" hidden="1">#REF!</definedName>
    <definedName name="BExXY7Z8O75WS2SJF492TX1L87F7" localSheetId="22" hidden="1">#REF!</definedName>
    <definedName name="BExXY7Z8O75WS2SJF492TX1L87F7" hidden="1">#REF!</definedName>
    <definedName name="BExXY913GRTBM5NJHI491SHLI4LP" localSheetId="7" hidden="1">#REF!</definedName>
    <definedName name="BExXY913GRTBM5NJHI491SHLI4LP" localSheetId="8" hidden="1">#REF!</definedName>
    <definedName name="BExXY913GRTBM5NJHI491SHLI4LP" localSheetId="0" hidden="1">#REF!</definedName>
    <definedName name="BExXY913GRTBM5NJHI491SHLI4LP" localSheetId="22" hidden="1">#REF!</definedName>
    <definedName name="BExXY913GRTBM5NJHI491SHLI4LP" hidden="1">#REF!</definedName>
    <definedName name="BExXZLA8A1JP0TDUEFVWM18NM9FE" localSheetId="7" hidden="1">#REF!</definedName>
    <definedName name="BExXZLA8A1JP0TDUEFVWM18NM9FE" localSheetId="8" hidden="1">#REF!</definedName>
    <definedName name="BExXZLA8A1JP0TDUEFVWM18NM9FE" localSheetId="0" hidden="1">#REF!</definedName>
    <definedName name="BExXZLA8A1JP0TDUEFVWM18NM9FE" localSheetId="22" hidden="1">#REF!</definedName>
    <definedName name="BExXZLA8A1JP0TDUEFVWM18NM9FE" hidden="1">#REF!</definedName>
    <definedName name="BExXZNDLYG13GZI4BZC2R95WEK07" localSheetId="7" hidden="1">#REF!</definedName>
    <definedName name="BExXZNDLYG13GZI4BZC2R95WEK07" localSheetId="8" hidden="1">#REF!</definedName>
    <definedName name="BExXZNDLYG13GZI4BZC2R95WEK07" localSheetId="0" hidden="1">#REF!</definedName>
    <definedName name="BExXZNDLYG13GZI4BZC2R95WEK07" localSheetId="22" hidden="1">#REF!</definedName>
    <definedName name="BExXZNDLYG13GZI4BZC2R95WEK07" hidden="1">#REF!</definedName>
    <definedName name="BExXZRQ50KDKQHNGXAIRR8PF7G5Q" localSheetId="7" hidden="1">#REF!</definedName>
    <definedName name="BExXZRQ50KDKQHNGXAIRR8PF7G5Q" localSheetId="8" hidden="1">#REF!</definedName>
    <definedName name="BExXZRQ50KDKQHNGXAIRR8PF7G5Q" localSheetId="0" hidden="1">#REF!</definedName>
    <definedName name="BExXZRQ50KDKQHNGXAIRR8PF7G5Q" localSheetId="22" hidden="1">#REF!</definedName>
    <definedName name="BExXZRQ50KDKQHNGXAIRR8PF7G5Q" hidden="1">#REF!</definedName>
    <definedName name="BExY00PSY8DRXFYI2SAT9F1ZTQ6M" localSheetId="7" hidden="1">[1]ZQZBC_PLN_01_06_N!#REF!</definedName>
    <definedName name="BExY00PSY8DRXFYI2SAT9F1ZTQ6M" localSheetId="8" hidden="1">[1]ZQZBC_PLN_01_06_N!#REF!</definedName>
    <definedName name="BExY00PSY8DRXFYI2SAT9F1ZTQ6M" localSheetId="0" hidden="1">[1]ZQZBC_PLN_01_06_N!#REF!</definedName>
    <definedName name="BExY00PSY8DRXFYI2SAT9F1ZTQ6M" localSheetId="22" hidden="1">[1]ZQZBC_PLN_01_06_N!#REF!</definedName>
    <definedName name="BExY00PSY8DRXFYI2SAT9F1ZTQ6M" hidden="1">[1]ZQZBC_PLN_01_06_N!#REF!</definedName>
    <definedName name="BExY0ZS2FB9D4RDJMW9AWLJMT1RW" localSheetId="7" hidden="1">#REF!</definedName>
    <definedName name="BExY0ZS2FB9D4RDJMW9AWLJMT1RW" localSheetId="8" hidden="1">#REF!</definedName>
    <definedName name="BExY0ZS2FB9D4RDJMW9AWLJMT1RW" localSheetId="0" hidden="1">#REF!</definedName>
    <definedName name="BExY0ZS2FB9D4RDJMW9AWLJMT1RW" localSheetId="22" hidden="1">#REF!</definedName>
    <definedName name="BExY0ZS2FB9D4RDJMW9AWLJMT1RW" hidden="1">#REF!</definedName>
    <definedName name="BExY1GEZ4HW5ET0FN7DY4JCESJNX" localSheetId="7" hidden="1">#REF!</definedName>
    <definedName name="BExY1GEZ4HW5ET0FN7DY4JCESJNX" localSheetId="8" hidden="1">#REF!</definedName>
    <definedName name="BExY1GEZ4HW5ET0FN7DY4JCESJNX" localSheetId="0" hidden="1">#REF!</definedName>
    <definedName name="BExY1GEZ4HW5ET0FN7DY4JCESJNX" localSheetId="22" hidden="1">#REF!</definedName>
    <definedName name="BExY1GEZ4HW5ET0FN7DY4JCESJNX" hidden="1">#REF!</definedName>
    <definedName name="BExY1RNHM6LHL7J8E8CDTF6J5NDD" localSheetId="7" hidden="1">#REF!</definedName>
    <definedName name="BExY1RNHM6LHL7J8E8CDTF6J5NDD" localSheetId="8" hidden="1">#REF!</definedName>
    <definedName name="BExY1RNHM6LHL7J8E8CDTF6J5NDD" localSheetId="0" hidden="1">#REF!</definedName>
    <definedName name="BExY1RNHM6LHL7J8E8CDTF6J5NDD" localSheetId="22" hidden="1">#REF!</definedName>
    <definedName name="BExY1RNHM6LHL7J8E8CDTF6J5NDD" hidden="1">#REF!</definedName>
    <definedName name="BExY23CA7O2BMN61843Q4USANQIR" localSheetId="7" hidden="1">#REF!</definedName>
    <definedName name="BExY23CA7O2BMN61843Q4USANQIR" localSheetId="8" hidden="1">#REF!</definedName>
    <definedName name="BExY23CA7O2BMN61843Q4USANQIR" localSheetId="0" hidden="1">#REF!</definedName>
    <definedName name="BExY23CA7O2BMN61843Q4USANQIR" localSheetId="22" hidden="1">#REF!</definedName>
    <definedName name="BExY23CA7O2BMN61843Q4USANQIR" hidden="1">#REF!</definedName>
    <definedName name="BExY2N4EY1DZ4L35N43GM0IB2VPK" localSheetId="7" hidden="1">#REF!</definedName>
    <definedName name="BExY2N4EY1DZ4L35N43GM0IB2VPK" localSheetId="8" hidden="1">#REF!</definedName>
    <definedName name="BExY2N4EY1DZ4L35N43GM0IB2VPK" localSheetId="0" hidden="1">#REF!</definedName>
    <definedName name="BExY2N4EY1DZ4L35N43GM0IB2VPK" localSheetId="22" hidden="1">#REF!</definedName>
    <definedName name="BExY2N4EY1DZ4L35N43GM0IB2VPK" hidden="1">#REF!</definedName>
    <definedName name="BExY2OMC5785XT8GFXDXBQS0YOGD" localSheetId="7" hidden="1">#REF!</definedName>
    <definedName name="BExY2OMC5785XT8GFXDXBQS0YOGD" localSheetId="8" hidden="1">#REF!</definedName>
    <definedName name="BExY2OMC5785XT8GFXDXBQS0YOGD" localSheetId="0" hidden="1">#REF!</definedName>
    <definedName name="BExY2OMC5785XT8GFXDXBQS0YOGD" localSheetId="22" hidden="1">#REF!</definedName>
    <definedName name="BExY2OMC5785XT8GFXDXBQS0YOGD" hidden="1">#REF!</definedName>
    <definedName name="BExY3BJO8N8WXEB31VCMBAI1YD95" localSheetId="7" hidden="1">#REF!</definedName>
    <definedName name="BExY3BJO8N8WXEB31VCMBAI1YD95" localSheetId="8" hidden="1">#REF!</definedName>
    <definedName name="BExY3BJO8N8WXEB31VCMBAI1YD95" localSheetId="0" hidden="1">#REF!</definedName>
    <definedName name="BExY3BJO8N8WXEB31VCMBAI1YD95" localSheetId="22" hidden="1">#REF!</definedName>
    <definedName name="BExY3BJO8N8WXEB31VCMBAI1YD95" hidden="1">#REF!</definedName>
    <definedName name="BExY3G1IXQ2A7WU5QSSP7KNAP94X" localSheetId="7" hidden="1">#REF!</definedName>
    <definedName name="BExY3G1IXQ2A7WU5QSSP7KNAP94X" localSheetId="8" hidden="1">#REF!</definedName>
    <definedName name="BExY3G1IXQ2A7WU5QSSP7KNAP94X" localSheetId="0" hidden="1">#REF!</definedName>
    <definedName name="BExY3G1IXQ2A7WU5QSSP7KNAP94X" localSheetId="22" hidden="1">#REF!</definedName>
    <definedName name="BExY3G1IXQ2A7WU5QSSP7KNAP94X" hidden="1">#REF!</definedName>
    <definedName name="BExY3MMWXIQSTJWDYYFN0TA1A1SH" localSheetId="7" hidden="1">#REF!</definedName>
    <definedName name="BExY3MMWXIQSTJWDYYFN0TA1A1SH" localSheetId="8" hidden="1">#REF!</definedName>
    <definedName name="BExY3MMWXIQSTJWDYYFN0TA1A1SH" localSheetId="0" hidden="1">#REF!</definedName>
    <definedName name="BExY3MMWXIQSTJWDYYFN0TA1A1SH" localSheetId="22" hidden="1">#REF!</definedName>
    <definedName name="BExY3MMWXIQSTJWDYYFN0TA1A1SH" hidden="1">#REF!</definedName>
    <definedName name="BExY416B1L8FDXKAGLCEYRXIK5SW" localSheetId="7" hidden="1">[1]ZQBC_PLN_01_03_N!#REF!</definedName>
    <definedName name="BExY416B1L8FDXKAGLCEYRXIK5SW" localSheetId="8" hidden="1">[1]ZQBC_PLN_01_03_N!#REF!</definedName>
    <definedName name="BExY416B1L8FDXKAGLCEYRXIK5SW" localSheetId="0" hidden="1">[1]ZQBC_PLN_01_03_N!#REF!</definedName>
    <definedName name="BExY416B1L8FDXKAGLCEYRXIK5SW" localSheetId="22" hidden="1">[1]ZQBC_PLN_01_03_N!#REF!</definedName>
    <definedName name="BExY416B1L8FDXKAGLCEYRXIK5SW" hidden="1">[1]ZQBC_PLN_01_03_N!#REF!</definedName>
    <definedName name="BExY43KGAUR2GDS5F85N6UOFI09E" localSheetId="7" hidden="1">#REF!</definedName>
    <definedName name="BExY43KGAUR2GDS5F85N6UOFI09E" localSheetId="8" hidden="1">#REF!</definedName>
    <definedName name="BExY43KGAUR2GDS5F85N6UOFI09E" localSheetId="0" hidden="1">#REF!</definedName>
    <definedName name="BExY43KGAUR2GDS5F85N6UOFI09E" localSheetId="22" hidden="1">#REF!</definedName>
    <definedName name="BExY43KGAUR2GDS5F85N6UOFI09E" hidden="1">#REF!</definedName>
    <definedName name="BExY4O3M2EX5SHE17F52ORXF3UJH" localSheetId="7" hidden="1">#REF!</definedName>
    <definedName name="BExY4O3M2EX5SHE17F52ORXF3UJH" localSheetId="8" hidden="1">#REF!</definedName>
    <definedName name="BExY4O3M2EX5SHE17F52ORXF3UJH" localSheetId="0" hidden="1">#REF!</definedName>
    <definedName name="BExY4O3M2EX5SHE17F52ORXF3UJH" localSheetId="22" hidden="1">#REF!</definedName>
    <definedName name="BExY4O3M2EX5SHE17F52ORXF3UJH" hidden="1">#REF!</definedName>
    <definedName name="BExY68W65TVGJYVP88U94OZJXW92" localSheetId="7" hidden="1">#REF!</definedName>
    <definedName name="BExY68W65TVGJYVP88U94OZJXW92" localSheetId="8" hidden="1">#REF!</definedName>
    <definedName name="BExY68W65TVGJYVP88U94OZJXW92" localSheetId="0" hidden="1">#REF!</definedName>
    <definedName name="BExY68W65TVGJYVP88U94OZJXW92" localSheetId="22" hidden="1">#REF!</definedName>
    <definedName name="BExY68W65TVGJYVP88U94OZJXW92" hidden="1">#REF!</definedName>
    <definedName name="BExZJ2EUN2QYEYCC125J6Z9F8L6P" localSheetId="7" hidden="1">[1]ZQZBC_REG_02_04!#REF!</definedName>
    <definedName name="BExZJ2EUN2QYEYCC125J6Z9F8L6P" localSheetId="8" hidden="1">[1]ZQZBC_REG_02_04!#REF!</definedName>
    <definedName name="BExZJ2EUN2QYEYCC125J6Z9F8L6P" localSheetId="0" hidden="1">[1]ZQZBC_REG_02_04!#REF!</definedName>
    <definedName name="BExZJ2EUN2QYEYCC125J6Z9F8L6P" localSheetId="22" hidden="1">[1]ZQZBC_REG_02_04!#REF!</definedName>
    <definedName name="BExZJ2EUN2QYEYCC125J6Z9F8L6P" hidden="1">[1]ZQZBC_REG_02_04!#REF!</definedName>
    <definedName name="BExZJXA7HESTMV8NHLD1PG2022AV" localSheetId="7" hidden="1">#REF!</definedName>
    <definedName name="BExZJXA7HESTMV8NHLD1PG2022AV" localSheetId="8" hidden="1">#REF!</definedName>
    <definedName name="BExZJXA7HESTMV8NHLD1PG2022AV" localSheetId="0" hidden="1">#REF!</definedName>
    <definedName name="BExZJXA7HESTMV8NHLD1PG2022AV" localSheetId="22" hidden="1">#REF!</definedName>
    <definedName name="BExZJXA7HESTMV8NHLD1PG2022AV" hidden="1">#REF!</definedName>
    <definedName name="BExZJZOIC50UAUILX5MTYSP5X51G" localSheetId="7" hidden="1">#REF!</definedName>
    <definedName name="BExZJZOIC50UAUILX5MTYSP5X51G" localSheetId="8" hidden="1">#REF!</definedName>
    <definedName name="BExZJZOIC50UAUILX5MTYSP5X51G" localSheetId="0" hidden="1">#REF!</definedName>
    <definedName name="BExZJZOIC50UAUILX5MTYSP5X51G" localSheetId="22" hidden="1">#REF!</definedName>
    <definedName name="BExZJZOIC50UAUILX5MTYSP5X51G" hidden="1">#REF!</definedName>
    <definedName name="BExZK6Q6KN3OUGRVWL17NG66ND7M" localSheetId="7" hidden="1">#REF!</definedName>
    <definedName name="BExZK6Q6KN3OUGRVWL17NG66ND7M" localSheetId="8" hidden="1">#REF!</definedName>
    <definedName name="BExZK6Q6KN3OUGRVWL17NG66ND7M" localSheetId="0" hidden="1">#REF!</definedName>
    <definedName name="BExZK6Q6KN3OUGRVWL17NG66ND7M" localSheetId="22" hidden="1">#REF!</definedName>
    <definedName name="BExZK6Q6KN3OUGRVWL17NG66ND7M" hidden="1">#REF!</definedName>
    <definedName name="BExZKR3VJ576YAUQN076B93KO59K" localSheetId="7" hidden="1">#REF!</definedName>
    <definedName name="BExZKR3VJ576YAUQN076B93KO59K" localSheetId="8" hidden="1">#REF!</definedName>
    <definedName name="BExZKR3VJ576YAUQN076B93KO59K" localSheetId="0" hidden="1">#REF!</definedName>
    <definedName name="BExZKR3VJ576YAUQN076B93KO59K" localSheetId="22" hidden="1">#REF!</definedName>
    <definedName name="BExZKR3VJ576YAUQN076B93KO59K" hidden="1">#REF!</definedName>
    <definedName name="BExZKU92AO3Y1O0ER3PXE4B2I6RI" localSheetId="7" hidden="1">#REF!</definedName>
    <definedName name="BExZKU92AO3Y1O0ER3PXE4B2I6RI" localSheetId="8" hidden="1">#REF!</definedName>
    <definedName name="BExZKU92AO3Y1O0ER3PXE4B2I6RI" localSheetId="0" hidden="1">#REF!</definedName>
    <definedName name="BExZKU92AO3Y1O0ER3PXE4B2I6RI" localSheetId="22" hidden="1">#REF!</definedName>
    <definedName name="BExZKU92AO3Y1O0ER3PXE4B2I6RI" hidden="1">#REF!</definedName>
    <definedName name="BExZKUJTD6LL7UXH2TZWJEBIWBK9" localSheetId="7" hidden="1">#REF!</definedName>
    <definedName name="BExZKUJTD6LL7UXH2TZWJEBIWBK9" localSheetId="8" hidden="1">#REF!</definedName>
    <definedName name="BExZKUJTD6LL7UXH2TZWJEBIWBK9" localSheetId="0" hidden="1">#REF!</definedName>
    <definedName name="BExZKUJTD6LL7UXH2TZWJEBIWBK9" localSheetId="22" hidden="1">#REF!</definedName>
    <definedName name="BExZKUJTD6LL7UXH2TZWJEBIWBK9" hidden="1">#REF!</definedName>
    <definedName name="BExZL03JLI6XRU3AYCZZPTVNEWPC" localSheetId="7" hidden="1">#REF!</definedName>
    <definedName name="BExZL03JLI6XRU3AYCZZPTVNEWPC" localSheetId="8" hidden="1">#REF!</definedName>
    <definedName name="BExZL03JLI6XRU3AYCZZPTVNEWPC" localSheetId="0" hidden="1">#REF!</definedName>
    <definedName name="BExZL03JLI6XRU3AYCZZPTVNEWPC" localSheetId="22" hidden="1">#REF!</definedName>
    <definedName name="BExZL03JLI6XRU3AYCZZPTVNEWPC" hidden="1">#REF!</definedName>
    <definedName name="BExZL7QLCCLE49CWT22A2BWLIEVO" localSheetId="7" hidden="1">#REF!</definedName>
    <definedName name="BExZL7QLCCLE49CWT22A2BWLIEVO" localSheetId="8" hidden="1">#REF!</definedName>
    <definedName name="BExZL7QLCCLE49CWT22A2BWLIEVO" localSheetId="0" hidden="1">#REF!</definedName>
    <definedName name="BExZL7QLCCLE49CWT22A2BWLIEVO" localSheetId="22" hidden="1">#REF!</definedName>
    <definedName name="BExZL7QLCCLE49CWT22A2BWLIEVO" hidden="1">#REF!</definedName>
    <definedName name="BExZLPV9SS22Q89NOAAPH4KE2NCI" localSheetId="7" hidden="1">#REF!</definedName>
    <definedName name="BExZLPV9SS22Q89NOAAPH4KE2NCI" localSheetId="8" hidden="1">#REF!</definedName>
    <definedName name="BExZLPV9SS22Q89NOAAPH4KE2NCI" localSheetId="0" hidden="1">#REF!</definedName>
    <definedName name="BExZLPV9SS22Q89NOAAPH4KE2NCI" localSheetId="22" hidden="1">#REF!</definedName>
    <definedName name="BExZLPV9SS22Q89NOAAPH4KE2NCI" hidden="1">#REF!</definedName>
    <definedName name="BExZM4US2DP7QFX3MP7L50SP2XOL" localSheetId="7" hidden="1">#REF!</definedName>
    <definedName name="BExZM4US2DP7QFX3MP7L50SP2XOL" localSheetId="8" hidden="1">#REF!</definedName>
    <definedName name="BExZM4US2DP7QFX3MP7L50SP2XOL" localSheetId="0" hidden="1">#REF!</definedName>
    <definedName name="BExZM4US2DP7QFX3MP7L50SP2XOL" localSheetId="22" hidden="1">#REF!</definedName>
    <definedName name="BExZM4US2DP7QFX3MP7L50SP2XOL" hidden="1">#REF!</definedName>
    <definedName name="BExZM6NID0ZOO9RD3XD2AVUJ3D8K" localSheetId="7" hidden="1">[1]ZQBC_PLN_01_03_N!#REF!</definedName>
    <definedName name="BExZM6NID0ZOO9RD3XD2AVUJ3D8K" localSheetId="8" hidden="1">[1]ZQBC_PLN_01_03_N!#REF!</definedName>
    <definedName name="BExZM6NID0ZOO9RD3XD2AVUJ3D8K" localSheetId="0" hidden="1">[1]ZQBC_PLN_01_03_N!#REF!</definedName>
    <definedName name="BExZM6NID0ZOO9RD3XD2AVUJ3D8K" localSheetId="22" hidden="1">[1]ZQBC_PLN_01_03_N!#REF!</definedName>
    <definedName name="BExZM6NID0ZOO9RD3XD2AVUJ3D8K" hidden="1">[1]ZQBC_PLN_01_03_N!#REF!</definedName>
    <definedName name="BExZMEAPZ5GUS5SOFH5GOMBD0KGO" localSheetId="7" hidden="1">#REF!</definedName>
    <definedName name="BExZMEAPZ5GUS5SOFH5GOMBD0KGO" localSheetId="8" hidden="1">#REF!</definedName>
    <definedName name="BExZMEAPZ5GUS5SOFH5GOMBD0KGO" localSheetId="0" hidden="1">#REF!</definedName>
    <definedName name="BExZMEAPZ5GUS5SOFH5GOMBD0KGO" localSheetId="22" hidden="1">#REF!</definedName>
    <definedName name="BExZMEAPZ5GUS5SOFH5GOMBD0KGO" hidden="1">#REF!</definedName>
    <definedName name="BExZNIB1FR9R1W7YHWGCO30YAFW3" localSheetId="7" hidden="1">#REF!</definedName>
    <definedName name="BExZNIB1FR9R1W7YHWGCO30YAFW3" localSheetId="8" hidden="1">#REF!</definedName>
    <definedName name="BExZNIB1FR9R1W7YHWGCO30YAFW3" localSheetId="0" hidden="1">#REF!</definedName>
    <definedName name="BExZNIB1FR9R1W7YHWGCO30YAFW3" localSheetId="22" hidden="1">#REF!</definedName>
    <definedName name="BExZNIB1FR9R1W7YHWGCO30YAFW3" hidden="1">#REF!</definedName>
    <definedName name="BExZNQZT1LW9775RO9TLV3BRMJ10" localSheetId="7" hidden="1">#REF!</definedName>
    <definedName name="BExZNQZT1LW9775RO9TLV3BRMJ10" localSheetId="8" hidden="1">#REF!</definedName>
    <definedName name="BExZNQZT1LW9775RO9TLV3BRMJ10" localSheetId="0" hidden="1">#REF!</definedName>
    <definedName name="BExZNQZT1LW9775RO9TLV3BRMJ10" localSheetId="22" hidden="1">#REF!</definedName>
    <definedName name="BExZNQZT1LW9775RO9TLV3BRMJ10" hidden="1">#REF!</definedName>
    <definedName name="BExZO1C4DMHFFBZNZODSP4ZX7HD7" localSheetId="7" hidden="1">#REF!</definedName>
    <definedName name="BExZO1C4DMHFFBZNZODSP4ZX7HD7" localSheetId="8" hidden="1">#REF!</definedName>
    <definedName name="BExZO1C4DMHFFBZNZODSP4ZX7HD7" localSheetId="0" hidden="1">#REF!</definedName>
    <definedName name="BExZO1C4DMHFFBZNZODSP4ZX7HD7" localSheetId="22" hidden="1">#REF!</definedName>
    <definedName name="BExZO1C4DMHFFBZNZODSP4ZX7HD7" hidden="1">#REF!</definedName>
    <definedName name="BExZO99Z8LFFE2OU6KR3GU66ZU0M" localSheetId="7" hidden="1">#REF!</definedName>
    <definedName name="BExZO99Z8LFFE2OU6KR3GU66ZU0M" localSheetId="8" hidden="1">#REF!</definedName>
    <definedName name="BExZO99Z8LFFE2OU6KR3GU66ZU0M" localSheetId="0" hidden="1">#REF!</definedName>
    <definedName name="BExZO99Z8LFFE2OU6KR3GU66ZU0M" localSheetId="22" hidden="1">#REF!</definedName>
    <definedName name="BExZO99Z8LFFE2OU6KR3GU66ZU0M" hidden="1">#REF!</definedName>
    <definedName name="BExZOSGI1LEWHRGPJE338TJ048IM" localSheetId="7" hidden="1">#REF!</definedName>
    <definedName name="BExZOSGI1LEWHRGPJE338TJ048IM" localSheetId="8" hidden="1">#REF!</definedName>
    <definedName name="BExZOSGI1LEWHRGPJE338TJ048IM" localSheetId="0" hidden="1">#REF!</definedName>
    <definedName name="BExZOSGI1LEWHRGPJE338TJ048IM" localSheetId="22" hidden="1">#REF!</definedName>
    <definedName name="BExZOSGI1LEWHRGPJE338TJ048IM" hidden="1">#REF!</definedName>
    <definedName name="BExZP1QYR0G4BE2GNX7T40PRUWTE" localSheetId="7" hidden="1">#REF!</definedName>
    <definedName name="BExZP1QYR0G4BE2GNX7T40PRUWTE" localSheetId="8" hidden="1">#REF!</definedName>
    <definedName name="BExZP1QYR0G4BE2GNX7T40PRUWTE" localSheetId="0" hidden="1">#REF!</definedName>
    <definedName name="BExZP1QYR0G4BE2GNX7T40PRUWTE" localSheetId="22" hidden="1">#REF!</definedName>
    <definedName name="BExZP1QYR0G4BE2GNX7T40PRUWTE" hidden="1">#REF!</definedName>
    <definedName name="BExZPIOHX3ABCG2YJAIMI6N5FSPL" localSheetId="7" hidden="1">#REF!</definedName>
    <definedName name="BExZPIOHX3ABCG2YJAIMI6N5FSPL" localSheetId="8" hidden="1">#REF!</definedName>
    <definedName name="BExZPIOHX3ABCG2YJAIMI6N5FSPL" localSheetId="0" hidden="1">#REF!</definedName>
    <definedName name="BExZPIOHX3ABCG2YJAIMI6N5FSPL" localSheetId="22" hidden="1">#REF!</definedName>
    <definedName name="BExZPIOHX3ABCG2YJAIMI6N5FSPL" hidden="1">#REF!</definedName>
    <definedName name="BExZQB5JVF1GOTEMC07BOWOEM84S" localSheetId="7" hidden="1">#REF!</definedName>
    <definedName name="BExZQB5JVF1GOTEMC07BOWOEM84S" localSheetId="8" hidden="1">#REF!</definedName>
    <definedName name="BExZQB5JVF1GOTEMC07BOWOEM84S" localSheetId="0" hidden="1">#REF!</definedName>
    <definedName name="BExZQB5JVF1GOTEMC07BOWOEM84S" localSheetId="22" hidden="1">#REF!</definedName>
    <definedName name="BExZQB5JVF1GOTEMC07BOWOEM84S" hidden="1">#REF!</definedName>
    <definedName name="BExZQJZW9YUPPNVSYAT8AR6I0WYS" localSheetId="7" hidden="1">#REF!</definedName>
    <definedName name="BExZQJZW9YUPPNVSYAT8AR6I0WYS" localSheetId="8" hidden="1">#REF!</definedName>
    <definedName name="BExZQJZW9YUPPNVSYAT8AR6I0WYS" localSheetId="0" hidden="1">#REF!</definedName>
    <definedName name="BExZQJZW9YUPPNVSYAT8AR6I0WYS" localSheetId="22" hidden="1">#REF!</definedName>
    <definedName name="BExZQJZW9YUPPNVSYAT8AR6I0WYS" hidden="1">#REF!</definedName>
    <definedName name="BExZR6RS6JN0CI0VQ0NMPI1R1EVT" localSheetId="7" hidden="1">#REF!</definedName>
    <definedName name="BExZR6RS6JN0CI0VQ0NMPI1R1EVT" localSheetId="8" hidden="1">#REF!</definedName>
    <definedName name="BExZR6RS6JN0CI0VQ0NMPI1R1EVT" localSheetId="0" hidden="1">#REF!</definedName>
    <definedName name="BExZR6RS6JN0CI0VQ0NMPI1R1EVT" localSheetId="22" hidden="1">#REF!</definedName>
    <definedName name="BExZR6RS6JN0CI0VQ0NMPI1R1EVT" hidden="1">#REF!</definedName>
    <definedName name="BExZRATI31OK1Q6AA3AKNVEGINSD" localSheetId="7" hidden="1">#REF!</definedName>
    <definedName name="BExZRATI31OK1Q6AA3AKNVEGINSD" localSheetId="8" hidden="1">#REF!</definedName>
    <definedName name="BExZRATI31OK1Q6AA3AKNVEGINSD" localSheetId="0" hidden="1">#REF!</definedName>
    <definedName name="BExZRATI31OK1Q6AA3AKNVEGINSD" localSheetId="22" hidden="1">#REF!</definedName>
    <definedName name="BExZRATI31OK1Q6AA3AKNVEGINSD" hidden="1">#REF!</definedName>
    <definedName name="BExZSGRVHGXOEDFDQC17GK8OZV7P" localSheetId="7" hidden="1">#REF!</definedName>
    <definedName name="BExZSGRVHGXOEDFDQC17GK8OZV7P" localSheetId="8" hidden="1">#REF!</definedName>
    <definedName name="BExZSGRVHGXOEDFDQC17GK8OZV7P" localSheetId="0" hidden="1">#REF!</definedName>
    <definedName name="BExZSGRVHGXOEDFDQC17GK8OZV7P" localSheetId="22" hidden="1">#REF!</definedName>
    <definedName name="BExZSGRVHGXOEDFDQC17GK8OZV7P" hidden="1">#REF!</definedName>
    <definedName name="BExZTDQR50ZLG9SHW463LMV4I9EF" localSheetId="7" hidden="1">#REF!</definedName>
    <definedName name="BExZTDQR50ZLG9SHW463LMV4I9EF" localSheetId="8" hidden="1">#REF!</definedName>
    <definedName name="BExZTDQR50ZLG9SHW463LMV4I9EF" localSheetId="0" hidden="1">#REF!</definedName>
    <definedName name="BExZTDQR50ZLG9SHW463LMV4I9EF" localSheetId="22" hidden="1">#REF!</definedName>
    <definedName name="BExZTDQR50ZLG9SHW463LMV4I9EF" hidden="1">#REF!</definedName>
    <definedName name="BExZTUZ96GGOOTAQJ1EXWAKRHOBY" localSheetId="7" hidden="1">#REF!</definedName>
    <definedName name="BExZTUZ96GGOOTAQJ1EXWAKRHOBY" localSheetId="8" hidden="1">#REF!</definedName>
    <definedName name="BExZTUZ96GGOOTAQJ1EXWAKRHOBY" localSheetId="0" hidden="1">#REF!</definedName>
    <definedName name="BExZTUZ96GGOOTAQJ1EXWAKRHOBY" localSheetId="22" hidden="1">#REF!</definedName>
    <definedName name="BExZTUZ96GGOOTAQJ1EXWAKRHOBY" hidden="1">#REF!</definedName>
    <definedName name="BExZUUSCGSTE4RCF1Y1UTS2B5CD4" localSheetId="7" hidden="1">#REF!</definedName>
    <definedName name="BExZUUSCGSTE4RCF1Y1UTS2B5CD4" localSheetId="8" hidden="1">#REF!</definedName>
    <definedName name="BExZUUSCGSTE4RCF1Y1UTS2B5CD4" localSheetId="0" hidden="1">#REF!</definedName>
    <definedName name="BExZUUSCGSTE4RCF1Y1UTS2B5CD4" localSheetId="22" hidden="1">#REF!</definedName>
    <definedName name="BExZUUSCGSTE4RCF1Y1UTS2B5CD4" hidden="1">#REF!</definedName>
    <definedName name="BExZUWAAE7G5KQIU6JIT82QOZAMP" localSheetId="7" hidden="1">#REF!</definedName>
    <definedName name="BExZUWAAE7G5KQIU6JIT82QOZAMP" localSheetId="8" hidden="1">#REF!</definedName>
    <definedName name="BExZUWAAE7G5KQIU6JIT82QOZAMP" localSheetId="0" hidden="1">#REF!</definedName>
    <definedName name="BExZUWAAE7G5KQIU6JIT82QOZAMP" localSheetId="22" hidden="1">#REF!</definedName>
    <definedName name="BExZUWAAE7G5KQIU6JIT82QOZAMP" hidden="1">#REF!</definedName>
    <definedName name="BExZVTJXY5DI6V8N7194V3SR8MVD" localSheetId="7" hidden="1">#REF!</definedName>
    <definedName name="BExZVTJXY5DI6V8N7194V3SR8MVD" localSheetId="8" hidden="1">#REF!</definedName>
    <definedName name="BExZVTJXY5DI6V8N7194V3SR8MVD" localSheetId="0" hidden="1">#REF!</definedName>
    <definedName name="BExZVTJXY5DI6V8N7194V3SR8MVD" localSheetId="22" hidden="1">#REF!</definedName>
    <definedName name="BExZVTJXY5DI6V8N7194V3SR8MVD" hidden="1">#REF!</definedName>
    <definedName name="BExZW9LAQIBOYFJ9ERYTJYBG9UWI" localSheetId="7" hidden="1">#REF!</definedName>
    <definedName name="BExZW9LAQIBOYFJ9ERYTJYBG9UWI" localSheetId="8" hidden="1">#REF!</definedName>
    <definedName name="BExZW9LAQIBOYFJ9ERYTJYBG9UWI" localSheetId="0" hidden="1">#REF!</definedName>
    <definedName name="BExZW9LAQIBOYFJ9ERYTJYBG9UWI" localSheetId="22" hidden="1">#REF!</definedName>
    <definedName name="BExZW9LAQIBOYFJ9ERYTJYBG9UWI" hidden="1">#REF!</definedName>
    <definedName name="BExZWBE1HDEXDLGZ83LR3LM2OPF0" localSheetId="7" hidden="1">#REF!</definedName>
    <definedName name="BExZWBE1HDEXDLGZ83LR3LM2OPF0" localSheetId="8" hidden="1">#REF!</definedName>
    <definedName name="BExZWBE1HDEXDLGZ83LR3LM2OPF0" localSheetId="0" hidden="1">#REF!</definedName>
    <definedName name="BExZWBE1HDEXDLGZ83LR3LM2OPF0" localSheetId="22" hidden="1">#REF!</definedName>
    <definedName name="BExZWBE1HDEXDLGZ83LR3LM2OPF0" hidden="1">#REF!</definedName>
    <definedName name="BExZWW2CJYV8V7QB41EBGP2YM5OG" localSheetId="7" hidden="1">#REF!</definedName>
    <definedName name="BExZWW2CJYV8V7QB41EBGP2YM5OG" localSheetId="8" hidden="1">#REF!</definedName>
    <definedName name="BExZWW2CJYV8V7QB41EBGP2YM5OG" localSheetId="0" hidden="1">#REF!</definedName>
    <definedName name="BExZWW2CJYV8V7QB41EBGP2YM5OG" localSheetId="22" hidden="1">#REF!</definedName>
    <definedName name="BExZWW2CJYV8V7QB41EBGP2YM5OG" hidden="1">#REF!</definedName>
    <definedName name="BExZXDLHT6EX4OUX2SOHWODQ9KYG" localSheetId="7" hidden="1">#REF!</definedName>
    <definedName name="BExZXDLHT6EX4OUX2SOHWODQ9KYG" localSheetId="8" hidden="1">#REF!</definedName>
    <definedName name="BExZXDLHT6EX4OUX2SOHWODQ9KYG" localSheetId="0" hidden="1">#REF!</definedName>
    <definedName name="BExZXDLHT6EX4OUX2SOHWODQ9KYG" localSheetId="22" hidden="1">#REF!</definedName>
    <definedName name="BExZXDLHT6EX4OUX2SOHWODQ9KYG" hidden="1">#REF!</definedName>
    <definedName name="BExZXIP1B5HNFGA7PQFHUGX95789" localSheetId="7" hidden="1">#REF!</definedName>
    <definedName name="BExZXIP1B5HNFGA7PQFHUGX95789" localSheetId="8" hidden="1">#REF!</definedName>
    <definedName name="BExZXIP1B5HNFGA7PQFHUGX95789" localSheetId="0" hidden="1">#REF!</definedName>
    <definedName name="BExZXIP1B5HNFGA7PQFHUGX95789" localSheetId="22" hidden="1">#REF!</definedName>
    <definedName name="BExZXIP1B5HNFGA7PQFHUGX95789" hidden="1">#REF!</definedName>
    <definedName name="BExZXIZTS8GLF0ST0UI7OYJ03SUP" localSheetId="7" hidden="1">#REF!</definedName>
    <definedName name="BExZXIZTS8GLF0ST0UI7OYJ03SUP" localSheetId="8" hidden="1">#REF!</definedName>
    <definedName name="BExZXIZTS8GLF0ST0UI7OYJ03SUP" localSheetId="0" hidden="1">#REF!</definedName>
    <definedName name="BExZXIZTS8GLF0ST0UI7OYJ03SUP" localSheetId="22" hidden="1">#REF!</definedName>
    <definedName name="BExZXIZTS8GLF0ST0UI7OYJ03SUP" hidden="1">#REF!</definedName>
    <definedName name="BExZXMW3OP33KMLMRGIGL8634XZA" localSheetId="7" hidden="1">#REF!</definedName>
    <definedName name="BExZXMW3OP33KMLMRGIGL8634XZA" localSheetId="8" hidden="1">#REF!</definedName>
    <definedName name="BExZXMW3OP33KMLMRGIGL8634XZA" localSheetId="0" hidden="1">#REF!</definedName>
    <definedName name="BExZXMW3OP33KMLMRGIGL8634XZA" localSheetId="22" hidden="1">#REF!</definedName>
    <definedName name="BExZXMW3OP33KMLMRGIGL8634XZA" hidden="1">#REF!</definedName>
    <definedName name="BExZXW6K9MRS1N9N7Z2NLLCUTC3L" localSheetId="7" hidden="1">#REF!</definedName>
    <definedName name="BExZXW6K9MRS1N9N7Z2NLLCUTC3L" localSheetId="8" hidden="1">#REF!</definedName>
    <definedName name="BExZXW6K9MRS1N9N7Z2NLLCUTC3L" localSheetId="0" hidden="1">#REF!</definedName>
    <definedName name="BExZXW6K9MRS1N9N7Z2NLLCUTC3L" localSheetId="22" hidden="1">#REF!</definedName>
    <definedName name="BExZXW6K9MRS1N9N7Z2NLLCUTC3L" hidden="1">#REF!</definedName>
    <definedName name="BExZY0DHAGKT2AB9XKXMTZRH3M75" localSheetId="7" hidden="1">#REF!</definedName>
    <definedName name="BExZY0DHAGKT2AB9XKXMTZRH3M75" localSheetId="8" hidden="1">#REF!</definedName>
    <definedName name="BExZY0DHAGKT2AB9XKXMTZRH3M75" localSheetId="0" hidden="1">#REF!</definedName>
    <definedName name="BExZY0DHAGKT2AB9XKXMTZRH3M75" localSheetId="22" hidden="1">#REF!</definedName>
    <definedName name="BExZY0DHAGKT2AB9XKXMTZRH3M75" hidden="1">#REF!</definedName>
    <definedName name="BExZY8BGQEOR74Z2W2F41ZE3OVFM" localSheetId="7" hidden="1">#REF!</definedName>
    <definedName name="BExZY8BGQEOR74Z2W2F41ZE3OVFM" localSheetId="8" hidden="1">#REF!</definedName>
    <definedName name="BExZY8BGQEOR74Z2W2F41ZE3OVFM" localSheetId="0" hidden="1">#REF!</definedName>
    <definedName name="BExZY8BGQEOR74Z2W2F41ZE3OVFM" localSheetId="22" hidden="1">#REF!</definedName>
    <definedName name="BExZY8BGQEOR74Z2W2F41ZE3OVFM" hidden="1">#REF!</definedName>
    <definedName name="BExZYDPO844NEHFICNS2ASEB40T4" localSheetId="7" hidden="1">#REF!</definedName>
    <definedName name="BExZYDPO844NEHFICNS2ASEB40T4" localSheetId="8" hidden="1">#REF!</definedName>
    <definedName name="BExZYDPO844NEHFICNS2ASEB40T4" localSheetId="0" hidden="1">#REF!</definedName>
    <definedName name="BExZYDPO844NEHFICNS2ASEB40T4" localSheetId="22" hidden="1">#REF!</definedName>
    <definedName name="BExZYDPO844NEHFICNS2ASEB40T4" hidden="1">#REF!</definedName>
    <definedName name="BExZYMUPDA4UXNS4N969NHO9MOY4" localSheetId="7" hidden="1">#REF!</definedName>
    <definedName name="BExZYMUPDA4UXNS4N969NHO9MOY4" localSheetId="8" hidden="1">#REF!</definedName>
    <definedName name="BExZYMUPDA4UXNS4N969NHO9MOY4" localSheetId="0" hidden="1">#REF!</definedName>
    <definedName name="BExZYMUPDA4UXNS4N969NHO9MOY4" localSheetId="22" hidden="1">#REF!</definedName>
    <definedName name="BExZYMUPDA4UXNS4N969NHO9MOY4" hidden="1">#REF!</definedName>
    <definedName name="BExZYV3HP183J5VHRBV1HRWJGBEV" localSheetId="7" hidden="1">#REF!</definedName>
    <definedName name="BExZYV3HP183J5VHRBV1HRWJGBEV" localSheetId="8" hidden="1">#REF!</definedName>
    <definedName name="BExZYV3HP183J5VHRBV1HRWJGBEV" localSheetId="0" hidden="1">#REF!</definedName>
    <definedName name="BExZYV3HP183J5VHRBV1HRWJGBEV" localSheetId="22" hidden="1">#REF!</definedName>
    <definedName name="BExZYV3HP183J5VHRBV1HRWJGBEV" hidden="1">#REF!</definedName>
    <definedName name="BExZZ3HGNEG3YX1H9M9DVR5C2JO2" localSheetId="7" hidden="1">#REF!</definedName>
    <definedName name="BExZZ3HGNEG3YX1H9M9DVR5C2JO2" localSheetId="8" hidden="1">#REF!</definedName>
    <definedName name="BExZZ3HGNEG3YX1H9M9DVR5C2JO2" localSheetId="0" hidden="1">#REF!</definedName>
    <definedName name="BExZZ3HGNEG3YX1H9M9DVR5C2JO2" localSheetId="22" hidden="1">#REF!</definedName>
    <definedName name="BExZZ3HGNEG3YX1H9M9DVR5C2JO2" hidden="1">#REF!</definedName>
    <definedName name="BExZZ618TR1LX4YZADZBJ5TO1S67" localSheetId="7" hidden="1">[1]ZQZBC_REG_02_04!#REF!</definedName>
    <definedName name="BExZZ618TR1LX4YZADZBJ5TO1S67" localSheetId="8" hidden="1">[1]ZQZBC_REG_02_04!#REF!</definedName>
    <definedName name="BExZZ618TR1LX4YZADZBJ5TO1S67" localSheetId="0" hidden="1">[1]ZQZBC_REG_02_04!#REF!</definedName>
    <definedName name="BExZZ618TR1LX4YZADZBJ5TO1S67" localSheetId="22" hidden="1">[1]ZQZBC_REG_02_04!#REF!</definedName>
    <definedName name="BExZZ618TR1LX4YZADZBJ5TO1S67" hidden="1">[1]ZQZBC_REG_02_04!#REF!</definedName>
    <definedName name="BExZZPTCGNBZIS7LIJMNMXGCAQDY" localSheetId="7" hidden="1">[1]ZQBC_PLN_01_03_N!#REF!</definedName>
    <definedName name="BExZZPTCGNBZIS7LIJMNMXGCAQDY" localSheetId="8" hidden="1">[1]ZQBC_PLN_01_03_N!#REF!</definedName>
    <definedName name="BExZZPTCGNBZIS7LIJMNMXGCAQDY" localSheetId="0" hidden="1">[1]ZQBC_PLN_01_03_N!#REF!</definedName>
    <definedName name="BExZZPTCGNBZIS7LIJMNMXGCAQDY" localSheetId="22" hidden="1">[1]ZQBC_PLN_01_03_N!#REF!</definedName>
    <definedName name="BExZZPTCGNBZIS7LIJMNMXGCAQDY" hidden="1">[1]ZQBC_PLN_01_03_N!#REF!</definedName>
    <definedName name="BExZZY7FU8FGRE49PGO6WOCZRTG8" localSheetId="7" hidden="1">#REF!</definedName>
    <definedName name="BExZZY7FU8FGRE49PGO6WOCZRTG8" localSheetId="8" hidden="1">#REF!</definedName>
    <definedName name="BExZZY7FU8FGRE49PGO6WOCZRTG8" localSheetId="0" hidden="1">#REF!</definedName>
    <definedName name="BExZZY7FU8FGRE49PGO6WOCZRTG8" localSheetId="22" hidden="1">#REF!</definedName>
    <definedName name="BExZZY7FU8FGRE49PGO6WOCZRTG8" hidden="1">#REF!</definedName>
    <definedName name="_xlnm.Print_Titles" localSheetId="2">'01-3'!$5:$8</definedName>
    <definedName name="_xlnm.Print_Titles" localSheetId="3">'02-3'!$5:$8</definedName>
    <definedName name="_xlnm.Print_Titles" localSheetId="4">'03-3'!$5:$8</definedName>
    <definedName name="_xlnm.Print_Titles" localSheetId="5">'04-3'!$5:$8</definedName>
    <definedName name="_xlnm.Print_Titles" localSheetId="6">'05-3'!$5:$8</definedName>
    <definedName name="_xlnm.Print_Titles" localSheetId="7">'08-3'!$5:$8</definedName>
    <definedName name="_xlnm.Print_Titles" localSheetId="8">'09-3'!$5:$8</definedName>
    <definedName name="_xlnm.Print_Titles" localSheetId="9">'10-3'!$5:$8</definedName>
    <definedName name="_xlnm.Print_Titles" localSheetId="10">'11-3'!$5:$8</definedName>
    <definedName name="_xlnm.Print_Titles" localSheetId="11">'12-3'!$5:$8</definedName>
    <definedName name="_xlnm.Print_Titles" localSheetId="12">'13-3'!$5:$8</definedName>
    <definedName name="_xlnm.Print_Titles" localSheetId="13">'14-3'!$5:$8</definedName>
    <definedName name="_xlnm.Print_Titles" localSheetId="14">'15-3'!$5:$8</definedName>
    <definedName name="_xlnm.Print_Titles" localSheetId="15">'16-3'!$5:$8</definedName>
    <definedName name="_xlnm.Print_Titles" localSheetId="16">'17-3'!$5:$8</definedName>
    <definedName name="_xlnm.Print_Titles" localSheetId="17">'18-3'!$5:$8</definedName>
    <definedName name="_xlnm.Print_Titles" localSheetId="33">'18s-3'!$5:$8</definedName>
    <definedName name="_xlnm.Print_Titles" localSheetId="18">'19-3'!$5:$8</definedName>
    <definedName name="_xlnm.Print_Titles" localSheetId="0">'2013-2015isa'!$5:$8</definedName>
    <definedName name="_xlnm.Print_Titles" localSheetId="19">'21-3'!$5:$8</definedName>
    <definedName name="_xlnm.Print_Titles" localSheetId="20">'22-3'!$5:$8</definedName>
    <definedName name="_xlnm.Print_Titles" localSheetId="21">'24-3'!$5:$8</definedName>
    <definedName name="_xlnm.Print_Titles" localSheetId="22">'25-3'!$5:$8</definedName>
    <definedName name="_xlnm.Print_Titles" localSheetId="23">'28-3'!$5:$8</definedName>
    <definedName name="_xlnm.Print_Titles" localSheetId="24">'29-3'!$5:$8</definedName>
    <definedName name="_xlnm.Print_Titles" localSheetId="25">'30-3'!$5:$8</definedName>
    <definedName name="_xlnm.Print_Titles" localSheetId="26">'32-3'!$5:$8</definedName>
    <definedName name="_xlnm.Print_Titles" localSheetId="27">'35-3'!$5:$8</definedName>
    <definedName name="_xlnm.Print_Titles" localSheetId="28">'37-3'!$5:$8</definedName>
    <definedName name="_xlnm.Print_Titles" localSheetId="29">'47-3'!$5:$8</definedName>
    <definedName name="_xlnm.Print_Titles" localSheetId="30">'62-3'!$5:$8</definedName>
    <definedName name="_xlnm.Print_Titles" localSheetId="31">'64-3'!$5:$8</definedName>
    <definedName name="_xlnm.Print_Titles" localSheetId="32">'74-3'!$5:$8</definedName>
    <definedName name="_xlnm.Print_Titles" localSheetId="1">'pb-2013-2015kop'!$5:$8</definedName>
  </definedNames>
  <calcPr calcId="145621"/>
</workbook>
</file>

<file path=xl/calcChain.xml><?xml version="1.0" encoding="utf-8"?>
<calcChain xmlns="http://schemas.openxmlformats.org/spreadsheetml/2006/main">
  <c r="I126" i="170" l="1"/>
  <c r="J126" i="170"/>
  <c r="K126" i="170"/>
  <c r="L126" i="170"/>
  <c r="M126" i="170"/>
  <c r="N126" i="170"/>
  <c r="O126" i="170"/>
  <c r="P126" i="170"/>
  <c r="Q126" i="170"/>
  <c r="R126" i="170"/>
  <c r="I127" i="170"/>
  <c r="J127" i="170"/>
  <c r="K127" i="170"/>
  <c r="L127" i="170"/>
  <c r="M127" i="170"/>
  <c r="N127" i="170"/>
  <c r="O127" i="170"/>
  <c r="P127" i="170"/>
  <c r="Q127" i="170"/>
  <c r="R127" i="170"/>
  <c r="I128" i="170"/>
  <c r="J128" i="170"/>
  <c r="K128" i="170"/>
  <c r="L128" i="170"/>
  <c r="M128" i="170"/>
  <c r="N128" i="170"/>
  <c r="O128" i="170"/>
  <c r="P128" i="170"/>
  <c r="Q128" i="170"/>
  <c r="R128" i="170"/>
  <c r="I129" i="170"/>
  <c r="J129" i="170"/>
  <c r="K129" i="170"/>
  <c r="L129" i="170"/>
  <c r="M129" i="170"/>
  <c r="N129" i="170"/>
  <c r="O129" i="170"/>
  <c r="P129" i="170"/>
  <c r="Q129" i="170"/>
  <c r="R129" i="170"/>
  <c r="H126" i="170"/>
  <c r="H127" i="170"/>
  <c r="H128" i="170"/>
  <c r="H129" i="170"/>
  <c r="E126" i="170"/>
  <c r="F126" i="170"/>
  <c r="G126" i="170"/>
  <c r="E127" i="170"/>
  <c r="F127" i="170"/>
  <c r="G127" i="170"/>
  <c r="E128" i="170"/>
  <c r="F128" i="170"/>
  <c r="G128" i="170"/>
  <c r="E129" i="170"/>
  <c r="F129" i="170"/>
  <c r="G129" i="170"/>
  <c r="D129" i="170"/>
  <c r="D128" i="170"/>
  <c r="D127" i="170"/>
  <c r="D126" i="170"/>
  <c r="Q425" i="170" l="1"/>
  <c r="L425" i="170"/>
  <c r="G425" i="170"/>
  <c r="Q424" i="170"/>
  <c r="L424" i="170"/>
  <c r="G424" i="170"/>
  <c r="Q43" i="150"/>
  <c r="Q331" i="150"/>
  <c r="Q328" i="150"/>
  <c r="Q326" i="150" s="1"/>
  <c r="L331" i="150"/>
  <c r="L326" i="150" s="1"/>
  <c r="L328" i="150"/>
  <c r="G331" i="150"/>
  <c r="G328" i="150"/>
  <c r="G43" i="150"/>
  <c r="G117" i="150"/>
  <c r="Q127" i="150"/>
  <c r="L127" i="150"/>
  <c r="G127" i="150"/>
  <c r="Q201" i="150"/>
  <c r="Q211" i="150"/>
  <c r="L201" i="150"/>
  <c r="L211" i="150"/>
  <c r="G201" i="150"/>
  <c r="G211" i="150"/>
  <c r="Q269" i="150"/>
  <c r="L269" i="150"/>
  <c r="G269" i="150"/>
  <c r="Q272" i="150"/>
  <c r="Q271" i="150"/>
  <c r="L272" i="150"/>
  <c r="L271" i="150"/>
  <c r="G272" i="150"/>
  <c r="G271" i="150"/>
  <c r="D325" i="150"/>
  <c r="E325" i="150"/>
  <c r="F325" i="150"/>
  <c r="I325" i="150"/>
  <c r="J325" i="150"/>
  <c r="K325" i="150"/>
  <c r="N325" i="150"/>
  <c r="O325" i="150"/>
  <c r="P325" i="150"/>
  <c r="C325" i="150"/>
  <c r="N326" i="150"/>
  <c r="O326" i="150"/>
  <c r="P326" i="150"/>
  <c r="O331" i="150"/>
  <c r="J331" i="150"/>
  <c r="J326" i="150" s="1"/>
  <c r="E331" i="150"/>
  <c r="E326" i="150" s="1"/>
  <c r="R330" i="150"/>
  <c r="M330" i="150"/>
  <c r="K326" i="150"/>
  <c r="F326" i="150"/>
  <c r="R327" i="150"/>
  <c r="R328" i="150"/>
  <c r="R329" i="150"/>
  <c r="M327" i="150"/>
  <c r="M328" i="150"/>
  <c r="M329" i="150"/>
  <c r="I326" i="150"/>
  <c r="H327" i="150"/>
  <c r="H329" i="150"/>
  <c r="D326" i="150"/>
  <c r="C326" i="150"/>
  <c r="G326" i="150" l="1"/>
  <c r="H328" i="150"/>
  <c r="R331" i="150"/>
  <c r="R326" i="150" s="1"/>
  <c r="M331" i="150"/>
  <c r="M326" i="150" s="1"/>
  <c r="H331" i="150"/>
  <c r="O296" i="86"/>
  <c r="J296" i="86"/>
  <c r="E286" i="150"/>
  <c r="E459" i="170"/>
  <c r="E495" i="170"/>
  <c r="O274" i="170"/>
  <c r="J274" i="170"/>
  <c r="E274" i="170"/>
  <c r="Q149" i="170"/>
  <c r="L149" i="170"/>
  <c r="G149" i="170"/>
  <c r="P483" i="170"/>
  <c r="P482" i="170"/>
  <c r="O483" i="170"/>
  <c r="O482" i="170"/>
  <c r="K483" i="170"/>
  <c r="K482" i="170"/>
  <c r="J482" i="170"/>
  <c r="F483" i="170"/>
  <c r="F482" i="170"/>
  <c r="E482" i="170"/>
  <c r="J493" i="170"/>
  <c r="J483" i="170" s="1"/>
  <c r="J484" i="170" s="1"/>
  <c r="E493" i="170"/>
  <c r="E483" i="170" s="1"/>
  <c r="P495" i="170"/>
  <c r="O495" i="170"/>
  <c r="K495" i="170"/>
  <c r="J495" i="170"/>
  <c r="F495" i="170"/>
  <c r="H46" i="170"/>
  <c r="I46" i="170"/>
  <c r="J46" i="170"/>
  <c r="K46" i="170"/>
  <c r="L46" i="170"/>
  <c r="M46" i="170"/>
  <c r="N46" i="170"/>
  <c r="O46" i="170"/>
  <c r="P46" i="170"/>
  <c r="Q46" i="170"/>
  <c r="R46" i="170"/>
  <c r="G46" i="170"/>
  <c r="E46" i="170"/>
  <c r="F46" i="170"/>
  <c r="D46" i="170"/>
  <c r="O850" i="98"/>
  <c r="J850" i="98"/>
  <c r="E850" i="98"/>
  <c r="O847" i="98"/>
  <c r="O846" i="98" s="1"/>
  <c r="J847" i="98"/>
  <c r="E847" i="98"/>
  <c r="E846" i="98" s="1"/>
  <c r="J846" i="98"/>
  <c r="O841" i="98"/>
  <c r="O830" i="98" s="1"/>
  <c r="O828" i="98" s="1"/>
  <c r="J841" i="98"/>
  <c r="E841" i="98"/>
  <c r="O837" i="98"/>
  <c r="J837" i="98"/>
  <c r="E837" i="98"/>
  <c r="O833" i="98"/>
  <c r="O831" i="98" s="1"/>
  <c r="J833" i="98"/>
  <c r="E833" i="98"/>
  <c r="E831" i="98" s="1"/>
  <c r="J831" i="98"/>
  <c r="E830" i="98"/>
  <c r="E828" i="98" s="1"/>
  <c r="O824" i="98"/>
  <c r="J824" i="98"/>
  <c r="E824" i="98"/>
  <c r="E813" i="98" s="1"/>
  <c r="O820" i="98"/>
  <c r="J820" i="98"/>
  <c r="E820" i="98"/>
  <c r="O816" i="98"/>
  <c r="O814" i="98" s="1"/>
  <c r="J816" i="98"/>
  <c r="E816" i="98"/>
  <c r="E814" i="98" s="1"/>
  <c r="J814" i="98"/>
  <c r="O813" i="98"/>
  <c r="O810" i="98"/>
  <c r="J810" i="98"/>
  <c r="E810" i="98"/>
  <c r="O807" i="98"/>
  <c r="J807" i="98"/>
  <c r="E807" i="98"/>
  <c r="O792" i="98"/>
  <c r="J792" i="98"/>
  <c r="E792" i="98"/>
  <c r="O789" i="98"/>
  <c r="O788" i="98" s="1"/>
  <c r="J789" i="98"/>
  <c r="E789" i="98"/>
  <c r="E788" i="98" s="1"/>
  <c r="O783" i="98"/>
  <c r="J783" i="98"/>
  <c r="E783" i="98"/>
  <c r="O779" i="98"/>
  <c r="J779" i="98"/>
  <c r="E779" i="98"/>
  <c r="E772" i="98" s="1"/>
  <c r="E770" i="98" s="1"/>
  <c r="O775" i="98"/>
  <c r="J775" i="98"/>
  <c r="E775" i="98"/>
  <c r="E773" i="98" s="1"/>
  <c r="O773" i="98"/>
  <c r="O772" i="98" s="1"/>
  <c r="O770" i="98" s="1"/>
  <c r="J773" i="98"/>
  <c r="J772" i="98" s="1"/>
  <c r="J770" i="98" s="1"/>
  <c r="O766" i="98"/>
  <c r="J766" i="98"/>
  <c r="E766" i="98"/>
  <c r="O762" i="98"/>
  <c r="J762" i="98"/>
  <c r="E762" i="98"/>
  <c r="O758" i="98"/>
  <c r="O756" i="98" s="1"/>
  <c r="J758" i="98"/>
  <c r="E758" i="98"/>
  <c r="E756" i="98" s="1"/>
  <c r="E755" i="98" s="1"/>
  <c r="J756" i="98"/>
  <c r="O752" i="98"/>
  <c r="J752" i="98"/>
  <c r="E752" i="98"/>
  <c r="O749" i="98"/>
  <c r="J749" i="98"/>
  <c r="E749" i="98"/>
  <c r="O744" i="98"/>
  <c r="J744" i="98"/>
  <c r="E744" i="98"/>
  <c r="O734" i="98"/>
  <c r="J734" i="98"/>
  <c r="E734" i="98"/>
  <c r="E730" i="98" s="1"/>
  <c r="O731" i="98"/>
  <c r="J731" i="98"/>
  <c r="J730" i="98" s="1"/>
  <c r="E731" i="98"/>
  <c r="O730" i="98"/>
  <c r="O725" i="98"/>
  <c r="J725" i="98"/>
  <c r="E725" i="98"/>
  <c r="O721" i="98"/>
  <c r="J721" i="98"/>
  <c r="E721" i="98"/>
  <c r="O717" i="98"/>
  <c r="J717" i="98"/>
  <c r="J715" i="98" s="1"/>
  <c r="J714" i="98" s="1"/>
  <c r="J712" i="98" s="1"/>
  <c r="E717" i="98"/>
  <c r="O715" i="98"/>
  <c r="E715" i="98"/>
  <c r="E714" i="98" s="1"/>
  <c r="E712" i="98" s="1"/>
  <c r="O714" i="98"/>
  <c r="J708" i="98"/>
  <c r="E708" i="98"/>
  <c r="J704" i="98"/>
  <c r="E704" i="98"/>
  <c r="J700" i="98"/>
  <c r="J698" i="98" s="1"/>
  <c r="E700" i="98"/>
  <c r="E698" i="98"/>
  <c r="J697" i="98"/>
  <c r="J685" i="98" s="1"/>
  <c r="J694" i="98"/>
  <c r="E694" i="98"/>
  <c r="J691" i="98"/>
  <c r="E691" i="98"/>
  <c r="J686" i="98"/>
  <c r="E686" i="98"/>
  <c r="J684" i="98"/>
  <c r="O680" i="98"/>
  <c r="O676" i="98"/>
  <c r="J676" i="98"/>
  <c r="J672" i="98" s="1"/>
  <c r="E676" i="98"/>
  <c r="O673" i="98"/>
  <c r="J673" i="98"/>
  <c r="E673" i="98"/>
  <c r="E672" i="98" s="1"/>
  <c r="O672" i="98"/>
  <c r="O667" i="98"/>
  <c r="J667" i="98"/>
  <c r="E667" i="98"/>
  <c r="O663" i="98"/>
  <c r="J663" i="98"/>
  <c r="E663" i="98"/>
  <c r="E656" i="98" s="1"/>
  <c r="E654" i="98" s="1"/>
  <c r="O659" i="98"/>
  <c r="J659" i="98"/>
  <c r="E659" i="98"/>
  <c r="E657" i="98" s="1"/>
  <c r="O657" i="98"/>
  <c r="O656" i="98" s="1"/>
  <c r="O654" i="98" s="1"/>
  <c r="J657" i="98"/>
  <c r="J656" i="98"/>
  <c r="J654" i="98" s="1"/>
  <c r="O650" i="98"/>
  <c r="J650" i="98"/>
  <c r="E650" i="98"/>
  <c r="O646" i="98"/>
  <c r="J646" i="98"/>
  <c r="E646" i="98"/>
  <c r="O642" i="98"/>
  <c r="O640" i="98" s="1"/>
  <c r="O639" i="98" s="1"/>
  <c r="J642" i="98"/>
  <c r="E642" i="98"/>
  <c r="E640" i="98" s="1"/>
  <c r="J640" i="98"/>
  <c r="E639" i="98"/>
  <c r="O636" i="98"/>
  <c r="J636" i="98"/>
  <c r="E636" i="98"/>
  <c r="O633" i="98"/>
  <c r="O627" i="98" s="1"/>
  <c r="O626" i="98" s="1"/>
  <c r="J633" i="98"/>
  <c r="E633" i="98"/>
  <c r="O628" i="98"/>
  <c r="J628" i="98"/>
  <c r="E628" i="98"/>
  <c r="O618" i="98"/>
  <c r="J618" i="98"/>
  <c r="E618" i="98"/>
  <c r="E614" i="98" s="1"/>
  <c r="O615" i="98"/>
  <c r="J615" i="98"/>
  <c r="J614" i="98" s="1"/>
  <c r="E615" i="98"/>
  <c r="O614" i="98"/>
  <c r="O613" i="98"/>
  <c r="O609" i="98"/>
  <c r="J609" i="98"/>
  <c r="E609" i="98"/>
  <c r="O605" i="98"/>
  <c r="J605" i="98"/>
  <c r="E605" i="98"/>
  <c r="O601" i="98"/>
  <c r="O599" i="98" s="1"/>
  <c r="O598" i="98" s="1"/>
  <c r="J601" i="98"/>
  <c r="E601" i="98"/>
  <c r="J599" i="98"/>
  <c r="J598" i="98" s="1"/>
  <c r="J596" i="98" s="1"/>
  <c r="E599" i="98"/>
  <c r="E598" i="98" s="1"/>
  <c r="E596" i="98" s="1"/>
  <c r="O596" i="98"/>
  <c r="O592" i="98"/>
  <c r="J592" i="98"/>
  <c r="E592" i="98"/>
  <c r="E588" i="98"/>
  <c r="E584" i="98"/>
  <c r="E582" i="98" s="1"/>
  <c r="E578" i="98"/>
  <c r="E575" i="98"/>
  <c r="E570" i="98"/>
  <c r="O559" i="98"/>
  <c r="J559" i="98"/>
  <c r="E559" i="98"/>
  <c r="E555" i="98" s="1"/>
  <c r="O556" i="98"/>
  <c r="J556" i="98"/>
  <c r="J555" i="98" s="1"/>
  <c r="E556" i="98"/>
  <c r="O550" i="98"/>
  <c r="J550" i="98"/>
  <c r="E550" i="98"/>
  <c r="O546" i="98"/>
  <c r="J546" i="98"/>
  <c r="E546" i="98"/>
  <c r="O542" i="98"/>
  <c r="J542" i="98"/>
  <c r="J540" i="98" s="1"/>
  <c r="E542" i="98"/>
  <c r="E540" i="98" s="1"/>
  <c r="E539" i="98" s="1"/>
  <c r="E537" i="98" s="1"/>
  <c r="O540" i="98"/>
  <c r="O533" i="98"/>
  <c r="J533" i="98"/>
  <c r="E533" i="98"/>
  <c r="O529" i="98"/>
  <c r="J529" i="98"/>
  <c r="J522" i="98" s="1"/>
  <c r="E529" i="98"/>
  <c r="O525" i="98"/>
  <c r="J525" i="98"/>
  <c r="J523" i="98" s="1"/>
  <c r="E525" i="98"/>
  <c r="E523" i="98" s="1"/>
  <c r="E522" i="98" s="1"/>
  <c r="O523" i="98"/>
  <c r="O519" i="98"/>
  <c r="J519" i="98"/>
  <c r="E519" i="98"/>
  <c r="O516" i="98"/>
  <c r="J516" i="98"/>
  <c r="E516" i="98"/>
  <c r="E511" i="98"/>
  <c r="O507" i="98"/>
  <c r="J507" i="98"/>
  <c r="E507" i="98"/>
  <c r="Q497" i="98"/>
  <c r="L497" i="98"/>
  <c r="G497" i="98"/>
  <c r="Q486" i="98"/>
  <c r="L486" i="98"/>
  <c r="G486" i="98"/>
  <c r="Q485" i="98"/>
  <c r="Q484" i="98" s="1"/>
  <c r="L485" i="98"/>
  <c r="G485" i="98"/>
  <c r="L484" i="98"/>
  <c r="L419" i="98" s="1"/>
  <c r="L395" i="98" s="1"/>
  <c r="G484" i="98"/>
  <c r="G419" i="98" s="1"/>
  <c r="G395" i="98" s="1"/>
  <c r="Q481" i="98"/>
  <c r="L481" i="98"/>
  <c r="G481" i="98"/>
  <c r="G480" i="98" s="1"/>
  <c r="Q480" i="98"/>
  <c r="L480" i="98"/>
  <c r="Q476" i="98"/>
  <c r="L476" i="98"/>
  <c r="L475" i="98" s="1"/>
  <c r="G476" i="98"/>
  <c r="G475" i="98" s="1"/>
  <c r="Q456" i="98"/>
  <c r="L456" i="98"/>
  <c r="G456" i="98"/>
  <c r="Q452" i="98"/>
  <c r="L452" i="98"/>
  <c r="L451" i="98" s="1"/>
  <c r="G452" i="98"/>
  <c r="Q451" i="98"/>
  <c r="G451" i="98"/>
  <c r="G450" i="98" s="1"/>
  <c r="L450" i="98"/>
  <c r="Q447" i="98"/>
  <c r="L447" i="98"/>
  <c r="G447" i="98"/>
  <c r="Q444" i="98"/>
  <c r="L444" i="98"/>
  <c r="G444" i="98"/>
  <c r="Q441" i="98"/>
  <c r="L441" i="98"/>
  <c r="G441" i="98"/>
  <c r="Q440" i="98"/>
  <c r="L440" i="98"/>
  <c r="G440" i="98"/>
  <c r="Q436" i="98"/>
  <c r="L436" i="98"/>
  <c r="G436" i="98"/>
  <c r="Q420" i="98"/>
  <c r="L420" i="98"/>
  <c r="G420" i="98"/>
  <c r="Q419" i="98"/>
  <c r="Q395" i="98" s="1"/>
  <c r="P416" i="98"/>
  <c r="K416" i="98"/>
  <c r="K415" i="98" s="1"/>
  <c r="K414" i="98" s="1"/>
  <c r="K413" i="98" s="1"/>
  <c r="K395" i="98" s="1"/>
  <c r="F416" i="98"/>
  <c r="P415" i="98"/>
  <c r="F415" i="98"/>
  <c r="F414" i="98" s="1"/>
  <c r="P414" i="98"/>
  <c r="P413" i="98" s="1"/>
  <c r="P395" i="98" s="1"/>
  <c r="F413" i="98"/>
  <c r="F395" i="98" s="1"/>
  <c r="E393" i="98"/>
  <c r="E392" i="98" s="1"/>
  <c r="E391" i="98" s="1"/>
  <c r="E390" i="98" s="1"/>
  <c r="J354" i="98"/>
  <c r="E354" i="98"/>
  <c r="J350" i="98"/>
  <c r="E350" i="98"/>
  <c r="E348" i="98" s="1"/>
  <c r="E347" i="98" s="1"/>
  <c r="J348" i="98"/>
  <c r="J347" i="98" s="1"/>
  <c r="J344" i="98"/>
  <c r="E344" i="98"/>
  <c r="J341" i="98"/>
  <c r="E341" i="98"/>
  <c r="J336" i="98"/>
  <c r="J335" i="98" s="1"/>
  <c r="J334" i="98" s="1"/>
  <c r="E336" i="98"/>
  <c r="O330" i="98"/>
  <c r="O326" i="98"/>
  <c r="J326" i="98"/>
  <c r="E326" i="98"/>
  <c r="E322" i="98" s="1"/>
  <c r="O323" i="98"/>
  <c r="J323" i="98"/>
  <c r="J322" i="98" s="1"/>
  <c r="E323" i="98"/>
  <c r="O322" i="98"/>
  <c r="O317" i="98"/>
  <c r="J317" i="98"/>
  <c r="E317" i="98"/>
  <c r="O313" i="98"/>
  <c r="J313" i="98"/>
  <c r="E313" i="98"/>
  <c r="O309" i="98"/>
  <c r="J309" i="98"/>
  <c r="J307" i="98" s="1"/>
  <c r="J306" i="98" s="1"/>
  <c r="E309" i="98"/>
  <c r="O307" i="98"/>
  <c r="E307" i="98"/>
  <c r="E306" i="98" s="1"/>
  <c r="E304" i="98" s="1"/>
  <c r="O306" i="98"/>
  <c r="O304" i="98" s="1"/>
  <c r="J304" i="98"/>
  <c r="O300" i="98"/>
  <c r="J300" i="98"/>
  <c r="E300" i="98"/>
  <c r="O296" i="98"/>
  <c r="J296" i="98"/>
  <c r="E296" i="98"/>
  <c r="O292" i="98"/>
  <c r="O290" i="98" s="1"/>
  <c r="O289" i="98" s="1"/>
  <c r="J292" i="98"/>
  <c r="E292" i="98"/>
  <c r="J290" i="98"/>
  <c r="J289" i="98" s="1"/>
  <c r="E290" i="98"/>
  <c r="E289" i="98" s="1"/>
  <c r="O286" i="98"/>
  <c r="J286" i="98"/>
  <c r="E286" i="98"/>
  <c r="O283" i="98"/>
  <c r="J283" i="98"/>
  <c r="E283" i="98"/>
  <c r="O278" i="98"/>
  <c r="J278" i="98"/>
  <c r="E278" i="98"/>
  <c r="J277" i="98"/>
  <c r="O273" i="98"/>
  <c r="O272" i="98" s="1"/>
  <c r="J273" i="98"/>
  <c r="E273" i="98"/>
  <c r="J272" i="98"/>
  <c r="E272" i="98"/>
  <c r="O271" i="98"/>
  <c r="J271" i="98"/>
  <c r="J270" i="98" s="1"/>
  <c r="E271" i="98"/>
  <c r="E270" i="98" s="1"/>
  <c r="O270" i="98"/>
  <c r="R260" i="98"/>
  <c r="M260" i="98"/>
  <c r="H260" i="98"/>
  <c r="H259" i="98"/>
  <c r="R258" i="98"/>
  <c r="M258" i="98"/>
  <c r="H258" i="98"/>
  <c r="Q257" i="98"/>
  <c r="P257" i="98"/>
  <c r="L257" i="98"/>
  <c r="K257" i="98"/>
  <c r="G257" i="98"/>
  <c r="F257" i="98"/>
  <c r="E257" i="98"/>
  <c r="H257" i="98" s="1"/>
  <c r="R256" i="98"/>
  <c r="M256" i="98"/>
  <c r="H256" i="98"/>
  <c r="R255" i="98"/>
  <c r="M255" i="98"/>
  <c r="H255" i="98"/>
  <c r="R254" i="98"/>
  <c r="M254" i="98"/>
  <c r="H254" i="98"/>
  <c r="Q253" i="98"/>
  <c r="P253" i="98"/>
  <c r="R253" i="98" s="1"/>
  <c r="O253" i="98"/>
  <c r="M253" i="98"/>
  <c r="L253" i="98"/>
  <c r="L249" i="98" s="1"/>
  <c r="K253" i="98"/>
  <c r="J253" i="98"/>
  <c r="H253" i="98"/>
  <c r="G253" i="98"/>
  <c r="F253" i="98"/>
  <c r="E253" i="98"/>
  <c r="R252" i="98"/>
  <c r="M252" i="98"/>
  <c r="H252" i="98"/>
  <c r="R251" i="98"/>
  <c r="M251" i="98"/>
  <c r="H251" i="98"/>
  <c r="Q250" i="98"/>
  <c r="P250" i="98"/>
  <c r="P249" i="98" s="1"/>
  <c r="O250" i="98"/>
  <c r="L250" i="98"/>
  <c r="K250" i="98"/>
  <c r="K249" i="98" s="1"/>
  <c r="J250" i="98"/>
  <c r="G250" i="98"/>
  <c r="F250" i="98"/>
  <c r="F249" i="98" s="1"/>
  <c r="E250" i="98"/>
  <c r="E249" i="98"/>
  <c r="R247" i="98"/>
  <c r="M247" i="98"/>
  <c r="H247" i="98"/>
  <c r="R246" i="98"/>
  <c r="M246" i="98"/>
  <c r="H246" i="98"/>
  <c r="R245" i="98"/>
  <c r="M245" i="98"/>
  <c r="H245" i="98"/>
  <c r="Q244" i="98"/>
  <c r="P244" i="98"/>
  <c r="P233" i="98" s="1"/>
  <c r="O244" i="98"/>
  <c r="L244" i="98"/>
  <c r="K244" i="98"/>
  <c r="J244" i="98"/>
  <c r="G244" i="98"/>
  <c r="F244" i="98"/>
  <c r="E244" i="98"/>
  <c r="R243" i="98"/>
  <c r="M243" i="98"/>
  <c r="H243" i="98"/>
  <c r="R242" i="98"/>
  <c r="M242" i="98"/>
  <c r="H242" i="98"/>
  <c r="R241" i="98"/>
  <c r="M241" i="98"/>
  <c r="H241" i="98"/>
  <c r="Q240" i="98"/>
  <c r="R240" i="98" s="1"/>
  <c r="P240" i="98"/>
  <c r="O240" i="98"/>
  <c r="L240" i="98"/>
  <c r="M240" i="98" s="1"/>
  <c r="K240" i="98"/>
  <c r="J240" i="98"/>
  <c r="G240" i="98"/>
  <c r="H240" i="98" s="1"/>
  <c r="F240" i="98"/>
  <c r="E240" i="98"/>
  <c r="R239" i="98"/>
  <c r="M239" i="98"/>
  <c r="H239" i="98"/>
  <c r="R238" i="98"/>
  <c r="M238" i="98"/>
  <c r="H238" i="98"/>
  <c r="R237" i="98"/>
  <c r="M237" i="98"/>
  <c r="H237" i="98"/>
  <c r="R236" i="98"/>
  <c r="Q236" i="98"/>
  <c r="P236" i="98"/>
  <c r="O236" i="98"/>
  <c r="O234" i="98" s="1"/>
  <c r="O233" i="98" s="1"/>
  <c r="M236" i="98"/>
  <c r="L236" i="98"/>
  <c r="K236" i="98"/>
  <c r="J236" i="98"/>
  <c r="J234" i="98" s="1"/>
  <c r="H236" i="98"/>
  <c r="G236" i="98"/>
  <c r="F236" i="98"/>
  <c r="E236" i="98"/>
  <c r="E234" i="98" s="1"/>
  <c r="R235" i="98"/>
  <c r="M235" i="98"/>
  <c r="H235" i="98"/>
  <c r="Q234" i="98"/>
  <c r="P234" i="98"/>
  <c r="L234" i="98"/>
  <c r="K234" i="98"/>
  <c r="G234" i="98"/>
  <c r="F234" i="98"/>
  <c r="L233" i="98"/>
  <c r="L231" i="98" s="1"/>
  <c r="G233" i="98"/>
  <c r="G231" i="98" s="1"/>
  <c r="R232" i="98"/>
  <c r="M232" i="98"/>
  <c r="H232" i="98"/>
  <c r="O231" i="98"/>
  <c r="R230" i="98"/>
  <c r="M230" i="98"/>
  <c r="H230" i="98"/>
  <c r="R229" i="98"/>
  <c r="M229" i="98"/>
  <c r="H229" i="98"/>
  <c r="R228" i="98"/>
  <c r="M228" i="98"/>
  <c r="H228" i="98"/>
  <c r="Q227" i="98"/>
  <c r="P227" i="98"/>
  <c r="R227" i="98" s="1"/>
  <c r="O227" i="98"/>
  <c r="L227" i="98"/>
  <c r="K227" i="98"/>
  <c r="J227" i="98"/>
  <c r="G227" i="98"/>
  <c r="F227" i="98"/>
  <c r="H227" i="98" s="1"/>
  <c r="E227" i="98"/>
  <c r="R226" i="98"/>
  <c r="M226" i="98"/>
  <c r="H226" i="98"/>
  <c r="R225" i="98"/>
  <c r="M225" i="98"/>
  <c r="H225" i="98"/>
  <c r="R224" i="98"/>
  <c r="M224" i="98"/>
  <c r="H224" i="98"/>
  <c r="R223" i="98"/>
  <c r="Q223" i="98"/>
  <c r="P223" i="98"/>
  <c r="O223" i="98"/>
  <c r="M223" i="98"/>
  <c r="L223" i="98"/>
  <c r="K223" i="98"/>
  <c r="J223" i="98"/>
  <c r="H223" i="98"/>
  <c r="G223" i="98"/>
  <c r="F223" i="98"/>
  <c r="E223" i="98"/>
  <c r="R222" i="98"/>
  <c r="M222" i="98"/>
  <c r="H222" i="98"/>
  <c r="R221" i="98"/>
  <c r="M221" i="98"/>
  <c r="H221" i="98"/>
  <c r="R220" i="98"/>
  <c r="M220" i="98"/>
  <c r="H220" i="98"/>
  <c r="R219" i="98"/>
  <c r="Q219" i="98"/>
  <c r="P219" i="98"/>
  <c r="P217" i="98" s="1"/>
  <c r="O219" i="98"/>
  <c r="O217" i="98" s="1"/>
  <c r="M219" i="98"/>
  <c r="L219" i="98"/>
  <c r="K219" i="98"/>
  <c r="K217" i="98" s="1"/>
  <c r="J219" i="98"/>
  <c r="H219" i="98"/>
  <c r="G219" i="98"/>
  <c r="F219" i="98"/>
  <c r="F217" i="98" s="1"/>
  <c r="E219" i="98"/>
  <c r="E217" i="98" s="1"/>
  <c r="R218" i="98"/>
  <c r="M218" i="98"/>
  <c r="H218" i="98"/>
  <c r="Q217" i="98"/>
  <c r="L217" i="98"/>
  <c r="J217" i="98"/>
  <c r="J216" i="98" s="1"/>
  <c r="G217" i="98"/>
  <c r="G216" i="98" s="1"/>
  <c r="O216" i="98"/>
  <c r="L216" i="98"/>
  <c r="R215" i="98"/>
  <c r="M215" i="98"/>
  <c r="H215" i="98"/>
  <c r="R214" i="98"/>
  <c r="M214" i="98"/>
  <c r="H214" i="98"/>
  <c r="Q213" i="98"/>
  <c r="P213" i="98"/>
  <c r="O213" i="98"/>
  <c r="L213" i="98"/>
  <c r="K213" i="98"/>
  <c r="J213" i="98"/>
  <c r="G213" i="98"/>
  <c r="F213" i="98"/>
  <c r="E213" i="98"/>
  <c r="H213" i="98" s="1"/>
  <c r="R212" i="98"/>
  <c r="M212" i="98"/>
  <c r="H212" i="98"/>
  <c r="R211" i="98"/>
  <c r="M211" i="98"/>
  <c r="H211" i="98"/>
  <c r="Q210" i="98"/>
  <c r="P210" i="98"/>
  <c r="O210" i="98"/>
  <c r="L210" i="98"/>
  <c r="M210" i="98" s="1"/>
  <c r="K210" i="98"/>
  <c r="J210" i="98"/>
  <c r="G210" i="98"/>
  <c r="H210" i="98" s="1"/>
  <c r="F210" i="98"/>
  <c r="E210" i="98"/>
  <c r="R209" i="98"/>
  <c r="M209" i="98"/>
  <c r="H209" i="98"/>
  <c r="R208" i="98"/>
  <c r="M208" i="98"/>
  <c r="H208" i="98"/>
  <c r="R207" i="98"/>
  <c r="M207" i="98"/>
  <c r="H207" i="98"/>
  <c r="R206" i="98"/>
  <c r="M206" i="98"/>
  <c r="H206" i="98"/>
  <c r="Q205" i="98"/>
  <c r="R205" i="98" s="1"/>
  <c r="P205" i="98"/>
  <c r="O205" i="98"/>
  <c r="L205" i="98"/>
  <c r="M205" i="98" s="1"/>
  <c r="K205" i="98"/>
  <c r="J205" i="98"/>
  <c r="G205" i="98"/>
  <c r="F205" i="98"/>
  <c r="E205" i="98"/>
  <c r="R202" i="98"/>
  <c r="M202" i="98"/>
  <c r="H202" i="98"/>
  <c r="R201" i="98"/>
  <c r="M201" i="98"/>
  <c r="H201" i="98"/>
  <c r="R200" i="98"/>
  <c r="Q200" i="98"/>
  <c r="P200" i="98"/>
  <c r="O200" i="98"/>
  <c r="M200" i="98"/>
  <c r="L200" i="98"/>
  <c r="K200" i="98"/>
  <c r="J200" i="98"/>
  <c r="H200" i="98"/>
  <c r="G200" i="98"/>
  <c r="F200" i="98"/>
  <c r="E200" i="98"/>
  <c r="R199" i="98"/>
  <c r="M199" i="98"/>
  <c r="H199" i="98"/>
  <c r="R198" i="98"/>
  <c r="M198" i="98"/>
  <c r="H198" i="98"/>
  <c r="R197" i="98"/>
  <c r="M197" i="98"/>
  <c r="H197" i="98"/>
  <c r="R196" i="98"/>
  <c r="M196" i="98"/>
  <c r="H196" i="98"/>
  <c r="R195" i="98"/>
  <c r="Q195" i="98"/>
  <c r="P195" i="98"/>
  <c r="P194" i="98" s="1"/>
  <c r="O195" i="98"/>
  <c r="M195" i="98"/>
  <c r="L195" i="98"/>
  <c r="K195" i="98"/>
  <c r="K194" i="98" s="1"/>
  <c r="M194" i="98" s="1"/>
  <c r="J195" i="98"/>
  <c r="H195" i="98"/>
  <c r="G195" i="98"/>
  <c r="F195" i="98"/>
  <c r="F194" i="98" s="1"/>
  <c r="E195" i="98"/>
  <c r="C195" i="98"/>
  <c r="C194" i="98" s="1"/>
  <c r="Q194" i="98"/>
  <c r="O194" i="98"/>
  <c r="R194" i="98" s="1"/>
  <c r="L194" i="98"/>
  <c r="J194" i="98"/>
  <c r="H194" i="98"/>
  <c r="G194" i="98"/>
  <c r="E194" i="98"/>
  <c r="R193" i="98"/>
  <c r="M193" i="98"/>
  <c r="H193" i="98"/>
  <c r="R192" i="98"/>
  <c r="M192" i="98"/>
  <c r="H192" i="98"/>
  <c r="R191" i="98"/>
  <c r="M191" i="98"/>
  <c r="H191" i="98"/>
  <c r="Q190" i="98"/>
  <c r="Q189" i="98" s="1"/>
  <c r="P190" i="98"/>
  <c r="O190" i="98"/>
  <c r="L190" i="98"/>
  <c r="K190" i="98"/>
  <c r="K189" i="98" s="1"/>
  <c r="J190" i="98"/>
  <c r="G190" i="98"/>
  <c r="F190" i="98"/>
  <c r="F189" i="98" s="1"/>
  <c r="F182" i="98" s="1"/>
  <c r="F178" i="98" s="1"/>
  <c r="E190" i="98"/>
  <c r="P189" i="98"/>
  <c r="P182" i="98" s="1"/>
  <c r="P178" i="98" s="1"/>
  <c r="O189" i="98"/>
  <c r="L189" i="98"/>
  <c r="J189" i="98"/>
  <c r="G189" i="98"/>
  <c r="R188" i="98"/>
  <c r="M188" i="98"/>
  <c r="H188" i="98"/>
  <c r="R187" i="98"/>
  <c r="M187" i="98"/>
  <c r="H187" i="98"/>
  <c r="R186" i="98"/>
  <c r="M186" i="98"/>
  <c r="H186" i="98"/>
  <c r="Q185" i="98"/>
  <c r="R185" i="98" s="1"/>
  <c r="P185" i="98"/>
  <c r="O185" i="98"/>
  <c r="L185" i="98"/>
  <c r="M185" i="98" s="1"/>
  <c r="K185" i="98"/>
  <c r="J185" i="98"/>
  <c r="G185" i="98"/>
  <c r="H185" i="98" s="1"/>
  <c r="F185" i="98"/>
  <c r="E185" i="98"/>
  <c r="Q184" i="98"/>
  <c r="R184" i="98" s="1"/>
  <c r="P184" i="98"/>
  <c r="O184" i="98"/>
  <c r="K184" i="98"/>
  <c r="J184" i="98"/>
  <c r="F184" i="98"/>
  <c r="E184" i="98"/>
  <c r="Q183" i="98"/>
  <c r="R183" i="98" s="1"/>
  <c r="P183" i="98"/>
  <c r="O183" i="98"/>
  <c r="K183" i="98"/>
  <c r="J183" i="98"/>
  <c r="F183" i="98"/>
  <c r="E183" i="98"/>
  <c r="K182" i="98"/>
  <c r="R181" i="98"/>
  <c r="M181" i="98"/>
  <c r="H181" i="98"/>
  <c r="R180" i="98"/>
  <c r="M180" i="98"/>
  <c r="H180" i="98"/>
  <c r="R179" i="98"/>
  <c r="M179" i="98"/>
  <c r="H179" i="98"/>
  <c r="R177" i="98"/>
  <c r="M177" i="98"/>
  <c r="R176" i="98"/>
  <c r="M176" i="98"/>
  <c r="H176" i="98"/>
  <c r="R175" i="98"/>
  <c r="M175" i="98"/>
  <c r="H175" i="98"/>
  <c r="R174" i="98"/>
  <c r="M174" i="98"/>
  <c r="H174" i="98"/>
  <c r="Q173" i="98"/>
  <c r="P173" i="98"/>
  <c r="O173" i="98"/>
  <c r="L173" i="98"/>
  <c r="K173" i="98"/>
  <c r="M173" i="98" s="1"/>
  <c r="J173" i="98"/>
  <c r="G173" i="98"/>
  <c r="F173" i="98"/>
  <c r="E173" i="98"/>
  <c r="R172" i="98"/>
  <c r="M172" i="98"/>
  <c r="H172" i="98"/>
  <c r="R171" i="98"/>
  <c r="M171" i="98"/>
  <c r="H171" i="98"/>
  <c r="R170" i="98"/>
  <c r="M170" i="98"/>
  <c r="H170" i="98"/>
  <c r="R169" i="98"/>
  <c r="Q169" i="98"/>
  <c r="P169" i="98"/>
  <c r="O169" i="98"/>
  <c r="M169" i="98"/>
  <c r="L169" i="98"/>
  <c r="K169" i="98"/>
  <c r="J169" i="98"/>
  <c r="H169" i="98"/>
  <c r="G169" i="98"/>
  <c r="F169" i="98"/>
  <c r="E169" i="98"/>
  <c r="R168" i="98"/>
  <c r="M168" i="98"/>
  <c r="H168" i="98"/>
  <c r="R167" i="98"/>
  <c r="M167" i="98"/>
  <c r="H167" i="98"/>
  <c r="Q166" i="98"/>
  <c r="Q165" i="98" s="1"/>
  <c r="P166" i="98"/>
  <c r="O166" i="98"/>
  <c r="R166" i="98" s="1"/>
  <c r="L166" i="98"/>
  <c r="K166" i="98"/>
  <c r="K165" i="98" s="1"/>
  <c r="J166" i="98"/>
  <c r="G166" i="98"/>
  <c r="G165" i="98" s="1"/>
  <c r="F166" i="98"/>
  <c r="E166" i="98"/>
  <c r="P165" i="98"/>
  <c r="O165" i="98"/>
  <c r="R165" i="98" s="1"/>
  <c r="L165" i="98"/>
  <c r="J165" i="98"/>
  <c r="M165" i="98" s="1"/>
  <c r="F165" i="98"/>
  <c r="R163" i="98"/>
  <c r="M163" i="98"/>
  <c r="H163" i="98"/>
  <c r="R162" i="98"/>
  <c r="M162" i="98"/>
  <c r="H162" i="98"/>
  <c r="R161" i="98"/>
  <c r="M161" i="98"/>
  <c r="H161" i="98"/>
  <c r="R160" i="98"/>
  <c r="Q160" i="98"/>
  <c r="P160" i="98"/>
  <c r="O160" i="98"/>
  <c r="M160" i="98"/>
  <c r="L160" i="98"/>
  <c r="K160" i="98"/>
  <c r="J160" i="98"/>
  <c r="H160" i="98"/>
  <c r="G160" i="98"/>
  <c r="F160" i="98"/>
  <c r="E160" i="98"/>
  <c r="R159" i="98"/>
  <c r="M159" i="98"/>
  <c r="H159" i="98"/>
  <c r="R158" i="98"/>
  <c r="M158" i="98"/>
  <c r="H158" i="98"/>
  <c r="R157" i="98"/>
  <c r="M157" i="98"/>
  <c r="H157" i="98"/>
  <c r="Q156" i="98"/>
  <c r="P156" i="98"/>
  <c r="O156" i="98"/>
  <c r="R156" i="98" s="1"/>
  <c r="L156" i="98"/>
  <c r="L149" i="98" s="1"/>
  <c r="K156" i="98"/>
  <c r="J156" i="98"/>
  <c r="G156" i="98"/>
  <c r="F156" i="98"/>
  <c r="E156" i="98"/>
  <c r="R155" i="98"/>
  <c r="M155" i="98"/>
  <c r="H155" i="98"/>
  <c r="R154" i="98"/>
  <c r="M154" i="98"/>
  <c r="H154" i="98"/>
  <c r="R153" i="98"/>
  <c r="M153" i="98"/>
  <c r="H153" i="98"/>
  <c r="R152" i="98"/>
  <c r="Q152" i="98"/>
  <c r="P152" i="98"/>
  <c r="P150" i="98" s="1"/>
  <c r="P149" i="98" s="1"/>
  <c r="P147" i="98" s="1"/>
  <c r="O152" i="98"/>
  <c r="M152" i="98"/>
  <c r="L152" i="98"/>
  <c r="K152" i="98"/>
  <c r="K150" i="98" s="1"/>
  <c r="J152" i="98"/>
  <c r="H152" i="98"/>
  <c r="G152" i="98"/>
  <c r="F152" i="98"/>
  <c r="F150" i="98" s="1"/>
  <c r="F149" i="98" s="1"/>
  <c r="E152" i="98"/>
  <c r="R151" i="98"/>
  <c r="M151" i="98"/>
  <c r="H151" i="98"/>
  <c r="Q150" i="98"/>
  <c r="O150" i="98"/>
  <c r="L150" i="98"/>
  <c r="J150" i="98"/>
  <c r="G150" i="98"/>
  <c r="E150" i="98"/>
  <c r="E149" i="98" s="1"/>
  <c r="H149" i="98" s="1"/>
  <c r="Q149" i="98"/>
  <c r="J149" i="98"/>
  <c r="J147" i="98" s="1"/>
  <c r="G149" i="98"/>
  <c r="G147" i="98" s="1"/>
  <c r="R148" i="98"/>
  <c r="Q148" i="98"/>
  <c r="L148" i="98"/>
  <c r="J148" i="98"/>
  <c r="G148" i="98"/>
  <c r="F148" i="98"/>
  <c r="F147" i="98" s="1"/>
  <c r="E148" i="98"/>
  <c r="R146" i="98"/>
  <c r="M146" i="98"/>
  <c r="H146" i="98"/>
  <c r="R145" i="98"/>
  <c r="P145" i="98"/>
  <c r="K145" i="98"/>
  <c r="G145" i="98"/>
  <c r="F145" i="98"/>
  <c r="R144" i="98"/>
  <c r="M144" i="98"/>
  <c r="H144" i="98"/>
  <c r="Q143" i="98"/>
  <c r="P143" i="98"/>
  <c r="O143" i="98"/>
  <c r="L143" i="98"/>
  <c r="J143" i="98"/>
  <c r="F143" i="98"/>
  <c r="E143" i="98"/>
  <c r="R142" i="98"/>
  <c r="M142" i="98"/>
  <c r="H142" i="98"/>
  <c r="E142" i="98"/>
  <c r="R141" i="98"/>
  <c r="M141" i="98"/>
  <c r="H141" i="98"/>
  <c r="R140" i="98"/>
  <c r="M140" i="98"/>
  <c r="E140" i="98"/>
  <c r="H140" i="98" s="1"/>
  <c r="Q139" i="98"/>
  <c r="P139" i="98"/>
  <c r="O139" i="98"/>
  <c r="R139" i="98" s="1"/>
  <c r="L139" i="98"/>
  <c r="K139" i="98"/>
  <c r="J139" i="98"/>
  <c r="M139" i="98" s="1"/>
  <c r="G139" i="98"/>
  <c r="F139" i="98"/>
  <c r="R138" i="98"/>
  <c r="M138" i="98"/>
  <c r="H138" i="98"/>
  <c r="R137" i="98"/>
  <c r="M137" i="98"/>
  <c r="H137" i="98"/>
  <c r="R136" i="98"/>
  <c r="M136" i="98"/>
  <c r="H136" i="98"/>
  <c r="Q135" i="98"/>
  <c r="Q133" i="98" s="1"/>
  <c r="Q132" i="98" s="1"/>
  <c r="P135" i="98"/>
  <c r="O135" i="98"/>
  <c r="L135" i="98"/>
  <c r="L133" i="98" s="1"/>
  <c r="K135" i="98"/>
  <c r="K133" i="98" s="1"/>
  <c r="J135" i="98"/>
  <c r="G135" i="98"/>
  <c r="G133" i="98" s="1"/>
  <c r="F135" i="98"/>
  <c r="E135" i="98"/>
  <c r="H135" i="98" s="1"/>
  <c r="R134" i="98"/>
  <c r="M134" i="98"/>
  <c r="H134" i="98"/>
  <c r="R133" i="98"/>
  <c r="P133" i="98"/>
  <c r="O133" i="98"/>
  <c r="J133" i="98"/>
  <c r="F133" i="98"/>
  <c r="F132" i="98" s="1"/>
  <c r="P132" i="98"/>
  <c r="O131" i="98"/>
  <c r="J131" i="98"/>
  <c r="E131" i="98"/>
  <c r="R130" i="98"/>
  <c r="M130" i="98"/>
  <c r="H130" i="98"/>
  <c r="Q129" i="98"/>
  <c r="P129" i="98"/>
  <c r="L129" i="98"/>
  <c r="K129" i="98"/>
  <c r="G129" i="98"/>
  <c r="F129" i="98"/>
  <c r="R128" i="98"/>
  <c r="M128" i="98"/>
  <c r="H128" i="98"/>
  <c r="O127" i="98"/>
  <c r="J127" i="98"/>
  <c r="G127" i="98"/>
  <c r="E127" i="98"/>
  <c r="Q126" i="98"/>
  <c r="P126" i="98"/>
  <c r="L126" i="98"/>
  <c r="K126" i="98"/>
  <c r="F126" i="98"/>
  <c r="E126" i="98"/>
  <c r="R125" i="98"/>
  <c r="M125" i="98"/>
  <c r="H125" i="98"/>
  <c r="Q124" i="98"/>
  <c r="Q40" i="98" s="1"/>
  <c r="Q37" i="98" s="1"/>
  <c r="P124" i="98"/>
  <c r="O124" i="98"/>
  <c r="L124" i="98"/>
  <c r="L40" i="98" s="1"/>
  <c r="L37" i="98" s="1"/>
  <c r="K124" i="98"/>
  <c r="J124" i="98"/>
  <c r="J121" i="98" s="1"/>
  <c r="G124" i="98"/>
  <c r="G40" i="98" s="1"/>
  <c r="G37" i="98" s="1"/>
  <c r="F124" i="98"/>
  <c r="F121" i="98" s="1"/>
  <c r="E124" i="98"/>
  <c r="E121" i="98" s="1"/>
  <c r="H121" i="98" s="1"/>
  <c r="P123" i="98"/>
  <c r="P39" i="98" s="1"/>
  <c r="O123" i="98"/>
  <c r="K123" i="98"/>
  <c r="J123" i="98"/>
  <c r="J39" i="98" s="1"/>
  <c r="M39" i="98" s="1"/>
  <c r="F123" i="98"/>
  <c r="H123" i="98" s="1"/>
  <c r="E123" i="98"/>
  <c r="R122" i="98"/>
  <c r="P122" i="98"/>
  <c r="P121" i="98" s="1"/>
  <c r="P120" i="98" s="1"/>
  <c r="P119" i="98" s="1"/>
  <c r="O122" i="98"/>
  <c r="O38" i="98" s="1"/>
  <c r="K122" i="98"/>
  <c r="K121" i="98" s="1"/>
  <c r="J122" i="98"/>
  <c r="M122" i="98" s="1"/>
  <c r="H122" i="98"/>
  <c r="F122" i="98"/>
  <c r="E122" i="98"/>
  <c r="E38" i="98" s="1"/>
  <c r="Q121" i="98"/>
  <c r="Q120" i="98" s="1"/>
  <c r="O121" i="98"/>
  <c r="R121" i="98" s="1"/>
  <c r="L121" i="98"/>
  <c r="G121" i="98"/>
  <c r="R118" i="98"/>
  <c r="M118" i="98"/>
  <c r="H118" i="98"/>
  <c r="R117" i="98"/>
  <c r="P117" i="98"/>
  <c r="M117" i="98"/>
  <c r="K117" i="98"/>
  <c r="H117" i="98"/>
  <c r="F117" i="98"/>
  <c r="Q116" i="98"/>
  <c r="P116" i="98"/>
  <c r="R116" i="98" s="1"/>
  <c r="O116" i="98"/>
  <c r="L116" i="98"/>
  <c r="K116" i="98"/>
  <c r="M116" i="98" s="1"/>
  <c r="J116" i="98"/>
  <c r="G116" i="98"/>
  <c r="F116" i="98"/>
  <c r="H116" i="98" s="1"/>
  <c r="E116" i="98"/>
  <c r="R115" i="98"/>
  <c r="M115" i="98"/>
  <c r="H115" i="98"/>
  <c r="R114" i="98"/>
  <c r="M114" i="98"/>
  <c r="H114" i="98"/>
  <c r="R113" i="98"/>
  <c r="M113" i="98"/>
  <c r="H113" i="98"/>
  <c r="R112" i="98"/>
  <c r="M112" i="98"/>
  <c r="H112" i="98"/>
  <c r="Q111" i="98"/>
  <c r="P111" i="98"/>
  <c r="P110" i="98" s="1"/>
  <c r="O111" i="98"/>
  <c r="L111" i="98"/>
  <c r="K111" i="98"/>
  <c r="K110" i="98" s="1"/>
  <c r="J111" i="98"/>
  <c r="G111" i="98"/>
  <c r="F111" i="98"/>
  <c r="F110" i="98" s="1"/>
  <c r="E111" i="98"/>
  <c r="C111" i="98"/>
  <c r="C110" i="98" s="1"/>
  <c r="Q110" i="98"/>
  <c r="O110" i="98"/>
  <c r="R110" i="98" s="1"/>
  <c r="L110" i="98"/>
  <c r="J110" i="98"/>
  <c r="G110" i="98"/>
  <c r="E110" i="98"/>
  <c r="H110" i="98" s="1"/>
  <c r="R109" i="98"/>
  <c r="M109" i="98"/>
  <c r="H109" i="98"/>
  <c r="R108" i="98"/>
  <c r="M108" i="98"/>
  <c r="H108" i="98"/>
  <c r="R107" i="98"/>
  <c r="M107" i="98"/>
  <c r="H107" i="98"/>
  <c r="Q106" i="98"/>
  <c r="P106" i="98"/>
  <c r="O106" i="98"/>
  <c r="R106" i="98" s="1"/>
  <c r="L106" i="98"/>
  <c r="L105" i="98" s="1"/>
  <c r="L98" i="98" s="1"/>
  <c r="L94" i="98" s="1"/>
  <c r="K106" i="98"/>
  <c r="J106" i="98"/>
  <c r="M106" i="98" s="1"/>
  <c r="G106" i="98"/>
  <c r="G105" i="98" s="1"/>
  <c r="G98" i="98" s="1"/>
  <c r="G94" i="98" s="1"/>
  <c r="F106" i="98"/>
  <c r="E106" i="98"/>
  <c r="Q105" i="98"/>
  <c r="Q98" i="98" s="1"/>
  <c r="P105" i="98"/>
  <c r="K105" i="98"/>
  <c r="J105" i="98"/>
  <c r="F105" i="98"/>
  <c r="E105" i="98"/>
  <c r="R104" i="98"/>
  <c r="M104" i="98"/>
  <c r="H104" i="98"/>
  <c r="R103" i="98"/>
  <c r="M103" i="98"/>
  <c r="H103" i="98"/>
  <c r="R102" i="98"/>
  <c r="M102" i="98"/>
  <c r="H102" i="98"/>
  <c r="Q101" i="98"/>
  <c r="P101" i="98"/>
  <c r="R101" i="98" s="1"/>
  <c r="O101" i="98"/>
  <c r="L101" i="98"/>
  <c r="K101" i="98"/>
  <c r="M101" i="98" s="1"/>
  <c r="J101" i="98"/>
  <c r="G101" i="98"/>
  <c r="F101" i="98"/>
  <c r="H101" i="98" s="1"/>
  <c r="E101" i="98"/>
  <c r="Q100" i="98"/>
  <c r="P100" i="98"/>
  <c r="R100" i="98" s="1"/>
  <c r="O100" i="98"/>
  <c r="L100" i="98"/>
  <c r="K100" i="98"/>
  <c r="M100" i="98" s="1"/>
  <c r="J100" i="98"/>
  <c r="G100" i="98"/>
  <c r="F100" i="98"/>
  <c r="H100" i="98" s="1"/>
  <c r="E100" i="98"/>
  <c r="Q99" i="98"/>
  <c r="P99" i="98"/>
  <c r="R99" i="98" s="1"/>
  <c r="O99" i="98"/>
  <c r="L99" i="98"/>
  <c r="K99" i="98"/>
  <c r="M99" i="98" s="1"/>
  <c r="J99" i="98"/>
  <c r="G99" i="98"/>
  <c r="F99" i="98"/>
  <c r="H99" i="98" s="1"/>
  <c r="E99" i="98"/>
  <c r="K98" i="98"/>
  <c r="K94" i="98" s="1"/>
  <c r="R97" i="98"/>
  <c r="M97" i="98"/>
  <c r="H97" i="98"/>
  <c r="R96" i="98"/>
  <c r="M96" i="98"/>
  <c r="H96" i="98"/>
  <c r="R95" i="98"/>
  <c r="M95" i="98"/>
  <c r="H95" i="98"/>
  <c r="Q94" i="98"/>
  <c r="R93" i="98"/>
  <c r="M93" i="98"/>
  <c r="H93" i="98"/>
  <c r="R92" i="98"/>
  <c r="M92" i="98"/>
  <c r="H92" i="98"/>
  <c r="R90" i="98"/>
  <c r="M90" i="98"/>
  <c r="H90" i="98"/>
  <c r="Q89" i="98"/>
  <c r="P89" i="98"/>
  <c r="L89" i="98"/>
  <c r="K89" i="98"/>
  <c r="G89" i="98"/>
  <c r="F89" i="98"/>
  <c r="R88" i="98"/>
  <c r="M88" i="98"/>
  <c r="H88" i="98"/>
  <c r="R87" i="98"/>
  <c r="M87" i="98"/>
  <c r="H87" i="98"/>
  <c r="R86" i="98"/>
  <c r="M86" i="98"/>
  <c r="H86" i="98"/>
  <c r="Q85" i="98"/>
  <c r="P85" i="98"/>
  <c r="O85" i="98"/>
  <c r="L85" i="98"/>
  <c r="L81" i="98" s="1"/>
  <c r="K85" i="98"/>
  <c r="K81" i="98" s="1"/>
  <c r="J85" i="98"/>
  <c r="G85" i="98"/>
  <c r="F85" i="98"/>
  <c r="F81" i="98" s="1"/>
  <c r="E85" i="98"/>
  <c r="H85" i="98" s="1"/>
  <c r="R84" i="98"/>
  <c r="M84" i="98"/>
  <c r="H84" i="98"/>
  <c r="R83" i="98"/>
  <c r="M83" i="98"/>
  <c r="H83" i="98"/>
  <c r="Q82" i="98"/>
  <c r="P82" i="98"/>
  <c r="O82" i="98"/>
  <c r="L82" i="98"/>
  <c r="K82" i="98"/>
  <c r="J82" i="98"/>
  <c r="M82" i="98" s="1"/>
  <c r="G82" i="98"/>
  <c r="F82" i="98"/>
  <c r="E82" i="98"/>
  <c r="H82" i="98" s="1"/>
  <c r="Q81" i="98"/>
  <c r="G81" i="98"/>
  <c r="O79" i="98"/>
  <c r="R79" i="98" s="1"/>
  <c r="J79" i="98"/>
  <c r="M79" i="98" s="1"/>
  <c r="E79" i="98"/>
  <c r="H79" i="98" s="1"/>
  <c r="R78" i="98"/>
  <c r="M78" i="98"/>
  <c r="H78" i="98"/>
  <c r="R77" i="98"/>
  <c r="M77" i="98"/>
  <c r="H77" i="98"/>
  <c r="Q76" i="98"/>
  <c r="P76" i="98"/>
  <c r="O76" i="98"/>
  <c r="R76" i="98" s="1"/>
  <c r="L76" i="98"/>
  <c r="K76" i="98"/>
  <c r="J76" i="98"/>
  <c r="G76" i="98"/>
  <c r="F76" i="98"/>
  <c r="E76" i="98"/>
  <c r="O75" i="98"/>
  <c r="R75" i="98" s="1"/>
  <c r="J75" i="98"/>
  <c r="M75" i="98" s="1"/>
  <c r="E75" i="98"/>
  <c r="H75" i="98" s="1"/>
  <c r="O74" i="98"/>
  <c r="J74" i="98"/>
  <c r="E74" i="98"/>
  <c r="R73" i="98"/>
  <c r="M73" i="98"/>
  <c r="H73" i="98"/>
  <c r="Q72" i="98"/>
  <c r="P72" i="98"/>
  <c r="L72" i="98"/>
  <c r="K72" i="98"/>
  <c r="G72" i="98"/>
  <c r="F72" i="98"/>
  <c r="R71" i="98"/>
  <c r="M71" i="98"/>
  <c r="H71" i="98"/>
  <c r="R70" i="98"/>
  <c r="M70" i="98"/>
  <c r="H70" i="98"/>
  <c r="R69" i="98"/>
  <c r="M69" i="98"/>
  <c r="H69" i="98"/>
  <c r="Q68" i="98"/>
  <c r="Q66" i="98" s="1"/>
  <c r="Q65" i="98" s="1"/>
  <c r="P68" i="98"/>
  <c r="O68" i="98"/>
  <c r="L68" i="98"/>
  <c r="L66" i="98" s="1"/>
  <c r="L65" i="98" s="1"/>
  <c r="K68" i="98"/>
  <c r="J68" i="98"/>
  <c r="G68" i="98"/>
  <c r="G66" i="98" s="1"/>
  <c r="G65" i="98" s="1"/>
  <c r="G63" i="98" s="1"/>
  <c r="F68" i="98"/>
  <c r="E68" i="98"/>
  <c r="R67" i="98"/>
  <c r="M67" i="98"/>
  <c r="H67" i="98"/>
  <c r="P66" i="98"/>
  <c r="K66" i="98"/>
  <c r="K65" i="98" s="1"/>
  <c r="K63" i="98" s="1"/>
  <c r="F66" i="98"/>
  <c r="P65" i="98"/>
  <c r="P63" i="98" s="1"/>
  <c r="F65" i="98"/>
  <c r="Q64" i="98"/>
  <c r="O64" i="98"/>
  <c r="L64" i="98"/>
  <c r="L63" i="98" s="1"/>
  <c r="J64" i="98"/>
  <c r="G64" i="98"/>
  <c r="F64" i="98"/>
  <c r="F63" i="98" s="1"/>
  <c r="E64" i="98"/>
  <c r="R62" i="98"/>
  <c r="O62" i="98"/>
  <c r="M62" i="98"/>
  <c r="J62" i="98"/>
  <c r="H62" i="98"/>
  <c r="E62" i="98"/>
  <c r="Q61" i="98"/>
  <c r="P61" i="98"/>
  <c r="P59" i="98" s="1"/>
  <c r="O61" i="98"/>
  <c r="L61" i="98"/>
  <c r="K61" i="98"/>
  <c r="K59" i="98" s="1"/>
  <c r="J61" i="98"/>
  <c r="F61" i="98"/>
  <c r="F59" i="98" s="1"/>
  <c r="E61" i="98"/>
  <c r="R60" i="98"/>
  <c r="M60" i="98"/>
  <c r="H60" i="98"/>
  <c r="Q59" i="98"/>
  <c r="O59" i="98"/>
  <c r="L59" i="98"/>
  <c r="J59" i="98"/>
  <c r="E59" i="98"/>
  <c r="O58" i="98"/>
  <c r="R58" i="98" s="1"/>
  <c r="J58" i="98"/>
  <c r="M58" i="98" s="1"/>
  <c r="E58" i="98"/>
  <c r="H58" i="98" s="1"/>
  <c r="O57" i="98"/>
  <c r="R57" i="98" s="1"/>
  <c r="J57" i="98"/>
  <c r="M57" i="98" s="1"/>
  <c r="E57" i="98"/>
  <c r="H57" i="98" s="1"/>
  <c r="O56" i="98"/>
  <c r="R56" i="98" s="1"/>
  <c r="J56" i="98"/>
  <c r="M56" i="98" s="1"/>
  <c r="Q55" i="98"/>
  <c r="P55" i="98"/>
  <c r="L55" i="98"/>
  <c r="K55" i="98"/>
  <c r="J55" i="98"/>
  <c r="M55" i="98" s="1"/>
  <c r="G55" i="98"/>
  <c r="F55" i="98"/>
  <c r="R54" i="98"/>
  <c r="M54" i="98"/>
  <c r="H54" i="98"/>
  <c r="R53" i="98"/>
  <c r="M53" i="98"/>
  <c r="H53" i="98"/>
  <c r="O52" i="98"/>
  <c r="R52" i="98" s="1"/>
  <c r="J52" i="98"/>
  <c r="M52" i="98" s="1"/>
  <c r="E52" i="98"/>
  <c r="H52" i="98" s="1"/>
  <c r="Q51" i="98"/>
  <c r="Q49" i="98" s="1"/>
  <c r="P51" i="98"/>
  <c r="O51" i="98"/>
  <c r="L51" i="98"/>
  <c r="L49" i="98" s="1"/>
  <c r="L48" i="98" s="1"/>
  <c r="K51" i="98"/>
  <c r="G51" i="98"/>
  <c r="G49" i="98" s="1"/>
  <c r="F51" i="98"/>
  <c r="R50" i="98"/>
  <c r="M50" i="98"/>
  <c r="H50" i="98"/>
  <c r="P49" i="98"/>
  <c r="K49" i="98"/>
  <c r="K48" i="98" s="1"/>
  <c r="F49" i="98"/>
  <c r="P48" i="98"/>
  <c r="F48" i="98"/>
  <c r="R46" i="98"/>
  <c r="M46" i="98"/>
  <c r="H46" i="98"/>
  <c r="Q45" i="98"/>
  <c r="P45" i="98"/>
  <c r="L45" i="98"/>
  <c r="K45" i="98"/>
  <c r="G45" i="98"/>
  <c r="F45" i="98"/>
  <c r="R44" i="98"/>
  <c r="M44" i="98"/>
  <c r="H44" i="98"/>
  <c r="Q43" i="98"/>
  <c r="L43" i="98"/>
  <c r="E43" i="98"/>
  <c r="E42" i="98" s="1"/>
  <c r="Q42" i="98"/>
  <c r="P42" i="98"/>
  <c r="L42" i="98"/>
  <c r="K42" i="98"/>
  <c r="F42" i="98"/>
  <c r="R41" i="98"/>
  <c r="M41" i="98"/>
  <c r="H41" i="98"/>
  <c r="P40" i="98"/>
  <c r="K40" i="98"/>
  <c r="K37" i="98" s="1"/>
  <c r="K36" i="98" s="1"/>
  <c r="K35" i="98" s="1"/>
  <c r="F40" i="98"/>
  <c r="Q39" i="98"/>
  <c r="L39" i="98"/>
  <c r="K39" i="98"/>
  <c r="G39" i="98"/>
  <c r="F39" i="98"/>
  <c r="H39" i="98" s="1"/>
  <c r="E39" i="98"/>
  <c r="Q38" i="98"/>
  <c r="P38" i="98"/>
  <c r="R38" i="98" s="1"/>
  <c r="L38" i="98"/>
  <c r="K38" i="98"/>
  <c r="H38" i="98"/>
  <c r="G38" i="98"/>
  <c r="F38" i="98"/>
  <c r="P37" i="98"/>
  <c r="P36" i="98" s="1"/>
  <c r="P35" i="98" s="1"/>
  <c r="F37" i="98"/>
  <c r="F36" i="98" s="1"/>
  <c r="F35" i="98" s="1"/>
  <c r="R34" i="98"/>
  <c r="O34" i="98"/>
  <c r="M34" i="98"/>
  <c r="J34" i="98"/>
  <c r="H34" i="98"/>
  <c r="E34" i="98"/>
  <c r="Q33" i="98"/>
  <c r="P33" i="98"/>
  <c r="R33" i="98" s="1"/>
  <c r="O33" i="98"/>
  <c r="L33" i="98"/>
  <c r="K33" i="98"/>
  <c r="M33" i="98" s="1"/>
  <c r="J33" i="98"/>
  <c r="G33" i="98"/>
  <c r="F33" i="98"/>
  <c r="H33" i="98" s="1"/>
  <c r="E33" i="98"/>
  <c r="Q32" i="98"/>
  <c r="P32" i="98"/>
  <c r="R32" i="98" s="1"/>
  <c r="O32" i="98"/>
  <c r="L32" i="98"/>
  <c r="K32" i="98"/>
  <c r="M32" i="98" s="1"/>
  <c r="J32" i="98"/>
  <c r="G32" i="98"/>
  <c r="F32" i="98"/>
  <c r="H32" i="98" s="1"/>
  <c r="E32" i="98"/>
  <c r="R31" i="98"/>
  <c r="M31" i="98"/>
  <c r="H31" i="98"/>
  <c r="R30" i="98"/>
  <c r="M30" i="98"/>
  <c r="H30" i="98"/>
  <c r="R29" i="98"/>
  <c r="M29" i="98"/>
  <c r="H29" i="98"/>
  <c r="O28" i="98"/>
  <c r="R28" i="98" s="1"/>
  <c r="J28" i="98"/>
  <c r="M28" i="98" s="1"/>
  <c r="E28" i="98"/>
  <c r="H28" i="98" s="1"/>
  <c r="Q27" i="98"/>
  <c r="Q26" i="98" s="1"/>
  <c r="P27" i="98"/>
  <c r="O27" i="98"/>
  <c r="L27" i="98"/>
  <c r="L26" i="98" s="1"/>
  <c r="K27" i="98"/>
  <c r="G27" i="98"/>
  <c r="G26" i="98" s="1"/>
  <c r="F27" i="98"/>
  <c r="C27" i="98"/>
  <c r="P26" i="98"/>
  <c r="K26" i="98"/>
  <c r="F26" i="98"/>
  <c r="C26" i="98"/>
  <c r="R25" i="98"/>
  <c r="M25" i="98"/>
  <c r="H25" i="98"/>
  <c r="R24" i="98"/>
  <c r="M24" i="98"/>
  <c r="H24" i="98"/>
  <c r="O23" i="98"/>
  <c r="R23" i="98" s="1"/>
  <c r="J23" i="98"/>
  <c r="M23" i="98" s="1"/>
  <c r="E23" i="98"/>
  <c r="H23" i="98" s="1"/>
  <c r="Q22" i="98"/>
  <c r="Q21" i="98" s="1"/>
  <c r="Q14" i="98" s="1"/>
  <c r="Q10" i="98" s="1"/>
  <c r="P22" i="98"/>
  <c r="L22" i="98"/>
  <c r="K22" i="98"/>
  <c r="J22" i="98"/>
  <c r="J21" i="98" s="1"/>
  <c r="G22" i="98"/>
  <c r="F22" i="98"/>
  <c r="E22" i="98"/>
  <c r="H22" i="98" s="1"/>
  <c r="P21" i="98"/>
  <c r="L21" i="98"/>
  <c r="L14" i="98" s="1"/>
  <c r="L10" i="98" s="1"/>
  <c r="K21" i="98"/>
  <c r="G21" i="98"/>
  <c r="G14" i="98" s="1"/>
  <c r="G10" i="98" s="1"/>
  <c r="F21" i="98"/>
  <c r="R20" i="98"/>
  <c r="M20" i="98"/>
  <c r="H20" i="98"/>
  <c r="R19" i="98"/>
  <c r="M19" i="98"/>
  <c r="H19" i="98"/>
  <c r="R18" i="98"/>
  <c r="M18" i="98"/>
  <c r="H18" i="98"/>
  <c r="R17" i="98"/>
  <c r="Q17" i="98"/>
  <c r="P17" i="98"/>
  <c r="O17" i="98"/>
  <c r="M17" i="98"/>
  <c r="L17" i="98"/>
  <c r="K17" i="98"/>
  <c r="J17" i="98"/>
  <c r="H17" i="98"/>
  <c r="G17" i="98"/>
  <c r="F17" i="98"/>
  <c r="E17" i="98"/>
  <c r="R16" i="98"/>
  <c r="Q16" i="98"/>
  <c r="P16" i="98"/>
  <c r="O16" i="98"/>
  <c r="M16" i="98"/>
  <c r="L16" i="98"/>
  <c r="K16" i="98"/>
  <c r="J16" i="98"/>
  <c r="H16" i="98"/>
  <c r="G16" i="98"/>
  <c r="F16" i="98"/>
  <c r="E16" i="98"/>
  <c r="R15" i="98"/>
  <c r="Q15" i="98"/>
  <c r="P15" i="98"/>
  <c r="O15" i="98"/>
  <c r="M15" i="98"/>
  <c r="L15" i="98"/>
  <c r="K15" i="98"/>
  <c r="K14" i="98" s="1"/>
  <c r="K10" i="98" s="1"/>
  <c r="J15" i="98"/>
  <c r="H15" i="98"/>
  <c r="G15" i="98"/>
  <c r="F15" i="98"/>
  <c r="E15" i="98"/>
  <c r="P14" i="98"/>
  <c r="F14" i="98"/>
  <c r="F10" i="98" s="1"/>
  <c r="R13" i="98"/>
  <c r="O13" i="98"/>
  <c r="M13" i="98"/>
  <c r="J13" i="98"/>
  <c r="H13" i="98"/>
  <c r="E13" i="98"/>
  <c r="R12" i="98"/>
  <c r="O12" i="98"/>
  <c r="M12" i="98"/>
  <c r="J12" i="98"/>
  <c r="H12" i="98"/>
  <c r="E12" i="98"/>
  <c r="R11" i="98"/>
  <c r="O11" i="98"/>
  <c r="M11" i="98"/>
  <c r="J11" i="98"/>
  <c r="H11" i="98"/>
  <c r="E11" i="98"/>
  <c r="P10" i="98"/>
  <c r="I9" i="98"/>
  <c r="H9" i="98"/>
  <c r="G9" i="98"/>
  <c r="F9" i="98"/>
  <c r="K484" i="170" l="1"/>
  <c r="O484" i="170"/>
  <c r="H326" i="150"/>
  <c r="F484" i="170"/>
  <c r="P484" i="170"/>
  <c r="O743" i="98"/>
  <c r="O742" i="98" s="1"/>
  <c r="O755" i="98"/>
  <c r="J788" i="98"/>
  <c r="J539" i="98"/>
  <c r="J537" i="98" s="1"/>
  <c r="O539" i="98"/>
  <c r="O537" i="98" s="1"/>
  <c r="E510" i="98"/>
  <c r="E509" i="98" s="1"/>
  <c r="O555" i="98"/>
  <c r="M121" i="98"/>
  <c r="K80" i="98"/>
  <c r="M21" i="98"/>
  <c r="H42" i="98"/>
  <c r="F80" i="98"/>
  <c r="M133" i="98"/>
  <c r="K132" i="98"/>
  <c r="P80" i="98"/>
  <c r="R27" i="98"/>
  <c r="O26" i="98"/>
  <c r="R26" i="98" s="1"/>
  <c r="M105" i="98"/>
  <c r="J98" i="98"/>
  <c r="J43" i="98"/>
  <c r="M127" i="98"/>
  <c r="J126" i="98"/>
  <c r="M126" i="98" s="1"/>
  <c r="G61" i="98"/>
  <c r="G59" i="98" s="1"/>
  <c r="H145" i="98"/>
  <c r="G143" i="98"/>
  <c r="G132" i="98" s="1"/>
  <c r="H217" i="98"/>
  <c r="E216" i="98"/>
  <c r="K233" i="98"/>
  <c r="K231" i="98" s="1"/>
  <c r="M234" i="98"/>
  <c r="J27" i="98"/>
  <c r="G48" i="98"/>
  <c r="R51" i="98"/>
  <c r="O49" i="98"/>
  <c r="M59" i="98"/>
  <c r="H74" i="98"/>
  <c r="E72" i="98"/>
  <c r="H72" i="98" s="1"/>
  <c r="H105" i="98"/>
  <c r="E98" i="98"/>
  <c r="H124" i="98"/>
  <c r="E40" i="98"/>
  <c r="H40" i="98" s="1"/>
  <c r="R127" i="98"/>
  <c r="O126" i="98"/>
  <c r="R126" i="98" s="1"/>
  <c r="H131" i="98"/>
  <c r="E129" i="98"/>
  <c r="H129" i="98" s="1"/>
  <c r="E47" i="98"/>
  <c r="E133" i="98"/>
  <c r="M145" i="98"/>
  <c r="K143" i="98"/>
  <c r="L147" i="98"/>
  <c r="M147" i="98"/>
  <c r="R150" i="98"/>
  <c r="O149" i="98"/>
  <c r="R210" i="98"/>
  <c r="Q204" i="98"/>
  <c r="Q203" i="98" s="1"/>
  <c r="P231" i="98"/>
  <c r="O22" i="98"/>
  <c r="E27" i="98"/>
  <c r="J51" i="98"/>
  <c r="E56" i="98"/>
  <c r="H61" i="98"/>
  <c r="M61" i="98"/>
  <c r="R61" i="98"/>
  <c r="H64" i="98"/>
  <c r="Q63" i="98"/>
  <c r="M68" i="98"/>
  <c r="J66" i="98"/>
  <c r="M74" i="98"/>
  <c r="J72" i="98"/>
  <c r="M72" i="98" s="1"/>
  <c r="M76" i="98"/>
  <c r="R85" i="98"/>
  <c r="F98" i="98"/>
  <c r="F94" i="98" s="1"/>
  <c r="P98" i="98"/>
  <c r="P94" i="98" s="1"/>
  <c r="P164" i="98" s="1"/>
  <c r="H106" i="98"/>
  <c r="M110" i="98"/>
  <c r="H111" i="98"/>
  <c r="M111" i="98"/>
  <c r="R111" i="98"/>
  <c r="K120" i="98"/>
  <c r="K119" i="98" s="1"/>
  <c r="K164" i="98" s="1"/>
  <c r="M123" i="98"/>
  <c r="F120" i="98"/>
  <c r="F119" i="98" s="1"/>
  <c r="L36" i="98"/>
  <c r="L35" i="98" s="1"/>
  <c r="L80" i="98" s="1"/>
  <c r="J129" i="98"/>
  <c r="M129" i="98" s="1"/>
  <c r="M131" i="98"/>
  <c r="J47" i="98"/>
  <c r="J132" i="98"/>
  <c r="M132" i="98" s="1"/>
  <c r="O132" i="98"/>
  <c r="R132" i="98" s="1"/>
  <c r="R135" i="98"/>
  <c r="E139" i="98"/>
  <c r="H139" i="98" s="1"/>
  <c r="H150" i="98"/>
  <c r="H166" i="98"/>
  <c r="E165" i="98"/>
  <c r="H165" i="98" s="1"/>
  <c r="L184" i="98"/>
  <c r="M124" i="98"/>
  <c r="J40" i="98"/>
  <c r="M40" i="98" s="1"/>
  <c r="Q216" i="98"/>
  <c r="R217" i="98"/>
  <c r="H249" i="98"/>
  <c r="R68" i="98"/>
  <c r="O66" i="98"/>
  <c r="E21" i="98"/>
  <c r="M22" i="98"/>
  <c r="O43" i="98"/>
  <c r="E51" i="98"/>
  <c r="Q48" i="98"/>
  <c r="Q36" i="98" s="1"/>
  <c r="Q35" i="98" s="1"/>
  <c r="Q80" i="98" s="1"/>
  <c r="O55" i="98"/>
  <c r="R55" i="98" s="1"/>
  <c r="H59" i="98"/>
  <c r="R59" i="98"/>
  <c r="M64" i="98"/>
  <c r="R64" i="98"/>
  <c r="H68" i="98"/>
  <c r="E66" i="98"/>
  <c r="R74" i="98"/>
  <c r="O72" i="98"/>
  <c r="R72" i="98" s="1"/>
  <c r="H76" i="98"/>
  <c r="R82" i="98"/>
  <c r="M85" i="98"/>
  <c r="P81" i="98"/>
  <c r="O105" i="98"/>
  <c r="R123" i="98"/>
  <c r="G36" i="98"/>
  <c r="G35" i="98" s="1"/>
  <c r="G80" i="98" s="1"/>
  <c r="R124" i="98"/>
  <c r="O40" i="98"/>
  <c r="R40" i="98" s="1"/>
  <c r="H127" i="98"/>
  <c r="G126" i="98"/>
  <c r="H126" i="98" s="1"/>
  <c r="G43" i="98"/>
  <c r="G42" i="98" s="1"/>
  <c r="R131" i="98"/>
  <c r="O129" i="98"/>
  <c r="R129" i="98" s="1"/>
  <c r="O47" i="98"/>
  <c r="M143" i="98"/>
  <c r="E147" i="98"/>
  <c r="H147" i="98" s="1"/>
  <c r="H148" i="98"/>
  <c r="K149" i="98"/>
  <c r="K147" i="98" s="1"/>
  <c r="M150" i="98"/>
  <c r="H156" i="98"/>
  <c r="Q182" i="98"/>
  <c r="Q178" i="98" s="1"/>
  <c r="Q248" i="98" s="1"/>
  <c r="G184" i="98"/>
  <c r="L204" i="98"/>
  <c r="L203" i="98" s="1"/>
  <c r="Q233" i="98"/>
  <c r="Q231" i="98" s="1"/>
  <c r="R234" i="98"/>
  <c r="M213" i="98"/>
  <c r="J204" i="98"/>
  <c r="F233" i="98"/>
  <c r="F231" i="98" s="1"/>
  <c r="M244" i="98"/>
  <c r="E581" i="98"/>
  <c r="E569" i="98" s="1"/>
  <c r="E568" i="98" s="1"/>
  <c r="J38" i="98"/>
  <c r="O39" i="98"/>
  <c r="R39" i="98" s="1"/>
  <c r="M135" i="98"/>
  <c r="R143" i="98"/>
  <c r="M148" i="98"/>
  <c r="M156" i="98"/>
  <c r="R173" i="98"/>
  <c r="R189" i="98"/>
  <c r="O182" i="98"/>
  <c r="R190" i="98"/>
  <c r="M217" i="98"/>
  <c r="M227" i="98"/>
  <c r="R231" i="98"/>
  <c r="H250" i="98"/>
  <c r="M250" i="98"/>
  <c r="R250" i="98"/>
  <c r="J276" i="98"/>
  <c r="J266" i="98" s="1"/>
  <c r="L132" i="98"/>
  <c r="L120" i="98" s="1"/>
  <c r="Q147" i="98"/>
  <c r="Q119" i="98" s="1"/>
  <c r="Q164" i="98" s="1"/>
  <c r="H173" i="98"/>
  <c r="K178" i="98"/>
  <c r="M189" i="98"/>
  <c r="J182" i="98"/>
  <c r="H190" i="98"/>
  <c r="E189" i="98"/>
  <c r="O204" i="98"/>
  <c r="G204" i="98"/>
  <c r="G203" i="98" s="1"/>
  <c r="H205" i="98"/>
  <c r="M166" i="98"/>
  <c r="M190" i="98"/>
  <c r="F216" i="98"/>
  <c r="F204" i="98" s="1"/>
  <c r="K216" i="98"/>
  <c r="M216" i="98" s="1"/>
  <c r="P216" i="98"/>
  <c r="R216" i="98" s="1"/>
  <c r="E277" i="98"/>
  <c r="E276" i="98" s="1"/>
  <c r="E266" i="98" s="1"/>
  <c r="E335" i="98"/>
  <c r="E334" i="98" s="1"/>
  <c r="J639" i="98"/>
  <c r="J627" i="98" s="1"/>
  <c r="J626" i="98" s="1"/>
  <c r="E697" i="98"/>
  <c r="E685" i="98" s="1"/>
  <c r="E684" i="98" s="1"/>
  <c r="J755" i="98"/>
  <c r="J743" i="98" s="1"/>
  <c r="J742" i="98" s="1"/>
  <c r="E233" i="98"/>
  <c r="H234" i="98"/>
  <c r="J233" i="98"/>
  <c r="R244" i="98"/>
  <c r="E627" i="98"/>
  <c r="E626" i="98" s="1"/>
  <c r="E743" i="98"/>
  <c r="E742" i="98" s="1"/>
  <c r="R213" i="98"/>
  <c r="H244" i="98"/>
  <c r="G249" i="98"/>
  <c r="Q249" i="98"/>
  <c r="Q475" i="98"/>
  <c r="J813" i="98"/>
  <c r="O277" i="98"/>
  <c r="O276" i="98" s="1"/>
  <c r="O266" i="98" s="1"/>
  <c r="Q450" i="98"/>
  <c r="O522" i="98"/>
  <c r="J830" i="98"/>
  <c r="J828" i="98" s="1"/>
  <c r="R182" i="98" l="1"/>
  <c r="O178" i="98"/>
  <c r="J37" i="98"/>
  <c r="M38" i="98"/>
  <c r="H27" i="98"/>
  <c r="E26" i="98"/>
  <c r="H26" i="98" s="1"/>
  <c r="H133" i="98"/>
  <c r="E132" i="98"/>
  <c r="J120" i="98"/>
  <c r="R204" i="98"/>
  <c r="O203" i="98"/>
  <c r="H143" i="98"/>
  <c r="P204" i="98"/>
  <c r="P203" i="98" s="1"/>
  <c r="P248" i="98" s="1"/>
  <c r="O37" i="98"/>
  <c r="H21" i="98"/>
  <c r="M184" i="98"/>
  <c r="L183" i="98"/>
  <c r="M149" i="98"/>
  <c r="E37" i="98"/>
  <c r="R22" i="98"/>
  <c r="O21" i="98"/>
  <c r="H47" i="98"/>
  <c r="E45" i="98"/>
  <c r="H45" i="98" s="1"/>
  <c r="H98" i="98"/>
  <c r="E94" i="98"/>
  <c r="M43" i="98"/>
  <c r="J42" i="98"/>
  <c r="M42" i="98" s="1"/>
  <c r="G120" i="98"/>
  <c r="G119" i="98" s="1"/>
  <c r="G164" i="98" s="1"/>
  <c r="H233" i="98"/>
  <c r="E231" i="98"/>
  <c r="H231" i="98" s="1"/>
  <c r="F203" i="98"/>
  <c r="F248" i="98" s="1"/>
  <c r="H189" i="98"/>
  <c r="E182" i="98"/>
  <c r="L119" i="98"/>
  <c r="L164" i="98" s="1"/>
  <c r="K204" i="98"/>
  <c r="K203" i="98" s="1"/>
  <c r="K248" i="98" s="1"/>
  <c r="M204" i="98"/>
  <c r="R105" i="98"/>
  <c r="O98" i="98"/>
  <c r="E65" i="98"/>
  <c r="H66" i="98"/>
  <c r="H51" i="98"/>
  <c r="E49" i="98"/>
  <c r="J45" i="98"/>
  <c r="M45" i="98" s="1"/>
  <c r="M47" i="98"/>
  <c r="O120" i="98"/>
  <c r="F164" i="98"/>
  <c r="H56" i="98"/>
  <c r="E55" i="98"/>
  <c r="H55" i="98" s="1"/>
  <c r="R233" i="98"/>
  <c r="R149" i="98"/>
  <c r="O147" i="98"/>
  <c r="R147" i="98" s="1"/>
  <c r="H43" i="98"/>
  <c r="H216" i="98"/>
  <c r="E204" i="98"/>
  <c r="M98" i="98"/>
  <c r="J94" i="98"/>
  <c r="J231" i="98"/>
  <c r="M231" i="98" s="1"/>
  <c r="M233" i="98"/>
  <c r="J178" i="98"/>
  <c r="H184" i="98"/>
  <c r="G183" i="98"/>
  <c r="R47" i="98"/>
  <c r="O45" i="98"/>
  <c r="R45" i="98" s="1"/>
  <c r="R43" i="98"/>
  <c r="O42" i="98"/>
  <c r="R42" i="98" s="1"/>
  <c r="O65" i="98"/>
  <c r="R66" i="98"/>
  <c r="J65" i="98"/>
  <c r="M66" i="98"/>
  <c r="M51" i="98"/>
  <c r="J49" i="98"/>
  <c r="O48" i="98"/>
  <c r="R48" i="98" s="1"/>
  <c r="R49" i="98"/>
  <c r="M27" i="98"/>
  <c r="J26" i="98"/>
  <c r="R65" i="98" l="1"/>
  <c r="O63" i="98"/>
  <c r="R63" i="98" s="1"/>
  <c r="E63" i="98"/>
  <c r="H63" i="98" s="1"/>
  <c r="H65" i="98"/>
  <c r="E178" i="98"/>
  <c r="H94" i="98"/>
  <c r="R21" i="98"/>
  <c r="O14" i="98"/>
  <c r="M183" i="98"/>
  <c r="L182" i="98"/>
  <c r="O36" i="98"/>
  <c r="R37" i="98"/>
  <c r="O248" i="98"/>
  <c r="R178" i="98"/>
  <c r="H183" i="98"/>
  <c r="G182" i="98"/>
  <c r="G178" i="98" s="1"/>
  <c r="G248" i="98" s="1"/>
  <c r="E203" i="98"/>
  <c r="H203" i="98" s="1"/>
  <c r="H204" i="98"/>
  <c r="E48" i="98"/>
  <c r="H48" i="98" s="1"/>
  <c r="H49" i="98"/>
  <c r="R98" i="98"/>
  <c r="O94" i="98"/>
  <c r="M120" i="98"/>
  <c r="J119" i="98"/>
  <c r="M119" i="98" s="1"/>
  <c r="J63" i="98"/>
  <c r="M63" i="98" s="1"/>
  <c r="M65" i="98"/>
  <c r="R120" i="98"/>
  <c r="O119" i="98"/>
  <c r="R119" i="98" s="1"/>
  <c r="H37" i="98"/>
  <c r="E14" i="98"/>
  <c r="H132" i="98"/>
  <c r="E120" i="98"/>
  <c r="M26" i="98"/>
  <c r="J14" i="98"/>
  <c r="J48" i="98"/>
  <c r="M48" i="98" s="1"/>
  <c r="M49" i="98"/>
  <c r="M94" i="98"/>
  <c r="J203" i="98"/>
  <c r="M203" i="98" s="1"/>
  <c r="R203" i="98"/>
  <c r="J36" i="98"/>
  <c r="M37" i="98"/>
  <c r="J164" i="98" l="1"/>
  <c r="M164" i="98" s="1"/>
  <c r="J35" i="98"/>
  <c r="M35" i="98" s="1"/>
  <c r="M36" i="98"/>
  <c r="O10" i="98"/>
  <c r="R14" i="98"/>
  <c r="E248" i="98"/>
  <c r="H248" i="98" s="1"/>
  <c r="H178" i="98"/>
  <c r="J248" i="98"/>
  <c r="O164" i="98"/>
  <c r="R164" i="98" s="1"/>
  <c r="R94" i="98"/>
  <c r="L178" i="98"/>
  <c r="M182" i="98"/>
  <c r="H120" i="98"/>
  <c r="E119" i="98"/>
  <c r="E36" i="98"/>
  <c r="O259" i="98"/>
  <c r="R248" i="98"/>
  <c r="M14" i="98"/>
  <c r="J10" i="98"/>
  <c r="H14" i="98"/>
  <c r="E10" i="98"/>
  <c r="O35" i="98"/>
  <c r="R35" i="98" s="1"/>
  <c r="R36" i="98"/>
  <c r="H182" i="98"/>
  <c r="J80" i="98" l="1"/>
  <c r="M10" i="98"/>
  <c r="E35" i="98"/>
  <c r="H35" i="98" s="1"/>
  <c r="H36" i="98"/>
  <c r="L248" i="98"/>
  <c r="M248" i="98" s="1"/>
  <c r="M178" i="98"/>
  <c r="E80" i="98"/>
  <c r="H10" i="98"/>
  <c r="R259" i="98"/>
  <c r="O257" i="98"/>
  <c r="J259" i="98"/>
  <c r="O80" i="98"/>
  <c r="R10" i="98"/>
  <c r="H119" i="98"/>
  <c r="E164" i="98"/>
  <c r="H164" i="98" s="1"/>
  <c r="R257" i="98" l="1"/>
  <c r="O249" i="98"/>
  <c r="R249" i="98" s="1"/>
  <c r="R80" i="98"/>
  <c r="O91" i="98"/>
  <c r="M80" i="98"/>
  <c r="J91" i="98"/>
  <c r="M259" i="98"/>
  <c r="J257" i="98"/>
  <c r="H80" i="98"/>
  <c r="E91" i="98"/>
  <c r="H91" i="98" l="1"/>
  <c r="E89" i="98"/>
  <c r="J89" i="98"/>
  <c r="M91" i="98"/>
  <c r="M257" i="98"/>
  <c r="J249" i="98"/>
  <c r="M249" i="98" s="1"/>
  <c r="R91" i="98"/>
  <c r="O89" i="98"/>
  <c r="H89" i="98" l="1"/>
  <c r="E81" i="98"/>
  <c r="H81" i="98" s="1"/>
  <c r="O81" i="98"/>
  <c r="R81" i="98" s="1"/>
  <c r="R89" i="98"/>
  <c r="M89" i="98"/>
  <c r="J81" i="98"/>
  <c r="M81" i="98" s="1"/>
  <c r="Q291" i="70" l="1"/>
  <c r="L291" i="70"/>
  <c r="G291" i="70"/>
  <c r="G290" i="70" s="1"/>
  <c r="G289" i="70" s="1"/>
  <c r="Q290" i="70"/>
  <c r="Q289" i="70" s="1"/>
  <c r="L290" i="70"/>
  <c r="L289" i="70"/>
  <c r="Q287" i="70"/>
  <c r="L287" i="70"/>
  <c r="L286" i="70" s="1"/>
  <c r="G287" i="70"/>
  <c r="Q286" i="70"/>
  <c r="G286" i="70"/>
  <c r="Q283" i="70"/>
  <c r="L283" i="70"/>
  <c r="G283" i="70"/>
  <c r="Q282" i="70"/>
  <c r="Q281" i="70" s="1"/>
  <c r="L282" i="70"/>
  <c r="L281" i="70" s="1"/>
  <c r="G282" i="70"/>
  <c r="G281" i="70"/>
  <c r="Q279" i="70"/>
  <c r="L279" i="70"/>
  <c r="G279" i="70"/>
  <c r="G278" i="70" s="1"/>
  <c r="Q278" i="70"/>
  <c r="L278" i="70"/>
  <c r="Q275" i="70"/>
  <c r="Q274" i="70" s="1"/>
  <c r="Q273" i="70" s="1"/>
  <c r="L275" i="70"/>
  <c r="G275" i="70"/>
  <c r="L274" i="70"/>
  <c r="L273" i="70" s="1"/>
  <c r="G274" i="70"/>
  <c r="G273" i="70" s="1"/>
  <c r="Q271" i="70"/>
  <c r="Q270" i="70" s="1"/>
  <c r="L271" i="70"/>
  <c r="G271" i="70"/>
  <c r="L270" i="70"/>
  <c r="G270" i="70"/>
  <c r="L268" i="70"/>
  <c r="R260" i="70"/>
  <c r="M260" i="70"/>
  <c r="H260" i="70"/>
  <c r="R259" i="70"/>
  <c r="M259" i="70"/>
  <c r="H259" i="70"/>
  <c r="R258" i="70"/>
  <c r="M258" i="70"/>
  <c r="H258" i="70"/>
  <c r="Q257" i="70"/>
  <c r="P257" i="70"/>
  <c r="O257" i="70"/>
  <c r="L257" i="70"/>
  <c r="K257" i="70"/>
  <c r="J257" i="70"/>
  <c r="G257" i="70"/>
  <c r="F257" i="70"/>
  <c r="E257" i="70"/>
  <c r="R256" i="70"/>
  <c r="M256" i="70"/>
  <c r="H256" i="70"/>
  <c r="R255" i="70"/>
  <c r="M255" i="70"/>
  <c r="H255" i="70"/>
  <c r="R254" i="70"/>
  <c r="M254" i="70"/>
  <c r="H254" i="70"/>
  <c r="Q253" i="70"/>
  <c r="P253" i="70"/>
  <c r="O253" i="70"/>
  <c r="O249" i="70" s="1"/>
  <c r="L253" i="70"/>
  <c r="K253" i="70"/>
  <c r="J253" i="70"/>
  <c r="G253" i="70"/>
  <c r="F253" i="70"/>
  <c r="E253" i="70"/>
  <c r="R252" i="70"/>
  <c r="M252" i="70"/>
  <c r="H252" i="70"/>
  <c r="R251" i="70"/>
  <c r="M251" i="70"/>
  <c r="H251" i="70"/>
  <c r="Q250" i="70"/>
  <c r="P250" i="70"/>
  <c r="O250" i="70"/>
  <c r="L250" i="70"/>
  <c r="K250" i="70"/>
  <c r="J250" i="70"/>
  <c r="G250" i="70"/>
  <c r="F250" i="70"/>
  <c r="F249" i="70" s="1"/>
  <c r="E250" i="70"/>
  <c r="P249" i="70"/>
  <c r="K249" i="70"/>
  <c r="R247" i="70"/>
  <c r="M247" i="70"/>
  <c r="H247" i="70"/>
  <c r="R246" i="70"/>
  <c r="M246" i="70"/>
  <c r="H246" i="70"/>
  <c r="R245" i="70"/>
  <c r="M245" i="70"/>
  <c r="H245" i="70"/>
  <c r="Q244" i="70"/>
  <c r="P244" i="70"/>
  <c r="O244" i="70"/>
  <c r="L244" i="70"/>
  <c r="K244" i="70"/>
  <c r="J244" i="70"/>
  <c r="G244" i="70"/>
  <c r="F244" i="70"/>
  <c r="E244" i="70"/>
  <c r="R243" i="70"/>
  <c r="M243" i="70"/>
  <c r="H243" i="70"/>
  <c r="R242" i="70"/>
  <c r="M242" i="70"/>
  <c r="H242" i="70"/>
  <c r="R241" i="70"/>
  <c r="M241" i="70"/>
  <c r="H241" i="70"/>
  <c r="Q240" i="70"/>
  <c r="P240" i="70"/>
  <c r="O240" i="70"/>
  <c r="L240" i="70"/>
  <c r="K240" i="70"/>
  <c r="J240" i="70"/>
  <c r="G240" i="70"/>
  <c r="H240" i="70" s="1"/>
  <c r="F240" i="70"/>
  <c r="E240" i="70"/>
  <c r="R239" i="70"/>
  <c r="M239" i="70"/>
  <c r="H239" i="70"/>
  <c r="R238" i="70"/>
  <c r="M238" i="70"/>
  <c r="H238" i="70"/>
  <c r="R237" i="70"/>
  <c r="M237" i="70"/>
  <c r="H237" i="70"/>
  <c r="R236" i="70"/>
  <c r="Q236" i="70"/>
  <c r="P236" i="70"/>
  <c r="O236" i="70"/>
  <c r="O234" i="70" s="1"/>
  <c r="M236" i="70"/>
  <c r="L236" i="70"/>
  <c r="K236" i="70"/>
  <c r="K234" i="70" s="1"/>
  <c r="J236" i="70"/>
  <c r="J234" i="70" s="1"/>
  <c r="J233" i="70" s="1"/>
  <c r="J231" i="70" s="1"/>
  <c r="H236" i="70"/>
  <c r="G236" i="70"/>
  <c r="F236" i="70"/>
  <c r="F234" i="70" s="1"/>
  <c r="E236" i="70"/>
  <c r="E234" i="70" s="1"/>
  <c r="R235" i="70"/>
  <c r="M235" i="70"/>
  <c r="H235" i="70"/>
  <c r="Q234" i="70"/>
  <c r="P234" i="70"/>
  <c r="L234" i="70"/>
  <c r="G234" i="70"/>
  <c r="G233" i="70" s="1"/>
  <c r="G231" i="70" s="1"/>
  <c r="R232" i="70"/>
  <c r="M232" i="70"/>
  <c r="H232" i="70"/>
  <c r="R230" i="70"/>
  <c r="M230" i="70"/>
  <c r="H230" i="70"/>
  <c r="R229" i="70"/>
  <c r="M229" i="70"/>
  <c r="H229" i="70"/>
  <c r="R228" i="70"/>
  <c r="M228" i="70"/>
  <c r="H228" i="70"/>
  <c r="R227" i="70"/>
  <c r="Q227" i="70"/>
  <c r="P227" i="70"/>
  <c r="O227" i="70"/>
  <c r="M227" i="70"/>
  <c r="L227" i="70"/>
  <c r="K227" i="70"/>
  <c r="J227" i="70"/>
  <c r="H227" i="70"/>
  <c r="G227" i="70"/>
  <c r="F227" i="70"/>
  <c r="E227" i="70"/>
  <c r="R226" i="70"/>
  <c r="M226" i="70"/>
  <c r="H226" i="70"/>
  <c r="R225" i="70"/>
  <c r="M225" i="70"/>
  <c r="H225" i="70"/>
  <c r="R224" i="70"/>
  <c r="M224" i="70"/>
  <c r="H224" i="70"/>
  <c r="Q223" i="70"/>
  <c r="P223" i="70"/>
  <c r="O223" i="70"/>
  <c r="L223" i="70"/>
  <c r="K223" i="70"/>
  <c r="J223" i="70"/>
  <c r="G223" i="70"/>
  <c r="F223" i="70"/>
  <c r="E223" i="70"/>
  <c r="R222" i="70"/>
  <c r="M222" i="70"/>
  <c r="H222" i="70"/>
  <c r="R221" i="70"/>
  <c r="M221" i="70"/>
  <c r="H221" i="70"/>
  <c r="R220" i="70"/>
  <c r="M220" i="70"/>
  <c r="H220" i="70"/>
  <c r="Q219" i="70"/>
  <c r="P219" i="70"/>
  <c r="P217" i="70" s="1"/>
  <c r="P216" i="70" s="1"/>
  <c r="O219" i="70"/>
  <c r="L219" i="70"/>
  <c r="L217" i="70" s="1"/>
  <c r="K219" i="70"/>
  <c r="K217" i="70" s="1"/>
  <c r="J219" i="70"/>
  <c r="J217" i="70" s="1"/>
  <c r="G219" i="70"/>
  <c r="F219" i="70"/>
  <c r="F217" i="70" s="1"/>
  <c r="E219" i="70"/>
  <c r="E217" i="70" s="1"/>
  <c r="R218" i="70"/>
  <c r="M218" i="70"/>
  <c r="H218" i="70"/>
  <c r="Q217" i="70"/>
  <c r="O217" i="70"/>
  <c r="G217" i="70"/>
  <c r="R215" i="70"/>
  <c r="M215" i="70"/>
  <c r="H215" i="70"/>
  <c r="R214" i="70"/>
  <c r="M214" i="70"/>
  <c r="H214" i="70"/>
  <c r="Q213" i="70"/>
  <c r="P213" i="70"/>
  <c r="O213" i="70"/>
  <c r="L213" i="70"/>
  <c r="K213" i="70"/>
  <c r="J213" i="70"/>
  <c r="G213" i="70"/>
  <c r="F213" i="70"/>
  <c r="E213" i="70"/>
  <c r="R212" i="70"/>
  <c r="M212" i="70"/>
  <c r="H212" i="70"/>
  <c r="R211" i="70"/>
  <c r="M211" i="70"/>
  <c r="H211" i="70"/>
  <c r="Q210" i="70"/>
  <c r="P210" i="70"/>
  <c r="O210" i="70"/>
  <c r="R210" i="70" s="1"/>
  <c r="L210" i="70"/>
  <c r="K210" i="70"/>
  <c r="J210" i="70"/>
  <c r="M210" i="70" s="1"/>
  <c r="G210" i="70"/>
  <c r="F210" i="70"/>
  <c r="E210" i="70"/>
  <c r="H210" i="70" s="1"/>
  <c r="R209" i="70"/>
  <c r="M209" i="70"/>
  <c r="H209" i="70"/>
  <c r="R208" i="70"/>
  <c r="M208" i="70"/>
  <c r="H208" i="70"/>
  <c r="R207" i="70"/>
  <c r="M207" i="70"/>
  <c r="H207" i="70"/>
  <c r="R206" i="70"/>
  <c r="M206" i="70"/>
  <c r="H206" i="70"/>
  <c r="Q205" i="70"/>
  <c r="P205" i="70"/>
  <c r="O205" i="70"/>
  <c r="R205" i="70" s="1"/>
  <c r="L205" i="70"/>
  <c r="K205" i="70"/>
  <c r="J205" i="70"/>
  <c r="M205" i="70" s="1"/>
  <c r="G205" i="70"/>
  <c r="F205" i="70"/>
  <c r="E205" i="70"/>
  <c r="H205" i="70" s="1"/>
  <c r="R202" i="70"/>
  <c r="M202" i="70"/>
  <c r="H202" i="70"/>
  <c r="R201" i="70"/>
  <c r="M201" i="70"/>
  <c r="H201" i="70"/>
  <c r="Q200" i="70"/>
  <c r="P200" i="70"/>
  <c r="O200" i="70"/>
  <c r="L200" i="70"/>
  <c r="K200" i="70"/>
  <c r="J200" i="70"/>
  <c r="G200" i="70"/>
  <c r="F200" i="70"/>
  <c r="E200" i="70"/>
  <c r="R199" i="70"/>
  <c r="M199" i="70"/>
  <c r="H199" i="70"/>
  <c r="R198" i="70"/>
  <c r="M198" i="70"/>
  <c r="H198" i="70"/>
  <c r="R197" i="70"/>
  <c r="M197" i="70"/>
  <c r="H197" i="70"/>
  <c r="R196" i="70"/>
  <c r="M196" i="70"/>
  <c r="H196" i="70"/>
  <c r="Q195" i="70"/>
  <c r="Q194" i="70" s="1"/>
  <c r="P195" i="70"/>
  <c r="O195" i="70"/>
  <c r="L195" i="70"/>
  <c r="K195" i="70"/>
  <c r="K194" i="70" s="1"/>
  <c r="J195" i="70"/>
  <c r="G195" i="70"/>
  <c r="G194" i="70" s="1"/>
  <c r="F195" i="70"/>
  <c r="E195" i="70"/>
  <c r="C195" i="70"/>
  <c r="P194" i="70"/>
  <c r="L194" i="70"/>
  <c r="F194" i="70"/>
  <c r="C194" i="70"/>
  <c r="R193" i="70"/>
  <c r="M193" i="70"/>
  <c r="H193" i="70"/>
  <c r="R192" i="70"/>
  <c r="M192" i="70"/>
  <c r="H192" i="70"/>
  <c r="R191" i="70"/>
  <c r="M191" i="70"/>
  <c r="H191" i="70"/>
  <c r="Q190" i="70"/>
  <c r="P190" i="70"/>
  <c r="P189" i="70" s="1"/>
  <c r="P182" i="70" s="1"/>
  <c r="P178" i="70" s="1"/>
  <c r="O190" i="70"/>
  <c r="L190" i="70"/>
  <c r="K190" i="70"/>
  <c r="J190" i="70"/>
  <c r="G190" i="70"/>
  <c r="F190" i="70"/>
  <c r="F189" i="70" s="1"/>
  <c r="E190" i="70"/>
  <c r="Q189" i="70"/>
  <c r="L189" i="70"/>
  <c r="K189" i="70"/>
  <c r="G189" i="70"/>
  <c r="R188" i="70"/>
  <c r="M188" i="70"/>
  <c r="H188" i="70"/>
  <c r="R187" i="70"/>
  <c r="M187" i="70"/>
  <c r="H187" i="70"/>
  <c r="R186" i="70"/>
  <c r="M186" i="70"/>
  <c r="H186" i="70"/>
  <c r="Q185" i="70"/>
  <c r="Q184" i="70" s="1"/>
  <c r="P185" i="70"/>
  <c r="O185" i="70"/>
  <c r="L185" i="70"/>
  <c r="L184" i="70" s="1"/>
  <c r="L183" i="70" s="1"/>
  <c r="L182" i="70" s="1"/>
  <c r="K185" i="70"/>
  <c r="K184" i="70" s="1"/>
  <c r="J185" i="70"/>
  <c r="G185" i="70"/>
  <c r="G184" i="70" s="1"/>
  <c r="G183" i="70" s="1"/>
  <c r="F185" i="70"/>
  <c r="F184" i="70" s="1"/>
  <c r="F183" i="70" s="1"/>
  <c r="E185" i="70"/>
  <c r="P184" i="70"/>
  <c r="P183" i="70" s="1"/>
  <c r="J184" i="70"/>
  <c r="Q183" i="70"/>
  <c r="Q182" i="70" s="1"/>
  <c r="Q178" i="70" s="1"/>
  <c r="K183" i="70"/>
  <c r="K182" i="70" s="1"/>
  <c r="R181" i="70"/>
  <c r="M181" i="70"/>
  <c r="H181" i="70"/>
  <c r="R180" i="70"/>
  <c r="M180" i="70"/>
  <c r="H180" i="70"/>
  <c r="R179" i="70"/>
  <c r="M179" i="70"/>
  <c r="H179" i="70"/>
  <c r="K178" i="70"/>
  <c r="R177" i="70"/>
  <c r="M177" i="70"/>
  <c r="H177" i="70"/>
  <c r="R176" i="70"/>
  <c r="M176" i="70"/>
  <c r="H176" i="70"/>
  <c r="R175" i="70"/>
  <c r="M175" i="70"/>
  <c r="H175" i="70"/>
  <c r="R174" i="70"/>
  <c r="M174" i="70"/>
  <c r="H174" i="70"/>
  <c r="Q173" i="70"/>
  <c r="P173" i="70"/>
  <c r="R173" i="70" s="1"/>
  <c r="O173" i="70"/>
  <c r="L173" i="70"/>
  <c r="K173" i="70"/>
  <c r="M173" i="70" s="1"/>
  <c r="J173" i="70"/>
  <c r="G173" i="70"/>
  <c r="F173" i="70"/>
  <c r="H173" i="70" s="1"/>
  <c r="E173" i="70"/>
  <c r="R172" i="70"/>
  <c r="M172" i="70"/>
  <c r="H172" i="70"/>
  <c r="R171" i="70"/>
  <c r="M171" i="70"/>
  <c r="H171" i="70"/>
  <c r="R170" i="70"/>
  <c r="M170" i="70"/>
  <c r="H170" i="70"/>
  <c r="Q169" i="70"/>
  <c r="Q165" i="70" s="1"/>
  <c r="P169" i="70"/>
  <c r="O169" i="70"/>
  <c r="L169" i="70"/>
  <c r="K169" i="70"/>
  <c r="J169" i="70"/>
  <c r="G169" i="70"/>
  <c r="G165" i="70" s="1"/>
  <c r="F169" i="70"/>
  <c r="E169" i="70"/>
  <c r="H169" i="70" s="1"/>
  <c r="R168" i="70"/>
  <c r="M168" i="70"/>
  <c r="H168" i="70"/>
  <c r="R167" i="70"/>
  <c r="M167" i="70"/>
  <c r="H167" i="70"/>
  <c r="Q166" i="70"/>
  <c r="P166" i="70"/>
  <c r="P165" i="70" s="1"/>
  <c r="O166" i="70"/>
  <c r="L166" i="70"/>
  <c r="K166" i="70"/>
  <c r="J166" i="70"/>
  <c r="G166" i="70"/>
  <c r="F166" i="70"/>
  <c r="E166" i="70"/>
  <c r="O165" i="70"/>
  <c r="R165" i="70" s="1"/>
  <c r="K165" i="70"/>
  <c r="J165" i="70"/>
  <c r="E165" i="70"/>
  <c r="R163" i="70"/>
  <c r="M163" i="70"/>
  <c r="H163" i="70"/>
  <c r="R162" i="70"/>
  <c r="M162" i="70"/>
  <c r="H162" i="70"/>
  <c r="R161" i="70"/>
  <c r="M161" i="70"/>
  <c r="H161" i="70"/>
  <c r="Q160" i="70"/>
  <c r="P160" i="70"/>
  <c r="O160" i="70"/>
  <c r="L160" i="70"/>
  <c r="K160" i="70"/>
  <c r="M160" i="70" s="1"/>
  <c r="J160" i="70"/>
  <c r="G160" i="70"/>
  <c r="F160" i="70"/>
  <c r="H160" i="70" s="1"/>
  <c r="E160" i="70"/>
  <c r="R159" i="70"/>
  <c r="M159" i="70"/>
  <c r="H159" i="70"/>
  <c r="R158" i="70"/>
  <c r="M158" i="70"/>
  <c r="H158" i="70"/>
  <c r="R157" i="70"/>
  <c r="M157" i="70"/>
  <c r="H157" i="70"/>
  <c r="Q156" i="70"/>
  <c r="R156" i="70" s="1"/>
  <c r="P156" i="70"/>
  <c r="O156" i="70"/>
  <c r="L156" i="70"/>
  <c r="K156" i="70"/>
  <c r="J156" i="70"/>
  <c r="G156" i="70"/>
  <c r="H156" i="70" s="1"/>
  <c r="F156" i="70"/>
  <c r="E156" i="70"/>
  <c r="R155" i="70"/>
  <c r="M155" i="70"/>
  <c r="H155" i="70"/>
  <c r="R154" i="70"/>
  <c r="M154" i="70"/>
  <c r="H154" i="70"/>
  <c r="R153" i="70"/>
  <c r="M153" i="70"/>
  <c r="H153" i="70"/>
  <c r="R152" i="70"/>
  <c r="Q152" i="70"/>
  <c r="P152" i="70"/>
  <c r="P150" i="70" s="1"/>
  <c r="O152" i="70"/>
  <c r="M152" i="70"/>
  <c r="L152" i="70"/>
  <c r="K152" i="70"/>
  <c r="K150" i="70" s="1"/>
  <c r="J152" i="70"/>
  <c r="H152" i="70"/>
  <c r="G152" i="70"/>
  <c r="F152" i="70"/>
  <c r="F150" i="70" s="1"/>
  <c r="E152" i="70"/>
  <c r="R151" i="70"/>
  <c r="M151" i="70"/>
  <c r="H151" i="70"/>
  <c r="Q150" i="70"/>
  <c r="Q149" i="70" s="1"/>
  <c r="Q147" i="70" s="1"/>
  <c r="O150" i="70"/>
  <c r="L150" i="70"/>
  <c r="J150" i="70"/>
  <c r="H150" i="70"/>
  <c r="G150" i="70"/>
  <c r="E150" i="70"/>
  <c r="J149" i="70"/>
  <c r="J147" i="70" s="1"/>
  <c r="E149" i="70"/>
  <c r="R148" i="70"/>
  <c r="M148" i="70"/>
  <c r="H148" i="70"/>
  <c r="R146" i="70"/>
  <c r="M146" i="70"/>
  <c r="H146" i="70"/>
  <c r="R145" i="70"/>
  <c r="M145" i="70"/>
  <c r="H145" i="70"/>
  <c r="R144" i="70"/>
  <c r="M144" i="70"/>
  <c r="H144" i="70"/>
  <c r="Q143" i="70"/>
  <c r="P143" i="70"/>
  <c r="O143" i="70"/>
  <c r="L143" i="70"/>
  <c r="K143" i="70"/>
  <c r="J143" i="70"/>
  <c r="G143" i="70"/>
  <c r="F143" i="70"/>
  <c r="E143" i="70"/>
  <c r="R142" i="70"/>
  <c r="M142" i="70"/>
  <c r="H142" i="70"/>
  <c r="R141" i="70"/>
  <c r="M141" i="70"/>
  <c r="H141" i="70"/>
  <c r="R140" i="70"/>
  <c r="M140" i="70"/>
  <c r="H140" i="70"/>
  <c r="Q139" i="70"/>
  <c r="P139" i="70"/>
  <c r="O139" i="70"/>
  <c r="L139" i="70"/>
  <c r="K139" i="70"/>
  <c r="M139" i="70" s="1"/>
  <c r="J139" i="70"/>
  <c r="G139" i="70"/>
  <c r="F139" i="70"/>
  <c r="H139" i="70" s="1"/>
  <c r="E139" i="70"/>
  <c r="R138" i="70"/>
  <c r="M138" i="70"/>
  <c r="H138" i="70"/>
  <c r="R137" i="70"/>
  <c r="M137" i="70"/>
  <c r="H137" i="70"/>
  <c r="R136" i="70"/>
  <c r="M136" i="70"/>
  <c r="H136" i="70"/>
  <c r="Q135" i="70"/>
  <c r="Q133" i="70" s="1"/>
  <c r="Q132" i="70" s="1"/>
  <c r="P135" i="70"/>
  <c r="O135" i="70"/>
  <c r="O133" i="70" s="1"/>
  <c r="O132" i="70" s="1"/>
  <c r="L135" i="70"/>
  <c r="L133" i="70" s="1"/>
  <c r="K135" i="70"/>
  <c r="J135" i="70"/>
  <c r="J133" i="70" s="1"/>
  <c r="G135" i="70"/>
  <c r="G133" i="70" s="1"/>
  <c r="G132" i="70" s="1"/>
  <c r="F135" i="70"/>
  <c r="E135" i="70"/>
  <c r="E133" i="70" s="1"/>
  <c r="R134" i="70"/>
  <c r="M134" i="70"/>
  <c r="H134" i="70"/>
  <c r="P133" i="70"/>
  <c r="K133" i="70"/>
  <c r="M133" i="70" s="1"/>
  <c r="H133" i="70"/>
  <c r="F133" i="70"/>
  <c r="L132" i="70"/>
  <c r="R131" i="70"/>
  <c r="M131" i="70"/>
  <c r="H131" i="70"/>
  <c r="R130" i="70"/>
  <c r="M130" i="70"/>
  <c r="H130" i="70"/>
  <c r="Q129" i="70"/>
  <c r="P129" i="70"/>
  <c r="O129" i="70"/>
  <c r="R129" i="70" s="1"/>
  <c r="L129" i="70"/>
  <c r="K129" i="70"/>
  <c r="J129" i="70"/>
  <c r="G129" i="70"/>
  <c r="F129" i="70"/>
  <c r="E129" i="70"/>
  <c r="R128" i="70"/>
  <c r="M128" i="70"/>
  <c r="H128" i="70"/>
  <c r="R127" i="70"/>
  <c r="M127" i="70"/>
  <c r="H127" i="70"/>
  <c r="R126" i="70"/>
  <c r="Q126" i="70"/>
  <c r="P126" i="70"/>
  <c r="O126" i="70"/>
  <c r="M126" i="70"/>
  <c r="L126" i="70"/>
  <c r="K126" i="70"/>
  <c r="J126" i="70"/>
  <c r="H126" i="70"/>
  <c r="G126" i="70"/>
  <c r="F126" i="70"/>
  <c r="E126" i="70"/>
  <c r="R125" i="70"/>
  <c r="M125" i="70"/>
  <c r="H125" i="70"/>
  <c r="Q124" i="70"/>
  <c r="M124" i="70"/>
  <c r="L124" i="70"/>
  <c r="L121" i="70" s="1"/>
  <c r="G124" i="70"/>
  <c r="H124" i="70" s="1"/>
  <c r="R123" i="70"/>
  <c r="M123" i="70"/>
  <c r="H123" i="70"/>
  <c r="Q122" i="70"/>
  <c r="M122" i="70"/>
  <c r="L122" i="70"/>
  <c r="G122" i="70"/>
  <c r="P121" i="70"/>
  <c r="O121" i="70"/>
  <c r="M121" i="70"/>
  <c r="K121" i="70"/>
  <c r="J121" i="70"/>
  <c r="F121" i="70"/>
  <c r="E121" i="70"/>
  <c r="O120" i="70"/>
  <c r="R118" i="70"/>
  <c r="M118" i="70"/>
  <c r="H118" i="70"/>
  <c r="Q117" i="70"/>
  <c r="R117" i="70" s="1"/>
  <c r="L117" i="70"/>
  <c r="H117" i="70"/>
  <c r="G117" i="70"/>
  <c r="Q116" i="70"/>
  <c r="P116" i="70"/>
  <c r="O116" i="70"/>
  <c r="K116" i="70"/>
  <c r="J116" i="70"/>
  <c r="G116" i="70"/>
  <c r="F116" i="70"/>
  <c r="E116" i="70"/>
  <c r="H116" i="70" s="1"/>
  <c r="R115" i="70"/>
  <c r="M115" i="70"/>
  <c r="H115" i="70"/>
  <c r="R114" i="70"/>
  <c r="M114" i="70"/>
  <c r="H114" i="70"/>
  <c r="R113" i="70"/>
  <c r="M113" i="70"/>
  <c r="H113" i="70"/>
  <c r="R112" i="70"/>
  <c r="M112" i="70"/>
  <c r="H112" i="70"/>
  <c r="Q111" i="70"/>
  <c r="Q110" i="70" s="1"/>
  <c r="P111" i="70"/>
  <c r="O111" i="70"/>
  <c r="L111" i="70"/>
  <c r="L110" i="70" s="1"/>
  <c r="K111" i="70"/>
  <c r="J111" i="70"/>
  <c r="G111" i="70"/>
  <c r="F111" i="70"/>
  <c r="F110" i="70" s="1"/>
  <c r="E111" i="70"/>
  <c r="P110" i="70"/>
  <c r="O110" i="70"/>
  <c r="R110" i="70" s="1"/>
  <c r="K110" i="70"/>
  <c r="J110" i="70"/>
  <c r="G110" i="70"/>
  <c r="E110" i="70"/>
  <c r="R109" i="70"/>
  <c r="M109" i="70"/>
  <c r="H109" i="70"/>
  <c r="R108" i="70"/>
  <c r="M108" i="70"/>
  <c r="H108" i="70"/>
  <c r="R107" i="70"/>
  <c r="M107" i="70"/>
  <c r="H107" i="70"/>
  <c r="Q106" i="70"/>
  <c r="P106" i="70"/>
  <c r="O106" i="70"/>
  <c r="R106" i="70" s="1"/>
  <c r="L106" i="70"/>
  <c r="L105" i="70" s="1"/>
  <c r="L98" i="70" s="1"/>
  <c r="K106" i="70"/>
  <c r="J106" i="70"/>
  <c r="M106" i="70" s="1"/>
  <c r="G106" i="70"/>
  <c r="G105" i="70" s="1"/>
  <c r="G98" i="70" s="1"/>
  <c r="G94" i="70" s="1"/>
  <c r="F106" i="70"/>
  <c r="F105" i="70" s="1"/>
  <c r="F98" i="70" s="1"/>
  <c r="F94" i="70" s="1"/>
  <c r="E106" i="70"/>
  <c r="Q105" i="70"/>
  <c r="Q98" i="70" s="1"/>
  <c r="Q94" i="70" s="1"/>
  <c r="P105" i="70"/>
  <c r="P98" i="70" s="1"/>
  <c r="P94" i="70" s="1"/>
  <c r="O105" i="70"/>
  <c r="K105" i="70"/>
  <c r="K98" i="70" s="1"/>
  <c r="J105" i="70"/>
  <c r="E105" i="70"/>
  <c r="R104" i="70"/>
  <c r="M104" i="70"/>
  <c r="H104" i="70"/>
  <c r="R103" i="70"/>
  <c r="M103" i="70"/>
  <c r="H103" i="70"/>
  <c r="R102" i="70"/>
  <c r="M102" i="70"/>
  <c r="H102" i="70"/>
  <c r="R101" i="70"/>
  <c r="Q101" i="70"/>
  <c r="P101" i="70"/>
  <c r="O101" i="70"/>
  <c r="M101" i="70"/>
  <c r="L101" i="70"/>
  <c r="K101" i="70"/>
  <c r="J101" i="70"/>
  <c r="H101" i="70"/>
  <c r="G101" i="70"/>
  <c r="F101" i="70"/>
  <c r="E101" i="70"/>
  <c r="R100" i="70"/>
  <c r="Q100" i="70"/>
  <c r="P100" i="70"/>
  <c r="O100" i="70"/>
  <c r="M100" i="70"/>
  <c r="L100" i="70"/>
  <c r="K100" i="70"/>
  <c r="J100" i="70"/>
  <c r="H100" i="70"/>
  <c r="G100" i="70"/>
  <c r="F100" i="70"/>
  <c r="E100" i="70"/>
  <c r="R99" i="70"/>
  <c r="Q99" i="70"/>
  <c r="P99" i="70"/>
  <c r="O99" i="70"/>
  <c r="M99" i="70"/>
  <c r="L99" i="70"/>
  <c r="K99" i="70"/>
  <c r="J99" i="70"/>
  <c r="H99" i="70"/>
  <c r="G99" i="70"/>
  <c r="F99" i="70"/>
  <c r="E99" i="70"/>
  <c r="R97" i="70"/>
  <c r="M97" i="70"/>
  <c r="H97" i="70"/>
  <c r="R96" i="70"/>
  <c r="M96" i="70"/>
  <c r="H96" i="70"/>
  <c r="R95" i="70"/>
  <c r="M95" i="70"/>
  <c r="H95" i="70"/>
  <c r="R93" i="70"/>
  <c r="M93" i="70"/>
  <c r="H93" i="70"/>
  <c r="R92" i="70"/>
  <c r="M92" i="70"/>
  <c r="H92" i="70"/>
  <c r="R91" i="70"/>
  <c r="M91" i="70"/>
  <c r="H91" i="70"/>
  <c r="R90" i="70"/>
  <c r="M90" i="70"/>
  <c r="H90" i="70"/>
  <c r="Q89" i="70"/>
  <c r="P89" i="70"/>
  <c r="O89" i="70"/>
  <c r="R89" i="70" s="1"/>
  <c r="L89" i="70"/>
  <c r="K89" i="70"/>
  <c r="J89" i="70"/>
  <c r="M89" i="70" s="1"/>
  <c r="G89" i="70"/>
  <c r="F89" i="70"/>
  <c r="E89" i="70"/>
  <c r="H89" i="70" s="1"/>
  <c r="R88" i="70"/>
  <c r="M88" i="70"/>
  <c r="H88" i="70"/>
  <c r="R87" i="70"/>
  <c r="M87" i="70"/>
  <c r="H87" i="70"/>
  <c r="R86" i="70"/>
  <c r="M86" i="70"/>
  <c r="H86" i="70"/>
  <c r="Q85" i="70"/>
  <c r="P85" i="70"/>
  <c r="P81" i="70" s="1"/>
  <c r="O85" i="70"/>
  <c r="L85" i="70"/>
  <c r="K85" i="70"/>
  <c r="K81" i="70" s="1"/>
  <c r="J85" i="70"/>
  <c r="G85" i="70"/>
  <c r="F85" i="70"/>
  <c r="F81" i="70" s="1"/>
  <c r="E85" i="70"/>
  <c r="R84" i="70"/>
  <c r="M84" i="70"/>
  <c r="H84" i="70"/>
  <c r="R83" i="70"/>
  <c r="M83" i="70"/>
  <c r="H83" i="70"/>
  <c r="Q82" i="70"/>
  <c r="R82" i="70" s="1"/>
  <c r="P82" i="70"/>
  <c r="O82" i="70"/>
  <c r="L82" i="70"/>
  <c r="L81" i="70" s="1"/>
  <c r="K82" i="70"/>
  <c r="J82" i="70"/>
  <c r="G82" i="70"/>
  <c r="H82" i="70" s="1"/>
  <c r="F82" i="70"/>
  <c r="E82" i="70"/>
  <c r="Q81" i="70"/>
  <c r="G81" i="70"/>
  <c r="R79" i="70"/>
  <c r="M79" i="70"/>
  <c r="H79" i="70"/>
  <c r="R78" i="70"/>
  <c r="M78" i="70"/>
  <c r="H78" i="70"/>
  <c r="R77" i="70"/>
  <c r="M77" i="70"/>
  <c r="H77" i="70"/>
  <c r="R76" i="70"/>
  <c r="Q76" i="70"/>
  <c r="P76" i="70"/>
  <c r="O76" i="70"/>
  <c r="M76" i="70"/>
  <c r="L76" i="70"/>
  <c r="K76" i="70"/>
  <c r="J76" i="70"/>
  <c r="H76" i="70"/>
  <c r="G76" i="70"/>
  <c r="F76" i="70"/>
  <c r="E76" i="70"/>
  <c r="R75" i="70"/>
  <c r="M75" i="70"/>
  <c r="H75" i="70"/>
  <c r="R74" i="70"/>
  <c r="M74" i="70"/>
  <c r="H74" i="70"/>
  <c r="R73" i="70"/>
  <c r="M73" i="70"/>
  <c r="H73" i="70"/>
  <c r="Q72" i="70"/>
  <c r="P72" i="70"/>
  <c r="O72" i="70"/>
  <c r="L72" i="70"/>
  <c r="K72" i="70"/>
  <c r="J72" i="70"/>
  <c r="G72" i="70"/>
  <c r="F72" i="70"/>
  <c r="E72" i="70"/>
  <c r="H72" i="70" s="1"/>
  <c r="R71" i="70"/>
  <c r="M71" i="70"/>
  <c r="H71" i="70"/>
  <c r="R70" i="70"/>
  <c r="M70" i="70"/>
  <c r="H70" i="70"/>
  <c r="R69" i="70"/>
  <c r="M69" i="70"/>
  <c r="H69" i="70"/>
  <c r="Q68" i="70"/>
  <c r="Q66" i="70" s="1"/>
  <c r="Q65" i="70" s="1"/>
  <c r="Q63" i="70" s="1"/>
  <c r="P68" i="70"/>
  <c r="P66" i="70" s="1"/>
  <c r="P65" i="70" s="1"/>
  <c r="P63" i="70" s="1"/>
  <c r="O68" i="70"/>
  <c r="R68" i="70" s="1"/>
  <c r="L68" i="70"/>
  <c r="L66" i="70" s="1"/>
  <c r="L65" i="70" s="1"/>
  <c r="L63" i="70" s="1"/>
  <c r="K68" i="70"/>
  <c r="J68" i="70"/>
  <c r="M68" i="70" s="1"/>
  <c r="G68" i="70"/>
  <c r="G66" i="70" s="1"/>
  <c r="G65" i="70" s="1"/>
  <c r="G63" i="70" s="1"/>
  <c r="F68" i="70"/>
  <c r="F66" i="70" s="1"/>
  <c r="F65" i="70" s="1"/>
  <c r="F63" i="70" s="1"/>
  <c r="E68" i="70"/>
  <c r="R67" i="70"/>
  <c r="M67" i="70"/>
  <c r="H67" i="70"/>
  <c r="O66" i="70"/>
  <c r="K66" i="70"/>
  <c r="K65" i="70" s="1"/>
  <c r="K63" i="70" s="1"/>
  <c r="J66" i="70"/>
  <c r="E66" i="70"/>
  <c r="J65" i="70"/>
  <c r="R64" i="70"/>
  <c r="M64" i="70"/>
  <c r="H64" i="70"/>
  <c r="J63" i="70"/>
  <c r="M63" i="70" s="1"/>
  <c r="R62" i="70"/>
  <c r="M62" i="70"/>
  <c r="H62" i="70"/>
  <c r="R61" i="70"/>
  <c r="M61" i="70"/>
  <c r="H61" i="70"/>
  <c r="R60" i="70"/>
  <c r="M60" i="70"/>
  <c r="H60" i="70"/>
  <c r="Q59" i="70"/>
  <c r="P59" i="70"/>
  <c r="O59" i="70"/>
  <c r="L59" i="70"/>
  <c r="K59" i="70"/>
  <c r="K48" i="70" s="1"/>
  <c r="J59" i="70"/>
  <c r="G59" i="70"/>
  <c r="F59" i="70"/>
  <c r="F48" i="70" s="1"/>
  <c r="E59" i="70"/>
  <c r="R58" i="70"/>
  <c r="M58" i="70"/>
  <c r="H58" i="70"/>
  <c r="R57" i="70"/>
  <c r="M57" i="70"/>
  <c r="H57" i="70"/>
  <c r="R56" i="70"/>
  <c r="M56" i="70"/>
  <c r="H56" i="70"/>
  <c r="Q55" i="70"/>
  <c r="P55" i="70"/>
  <c r="O55" i="70"/>
  <c r="R55" i="70" s="1"/>
  <c r="L55" i="70"/>
  <c r="K55" i="70"/>
  <c r="J55" i="70"/>
  <c r="M55" i="70" s="1"/>
  <c r="G55" i="70"/>
  <c r="F55" i="70"/>
  <c r="E55" i="70"/>
  <c r="R54" i="70"/>
  <c r="M54" i="70"/>
  <c r="H54" i="70"/>
  <c r="R53" i="70"/>
  <c r="M53" i="70"/>
  <c r="H53" i="70"/>
  <c r="R52" i="70"/>
  <c r="M52" i="70"/>
  <c r="H52" i="70"/>
  <c r="R51" i="70"/>
  <c r="Q51" i="70"/>
  <c r="P51" i="70"/>
  <c r="O51" i="70"/>
  <c r="M51" i="70"/>
  <c r="L51" i="70"/>
  <c r="L49" i="70" s="1"/>
  <c r="L48" i="70" s="1"/>
  <c r="K51" i="70"/>
  <c r="J51" i="70"/>
  <c r="H51" i="70"/>
  <c r="G51" i="70"/>
  <c r="F51" i="70"/>
  <c r="E51" i="70"/>
  <c r="R50" i="70"/>
  <c r="M50" i="70"/>
  <c r="H50" i="70"/>
  <c r="Q49" i="70"/>
  <c r="P49" i="70"/>
  <c r="P48" i="70" s="1"/>
  <c r="O49" i="70"/>
  <c r="K49" i="70"/>
  <c r="J49" i="70"/>
  <c r="G49" i="70"/>
  <c r="F49" i="70"/>
  <c r="E49" i="70"/>
  <c r="H49" i="70" s="1"/>
  <c r="Q48" i="70"/>
  <c r="G48" i="70"/>
  <c r="R47" i="70"/>
  <c r="M47" i="70"/>
  <c r="H47" i="70"/>
  <c r="R46" i="70"/>
  <c r="M46" i="70"/>
  <c r="H46" i="70"/>
  <c r="R45" i="70"/>
  <c r="Q45" i="70"/>
  <c r="P45" i="70"/>
  <c r="O45" i="70"/>
  <c r="M45" i="70"/>
  <c r="L45" i="70"/>
  <c r="K45" i="70"/>
  <c r="J45" i="70"/>
  <c r="H45" i="70"/>
  <c r="G45" i="70"/>
  <c r="F45" i="70"/>
  <c r="E45" i="70"/>
  <c r="R44" i="70"/>
  <c r="M44" i="70"/>
  <c r="H44" i="70"/>
  <c r="R43" i="70"/>
  <c r="M43" i="70"/>
  <c r="H43" i="70"/>
  <c r="Q42" i="70"/>
  <c r="P42" i="70"/>
  <c r="O42" i="70"/>
  <c r="R42" i="70" s="1"/>
  <c r="L42" i="70"/>
  <c r="K42" i="70"/>
  <c r="J42" i="70"/>
  <c r="M42" i="70" s="1"/>
  <c r="G42" i="70"/>
  <c r="F42" i="70"/>
  <c r="E42" i="70"/>
  <c r="R41" i="70"/>
  <c r="M41" i="70"/>
  <c r="H41" i="70"/>
  <c r="L40" i="70"/>
  <c r="M40" i="70" s="1"/>
  <c r="H40" i="70"/>
  <c r="G40" i="70"/>
  <c r="Q39" i="70"/>
  <c r="R39" i="70" s="1"/>
  <c r="M39" i="70"/>
  <c r="L39" i="70"/>
  <c r="G39" i="70"/>
  <c r="H39" i="70" s="1"/>
  <c r="M38" i="70"/>
  <c r="L38" i="70"/>
  <c r="P37" i="70"/>
  <c r="O37" i="70"/>
  <c r="L37" i="70"/>
  <c r="K37" i="70"/>
  <c r="J37" i="70"/>
  <c r="F37" i="70"/>
  <c r="E37" i="70"/>
  <c r="R34" i="70"/>
  <c r="M34" i="70"/>
  <c r="H34" i="70"/>
  <c r="Q33" i="70"/>
  <c r="G33" i="70"/>
  <c r="P32" i="70"/>
  <c r="O32" i="70"/>
  <c r="K32" i="70"/>
  <c r="J32" i="70"/>
  <c r="F32" i="70"/>
  <c r="E32" i="70"/>
  <c r="R31" i="70"/>
  <c r="M31" i="70"/>
  <c r="H31" i="70"/>
  <c r="R30" i="70"/>
  <c r="M30" i="70"/>
  <c r="H30" i="70"/>
  <c r="R29" i="70"/>
  <c r="M29" i="70"/>
  <c r="H29" i="70"/>
  <c r="R28" i="70"/>
  <c r="M28" i="70"/>
  <c r="H28" i="70"/>
  <c r="Q27" i="70"/>
  <c r="Q26" i="70" s="1"/>
  <c r="P27" i="70"/>
  <c r="O27" i="70"/>
  <c r="R27" i="70" s="1"/>
  <c r="L27" i="70"/>
  <c r="L26" i="70" s="1"/>
  <c r="K27" i="70"/>
  <c r="J27" i="70"/>
  <c r="M27" i="70" s="1"/>
  <c r="G27" i="70"/>
  <c r="G26" i="70" s="1"/>
  <c r="F27" i="70"/>
  <c r="E27" i="70"/>
  <c r="H27" i="70" s="1"/>
  <c r="C27" i="70"/>
  <c r="C26" i="70" s="1"/>
  <c r="P26" i="70"/>
  <c r="K26" i="70"/>
  <c r="F26" i="70"/>
  <c r="R25" i="70"/>
  <c r="M25" i="70"/>
  <c r="H25" i="70"/>
  <c r="R24" i="70"/>
  <c r="M24" i="70"/>
  <c r="H24" i="70"/>
  <c r="R23" i="70"/>
  <c r="M23" i="70"/>
  <c r="H23" i="70"/>
  <c r="R22" i="70"/>
  <c r="Q22" i="70"/>
  <c r="P22" i="70"/>
  <c r="O22" i="70"/>
  <c r="M22" i="70"/>
  <c r="L22" i="70"/>
  <c r="K22" i="70"/>
  <c r="J22" i="70"/>
  <c r="H22" i="70"/>
  <c r="G22" i="70"/>
  <c r="F22" i="70"/>
  <c r="E22" i="70"/>
  <c r="R21" i="70"/>
  <c r="Q21" i="70"/>
  <c r="Q14" i="70" s="1"/>
  <c r="P21" i="70"/>
  <c r="P14" i="70" s="1"/>
  <c r="O21" i="70"/>
  <c r="M21" i="70"/>
  <c r="L21" i="70"/>
  <c r="K21" i="70"/>
  <c r="K14" i="70" s="1"/>
  <c r="J21" i="70"/>
  <c r="H21" i="70"/>
  <c r="G21" i="70"/>
  <c r="F21" i="70"/>
  <c r="F14" i="70" s="1"/>
  <c r="E21" i="70"/>
  <c r="R20" i="70"/>
  <c r="M20" i="70"/>
  <c r="H20" i="70"/>
  <c r="R19" i="70"/>
  <c r="M19" i="70"/>
  <c r="H19" i="70"/>
  <c r="R18" i="70"/>
  <c r="M18" i="70"/>
  <c r="H18" i="70"/>
  <c r="Q17" i="70"/>
  <c r="P17" i="70"/>
  <c r="O17" i="70"/>
  <c r="R17" i="70" s="1"/>
  <c r="L17" i="70"/>
  <c r="K17" i="70"/>
  <c r="J17" i="70"/>
  <c r="M17" i="70" s="1"/>
  <c r="G17" i="70"/>
  <c r="F17" i="70"/>
  <c r="E17" i="70"/>
  <c r="H17" i="70" s="1"/>
  <c r="Q16" i="70"/>
  <c r="P16" i="70"/>
  <c r="O16" i="70"/>
  <c r="R16" i="70" s="1"/>
  <c r="L16" i="70"/>
  <c r="K16" i="70"/>
  <c r="J16" i="70"/>
  <c r="M16" i="70" s="1"/>
  <c r="G16" i="70"/>
  <c r="F16" i="70"/>
  <c r="E16" i="70"/>
  <c r="H16" i="70" s="1"/>
  <c r="Q15" i="70"/>
  <c r="P15" i="70"/>
  <c r="O15" i="70"/>
  <c r="R15" i="70" s="1"/>
  <c r="L15" i="70"/>
  <c r="K15" i="70"/>
  <c r="J15" i="70"/>
  <c r="M15" i="70" s="1"/>
  <c r="G15" i="70"/>
  <c r="F15" i="70"/>
  <c r="E15" i="70"/>
  <c r="H15" i="70" s="1"/>
  <c r="L14" i="70"/>
  <c r="G14" i="70"/>
  <c r="R13" i="70"/>
  <c r="M13" i="70"/>
  <c r="H13" i="70"/>
  <c r="R12" i="70"/>
  <c r="M12" i="70"/>
  <c r="H12" i="70"/>
  <c r="R11" i="70"/>
  <c r="M11" i="70"/>
  <c r="H11" i="70"/>
  <c r="P10" i="70"/>
  <c r="K10" i="70"/>
  <c r="F10" i="70"/>
  <c r="F182" i="70" l="1"/>
  <c r="M217" i="70"/>
  <c r="J216" i="70"/>
  <c r="H217" i="70"/>
  <c r="E216" i="70"/>
  <c r="F216" i="70"/>
  <c r="M223" i="70"/>
  <c r="R240" i="70"/>
  <c r="H190" i="70"/>
  <c r="J204" i="70"/>
  <c r="J203" i="70" s="1"/>
  <c r="F204" i="70"/>
  <c r="R219" i="70"/>
  <c r="H223" i="70"/>
  <c r="G216" i="70"/>
  <c r="G204" i="70" s="1"/>
  <c r="L216" i="70"/>
  <c r="L204" i="70" s="1"/>
  <c r="Q216" i="70"/>
  <c r="Q204" i="70" s="1"/>
  <c r="M234" i="70"/>
  <c r="M244" i="70"/>
  <c r="P233" i="70"/>
  <c r="K233" i="70"/>
  <c r="K231" i="70" s="1"/>
  <c r="G182" i="70"/>
  <c r="G178" i="70" s="1"/>
  <c r="R190" i="70"/>
  <c r="M213" i="70"/>
  <c r="P204" i="70"/>
  <c r="H219" i="70"/>
  <c r="K216" i="70"/>
  <c r="R223" i="70"/>
  <c r="E233" i="70"/>
  <c r="E231" i="70" s="1"/>
  <c r="H231" i="70" s="1"/>
  <c r="O233" i="70"/>
  <c r="O231" i="70" s="1"/>
  <c r="F233" i="70"/>
  <c r="F231" i="70" s="1"/>
  <c r="E249" i="70"/>
  <c r="H249" i="70" s="1"/>
  <c r="L36" i="70"/>
  <c r="L35" i="70" s="1"/>
  <c r="H32" i="70"/>
  <c r="G10" i="70"/>
  <c r="H59" i="70"/>
  <c r="E48" i="70"/>
  <c r="H48" i="70" s="1"/>
  <c r="M85" i="70"/>
  <c r="J81" i="70"/>
  <c r="M81" i="70" s="1"/>
  <c r="H110" i="70"/>
  <c r="M190" i="70"/>
  <c r="J189" i="70"/>
  <c r="M189" i="70" s="1"/>
  <c r="H216" i="70"/>
  <c r="E204" i="70"/>
  <c r="M240" i="70"/>
  <c r="L233" i="70"/>
  <c r="O14" i="70"/>
  <c r="O26" i="70"/>
  <c r="R26" i="70" s="1"/>
  <c r="G32" i="70"/>
  <c r="H33" i="70"/>
  <c r="P36" i="70"/>
  <c r="P35" i="70" s="1"/>
  <c r="P80" i="70" s="1"/>
  <c r="M65" i="70"/>
  <c r="H66" i="70"/>
  <c r="R66" i="70"/>
  <c r="H85" i="70"/>
  <c r="E81" i="70"/>
  <c r="H81" i="70" s="1"/>
  <c r="H105" i="70"/>
  <c r="K94" i="70"/>
  <c r="R124" i="70"/>
  <c r="Q40" i="70"/>
  <c r="R40" i="70" s="1"/>
  <c r="J14" i="70"/>
  <c r="J26" i="70"/>
  <c r="M26" i="70" s="1"/>
  <c r="M37" i="70"/>
  <c r="H42" i="70"/>
  <c r="K36" i="70"/>
  <c r="K35" i="70" s="1"/>
  <c r="H55" i="70"/>
  <c r="R59" i="70"/>
  <c r="O48" i="70"/>
  <c r="R48" i="70" s="1"/>
  <c r="H68" i="70"/>
  <c r="R72" i="70"/>
  <c r="M82" i="70"/>
  <c r="H106" i="70"/>
  <c r="M117" i="70"/>
  <c r="L33" i="70"/>
  <c r="L116" i="70"/>
  <c r="M116" i="70" s="1"/>
  <c r="Q121" i="70"/>
  <c r="R122" i="70"/>
  <c r="Q38" i="70"/>
  <c r="M129" i="70"/>
  <c r="F132" i="70"/>
  <c r="F120" i="70" s="1"/>
  <c r="F119" i="70" s="1"/>
  <c r="F164" i="70" s="1"/>
  <c r="P132" i="70"/>
  <c r="R132" i="70" s="1"/>
  <c r="R133" i="70"/>
  <c r="H135" i="70"/>
  <c r="M135" i="70"/>
  <c r="R135" i="70"/>
  <c r="H143" i="70"/>
  <c r="E147" i="70"/>
  <c r="F165" i="70"/>
  <c r="H165" i="70" s="1"/>
  <c r="L165" i="70"/>
  <c r="R169" i="70"/>
  <c r="F178" i="70"/>
  <c r="L178" i="70"/>
  <c r="R185" i="70"/>
  <c r="O184" i="70"/>
  <c r="E189" i="70"/>
  <c r="H189" i="70" s="1"/>
  <c r="M49" i="70"/>
  <c r="M105" i="70"/>
  <c r="O149" i="70"/>
  <c r="R150" i="70"/>
  <c r="R195" i="70"/>
  <c r="O194" i="70"/>
  <c r="R194" i="70" s="1"/>
  <c r="K80" i="70"/>
  <c r="E14" i="70"/>
  <c r="E26" i="70"/>
  <c r="H26" i="70" s="1"/>
  <c r="Q32" i="70"/>
  <c r="R32" i="70" s="1"/>
  <c r="R33" i="70"/>
  <c r="F36" i="70"/>
  <c r="F35" i="70" s="1"/>
  <c r="F80" i="70" s="1"/>
  <c r="R49" i="70"/>
  <c r="M59" i="70"/>
  <c r="J48" i="70"/>
  <c r="M48" i="70" s="1"/>
  <c r="E65" i="70"/>
  <c r="O65" i="70"/>
  <c r="M66" i="70"/>
  <c r="M72" i="70"/>
  <c r="R85" i="70"/>
  <c r="O81" i="70"/>
  <c r="R81" i="70" s="1"/>
  <c r="R105" i="70"/>
  <c r="M110" i="70"/>
  <c r="H111" i="70"/>
  <c r="E120" i="70"/>
  <c r="G121" i="70"/>
  <c r="G120" i="70" s="1"/>
  <c r="H122" i="70"/>
  <c r="G38" i="70"/>
  <c r="H129" i="70"/>
  <c r="K132" i="70"/>
  <c r="K120" i="70" s="1"/>
  <c r="R139" i="70"/>
  <c r="G149" i="70"/>
  <c r="G147" i="70" s="1"/>
  <c r="L149" i="70"/>
  <c r="L147" i="70" s="1"/>
  <c r="M156" i="70"/>
  <c r="M169" i="70"/>
  <c r="G248" i="70"/>
  <c r="R217" i="70"/>
  <c r="O216" i="70"/>
  <c r="P231" i="70"/>
  <c r="M250" i="70"/>
  <c r="J249" i="70"/>
  <c r="Q249" i="70"/>
  <c r="R253" i="70"/>
  <c r="E36" i="70"/>
  <c r="J36" i="70"/>
  <c r="O36" i="70"/>
  <c r="E98" i="70"/>
  <c r="J98" i="70"/>
  <c r="O98" i="70"/>
  <c r="R111" i="70"/>
  <c r="E132" i="70"/>
  <c r="H132" i="70" s="1"/>
  <c r="J132" i="70"/>
  <c r="M132" i="70" s="1"/>
  <c r="R143" i="70"/>
  <c r="M150" i="70"/>
  <c r="R166" i="70"/>
  <c r="H185" i="70"/>
  <c r="E184" i="70"/>
  <c r="O189" i="70"/>
  <c r="R189" i="70" s="1"/>
  <c r="H195" i="70"/>
  <c r="E194" i="70"/>
  <c r="H194" i="70" s="1"/>
  <c r="M200" i="70"/>
  <c r="F203" i="70"/>
  <c r="R234" i="70"/>
  <c r="Q233" i="70"/>
  <c r="Q231" i="70" s="1"/>
  <c r="L249" i="70"/>
  <c r="M253" i="70"/>
  <c r="M257" i="70"/>
  <c r="M111" i="70"/>
  <c r="R116" i="70"/>
  <c r="L120" i="70"/>
  <c r="L119" i="70" s="1"/>
  <c r="M143" i="70"/>
  <c r="R160" i="70"/>
  <c r="M165" i="70"/>
  <c r="M166" i="70"/>
  <c r="M184" i="70"/>
  <c r="J183" i="70"/>
  <c r="G203" i="70"/>
  <c r="G249" i="70"/>
  <c r="H253" i="70"/>
  <c r="G268" i="70"/>
  <c r="Q268" i="70"/>
  <c r="F149" i="70"/>
  <c r="F147" i="70" s="1"/>
  <c r="K149" i="70"/>
  <c r="P149" i="70"/>
  <c r="P147" i="70" s="1"/>
  <c r="H166" i="70"/>
  <c r="M185" i="70"/>
  <c r="H200" i="70"/>
  <c r="R213" i="70"/>
  <c r="H234" i="70"/>
  <c r="H244" i="70"/>
  <c r="R249" i="70"/>
  <c r="R250" i="70"/>
  <c r="R257" i="70"/>
  <c r="M195" i="70"/>
  <c r="J194" i="70"/>
  <c r="M194" i="70" s="1"/>
  <c r="R200" i="70"/>
  <c r="H213" i="70"/>
  <c r="K204" i="70"/>
  <c r="M219" i="70"/>
  <c r="R244" i="70"/>
  <c r="H250" i="70"/>
  <c r="H257" i="70"/>
  <c r="Q203" i="70" l="1"/>
  <c r="Q248" i="70" s="1"/>
  <c r="K203" i="70"/>
  <c r="K248" i="70" s="1"/>
  <c r="R231" i="70"/>
  <c r="P203" i="70"/>
  <c r="P248" i="70" s="1"/>
  <c r="F248" i="70"/>
  <c r="M249" i="70"/>
  <c r="M216" i="70"/>
  <c r="H233" i="70"/>
  <c r="M204" i="70"/>
  <c r="K119" i="70"/>
  <c r="K164" i="70" s="1"/>
  <c r="M183" i="70"/>
  <c r="J182" i="70"/>
  <c r="J35" i="70"/>
  <c r="M35" i="70" s="1"/>
  <c r="M36" i="70"/>
  <c r="R216" i="70"/>
  <c r="O204" i="70"/>
  <c r="E119" i="70"/>
  <c r="H119" i="70" s="1"/>
  <c r="H120" i="70"/>
  <c r="O147" i="70"/>
  <c r="R149" i="70"/>
  <c r="H98" i="70"/>
  <c r="E94" i="70"/>
  <c r="G119" i="70"/>
  <c r="G164" i="70" s="1"/>
  <c r="H65" i="70"/>
  <c r="E63" i="70"/>
  <c r="H63" i="70" s="1"/>
  <c r="R184" i="70"/>
  <c r="O183" i="70"/>
  <c r="H147" i="70"/>
  <c r="M14" i="70"/>
  <c r="J10" i="70"/>
  <c r="R233" i="70"/>
  <c r="Q10" i="70"/>
  <c r="O35" i="70"/>
  <c r="H121" i="70"/>
  <c r="H14" i="70"/>
  <c r="E10" i="70"/>
  <c r="R38" i="70"/>
  <c r="Q37" i="70"/>
  <c r="L231" i="70"/>
  <c r="M233" i="70"/>
  <c r="L94" i="70"/>
  <c r="L164" i="70" s="1"/>
  <c r="H184" i="70"/>
  <c r="E183" i="70"/>
  <c r="R98" i="70"/>
  <c r="O94" i="70"/>
  <c r="H38" i="70"/>
  <c r="G37" i="70"/>
  <c r="P120" i="70"/>
  <c r="K147" i="70"/>
  <c r="M147" i="70" s="1"/>
  <c r="M149" i="70"/>
  <c r="M98" i="70"/>
  <c r="J94" i="70"/>
  <c r="R65" i="70"/>
  <c r="O63" i="70"/>
  <c r="R63" i="70" s="1"/>
  <c r="H149" i="70"/>
  <c r="Q120" i="70"/>
  <c r="Q119" i="70" s="1"/>
  <c r="Q164" i="70" s="1"/>
  <c r="R121" i="70"/>
  <c r="L32" i="70"/>
  <c r="M33" i="70"/>
  <c r="J120" i="70"/>
  <c r="R14" i="70"/>
  <c r="O10" i="70"/>
  <c r="H204" i="70"/>
  <c r="E203" i="70"/>
  <c r="H203" i="70" s="1"/>
  <c r="E80" i="70" l="1"/>
  <c r="H10" i="70"/>
  <c r="J80" i="70"/>
  <c r="E164" i="70"/>
  <c r="H164" i="70" s="1"/>
  <c r="H94" i="70"/>
  <c r="R147" i="70"/>
  <c r="O119" i="70"/>
  <c r="R119" i="70" s="1"/>
  <c r="M120" i="70"/>
  <c r="J119" i="70"/>
  <c r="M119" i="70" s="1"/>
  <c r="H37" i="70"/>
  <c r="G36" i="70"/>
  <c r="H183" i="70"/>
  <c r="E182" i="70"/>
  <c r="L203" i="70"/>
  <c r="M231" i="70"/>
  <c r="E35" i="70"/>
  <c r="R37" i="70"/>
  <c r="Q36" i="70"/>
  <c r="O80" i="70"/>
  <c r="R10" i="70"/>
  <c r="M32" i="70"/>
  <c r="L10" i="70"/>
  <c r="L80" i="70" s="1"/>
  <c r="M94" i="70"/>
  <c r="P119" i="70"/>
  <c r="P164" i="70" s="1"/>
  <c r="R120" i="70"/>
  <c r="R94" i="70"/>
  <c r="R183" i="70"/>
  <c r="O182" i="70"/>
  <c r="R204" i="70"/>
  <c r="O203" i="70"/>
  <c r="R203" i="70" s="1"/>
  <c r="M182" i="70"/>
  <c r="J178" i="70"/>
  <c r="J248" i="70" l="1"/>
  <c r="M178" i="70"/>
  <c r="R182" i="70"/>
  <c r="O178" i="70"/>
  <c r="Q35" i="70"/>
  <c r="R36" i="70"/>
  <c r="G35" i="70"/>
  <c r="G80" i="70" s="1"/>
  <c r="H80" i="70" s="1"/>
  <c r="H36" i="70"/>
  <c r="M10" i="70"/>
  <c r="M203" i="70"/>
  <c r="L248" i="70"/>
  <c r="M80" i="70"/>
  <c r="H182" i="70"/>
  <c r="E178" i="70"/>
  <c r="O164" i="70"/>
  <c r="R164" i="70" s="1"/>
  <c r="J164" i="70"/>
  <c r="M164" i="70" s="1"/>
  <c r="E248" i="70" l="1"/>
  <c r="H248" i="70" s="1"/>
  <c r="H178" i="70"/>
  <c r="H35" i="70"/>
  <c r="O248" i="70"/>
  <c r="R248" i="70" s="1"/>
  <c r="R178" i="70"/>
  <c r="Q80" i="70"/>
  <c r="R80" i="70" s="1"/>
  <c r="R35" i="70"/>
  <c r="M248" i="70"/>
  <c r="G52" i="2" l="1"/>
  <c r="P274" i="170" l="1"/>
  <c r="K274" i="170"/>
  <c r="F274" i="170"/>
  <c r="G274" i="170" l="1"/>
  <c r="Q274" i="170"/>
  <c r="Q273" i="170" s="1"/>
  <c r="Q266" i="170" s="1"/>
  <c r="Q148" i="170" s="1"/>
  <c r="L274" i="170"/>
  <c r="E296" i="86" l="1"/>
  <c r="P274" i="86"/>
  <c r="P264" i="86" s="1"/>
  <c r="O274" i="86"/>
  <c r="N274" i="86"/>
  <c r="M274" i="86"/>
  <c r="K274" i="86"/>
  <c r="K264" i="86" s="1"/>
  <c r="J274" i="86"/>
  <c r="I274" i="86"/>
  <c r="H274" i="86"/>
  <c r="F274" i="86"/>
  <c r="F264" i="86" s="1"/>
  <c r="E264" i="86"/>
  <c r="R260" i="86"/>
  <c r="M260" i="86"/>
  <c r="H260" i="86"/>
  <c r="R259" i="86"/>
  <c r="M259" i="86"/>
  <c r="H259" i="86"/>
  <c r="R258" i="86"/>
  <c r="M258" i="86"/>
  <c r="H258" i="86"/>
  <c r="Q257" i="86"/>
  <c r="P257" i="86"/>
  <c r="O257" i="86"/>
  <c r="L257" i="86"/>
  <c r="K257" i="86"/>
  <c r="J257" i="86"/>
  <c r="G257" i="86"/>
  <c r="F257" i="86"/>
  <c r="E257" i="86"/>
  <c r="H257" i="86" s="1"/>
  <c r="R256" i="86"/>
  <c r="M256" i="86"/>
  <c r="H256" i="86"/>
  <c r="R255" i="86"/>
  <c r="M255" i="86"/>
  <c r="H255" i="86"/>
  <c r="R254" i="86"/>
  <c r="M254" i="86"/>
  <c r="H254" i="86"/>
  <c r="Q253" i="86"/>
  <c r="P253" i="86"/>
  <c r="O253" i="86"/>
  <c r="L253" i="86"/>
  <c r="L249" i="86" s="1"/>
  <c r="K253" i="86"/>
  <c r="J253" i="86"/>
  <c r="G253" i="86"/>
  <c r="G249" i="86" s="1"/>
  <c r="F253" i="86"/>
  <c r="E253" i="86"/>
  <c r="R252" i="86"/>
  <c r="M252" i="86"/>
  <c r="H252" i="86"/>
  <c r="R251" i="86"/>
  <c r="M251" i="86"/>
  <c r="H251" i="86"/>
  <c r="Q250" i="86"/>
  <c r="P250" i="86"/>
  <c r="O250" i="86"/>
  <c r="L250" i="86"/>
  <c r="K250" i="86"/>
  <c r="K249" i="86" s="1"/>
  <c r="J250" i="86"/>
  <c r="G250" i="86"/>
  <c r="F250" i="86"/>
  <c r="F249" i="86" s="1"/>
  <c r="E250" i="86"/>
  <c r="P249" i="86"/>
  <c r="O249" i="86"/>
  <c r="J249" i="86"/>
  <c r="R247" i="86"/>
  <c r="M247" i="86"/>
  <c r="H247" i="86"/>
  <c r="R246" i="86"/>
  <c r="M246" i="86"/>
  <c r="H246" i="86"/>
  <c r="R245" i="86"/>
  <c r="M245" i="86"/>
  <c r="H245" i="86"/>
  <c r="Q244" i="86"/>
  <c r="P244" i="86"/>
  <c r="O244" i="86"/>
  <c r="R244" i="86" s="1"/>
  <c r="L244" i="86"/>
  <c r="K244" i="86"/>
  <c r="K233" i="86" s="1"/>
  <c r="J244" i="86"/>
  <c r="M244" i="86" s="1"/>
  <c r="G244" i="86"/>
  <c r="G76" i="86" s="1"/>
  <c r="F244" i="86"/>
  <c r="F233" i="86" s="1"/>
  <c r="E244" i="86"/>
  <c r="R243" i="86"/>
  <c r="M243" i="86"/>
  <c r="H243" i="86"/>
  <c r="R242" i="86"/>
  <c r="M242" i="86"/>
  <c r="H242" i="86"/>
  <c r="R241" i="86"/>
  <c r="M241" i="86"/>
  <c r="H241" i="86"/>
  <c r="R240" i="86"/>
  <c r="Q240" i="86"/>
  <c r="P240" i="86"/>
  <c r="O240" i="86"/>
  <c r="M240" i="86"/>
  <c r="L240" i="86"/>
  <c r="K240" i="86"/>
  <c r="J240" i="86"/>
  <c r="H240" i="86"/>
  <c r="G240" i="86"/>
  <c r="F240" i="86"/>
  <c r="E240" i="86"/>
  <c r="R239" i="86"/>
  <c r="M239" i="86"/>
  <c r="H239" i="86"/>
  <c r="R238" i="86"/>
  <c r="M238" i="86"/>
  <c r="H238" i="86"/>
  <c r="R237" i="86"/>
  <c r="M237" i="86"/>
  <c r="H237" i="86"/>
  <c r="Q236" i="86"/>
  <c r="P236" i="86"/>
  <c r="O236" i="86"/>
  <c r="L236" i="86"/>
  <c r="K236" i="86"/>
  <c r="J236" i="86"/>
  <c r="G236" i="86"/>
  <c r="F236" i="86"/>
  <c r="E236" i="86"/>
  <c r="R235" i="86"/>
  <c r="M235" i="86"/>
  <c r="H235" i="86"/>
  <c r="Q234" i="86"/>
  <c r="Q233" i="86" s="1"/>
  <c r="Q231" i="86" s="1"/>
  <c r="P234" i="86"/>
  <c r="L234" i="86"/>
  <c r="L233" i="86" s="1"/>
  <c r="L231" i="86" s="1"/>
  <c r="K234" i="86"/>
  <c r="G234" i="86"/>
  <c r="F234" i="86"/>
  <c r="R232" i="86"/>
  <c r="M232" i="86"/>
  <c r="H232" i="86"/>
  <c r="K231" i="86"/>
  <c r="F231" i="86"/>
  <c r="R230" i="86"/>
  <c r="M230" i="86"/>
  <c r="H230" i="86"/>
  <c r="R229" i="86"/>
  <c r="M229" i="86"/>
  <c r="H229" i="86"/>
  <c r="R228" i="86"/>
  <c r="M228" i="86"/>
  <c r="H228" i="86"/>
  <c r="R227" i="86"/>
  <c r="Q227" i="86"/>
  <c r="P227" i="86"/>
  <c r="O227" i="86"/>
  <c r="M227" i="86"/>
  <c r="L227" i="86"/>
  <c r="K227" i="86"/>
  <c r="J227" i="86"/>
  <c r="H227" i="86"/>
  <c r="G227" i="86"/>
  <c r="F227" i="86"/>
  <c r="E227" i="86"/>
  <c r="R226" i="86"/>
  <c r="M226" i="86"/>
  <c r="H226" i="86"/>
  <c r="E226" i="86"/>
  <c r="R225" i="86"/>
  <c r="M225" i="86"/>
  <c r="H225" i="86"/>
  <c r="R224" i="86"/>
  <c r="M224" i="86"/>
  <c r="H224" i="86"/>
  <c r="Q223" i="86"/>
  <c r="P223" i="86"/>
  <c r="O223" i="86"/>
  <c r="L223" i="86"/>
  <c r="K223" i="86"/>
  <c r="J223" i="86"/>
  <c r="G223" i="86"/>
  <c r="F223" i="86"/>
  <c r="E223" i="86"/>
  <c r="H223" i="86" s="1"/>
  <c r="R222" i="86"/>
  <c r="M222" i="86"/>
  <c r="H222" i="86"/>
  <c r="R221" i="86"/>
  <c r="M221" i="86"/>
  <c r="H221" i="86"/>
  <c r="R220" i="86"/>
  <c r="M220" i="86"/>
  <c r="H220" i="86"/>
  <c r="Q219" i="86"/>
  <c r="Q217" i="86" s="1"/>
  <c r="Q216" i="86" s="1"/>
  <c r="P219" i="86"/>
  <c r="O219" i="86"/>
  <c r="R219" i="86" s="1"/>
  <c r="L219" i="86"/>
  <c r="L217" i="86" s="1"/>
  <c r="L216" i="86" s="1"/>
  <c r="K219" i="86"/>
  <c r="J219" i="86"/>
  <c r="G219" i="86"/>
  <c r="G217" i="86" s="1"/>
  <c r="G216" i="86" s="1"/>
  <c r="F219" i="86"/>
  <c r="F217" i="86" s="1"/>
  <c r="E219" i="86"/>
  <c r="R218" i="86"/>
  <c r="M218" i="86"/>
  <c r="H218" i="86"/>
  <c r="P217" i="86"/>
  <c r="O217" i="86"/>
  <c r="K217" i="86"/>
  <c r="K216" i="86" s="1"/>
  <c r="J217" i="86"/>
  <c r="E217" i="86"/>
  <c r="P216" i="86"/>
  <c r="O216" i="86"/>
  <c r="F216" i="86"/>
  <c r="E216" i="86"/>
  <c r="R215" i="86"/>
  <c r="M215" i="86"/>
  <c r="H215" i="86"/>
  <c r="R214" i="86"/>
  <c r="M214" i="86"/>
  <c r="H214" i="86"/>
  <c r="Q213" i="86"/>
  <c r="P213" i="86"/>
  <c r="O213" i="86"/>
  <c r="L213" i="86"/>
  <c r="K213" i="86"/>
  <c r="J213" i="86"/>
  <c r="G213" i="86"/>
  <c r="H213" i="86" s="1"/>
  <c r="F213" i="86"/>
  <c r="E213" i="86"/>
  <c r="R212" i="86"/>
  <c r="M212" i="86"/>
  <c r="H212" i="86"/>
  <c r="R211" i="86"/>
  <c r="M211" i="86"/>
  <c r="H211" i="86"/>
  <c r="E211" i="86"/>
  <c r="Q210" i="86"/>
  <c r="P210" i="86"/>
  <c r="O210" i="86"/>
  <c r="R210" i="86" s="1"/>
  <c r="L210" i="86"/>
  <c r="L204" i="86" s="1"/>
  <c r="L203" i="86" s="1"/>
  <c r="K210" i="86"/>
  <c r="J210" i="86"/>
  <c r="M210" i="86" s="1"/>
  <c r="G210" i="86"/>
  <c r="G204" i="86" s="1"/>
  <c r="F210" i="86"/>
  <c r="E210" i="86"/>
  <c r="R209" i="86"/>
  <c r="M209" i="86"/>
  <c r="H209" i="86"/>
  <c r="R208" i="86"/>
  <c r="M208" i="86"/>
  <c r="H208" i="86"/>
  <c r="R207" i="86"/>
  <c r="M207" i="86"/>
  <c r="H207" i="86"/>
  <c r="R206" i="86"/>
  <c r="M206" i="86"/>
  <c r="H206" i="86"/>
  <c r="Q205" i="86"/>
  <c r="P205" i="86"/>
  <c r="O205" i="86"/>
  <c r="L205" i="86"/>
  <c r="K205" i="86"/>
  <c r="J205" i="86"/>
  <c r="M205" i="86" s="1"/>
  <c r="G205" i="86"/>
  <c r="F205" i="86"/>
  <c r="E205" i="86"/>
  <c r="H205" i="86" s="1"/>
  <c r="Q204" i="86"/>
  <c r="Q203" i="86" s="1"/>
  <c r="K204" i="86"/>
  <c r="K203" i="86" s="1"/>
  <c r="R202" i="86"/>
  <c r="M202" i="86"/>
  <c r="H202" i="86"/>
  <c r="R201" i="86"/>
  <c r="M201" i="86"/>
  <c r="H201" i="86"/>
  <c r="E201" i="86"/>
  <c r="Q200" i="86"/>
  <c r="P200" i="86"/>
  <c r="O200" i="86"/>
  <c r="L200" i="86"/>
  <c r="K200" i="86"/>
  <c r="J200" i="86"/>
  <c r="G200" i="86"/>
  <c r="F200" i="86"/>
  <c r="E200" i="86"/>
  <c r="H200" i="86" s="1"/>
  <c r="R199" i="86"/>
  <c r="M199" i="86"/>
  <c r="H199" i="86"/>
  <c r="R198" i="86"/>
  <c r="M198" i="86"/>
  <c r="H198" i="86"/>
  <c r="R197" i="86"/>
  <c r="M197" i="86"/>
  <c r="H197" i="86"/>
  <c r="R196" i="86"/>
  <c r="M196" i="86"/>
  <c r="H196" i="86"/>
  <c r="Q195" i="86"/>
  <c r="P195" i="86"/>
  <c r="P194" i="86" s="1"/>
  <c r="O195" i="86"/>
  <c r="L195" i="86"/>
  <c r="K195" i="86"/>
  <c r="K194" i="86" s="1"/>
  <c r="J195" i="86"/>
  <c r="J194" i="86" s="1"/>
  <c r="G195" i="86"/>
  <c r="F195" i="86"/>
  <c r="F194" i="86" s="1"/>
  <c r="E195" i="86"/>
  <c r="Q194" i="86"/>
  <c r="O194" i="86"/>
  <c r="R194" i="86" s="1"/>
  <c r="L194" i="86"/>
  <c r="G194" i="86"/>
  <c r="R193" i="86"/>
  <c r="M193" i="86"/>
  <c r="H193" i="86"/>
  <c r="R192" i="86"/>
  <c r="M192" i="86"/>
  <c r="H192" i="86"/>
  <c r="R191" i="86"/>
  <c r="M191" i="86"/>
  <c r="H191" i="86"/>
  <c r="Q190" i="86"/>
  <c r="Q189" i="86" s="1"/>
  <c r="P190" i="86"/>
  <c r="P189" i="86" s="1"/>
  <c r="P182" i="86" s="1"/>
  <c r="P178" i="86" s="1"/>
  <c r="O190" i="86"/>
  <c r="L190" i="86"/>
  <c r="K190" i="86"/>
  <c r="J190" i="86"/>
  <c r="G190" i="86"/>
  <c r="G189" i="86" s="1"/>
  <c r="F190" i="86"/>
  <c r="E190" i="86"/>
  <c r="H190" i="86" s="1"/>
  <c r="O189" i="86"/>
  <c r="L189" i="86"/>
  <c r="K189" i="86"/>
  <c r="K182" i="86" s="1"/>
  <c r="K178" i="86" s="1"/>
  <c r="K248" i="86" s="1"/>
  <c r="J189" i="86"/>
  <c r="F189" i="86"/>
  <c r="F182" i="86" s="1"/>
  <c r="F178" i="86" s="1"/>
  <c r="E189" i="86"/>
  <c r="H189" i="86" s="1"/>
  <c r="R188" i="86"/>
  <c r="M188" i="86"/>
  <c r="H188" i="86"/>
  <c r="R187" i="86"/>
  <c r="M187" i="86"/>
  <c r="H187" i="86"/>
  <c r="R186" i="86"/>
  <c r="M186" i="86"/>
  <c r="H186" i="86"/>
  <c r="Q185" i="86"/>
  <c r="R185" i="86" s="1"/>
  <c r="P185" i="86"/>
  <c r="O185" i="86"/>
  <c r="L185" i="86"/>
  <c r="M185" i="86" s="1"/>
  <c r="K185" i="86"/>
  <c r="J185" i="86"/>
  <c r="G185" i="86"/>
  <c r="H185" i="86" s="1"/>
  <c r="F185" i="86"/>
  <c r="E185" i="86"/>
  <c r="P184" i="86"/>
  <c r="O184" i="86"/>
  <c r="K184" i="86"/>
  <c r="J184" i="86"/>
  <c r="G184" i="86"/>
  <c r="H184" i="86" s="1"/>
  <c r="F184" i="86"/>
  <c r="E184" i="86"/>
  <c r="P183" i="86"/>
  <c r="O183" i="86"/>
  <c r="K183" i="86"/>
  <c r="J183" i="86"/>
  <c r="F183" i="86"/>
  <c r="E183" i="86"/>
  <c r="R181" i="86"/>
  <c r="M181" i="86"/>
  <c r="H181" i="86"/>
  <c r="R180" i="86"/>
  <c r="M180" i="86"/>
  <c r="H180" i="86"/>
  <c r="R179" i="86"/>
  <c r="M179" i="86"/>
  <c r="H179" i="86"/>
  <c r="R177" i="86"/>
  <c r="M177" i="86"/>
  <c r="H177" i="86"/>
  <c r="R176" i="86"/>
  <c r="M176" i="86"/>
  <c r="H176" i="86"/>
  <c r="R175" i="86"/>
  <c r="M175" i="86"/>
  <c r="H175" i="86"/>
  <c r="R174" i="86"/>
  <c r="M174" i="86"/>
  <c r="H174" i="86"/>
  <c r="R173" i="86"/>
  <c r="Q173" i="86"/>
  <c r="P173" i="86"/>
  <c r="O173" i="86"/>
  <c r="M173" i="86"/>
  <c r="L173" i="86"/>
  <c r="K173" i="86"/>
  <c r="J173" i="86"/>
  <c r="H173" i="86"/>
  <c r="G173" i="86"/>
  <c r="F173" i="86"/>
  <c r="E173" i="86"/>
  <c r="R172" i="86"/>
  <c r="M172" i="86"/>
  <c r="H172" i="86"/>
  <c r="R171" i="86"/>
  <c r="M171" i="86"/>
  <c r="H171" i="86"/>
  <c r="R170" i="86"/>
  <c r="M170" i="86"/>
  <c r="H170" i="86"/>
  <c r="Q169" i="86"/>
  <c r="P169" i="86"/>
  <c r="P165" i="86" s="1"/>
  <c r="O169" i="86"/>
  <c r="L169" i="86"/>
  <c r="K169" i="86"/>
  <c r="K165" i="86" s="1"/>
  <c r="J169" i="86"/>
  <c r="G169" i="86"/>
  <c r="F169" i="86"/>
  <c r="F165" i="86" s="1"/>
  <c r="E169" i="86"/>
  <c r="R168" i="86"/>
  <c r="M168" i="86"/>
  <c r="H168" i="86"/>
  <c r="R167" i="86"/>
  <c r="M167" i="86"/>
  <c r="H167" i="86"/>
  <c r="Q166" i="86"/>
  <c r="R166" i="86" s="1"/>
  <c r="P166" i="86"/>
  <c r="O166" i="86"/>
  <c r="L166" i="86"/>
  <c r="L165" i="86" s="1"/>
  <c r="K166" i="86"/>
  <c r="J166" i="86"/>
  <c r="G166" i="86"/>
  <c r="G165" i="86" s="1"/>
  <c r="F166" i="86"/>
  <c r="E166" i="86"/>
  <c r="Q165" i="86"/>
  <c r="R163" i="86"/>
  <c r="M163" i="86"/>
  <c r="H163" i="86"/>
  <c r="R162" i="86"/>
  <c r="M162" i="86"/>
  <c r="H162" i="86"/>
  <c r="R161" i="86"/>
  <c r="M161" i="86"/>
  <c r="H161" i="86"/>
  <c r="Q160" i="86"/>
  <c r="P160" i="86"/>
  <c r="O160" i="86"/>
  <c r="R160" i="86" s="1"/>
  <c r="L160" i="86"/>
  <c r="K160" i="86"/>
  <c r="J160" i="86"/>
  <c r="M160" i="86" s="1"/>
  <c r="G160" i="86"/>
  <c r="F160" i="86"/>
  <c r="E160" i="86"/>
  <c r="H160" i="86" s="1"/>
  <c r="R159" i="86"/>
  <c r="M159" i="86"/>
  <c r="H159" i="86"/>
  <c r="R158" i="86"/>
  <c r="M158" i="86"/>
  <c r="H158" i="86"/>
  <c r="R157" i="86"/>
  <c r="M157" i="86"/>
  <c r="H157" i="86"/>
  <c r="Q156" i="86"/>
  <c r="P156" i="86"/>
  <c r="O156" i="86"/>
  <c r="R156" i="86" s="1"/>
  <c r="L156" i="86"/>
  <c r="K156" i="86"/>
  <c r="J156" i="86"/>
  <c r="G156" i="86"/>
  <c r="F156" i="86"/>
  <c r="E156" i="86"/>
  <c r="R155" i="86"/>
  <c r="M155" i="86"/>
  <c r="H155" i="86"/>
  <c r="R154" i="86"/>
  <c r="M154" i="86"/>
  <c r="H154" i="86"/>
  <c r="R153" i="86"/>
  <c r="M153" i="86"/>
  <c r="H153" i="86"/>
  <c r="Q152" i="86"/>
  <c r="Q150" i="86" s="1"/>
  <c r="Q149" i="86" s="1"/>
  <c r="Q147" i="86" s="1"/>
  <c r="Q119" i="86" s="1"/>
  <c r="P152" i="86"/>
  <c r="O152" i="86"/>
  <c r="L152" i="86"/>
  <c r="L150" i="86" s="1"/>
  <c r="L149" i="86" s="1"/>
  <c r="L147" i="86" s="1"/>
  <c r="K152" i="86"/>
  <c r="K150" i="86" s="1"/>
  <c r="K149" i="86" s="1"/>
  <c r="K147" i="86" s="1"/>
  <c r="J152" i="86"/>
  <c r="G152" i="86"/>
  <c r="G150" i="86" s="1"/>
  <c r="G149" i="86" s="1"/>
  <c r="G147" i="86" s="1"/>
  <c r="F152" i="86"/>
  <c r="E152" i="86"/>
  <c r="H152" i="86" s="1"/>
  <c r="R151" i="86"/>
  <c r="M151" i="86"/>
  <c r="H151" i="86"/>
  <c r="P150" i="86"/>
  <c r="P149" i="86" s="1"/>
  <c r="P147" i="86" s="1"/>
  <c r="O150" i="86"/>
  <c r="J150" i="86"/>
  <c r="F150" i="86"/>
  <c r="F149" i="86" s="1"/>
  <c r="F147" i="86" s="1"/>
  <c r="E150" i="86"/>
  <c r="R148" i="86"/>
  <c r="M148" i="86"/>
  <c r="H148" i="86"/>
  <c r="R146" i="86"/>
  <c r="M146" i="86"/>
  <c r="H146" i="86"/>
  <c r="R145" i="86"/>
  <c r="M145" i="86"/>
  <c r="H145" i="86"/>
  <c r="R144" i="86"/>
  <c r="M144" i="86"/>
  <c r="H144" i="86"/>
  <c r="Q143" i="86"/>
  <c r="P143" i="86"/>
  <c r="O143" i="86"/>
  <c r="R143" i="86" s="1"/>
  <c r="L143" i="86"/>
  <c r="K143" i="86"/>
  <c r="J143" i="86"/>
  <c r="M143" i="86" s="1"/>
  <c r="G143" i="86"/>
  <c r="F143" i="86"/>
  <c r="E143" i="86"/>
  <c r="R142" i="86"/>
  <c r="M142" i="86"/>
  <c r="H142" i="86"/>
  <c r="R141" i="86"/>
  <c r="M141" i="86"/>
  <c r="H141" i="86"/>
  <c r="R140" i="86"/>
  <c r="P140" i="86"/>
  <c r="P139" i="86" s="1"/>
  <c r="M140" i="86"/>
  <c r="F140" i="86"/>
  <c r="H140" i="86" s="1"/>
  <c r="R139" i="86"/>
  <c r="Q139" i="86"/>
  <c r="O139" i="86"/>
  <c r="L139" i="86"/>
  <c r="J139" i="86"/>
  <c r="G139" i="86"/>
  <c r="F139" i="86"/>
  <c r="H139" i="86" s="1"/>
  <c r="E139" i="86"/>
  <c r="R138" i="86"/>
  <c r="M138" i="86"/>
  <c r="H138" i="86"/>
  <c r="R137" i="86"/>
  <c r="M137" i="86"/>
  <c r="H137" i="86"/>
  <c r="R136" i="86"/>
  <c r="M136" i="86"/>
  <c r="H136" i="86"/>
  <c r="Q135" i="86"/>
  <c r="Q133" i="86" s="1"/>
  <c r="Q132" i="86" s="1"/>
  <c r="P135" i="86"/>
  <c r="O135" i="86"/>
  <c r="R135" i="86" s="1"/>
  <c r="J135" i="86"/>
  <c r="G135" i="86"/>
  <c r="F135" i="86"/>
  <c r="E135" i="86"/>
  <c r="R134" i="86"/>
  <c r="M134" i="86"/>
  <c r="H134" i="86"/>
  <c r="P133" i="86"/>
  <c r="O133" i="86"/>
  <c r="G133" i="86"/>
  <c r="F133" i="86"/>
  <c r="P132" i="86"/>
  <c r="P120" i="86" s="1"/>
  <c r="P119" i="86" s="1"/>
  <c r="G132" i="86"/>
  <c r="F132" i="86"/>
  <c r="R131" i="86"/>
  <c r="M131" i="86"/>
  <c r="H131" i="86"/>
  <c r="R130" i="86"/>
  <c r="M130" i="86"/>
  <c r="H130" i="86"/>
  <c r="Q129" i="86"/>
  <c r="P129" i="86"/>
  <c r="O129" i="86"/>
  <c r="R129" i="86" s="1"/>
  <c r="M129" i="86"/>
  <c r="J129" i="86"/>
  <c r="G129" i="86"/>
  <c r="F129" i="86"/>
  <c r="E129" i="86"/>
  <c r="R128" i="86"/>
  <c r="M128" i="86"/>
  <c r="H128" i="86"/>
  <c r="R127" i="86"/>
  <c r="K127" i="86"/>
  <c r="M127" i="86" s="1"/>
  <c r="H127" i="86"/>
  <c r="R126" i="86"/>
  <c r="Q126" i="86"/>
  <c r="P126" i="86"/>
  <c r="O126" i="86"/>
  <c r="M126" i="86"/>
  <c r="L126" i="86"/>
  <c r="K126" i="86"/>
  <c r="J126" i="86"/>
  <c r="H126" i="86"/>
  <c r="G126" i="86"/>
  <c r="F126" i="86"/>
  <c r="E126" i="86"/>
  <c r="R125" i="86"/>
  <c r="M125" i="86"/>
  <c r="H125" i="86"/>
  <c r="R124" i="86"/>
  <c r="M124" i="86"/>
  <c r="H124" i="86"/>
  <c r="R123" i="86"/>
  <c r="M123" i="86"/>
  <c r="H123" i="86"/>
  <c r="R122" i="86"/>
  <c r="M122" i="86"/>
  <c r="E122" i="86"/>
  <c r="E38" i="86" s="1"/>
  <c r="Q121" i="86"/>
  <c r="P121" i="86"/>
  <c r="O121" i="86"/>
  <c r="L121" i="86"/>
  <c r="K121" i="86"/>
  <c r="J121" i="86"/>
  <c r="G121" i="86"/>
  <c r="G120" i="86" s="1"/>
  <c r="G119" i="86" s="1"/>
  <c r="F121" i="86"/>
  <c r="F120" i="86" s="1"/>
  <c r="F119" i="86" s="1"/>
  <c r="Q120" i="86"/>
  <c r="K120" i="86"/>
  <c r="R118" i="86"/>
  <c r="M118" i="86"/>
  <c r="H118" i="86"/>
  <c r="R117" i="86"/>
  <c r="P117" i="86"/>
  <c r="K117" i="86"/>
  <c r="H117" i="86"/>
  <c r="F117" i="86"/>
  <c r="Q116" i="86"/>
  <c r="R116" i="86" s="1"/>
  <c r="P116" i="86"/>
  <c r="O116" i="86"/>
  <c r="L116" i="86"/>
  <c r="J116" i="86"/>
  <c r="H116" i="86"/>
  <c r="G116" i="86"/>
  <c r="F116" i="86"/>
  <c r="E116" i="86"/>
  <c r="R115" i="86"/>
  <c r="M115" i="86"/>
  <c r="H115" i="86"/>
  <c r="R114" i="86"/>
  <c r="M114" i="86"/>
  <c r="H114" i="86"/>
  <c r="R113" i="86"/>
  <c r="M113" i="86"/>
  <c r="H113" i="86"/>
  <c r="R112" i="86"/>
  <c r="M112" i="86"/>
  <c r="H112" i="86"/>
  <c r="R111" i="86"/>
  <c r="Q111" i="86"/>
  <c r="P111" i="86"/>
  <c r="O111" i="86"/>
  <c r="M111" i="86"/>
  <c r="L111" i="86"/>
  <c r="K111" i="86"/>
  <c r="J111" i="86"/>
  <c r="H111" i="86"/>
  <c r="G111" i="86"/>
  <c r="F111" i="86"/>
  <c r="E111" i="86"/>
  <c r="R110" i="86"/>
  <c r="Q110" i="86"/>
  <c r="P110" i="86"/>
  <c r="O110" i="86"/>
  <c r="M110" i="86"/>
  <c r="L110" i="86"/>
  <c r="K110" i="86"/>
  <c r="J110" i="86"/>
  <c r="H110" i="86"/>
  <c r="G110" i="86"/>
  <c r="F110" i="86"/>
  <c r="E110" i="86"/>
  <c r="R109" i="86"/>
  <c r="M109" i="86"/>
  <c r="H109" i="86"/>
  <c r="R108" i="86"/>
  <c r="M108" i="86"/>
  <c r="H108" i="86"/>
  <c r="R107" i="86"/>
  <c r="M107" i="86"/>
  <c r="H107" i="86"/>
  <c r="Q106" i="86"/>
  <c r="P106" i="86"/>
  <c r="O106" i="86"/>
  <c r="R106" i="86" s="1"/>
  <c r="L106" i="86"/>
  <c r="K106" i="86"/>
  <c r="J106" i="86"/>
  <c r="M106" i="86" s="1"/>
  <c r="G106" i="86"/>
  <c r="F106" i="86"/>
  <c r="E106" i="86"/>
  <c r="H106" i="86" s="1"/>
  <c r="Q105" i="86"/>
  <c r="Q98" i="86" s="1"/>
  <c r="Q94" i="86" s="1"/>
  <c r="P105" i="86"/>
  <c r="O105" i="86"/>
  <c r="R105" i="86" s="1"/>
  <c r="L105" i="86"/>
  <c r="L98" i="86" s="1"/>
  <c r="K105" i="86"/>
  <c r="J105" i="86"/>
  <c r="M105" i="86" s="1"/>
  <c r="G105" i="86"/>
  <c r="G98" i="86" s="1"/>
  <c r="G94" i="86" s="1"/>
  <c r="F105" i="86"/>
  <c r="E105" i="86"/>
  <c r="H105" i="86" s="1"/>
  <c r="R104" i="86"/>
  <c r="M104" i="86"/>
  <c r="H104" i="86"/>
  <c r="R103" i="86"/>
  <c r="M103" i="86"/>
  <c r="H103" i="86"/>
  <c r="R102" i="86"/>
  <c r="M102" i="86"/>
  <c r="H102" i="86"/>
  <c r="Q101" i="86"/>
  <c r="P101" i="86"/>
  <c r="P100" i="86" s="1"/>
  <c r="P99" i="86" s="1"/>
  <c r="P98" i="86" s="1"/>
  <c r="P94" i="86" s="1"/>
  <c r="O101" i="86"/>
  <c r="O100" i="86" s="1"/>
  <c r="L101" i="86"/>
  <c r="K101" i="86"/>
  <c r="J101" i="86"/>
  <c r="M101" i="86" s="1"/>
  <c r="G101" i="86"/>
  <c r="F101" i="86"/>
  <c r="E101" i="86"/>
  <c r="H101" i="86" s="1"/>
  <c r="Q100" i="86"/>
  <c r="L100" i="86"/>
  <c r="K100" i="86"/>
  <c r="K99" i="86" s="1"/>
  <c r="K98" i="86" s="1"/>
  <c r="G100" i="86"/>
  <c r="F100" i="86"/>
  <c r="E100" i="86"/>
  <c r="H100" i="86" s="1"/>
  <c r="Q99" i="86"/>
  <c r="L99" i="86"/>
  <c r="G99" i="86"/>
  <c r="F99" i="86"/>
  <c r="F98" i="86" s="1"/>
  <c r="F94" i="86" s="1"/>
  <c r="R97" i="86"/>
  <c r="M97" i="86"/>
  <c r="H97" i="86"/>
  <c r="R96" i="86"/>
  <c r="M96" i="86"/>
  <c r="H96" i="86"/>
  <c r="R95" i="86"/>
  <c r="M95" i="86"/>
  <c r="H95" i="86"/>
  <c r="L94" i="86"/>
  <c r="R93" i="86"/>
  <c r="M93" i="86"/>
  <c r="H93" i="86"/>
  <c r="R92" i="86"/>
  <c r="M92" i="86"/>
  <c r="H92" i="86"/>
  <c r="Q91" i="86"/>
  <c r="P91" i="86"/>
  <c r="O91" i="86"/>
  <c r="O89" i="86" s="1"/>
  <c r="L91" i="86"/>
  <c r="K91" i="86"/>
  <c r="J91" i="86"/>
  <c r="J89" i="86" s="1"/>
  <c r="M89" i="86" s="1"/>
  <c r="G91" i="86"/>
  <c r="F91" i="86"/>
  <c r="E91" i="86"/>
  <c r="E89" i="86" s="1"/>
  <c r="H89" i="86" s="1"/>
  <c r="R90" i="86"/>
  <c r="M90" i="86"/>
  <c r="H90" i="86"/>
  <c r="R89" i="86"/>
  <c r="Q89" i="86"/>
  <c r="P89" i="86"/>
  <c r="L89" i="86"/>
  <c r="K89" i="86"/>
  <c r="G89" i="86"/>
  <c r="F89" i="86"/>
  <c r="R88" i="86"/>
  <c r="M88" i="86"/>
  <c r="H88" i="86"/>
  <c r="Q87" i="86"/>
  <c r="Q85" i="86" s="1"/>
  <c r="Q81" i="86" s="1"/>
  <c r="P87" i="86"/>
  <c r="O87" i="86"/>
  <c r="L87" i="86"/>
  <c r="L85" i="86" s="1"/>
  <c r="K87" i="86"/>
  <c r="K85" i="86" s="1"/>
  <c r="J87" i="86"/>
  <c r="G87" i="86"/>
  <c r="G85" i="86" s="1"/>
  <c r="F87" i="86"/>
  <c r="E87" i="86"/>
  <c r="H87" i="86" s="1"/>
  <c r="R86" i="86"/>
  <c r="M86" i="86"/>
  <c r="H86" i="86"/>
  <c r="P85" i="86"/>
  <c r="O85" i="86"/>
  <c r="J85" i="86"/>
  <c r="F85" i="86"/>
  <c r="E85" i="86"/>
  <c r="Q84" i="86"/>
  <c r="P84" i="86"/>
  <c r="P82" i="86" s="1"/>
  <c r="O84" i="86"/>
  <c r="R84" i="86" s="1"/>
  <c r="L84" i="86"/>
  <c r="K84" i="86"/>
  <c r="K82" i="86" s="1"/>
  <c r="J84" i="86"/>
  <c r="M84" i="86" s="1"/>
  <c r="G84" i="86"/>
  <c r="F84" i="86"/>
  <c r="F82" i="86" s="1"/>
  <c r="E84" i="86"/>
  <c r="R83" i="86"/>
  <c r="M83" i="86"/>
  <c r="H83" i="86"/>
  <c r="Q82" i="86"/>
  <c r="O82" i="86"/>
  <c r="R82" i="86" s="1"/>
  <c r="L82" i="86"/>
  <c r="J82" i="86"/>
  <c r="M82" i="86" s="1"/>
  <c r="H82" i="86"/>
  <c r="G82" i="86"/>
  <c r="E82" i="86"/>
  <c r="O81" i="86"/>
  <c r="E81" i="86"/>
  <c r="R79" i="86"/>
  <c r="Q79" i="86"/>
  <c r="P79" i="86"/>
  <c r="O79" i="86"/>
  <c r="M79" i="86"/>
  <c r="L79" i="86"/>
  <c r="K79" i="86"/>
  <c r="J79" i="86"/>
  <c r="H79" i="86"/>
  <c r="G79" i="86"/>
  <c r="F79" i="86"/>
  <c r="E79" i="86"/>
  <c r="R78" i="86"/>
  <c r="Q78" i="86"/>
  <c r="P78" i="86"/>
  <c r="O78" i="86"/>
  <c r="M78" i="86"/>
  <c r="L78" i="86"/>
  <c r="K78" i="86"/>
  <c r="J78" i="86"/>
  <c r="H78" i="86"/>
  <c r="G78" i="86"/>
  <c r="F78" i="86"/>
  <c r="E78" i="86"/>
  <c r="R77" i="86"/>
  <c r="Q77" i="86"/>
  <c r="P77" i="86"/>
  <c r="O77" i="86"/>
  <c r="M77" i="86"/>
  <c r="L77" i="86"/>
  <c r="K77" i="86"/>
  <c r="J77" i="86"/>
  <c r="H77" i="86"/>
  <c r="G77" i="86"/>
  <c r="F77" i="86"/>
  <c r="E77" i="86"/>
  <c r="Q76" i="86"/>
  <c r="L76" i="86"/>
  <c r="K76" i="86"/>
  <c r="F76" i="86"/>
  <c r="E76" i="86"/>
  <c r="H76" i="86" s="1"/>
  <c r="Q75" i="86"/>
  <c r="P75" i="86"/>
  <c r="O75" i="86"/>
  <c r="R75" i="86" s="1"/>
  <c r="L75" i="86"/>
  <c r="K75" i="86"/>
  <c r="J75" i="86"/>
  <c r="M75" i="86" s="1"/>
  <c r="G75" i="86"/>
  <c r="F75" i="86"/>
  <c r="E75" i="86"/>
  <c r="H75" i="86" s="1"/>
  <c r="Q74" i="86"/>
  <c r="P74" i="86"/>
  <c r="O74" i="86"/>
  <c r="R74" i="86" s="1"/>
  <c r="L74" i="86"/>
  <c r="K74" i="86"/>
  <c r="J74" i="86"/>
  <c r="M74" i="86" s="1"/>
  <c r="G74" i="86"/>
  <c r="F74" i="86"/>
  <c r="E74" i="86"/>
  <c r="H74" i="86" s="1"/>
  <c r="Q73" i="86"/>
  <c r="P73" i="86"/>
  <c r="O73" i="86"/>
  <c r="R73" i="86" s="1"/>
  <c r="L73" i="86"/>
  <c r="K73" i="86"/>
  <c r="J73" i="86"/>
  <c r="M73" i="86" s="1"/>
  <c r="G73" i="86"/>
  <c r="F73" i="86"/>
  <c r="E73" i="86"/>
  <c r="H73" i="86" s="1"/>
  <c r="Q72" i="86"/>
  <c r="P72" i="86"/>
  <c r="O72" i="86"/>
  <c r="R72" i="86" s="1"/>
  <c r="L72" i="86"/>
  <c r="K72" i="86"/>
  <c r="J72" i="86"/>
  <c r="M72" i="86" s="1"/>
  <c r="G72" i="86"/>
  <c r="F72" i="86"/>
  <c r="E72" i="86"/>
  <c r="H72" i="86" s="1"/>
  <c r="R71" i="86"/>
  <c r="M71" i="86"/>
  <c r="H71" i="86"/>
  <c r="R70" i="86"/>
  <c r="M70" i="86"/>
  <c r="H70" i="86"/>
  <c r="R69" i="86"/>
  <c r="M69" i="86"/>
  <c r="H69" i="86"/>
  <c r="Q68" i="86"/>
  <c r="P68" i="86"/>
  <c r="P66" i="86" s="1"/>
  <c r="O68" i="86"/>
  <c r="R68" i="86" s="1"/>
  <c r="L68" i="86"/>
  <c r="K68" i="86"/>
  <c r="K66" i="86" s="1"/>
  <c r="K65" i="86" s="1"/>
  <c r="K63" i="86" s="1"/>
  <c r="J68" i="86"/>
  <c r="M68" i="86" s="1"/>
  <c r="G68" i="86"/>
  <c r="F68" i="86"/>
  <c r="F66" i="86" s="1"/>
  <c r="F65" i="86" s="1"/>
  <c r="F63" i="86" s="1"/>
  <c r="E68" i="86"/>
  <c r="R67" i="86"/>
  <c r="M67" i="86"/>
  <c r="H67" i="86"/>
  <c r="Q66" i="86"/>
  <c r="O66" i="86"/>
  <c r="L66" i="86"/>
  <c r="J66" i="86"/>
  <c r="M66" i="86" s="1"/>
  <c r="H66" i="86"/>
  <c r="G66" i="86"/>
  <c r="G65" i="86" s="1"/>
  <c r="G63" i="86" s="1"/>
  <c r="E66" i="86"/>
  <c r="Q65" i="86"/>
  <c r="Q63" i="86" s="1"/>
  <c r="L65" i="86"/>
  <c r="R64" i="86"/>
  <c r="Q64" i="86"/>
  <c r="P64" i="86"/>
  <c r="O64" i="86"/>
  <c r="M64" i="86"/>
  <c r="L64" i="86"/>
  <c r="K64" i="86"/>
  <c r="J64" i="86"/>
  <c r="H64" i="86"/>
  <c r="G64" i="86"/>
  <c r="F64" i="86"/>
  <c r="E64" i="86"/>
  <c r="L63" i="86"/>
  <c r="Q62" i="86"/>
  <c r="P62" i="86"/>
  <c r="O62" i="86"/>
  <c r="R62" i="86" s="1"/>
  <c r="L62" i="86"/>
  <c r="K62" i="86"/>
  <c r="J62" i="86"/>
  <c r="M62" i="86" s="1"/>
  <c r="G62" i="86"/>
  <c r="F62" i="86"/>
  <c r="E62" i="86"/>
  <c r="H62" i="86" s="1"/>
  <c r="Q61" i="86"/>
  <c r="P61" i="86"/>
  <c r="O61" i="86"/>
  <c r="R61" i="86" s="1"/>
  <c r="L61" i="86"/>
  <c r="K61" i="86"/>
  <c r="J61" i="86"/>
  <c r="M61" i="86" s="1"/>
  <c r="G61" i="86"/>
  <c r="F61" i="86"/>
  <c r="E61" i="86"/>
  <c r="H61" i="86" s="1"/>
  <c r="Q60" i="86"/>
  <c r="P60" i="86"/>
  <c r="O60" i="86"/>
  <c r="R60" i="86" s="1"/>
  <c r="L60" i="86"/>
  <c r="K60" i="86"/>
  <c r="J60" i="86"/>
  <c r="M60" i="86" s="1"/>
  <c r="G60" i="86"/>
  <c r="F60" i="86"/>
  <c r="E60" i="86"/>
  <c r="H60" i="86" s="1"/>
  <c r="Q59" i="86"/>
  <c r="P59" i="86"/>
  <c r="O59" i="86"/>
  <c r="R59" i="86" s="1"/>
  <c r="L59" i="86"/>
  <c r="K59" i="86"/>
  <c r="J59" i="86"/>
  <c r="M59" i="86" s="1"/>
  <c r="G59" i="86"/>
  <c r="F59" i="86"/>
  <c r="E59" i="86"/>
  <c r="H59" i="86" s="1"/>
  <c r="Q58" i="86"/>
  <c r="P58" i="86"/>
  <c r="O58" i="86"/>
  <c r="R58" i="86" s="1"/>
  <c r="L58" i="86"/>
  <c r="K58" i="86"/>
  <c r="J58" i="86"/>
  <c r="M58" i="86" s="1"/>
  <c r="G58" i="86"/>
  <c r="F58" i="86"/>
  <c r="E58" i="86"/>
  <c r="H58" i="86" s="1"/>
  <c r="Q57" i="86"/>
  <c r="P57" i="86"/>
  <c r="O57" i="86"/>
  <c r="R57" i="86" s="1"/>
  <c r="L57" i="86"/>
  <c r="L55" i="86" s="1"/>
  <c r="K57" i="86"/>
  <c r="J57" i="86"/>
  <c r="M57" i="86" s="1"/>
  <c r="G57" i="86"/>
  <c r="F57" i="86"/>
  <c r="E57" i="86"/>
  <c r="H57" i="86" s="1"/>
  <c r="Q56" i="86"/>
  <c r="Q55" i="86" s="1"/>
  <c r="P56" i="86"/>
  <c r="O56" i="86"/>
  <c r="R56" i="86" s="1"/>
  <c r="M56" i="86"/>
  <c r="G56" i="86"/>
  <c r="F56" i="86"/>
  <c r="F55" i="86" s="1"/>
  <c r="E56" i="86"/>
  <c r="H56" i="86" s="1"/>
  <c r="P55" i="86"/>
  <c r="O55" i="86"/>
  <c r="R55" i="86" s="1"/>
  <c r="G55" i="86"/>
  <c r="R54" i="86"/>
  <c r="M54" i="86"/>
  <c r="H54" i="86"/>
  <c r="Q53" i="86"/>
  <c r="P53" i="86"/>
  <c r="R53" i="86" s="1"/>
  <c r="O53" i="86"/>
  <c r="L53" i="86"/>
  <c r="K53" i="86"/>
  <c r="M53" i="86" s="1"/>
  <c r="J53" i="86"/>
  <c r="G53" i="86"/>
  <c r="F53" i="86"/>
  <c r="H53" i="86" s="1"/>
  <c r="E53" i="86"/>
  <c r="Q52" i="86"/>
  <c r="P52" i="86"/>
  <c r="R52" i="86" s="1"/>
  <c r="O52" i="86"/>
  <c r="L52" i="86"/>
  <c r="K52" i="86"/>
  <c r="M52" i="86" s="1"/>
  <c r="J52" i="86"/>
  <c r="G52" i="86"/>
  <c r="G51" i="86" s="1"/>
  <c r="F52" i="86"/>
  <c r="H52" i="86" s="1"/>
  <c r="E52" i="86"/>
  <c r="Q51" i="86"/>
  <c r="P51" i="86"/>
  <c r="P49" i="86" s="1"/>
  <c r="P48" i="86" s="1"/>
  <c r="O51" i="86"/>
  <c r="M51" i="86"/>
  <c r="J51" i="86"/>
  <c r="F51" i="86"/>
  <c r="F49" i="86" s="1"/>
  <c r="F48" i="86" s="1"/>
  <c r="E51" i="86"/>
  <c r="R50" i="86"/>
  <c r="M50" i="86"/>
  <c r="H50" i="86"/>
  <c r="Q49" i="86"/>
  <c r="O49" i="86"/>
  <c r="R49" i="86" s="1"/>
  <c r="M49" i="86"/>
  <c r="J49" i="86"/>
  <c r="G49" i="86"/>
  <c r="E49" i="86"/>
  <c r="Q48" i="86"/>
  <c r="L48" i="86"/>
  <c r="Q47" i="86"/>
  <c r="P47" i="86"/>
  <c r="O47" i="86"/>
  <c r="R47" i="86" s="1"/>
  <c r="L47" i="86"/>
  <c r="K47" i="86"/>
  <c r="J47" i="86"/>
  <c r="M47" i="86" s="1"/>
  <c r="G47" i="86"/>
  <c r="F47" i="86"/>
  <c r="E47" i="86"/>
  <c r="H47" i="86" s="1"/>
  <c r="Q46" i="86"/>
  <c r="P46" i="86"/>
  <c r="P45" i="86" s="1"/>
  <c r="O46" i="86"/>
  <c r="L46" i="86"/>
  <c r="K46" i="86"/>
  <c r="J46" i="86"/>
  <c r="J45" i="86" s="1"/>
  <c r="M45" i="86" s="1"/>
  <c r="G46" i="86"/>
  <c r="F46" i="86"/>
  <c r="E46" i="86"/>
  <c r="E45" i="86" s="1"/>
  <c r="Q45" i="86"/>
  <c r="O45" i="86"/>
  <c r="G45" i="86"/>
  <c r="F45" i="86"/>
  <c r="Q44" i="86"/>
  <c r="O44" i="86"/>
  <c r="R44" i="86" s="1"/>
  <c r="L44" i="86"/>
  <c r="L42" i="86" s="1"/>
  <c r="J44" i="86"/>
  <c r="G44" i="86"/>
  <c r="F44" i="86"/>
  <c r="F42" i="86" s="1"/>
  <c r="E44" i="86"/>
  <c r="H44" i="86" s="1"/>
  <c r="Q43" i="86"/>
  <c r="O43" i="86"/>
  <c r="R43" i="86" s="1"/>
  <c r="L43" i="86"/>
  <c r="K43" i="86"/>
  <c r="J43" i="86"/>
  <c r="M43" i="86" s="1"/>
  <c r="G43" i="86"/>
  <c r="F43" i="86"/>
  <c r="E43" i="86"/>
  <c r="H43" i="86" s="1"/>
  <c r="Q42" i="86"/>
  <c r="P42" i="86"/>
  <c r="O42" i="86"/>
  <c r="R42" i="86" s="1"/>
  <c r="K42" i="86"/>
  <c r="J42" i="86"/>
  <c r="G42" i="86"/>
  <c r="R41" i="86"/>
  <c r="Q41" i="86"/>
  <c r="O41" i="86"/>
  <c r="L41" i="86"/>
  <c r="M41" i="86" s="1"/>
  <c r="K41" i="86"/>
  <c r="J41" i="86"/>
  <c r="G41" i="86"/>
  <c r="F41" i="86"/>
  <c r="E41" i="86"/>
  <c r="Q40" i="86"/>
  <c r="R40" i="86" s="1"/>
  <c r="O40" i="86"/>
  <c r="L40" i="86"/>
  <c r="J40" i="86"/>
  <c r="M40" i="86" s="1"/>
  <c r="H40" i="86"/>
  <c r="G40" i="86"/>
  <c r="F40" i="86"/>
  <c r="E40" i="86"/>
  <c r="R39" i="86"/>
  <c r="Q39" i="86"/>
  <c r="O39" i="86"/>
  <c r="L39" i="86"/>
  <c r="M39" i="86" s="1"/>
  <c r="J39" i="86"/>
  <c r="G39" i="86"/>
  <c r="F39" i="86"/>
  <c r="H39" i="86" s="1"/>
  <c r="E39" i="86"/>
  <c r="Q38" i="86"/>
  <c r="O38" i="86"/>
  <c r="O37" i="86" s="1"/>
  <c r="L38" i="86"/>
  <c r="L37" i="86" s="1"/>
  <c r="J38" i="86"/>
  <c r="G38" i="86"/>
  <c r="F38" i="86"/>
  <c r="P37" i="86"/>
  <c r="K37" i="86"/>
  <c r="K36" i="86" s="1"/>
  <c r="K35" i="86" s="1"/>
  <c r="J37" i="86"/>
  <c r="M37" i="86" s="1"/>
  <c r="G37" i="86"/>
  <c r="F37" i="86"/>
  <c r="R34" i="86"/>
  <c r="M34" i="86"/>
  <c r="H34" i="86"/>
  <c r="Q33" i="86"/>
  <c r="Q32" i="86" s="1"/>
  <c r="Q10" i="86" s="1"/>
  <c r="P33" i="86"/>
  <c r="O33" i="86"/>
  <c r="R33" i="86" s="1"/>
  <c r="L33" i="86"/>
  <c r="L32" i="86" s="1"/>
  <c r="J33" i="86"/>
  <c r="G33" i="86"/>
  <c r="F33" i="86"/>
  <c r="E33" i="86"/>
  <c r="H33" i="86" s="1"/>
  <c r="P32" i="86"/>
  <c r="O32" i="86"/>
  <c r="R32" i="86" s="1"/>
  <c r="G32" i="86"/>
  <c r="F32" i="86"/>
  <c r="R31" i="86"/>
  <c r="M31" i="86"/>
  <c r="H31" i="86"/>
  <c r="R30" i="86"/>
  <c r="M30" i="86"/>
  <c r="H30" i="86"/>
  <c r="R29" i="86"/>
  <c r="M29" i="86"/>
  <c r="H29" i="86"/>
  <c r="Q28" i="86"/>
  <c r="P28" i="86"/>
  <c r="O28" i="86"/>
  <c r="R28" i="86" s="1"/>
  <c r="L28" i="86"/>
  <c r="K28" i="86"/>
  <c r="J28" i="86"/>
  <c r="M28" i="86" s="1"/>
  <c r="G28" i="86"/>
  <c r="F28" i="86"/>
  <c r="E28" i="86"/>
  <c r="H28" i="86" s="1"/>
  <c r="Q27" i="86"/>
  <c r="P27" i="86"/>
  <c r="O27" i="86"/>
  <c r="R27" i="86" s="1"/>
  <c r="L27" i="86"/>
  <c r="K27" i="86"/>
  <c r="J27" i="86"/>
  <c r="M27" i="86" s="1"/>
  <c r="G27" i="86"/>
  <c r="F27" i="86"/>
  <c r="E27" i="86"/>
  <c r="H27" i="86" s="1"/>
  <c r="Q26" i="86"/>
  <c r="P26" i="86"/>
  <c r="O26" i="86"/>
  <c r="R26" i="86" s="1"/>
  <c r="L26" i="86"/>
  <c r="K26" i="86"/>
  <c r="J26" i="86"/>
  <c r="M26" i="86" s="1"/>
  <c r="G26" i="86"/>
  <c r="F26" i="86"/>
  <c r="E26" i="86"/>
  <c r="H26" i="86" s="1"/>
  <c r="R25" i="86"/>
  <c r="M25" i="86"/>
  <c r="H25" i="86"/>
  <c r="R24" i="86"/>
  <c r="M24" i="86"/>
  <c r="H24" i="86"/>
  <c r="R23" i="86"/>
  <c r="M23" i="86"/>
  <c r="H23" i="86"/>
  <c r="Q22" i="86"/>
  <c r="P22" i="86"/>
  <c r="O22" i="86"/>
  <c r="R22" i="86" s="1"/>
  <c r="L22" i="86"/>
  <c r="L21" i="86" s="1"/>
  <c r="K22" i="86"/>
  <c r="J22" i="86"/>
  <c r="M22" i="86" s="1"/>
  <c r="G22" i="86"/>
  <c r="G21" i="86" s="1"/>
  <c r="F22" i="86"/>
  <c r="F21" i="86" s="1"/>
  <c r="F14" i="86" s="1"/>
  <c r="F10" i="86" s="1"/>
  <c r="E22" i="86"/>
  <c r="Q21" i="86"/>
  <c r="P21" i="86"/>
  <c r="P14" i="86" s="1"/>
  <c r="P10" i="86" s="1"/>
  <c r="K21" i="86"/>
  <c r="K14" i="86" s="1"/>
  <c r="J21" i="86"/>
  <c r="E21" i="86"/>
  <c r="R20" i="86"/>
  <c r="M20" i="86"/>
  <c r="H20" i="86"/>
  <c r="R19" i="86"/>
  <c r="M19" i="86"/>
  <c r="H19" i="86"/>
  <c r="Q18" i="86"/>
  <c r="P18" i="86"/>
  <c r="O18" i="86"/>
  <c r="R18" i="86" s="1"/>
  <c r="L18" i="86"/>
  <c r="K18" i="86"/>
  <c r="J18" i="86"/>
  <c r="M18" i="86" s="1"/>
  <c r="G18" i="86"/>
  <c r="F18" i="86"/>
  <c r="E18" i="86"/>
  <c r="H18" i="86" s="1"/>
  <c r="Q17" i="86"/>
  <c r="P17" i="86"/>
  <c r="O17" i="86"/>
  <c r="R17" i="86" s="1"/>
  <c r="L17" i="86"/>
  <c r="K17" i="86"/>
  <c r="J17" i="86"/>
  <c r="M17" i="86" s="1"/>
  <c r="G17" i="86"/>
  <c r="F17" i="86"/>
  <c r="E17" i="86"/>
  <c r="H17" i="86" s="1"/>
  <c r="Q16" i="86"/>
  <c r="P16" i="86"/>
  <c r="O16" i="86"/>
  <c r="R16" i="86" s="1"/>
  <c r="L16" i="86"/>
  <c r="K16" i="86"/>
  <c r="J16" i="86"/>
  <c r="M16" i="86" s="1"/>
  <c r="G16" i="86"/>
  <c r="F16" i="86"/>
  <c r="E16" i="86"/>
  <c r="H16" i="86" s="1"/>
  <c r="Q15" i="86"/>
  <c r="P15" i="86"/>
  <c r="O15" i="86"/>
  <c r="R15" i="86" s="1"/>
  <c r="L15" i="86"/>
  <c r="L14" i="86" s="1"/>
  <c r="K15" i="86"/>
  <c r="J15" i="86"/>
  <c r="M15" i="86" s="1"/>
  <c r="G15" i="86"/>
  <c r="G14" i="86" s="1"/>
  <c r="F15" i="86"/>
  <c r="E15" i="86"/>
  <c r="H15" i="86" s="1"/>
  <c r="Q14" i="86"/>
  <c r="Q13" i="86"/>
  <c r="R13" i="86" s="1"/>
  <c r="P13" i="86"/>
  <c r="O13" i="86"/>
  <c r="L13" i="86"/>
  <c r="M13" i="86" s="1"/>
  <c r="K13" i="86"/>
  <c r="J13" i="86"/>
  <c r="G13" i="86"/>
  <c r="H13" i="86" s="1"/>
  <c r="F13" i="86"/>
  <c r="E13" i="86"/>
  <c r="Q12" i="86"/>
  <c r="R12" i="86" s="1"/>
  <c r="P12" i="86"/>
  <c r="O12" i="86"/>
  <c r="L12" i="86"/>
  <c r="M12" i="86" s="1"/>
  <c r="K12" i="86"/>
  <c r="J12" i="86"/>
  <c r="G12" i="86"/>
  <c r="H12" i="86" s="1"/>
  <c r="F12" i="86"/>
  <c r="E12" i="86"/>
  <c r="Q11" i="86"/>
  <c r="R11" i="86" s="1"/>
  <c r="P11" i="86"/>
  <c r="O11" i="86"/>
  <c r="L11" i="86"/>
  <c r="M11" i="86" s="1"/>
  <c r="K11" i="86"/>
  <c r="J11" i="86"/>
  <c r="G11" i="86"/>
  <c r="G10" i="86" s="1"/>
  <c r="F11" i="86"/>
  <c r="E11" i="86"/>
  <c r="P36" i="86" l="1"/>
  <c r="R46" i="86"/>
  <c r="M213" i="86"/>
  <c r="R213" i="86"/>
  <c r="F204" i="86"/>
  <c r="F203" i="86" s="1"/>
  <c r="F248" i="86" s="1"/>
  <c r="F36" i="86"/>
  <c r="F35" i="86" s="1"/>
  <c r="F80" i="86" s="1"/>
  <c r="H45" i="86"/>
  <c r="R45" i="86"/>
  <c r="F164" i="86"/>
  <c r="R100" i="86"/>
  <c r="O99" i="86"/>
  <c r="Q164" i="86"/>
  <c r="K119" i="86"/>
  <c r="R81" i="86"/>
  <c r="P164" i="86"/>
  <c r="M42" i="86"/>
  <c r="G164" i="86"/>
  <c r="E37" i="86"/>
  <c r="H38" i="86"/>
  <c r="M21" i="86"/>
  <c r="H49" i="86"/>
  <c r="H150" i="86"/>
  <c r="E149" i="86"/>
  <c r="M249" i="86"/>
  <c r="H250" i="86"/>
  <c r="E249" i="86"/>
  <c r="H249" i="86" s="1"/>
  <c r="L10" i="86"/>
  <c r="H11" i="86"/>
  <c r="K10" i="86"/>
  <c r="K80" i="86" s="1"/>
  <c r="J32" i="86"/>
  <c r="M32" i="86" s="1"/>
  <c r="O48" i="86"/>
  <c r="R48" i="86" s="1"/>
  <c r="H51" i="86"/>
  <c r="E65" i="86"/>
  <c r="P81" i="86"/>
  <c r="M85" i="86"/>
  <c r="L81" i="86"/>
  <c r="K116" i="86"/>
  <c r="M116" i="86" s="1"/>
  <c r="K33" i="86"/>
  <c r="K32" i="86" s="1"/>
  <c r="H169" i="86"/>
  <c r="E165" i="86"/>
  <c r="H165" i="86" s="1"/>
  <c r="P204" i="86"/>
  <c r="H216" i="86"/>
  <c r="E204" i="86"/>
  <c r="G233" i="86"/>
  <c r="G231" i="86" s="1"/>
  <c r="G203" i="86" s="1"/>
  <c r="O234" i="86"/>
  <c r="R236" i="86"/>
  <c r="P233" i="86"/>
  <c r="P231" i="86" s="1"/>
  <c r="P76" i="86"/>
  <c r="P65" i="86" s="1"/>
  <c r="P63" i="86" s="1"/>
  <c r="P35" i="86" s="1"/>
  <c r="P80" i="86" s="1"/>
  <c r="E14" i="86"/>
  <c r="H22" i="86"/>
  <c r="M38" i="86"/>
  <c r="R38" i="86"/>
  <c r="G48" i="86"/>
  <c r="J55" i="86"/>
  <c r="R66" i="86"/>
  <c r="H68" i="86"/>
  <c r="J81" i="86"/>
  <c r="H84" i="86"/>
  <c r="K81" i="86"/>
  <c r="G81" i="86"/>
  <c r="R87" i="86"/>
  <c r="M117" i="86"/>
  <c r="H129" i="86"/>
  <c r="H143" i="86"/>
  <c r="J149" i="86"/>
  <c r="H166" i="86"/>
  <c r="M166" i="86"/>
  <c r="Q184" i="86"/>
  <c r="M194" i="86"/>
  <c r="M217" i="86"/>
  <c r="J216" i="86"/>
  <c r="M223" i="86"/>
  <c r="J234" i="86"/>
  <c r="M236" i="86"/>
  <c r="G36" i="86"/>
  <c r="G35" i="86" s="1"/>
  <c r="G80" i="86" s="1"/>
  <c r="E121" i="86"/>
  <c r="H122" i="86"/>
  <c r="L132" i="86"/>
  <c r="L120" i="86" s="1"/>
  <c r="L119" i="86" s="1"/>
  <c r="L164" i="86" s="1"/>
  <c r="M139" i="86"/>
  <c r="J14" i="86"/>
  <c r="H21" i="86"/>
  <c r="E32" i="86"/>
  <c r="H32" i="86" s="1"/>
  <c r="Q37" i="86"/>
  <c r="Q36" i="86" s="1"/>
  <c r="Q35" i="86" s="1"/>
  <c r="Q80" i="86" s="1"/>
  <c r="H41" i="86"/>
  <c r="E42" i="86"/>
  <c r="H42" i="86" s="1"/>
  <c r="O21" i="86"/>
  <c r="L36" i="86"/>
  <c r="L35" i="86" s="1"/>
  <c r="M44" i="86"/>
  <c r="H46" i="86"/>
  <c r="M46" i="86"/>
  <c r="R51" i="86"/>
  <c r="E55" i="86"/>
  <c r="J76" i="86"/>
  <c r="O76" i="86"/>
  <c r="R76" i="86" s="1"/>
  <c r="F81" i="86"/>
  <c r="H81" i="86" s="1"/>
  <c r="H85" i="86"/>
  <c r="R85" i="86"/>
  <c r="M87" i="86"/>
  <c r="H91" i="86"/>
  <c r="M91" i="86"/>
  <c r="R91" i="86"/>
  <c r="E99" i="86"/>
  <c r="J100" i="86"/>
  <c r="R101" i="86"/>
  <c r="O132" i="86"/>
  <c r="R132" i="86" s="1"/>
  <c r="R133" i="86"/>
  <c r="J133" i="86"/>
  <c r="M135" i="86"/>
  <c r="R150" i="86"/>
  <c r="O149" i="86"/>
  <c r="M152" i="86"/>
  <c r="G183" i="86"/>
  <c r="L184" i="86"/>
  <c r="M190" i="86"/>
  <c r="H195" i="86"/>
  <c r="E194" i="86"/>
  <c r="H194" i="86" s="1"/>
  <c r="M200" i="86"/>
  <c r="R216" i="86"/>
  <c r="O204" i="86"/>
  <c r="E234" i="86"/>
  <c r="H236" i="86"/>
  <c r="Q249" i="86"/>
  <c r="R121" i="86"/>
  <c r="H135" i="86"/>
  <c r="E133" i="86"/>
  <c r="M150" i="86"/>
  <c r="M156" i="86"/>
  <c r="R169" i="86"/>
  <c r="O165" i="86"/>
  <c r="R165" i="86" s="1"/>
  <c r="R189" i="86"/>
  <c r="R195" i="86"/>
  <c r="H210" i="86"/>
  <c r="H217" i="86"/>
  <c r="R217" i="86"/>
  <c r="M219" i="86"/>
  <c r="H244" i="86"/>
  <c r="R249" i="86"/>
  <c r="R250" i="86"/>
  <c r="H253" i="86"/>
  <c r="M253" i="86"/>
  <c r="R253" i="86"/>
  <c r="R257" i="86"/>
  <c r="M121" i="86"/>
  <c r="R152" i="86"/>
  <c r="H156" i="86"/>
  <c r="M169" i="86"/>
  <c r="J165" i="86"/>
  <c r="M165" i="86" s="1"/>
  <c r="M189" i="86"/>
  <c r="R190" i="86"/>
  <c r="M195" i="86"/>
  <c r="R200" i="86"/>
  <c r="R205" i="86"/>
  <c r="H219" i="86"/>
  <c r="R223" i="86"/>
  <c r="M250" i="86"/>
  <c r="M257" i="86"/>
  <c r="E182" i="86"/>
  <c r="J182" i="86"/>
  <c r="O182" i="86"/>
  <c r="O443" i="170"/>
  <c r="O273" i="170" s="1"/>
  <c r="P443" i="170"/>
  <c r="L443" i="170"/>
  <c r="K443" i="170"/>
  <c r="J443" i="170"/>
  <c r="J273" i="170" s="1"/>
  <c r="G443" i="170"/>
  <c r="F443" i="170"/>
  <c r="R260" i="90"/>
  <c r="M260" i="90"/>
  <c r="H260" i="90"/>
  <c r="R259" i="90"/>
  <c r="M259" i="90"/>
  <c r="H259" i="90"/>
  <c r="R258" i="90"/>
  <c r="M258" i="90"/>
  <c r="H258" i="90"/>
  <c r="R257" i="90"/>
  <c r="Q257" i="90"/>
  <c r="P257" i="90"/>
  <c r="O257" i="90"/>
  <c r="M257" i="90"/>
  <c r="L257" i="90"/>
  <c r="K257" i="90"/>
  <c r="J257" i="90"/>
  <c r="H257" i="90"/>
  <c r="G257" i="90"/>
  <c r="F257" i="90"/>
  <c r="E257" i="90"/>
  <c r="R256" i="90"/>
  <c r="M256" i="90"/>
  <c r="H256" i="90"/>
  <c r="R255" i="90"/>
  <c r="M255" i="90"/>
  <c r="H255" i="90"/>
  <c r="R254" i="90"/>
  <c r="M254" i="90"/>
  <c r="H254" i="90"/>
  <c r="Q253" i="90"/>
  <c r="P253" i="90"/>
  <c r="P249" i="90" s="1"/>
  <c r="O253" i="90"/>
  <c r="L253" i="90"/>
  <c r="L249" i="90" s="1"/>
  <c r="K253" i="90"/>
  <c r="J253" i="90"/>
  <c r="G253" i="90"/>
  <c r="F253" i="90"/>
  <c r="F249" i="90" s="1"/>
  <c r="E253" i="90"/>
  <c r="R252" i="90"/>
  <c r="M252" i="90"/>
  <c r="H252" i="90"/>
  <c r="R251" i="90"/>
  <c r="M251" i="90"/>
  <c r="H251" i="90"/>
  <c r="R250" i="90"/>
  <c r="Q250" i="90"/>
  <c r="P250" i="90"/>
  <c r="O250" i="90"/>
  <c r="M250" i="90"/>
  <c r="L250" i="90"/>
  <c r="K250" i="90"/>
  <c r="J250" i="90"/>
  <c r="H250" i="90"/>
  <c r="G250" i="90"/>
  <c r="F250" i="90"/>
  <c r="E250" i="90"/>
  <c r="R249" i="90"/>
  <c r="Q249" i="90"/>
  <c r="O249" i="90"/>
  <c r="H249" i="90"/>
  <c r="G249" i="90"/>
  <c r="E249" i="90"/>
  <c r="R247" i="90"/>
  <c r="M247" i="90"/>
  <c r="H247" i="90"/>
  <c r="R246" i="90"/>
  <c r="M246" i="90"/>
  <c r="H246" i="90"/>
  <c r="R245" i="90"/>
  <c r="M245" i="90"/>
  <c r="H245" i="90"/>
  <c r="Q244" i="90"/>
  <c r="P244" i="90"/>
  <c r="O244" i="90"/>
  <c r="R244" i="90" s="1"/>
  <c r="L244" i="90"/>
  <c r="K244" i="90"/>
  <c r="J244" i="90"/>
  <c r="M244" i="90" s="1"/>
  <c r="G244" i="90"/>
  <c r="F244" i="90"/>
  <c r="E244" i="90"/>
  <c r="R243" i="90"/>
  <c r="M243" i="90"/>
  <c r="H243" i="90"/>
  <c r="R242" i="90"/>
  <c r="M242" i="90"/>
  <c r="H242" i="90"/>
  <c r="R241" i="90"/>
  <c r="M241" i="90"/>
  <c r="H241" i="90"/>
  <c r="Q240" i="90"/>
  <c r="P240" i="90"/>
  <c r="O240" i="90"/>
  <c r="L240" i="90"/>
  <c r="K240" i="90"/>
  <c r="J240" i="90"/>
  <c r="G240" i="90"/>
  <c r="G233" i="90" s="1"/>
  <c r="G231" i="90" s="1"/>
  <c r="F240" i="90"/>
  <c r="E240" i="90"/>
  <c r="R239" i="90"/>
  <c r="M239" i="90"/>
  <c r="H239" i="90"/>
  <c r="R238" i="90"/>
  <c r="M238" i="90"/>
  <c r="H238" i="90"/>
  <c r="R237" i="90"/>
  <c r="M237" i="90"/>
  <c r="H237" i="90"/>
  <c r="R236" i="90"/>
  <c r="Q236" i="90"/>
  <c r="Q234" i="90" s="1"/>
  <c r="P236" i="90"/>
  <c r="P234" i="90" s="1"/>
  <c r="P233" i="90" s="1"/>
  <c r="P231" i="90" s="1"/>
  <c r="O236" i="90"/>
  <c r="M236" i="90"/>
  <c r="L236" i="90"/>
  <c r="K236" i="90"/>
  <c r="K234" i="90" s="1"/>
  <c r="J236" i="90"/>
  <c r="H236" i="90"/>
  <c r="G236" i="90"/>
  <c r="F236" i="90"/>
  <c r="E236" i="90"/>
  <c r="R235" i="90"/>
  <c r="M235" i="90"/>
  <c r="H235" i="90"/>
  <c r="O234" i="90"/>
  <c r="L234" i="90"/>
  <c r="L233" i="90" s="1"/>
  <c r="L231" i="90" s="1"/>
  <c r="J234" i="90"/>
  <c r="G234" i="90"/>
  <c r="F234" i="90"/>
  <c r="F233" i="90" s="1"/>
  <c r="F231" i="90" s="1"/>
  <c r="E234" i="90"/>
  <c r="Q233" i="90"/>
  <c r="Q231" i="90" s="1"/>
  <c r="K233" i="90"/>
  <c r="R232" i="90"/>
  <c r="M232" i="90"/>
  <c r="H232" i="90"/>
  <c r="K231" i="90"/>
  <c r="R230" i="90"/>
  <c r="M230" i="90"/>
  <c r="H230" i="90"/>
  <c r="R229" i="90"/>
  <c r="M229" i="90"/>
  <c r="H229" i="90"/>
  <c r="R228" i="90"/>
  <c r="M228" i="90"/>
  <c r="H228" i="90"/>
  <c r="Q227" i="90"/>
  <c r="P227" i="90"/>
  <c r="O227" i="90"/>
  <c r="L227" i="90"/>
  <c r="K227" i="90"/>
  <c r="J227" i="90"/>
  <c r="G227" i="90"/>
  <c r="F227" i="90"/>
  <c r="E227" i="90"/>
  <c r="H227" i="90" s="1"/>
  <c r="R226" i="90"/>
  <c r="M226" i="90"/>
  <c r="H226" i="90"/>
  <c r="R225" i="90"/>
  <c r="M225" i="90"/>
  <c r="H225" i="90"/>
  <c r="R224" i="90"/>
  <c r="M224" i="90"/>
  <c r="H224" i="90"/>
  <c r="Q223" i="90"/>
  <c r="P223" i="90"/>
  <c r="R223" i="90" s="1"/>
  <c r="O223" i="90"/>
  <c r="L223" i="90"/>
  <c r="K223" i="90"/>
  <c r="J223" i="90"/>
  <c r="G223" i="90"/>
  <c r="F223" i="90"/>
  <c r="H223" i="90" s="1"/>
  <c r="E223" i="90"/>
  <c r="R222" i="90"/>
  <c r="M222" i="90"/>
  <c r="H222" i="90"/>
  <c r="R221" i="90"/>
  <c r="M221" i="90"/>
  <c r="H221" i="90"/>
  <c r="R220" i="90"/>
  <c r="M220" i="90"/>
  <c r="H220" i="90"/>
  <c r="Q219" i="90"/>
  <c r="Q217" i="90" s="1"/>
  <c r="Q216" i="90" s="1"/>
  <c r="Q204" i="90" s="1"/>
  <c r="Q203" i="90" s="1"/>
  <c r="P219" i="90"/>
  <c r="O219" i="90"/>
  <c r="L219" i="90"/>
  <c r="L217" i="90" s="1"/>
  <c r="L216" i="90" s="1"/>
  <c r="L204" i="90" s="1"/>
  <c r="L203" i="90" s="1"/>
  <c r="K219" i="90"/>
  <c r="J219" i="90"/>
  <c r="G219" i="90"/>
  <c r="G217" i="90" s="1"/>
  <c r="F219" i="90"/>
  <c r="E219" i="90"/>
  <c r="R218" i="90"/>
  <c r="M218" i="90"/>
  <c r="H218" i="90"/>
  <c r="P217" i="90"/>
  <c r="P216" i="90" s="1"/>
  <c r="P204" i="90" s="1"/>
  <c r="P203" i="90" s="1"/>
  <c r="K217" i="90"/>
  <c r="F217" i="90"/>
  <c r="F216" i="90" s="1"/>
  <c r="G216" i="90"/>
  <c r="G204" i="90" s="1"/>
  <c r="R215" i="90"/>
  <c r="M215" i="90"/>
  <c r="H215" i="90"/>
  <c r="R214" i="90"/>
  <c r="M214" i="90"/>
  <c r="H214" i="90"/>
  <c r="R213" i="90"/>
  <c r="Q213" i="90"/>
  <c r="P213" i="90"/>
  <c r="O213" i="90"/>
  <c r="M213" i="90"/>
  <c r="L213" i="90"/>
  <c r="K213" i="90"/>
  <c r="J213" i="90"/>
  <c r="H213" i="90"/>
  <c r="G213" i="90"/>
  <c r="F213" i="90"/>
  <c r="E213" i="90"/>
  <c r="R212" i="90"/>
  <c r="M212" i="90"/>
  <c r="H212" i="90"/>
  <c r="R211" i="90"/>
  <c r="M211" i="90"/>
  <c r="H211" i="90"/>
  <c r="Q210" i="90"/>
  <c r="P210" i="90"/>
  <c r="R210" i="90" s="1"/>
  <c r="O210" i="90"/>
  <c r="L210" i="90"/>
  <c r="K210" i="90"/>
  <c r="M210" i="90" s="1"/>
  <c r="J210" i="90"/>
  <c r="G210" i="90"/>
  <c r="F210" i="90"/>
  <c r="H210" i="90" s="1"/>
  <c r="E210" i="90"/>
  <c r="R209" i="90"/>
  <c r="M209" i="90"/>
  <c r="H209" i="90"/>
  <c r="R208" i="90"/>
  <c r="M208" i="90"/>
  <c r="H208" i="90"/>
  <c r="R207" i="90"/>
  <c r="M207" i="90"/>
  <c r="H207" i="90"/>
  <c r="R206" i="90"/>
  <c r="M206" i="90"/>
  <c r="H206" i="90"/>
  <c r="Q205" i="90"/>
  <c r="P205" i="90"/>
  <c r="R205" i="90" s="1"/>
  <c r="O205" i="90"/>
  <c r="L205" i="90"/>
  <c r="K205" i="90"/>
  <c r="M205" i="90" s="1"/>
  <c r="J205" i="90"/>
  <c r="G205" i="90"/>
  <c r="F205" i="90"/>
  <c r="H205" i="90" s="1"/>
  <c r="E205" i="90"/>
  <c r="R202" i="90"/>
  <c r="M202" i="90"/>
  <c r="H202" i="90"/>
  <c r="R201" i="90"/>
  <c r="M201" i="90"/>
  <c r="H201" i="90"/>
  <c r="R200" i="90"/>
  <c r="Q200" i="90"/>
  <c r="P200" i="90"/>
  <c r="O200" i="90"/>
  <c r="M200" i="90"/>
  <c r="L200" i="90"/>
  <c r="K200" i="90"/>
  <c r="J200" i="90"/>
  <c r="H200" i="90"/>
  <c r="G200" i="90"/>
  <c r="F200" i="90"/>
  <c r="E200" i="90"/>
  <c r="R199" i="90"/>
  <c r="M199" i="90"/>
  <c r="H199" i="90"/>
  <c r="R198" i="90"/>
  <c r="M198" i="90"/>
  <c r="H198" i="90"/>
  <c r="R197" i="90"/>
  <c r="M197" i="90"/>
  <c r="H197" i="90"/>
  <c r="R196" i="90"/>
  <c r="M196" i="90"/>
  <c r="H196" i="90"/>
  <c r="R195" i="90"/>
  <c r="Q195" i="90"/>
  <c r="P195" i="90"/>
  <c r="O195" i="90"/>
  <c r="M195" i="90"/>
  <c r="L195" i="90"/>
  <c r="K195" i="90"/>
  <c r="K194" i="90" s="1"/>
  <c r="J195" i="90"/>
  <c r="H195" i="90"/>
  <c r="G195" i="90"/>
  <c r="F195" i="90"/>
  <c r="F194" i="90" s="1"/>
  <c r="E195" i="90"/>
  <c r="E194" i="90" s="1"/>
  <c r="C195" i="90"/>
  <c r="C194" i="90" s="1"/>
  <c r="Q194" i="90"/>
  <c r="P194" i="90"/>
  <c r="O194" i="90"/>
  <c r="L194" i="90"/>
  <c r="J194" i="90"/>
  <c r="G194" i="90"/>
  <c r="R193" i="90"/>
  <c r="M193" i="90"/>
  <c r="H193" i="90"/>
  <c r="R192" i="90"/>
  <c r="M192" i="90"/>
  <c r="H192" i="90"/>
  <c r="R191" i="90"/>
  <c r="M191" i="90"/>
  <c r="H191" i="90"/>
  <c r="Q190" i="90"/>
  <c r="P190" i="90"/>
  <c r="O190" i="90"/>
  <c r="R190" i="90" s="1"/>
  <c r="L190" i="90"/>
  <c r="L189" i="90" s="1"/>
  <c r="L182" i="90" s="1"/>
  <c r="L178" i="90" s="1"/>
  <c r="K190" i="90"/>
  <c r="J190" i="90"/>
  <c r="G190" i="90"/>
  <c r="F190" i="90"/>
  <c r="E190" i="90"/>
  <c r="Q189" i="90"/>
  <c r="Q182" i="90" s="1"/>
  <c r="P189" i="90"/>
  <c r="O189" i="90"/>
  <c r="K189" i="90"/>
  <c r="G189" i="90"/>
  <c r="G182" i="90" s="1"/>
  <c r="G178" i="90" s="1"/>
  <c r="F189" i="90"/>
  <c r="E189" i="90"/>
  <c r="R188" i="90"/>
  <c r="M188" i="90"/>
  <c r="H188" i="90"/>
  <c r="R187" i="90"/>
  <c r="M187" i="90"/>
  <c r="H187" i="90"/>
  <c r="R186" i="90"/>
  <c r="M186" i="90"/>
  <c r="H186" i="90"/>
  <c r="R185" i="90"/>
  <c r="Q185" i="90"/>
  <c r="P185" i="90"/>
  <c r="O185" i="90"/>
  <c r="M185" i="90"/>
  <c r="L185" i="90"/>
  <c r="K185" i="90"/>
  <c r="J185" i="90"/>
  <c r="H185" i="90"/>
  <c r="G185" i="90"/>
  <c r="F185" i="90"/>
  <c r="E185" i="90"/>
  <c r="R184" i="90"/>
  <c r="Q184" i="90"/>
  <c r="P184" i="90"/>
  <c r="O184" i="90"/>
  <c r="M184" i="90"/>
  <c r="L184" i="90"/>
  <c r="K184" i="90"/>
  <c r="J184" i="90"/>
  <c r="H184" i="90"/>
  <c r="G184" i="90"/>
  <c r="F184" i="90"/>
  <c r="E184" i="90"/>
  <c r="R183" i="90"/>
  <c r="Q183" i="90"/>
  <c r="P183" i="90"/>
  <c r="P182" i="90" s="1"/>
  <c r="P178" i="90" s="1"/>
  <c r="O183" i="90"/>
  <c r="M183" i="90"/>
  <c r="L183" i="90"/>
  <c r="K183" i="90"/>
  <c r="J183" i="90"/>
  <c r="H183" i="90"/>
  <c r="G183" i="90"/>
  <c r="F183" i="90"/>
  <c r="F182" i="90" s="1"/>
  <c r="F178" i="90" s="1"/>
  <c r="E183" i="90"/>
  <c r="K182" i="90"/>
  <c r="E182" i="90"/>
  <c r="R181" i="90"/>
  <c r="M181" i="90"/>
  <c r="H181" i="90"/>
  <c r="R180" i="90"/>
  <c r="M180" i="90"/>
  <c r="H180" i="90"/>
  <c r="R179" i="90"/>
  <c r="M179" i="90"/>
  <c r="H179" i="90"/>
  <c r="Q178" i="90"/>
  <c r="K178" i="90"/>
  <c r="R177" i="90"/>
  <c r="M177" i="90"/>
  <c r="H177" i="90"/>
  <c r="R176" i="90"/>
  <c r="M176" i="90"/>
  <c r="H176" i="90"/>
  <c r="R175" i="90"/>
  <c r="M175" i="90"/>
  <c r="H175" i="90"/>
  <c r="R174" i="90"/>
  <c r="M174" i="90"/>
  <c r="H174" i="90"/>
  <c r="Q173" i="90"/>
  <c r="P173" i="90"/>
  <c r="P165" i="90" s="1"/>
  <c r="O173" i="90"/>
  <c r="L173" i="90"/>
  <c r="K173" i="90"/>
  <c r="J173" i="90"/>
  <c r="M173" i="90" s="1"/>
  <c r="G173" i="90"/>
  <c r="F173" i="90"/>
  <c r="F165" i="90" s="1"/>
  <c r="E173" i="90"/>
  <c r="R172" i="90"/>
  <c r="M172" i="90"/>
  <c r="H172" i="90"/>
  <c r="R171" i="90"/>
  <c r="M171" i="90"/>
  <c r="H171" i="90"/>
  <c r="R170" i="90"/>
  <c r="M170" i="90"/>
  <c r="H170" i="90"/>
  <c r="Q169" i="90"/>
  <c r="Q165" i="90" s="1"/>
  <c r="P169" i="90"/>
  <c r="R169" i="90" s="1"/>
  <c r="O169" i="90"/>
  <c r="L169" i="90"/>
  <c r="L165" i="90" s="1"/>
  <c r="K169" i="90"/>
  <c r="J169" i="90"/>
  <c r="G169" i="90"/>
  <c r="G165" i="90" s="1"/>
  <c r="F169" i="90"/>
  <c r="H169" i="90" s="1"/>
  <c r="E169" i="90"/>
  <c r="R168" i="90"/>
  <c r="M168" i="90"/>
  <c r="H168" i="90"/>
  <c r="R167" i="90"/>
  <c r="M167" i="90"/>
  <c r="H167" i="90"/>
  <c r="Q166" i="90"/>
  <c r="P166" i="90"/>
  <c r="O166" i="90"/>
  <c r="L166" i="90"/>
  <c r="K166" i="90"/>
  <c r="J166" i="90"/>
  <c r="M166" i="90" s="1"/>
  <c r="G166" i="90"/>
  <c r="F166" i="90"/>
  <c r="E166" i="90"/>
  <c r="K165" i="90"/>
  <c r="J165" i="90"/>
  <c r="M165" i="90" s="1"/>
  <c r="R163" i="90"/>
  <c r="M163" i="90"/>
  <c r="H163" i="90"/>
  <c r="R162" i="90"/>
  <c r="M162" i="90"/>
  <c r="H162" i="90"/>
  <c r="R161" i="90"/>
  <c r="M161" i="90"/>
  <c r="H161" i="90"/>
  <c r="Q160" i="90"/>
  <c r="P160" i="90"/>
  <c r="O160" i="90"/>
  <c r="L160" i="90"/>
  <c r="K160" i="90"/>
  <c r="J160" i="90"/>
  <c r="G160" i="90"/>
  <c r="F160" i="90"/>
  <c r="E160" i="90"/>
  <c r="H160" i="90" s="1"/>
  <c r="R159" i="90"/>
  <c r="M159" i="90"/>
  <c r="H159" i="90"/>
  <c r="R158" i="90"/>
  <c r="M158" i="90"/>
  <c r="H158" i="90"/>
  <c r="R157" i="90"/>
  <c r="M157" i="90"/>
  <c r="H157" i="90"/>
  <c r="Q156" i="90"/>
  <c r="P156" i="90"/>
  <c r="R156" i="90" s="1"/>
  <c r="O156" i="90"/>
  <c r="L156" i="90"/>
  <c r="K156" i="90"/>
  <c r="J156" i="90"/>
  <c r="G156" i="90"/>
  <c r="F156" i="90"/>
  <c r="H156" i="90" s="1"/>
  <c r="E156" i="90"/>
  <c r="R155" i="90"/>
  <c r="M155" i="90"/>
  <c r="H155" i="90"/>
  <c r="R154" i="90"/>
  <c r="M154" i="90"/>
  <c r="H154" i="90"/>
  <c r="R153" i="90"/>
  <c r="M153" i="90"/>
  <c r="H153" i="90"/>
  <c r="Q152" i="90"/>
  <c r="Q150" i="90" s="1"/>
  <c r="Q149" i="90" s="1"/>
  <c r="Q147" i="90" s="1"/>
  <c r="P152" i="90"/>
  <c r="O152" i="90"/>
  <c r="L152" i="90"/>
  <c r="L150" i="90" s="1"/>
  <c r="L149" i="90" s="1"/>
  <c r="L147" i="90" s="1"/>
  <c r="K152" i="90"/>
  <c r="J152" i="90"/>
  <c r="G152" i="90"/>
  <c r="G150" i="90" s="1"/>
  <c r="F152" i="90"/>
  <c r="E152" i="90"/>
  <c r="R151" i="90"/>
  <c r="M151" i="90"/>
  <c r="H151" i="90"/>
  <c r="P150" i="90"/>
  <c r="P149" i="90" s="1"/>
  <c r="P147" i="90" s="1"/>
  <c r="P119" i="90" s="1"/>
  <c r="K150" i="90"/>
  <c r="F150" i="90"/>
  <c r="G149" i="90"/>
  <c r="G147" i="90" s="1"/>
  <c r="R148" i="90"/>
  <c r="M148" i="90"/>
  <c r="H148" i="90"/>
  <c r="R146" i="90"/>
  <c r="M146" i="90"/>
  <c r="H146" i="90"/>
  <c r="R145" i="90"/>
  <c r="M145" i="90"/>
  <c r="H145" i="90"/>
  <c r="R144" i="90"/>
  <c r="M144" i="90"/>
  <c r="H144" i="90"/>
  <c r="Q143" i="90"/>
  <c r="R143" i="90" s="1"/>
  <c r="P143" i="90"/>
  <c r="O143" i="90"/>
  <c r="L143" i="90"/>
  <c r="M143" i="90" s="1"/>
  <c r="K143" i="90"/>
  <c r="J143" i="90"/>
  <c r="G143" i="90"/>
  <c r="H143" i="90" s="1"/>
  <c r="F143" i="90"/>
  <c r="E143" i="90"/>
  <c r="R142" i="90"/>
  <c r="M142" i="90"/>
  <c r="H142" i="90"/>
  <c r="R141" i="90"/>
  <c r="M141" i="90"/>
  <c r="H141" i="90"/>
  <c r="R140" i="90"/>
  <c r="Q140" i="90"/>
  <c r="L140" i="90"/>
  <c r="M140" i="90" s="1"/>
  <c r="H140" i="90"/>
  <c r="G140" i="90"/>
  <c r="Q139" i="90"/>
  <c r="R139" i="90" s="1"/>
  <c r="P139" i="90"/>
  <c r="O139" i="90"/>
  <c r="L139" i="90"/>
  <c r="K139" i="90"/>
  <c r="J139" i="90"/>
  <c r="G139" i="90"/>
  <c r="H139" i="90" s="1"/>
  <c r="F139" i="90"/>
  <c r="E139" i="90"/>
  <c r="R138" i="90"/>
  <c r="M138" i="90"/>
  <c r="H138" i="90"/>
  <c r="R137" i="90"/>
  <c r="M137" i="90"/>
  <c r="H137" i="90"/>
  <c r="R136" i="90"/>
  <c r="M136" i="90"/>
  <c r="H136" i="90"/>
  <c r="R135" i="90"/>
  <c r="Q135" i="90"/>
  <c r="P135" i="90"/>
  <c r="O135" i="90"/>
  <c r="O133" i="90" s="1"/>
  <c r="O132" i="90" s="1"/>
  <c r="M135" i="90"/>
  <c r="L135" i="90"/>
  <c r="K135" i="90"/>
  <c r="J135" i="90"/>
  <c r="J133" i="90" s="1"/>
  <c r="J132" i="90" s="1"/>
  <c r="H135" i="90"/>
  <c r="G135" i="90"/>
  <c r="F135" i="90"/>
  <c r="E135" i="90"/>
  <c r="E133" i="90" s="1"/>
  <c r="E132" i="90" s="1"/>
  <c r="R134" i="90"/>
  <c r="M134" i="90"/>
  <c r="H134" i="90"/>
  <c r="Q133" i="90"/>
  <c r="P133" i="90"/>
  <c r="M133" i="90"/>
  <c r="L133" i="90"/>
  <c r="K133" i="90"/>
  <c r="K132" i="90" s="1"/>
  <c r="G133" i="90"/>
  <c r="G132" i="90" s="1"/>
  <c r="F133" i="90"/>
  <c r="P132" i="90"/>
  <c r="P120" i="90" s="1"/>
  <c r="H132" i="90"/>
  <c r="F132" i="90"/>
  <c r="R131" i="90"/>
  <c r="M131" i="90"/>
  <c r="H131" i="90"/>
  <c r="R130" i="90"/>
  <c r="M130" i="90"/>
  <c r="H130" i="90"/>
  <c r="Q129" i="90"/>
  <c r="P129" i="90"/>
  <c r="O129" i="90"/>
  <c r="L129" i="90"/>
  <c r="K129" i="90"/>
  <c r="J129" i="90"/>
  <c r="G129" i="90"/>
  <c r="F129" i="90"/>
  <c r="E129" i="90"/>
  <c r="R128" i="90"/>
  <c r="M128" i="90"/>
  <c r="H128" i="90"/>
  <c r="R127" i="90"/>
  <c r="M127" i="90"/>
  <c r="H127" i="90"/>
  <c r="Q126" i="90"/>
  <c r="P126" i="90"/>
  <c r="R126" i="90" s="1"/>
  <c r="O126" i="90"/>
  <c r="L126" i="90"/>
  <c r="K126" i="90"/>
  <c r="J126" i="90"/>
  <c r="G126" i="90"/>
  <c r="F126" i="90"/>
  <c r="H126" i="90" s="1"/>
  <c r="E126" i="90"/>
  <c r="R125" i="90"/>
  <c r="M125" i="90"/>
  <c r="H125" i="90"/>
  <c r="R124" i="90"/>
  <c r="M124" i="90"/>
  <c r="H124" i="90"/>
  <c r="R123" i="90"/>
  <c r="M123" i="90"/>
  <c r="H123" i="90"/>
  <c r="R122" i="90"/>
  <c r="M122" i="90"/>
  <c r="H122" i="90"/>
  <c r="Q121" i="90"/>
  <c r="P121" i="90"/>
  <c r="O121" i="90"/>
  <c r="L121" i="90"/>
  <c r="K121" i="90"/>
  <c r="M121" i="90" s="1"/>
  <c r="J121" i="90"/>
  <c r="G121" i="90"/>
  <c r="F121" i="90"/>
  <c r="E121" i="90"/>
  <c r="G120" i="90"/>
  <c r="G119" i="90" s="1"/>
  <c r="G117" i="90" s="1"/>
  <c r="R118" i="90"/>
  <c r="M118" i="90"/>
  <c r="H118" i="90"/>
  <c r="P116" i="90"/>
  <c r="O116" i="90"/>
  <c r="K116" i="90"/>
  <c r="J116" i="90"/>
  <c r="F116" i="90"/>
  <c r="E116" i="90"/>
  <c r="R115" i="90"/>
  <c r="M115" i="90"/>
  <c r="H115" i="90"/>
  <c r="R114" i="90"/>
  <c r="M114" i="90"/>
  <c r="H114" i="90"/>
  <c r="R113" i="90"/>
  <c r="M113" i="90"/>
  <c r="H113" i="90"/>
  <c r="R112" i="90"/>
  <c r="M112" i="90"/>
  <c r="H112" i="90"/>
  <c r="R111" i="90"/>
  <c r="Q111" i="90"/>
  <c r="Q110" i="90" s="1"/>
  <c r="P111" i="90"/>
  <c r="O111" i="90"/>
  <c r="M111" i="90"/>
  <c r="L111" i="90"/>
  <c r="L110" i="90" s="1"/>
  <c r="K111" i="90"/>
  <c r="J111" i="90"/>
  <c r="H111" i="90"/>
  <c r="G111" i="90"/>
  <c r="G110" i="90" s="1"/>
  <c r="F111" i="90"/>
  <c r="E111" i="90"/>
  <c r="C111" i="90"/>
  <c r="P110" i="90"/>
  <c r="R110" i="90" s="1"/>
  <c r="O110" i="90"/>
  <c r="M110" i="90"/>
  <c r="K110" i="90"/>
  <c r="J110" i="90"/>
  <c r="F110" i="90"/>
  <c r="E110" i="90"/>
  <c r="C110" i="90"/>
  <c r="R109" i="90"/>
  <c r="M109" i="90"/>
  <c r="H109" i="90"/>
  <c r="R108" i="90"/>
  <c r="M108" i="90"/>
  <c r="H108" i="90"/>
  <c r="R107" i="90"/>
  <c r="M107" i="90"/>
  <c r="H107" i="90"/>
  <c r="Q106" i="90"/>
  <c r="P106" i="90"/>
  <c r="R106" i="90" s="1"/>
  <c r="O106" i="90"/>
  <c r="L106" i="90"/>
  <c r="K106" i="90"/>
  <c r="M106" i="90" s="1"/>
  <c r="J106" i="90"/>
  <c r="G106" i="90"/>
  <c r="F106" i="90"/>
  <c r="H106" i="90" s="1"/>
  <c r="E106" i="90"/>
  <c r="Q105" i="90"/>
  <c r="O105" i="90"/>
  <c r="L105" i="90"/>
  <c r="K105" i="90"/>
  <c r="M105" i="90" s="1"/>
  <c r="J105" i="90"/>
  <c r="G105" i="90"/>
  <c r="F105" i="90"/>
  <c r="E105" i="90"/>
  <c r="R104" i="90"/>
  <c r="M104" i="90"/>
  <c r="H104" i="90"/>
  <c r="R103" i="90"/>
  <c r="M103" i="90"/>
  <c r="H103" i="90"/>
  <c r="R102" i="90"/>
  <c r="M102" i="90"/>
  <c r="H102" i="90"/>
  <c r="Q101" i="90"/>
  <c r="P101" i="90"/>
  <c r="O101" i="90"/>
  <c r="L101" i="90"/>
  <c r="L100" i="90" s="1"/>
  <c r="K101" i="90"/>
  <c r="J101" i="90"/>
  <c r="G101" i="90"/>
  <c r="F101" i="90"/>
  <c r="E101" i="90"/>
  <c r="H101" i="90" s="1"/>
  <c r="Q100" i="90"/>
  <c r="Q99" i="90" s="1"/>
  <c r="Q98" i="90" s="1"/>
  <c r="P100" i="90"/>
  <c r="O100" i="90"/>
  <c r="K100" i="90"/>
  <c r="G100" i="90"/>
  <c r="G99" i="90" s="1"/>
  <c r="G98" i="90" s="1"/>
  <c r="F100" i="90"/>
  <c r="E100" i="90"/>
  <c r="P99" i="90"/>
  <c r="L99" i="90"/>
  <c r="L98" i="90" s="1"/>
  <c r="K99" i="90"/>
  <c r="F99" i="90"/>
  <c r="R97" i="90"/>
  <c r="M97" i="90"/>
  <c r="H97" i="90"/>
  <c r="R96" i="90"/>
  <c r="M96" i="90"/>
  <c r="H96" i="90"/>
  <c r="R95" i="90"/>
  <c r="M95" i="90"/>
  <c r="H95" i="90"/>
  <c r="R93" i="90"/>
  <c r="M93" i="90"/>
  <c r="H93" i="90"/>
  <c r="R92" i="90"/>
  <c r="M92" i="90"/>
  <c r="H92" i="90"/>
  <c r="R91" i="90"/>
  <c r="M91" i="90"/>
  <c r="H91" i="90"/>
  <c r="R90" i="90"/>
  <c r="M90" i="90"/>
  <c r="H90" i="90"/>
  <c r="Q89" i="90"/>
  <c r="Q81" i="90" s="1"/>
  <c r="P89" i="90"/>
  <c r="O89" i="90"/>
  <c r="R89" i="90" s="1"/>
  <c r="L89" i="90"/>
  <c r="L81" i="90" s="1"/>
  <c r="K89" i="90"/>
  <c r="J89" i="90"/>
  <c r="M89" i="90" s="1"/>
  <c r="G89" i="90"/>
  <c r="F89" i="90"/>
  <c r="E89" i="90"/>
  <c r="R88" i="90"/>
  <c r="M88" i="90"/>
  <c r="H88" i="90"/>
  <c r="R87" i="90"/>
  <c r="M87" i="90"/>
  <c r="H87" i="90"/>
  <c r="R86" i="90"/>
  <c r="M86" i="90"/>
  <c r="H86" i="90"/>
  <c r="R85" i="90"/>
  <c r="Q85" i="90"/>
  <c r="P85" i="90"/>
  <c r="O85" i="90"/>
  <c r="M85" i="90"/>
  <c r="L85" i="90"/>
  <c r="K85" i="90"/>
  <c r="J85" i="90"/>
  <c r="H85" i="90"/>
  <c r="G85" i="90"/>
  <c r="F85" i="90"/>
  <c r="E85" i="90"/>
  <c r="R84" i="90"/>
  <c r="M84" i="90"/>
  <c r="H84" i="90"/>
  <c r="R83" i="90"/>
  <c r="M83" i="90"/>
  <c r="H83" i="90"/>
  <c r="Q82" i="90"/>
  <c r="P82" i="90"/>
  <c r="R82" i="90" s="1"/>
  <c r="O82" i="90"/>
  <c r="L82" i="90"/>
  <c r="K82" i="90"/>
  <c r="J82" i="90"/>
  <c r="G82" i="90"/>
  <c r="G81" i="90" s="1"/>
  <c r="F82" i="90"/>
  <c r="E82" i="90"/>
  <c r="P81" i="90"/>
  <c r="R79" i="90"/>
  <c r="M79" i="90"/>
  <c r="H79" i="90"/>
  <c r="R78" i="90"/>
  <c r="M78" i="90"/>
  <c r="H78" i="90"/>
  <c r="R77" i="90"/>
  <c r="M77" i="90"/>
  <c r="H77" i="90"/>
  <c r="Q76" i="90"/>
  <c r="P76" i="90"/>
  <c r="O76" i="90"/>
  <c r="L76" i="90"/>
  <c r="K76" i="90"/>
  <c r="J76" i="90"/>
  <c r="M76" i="90" s="1"/>
  <c r="G76" i="90"/>
  <c r="F76" i="90"/>
  <c r="E76" i="90"/>
  <c r="H76" i="90" s="1"/>
  <c r="R75" i="90"/>
  <c r="M75" i="90"/>
  <c r="H75" i="90"/>
  <c r="R74" i="90"/>
  <c r="M74" i="90"/>
  <c r="H74" i="90"/>
  <c r="R73" i="90"/>
  <c r="M73" i="90"/>
  <c r="H73" i="90"/>
  <c r="Q72" i="90"/>
  <c r="P72" i="90"/>
  <c r="R72" i="90" s="1"/>
  <c r="O72" i="90"/>
  <c r="L72" i="90"/>
  <c r="K72" i="90"/>
  <c r="M72" i="90" s="1"/>
  <c r="J72" i="90"/>
  <c r="G72" i="90"/>
  <c r="F72" i="90"/>
  <c r="H72" i="90" s="1"/>
  <c r="E72" i="90"/>
  <c r="R71" i="90"/>
  <c r="M71" i="90"/>
  <c r="H71" i="90"/>
  <c r="R70" i="90"/>
  <c r="M70" i="90"/>
  <c r="H70" i="90"/>
  <c r="R69" i="90"/>
  <c r="M69" i="90"/>
  <c r="H69" i="90"/>
  <c r="Q68" i="90"/>
  <c r="Q66" i="90" s="1"/>
  <c r="P68" i="90"/>
  <c r="O68" i="90"/>
  <c r="L68" i="90"/>
  <c r="L66" i="90" s="1"/>
  <c r="L65" i="90" s="1"/>
  <c r="K68" i="90"/>
  <c r="J68" i="90"/>
  <c r="M68" i="90" s="1"/>
  <c r="G68" i="90"/>
  <c r="G66" i="90" s="1"/>
  <c r="F68" i="90"/>
  <c r="E68" i="90"/>
  <c r="R67" i="90"/>
  <c r="M67" i="90"/>
  <c r="H67" i="90"/>
  <c r="P66" i="90"/>
  <c r="O66" i="90"/>
  <c r="K66" i="90"/>
  <c r="J66" i="90"/>
  <c r="F66" i="90"/>
  <c r="F65" i="90" s="1"/>
  <c r="F63" i="90" s="1"/>
  <c r="E66" i="90"/>
  <c r="H66" i="90" s="1"/>
  <c r="K65" i="90"/>
  <c r="K63" i="90" s="1"/>
  <c r="E65" i="90"/>
  <c r="E63" i="90" s="1"/>
  <c r="R64" i="90"/>
  <c r="M64" i="90"/>
  <c r="H64" i="90"/>
  <c r="L63" i="90"/>
  <c r="R62" i="90"/>
  <c r="M62" i="90"/>
  <c r="H62" i="90"/>
  <c r="R61" i="90"/>
  <c r="M61" i="90"/>
  <c r="H61" i="90"/>
  <c r="R60" i="90"/>
  <c r="M60" i="90"/>
  <c r="H60" i="90"/>
  <c r="Q59" i="90"/>
  <c r="P59" i="90"/>
  <c r="R59" i="90" s="1"/>
  <c r="O59" i="90"/>
  <c r="L59" i="90"/>
  <c r="K59" i="90"/>
  <c r="M59" i="90" s="1"/>
  <c r="J59" i="90"/>
  <c r="G59" i="90"/>
  <c r="F59" i="90"/>
  <c r="H59" i="90" s="1"/>
  <c r="E59" i="90"/>
  <c r="R58" i="90"/>
  <c r="M58" i="90"/>
  <c r="H58" i="90"/>
  <c r="R57" i="90"/>
  <c r="M57" i="90"/>
  <c r="H57" i="90"/>
  <c r="P55" i="90"/>
  <c r="O55" i="90"/>
  <c r="K55" i="90"/>
  <c r="J55" i="90"/>
  <c r="F55" i="90"/>
  <c r="E55" i="90"/>
  <c r="R54" i="90"/>
  <c r="M54" i="90"/>
  <c r="H54" i="90"/>
  <c r="R53" i="90"/>
  <c r="M53" i="90"/>
  <c r="H53" i="90"/>
  <c r="R52" i="90"/>
  <c r="M52" i="90"/>
  <c r="H52" i="90"/>
  <c r="Q51" i="90"/>
  <c r="Q49" i="90" s="1"/>
  <c r="P51" i="90"/>
  <c r="P49" i="90" s="1"/>
  <c r="O51" i="90"/>
  <c r="L51" i="90"/>
  <c r="L49" i="90" s="1"/>
  <c r="K51" i="90"/>
  <c r="J51" i="90"/>
  <c r="M51" i="90" s="1"/>
  <c r="G51" i="90"/>
  <c r="G49" i="90" s="1"/>
  <c r="F51" i="90"/>
  <c r="E51" i="90"/>
  <c r="R50" i="90"/>
  <c r="M50" i="90"/>
  <c r="H50" i="90"/>
  <c r="O49" i="90"/>
  <c r="K49" i="90"/>
  <c r="J49" i="90"/>
  <c r="F49" i="90"/>
  <c r="E49" i="90"/>
  <c r="H49" i="90" s="1"/>
  <c r="O48" i="90"/>
  <c r="E48" i="90"/>
  <c r="R47" i="90"/>
  <c r="M47" i="90"/>
  <c r="H47" i="90"/>
  <c r="R46" i="90"/>
  <c r="M46" i="90"/>
  <c r="H46" i="90"/>
  <c r="Q45" i="90"/>
  <c r="P45" i="90"/>
  <c r="O45" i="90"/>
  <c r="L45" i="90"/>
  <c r="K45" i="90"/>
  <c r="J45" i="90"/>
  <c r="G45" i="90"/>
  <c r="F45" i="90"/>
  <c r="E45" i="90"/>
  <c r="R44" i="90"/>
  <c r="M44" i="90"/>
  <c r="H44" i="90"/>
  <c r="R43" i="90"/>
  <c r="M43" i="90"/>
  <c r="H43" i="90"/>
  <c r="Q42" i="90"/>
  <c r="P42" i="90"/>
  <c r="O42" i="90"/>
  <c r="R42" i="90" s="1"/>
  <c r="L42" i="90"/>
  <c r="K42" i="90"/>
  <c r="J42" i="90"/>
  <c r="M42" i="90" s="1"/>
  <c r="G42" i="90"/>
  <c r="F42" i="90"/>
  <c r="E42" i="90"/>
  <c r="H42" i="90" s="1"/>
  <c r="R41" i="90"/>
  <c r="M41" i="90"/>
  <c r="H41" i="90"/>
  <c r="R40" i="90"/>
  <c r="M40" i="90"/>
  <c r="H40" i="90"/>
  <c r="R39" i="90"/>
  <c r="M39" i="90"/>
  <c r="H39" i="90"/>
  <c r="R38" i="90"/>
  <c r="M38" i="90"/>
  <c r="H38" i="90"/>
  <c r="Q37" i="90"/>
  <c r="P37" i="90"/>
  <c r="O37" i="90"/>
  <c r="L37" i="90"/>
  <c r="K37" i="90"/>
  <c r="J37" i="90"/>
  <c r="G37" i="90"/>
  <c r="F37" i="90"/>
  <c r="E37" i="90"/>
  <c r="R34" i="90"/>
  <c r="M34" i="90"/>
  <c r="H34" i="90"/>
  <c r="P32" i="90"/>
  <c r="O32" i="90"/>
  <c r="K32" i="90"/>
  <c r="J32" i="90"/>
  <c r="F32" i="90"/>
  <c r="E32" i="90"/>
  <c r="R31" i="90"/>
  <c r="M31" i="90"/>
  <c r="H31" i="90"/>
  <c r="R30" i="90"/>
  <c r="M30" i="90"/>
  <c r="H30" i="90"/>
  <c r="R29" i="90"/>
  <c r="M29" i="90"/>
  <c r="H29" i="90"/>
  <c r="R28" i="90"/>
  <c r="M28" i="90"/>
  <c r="H28" i="90"/>
  <c r="Q27" i="90"/>
  <c r="Q26" i="90" s="1"/>
  <c r="P27" i="90"/>
  <c r="O27" i="90"/>
  <c r="L27" i="90"/>
  <c r="K27" i="90"/>
  <c r="K26" i="90" s="1"/>
  <c r="J27" i="90"/>
  <c r="G27" i="90"/>
  <c r="G26" i="90" s="1"/>
  <c r="F27" i="90"/>
  <c r="E27" i="90"/>
  <c r="C27" i="90"/>
  <c r="P26" i="90"/>
  <c r="L26" i="90"/>
  <c r="F26" i="90"/>
  <c r="C26" i="90"/>
  <c r="R25" i="90"/>
  <c r="M25" i="90"/>
  <c r="H25" i="90"/>
  <c r="R24" i="90"/>
  <c r="M24" i="90"/>
  <c r="H24" i="90"/>
  <c r="R23" i="90"/>
  <c r="M23" i="90"/>
  <c r="H23" i="90"/>
  <c r="Q22" i="90"/>
  <c r="P22" i="90"/>
  <c r="O22" i="90"/>
  <c r="R22" i="90" s="1"/>
  <c r="L22" i="90"/>
  <c r="K22" i="90"/>
  <c r="J22" i="90"/>
  <c r="M22" i="90" s="1"/>
  <c r="G22" i="90"/>
  <c r="F22" i="90"/>
  <c r="E22" i="90"/>
  <c r="H22" i="90" s="1"/>
  <c r="Q21" i="90"/>
  <c r="P21" i="90"/>
  <c r="O21" i="90"/>
  <c r="R21" i="90" s="1"/>
  <c r="L21" i="90"/>
  <c r="K21" i="90"/>
  <c r="J21" i="90"/>
  <c r="M21" i="90" s="1"/>
  <c r="G21" i="90"/>
  <c r="F21" i="90"/>
  <c r="E21" i="90"/>
  <c r="H21" i="90" s="1"/>
  <c r="R20" i="90"/>
  <c r="M20" i="90"/>
  <c r="H20" i="90"/>
  <c r="R19" i="90"/>
  <c r="M19" i="90"/>
  <c r="H19" i="90"/>
  <c r="R18" i="90"/>
  <c r="M18" i="90"/>
  <c r="H18" i="90"/>
  <c r="Q17" i="90"/>
  <c r="Q16" i="90" s="1"/>
  <c r="Q15" i="90" s="1"/>
  <c r="Q14" i="90" s="1"/>
  <c r="P17" i="90"/>
  <c r="O17" i="90"/>
  <c r="L17" i="90"/>
  <c r="K17" i="90"/>
  <c r="K16" i="90" s="1"/>
  <c r="K15" i="90" s="1"/>
  <c r="K14" i="90" s="1"/>
  <c r="K10" i="90" s="1"/>
  <c r="J17" i="90"/>
  <c r="G17" i="90"/>
  <c r="G16" i="90" s="1"/>
  <c r="F17" i="90"/>
  <c r="E17" i="90"/>
  <c r="P16" i="90"/>
  <c r="P15" i="90" s="1"/>
  <c r="L16" i="90"/>
  <c r="L15" i="90" s="1"/>
  <c r="J16" i="90"/>
  <c r="F16" i="90"/>
  <c r="F15" i="90" s="1"/>
  <c r="F14" i="90" s="1"/>
  <c r="F10" i="90" s="1"/>
  <c r="G15" i="90"/>
  <c r="G14" i="90" s="1"/>
  <c r="P14" i="90"/>
  <c r="P10" i="90" s="1"/>
  <c r="L14" i="90"/>
  <c r="R13" i="90"/>
  <c r="M13" i="90"/>
  <c r="H13" i="90"/>
  <c r="R12" i="90"/>
  <c r="M12" i="90"/>
  <c r="H12" i="90"/>
  <c r="R11" i="90"/>
  <c r="M11" i="90"/>
  <c r="H11" i="90"/>
  <c r="R21" i="86" l="1"/>
  <c r="O14" i="86"/>
  <c r="M216" i="86"/>
  <c r="J204" i="86"/>
  <c r="H65" i="86"/>
  <c r="E63" i="86"/>
  <c r="H63" i="86" s="1"/>
  <c r="H37" i="86"/>
  <c r="E233" i="86"/>
  <c r="H234" i="86"/>
  <c r="H183" i="86"/>
  <c r="G182" i="86"/>
  <c r="G178" i="86" s="1"/>
  <c r="G248" i="86" s="1"/>
  <c r="O120" i="86"/>
  <c r="M76" i="86"/>
  <c r="J65" i="86"/>
  <c r="M55" i="86"/>
  <c r="J48" i="86"/>
  <c r="H204" i="86"/>
  <c r="R37" i="86"/>
  <c r="O178" i="86"/>
  <c r="R204" i="86"/>
  <c r="M133" i="86"/>
  <c r="J132" i="86"/>
  <c r="H55" i="86"/>
  <c r="E48" i="86"/>
  <c r="H48" i="86" s="1"/>
  <c r="M14" i="86"/>
  <c r="J10" i="86"/>
  <c r="H121" i="86"/>
  <c r="J233" i="86"/>
  <c r="M234" i="86"/>
  <c r="M149" i="86"/>
  <c r="J147" i="86"/>
  <c r="M147" i="86" s="1"/>
  <c r="M81" i="86"/>
  <c r="L80" i="86"/>
  <c r="H149" i="86"/>
  <c r="E147" i="86"/>
  <c r="H147" i="86" s="1"/>
  <c r="O36" i="86"/>
  <c r="M33" i="86"/>
  <c r="R99" i="86"/>
  <c r="O98" i="86"/>
  <c r="O65" i="86"/>
  <c r="E178" i="86"/>
  <c r="E132" i="86"/>
  <c r="H132" i="86" s="1"/>
  <c r="H133" i="86"/>
  <c r="M184" i="86"/>
  <c r="L183" i="86"/>
  <c r="H99" i="86"/>
  <c r="E98" i="86"/>
  <c r="J178" i="86"/>
  <c r="R149" i="86"/>
  <c r="O147" i="86"/>
  <c r="R147" i="86" s="1"/>
  <c r="M100" i="86"/>
  <c r="J99" i="86"/>
  <c r="R184" i="86"/>
  <c r="Q183" i="86"/>
  <c r="E10" i="86"/>
  <c r="H14" i="86"/>
  <c r="O233" i="86"/>
  <c r="R234" i="86"/>
  <c r="P203" i="86"/>
  <c r="P248" i="86" s="1"/>
  <c r="K94" i="86"/>
  <c r="K164" i="86" s="1"/>
  <c r="F80" i="90"/>
  <c r="R49" i="90"/>
  <c r="P48" i="90"/>
  <c r="H27" i="90"/>
  <c r="E26" i="90"/>
  <c r="H26" i="90" s="1"/>
  <c r="J48" i="90"/>
  <c r="M49" i="90"/>
  <c r="J150" i="90"/>
  <c r="M152" i="90"/>
  <c r="R240" i="90"/>
  <c r="O233" i="90"/>
  <c r="H244" i="90"/>
  <c r="E233" i="90"/>
  <c r="M16" i="90"/>
  <c r="J15" i="90"/>
  <c r="R17" i="90"/>
  <c r="O16" i="90"/>
  <c r="M37" i="90"/>
  <c r="R76" i="90"/>
  <c r="O65" i="90"/>
  <c r="K81" i="90"/>
  <c r="M82" i="90"/>
  <c r="H89" i="90"/>
  <c r="K98" i="90"/>
  <c r="K94" i="90" s="1"/>
  <c r="H117" i="90"/>
  <c r="G116" i="90"/>
  <c r="H116" i="90" s="1"/>
  <c r="H166" i="90"/>
  <c r="E165" i="90"/>
  <c r="H165" i="90" s="1"/>
  <c r="K216" i="90"/>
  <c r="M223" i="90"/>
  <c r="H37" i="90"/>
  <c r="E36" i="90"/>
  <c r="K36" i="90"/>
  <c r="K35" i="90" s="1"/>
  <c r="K80" i="90" s="1"/>
  <c r="R45" i="90"/>
  <c r="K48" i="90"/>
  <c r="F48" i="90"/>
  <c r="F36" i="90" s="1"/>
  <c r="F35" i="90" s="1"/>
  <c r="H82" i="90"/>
  <c r="F81" i="90"/>
  <c r="H100" i="90"/>
  <c r="E99" i="90"/>
  <c r="P105" i="90"/>
  <c r="Q120" i="90"/>
  <c r="Q119" i="90" s="1"/>
  <c r="Q117" i="90" s="1"/>
  <c r="E120" i="90"/>
  <c r="H129" i="90"/>
  <c r="F149" i="90"/>
  <c r="F147" i="90" s="1"/>
  <c r="K149" i="90"/>
  <c r="K147" i="90" s="1"/>
  <c r="M156" i="90"/>
  <c r="H182" i="90"/>
  <c r="E178" i="90"/>
  <c r="R189" i="90"/>
  <c r="O182" i="90"/>
  <c r="L248" i="90"/>
  <c r="J217" i="90"/>
  <c r="M219" i="90"/>
  <c r="H17" i="90"/>
  <c r="E16" i="90"/>
  <c r="M45" i="90"/>
  <c r="R66" i="90"/>
  <c r="P65" i="90"/>
  <c r="P63" i="90" s="1"/>
  <c r="K248" i="90"/>
  <c r="O36" i="90"/>
  <c r="R37" i="90"/>
  <c r="H45" i="90"/>
  <c r="J65" i="90"/>
  <c r="M66" i="90"/>
  <c r="G94" i="90"/>
  <c r="M101" i="90"/>
  <c r="J100" i="90"/>
  <c r="H105" i="90"/>
  <c r="F98" i="90"/>
  <c r="F94" i="90" s="1"/>
  <c r="F164" i="90" s="1"/>
  <c r="M139" i="90"/>
  <c r="L132" i="90"/>
  <c r="Q248" i="90"/>
  <c r="G248" i="90"/>
  <c r="G203" i="90"/>
  <c r="R27" i="90"/>
  <c r="O26" i="90"/>
  <c r="R26" i="90" s="1"/>
  <c r="R100" i="90"/>
  <c r="O120" i="90"/>
  <c r="R129" i="90"/>
  <c r="M132" i="90"/>
  <c r="R133" i="90"/>
  <c r="Q132" i="90"/>
  <c r="R160" i="90"/>
  <c r="R166" i="90"/>
  <c r="O165" i="90"/>
  <c r="R165" i="90" s="1"/>
  <c r="P248" i="90"/>
  <c r="H189" i="90"/>
  <c r="M190" i="90"/>
  <c r="R227" i="90"/>
  <c r="M234" i="90"/>
  <c r="J233" i="90"/>
  <c r="H240" i="90"/>
  <c r="M253" i="90"/>
  <c r="M27" i="90"/>
  <c r="J26" i="90"/>
  <c r="M26" i="90" s="1"/>
  <c r="R51" i="90"/>
  <c r="G65" i="90"/>
  <c r="G63" i="90" s="1"/>
  <c r="H63" i="90" s="1"/>
  <c r="R68" i="90"/>
  <c r="R101" i="90"/>
  <c r="R121" i="90"/>
  <c r="J120" i="90"/>
  <c r="M129" i="90"/>
  <c r="R132" i="90"/>
  <c r="O150" i="90"/>
  <c r="R152" i="90"/>
  <c r="M169" i="90"/>
  <c r="H190" i="90"/>
  <c r="M194" i="90"/>
  <c r="F204" i="90"/>
  <c r="F203" i="90" s="1"/>
  <c r="F248" i="90" s="1"/>
  <c r="O217" i="90"/>
  <c r="R219" i="90"/>
  <c r="M17" i="90"/>
  <c r="H51" i="90"/>
  <c r="H68" i="90"/>
  <c r="Q65" i="90"/>
  <c r="Q63" i="90" s="1"/>
  <c r="E81" i="90"/>
  <c r="J81" i="90"/>
  <c r="M81" i="90" s="1"/>
  <c r="O81" i="90"/>
  <c r="R81" i="90" s="1"/>
  <c r="O99" i="90"/>
  <c r="H110" i="90"/>
  <c r="K120" i="90"/>
  <c r="H121" i="90"/>
  <c r="L120" i="90"/>
  <c r="L119" i="90" s="1"/>
  <c r="L117" i="90" s="1"/>
  <c r="M126" i="90"/>
  <c r="E150" i="90"/>
  <c r="H152" i="90"/>
  <c r="J182" i="90"/>
  <c r="J189" i="90"/>
  <c r="M189" i="90" s="1"/>
  <c r="H194" i="90"/>
  <c r="K204" i="90"/>
  <c r="K203" i="90" s="1"/>
  <c r="E217" i="90"/>
  <c r="H219" i="90"/>
  <c r="J249" i="90"/>
  <c r="M249" i="90" s="1"/>
  <c r="F120" i="90"/>
  <c r="F119" i="90" s="1"/>
  <c r="H133" i="90"/>
  <c r="R173" i="90"/>
  <c r="M227" i="90"/>
  <c r="H234" i="90"/>
  <c r="M240" i="90"/>
  <c r="H253" i="90"/>
  <c r="K249" i="90"/>
  <c r="M160" i="90"/>
  <c r="H173" i="90"/>
  <c r="R194" i="90"/>
  <c r="R234" i="90"/>
  <c r="R253" i="90"/>
  <c r="H98" i="86" l="1"/>
  <c r="E94" i="86"/>
  <c r="R65" i="86"/>
  <c r="O63" i="86"/>
  <c r="R63" i="86" s="1"/>
  <c r="R36" i="86"/>
  <c r="J231" i="86"/>
  <c r="M231" i="86" s="1"/>
  <c r="M233" i="86"/>
  <c r="M48" i="86"/>
  <c r="J36" i="86"/>
  <c r="O119" i="86"/>
  <c r="R119" i="86" s="1"/>
  <c r="R120" i="86"/>
  <c r="E231" i="86"/>
  <c r="H233" i="86"/>
  <c r="O231" i="86"/>
  <c r="R233" i="86"/>
  <c r="R98" i="86"/>
  <c r="O94" i="86"/>
  <c r="E36" i="86"/>
  <c r="J203" i="86"/>
  <c r="M203" i="86" s="1"/>
  <c r="M204" i="86"/>
  <c r="M99" i="86"/>
  <c r="J98" i="86"/>
  <c r="J248" i="86"/>
  <c r="L182" i="86"/>
  <c r="M183" i="86"/>
  <c r="H178" i="86"/>
  <c r="E120" i="86"/>
  <c r="M65" i="86"/>
  <c r="J63" i="86"/>
  <c r="M63" i="86" s="1"/>
  <c r="H10" i="86"/>
  <c r="H182" i="86"/>
  <c r="M10" i="86"/>
  <c r="J120" i="86"/>
  <c r="M132" i="86"/>
  <c r="O10" i="86"/>
  <c r="R14" i="86"/>
  <c r="R183" i="86"/>
  <c r="Q182" i="86"/>
  <c r="M117" i="90"/>
  <c r="L116" i="90"/>
  <c r="G164" i="90"/>
  <c r="G56" i="90"/>
  <c r="R117" i="90"/>
  <c r="Q116" i="90"/>
  <c r="O149" i="90"/>
  <c r="R150" i="90"/>
  <c r="H178" i="90"/>
  <c r="P98" i="90"/>
  <c r="P94" i="90" s="1"/>
  <c r="P164" i="90" s="1"/>
  <c r="R105" i="90"/>
  <c r="J36" i="90"/>
  <c r="H233" i="90"/>
  <c r="E231" i="90"/>
  <c r="H231" i="90" s="1"/>
  <c r="E149" i="90"/>
  <c r="H150" i="90"/>
  <c r="K119" i="90"/>
  <c r="K164" i="90" s="1"/>
  <c r="R120" i="90"/>
  <c r="M100" i="90"/>
  <c r="J99" i="90"/>
  <c r="H16" i="90"/>
  <c r="E15" i="90"/>
  <c r="H99" i="90"/>
  <c r="E98" i="90"/>
  <c r="M15" i="90"/>
  <c r="J14" i="90"/>
  <c r="J149" i="90"/>
  <c r="M150" i="90"/>
  <c r="H81" i="90"/>
  <c r="O216" i="90"/>
  <c r="R217" i="90"/>
  <c r="M65" i="90"/>
  <c r="J63" i="90"/>
  <c r="M63" i="90" s="1"/>
  <c r="H65" i="90"/>
  <c r="O178" i="90"/>
  <c r="R182" i="90"/>
  <c r="H120" i="90"/>
  <c r="E35" i="90"/>
  <c r="R16" i="90"/>
  <c r="O15" i="90"/>
  <c r="R233" i="90"/>
  <c r="O231" i="90"/>
  <c r="R231" i="90" s="1"/>
  <c r="E216" i="90"/>
  <c r="H217" i="90"/>
  <c r="M182" i="90"/>
  <c r="J178" i="90"/>
  <c r="R99" i="90"/>
  <c r="O98" i="90"/>
  <c r="M120" i="90"/>
  <c r="M233" i="90"/>
  <c r="J231" i="90"/>
  <c r="M231" i="90" s="1"/>
  <c r="O63" i="90"/>
  <c r="R63" i="90" s="1"/>
  <c r="R65" i="90"/>
  <c r="P36" i="90"/>
  <c r="P35" i="90" s="1"/>
  <c r="P80" i="90" s="1"/>
  <c r="J216" i="90"/>
  <c r="M217" i="90"/>
  <c r="M98" i="86" l="1"/>
  <c r="J94" i="86"/>
  <c r="E35" i="86"/>
  <c r="H36" i="86"/>
  <c r="R231" i="86"/>
  <c r="O203" i="86"/>
  <c r="R10" i="86"/>
  <c r="J119" i="86"/>
  <c r="M119" i="86" s="1"/>
  <c r="M120" i="86"/>
  <c r="E119" i="86"/>
  <c r="H119" i="86" s="1"/>
  <c r="H120" i="86"/>
  <c r="L178" i="86"/>
  <c r="M182" i="86"/>
  <c r="O164" i="86"/>
  <c r="R164" i="86" s="1"/>
  <c r="R94" i="86"/>
  <c r="J35" i="86"/>
  <c r="M36" i="86"/>
  <c r="O35" i="86"/>
  <c r="R35" i="86" s="1"/>
  <c r="E164" i="86"/>
  <c r="H164" i="86" s="1"/>
  <c r="H94" i="86"/>
  <c r="Q178" i="86"/>
  <c r="R182" i="86"/>
  <c r="H231" i="86"/>
  <c r="E203" i="86"/>
  <c r="R98" i="90"/>
  <c r="O94" i="90"/>
  <c r="R15" i="90"/>
  <c r="O14" i="90"/>
  <c r="H98" i="90"/>
  <c r="E94" i="90"/>
  <c r="M99" i="90"/>
  <c r="J98" i="90"/>
  <c r="G55" i="90"/>
  <c r="H56" i="90"/>
  <c r="H216" i="90"/>
  <c r="E204" i="90"/>
  <c r="O35" i="90"/>
  <c r="M149" i="90"/>
  <c r="J147" i="90"/>
  <c r="J35" i="90"/>
  <c r="M178" i="90"/>
  <c r="R216" i="90"/>
  <c r="O204" i="90"/>
  <c r="M14" i="90"/>
  <c r="J10" i="90"/>
  <c r="H15" i="90"/>
  <c r="E14" i="90"/>
  <c r="H149" i="90"/>
  <c r="E147" i="90"/>
  <c r="R116" i="90"/>
  <c r="Q94" i="90"/>
  <c r="M116" i="90"/>
  <c r="L94" i="90"/>
  <c r="M216" i="90"/>
  <c r="J204" i="90"/>
  <c r="R178" i="90"/>
  <c r="O147" i="90"/>
  <c r="R149" i="90"/>
  <c r="H35" i="86" l="1"/>
  <c r="E80" i="86"/>
  <c r="H80" i="86" s="1"/>
  <c r="Q248" i="86"/>
  <c r="R178" i="86"/>
  <c r="R203" i="86"/>
  <c r="O248" i="86"/>
  <c r="J164" i="86"/>
  <c r="M164" i="86" s="1"/>
  <c r="M94" i="86"/>
  <c r="H203" i="86"/>
  <c r="E248" i="86"/>
  <c r="H248" i="86" s="1"/>
  <c r="M35" i="86"/>
  <c r="J80" i="86"/>
  <c r="M80" i="86" s="1"/>
  <c r="L248" i="86"/>
  <c r="M248" i="86" s="1"/>
  <c r="M178" i="86"/>
  <c r="O80" i="86"/>
  <c r="R80" i="86" s="1"/>
  <c r="L164" i="90"/>
  <c r="L56" i="90"/>
  <c r="H147" i="90"/>
  <c r="E119" i="90"/>
  <c r="H119" i="90" s="1"/>
  <c r="J80" i="90"/>
  <c r="E203" i="90"/>
  <c r="H204" i="90"/>
  <c r="M98" i="90"/>
  <c r="J94" i="90"/>
  <c r="R14" i="90"/>
  <c r="O10" i="90"/>
  <c r="M147" i="90"/>
  <c r="J119" i="90"/>
  <c r="M119" i="90" s="1"/>
  <c r="J203" i="90"/>
  <c r="M204" i="90"/>
  <c r="Q164" i="90"/>
  <c r="Q56" i="90"/>
  <c r="H14" i="90"/>
  <c r="E10" i="90"/>
  <c r="O203" i="90"/>
  <c r="R204" i="90"/>
  <c r="E164" i="90"/>
  <c r="H164" i="90" s="1"/>
  <c r="H94" i="90"/>
  <c r="R94" i="90"/>
  <c r="R147" i="90"/>
  <c r="O119" i="90"/>
  <c r="R119" i="90" s="1"/>
  <c r="H55" i="90"/>
  <c r="G48" i="90"/>
  <c r="R248" i="86" l="1"/>
  <c r="R203" i="90"/>
  <c r="O248" i="90"/>
  <c r="R248" i="90" s="1"/>
  <c r="L55" i="90"/>
  <c r="M56" i="90"/>
  <c r="G36" i="90"/>
  <c r="H48" i="90"/>
  <c r="M203" i="90"/>
  <c r="J248" i="90"/>
  <c r="M248" i="90" s="1"/>
  <c r="H203" i="90"/>
  <c r="E248" i="90"/>
  <c r="H248" i="90" s="1"/>
  <c r="O164" i="90"/>
  <c r="R164" i="90" s="1"/>
  <c r="Q55" i="90"/>
  <c r="R56" i="90"/>
  <c r="M94" i="90"/>
  <c r="J164" i="90"/>
  <c r="M164" i="90" s="1"/>
  <c r="E80" i="90"/>
  <c r="O80" i="90"/>
  <c r="R55" i="90" l="1"/>
  <c r="Q48" i="90"/>
  <c r="M55" i="90"/>
  <c r="L48" i="90"/>
  <c r="G35" i="90"/>
  <c r="H36" i="90"/>
  <c r="L36" i="90" l="1"/>
  <c r="M48" i="90"/>
  <c r="Q36" i="90"/>
  <c r="R48" i="90"/>
  <c r="G33" i="90"/>
  <c r="H35" i="90"/>
  <c r="H33" i="90" l="1"/>
  <c r="G32" i="90"/>
  <c r="Q35" i="90"/>
  <c r="R36" i="90"/>
  <c r="L35" i="90"/>
  <c r="M36" i="90"/>
  <c r="G10" i="90" l="1"/>
  <c r="H32" i="90"/>
  <c r="L33" i="90"/>
  <c r="M35" i="90"/>
  <c r="Q33" i="90"/>
  <c r="R35" i="90"/>
  <c r="Q32" i="90" l="1"/>
  <c r="R33" i="90"/>
  <c r="G80" i="90"/>
  <c r="H80" i="90" s="1"/>
  <c r="H10" i="90"/>
  <c r="M33" i="90"/>
  <c r="L32" i="90"/>
  <c r="M32" i="90" l="1"/>
  <c r="L10" i="90"/>
  <c r="R32" i="90"/>
  <c r="Q10" i="90"/>
  <c r="L80" i="90" l="1"/>
  <c r="M80" i="90" s="1"/>
  <c r="M10" i="90"/>
  <c r="Q80" i="90"/>
  <c r="R80" i="90" s="1"/>
  <c r="R10" i="90"/>
  <c r="O276" i="150" l="1"/>
  <c r="O211" i="150" s="1"/>
  <c r="O43" i="150" s="1"/>
  <c r="F454" i="170" l="1"/>
  <c r="G454" i="170"/>
  <c r="H454" i="170"/>
  <c r="I454" i="170"/>
  <c r="K454" i="170"/>
  <c r="L454" i="170"/>
  <c r="M454" i="170"/>
  <c r="N454" i="170"/>
  <c r="O454" i="170"/>
  <c r="P454" i="170"/>
  <c r="Q454" i="170"/>
  <c r="R454" i="170"/>
  <c r="E454" i="170"/>
  <c r="J465" i="170"/>
  <c r="J454" i="170" s="1"/>
  <c r="F248" i="170"/>
  <c r="K248" i="170"/>
  <c r="O248" i="170"/>
  <c r="P248" i="170"/>
  <c r="F247" i="170"/>
  <c r="K247" i="170"/>
  <c r="O247" i="170"/>
  <c r="P247" i="170"/>
  <c r="O346" i="110"/>
  <c r="O344" i="110" s="1"/>
  <c r="J346" i="110"/>
  <c r="J344" i="110" s="1"/>
  <c r="E346" i="110"/>
  <c r="E344" i="110" s="1"/>
  <c r="G337" i="110"/>
  <c r="G269" i="110" s="1"/>
  <c r="Q336" i="110"/>
  <c r="L336" i="110"/>
  <c r="G336" i="110"/>
  <c r="Q305" i="110"/>
  <c r="L305" i="110"/>
  <c r="Q300" i="110"/>
  <c r="L300" i="110"/>
  <c r="Q294" i="110"/>
  <c r="L294" i="110"/>
  <c r="G294" i="110"/>
  <c r="Q292" i="110"/>
  <c r="L292" i="110"/>
  <c r="G292" i="110"/>
  <c r="Q291" i="110"/>
  <c r="L291" i="110"/>
  <c r="G291" i="110"/>
  <c r="Q290" i="110"/>
  <c r="L290" i="110"/>
  <c r="G290" i="110"/>
  <c r="Q289" i="110"/>
  <c r="L289" i="110"/>
  <c r="G289" i="110"/>
  <c r="R269" i="110"/>
  <c r="Q269" i="110"/>
  <c r="P269" i="110"/>
  <c r="O269" i="110"/>
  <c r="N269" i="110"/>
  <c r="M269" i="110"/>
  <c r="L269" i="110"/>
  <c r="K269" i="110"/>
  <c r="K264" i="110" s="1"/>
  <c r="J269" i="110"/>
  <c r="I269" i="110"/>
  <c r="I264" i="110" s="1"/>
  <c r="H269" i="110"/>
  <c r="H264" i="110" s="1"/>
  <c r="F269" i="110"/>
  <c r="R264" i="110"/>
  <c r="P264" i="110"/>
  <c r="O264" i="110"/>
  <c r="N264" i="110"/>
  <c r="M264" i="110"/>
  <c r="J264" i="110"/>
  <c r="F264" i="110"/>
  <c r="R260" i="110"/>
  <c r="M260" i="110"/>
  <c r="H260" i="110"/>
  <c r="R259" i="110"/>
  <c r="M259" i="110"/>
  <c r="H259" i="110"/>
  <c r="R258" i="110"/>
  <c r="M258" i="110"/>
  <c r="H258" i="110"/>
  <c r="Q257" i="110"/>
  <c r="Q249" i="110" s="1"/>
  <c r="P257" i="110"/>
  <c r="O257" i="110"/>
  <c r="L257" i="110"/>
  <c r="L249" i="110" s="1"/>
  <c r="K257" i="110"/>
  <c r="J257" i="110"/>
  <c r="G257" i="110"/>
  <c r="F257" i="110"/>
  <c r="E257" i="110"/>
  <c r="R256" i="110"/>
  <c r="M256" i="110"/>
  <c r="H256" i="110"/>
  <c r="R255" i="110"/>
  <c r="M255" i="110"/>
  <c r="H255" i="110"/>
  <c r="R254" i="110"/>
  <c r="M254" i="110"/>
  <c r="H254" i="110"/>
  <c r="Q253" i="110"/>
  <c r="P253" i="110"/>
  <c r="O253" i="110"/>
  <c r="L253" i="110"/>
  <c r="K253" i="110"/>
  <c r="J253" i="110"/>
  <c r="G253" i="110"/>
  <c r="F253" i="110"/>
  <c r="E253" i="110"/>
  <c r="R252" i="110"/>
  <c r="M252" i="110"/>
  <c r="H252" i="110"/>
  <c r="R251" i="110"/>
  <c r="M251" i="110"/>
  <c r="H251" i="110"/>
  <c r="Q250" i="110"/>
  <c r="P250" i="110"/>
  <c r="O250" i="110"/>
  <c r="R250" i="110" s="1"/>
  <c r="L250" i="110"/>
  <c r="K250" i="110"/>
  <c r="J250" i="110"/>
  <c r="M250" i="110" s="1"/>
  <c r="G250" i="110"/>
  <c r="F250" i="110"/>
  <c r="E250" i="110"/>
  <c r="H250" i="110" s="1"/>
  <c r="R247" i="110"/>
  <c r="M247" i="110"/>
  <c r="H247" i="110"/>
  <c r="R246" i="110"/>
  <c r="M246" i="110"/>
  <c r="H246" i="110"/>
  <c r="R245" i="110"/>
  <c r="M245" i="110"/>
  <c r="H245" i="110"/>
  <c r="Q244" i="110"/>
  <c r="P244" i="110"/>
  <c r="O244" i="110"/>
  <c r="R244" i="110" s="1"/>
  <c r="L244" i="110"/>
  <c r="K244" i="110"/>
  <c r="J244" i="110"/>
  <c r="M244" i="110" s="1"/>
  <c r="G244" i="110"/>
  <c r="F244" i="110"/>
  <c r="E244" i="110"/>
  <c r="R243" i="110"/>
  <c r="M243" i="110"/>
  <c r="H243" i="110"/>
  <c r="R242" i="110"/>
  <c r="M242" i="110"/>
  <c r="H242" i="110"/>
  <c r="R241" i="110"/>
  <c r="M241" i="110"/>
  <c r="H241" i="110"/>
  <c r="Q240" i="110"/>
  <c r="P240" i="110"/>
  <c r="O240" i="110"/>
  <c r="L240" i="110"/>
  <c r="K240" i="110"/>
  <c r="M240" i="110" s="1"/>
  <c r="J240" i="110"/>
  <c r="G240" i="110"/>
  <c r="F240" i="110"/>
  <c r="E240" i="110"/>
  <c r="R239" i="110"/>
  <c r="M239" i="110"/>
  <c r="H239" i="110"/>
  <c r="R238" i="110"/>
  <c r="M238" i="110"/>
  <c r="H238" i="110"/>
  <c r="R237" i="110"/>
  <c r="M237" i="110"/>
  <c r="H237" i="110"/>
  <c r="Q236" i="110"/>
  <c r="Q234" i="110" s="1"/>
  <c r="P236" i="110"/>
  <c r="P234" i="110" s="1"/>
  <c r="P233" i="110" s="1"/>
  <c r="P231" i="110" s="1"/>
  <c r="O236" i="110"/>
  <c r="L236" i="110"/>
  <c r="L234" i="110" s="1"/>
  <c r="K236" i="110"/>
  <c r="J236" i="110"/>
  <c r="G236" i="110"/>
  <c r="G234" i="110" s="1"/>
  <c r="G233" i="110" s="1"/>
  <c r="G231" i="110" s="1"/>
  <c r="F236" i="110"/>
  <c r="E236" i="110"/>
  <c r="R235" i="110"/>
  <c r="M235" i="110"/>
  <c r="H235" i="110"/>
  <c r="K234" i="110"/>
  <c r="F234" i="110"/>
  <c r="F233" i="110" s="1"/>
  <c r="F231" i="110" s="1"/>
  <c r="R232" i="110"/>
  <c r="M232" i="110"/>
  <c r="H232" i="110"/>
  <c r="R230" i="110"/>
  <c r="M230" i="110"/>
  <c r="H230" i="110"/>
  <c r="R229" i="110"/>
  <c r="M229" i="110"/>
  <c r="H229" i="110"/>
  <c r="R228" i="110"/>
  <c r="M228" i="110"/>
  <c r="H228" i="110"/>
  <c r="Q227" i="110"/>
  <c r="R227" i="110" s="1"/>
  <c r="P227" i="110"/>
  <c r="O227" i="110"/>
  <c r="L227" i="110"/>
  <c r="M227" i="110" s="1"/>
  <c r="K227" i="110"/>
  <c r="J227" i="110"/>
  <c r="G227" i="110"/>
  <c r="H227" i="110" s="1"/>
  <c r="F227" i="110"/>
  <c r="E227" i="110"/>
  <c r="R226" i="110"/>
  <c r="M226" i="110"/>
  <c r="H226" i="110"/>
  <c r="R225" i="110"/>
  <c r="M225" i="110"/>
  <c r="H225" i="110"/>
  <c r="R224" i="110"/>
  <c r="M224" i="110"/>
  <c r="H224" i="110"/>
  <c r="Q223" i="110"/>
  <c r="P223" i="110"/>
  <c r="O223" i="110"/>
  <c r="L223" i="110"/>
  <c r="K223" i="110"/>
  <c r="J223" i="110"/>
  <c r="G223" i="110"/>
  <c r="F223" i="110"/>
  <c r="E223" i="110"/>
  <c r="H223" i="110" s="1"/>
  <c r="R222" i="110"/>
  <c r="M222" i="110"/>
  <c r="H222" i="110"/>
  <c r="R221" i="110"/>
  <c r="M221" i="110"/>
  <c r="H221" i="110"/>
  <c r="R220" i="110"/>
  <c r="M220" i="110"/>
  <c r="H220" i="110"/>
  <c r="Q219" i="110"/>
  <c r="P219" i="110"/>
  <c r="P217" i="110" s="1"/>
  <c r="O219" i="110"/>
  <c r="O217" i="110" s="1"/>
  <c r="L219" i="110"/>
  <c r="K219" i="110"/>
  <c r="K217" i="110" s="1"/>
  <c r="J219" i="110"/>
  <c r="J217" i="110" s="1"/>
  <c r="J216" i="110" s="1"/>
  <c r="J204" i="110" s="1"/>
  <c r="G219" i="110"/>
  <c r="G217" i="110" s="1"/>
  <c r="G216" i="110" s="1"/>
  <c r="F219" i="110"/>
  <c r="F217" i="110" s="1"/>
  <c r="E219" i="110"/>
  <c r="R218" i="110"/>
  <c r="M218" i="110"/>
  <c r="H218" i="110"/>
  <c r="Q217" i="110"/>
  <c r="L217" i="110"/>
  <c r="E217" i="110"/>
  <c r="E216" i="110" s="1"/>
  <c r="O216" i="110"/>
  <c r="R215" i="110"/>
  <c r="M215" i="110"/>
  <c r="H215" i="110"/>
  <c r="R214" i="110"/>
  <c r="M214" i="110"/>
  <c r="H214" i="110"/>
  <c r="Q213" i="110"/>
  <c r="P213" i="110"/>
  <c r="O213" i="110"/>
  <c r="R213" i="110" s="1"/>
  <c r="L213" i="110"/>
  <c r="K213" i="110"/>
  <c r="J213" i="110"/>
  <c r="G213" i="110"/>
  <c r="F213" i="110"/>
  <c r="E213" i="110"/>
  <c r="R212" i="110"/>
  <c r="M212" i="110"/>
  <c r="H212" i="110"/>
  <c r="R211" i="110"/>
  <c r="M211" i="110"/>
  <c r="H211" i="110"/>
  <c r="Q210" i="110"/>
  <c r="P210" i="110"/>
  <c r="O210" i="110"/>
  <c r="L210" i="110"/>
  <c r="K210" i="110"/>
  <c r="J210" i="110"/>
  <c r="G210" i="110"/>
  <c r="F210" i="110"/>
  <c r="E210" i="110"/>
  <c r="R209" i="110"/>
  <c r="M209" i="110"/>
  <c r="H209" i="110"/>
  <c r="R208" i="110"/>
  <c r="M208" i="110"/>
  <c r="H208" i="110"/>
  <c r="R207" i="110"/>
  <c r="M207" i="110"/>
  <c r="H207" i="110"/>
  <c r="R206" i="110"/>
  <c r="M206" i="110"/>
  <c r="H206" i="110"/>
  <c r="Q205" i="110"/>
  <c r="P205" i="110"/>
  <c r="O205" i="110"/>
  <c r="R205" i="110" s="1"/>
  <c r="L205" i="110"/>
  <c r="K205" i="110"/>
  <c r="J205" i="110"/>
  <c r="G205" i="110"/>
  <c r="F205" i="110"/>
  <c r="E205" i="110"/>
  <c r="E204" i="110"/>
  <c r="R202" i="110"/>
  <c r="M202" i="110"/>
  <c r="H202" i="110"/>
  <c r="R201" i="110"/>
  <c r="M201" i="110"/>
  <c r="H201" i="110"/>
  <c r="Q200" i="110"/>
  <c r="P200" i="110"/>
  <c r="O200" i="110"/>
  <c r="L200" i="110"/>
  <c r="K200" i="110"/>
  <c r="J200" i="110"/>
  <c r="M200" i="110" s="1"/>
  <c r="G200" i="110"/>
  <c r="F200" i="110"/>
  <c r="E200" i="110"/>
  <c r="R199" i="110"/>
  <c r="M199" i="110"/>
  <c r="H199" i="110"/>
  <c r="R198" i="110"/>
  <c r="M198" i="110"/>
  <c r="H198" i="110"/>
  <c r="R197" i="110"/>
  <c r="M197" i="110"/>
  <c r="H197" i="110"/>
  <c r="R196" i="110"/>
  <c r="M196" i="110"/>
  <c r="H196" i="110"/>
  <c r="Q195" i="110"/>
  <c r="Q194" i="110" s="1"/>
  <c r="P195" i="110"/>
  <c r="P194" i="110" s="1"/>
  <c r="O195" i="110"/>
  <c r="L195" i="110"/>
  <c r="L194" i="110" s="1"/>
  <c r="K195" i="110"/>
  <c r="K194" i="110" s="1"/>
  <c r="J195" i="110"/>
  <c r="G195" i="110"/>
  <c r="G194" i="110" s="1"/>
  <c r="F195" i="110"/>
  <c r="E195" i="110"/>
  <c r="C195" i="110"/>
  <c r="F194" i="110"/>
  <c r="C194" i="110"/>
  <c r="R193" i="110"/>
  <c r="M193" i="110"/>
  <c r="H193" i="110"/>
  <c r="R192" i="110"/>
  <c r="M192" i="110"/>
  <c r="H192" i="110"/>
  <c r="R191" i="110"/>
  <c r="M191" i="110"/>
  <c r="H191" i="110"/>
  <c r="Q190" i="110"/>
  <c r="P190" i="110"/>
  <c r="O190" i="110"/>
  <c r="O189" i="110" s="1"/>
  <c r="L190" i="110"/>
  <c r="K190" i="110"/>
  <c r="J190" i="110"/>
  <c r="J189" i="110" s="1"/>
  <c r="G190" i="110"/>
  <c r="G189" i="110" s="1"/>
  <c r="F190" i="110"/>
  <c r="E190" i="110"/>
  <c r="Q189" i="110"/>
  <c r="L189" i="110"/>
  <c r="K189" i="110"/>
  <c r="K182" i="110" s="1"/>
  <c r="K178" i="110" s="1"/>
  <c r="F189" i="110"/>
  <c r="E189" i="110"/>
  <c r="R188" i="110"/>
  <c r="M188" i="110"/>
  <c r="H188" i="110"/>
  <c r="R187" i="110"/>
  <c r="M187" i="110"/>
  <c r="H187" i="110"/>
  <c r="R186" i="110"/>
  <c r="M186" i="110"/>
  <c r="H186" i="110"/>
  <c r="Q185" i="110"/>
  <c r="P185" i="110"/>
  <c r="O185" i="110"/>
  <c r="L185" i="110"/>
  <c r="L184" i="110" s="1"/>
  <c r="K185" i="110"/>
  <c r="J185" i="110"/>
  <c r="G185" i="110"/>
  <c r="G184" i="110" s="1"/>
  <c r="G183" i="110" s="1"/>
  <c r="F185" i="110"/>
  <c r="E185" i="110"/>
  <c r="Q184" i="110"/>
  <c r="Q183" i="110" s="1"/>
  <c r="Q182" i="110" s="1"/>
  <c r="Q178" i="110" s="1"/>
  <c r="P184" i="110"/>
  <c r="P183" i="110" s="1"/>
  <c r="K184" i="110"/>
  <c r="F184" i="110"/>
  <c r="F183" i="110" s="1"/>
  <c r="E184" i="110"/>
  <c r="L183" i="110"/>
  <c r="K183" i="110"/>
  <c r="L182" i="110"/>
  <c r="L178" i="110" s="1"/>
  <c r="R181" i="110"/>
  <c r="M181" i="110"/>
  <c r="H181" i="110"/>
  <c r="R180" i="110"/>
  <c r="M180" i="110"/>
  <c r="H180" i="110"/>
  <c r="R179" i="110"/>
  <c r="M179" i="110"/>
  <c r="H179" i="110"/>
  <c r="R177" i="110"/>
  <c r="M177" i="110"/>
  <c r="H177" i="110"/>
  <c r="R176" i="110"/>
  <c r="M176" i="110"/>
  <c r="H176" i="110"/>
  <c r="R175" i="110"/>
  <c r="M175" i="110"/>
  <c r="H175" i="110"/>
  <c r="R174" i="110"/>
  <c r="M174" i="110"/>
  <c r="H174" i="110"/>
  <c r="Q173" i="110"/>
  <c r="P173" i="110"/>
  <c r="P165" i="110" s="1"/>
  <c r="O173" i="110"/>
  <c r="L173" i="110"/>
  <c r="K173" i="110"/>
  <c r="J173" i="110"/>
  <c r="G173" i="110"/>
  <c r="F173" i="110"/>
  <c r="E173" i="110"/>
  <c r="R172" i="110"/>
  <c r="M172" i="110"/>
  <c r="H172" i="110"/>
  <c r="R171" i="110"/>
  <c r="M171" i="110"/>
  <c r="H171" i="110"/>
  <c r="R170" i="110"/>
  <c r="M170" i="110"/>
  <c r="H170" i="110"/>
  <c r="Q169" i="110"/>
  <c r="P169" i="110"/>
  <c r="O169" i="110"/>
  <c r="L169" i="110"/>
  <c r="K169" i="110"/>
  <c r="J169" i="110"/>
  <c r="G169" i="110"/>
  <c r="G165" i="110" s="1"/>
  <c r="F169" i="110"/>
  <c r="E169" i="110"/>
  <c r="R168" i="110"/>
  <c r="M168" i="110"/>
  <c r="H168" i="110"/>
  <c r="R167" i="110"/>
  <c r="M167" i="110"/>
  <c r="H167" i="110"/>
  <c r="Q166" i="110"/>
  <c r="Q165" i="110" s="1"/>
  <c r="P166" i="110"/>
  <c r="O166" i="110"/>
  <c r="L166" i="110"/>
  <c r="K166" i="110"/>
  <c r="J166" i="110"/>
  <c r="G166" i="110"/>
  <c r="F166" i="110"/>
  <c r="E166" i="110"/>
  <c r="R163" i="110"/>
  <c r="M163" i="110"/>
  <c r="H163" i="110"/>
  <c r="R162" i="110"/>
  <c r="M162" i="110"/>
  <c r="H162" i="110"/>
  <c r="R161" i="110"/>
  <c r="M161" i="110"/>
  <c r="H161" i="110"/>
  <c r="R160" i="110"/>
  <c r="Q160" i="110"/>
  <c r="P160" i="110"/>
  <c r="O160" i="110"/>
  <c r="M160" i="110"/>
  <c r="L160" i="110"/>
  <c r="K160" i="110"/>
  <c r="J160" i="110"/>
  <c r="H160" i="110"/>
  <c r="G160" i="110"/>
  <c r="F160" i="110"/>
  <c r="E160" i="110"/>
  <c r="R159" i="110"/>
  <c r="M159" i="110"/>
  <c r="H159" i="110"/>
  <c r="R158" i="110"/>
  <c r="M158" i="110"/>
  <c r="H158" i="110"/>
  <c r="R157" i="110"/>
  <c r="M157" i="110"/>
  <c r="H157" i="110"/>
  <c r="Q156" i="110"/>
  <c r="P156" i="110"/>
  <c r="O156" i="110"/>
  <c r="L156" i="110"/>
  <c r="K156" i="110"/>
  <c r="J156" i="110"/>
  <c r="G156" i="110"/>
  <c r="F156" i="110"/>
  <c r="E156" i="110"/>
  <c r="R155" i="110"/>
  <c r="M155" i="110"/>
  <c r="H155" i="110"/>
  <c r="R154" i="110"/>
  <c r="M154" i="110"/>
  <c r="H154" i="110"/>
  <c r="R153" i="110"/>
  <c r="M153" i="110"/>
  <c r="H153" i="110"/>
  <c r="Q152" i="110"/>
  <c r="P152" i="110"/>
  <c r="P150" i="110" s="1"/>
  <c r="P149" i="110" s="1"/>
  <c r="P147" i="110" s="1"/>
  <c r="O152" i="110"/>
  <c r="L152" i="110"/>
  <c r="K152" i="110"/>
  <c r="K150" i="110" s="1"/>
  <c r="K149" i="110" s="1"/>
  <c r="K147" i="110" s="1"/>
  <c r="J152" i="110"/>
  <c r="J150" i="110" s="1"/>
  <c r="G152" i="110"/>
  <c r="F152" i="110"/>
  <c r="F150" i="110" s="1"/>
  <c r="E152" i="110"/>
  <c r="R151" i="110"/>
  <c r="M151" i="110"/>
  <c r="H151" i="110"/>
  <c r="Q150" i="110"/>
  <c r="O150" i="110"/>
  <c r="L150" i="110"/>
  <c r="G150" i="110"/>
  <c r="E150" i="110"/>
  <c r="R148" i="110"/>
  <c r="M148" i="110"/>
  <c r="H148" i="110"/>
  <c r="R146" i="110"/>
  <c r="M146" i="110"/>
  <c r="H146" i="110"/>
  <c r="R145" i="110"/>
  <c r="M145" i="110"/>
  <c r="H145" i="110"/>
  <c r="R144" i="110"/>
  <c r="M144" i="110"/>
  <c r="H144" i="110"/>
  <c r="Q143" i="110"/>
  <c r="P143" i="110"/>
  <c r="O143" i="110"/>
  <c r="L143" i="110"/>
  <c r="K143" i="110"/>
  <c r="J143" i="110"/>
  <c r="G143" i="110"/>
  <c r="F143" i="110"/>
  <c r="E143" i="110"/>
  <c r="R142" i="110"/>
  <c r="M142" i="110"/>
  <c r="H142" i="110"/>
  <c r="R141" i="110"/>
  <c r="M141" i="110"/>
  <c r="H141" i="110"/>
  <c r="R140" i="110"/>
  <c r="M140" i="110"/>
  <c r="H140" i="110"/>
  <c r="Q139" i="110"/>
  <c r="P139" i="110"/>
  <c r="O139" i="110"/>
  <c r="L139" i="110"/>
  <c r="J139" i="110"/>
  <c r="M139" i="110" s="1"/>
  <c r="G139" i="110"/>
  <c r="F139" i="110"/>
  <c r="E139" i="110"/>
  <c r="R138" i="110"/>
  <c r="M138" i="110"/>
  <c r="H138" i="110"/>
  <c r="R137" i="110"/>
  <c r="M137" i="110"/>
  <c r="H137" i="110"/>
  <c r="R136" i="110"/>
  <c r="M136" i="110"/>
  <c r="H136" i="110"/>
  <c r="Q135" i="110"/>
  <c r="P135" i="110"/>
  <c r="P133" i="110" s="1"/>
  <c r="P132" i="110" s="1"/>
  <c r="O135" i="110"/>
  <c r="M135" i="110"/>
  <c r="J135" i="110"/>
  <c r="G135" i="110"/>
  <c r="F135" i="110"/>
  <c r="F133" i="110" s="1"/>
  <c r="F132" i="110" s="1"/>
  <c r="E135" i="110"/>
  <c r="R134" i="110"/>
  <c r="M134" i="110"/>
  <c r="H134" i="110"/>
  <c r="Q133" i="110"/>
  <c r="Q132" i="110" s="1"/>
  <c r="J133" i="110"/>
  <c r="G133" i="110"/>
  <c r="G132" i="110" s="1"/>
  <c r="E133" i="110"/>
  <c r="R131" i="110"/>
  <c r="M131" i="110"/>
  <c r="H131" i="110"/>
  <c r="R130" i="110"/>
  <c r="M130" i="110"/>
  <c r="H130" i="110"/>
  <c r="Q129" i="110"/>
  <c r="P129" i="110"/>
  <c r="O129" i="110"/>
  <c r="L129" i="110"/>
  <c r="M129" i="110" s="1"/>
  <c r="J129" i="110"/>
  <c r="G129" i="110"/>
  <c r="F129" i="110"/>
  <c r="H129" i="110" s="1"/>
  <c r="E129" i="110"/>
  <c r="R128" i="110"/>
  <c r="M128" i="110"/>
  <c r="H128" i="110"/>
  <c r="P127" i="110"/>
  <c r="K127" i="110"/>
  <c r="F127" i="110"/>
  <c r="Q126" i="110"/>
  <c r="O126" i="110"/>
  <c r="L126" i="110"/>
  <c r="J126" i="110"/>
  <c r="G126" i="110"/>
  <c r="E126" i="110"/>
  <c r="R125" i="110"/>
  <c r="M125" i="110"/>
  <c r="H125" i="110"/>
  <c r="R124" i="110"/>
  <c r="P124" i="110"/>
  <c r="K124" i="110"/>
  <c r="M124" i="110" s="1"/>
  <c r="H124" i="110"/>
  <c r="F124" i="110"/>
  <c r="P123" i="110"/>
  <c r="R123" i="110" s="1"/>
  <c r="M123" i="110"/>
  <c r="K123" i="110"/>
  <c r="F123" i="110"/>
  <c r="H123" i="110" s="1"/>
  <c r="R122" i="110"/>
  <c r="P122" i="110"/>
  <c r="K122" i="110"/>
  <c r="H122" i="110"/>
  <c r="F122" i="110"/>
  <c r="Q121" i="110"/>
  <c r="P121" i="110"/>
  <c r="O121" i="110"/>
  <c r="L121" i="110"/>
  <c r="J121" i="110"/>
  <c r="G121" i="110"/>
  <c r="F121" i="110"/>
  <c r="E121" i="110"/>
  <c r="R118" i="110"/>
  <c r="M118" i="110"/>
  <c r="H118" i="110"/>
  <c r="P117" i="110"/>
  <c r="R117" i="110" s="1"/>
  <c r="K117" i="110"/>
  <c r="K116" i="110" s="1"/>
  <c r="H117" i="110"/>
  <c r="F117" i="110"/>
  <c r="Q116" i="110"/>
  <c r="P116" i="110"/>
  <c r="R116" i="110" s="1"/>
  <c r="O116" i="110"/>
  <c r="J116" i="110"/>
  <c r="G116" i="110"/>
  <c r="F116" i="110"/>
  <c r="E116" i="110"/>
  <c r="R115" i="110"/>
  <c r="M115" i="110"/>
  <c r="H115" i="110"/>
  <c r="R114" i="110"/>
  <c r="M114" i="110"/>
  <c r="H114" i="110"/>
  <c r="R113" i="110"/>
  <c r="M113" i="110"/>
  <c r="H113" i="110"/>
  <c r="R112" i="110"/>
  <c r="M112" i="110"/>
  <c r="H112" i="110"/>
  <c r="Q111" i="110"/>
  <c r="Q110" i="110" s="1"/>
  <c r="P111" i="110"/>
  <c r="P110" i="110" s="1"/>
  <c r="O111" i="110"/>
  <c r="O110" i="110" s="1"/>
  <c r="L111" i="110"/>
  <c r="K111" i="110"/>
  <c r="K110" i="110" s="1"/>
  <c r="J111" i="110"/>
  <c r="J110" i="110" s="1"/>
  <c r="G111" i="110"/>
  <c r="F111" i="110"/>
  <c r="F110" i="110" s="1"/>
  <c r="E111" i="110"/>
  <c r="E110" i="110" s="1"/>
  <c r="C111" i="110"/>
  <c r="C110" i="110" s="1"/>
  <c r="L110" i="110"/>
  <c r="G110" i="110"/>
  <c r="R109" i="110"/>
  <c r="M109" i="110"/>
  <c r="H109" i="110"/>
  <c r="R108" i="110"/>
  <c r="M108" i="110"/>
  <c r="H108" i="110"/>
  <c r="R107" i="110"/>
  <c r="M107" i="110"/>
  <c r="H107" i="110"/>
  <c r="Q106" i="110"/>
  <c r="Q105" i="110" s="1"/>
  <c r="Q98" i="110" s="1"/>
  <c r="Q94" i="110" s="1"/>
  <c r="P106" i="110"/>
  <c r="P105" i="110" s="1"/>
  <c r="O106" i="110"/>
  <c r="L106" i="110"/>
  <c r="L105" i="110" s="1"/>
  <c r="L98" i="110" s="1"/>
  <c r="K106" i="110"/>
  <c r="J106" i="110"/>
  <c r="G106" i="110"/>
  <c r="F106" i="110"/>
  <c r="F105" i="110" s="1"/>
  <c r="E106" i="110"/>
  <c r="E105" i="110" s="1"/>
  <c r="O105" i="110"/>
  <c r="K105" i="110"/>
  <c r="G105" i="110"/>
  <c r="G98" i="110" s="1"/>
  <c r="R104" i="110"/>
  <c r="M104" i="110"/>
  <c r="H104" i="110"/>
  <c r="R103" i="110"/>
  <c r="M103" i="110"/>
  <c r="H103" i="110"/>
  <c r="R102" i="110"/>
  <c r="M102" i="110"/>
  <c r="H102" i="110"/>
  <c r="Q101" i="110"/>
  <c r="P101" i="110"/>
  <c r="O101" i="110"/>
  <c r="R101" i="110" s="1"/>
  <c r="L101" i="110"/>
  <c r="K101" i="110"/>
  <c r="J101" i="110"/>
  <c r="M101" i="110" s="1"/>
  <c r="G101" i="110"/>
  <c r="F101" i="110"/>
  <c r="E101" i="110"/>
  <c r="H101" i="110" s="1"/>
  <c r="Q100" i="110"/>
  <c r="P100" i="110"/>
  <c r="L100" i="110"/>
  <c r="K100" i="110"/>
  <c r="J100" i="110"/>
  <c r="M100" i="110" s="1"/>
  <c r="G100" i="110"/>
  <c r="F100" i="110"/>
  <c r="E100" i="110"/>
  <c r="H100" i="110" s="1"/>
  <c r="Q99" i="110"/>
  <c r="P99" i="110"/>
  <c r="L99" i="110"/>
  <c r="K99" i="110"/>
  <c r="G99" i="110"/>
  <c r="F99" i="110"/>
  <c r="E99" i="110"/>
  <c r="H99" i="110" s="1"/>
  <c r="R97" i="110"/>
  <c r="M97" i="110"/>
  <c r="H97" i="110"/>
  <c r="R96" i="110"/>
  <c r="M96" i="110"/>
  <c r="H96" i="110"/>
  <c r="R95" i="110"/>
  <c r="M95" i="110"/>
  <c r="H95" i="110"/>
  <c r="R93" i="110"/>
  <c r="M93" i="110"/>
  <c r="H93" i="110"/>
  <c r="R92" i="110"/>
  <c r="M92" i="110"/>
  <c r="H92" i="110"/>
  <c r="R91" i="110"/>
  <c r="M91" i="110"/>
  <c r="H91" i="110"/>
  <c r="R90" i="110"/>
  <c r="M90" i="110"/>
  <c r="H90" i="110"/>
  <c r="Q89" i="110"/>
  <c r="P89" i="110"/>
  <c r="O89" i="110"/>
  <c r="R89" i="110" s="1"/>
  <c r="L89" i="110"/>
  <c r="K89" i="110"/>
  <c r="J89" i="110"/>
  <c r="G89" i="110"/>
  <c r="F89" i="110"/>
  <c r="E89" i="110"/>
  <c r="R88" i="110"/>
  <c r="M88" i="110"/>
  <c r="H88" i="110"/>
  <c r="R87" i="110"/>
  <c r="M87" i="110"/>
  <c r="H87" i="110"/>
  <c r="R86" i="110"/>
  <c r="M86" i="110"/>
  <c r="H86" i="110"/>
  <c r="R85" i="110"/>
  <c r="Q85" i="110"/>
  <c r="P85" i="110"/>
  <c r="O85" i="110"/>
  <c r="M85" i="110"/>
  <c r="L85" i="110"/>
  <c r="K85" i="110"/>
  <c r="J85" i="110"/>
  <c r="H85" i="110"/>
  <c r="G85" i="110"/>
  <c r="F85" i="110"/>
  <c r="E85" i="110"/>
  <c r="E81" i="110" s="1"/>
  <c r="R84" i="110"/>
  <c r="M84" i="110"/>
  <c r="H84" i="110"/>
  <c r="R83" i="110"/>
  <c r="M83" i="110"/>
  <c r="H83" i="110"/>
  <c r="Q82" i="110"/>
  <c r="P82" i="110"/>
  <c r="O82" i="110"/>
  <c r="L82" i="110"/>
  <c r="K82" i="110"/>
  <c r="J82" i="110"/>
  <c r="G82" i="110"/>
  <c r="F82" i="110"/>
  <c r="E82" i="110"/>
  <c r="P81" i="110"/>
  <c r="K81" i="110"/>
  <c r="F81" i="110"/>
  <c r="R79" i="110"/>
  <c r="M79" i="110"/>
  <c r="H79" i="110"/>
  <c r="R78" i="110"/>
  <c r="M78" i="110"/>
  <c r="H78" i="110"/>
  <c r="R77" i="110"/>
  <c r="M77" i="110"/>
  <c r="H77" i="110"/>
  <c r="Q76" i="110"/>
  <c r="P76" i="110"/>
  <c r="O76" i="110"/>
  <c r="L76" i="110"/>
  <c r="K76" i="110"/>
  <c r="J76" i="110"/>
  <c r="M76" i="110" s="1"/>
  <c r="G76" i="110"/>
  <c r="F76" i="110"/>
  <c r="E76" i="110"/>
  <c r="R75" i="110"/>
  <c r="M75" i="110"/>
  <c r="H75" i="110"/>
  <c r="R74" i="110"/>
  <c r="M74" i="110"/>
  <c r="H74" i="110"/>
  <c r="R73" i="110"/>
  <c r="M73" i="110"/>
  <c r="H73" i="110"/>
  <c r="Q72" i="110"/>
  <c r="P72" i="110"/>
  <c r="O72" i="110"/>
  <c r="R72" i="110" s="1"/>
  <c r="L72" i="110"/>
  <c r="K72" i="110"/>
  <c r="J72" i="110"/>
  <c r="M72" i="110" s="1"/>
  <c r="G72" i="110"/>
  <c r="F72" i="110"/>
  <c r="E72" i="110"/>
  <c r="H72" i="110" s="1"/>
  <c r="R71" i="110"/>
  <c r="M71" i="110"/>
  <c r="H71" i="110"/>
  <c r="R70" i="110"/>
  <c r="M70" i="110"/>
  <c r="H70" i="110"/>
  <c r="R69" i="110"/>
  <c r="M69" i="110"/>
  <c r="H69" i="110"/>
  <c r="Q68" i="110"/>
  <c r="Q66" i="110" s="1"/>
  <c r="P68" i="110"/>
  <c r="P66" i="110" s="1"/>
  <c r="P65" i="110" s="1"/>
  <c r="P63" i="110" s="1"/>
  <c r="O68" i="110"/>
  <c r="O66" i="110" s="1"/>
  <c r="L68" i="110"/>
  <c r="L66" i="110" s="1"/>
  <c r="L65" i="110" s="1"/>
  <c r="K68" i="110"/>
  <c r="J68" i="110"/>
  <c r="J66" i="110" s="1"/>
  <c r="J65" i="110" s="1"/>
  <c r="G68" i="110"/>
  <c r="G66" i="110" s="1"/>
  <c r="F68" i="110"/>
  <c r="F66" i="110" s="1"/>
  <c r="E68" i="110"/>
  <c r="R67" i="110"/>
  <c r="M67" i="110"/>
  <c r="H67" i="110"/>
  <c r="K66" i="110"/>
  <c r="K65" i="110" s="1"/>
  <c r="K63" i="110" s="1"/>
  <c r="E66" i="110"/>
  <c r="E65" i="110" s="1"/>
  <c r="E63" i="110" s="1"/>
  <c r="Q64" i="110"/>
  <c r="R64" i="110" s="1"/>
  <c r="L64" i="110"/>
  <c r="G64" i="110"/>
  <c r="H64" i="110" s="1"/>
  <c r="R62" i="110"/>
  <c r="M62" i="110"/>
  <c r="H62" i="110"/>
  <c r="R61" i="110"/>
  <c r="Q61" i="110"/>
  <c r="L61" i="110"/>
  <c r="H61" i="110"/>
  <c r="G61" i="110"/>
  <c r="Q60" i="110"/>
  <c r="M60" i="110"/>
  <c r="L60" i="110"/>
  <c r="G60" i="110"/>
  <c r="P59" i="110"/>
  <c r="O59" i="110"/>
  <c r="K59" i="110"/>
  <c r="J59" i="110"/>
  <c r="F59" i="110"/>
  <c r="E59" i="110"/>
  <c r="R58" i="110"/>
  <c r="Q58" i="110"/>
  <c r="L58" i="110"/>
  <c r="M58" i="110" s="1"/>
  <c r="H58" i="110"/>
  <c r="G58" i="110"/>
  <c r="Q57" i="110"/>
  <c r="R57" i="110" s="1"/>
  <c r="M57" i="110"/>
  <c r="L57" i="110"/>
  <c r="G57" i="110"/>
  <c r="H57" i="110" s="1"/>
  <c r="R56" i="110"/>
  <c r="Q56" i="110"/>
  <c r="L56" i="110"/>
  <c r="M56" i="110" s="1"/>
  <c r="H56" i="110"/>
  <c r="G56" i="110"/>
  <c r="P55" i="110"/>
  <c r="O55" i="110"/>
  <c r="K55" i="110"/>
  <c r="J55" i="110"/>
  <c r="F55" i="110"/>
  <c r="E55" i="110"/>
  <c r="R54" i="110"/>
  <c r="M54" i="110"/>
  <c r="H54" i="110"/>
  <c r="R53" i="110"/>
  <c r="M53" i="110"/>
  <c r="H53" i="110"/>
  <c r="R52" i="110"/>
  <c r="M52" i="110"/>
  <c r="H52" i="110"/>
  <c r="Q51" i="110"/>
  <c r="Q49" i="110" s="1"/>
  <c r="P51" i="110"/>
  <c r="P49" i="110" s="1"/>
  <c r="O51" i="110"/>
  <c r="L51" i="110"/>
  <c r="L49" i="110" s="1"/>
  <c r="J51" i="110"/>
  <c r="M51" i="110" s="1"/>
  <c r="G51" i="110"/>
  <c r="F51" i="110"/>
  <c r="E51" i="110"/>
  <c r="R50" i="110"/>
  <c r="M50" i="110"/>
  <c r="H50" i="110"/>
  <c r="O49" i="110"/>
  <c r="G49" i="110"/>
  <c r="F49" i="110"/>
  <c r="F48" i="110" s="1"/>
  <c r="K48" i="110"/>
  <c r="R47" i="110"/>
  <c r="Q47" i="110"/>
  <c r="M47" i="110"/>
  <c r="L47" i="110"/>
  <c r="L45" i="110" s="1"/>
  <c r="M45" i="110" s="1"/>
  <c r="H47" i="110"/>
  <c r="G47" i="110"/>
  <c r="R46" i="110"/>
  <c r="M46" i="110"/>
  <c r="H46" i="110"/>
  <c r="Q45" i="110"/>
  <c r="P45" i="110"/>
  <c r="O45" i="110"/>
  <c r="J45" i="110"/>
  <c r="G45" i="110"/>
  <c r="F45" i="110"/>
  <c r="H45" i="110" s="1"/>
  <c r="E45" i="110"/>
  <c r="Q44" i="110"/>
  <c r="R44" i="110" s="1"/>
  <c r="M44" i="110"/>
  <c r="L44" i="110"/>
  <c r="G44" i="110"/>
  <c r="H44" i="110" s="1"/>
  <c r="R43" i="110"/>
  <c r="Q43" i="110"/>
  <c r="P43" i="110"/>
  <c r="P42" i="110" s="1"/>
  <c r="L43" i="110"/>
  <c r="K43" i="110"/>
  <c r="K42" i="110" s="1"/>
  <c r="G43" i="110"/>
  <c r="F43" i="110"/>
  <c r="O42" i="110"/>
  <c r="J42" i="110"/>
  <c r="G42" i="110"/>
  <c r="E42" i="110"/>
  <c r="R41" i="110"/>
  <c r="M41" i="110"/>
  <c r="H41" i="110"/>
  <c r="Q40" i="110"/>
  <c r="O40" i="110"/>
  <c r="O37" i="110" s="1"/>
  <c r="L40" i="110"/>
  <c r="J40" i="110"/>
  <c r="G40" i="110"/>
  <c r="F40" i="110"/>
  <c r="E40" i="110"/>
  <c r="Q39" i="110"/>
  <c r="P39" i="110"/>
  <c r="L39" i="110"/>
  <c r="K39" i="110"/>
  <c r="J39" i="110"/>
  <c r="M39" i="110" s="1"/>
  <c r="G39" i="110"/>
  <c r="F39" i="110"/>
  <c r="E39" i="110"/>
  <c r="Q38" i="110"/>
  <c r="Q37" i="110" s="1"/>
  <c r="P38" i="110"/>
  <c r="L38" i="110"/>
  <c r="K38" i="110"/>
  <c r="K37" i="110" s="1"/>
  <c r="J38" i="110"/>
  <c r="J37" i="110" s="1"/>
  <c r="G38" i="110"/>
  <c r="F38" i="110"/>
  <c r="E38" i="110"/>
  <c r="E37" i="110" s="1"/>
  <c r="P37" i="110"/>
  <c r="F37" i="110"/>
  <c r="R34" i="110"/>
  <c r="M34" i="110"/>
  <c r="H34" i="110"/>
  <c r="Q33" i="110"/>
  <c r="P33" i="110"/>
  <c r="P32" i="110" s="1"/>
  <c r="K33" i="110"/>
  <c r="K32" i="110" s="1"/>
  <c r="G33" i="110"/>
  <c r="F33" i="110"/>
  <c r="F32" i="110" s="1"/>
  <c r="E33" i="110"/>
  <c r="O32" i="110"/>
  <c r="J32" i="110"/>
  <c r="G32" i="110"/>
  <c r="E32" i="110"/>
  <c r="R31" i="110"/>
  <c r="M31" i="110"/>
  <c r="H31" i="110"/>
  <c r="R30" i="110"/>
  <c r="M30" i="110"/>
  <c r="H30" i="110"/>
  <c r="R29" i="110"/>
  <c r="M29" i="110"/>
  <c r="H29" i="110"/>
  <c r="R28" i="110"/>
  <c r="M28" i="110"/>
  <c r="H28" i="110"/>
  <c r="Q27" i="110"/>
  <c r="Q26" i="110" s="1"/>
  <c r="P27" i="110"/>
  <c r="P26" i="110" s="1"/>
  <c r="O27" i="110"/>
  <c r="L27" i="110"/>
  <c r="L26" i="110" s="1"/>
  <c r="K27" i="110"/>
  <c r="K26" i="110" s="1"/>
  <c r="J27" i="110"/>
  <c r="G27" i="110"/>
  <c r="G26" i="110" s="1"/>
  <c r="F27" i="110"/>
  <c r="E27" i="110"/>
  <c r="C27" i="110"/>
  <c r="F26" i="110"/>
  <c r="C26" i="110"/>
  <c r="R25" i="110"/>
  <c r="M25" i="110"/>
  <c r="H25" i="110"/>
  <c r="R24" i="110"/>
  <c r="M24" i="110"/>
  <c r="H24" i="110"/>
  <c r="R23" i="110"/>
  <c r="M23" i="110"/>
  <c r="H23" i="110"/>
  <c r="Q22" i="110"/>
  <c r="P22" i="110"/>
  <c r="O22" i="110"/>
  <c r="O21" i="110" s="1"/>
  <c r="L22" i="110"/>
  <c r="K22" i="110"/>
  <c r="J22" i="110"/>
  <c r="J21" i="110" s="1"/>
  <c r="G22" i="110"/>
  <c r="G21" i="110" s="1"/>
  <c r="F22" i="110"/>
  <c r="E22" i="110"/>
  <c r="Q21" i="110"/>
  <c r="L21" i="110"/>
  <c r="F21" i="110"/>
  <c r="E21" i="110"/>
  <c r="E14" i="110" s="1"/>
  <c r="R20" i="110"/>
  <c r="M20" i="110"/>
  <c r="H20" i="110"/>
  <c r="R19" i="110"/>
  <c r="M19" i="110"/>
  <c r="H19" i="110"/>
  <c r="Q18" i="110"/>
  <c r="Q17" i="110" s="1"/>
  <c r="Q16" i="110" s="1"/>
  <c r="Q15" i="110" s="1"/>
  <c r="Q14" i="110" s="1"/>
  <c r="M18" i="110"/>
  <c r="L18" i="110"/>
  <c r="G18" i="110"/>
  <c r="G17" i="110" s="1"/>
  <c r="G16" i="110" s="1"/>
  <c r="G15" i="110" s="1"/>
  <c r="P17" i="110"/>
  <c r="O17" i="110"/>
  <c r="L17" i="110"/>
  <c r="L16" i="110" s="1"/>
  <c r="L15" i="110" s="1"/>
  <c r="L14" i="110" s="1"/>
  <c r="K17" i="110"/>
  <c r="K16" i="110" s="1"/>
  <c r="M16" i="110" s="1"/>
  <c r="J17" i="110"/>
  <c r="F17" i="110"/>
  <c r="H17" i="110" s="1"/>
  <c r="E17" i="110"/>
  <c r="P16" i="110"/>
  <c r="P15" i="110" s="1"/>
  <c r="O16" i="110"/>
  <c r="J16" i="110"/>
  <c r="F16" i="110"/>
  <c r="F15" i="110" s="1"/>
  <c r="E16" i="110"/>
  <c r="J15" i="110"/>
  <c r="J14" i="110" s="1"/>
  <c r="E15" i="110"/>
  <c r="R13" i="110"/>
  <c r="M13" i="110"/>
  <c r="H13" i="110"/>
  <c r="O12" i="110"/>
  <c r="J12" i="110"/>
  <c r="E12" i="110"/>
  <c r="R11" i="110"/>
  <c r="M11" i="110"/>
  <c r="H11" i="110"/>
  <c r="F42" i="110" l="1"/>
  <c r="H43" i="110"/>
  <c r="G81" i="110"/>
  <c r="M150" i="110"/>
  <c r="J149" i="110"/>
  <c r="J147" i="110" s="1"/>
  <c r="M147" i="110" s="1"/>
  <c r="G14" i="110"/>
  <c r="G10" i="110" s="1"/>
  <c r="R22" i="110"/>
  <c r="P21" i="110"/>
  <c r="R21" i="110" s="1"/>
  <c r="H59" i="110"/>
  <c r="M61" i="110"/>
  <c r="L59" i="110"/>
  <c r="R16" i="110"/>
  <c r="O15" i="110"/>
  <c r="O14" i="110" s="1"/>
  <c r="O10" i="110" s="1"/>
  <c r="M17" i="110"/>
  <c r="H18" i="110"/>
  <c r="R18" i="110"/>
  <c r="H21" i="110"/>
  <c r="M22" i="110"/>
  <c r="R33" i="110"/>
  <c r="Q32" i="110"/>
  <c r="Q10" i="110" s="1"/>
  <c r="Q59" i="110"/>
  <c r="R59" i="110" s="1"/>
  <c r="R60" i="110"/>
  <c r="M122" i="110"/>
  <c r="K121" i="110"/>
  <c r="K21" i="110"/>
  <c r="M21" i="110" s="1"/>
  <c r="Q42" i="110"/>
  <c r="Q36" i="110" s="1"/>
  <c r="M43" i="110"/>
  <c r="E49" i="110"/>
  <c r="E48" i="110" s="1"/>
  <c r="H51" i="110"/>
  <c r="M59" i="110"/>
  <c r="H60" i="110"/>
  <c r="G59" i="110"/>
  <c r="O65" i="110"/>
  <c r="R66" i="110"/>
  <c r="J99" i="110"/>
  <c r="M99" i="110" s="1"/>
  <c r="O100" i="110"/>
  <c r="R135" i="110"/>
  <c r="O133" i="110"/>
  <c r="O132" i="110" s="1"/>
  <c r="R132" i="110" s="1"/>
  <c r="G182" i="110"/>
  <c r="G178" i="110" s="1"/>
  <c r="R185" i="110"/>
  <c r="O184" i="110"/>
  <c r="R190" i="110"/>
  <c r="P189" i="110"/>
  <c r="P182" i="110" s="1"/>
  <c r="P178" i="110" s="1"/>
  <c r="P248" i="110" s="1"/>
  <c r="L216" i="110"/>
  <c r="H81" i="110"/>
  <c r="O81" i="110"/>
  <c r="F98" i="110"/>
  <c r="F94" i="110" s="1"/>
  <c r="P98" i="110"/>
  <c r="P94" i="110" s="1"/>
  <c r="K165" i="110"/>
  <c r="F182" i="110"/>
  <c r="F178" i="110" s="1"/>
  <c r="M190" i="110"/>
  <c r="K233" i="110"/>
  <c r="K231" i="110" s="1"/>
  <c r="R253" i="110"/>
  <c r="H22" i="110"/>
  <c r="H37" i="110"/>
  <c r="H38" i="110"/>
  <c r="H40" i="110"/>
  <c r="G55" i="110"/>
  <c r="Q55" i="110"/>
  <c r="Q48" i="110" s="1"/>
  <c r="L55" i="110"/>
  <c r="L48" i="110" s="1"/>
  <c r="M82" i="110"/>
  <c r="Q81" i="110"/>
  <c r="R106" i="110"/>
  <c r="H143" i="110"/>
  <c r="F149" i="110"/>
  <c r="F147" i="110" s="1"/>
  <c r="R166" i="110"/>
  <c r="M169" i="110"/>
  <c r="F165" i="110"/>
  <c r="H190" i="110"/>
  <c r="O204" i="110"/>
  <c r="R204" i="110" s="1"/>
  <c r="M205" i="110"/>
  <c r="R210" i="110"/>
  <c r="M213" i="110"/>
  <c r="Q216" i="110"/>
  <c r="Q233" i="110"/>
  <c r="Q231" i="110" s="1"/>
  <c r="H244" i="110"/>
  <c r="M253" i="110"/>
  <c r="G249" i="110"/>
  <c r="R55" i="110"/>
  <c r="R82" i="110"/>
  <c r="J81" i="110"/>
  <c r="K98" i="110"/>
  <c r="K94" i="110" s="1"/>
  <c r="G149" i="110"/>
  <c r="G147" i="110" s="1"/>
  <c r="L165" i="110"/>
  <c r="H240" i="110"/>
  <c r="R17" i="110"/>
  <c r="R39" i="110"/>
  <c r="G37" i="110"/>
  <c r="P48" i="110"/>
  <c r="P36" i="110" s="1"/>
  <c r="P35" i="110" s="1"/>
  <c r="R76" i="110"/>
  <c r="H82" i="110"/>
  <c r="L81" i="110"/>
  <c r="G94" i="110"/>
  <c r="H116" i="110"/>
  <c r="R139" i="110"/>
  <c r="L132" i="110"/>
  <c r="L149" i="110"/>
  <c r="L147" i="110" s="1"/>
  <c r="H156" i="110"/>
  <c r="Q149" i="110"/>
  <c r="Q147" i="110" s="1"/>
  <c r="R200" i="110"/>
  <c r="R240" i="110"/>
  <c r="H253" i="110"/>
  <c r="P14" i="110"/>
  <c r="K36" i="110"/>
  <c r="K35" i="110" s="1"/>
  <c r="M37" i="110"/>
  <c r="H15" i="110"/>
  <c r="F14" i="110"/>
  <c r="H27" i="110"/>
  <c r="E26" i="110"/>
  <c r="H26" i="110" s="1"/>
  <c r="J63" i="110"/>
  <c r="M65" i="110"/>
  <c r="H12" i="110"/>
  <c r="E10" i="110"/>
  <c r="K15" i="110"/>
  <c r="H16" i="110"/>
  <c r="H32" i="110"/>
  <c r="H33" i="110"/>
  <c r="F36" i="110"/>
  <c r="H39" i="110"/>
  <c r="R45" i="110"/>
  <c r="O63" i="110"/>
  <c r="M81" i="110"/>
  <c r="J10" i="110"/>
  <c r="M12" i="110"/>
  <c r="R27" i="110"/>
  <c r="O26" i="110"/>
  <c r="R26" i="110" s="1"/>
  <c r="R32" i="110"/>
  <c r="R37" i="110"/>
  <c r="M38" i="110"/>
  <c r="R40" i="110"/>
  <c r="E36" i="110"/>
  <c r="H42" i="110"/>
  <c r="L42" i="110"/>
  <c r="M42" i="110" s="1"/>
  <c r="R51" i="110"/>
  <c r="M66" i="110"/>
  <c r="R12" i="110"/>
  <c r="M27" i="110"/>
  <c r="J26" i="110"/>
  <c r="M26" i="110" s="1"/>
  <c r="R38" i="110"/>
  <c r="M40" i="110"/>
  <c r="L37" i="110"/>
  <c r="R42" i="110"/>
  <c r="R49" i="110"/>
  <c r="O48" i="110"/>
  <c r="M64" i="110"/>
  <c r="L63" i="110"/>
  <c r="H66" i="110"/>
  <c r="F65" i="110"/>
  <c r="M68" i="110"/>
  <c r="H76" i="110"/>
  <c r="M89" i="110"/>
  <c r="H105" i="110"/>
  <c r="E98" i="110"/>
  <c r="M106" i="110"/>
  <c r="H121" i="110"/>
  <c r="M121" i="110"/>
  <c r="R121" i="110"/>
  <c r="H127" i="110"/>
  <c r="F126" i="110"/>
  <c r="F120" i="110" s="1"/>
  <c r="F119" i="110" s="1"/>
  <c r="R129" i="110"/>
  <c r="R133" i="110"/>
  <c r="H135" i="110"/>
  <c r="H139" i="110"/>
  <c r="M143" i="110"/>
  <c r="H150" i="110"/>
  <c r="R150" i="110"/>
  <c r="H152" i="110"/>
  <c r="M152" i="110"/>
  <c r="R152" i="110"/>
  <c r="R156" i="110"/>
  <c r="R169" i="110"/>
  <c r="O165" i="110"/>
  <c r="R165" i="110" s="1"/>
  <c r="F249" i="110"/>
  <c r="K249" i="110"/>
  <c r="P249" i="110"/>
  <c r="R257" i="110"/>
  <c r="O249" i="110"/>
  <c r="J49" i="110"/>
  <c r="H68" i="110"/>
  <c r="Q65" i="110"/>
  <c r="Q63" i="110" s="1"/>
  <c r="H89" i="110"/>
  <c r="H106" i="110"/>
  <c r="M110" i="110"/>
  <c r="H111" i="110"/>
  <c r="M111" i="110"/>
  <c r="R111" i="110"/>
  <c r="L120" i="110"/>
  <c r="L119" i="110" s="1"/>
  <c r="L117" i="110" s="1"/>
  <c r="M117" i="110" s="1"/>
  <c r="M127" i="110"/>
  <c r="K126" i="110"/>
  <c r="E132" i="110"/>
  <c r="H132" i="110" s="1"/>
  <c r="E149" i="110"/>
  <c r="H184" i="110"/>
  <c r="E183" i="110"/>
  <c r="R184" i="110"/>
  <c r="O183" i="110"/>
  <c r="H189" i="110"/>
  <c r="M189" i="110"/>
  <c r="R195" i="110"/>
  <c r="O194" i="110"/>
  <c r="R194" i="110" s="1"/>
  <c r="H205" i="110"/>
  <c r="Q204" i="110"/>
  <c r="M210" i="110"/>
  <c r="H213" i="110"/>
  <c r="O234" i="110"/>
  <c r="R236" i="110"/>
  <c r="R105" i="110"/>
  <c r="R126" i="110"/>
  <c r="R127" i="110"/>
  <c r="P126" i="110"/>
  <c r="P120" i="110" s="1"/>
  <c r="P119" i="110" s="1"/>
  <c r="P164" i="110" s="1"/>
  <c r="M149" i="110"/>
  <c r="M166" i="110"/>
  <c r="J165" i="110"/>
  <c r="M165" i="110" s="1"/>
  <c r="H169" i="110"/>
  <c r="E165" i="110"/>
  <c r="H165" i="110" s="1"/>
  <c r="H257" i="110"/>
  <c r="E249" i="110"/>
  <c r="G65" i="110"/>
  <c r="G63" i="110" s="1"/>
  <c r="R68" i="110"/>
  <c r="J105" i="110"/>
  <c r="H110" i="110"/>
  <c r="R110" i="110"/>
  <c r="G120" i="110"/>
  <c r="G119" i="110" s="1"/>
  <c r="G164" i="110" s="1"/>
  <c r="Q120" i="110"/>
  <c r="O149" i="110"/>
  <c r="M185" i="110"/>
  <c r="J184" i="110"/>
  <c r="H195" i="110"/>
  <c r="E194" i="110"/>
  <c r="H194" i="110" s="1"/>
  <c r="G204" i="110"/>
  <c r="G203" i="110" s="1"/>
  <c r="L204" i="110"/>
  <c r="M223" i="110"/>
  <c r="E234" i="110"/>
  <c r="H236" i="110"/>
  <c r="H133" i="110"/>
  <c r="R143" i="110"/>
  <c r="M156" i="110"/>
  <c r="H166" i="110"/>
  <c r="H173" i="110"/>
  <c r="M173" i="110"/>
  <c r="R173" i="110"/>
  <c r="H185" i="110"/>
  <c r="H200" i="110"/>
  <c r="H210" i="110"/>
  <c r="H217" i="110"/>
  <c r="R217" i="110"/>
  <c r="H219" i="110"/>
  <c r="M219" i="110"/>
  <c r="R219" i="110"/>
  <c r="R223" i="110"/>
  <c r="J234" i="110"/>
  <c r="M236" i="110"/>
  <c r="M257" i="110"/>
  <c r="J249" i="110"/>
  <c r="M133" i="110"/>
  <c r="J132" i="110"/>
  <c r="M132" i="110" s="1"/>
  <c r="M195" i="110"/>
  <c r="J194" i="110"/>
  <c r="M194" i="110" s="1"/>
  <c r="M217" i="110"/>
  <c r="F216" i="110"/>
  <c r="F204" i="110" s="1"/>
  <c r="F203" i="110" s="1"/>
  <c r="F248" i="110" s="1"/>
  <c r="K216" i="110"/>
  <c r="K204" i="110" s="1"/>
  <c r="K203" i="110" s="1"/>
  <c r="K248" i="110" s="1"/>
  <c r="P216" i="110"/>
  <c r="P204" i="110" s="1"/>
  <c r="P203" i="110" s="1"/>
  <c r="L233" i="110"/>
  <c r="L231" i="110" s="1"/>
  <c r="Q203" i="110" l="1"/>
  <c r="Q248" i="110" s="1"/>
  <c r="G48" i="110"/>
  <c r="H48" i="110" s="1"/>
  <c r="H55" i="110"/>
  <c r="R81" i="110"/>
  <c r="E120" i="110"/>
  <c r="K120" i="110"/>
  <c r="K119" i="110" s="1"/>
  <c r="K164" i="110" s="1"/>
  <c r="F164" i="110"/>
  <c r="R48" i="110"/>
  <c r="H49" i="110"/>
  <c r="O36" i="110"/>
  <c r="R15" i="110"/>
  <c r="M55" i="110"/>
  <c r="M204" i="110"/>
  <c r="R189" i="110"/>
  <c r="M249" i="110"/>
  <c r="G248" i="110"/>
  <c r="Q119" i="110"/>
  <c r="Q164" i="110" s="1"/>
  <c r="Q35" i="110"/>
  <c r="G36" i="110"/>
  <c r="G35" i="110" s="1"/>
  <c r="G80" i="110" s="1"/>
  <c r="R100" i="110"/>
  <c r="O99" i="110"/>
  <c r="R216" i="110"/>
  <c r="M184" i="110"/>
  <c r="J183" i="110"/>
  <c r="R183" i="110"/>
  <c r="O182" i="110"/>
  <c r="E147" i="110"/>
  <c r="H147" i="110" s="1"/>
  <c r="H149" i="110"/>
  <c r="R10" i="110"/>
  <c r="M63" i="110"/>
  <c r="O35" i="110"/>
  <c r="R35" i="110" s="1"/>
  <c r="R36" i="110"/>
  <c r="H216" i="110"/>
  <c r="J233" i="110"/>
  <c r="M234" i="110"/>
  <c r="M216" i="110"/>
  <c r="H249" i="110"/>
  <c r="H126" i="110"/>
  <c r="O233" i="110"/>
  <c r="R234" i="110"/>
  <c r="M49" i="110"/>
  <c r="J48" i="110"/>
  <c r="M126" i="110"/>
  <c r="L36" i="110"/>
  <c r="L35" i="110" s="1"/>
  <c r="E35" i="110"/>
  <c r="R65" i="110"/>
  <c r="H14" i="110"/>
  <c r="F10" i="110"/>
  <c r="H10" i="110" s="1"/>
  <c r="E233" i="110"/>
  <c r="H234" i="110"/>
  <c r="H204" i="110"/>
  <c r="M15" i="110"/>
  <c r="K14" i="110"/>
  <c r="O147" i="110"/>
  <c r="R147" i="110" s="1"/>
  <c r="R149" i="110"/>
  <c r="E119" i="110"/>
  <c r="H119" i="110" s="1"/>
  <c r="H120" i="110"/>
  <c r="L116" i="110"/>
  <c r="L33" i="110"/>
  <c r="J120" i="110"/>
  <c r="L203" i="110"/>
  <c r="L248" i="110" s="1"/>
  <c r="M105" i="110"/>
  <c r="J98" i="110"/>
  <c r="O120" i="110"/>
  <c r="H183" i="110"/>
  <c r="E182" i="110"/>
  <c r="R249" i="110"/>
  <c r="H98" i="110"/>
  <c r="E94" i="110"/>
  <c r="F63" i="110"/>
  <c r="H63" i="110" s="1"/>
  <c r="H65" i="110"/>
  <c r="Q80" i="110"/>
  <c r="R63" i="110"/>
  <c r="F35" i="110"/>
  <c r="P10" i="110"/>
  <c r="P80" i="110" s="1"/>
  <c r="R14" i="110"/>
  <c r="O80" i="110" l="1"/>
  <c r="R80" i="110" s="1"/>
  <c r="H36" i="110"/>
  <c r="H35" i="110"/>
  <c r="R99" i="110"/>
  <c r="O98" i="110"/>
  <c r="H94" i="110"/>
  <c r="E164" i="110"/>
  <c r="H164" i="110" s="1"/>
  <c r="M98" i="110"/>
  <c r="J94" i="110"/>
  <c r="L32" i="110"/>
  <c r="M33" i="110"/>
  <c r="M48" i="110"/>
  <c r="J36" i="110"/>
  <c r="M116" i="110"/>
  <c r="L94" i="110"/>
  <c r="L164" i="110" s="1"/>
  <c r="M183" i="110"/>
  <c r="J182" i="110"/>
  <c r="K10" i="110"/>
  <c r="M14" i="110"/>
  <c r="E231" i="110"/>
  <c r="H233" i="110"/>
  <c r="E80" i="110"/>
  <c r="M233" i="110"/>
  <c r="J231" i="110"/>
  <c r="H182" i="110"/>
  <c r="E178" i="110"/>
  <c r="O119" i="110"/>
  <c r="R119" i="110" s="1"/>
  <c r="R120" i="110"/>
  <c r="J119" i="110"/>
  <c r="M119" i="110" s="1"/>
  <c r="M120" i="110"/>
  <c r="F80" i="110"/>
  <c r="R233" i="110"/>
  <c r="O231" i="110"/>
  <c r="R182" i="110"/>
  <c r="O178" i="110"/>
  <c r="R98" i="110" l="1"/>
  <c r="O94" i="110"/>
  <c r="R94" i="110" s="1"/>
  <c r="O248" i="110"/>
  <c r="R248" i="110" s="1"/>
  <c r="R178" i="110"/>
  <c r="J35" i="110"/>
  <c r="M36" i="110"/>
  <c r="E248" i="110"/>
  <c r="H248" i="110" s="1"/>
  <c r="H178" i="110"/>
  <c r="H80" i="110"/>
  <c r="K80" i="110"/>
  <c r="R231" i="110"/>
  <c r="O203" i="110"/>
  <c r="R203" i="110" s="1"/>
  <c r="M182" i="110"/>
  <c r="J178" i="110"/>
  <c r="O164" i="110"/>
  <c r="R164" i="110" s="1"/>
  <c r="J164" i="110"/>
  <c r="M164" i="110" s="1"/>
  <c r="M94" i="110"/>
  <c r="M231" i="110"/>
  <c r="J203" i="110"/>
  <c r="M203" i="110" s="1"/>
  <c r="H231" i="110"/>
  <c r="E203" i="110"/>
  <c r="H203" i="110" s="1"/>
  <c r="L10" i="110"/>
  <c r="L80" i="110" s="1"/>
  <c r="M32" i="110"/>
  <c r="J248" i="110" l="1"/>
  <c r="M248" i="110" s="1"/>
  <c r="M178" i="110"/>
  <c r="M10" i="110"/>
  <c r="M35" i="110"/>
  <c r="J80" i="110"/>
  <c r="M80" i="110" s="1"/>
  <c r="R260" i="138" l="1"/>
  <c r="M260" i="138"/>
  <c r="H260" i="138"/>
  <c r="R259" i="138"/>
  <c r="M259" i="138"/>
  <c r="H259" i="138"/>
  <c r="R258" i="138"/>
  <c r="M258" i="138"/>
  <c r="H258" i="138"/>
  <c r="R257" i="138"/>
  <c r="Q257" i="138"/>
  <c r="P257" i="138"/>
  <c r="O257" i="138"/>
  <c r="M257" i="138"/>
  <c r="L257" i="138"/>
  <c r="K257" i="138"/>
  <c r="J257" i="138"/>
  <c r="H257" i="138"/>
  <c r="G257" i="138"/>
  <c r="F257" i="138"/>
  <c r="R256" i="138"/>
  <c r="M256" i="138"/>
  <c r="H256" i="138"/>
  <c r="R255" i="138"/>
  <c r="M255" i="138"/>
  <c r="H255" i="138"/>
  <c r="R254" i="138"/>
  <c r="M254" i="138"/>
  <c r="H254" i="138"/>
  <c r="R253" i="138"/>
  <c r="Q253" i="138"/>
  <c r="P253" i="138"/>
  <c r="O253" i="138"/>
  <c r="O249" i="138" s="1"/>
  <c r="M253" i="138"/>
  <c r="L253" i="138"/>
  <c r="K253" i="138"/>
  <c r="J253" i="138"/>
  <c r="J249" i="138" s="1"/>
  <c r="H253" i="138"/>
  <c r="G253" i="138"/>
  <c r="F253" i="138"/>
  <c r="E253" i="138"/>
  <c r="R252" i="138"/>
  <c r="M252" i="138"/>
  <c r="H252" i="138"/>
  <c r="R251" i="138"/>
  <c r="M251" i="138"/>
  <c r="H251" i="138"/>
  <c r="Q250" i="138"/>
  <c r="P250" i="138"/>
  <c r="O250" i="138"/>
  <c r="R250" i="138" s="1"/>
  <c r="L250" i="138"/>
  <c r="K250" i="138"/>
  <c r="J250" i="138"/>
  <c r="G250" i="138"/>
  <c r="G249" i="138" s="1"/>
  <c r="F250" i="138"/>
  <c r="F249" i="138" s="1"/>
  <c r="H249" i="138" s="1"/>
  <c r="E250" i="138"/>
  <c r="Q249" i="138"/>
  <c r="P249" i="138"/>
  <c r="L249" i="138"/>
  <c r="K249" i="138"/>
  <c r="R247" i="138"/>
  <c r="M247" i="138"/>
  <c r="H247" i="138"/>
  <c r="R246" i="138"/>
  <c r="M246" i="138"/>
  <c r="H246" i="138"/>
  <c r="R245" i="138"/>
  <c r="M245" i="138"/>
  <c r="H245" i="138"/>
  <c r="Q244" i="138"/>
  <c r="P244" i="138"/>
  <c r="P233" i="138" s="1"/>
  <c r="O244" i="138"/>
  <c r="L244" i="138"/>
  <c r="K244" i="138"/>
  <c r="K233" i="138" s="1"/>
  <c r="K231" i="138" s="1"/>
  <c r="J244" i="138"/>
  <c r="M244" i="138" s="1"/>
  <c r="G244" i="138"/>
  <c r="F244" i="138"/>
  <c r="F233" i="138" s="1"/>
  <c r="E244" i="138"/>
  <c r="H244" i="138" s="1"/>
  <c r="R243" i="138"/>
  <c r="M243" i="138"/>
  <c r="H243" i="138"/>
  <c r="R242" i="138"/>
  <c r="M242" i="138"/>
  <c r="H242" i="138"/>
  <c r="R241" i="138"/>
  <c r="M241" i="138"/>
  <c r="H241" i="138"/>
  <c r="Q240" i="138"/>
  <c r="R240" i="138" s="1"/>
  <c r="P240" i="138"/>
  <c r="O240" i="138"/>
  <c r="L240" i="138"/>
  <c r="M240" i="138" s="1"/>
  <c r="K240" i="138"/>
  <c r="J240" i="138"/>
  <c r="G240" i="138"/>
  <c r="H240" i="138" s="1"/>
  <c r="F240" i="138"/>
  <c r="E240" i="138"/>
  <c r="R239" i="138"/>
  <c r="M239" i="138"/>
  <c r="H239" i="138"/>
  <c r="R238" i="138"/>
  <c r="M238" i="138"/>
  <c r="H238" i="138"/>
  <c r="R237" i="138"/>
  <c r="M237" i="138"/>
  <c r="H237" i="138"/>
  <c r="R236" i="138"/>
  <c r="Q236" i="138"/>
  <c r="P236" i="138"/>
  <c r="O236" i="138"/>
  <c r="O234" i="138" s="1"/>
  <c r="O233" i="138" s="1"/>
  <c r="O231" i="138" s="1"/>
  <c r="L236" i="138"/>
  <c r="K236" i="138"/>
  <c r="J236" i="138"/>
  <c r="J234" i="138" s="1"/>
  <c r="J233" i="138" s="1"/>
  <c r="J231" i="138" s="1"/>
  <c r="G236" i="138"/>
  <c r="F236" i="138"/>
  <c r="E236" i="138"/>
  <c r="E234" i="138" s="1"/>
  <c r="E233" i="138" s="1"/>
  <c r="R235" i="138"/>
  <c r="M235" i="138"/>
  <c r="H235" i="138"/>
  <c r="R234" i="138"/>
  <c r="Q234" i="138"/>
  <c r="P234" i="138"/>
  <c r="M234" i="138"/>
  <c r="L234" i="138"/>
  <c r="K234" i="138"/>
  <c r="H234" i="138"/>
  <c r="G234" i="138"/>
  <c r="F234" i="138"/>
  <c r="Q233" i="138"/>
  <c r="Q231" i="138" s="1"/>
  <c r="M233" i="138"/>
  <c r="L233" i="138"/>
  <c r="G233" i="138"/>
  <c r="G231" i="138" s="1"/>
  <c r="R232" i="138"/>
  <c r="M232" i="138"/>
  <c r="H232" i="138"/>
  <c r="P231" i="138"/>
  <c r="L231" i="138"/>
  <c r="F231" i="138"/>
  <c r="H231" i="138" s="1"/>
  <c r="R230" i="138"/>
  <c r="M230" i="138"/>
  <c r="H230" i="138"/>
  <c r="R229" i="138"/>
  <c r="M229" i="138"/>
  <c r="H229" i="138"/>
  <c r="R228" i="138"/>
  <c r="M228" i="138"/>
  <c r="H228" i="138"/>
  <c r="Q227" i="138"/>
  <c r="P227" i="138"/>
  <c r="P216" i="138" s="1"/>
  <c r="O227" i="138"/>
  <c r="R227" i="138" s="1"/>
  <c r="L227" i="138"/>
  <c r="K227" i="138"/>
  <c r="K216" i="138" s="1"/>
  <c r="J227" i="138"/>
  <c r="M227" i="138" s="1"/>
  <c r="G227" i="138"/>
  <c r="F227" i="138"/>
  <c r="F216" i="138" s="1"/>
  <c r="E227" i="138"/>
  <c r="R226" i="138"/>
  <c r="M226" i="138"/>
  <c r="H226" i="138"/>
  <c r="R225" i="138"/>
  <c r="M225" i="138"/>
  <c r="H225" i="138"/>
  <c r="R224" i="138"/>
  <c r="M224" i="138"/>
  <c r="H224" i="138"/>
  <c r="R223" i="138"/>
  <c r="Q223" i="138"/>
  <c r="P223" i="138"/>
  <c r="O223" i="138"/>
  <c r="M223" i="138"/>
  <c r="L223" i="138"/>
  <c r="K223" i="138"/>
  <c r="J223" i="138"/>
  <c r="H223" i="138"/>
  <c r="G223" i="138"/>
  <c r="F223" i="138"/>
  <c r="E223" i="138"/>
  <c r="R222" i="138"/>
  <c r="M222" i="138"/>
  <c r="H222" i="138"/>
  <c r="R221" i="138"/>
  <c r="M221" i="138"/>
  <c r="H221" i="138"/>
  <c r="R220" i="138"/>
  <c r="M220" i="138"/>
  <c r="H220" i="138"/>
  <c r="Q219" i="138"/>
  <c r="P219" i="138"/>
  <c r="O219" i="138"/>
  <c r="L219" i="138"/>
  <c r="K219" i="138"/>
  <c r="J219" i="138"/>
  <c r="G219" i="138"/>
  <c r="F219" i="138"/>
  <c r="E219" i="138"/>
  <c r="R218" i="138"/>
  <c r="M218" i="138"/>
  <c r="H218" i="138"/>
  <c r="Q217" i="138"/>
  <c r="Q216" i="138" s="1"/>
  <c r="P217" i="138"/>
  <c r="L217" i="138"/>
  <c r="L216" i="138" s="1"/>
  <c r="K217" i="138"/>
  <c r="G217" i="138"/>
  <c r="F217" i="138"/>
  <c r="R215" i="138"/>
  <c r="M215" i="138"/>
  <c r="H215" i="138"/>
  <c r="R214" i="138"/>
  <c r="M214" i="138"/>
  <c r="H214" i="138"/>
  <c r="Q213" i="138"/>
  <c r="P213" i="138"/>
  <c r="O213" i="138"/>
  <c r="R213" i="138" s="1"/>
  <c r="L213" i="138"/>
  <c r="K213" i="138"/>
  <c r="K204" i="138" s="1"/>
  <c r="J213" i="138"/>
  <c r="G213" i="138"/>
  <c r="F213" i="138"/>
  <c r="F204" i="138" s="1"/>
  <c r="F203" i="138" s="1"/>
  <c r="E213" i="138"/>
  <c r="R212" i="138"/>
  <c r="M212" i="138"/>
  <c r="H212" i="138"/>
  <c r="R211" i="138"/>
  <c r="M211" i="138"/>
  <c r="H211" i="138"/>
  <c r="R210" i="138"/>
  <c r="Q210" i="138"/>
  <c r="P210" i="138"/>
  <c r="O210" i="138"/>
  <c r="M210" i="138"/>
  <c r="L210" i="138"/>
  <c r="K210" i="138"/>
  <c r="J210" i="138"/>
  <c r="H210" i="138"/>
  <c r="G210" i="138"/>
  <c r="F210" i="138"/>
  <c r="E210" i="138"/>
  <c r="R209" i="138"/>
  <c r="M209" i="138"/>
  <c r="H209" i="138"/>
  <c r="R208" i="138"/>
  <c r="M208" i="138"/>
  <c r="H208" i="138"/>
  <c r="E208" i="138"/>
  <c r="R207" i="138"/>
  <c r="M207" i="138"/>
  <c r="H207" i="138"/>
  <c r="R206" i="138"/>
  <c r="M206" i="138"/>
  <c r="H206" i="138"/>
  <c r="Q205" i="138"/>
  <c r="P205" i="138"/>
  <c r="O205" i="138"/>
  <c r="L205" i="138"/>
  <c r="K205" i="138"/>
  <c r="J205" i="138"/>
  <c r="M205" i="138" s="1"/>
  <c r="G205" i="138"/>
  <c r="F205" i="138"/>
  <c r="E205" i="138"/>
  <c r="R202" i="138"/>
  <c r="M202" i="138"/>
  <c r="H202" i="138"/>
  <c r="R201" i="138"/>
  <c r="M201" i="138"/>
  <c r="H201" i="138"/>
  <c r="Q200" i="138"/>
  <c r="P200" i="138"/>
  <c r="O200" i="138"/>
  <c r="L200" i="138"/>
  <c r="K200" i="138"/>
  <c r="J200" i="138"/>
  <c r="G200" i="138"/>
  <c r="F200" i="138"/>
  <c r="E200" i="138"/>
  <c r="H200" i="138" s="1"/>
  <c r="R199" i="138"/>
  <c r="M199" i="138"/>
  <c r="H199" i="138"/>
  <c r="R198" i="138"/>
  <c r="M198" i="138"/>
  <c r="H198" i="138"/>
  <c r="R197" i="138"/>
  <c r="M197" i="138"/>
  <c r="H197" i="138"/>
  <c r="R196" i="138"/>
  <c r="M196" i="138"/>
  <c r="H196" i="138"/>
  <c r="Q195" i="138"/>
  <c r="P195" i="138"/>
  <c r="P194" i="138" s="1"/>
  <c r="R194" i="138" s="1"/>
  <c r="O195" i="138"/>
  <c r="L195" i="138"/>
  <c r="L194" i="138" s="1"/>
  <c r="K195" i="138"/>
  <c r="K194" i="138" s="1"/>
  <c r="J195" i="138"/>
  <c r="G195" i="138"/>
  <c r="F195" i="138"/>
  <c r="F194" i="138" s="1"/>
  <c r="E195" i="138"/>
  <c r="C195" i="138"/>
  <c r="Q194" i="138"/>
  <c r="O194" i="138"/>
  <c r="J194" i="138"/>
  <c r="H194" i="138"/>
  <c r="G194" i="138"/>
  <c r="E194" i="138"/>
  <c r="C194" i="138"/>
  <c r="R193" i="138"/>
  <c r="M193" i="138"/>
  <c r="H193" i="138"/>
  <c r="R192" i="138"/>
  <c r="M192" i="138"/>
  <c r="H192" i="138"/>
  <c r="R191" i="138"/>
  <c r="M191" i="138"/>
  <c r="H191" i="138"/>
  <c r="Q190" i="138"/>
  <c r="P190" i="138"/>
  <c r="O190" i="138"/>
  <c r="R190" i="138" s="1"/>
  <c r="L190" i="138"/>
  <c r="K190" i="138"/>
  <c r="K189" i="138" s="1"/>
  <c r="J190" i="138"/>
  <c r="G190" i="138"/>
  <c r="F190" i="138"/>
  <c r="F189" i="138" s="1"/>
  <c r="E190" i="138"/>
  <c r="Q189" i="138"/>
  <c r="P189" i="138"/>
  <c r="O189" i="138"/>
  <c r="L189" i="138"/>
  <c r="J189" i="138"/>
  <c r="G189" i="138"/>
  <c r="R188" i="138"/>
  <c r="M188" i="138"/>
  <c r="H188" i="138"/>
  <c r="R187" i="138"/>
  <c r="M187" i="138"/>
  <c r="H187" i="138"/>
  <c r="R186" i="138"/>
  <c r="M186" i="138"/>
  <c r="H186" i="138"/>
  <c r="Q185" i="138"/>
  <c r="Q184" i="138" s="1"/>
  <c r="Q183" i="138" s="1"/>
  <c r="Q182" i="138" s="1"/>
  <c r="Q178" i="138" s="1"/>
  <c r="P185" i="138"/>
  <c r="P184" i="138" s="1"/>
  <c r="O185" i="138"/>
  <c r="L185" i="138"/>
  <c r="L184" i="138" s="1"/>
  <c r="L183" i="138" s="1"/>
  <c r="L182" i="138" s="1"/>
  <c r="L178" i="138" s="1"/>
  <c r="K185" i="138"/>
  <c r="K184" i="138" s="1"/>
  <c r="K183" i="138" s="1"/>
  <c r="J185" i="138"/>
  <c r="G185" i="138"/>
  <c r="F185" i="138"/>
  <c r="F184" i="138" s="1"/>
  <c r="E185" i="138"/>
  <c r="O184" i="138"/>
  <c r="J184" i="138"/>
  <c r="G184" i="138"/>
  <c r="G183" i="138" s="1"/>
  <c r="G182" i="138" s="1"/>
  <c r="G178" i="138" s="1"/>
  <c r="E184" i="138"/>
  <c r="P183" i="138"/>
  <c r="O183" i="138"/>
  <c r="J183" i="138"/>
  <c r="E183" i="138"/>
  <c r="R181" i="138"/>
  <c r="M181" i="138"/>
  <c r="H181" i="138"/>
  <c r="R180" i="138"/>
  <c r="M180" i="138"/>
  <c r="H180" i="138"/>
  <c r="R179" i="138"/>
  <c r="M179" i="138"/>
  <c r="H179" i="138"/>
  <c r="R177" i="138"/>
  <c r="M177" i="138"/>
  <c r="H177" i="138"/>
  <c r="R176" i="138"/>
  <c r="M176" i="138"/>
  <c r="H176" i="138"/>
  <c r="R175" i="138"/>
  <c r="M175" i="138"/>
  <c r="H175" i="138"/>
  <c r="R174" i="138"/>
  <c r="M174" i="138"/>
  <c r="H174" i="138"/>
  <c r="R173" i="138"/>
  <c r="Q173" i="138"/>
  <c r="P173" i="138"/>
  <c r="O173" i="138"/>
  <c r="M173" i="138"/>
  <c r="L173" i="138"/>
  <c r="L165" i="138" s="1"/>
  <c r="K173" i="138"/>
  <c r="J173" i="138"/>
  <c r="H173" i="138"/>
  <c r="G173" i="138"/>
  <c r="F173" i="138"/>
  <c r="E173" i="138"/>
  <c r="R172" i="138"/>
  <c r="M172" i="138"/>
  <c r="H172" i="138"/>
  <c r="R171" i="138"/>
  <c r="M171" i="138"/>
  <c r="H171" i="138"/>
  <c r="R170" i="138"/>
  <c r="M170" i="138"/>
  <c r="H170" i="138"/>
  <c r="Q169" i="138"/>
  <c r="P169" i="138"/>
  <c r="O169" i="138"/>
  <c r="L169" i="138"/>
  <c r="K169" i="138"/>
  <c r="J169" i="138"/>
  <c r="G169" i="138"/>
  <c r="F169" i="138"/>
  <c r="E169" i="138"/>
  <c r="R168" i="138"/>
  <c r="M168" i="138"/>
  <c r="H168" i="138"/>
  <c r="R167" i="138"/>
  <c r="M167" i="138"/>
  <c r="H167" i="138"/>
  <c r="Q166" i="138"/>
  <c r="Q165" i="138" s="1"/>
  <c r="P166" i="138"/>
  <c r="P165" i="138" s="1"/>
  <c r="O166" i="138"/>
  <c r="L166" i="138"/>
  <c r="K166" i="138"/>
  <c r="K165" i="138" s="1"/>
  <c r="J166" i="138"/>
  <c r="G166" i="138"/>
  <c r="F166" i="138"/>
  <c r="E166" i="138"/>
  <c r="H166" i="138" s="1"/>
  <c r="G165" i="138"/>
  <c r="F165" i="138"/>
  <c r="R163" i="138"/>
  <c r="M163" i="138"/>
  <c r="H163" i="138"/>
  <c r="R162" i="138"/>
  <c r="M162" i="138"/>
  <c r="H162" i="138"/>
  <c r="R161" i="138"/>
  <c r="M161" i="138"/>
  <c r="H161" i="138"/>
  <c r="R160" i="138"/>
  <c r="Q160" i="138"/>
  <c r="Q149" i="138" s="1"/>
  <c r="P160" i="138"/>
  <c r="O160" i="138"/>
  <c r="M160" i="138"/>
  <c r="L160" i="138"/>
  <c r="L149" i="138" s="1"/>
  <c r="K160" i="138"/>
  <c r="J160" i="138"/>
  <c r="H160" i="138"/>
  <c r="G160" i="138"/>
  <c r="G149" i="138" s="1"/>
  <c r="F160" i="138"/>
  <c r="E160" i="138"/>
  <c r="R159" i="138"/>
  <c r="M159" i="138"/>
  <c r="H159" i="138"/>
  <c r="R158" i="138"/>
  <c r="M158" i="138"/>
  <c r="H158" i="138"/>
  <c r="R157" i="138"/>
  <c r="M157" i="138"/>
  <c r="H157" i="138"/>
  <c r="Q156" i="138"/>
  <c r="P156" i="138"/>
  <c r="O156" i="138"/>
  <c r="R156" i="138" s="1"/>
  <c r="L156" i="138"/>
  <c r="K156" i="138"/>
  <c r="J156" i="138"/>
  <c r="M156" i="138" s="1"/>
  <c r="G156" i="138"/>
  <c r="F156" i="138"/>
  <c r="E156" i="138"/>
  <c r="H156" i="138" s="1"/>
  <c r="R155" i="138"/>
  <c r="M155" i="138"/>
  <c r="H155" i="138"/>
  <c r="R154" i="138"/>
  <c r="M154" i="138"/>
  <c r="H154" i="138"/>
  <c r="R153" i="138"/>
  <c r="M153" i="138"/>
  <c r="H153" i="138"/>
  <c r="Q152" i="138"/>
  <c r="P152" i="138"/>
  <c r="P150" i="138" s="1"/>
  <c r="P149" i="138" s="1"/>
  <c r="P147" i="138" s="1"/>
  <c r="O152" i="138"/>
  <c r="L152" i="138"/>
  <c r="K152" i="138"/>
  <c r="K150" i="138" s="1"/>
  <c r="K149" i="138" s="1"/>
  <c r="K147" i="138" s="1"/>
  <c r="J152" i="138"/>
  <c r="G152" i="138"/>
  <c r="F152" i="138"/>
  <c r="F150" i="138" s="1"/>
  <c r="F149" i="138" s="1"/>
  <c r="F147" i="138" s="1"/>
  <c r="E152" i="138"/>
  <c r="R151" i="138"/>
  <c r="M151" i="138"/>
  <c r="H151" i="138"/>
  <c r="R150" i="138"/>
  <c r="Q150" i="138"/>
  <c r="O150" i="138"/>
  <c r="L150" i="138"/>
  <c r="J150" i="138"/>
  <c r="G150" i="138"/>
  <c r="R149" i="138"/>
  <c r="O149" i="138"/>
  <c r="O147" i="138" s="1"/>
  <c r="R148" i="138"/>
  <c r="Q148" i="138"/>
  <c r="L148" i="138"/>
  <c r="M148" i="138" s="1"/>
  <c r="H148" i="138"/>
  <c r="G148" i="138"/>
  <c r="F148" i="138"/>
  <c r="R147" i="138"/>
  <c r="Q147" i="138"/>
  <c r="L147" i="138"/>
  <c r="G147" i="138"/>
  <c r="R146" i="138"/>
  <c r="M146" i="138"/>
  <c r="H146" i="138"/>
  <c r="R145" i="138"/>
  <c r="M145" i="138"/>
  <c r="H145" i="138"/>
  <c r="R144" i="138"/>
  <c r="M144" i="138"/>
  <c r="H144" i="138"/>
  <c r="R143" i="138"/>
  <c r="Q143" i="138"/>
  <c r="P143" i="138"/>
  <c r="O143" i="138"/>
  <c r="M143" i="138"/>
  <c r="L143" i="138"/>
  <c r="K143" i="138"/>
  <c r="J143" i="138"/>
  <c r="H143" i="138"/>
  <c r="G143" i="138"/>
  <c r="F143" i="138"/>
  <c r="E143" i="138"/>
  <c r="R142" i="138"/>
  <c r="M142" i="138"/>
  <c r="H142" i="138"/>
  <c r="R141" i="138"/>
  <c r="M141" i="138"/>
  <c r="H141" i="138"/>
  <c r="R140" i="138"/>
  <c r="M140" i="138"/>
  <c r="H140" i="138"/>
  <c r="Q139" i="138"/>
  <c r="P139" i="138"/>
  <c r="O139" i="138"/>
  <c r="L139" i="138"/>
  <c r="K139" i="138"/>
  <c r="J139" i="138"/>
  <c r="G139" i="138"/>
  <c r="F139" i="138"/>
  <c r="E139" i="138"/>
  <c r="R138" i="138"/>
  <c r="M138" i="138"/>
  <c r="H138" i="138"/>
  <c r="R137" i="138"/>
  <c r="M137" i="138"/>
  <c r="H137" i="138"/>
  <c r="R136" i="138"/>
  <c r="M136" i="138"/>
  <c r="H136" i="138"/>
  <c r="Q135" i="138"/>
  <c r="Q133" i="138" s="1"/>
  <c r="Q132" i="138" s="1"/>
  <c r="P135" i="138"/>
  <c r="P133" i="138" s="1"/>
  <c r="P132" i="138" s="1"/>
  <c r="P120" i="138" s="1"/>
  <c r="P119" i="138" s="1"/>
  <c r="P117" i="138" s="1"/>
  <c r="O135" i="138"/>
  <c r="R135" i="138" s="1"/>
  <c r="L135" i="138"/>
  <c r="L133" i="138" s="1"/>
  <c r="L132" i="138" s="1"/>
  <c r="K135" i="138"/>
  <c r="J135" i="138"/>
  <c r="M135" i="138" s="1"/>
  <c r="G135" i="138"/>
  <c r="G133" i="138" s="1"/>
  <c r="G132" i="138" s="1"/>
  <c r="F135" i="138"/>
  <c r="F133" i="138" s="1"/>
  <c r="E135" i="138"/>
  <c r="R134" i="138"/>
  <c r="M134" i="138"/>
  <c r="H134" i="138"/>
  <c r="O133" i="138"/>
  <c r="K133" i="138"/>
  <c r="K132" i="138" s="1"/>
  <c r="J133" i="138"/>
  <c r="E133" i="138"/>
  <c r="J132" i="138"/>
  <c r="R131" i="138"/>
  <c r="M131" i="138"/>
  <c r="H131" i="138"/>
  <c r="R130" i="138"/>
  <c r="M130" i="138"/>
  <c r="H130" i="138"/>
  <c r="Q129" i="138"/>
  <c r="P129" i="138"/>
  <c r="O129" i="138"/>
  <c r="L129" i="138"/>
  <c r="K129" i="138"/>
  <c r="J129" i="138"/>
  <c r="G129" i="138"/>
  <c r="F129" i="138"/>
  <c r="E129" i="138"/>
  <c r="R128" i="138"/>
  <c r="M128" i="138"/>
  <c r="H128" i="138"/>
  <c r="R127" i="138"/>
  <c r="M127" i="138"/>
  <c r="H127" i="138"/>
  <c r="R126" i="138"/>
  <c r="Q126" i="138"/>
  <c r="P126" i="138"/>
  <c r="O126" i="138"/>
  <c r="M126" i="138"/>
  <c r="L126" i="138"/>
  <c r="K126" i="138"/>
  <c r="J126" i="138"/>
  <c r="H126" i="138"/>
  <c r="G126" i="138"/>
  <c r="F126" i="138"/>
  <c r="E126" i="138"/>
  <c r="R125" i="138"/>
  <c r="M125" i="138"/>
  <c r="H125" i="138"/>
  <c r="Q124" i="138"/>
  <c r="M124" i="138"/>
  <c r="L124" i="138"/>
  <c r="G124" i="138"/>
  <c r="G121" i="138" s="1"/>
  <c r="G120" i="138" s="1"/>
  <c r="G119" i="138" s="1"/>
  <c r="G117" i="138" s="1"/>
  <c r="G116" i="138" s="1"/>
  <c r="F124" i="138"/>
  <c r="Q123" i="138"/>
  <c r="R123" i="138" s="1"/>
  <c r="M123" i="138"/>
  <c r="L123" i="138"/>
  <c r="G123" i="138"/>
  <c r="R122" i="138"/>
  <c r="Q122" i="138"/>
  <c r="L122" i="138"/>
  <c r="H122" i="138"/>
  <c r="G122" i="138"/>
  <c r="P121" i="138"/>
  <c r="O121" i="138"/>
  <c r="K121" i="138"/>
  <c r="J121" i="138"/>
  <c r="F121" i="138"/>
  <c r="E121" i="138"/>
  <c r="R118" i="138"/>
  <c r="M118" i="138"/>
  <c r="H118" i="138"/>
  <c r="O116" i="138"/>
  <c r="J116" i="138"/>
  <c r="E116" i="138"/>
  <c r="R115" i="138"/>
  <c r="M115" i="138"/>
  <c r="H115" i="138"/>
  <c r="R114" i="138"/>
  <c r="M114" i="138"/>
  <c r="H114" i="138"/>
  <c r="R113" i="138"/>
  <c r="M113" i="138"/>
  <c r="H113" i="138"/>
  <c r="R112" i="138"/>
  <c r="M112" i="138"/>
  <c r="H112" i="138"/>
  <c r="Q111" i="138"/>
  <c r="Q110" i="138" s="1"/>
  <c r="P111" i="138"/>
  <c r="P110" i="138" s="1"/>
  <c r="O111" i="138"/>
  <c r="L111" i="138"/>
  <c r="K111" i="138"/>
  <c r="K110" i="138" s="1"/>
  <c r="J111" i="138"/>
  <c r="G111" i="138"/>
  <c r="G110" i="138" s="1"/>
  <c r="F111" i="138"/>
  <c r="E111" i="138"/>
  <c r="C111" i="138"/>
  <c r="L110" i="138"/>
  <c r="F110" i="138"/>
  <c r="C110" i="138"/>
  <c r="R109" i="138"/>
  <c r="M109" i="138"/>
  <c r="H109" i="138"/>
  <c r="R108" i="138"/>
  <c r="M108" i="138"/>
  <c r="H108" i="138"/>
  <c r="R107" i="138"/>
  <c r="M107" i="138"/>
  <c r="H107" i="138"/>
  <c r="Q106" i="138"/>
  <c r="P106" i="138"/>
  <c r="O106" i="138"/>
  <c r="R106" i="138" s="1"/>
  <c r="L106" i="138"/>
  <c r="K106" i="138"/>
  <c r="J106" i="138"/>
  <c r="M106" i="138" s="1"/>
  <c r="G106" i="138"/>
  <c r="F106" i="138"/>
  <c r="E106" i="138"/>
  <c r="H106" i="138" s="1"/>
  <c r="Q105" i="138"/>
  <c r="P105" i="138"/>
  <c r="O105" i="138"/>
  <c r="R105" i="138" s="1"/>
  <c r="L105" i="138"/>
  <c r="K105" i="138"/>
  <c r="J105" i="138"/>
  <c r="M105" i="138" s="1"/>
  <c r="G105" i="138"/>
  <c r="F105" i="138"/>
  <c r="E105" i="138"/>
  <c r="H105" i="138" s="1"/>
  <c r="R104" i="138"/>
  <c r="M104" i="138"/>
  <c r="H104" i="138"/>
  <c r="R103" i="138"/>
  <c r="M103" i="138"/>
  <c r="H103" i="138"/>
  <c r="R102" i="138"/>
  <c r="M102" i="138"/>
  <c r="H102" i="138"/>
  <c r="Q101" i="138"/>
  <c r="Q100" i="138" s="1"/>
  <c r="Q99" i="138" s="1"/>
  <c r="Q98" i="138" s="1"/>
  <c r="P101" i="138"/>
  <c r="O101" i="138"/>
  <c r="R101" i="138" s="1"/>
  <c r="L101" i="138"/>
  <c r="K101" i="138"/>
  <c r="K100" i="138" s="1"/>
  <c r="J101" i="138"/>
  <c r="G101" i="138"/>
  <c r="G100" i="138" s="1"/>
  <c r="G99" i="138" s="1"/>
  <c r="G98" i="138" s="1"/>
  <c r="G94" i="138" s="1"/>
  <c r="G164" i="138" s="1"/>
  <c r="F101" i="138"/>
  <c r="E101" i="138"/>
  <c r="P100" i="138"/>
  <c r="P99" i="138" s="1"/>
  <c r="P98" i="138" s="1"/>
  <c r="O100" i="138"/>
  <c r="R100" i="138" s="1"/>
  <c r="L100" i="138"/>
  <c r="L99" i="138" s="1"/>
  <c r="J100" i="138"/>
  <c r="M100" i="138" s="1"/>
  <c r="F100" i="138"/>
  <c r="F99" i="138" s="1"/>
  <c r="F98" i="138" s="1"/>
  <c r="K99" i="138"/>
  <c r="K98" i="138" s="1"/>
  <c r="L98" i="138"/>
  <c r="R97" i="138"/>
  <c r="M97" i="138"/>
  <c r="H97" i="138"/>
  <c r="R96" i="138"/>
  <c r="M96" i="138"/>
  <c r="H96" i="138"/>
  <c r="R95" i="138"/>
  <c r="M95" i="138"/>
  <c r="H95" i="138"/>
  <c r="R93" i="138"/>
  <c r="M93" i="138"/>
  <c r="H93" i="138"/>
  <c r="R92" i="138"/>
  <c r="M92" i="138"/>
  <c r="H92" i="138"/>
  <c r="R91" i="138"/>
  <c r="M91" i="138"/>
  <c r="E91" i="138"/>
  <c r="H91" i="138" s="1"/>
  <c r="R90" i="138"/>
  <c r="M90" i="138"/>
  <c r="H90" i="138"/>
  <c r="Q89" i="138"/>
  <c r="R89" i="138" s="1"/>
  <c r="P89" i="138"/>
  <c r="O89" i="138"/>
  <c r="L89" i="138"/>
  <c r="M89" i="138" s="1"/>
  <c r="K89" i="138"/>
  <c r="J89" i="138"/>
  <c r="G89" i="138"/>
  <c r="F89" i="138"/>
  <c r="R88" i="138"/>
  <c r="M88" i="138"/>
  <c r="G88" i="138"/>
  <c r="H88" i="138" s="1"/>
  <c r="R87" i="138"/>
  <c r="M87" i="138"/>
  <c r="H87" i="138"/>
  <c r="R86" i="138"/>
  <c r="M86" i="138"/>
  <c r="H86" i="138"/>
  <c r="Q85" i="138"/>
  <c r="P85" i="138"/>
  <c r="P81" i="138" s="1"/>
  <c r="O85" i="138"/>
  <c r="L85" i="138"/>
  <c r="K85" i="138"/>
  <c r="K81" i="138" s="1"/>
  <c r="J85" i="138"/>
  <c r="G85" i="138"/>
  <c r="F85" i="138"/>
  <c r="F81" i="138" s="1"/>
  <c r="E85" i="138"/>
  <c r="H85" i="138" s="1"/>
  <c r="R84" i="138"/>
  <c r="M84" i="138"/>
  <c r="H84" i="138"/>
  <c r="R83" i="138"/>
  <c r="M83" i="138"/>
  <c r="H83" i="138"/>
  <c r="Q82" i="138"/>
  <c r="R82" i="138" s="1"/>
  <c r="P82" i="138"/>
  <c r="O82" i="138"/>
  <c r="O81" i="138" s="1"/>
  <c r="R81" i="138" s="1"/>
  <c r="L82" i="138"/>
  <c r="M82" i="138" s="1"/>
  <c r="K82" i="138"/>
  <c r="J82" i="138"/>
  <c r="G82" i="138"/>
  <c r="G81" i="138" s="1"/>
  <c r="F82" i="138"/>
  <c r="E82" i="138"/>
  <c r="Q81" i="138"/>
  <c r="J81" i="138"/>
  <c r="R79" i="138"/>
  <c r="M79" i="138"/>
  <c r="H79" i="138"/>
  <c r="R78" i="138"/>
  <c r="M78" i="138"/>
  <c r="H78" i="138"/>
  <c r="R77" i="138"/>
  <c r="M77" i="138"/>
  <c r="H77" i="138"/>
  <c r="Q76" i="138"/>
  <c r="P76" i="138"/>
  <c r="R76" i="138" s="1"/>
  <c r="O76" i="138"/>
  <c r="L76" i="138"/>
  <c r="K76" i="138"/>
  <c r="M76" i="138" s="1"/>
  <c r="J76" i="138"/>
  <c r="G76" i="138"/>
  <c r="F76" i="138"/>
  <c r="H76" i="138" s="1"/>
  <c r="E76" i="138"/>
  <c r="R75" i="138"/>
  <c r="M75" i="138"/>
  <c r="H75" i="138"/>
  <c r="R74" i="138"/>
  <c r="M74" i="138"/>
  <c r="H74" i="138"/>
  <c r="R73" i="138"/>
  <c r="M73" i="138"/>
  <c r="H73" i="138"/>
  <c r="Q72" i="138"/>
  <c r="P72" i="138"/>
  <c r="O72" i="138"/>
  <c r="L72" i="138"/>
  <c r="K72" i="138"/>
  <c r="J72" i="138"/>
  <c r="M72" i="138" s="1"/>
  <c r="G72" i="138"/>
  <c r="F72" i="138"/>
  <c r="E72" i="138"/>
  <c r="H72" i="138" s="1"/>
  <c r="R71" i="138"/>
  <c r="M71" i="138"/>
  <c r="H71" i="138"/>
  <c r="R70" i="138"/>
  <c r="M70" i="138"/>
  <c r="H70" i="138"/>
  <c r="R69" i="138"/>
  <c r="M69" i="138"/>
  <c r="H69" i="138"/>
  <c r="Q68" i="138"/>
  <c r="P68" i="138"/>
  <c r="R68" i="138" s="1"/>
  <c r="O68" i="138"/>
  <c r="L68" i="138"/>
  <c r="K68" i="138"/>
  <c r="M68" i="138" s="1"/>
  <c r="J68" i="138"/>
  <c r="G68" i="138"/>
  <c r="F68" i="138"/>
  <c r="H68" i="138" s="1"/>
  <c r="E68" i="138"/>
  <c r="R67" i="138"/>
  <c r="M67" i="138"/>
  <c r="H67" i="138"/>
  <c r="Q66" i="138"/>
  <c r="Q65" i="138" s="1"/>
  <c r="Q63" i="138" s="1"/>
  <c r="O66" i="138"/>
  <c r="L66" i="138"/>
  <c r="K66" i="138"/>
  <c r="K65" i="138" s="1"/>
  <c r="K63" i="138" s="1"/>
  <c r="J66" i="138"/>
  <c r="G66" i="138"/>
  <c r="F66" i="138"/>
  <c r="E66" i="138"/>
  <c r="H66" i="138" s="1"/>
  <c r="O65" i="138"/>
  <c r="L65" i="138"/>
  <c r="G65" i="138"/>
  <c r="G63" i="138" s="1"/>
  <c r="F65" i="138"/>
  <c r="F63" i="138" s="1"/>
  <c r="Q64" i="138"/>
  <c r="R64" i="138" s="1"/>
  <c r="L64" i="138"/>
  <c r="M64" i="138" s="1"/>
  <c r="G64" i="138"/>
  <c r="F64" i="138"/>
  <c r="E64" i="138"/>
  <c r="H64" i="138" s="1"/>
  <c r="R62" i="138"/>
  <c r="M62" i="138"/>
  <c r="H62" i="138"/>
  <c r="R61" i="138"/>
  <c r="M61" i="138"/>
  <c r="H61" i="138"/>
  <c r="R60" i="138"/>
  <c r="M60" i="138"/>
  <c r="H60" i="138"/>
  <c r="Q59" i="138"/>
  <c r="P59" i="138"/>
  <c r="R59" i="138" s="1"/>
  <c r="O59" i="138"/>
  <c r="L59" i="138"/>
  <c r="K59" i="138"/>
  <c r="M59" i="138" s="1"/>
  <c r="J59" i="138"/>
  <c r="G59" i="138"/>
  <c r="F59" i="138"/>
  <c r="H59" i="138" s="1"/>
  <c r="E59" i="138"/>
  <c r="R58" i="138"/>
  <c r="M58" i="138"/>
  <c r="H58" i="138"/>
  <c r="R57" i="138"/>
  <c r="M57" i="138"/>
  <c r="H57" i="138"/>
  <c r="R56" i="138"/>
  <c r="M56" i="138"/>
  <c r="H56" i="138"/>
  <c r="Q55" i="138"/>
  <c r="R55" i="138" s="1"/>
  <c r="P55" i="138"/>
  <c r="O55" i="138"/>
  <c r="L55" i="138"/>
  <c r="M55" i="138" s="1"/>
  <c r="K55" i="138"/>
  <c r="J55" i="138"/>
  <c r="G55" i="138"/>
  <c r="G48" i="138" s="1"/>
  <c r="F55" i="138"/>
  <c r="E55" i="138"/>
  <c r="R54" i="138"/>
  <c r="M54" i="138"/>
  <c r="H54" i="138"/>
  <c r="R53" i="138"/>
  <c r="M53" i="138"/>
  <c r="H53" i="138"/>
  <c r="R52" i="138"/>
  <c r="M52" i="138"/>
  <c r="H52" i="138"/>
  <c r="R51" i="138"/>
  <c r="Q51" i="138"/>
  <c r="P51" i="138"/>
  <c r="P49" i="138" s="1"/>
  <c r="O51" i="138"/>
  <c r="O49" i="138" s="1"/>
  <c r="M51" i="138"/>
  <c r="L51" i="138"/>
  <c r="K51" i="138"/>
  <c r="K49" i="138" s="1"/>
  <c r="J51" i="138"/>
  <c r="H51" i="138"/>
  <c r="G51" i="138"/>
  <c r="F51" i="138"/>
  <c r="F49" i="138" s="1"/>
  <c r="E51" i="138"/>
  <c r="R50" i="138"/>
  <c r="M50" i="138"/>
  <c r="H50" i="138"/>
  <c r="Q49" i="138"/>
  <c r="Q48" i="138" s="1"/>
  <c r="L49" i="138"/>
  <c r="J49" i="138"/>
  <c r="M49" i="138" s="1"/>
  <c r="G49" i="138"/>
  <c r="E49" i="138"/>
  <c r="H49" i="138" s="1"/>
  <c r="L48" i="138"/>
  <c r="E48" i="138"/>
  <c r="R47" i="138"/>
  <c r="M47" i="138"/>
  <c r="H47" i="138"/>
  <c r="R46" i="138"/>
  <c r="Q46" i="138"/>
  <c r="M46" i="138"/>
  <c r="L46" i="138"/>
  <c r="H46" i="138"/>
  <c r="G46" i="138"/>
  <c r="F46" i="138"/>
  <c r="Q45" i="138"/>
  <c r="P45" i="138"/>
  <c r="O45" i="138"/>
  <c r="L45" i="138"/>
  <c r="K45" i="138"/>
  <c r="J45" i="138"/>
  <c r="M45" i="138" s="1"/>
  <c r="G45" i="138"/>
  <c r="F45" i="138"/>
  <c r="E45" i="138"/>
  <c r="H45" i="138" s="1"/>
  <c r="R44" i="138"/>
  <c r="M44" i="138"/>
  <c r="H44" i="138"/>
  <c r="R43" i="138"/>
  <c r="M43" i="138"/>
  <c r="H43" i="138"/>
  <c r="Q42" i="138"/>
  <c r="R42" i="138" s="1"/>
  <c r="P42" i="138"/>
  <c r="O42" i="138"/>
  <c r="L42" i="138"/>
  <c r="M42" i="138" s="1"/>
  <c r="K42" i="138"/>
  <c r="J42" i="138"/>
  <c r="G42" i="138"/>
  <c r="H42" i="138" s="1"/>
  <c r="F42" i="138"/>
  <c r="E42" i="138"/>
  <c r="R41" i="138"/>
  <c r="M41" i="138"/>
  <c r="H41" i="138"/>
  <c r="P40" i="138"/>
  <c r="L40" i="138"/>
  <c r="K40" i="138"/>
  <c r="F40" i="138"/>
  <c r="E40" i="138"/>
  <c r="E37" i="138" s="1"/>
  <c r="E36" i="138" s="1"/>
  <c r="P39" i="138"/>
  <c r="O39" i="138"/>
  <c r="M39" i="138"/>
  <c r="L39" i="138"/>
  <c r="K39" i="138"/>
  <c r="J39" i="138"/>
  <c r="F39" i="138"/>
  <c r="E39" i="138"/>
  <c r="R38" i="138"/>
  <c r="Q38" i="138"/>
  <c r="P38" i="138"/>
  <c r="L38" i="138"/>
  <c r="M38" i="138" s="1"/>
  <c r="K38" i="138"/>
  <c r="G38" i="138"/>
  <c r="F38" i="138"/>
  <c r="H38" i="138" s="1"/>
  <c r="E38" i="138"/>
  <c r="P37" i="138"/>
  <c r="O37" i="138"/>
  <c r="K37" i="138"/>
  <c r="J37" i="138"/>
  <c r="F37" i="138"/>
  <c r="R34" i="138"/>
  <c r="M34" i="138"/>
  <c r="H34" i="138"/>
  <c r="E33" i="138"/>
  <c r="O32" i="138"/>
  <c r="J32" i="138"/>
  <c r="E32" i="138"/>
  <c r="R31" i="138"/>
  <c r="M31" i="138"/>
  <c r="H31" i="138"/>
  <c r="R30" i="138"/>
  <c r="M30" i="138"/>
  <c r="H30" i="138"/>
  <c r="R29" i="138"/>
  <c r="M29" i="138"/>
  <c r="H29" i="138"/>
  <c r="R28" i="138"/>
  <c r="M28" i="138"/>
  <c r="H28" i="138"/>
  <c r="R27" i="138"/>
  <c r="Q27" i="138"/>
  <c r="P27" i="138"/>
  <c r="O27" i="138"/>
  <c r="M27" i="138"/>
  <c r="L27" i="138"/>
  <c r="K27" i="138"/>
  <c r="J27" i="138"/>
  <c r="H27" i="138"/>
  <c r="G27" i="138"/>
  <c r="F27" i="138"/>
  <c r="E27" i="138"/>
  <c r="C27" i="138"/>
  <c r="C26" i="138" s="1"/>
  <c r="Q26" i="138"/>
  <c r="P26" i="138"/>
  <c r="O26" i="138"/>
  <c r="R26" i="138" s="1"/>
  <c r="L26" i="138"/>
  <c r="K26" i="138"/>
  <c r="J26" i="138"/>
  <c r="M26" i="138" s="1"/>
  <c r="G26" i="138"/>
  <c r="F26" i="138"/>
  <c r="E26" i="138"/>
  <c r="H26" i="138" s="1"/>
  <c r="R25" i="138"/>
  <c r="M25" i="138"/>
  <c r="H25" i="138"/>
  <c r="R24" i="138"/>
  <c r="M24" i="138"/>
  <c r="H24" i="138"/>
  <c r="R23" i="138"/>
  <c r="M23" i="138"/>
  <c r="H23" i="138"/>
  <c r="Q22" i="138"/>
  <c r="R22" i="138" s="1"/>
  <c r="P22" i="138"/>
  <c r="O22" i="138"/>
  <c r="L22" i="138"/>
  <c r="M22" i="138" s="1"/>
  <c r="K22" i="138"/>
  <c r="J22" i="138"/>
  <c r="G22" i="138"/>
  <c r="H22" i="138" s="1"/>
  <c r="F22" i="138"/>
  <c r="E22" i="138"/>
  <c r="Q21" i="138"/>
  <c r="Q14" i="138" s="1"/>
  <c r="P21" i="138"/>
  <c r="O21" i="138"/>
  <c r="L21" i="138"/>
  <c r="M21" i="138" s="1"/>
  <c r="K21" i="138"/>
  <c r="J21" i="138"/>
  <c r="G21" i="138"/>
  <c r="G14" i="138" s="1"/>
  <c r="F21" i="138"/>
  <c r="E21" i="138"/>
  <c r="R20" i="138"/>
  <c r="M20" i="138"/>
  <c r="H20" i="138"/>
  <c r="R19" i="138"/>
  <c r="M19" i="138"/>
  <c r="H19" i="138"/>
  <c r="R18" i="138"/>
  <c r="M18" i="138"/>
  <c r="H18" i="138"/>
  <c r="R17" i="138"/>
  <c r="Q17" i="138"/>
  <c r="P17" i="138"/>
  <c r="O17" i="138"/>
  <c r="M17" i="138"/>
  <c r="L17" i="138"/>
  <c r="K17" i="138"/>
  <c r="J17" i="138"/>
  <c r="H17" i="138"/>
  <c r="G17" i="138"/>
  <c r="F17" i="138"/>
  <c r="E17" i="138"/>
  <c r="R16" i="138"/>
  <c r="Q16" i="138"/>
  <c r="P16" i="138"/>
  <c r="O16" i="138"/>
  <c r="M16" i="138"/>
  <c r="L16" i="138"/>
  <c r="K16" i="138"/>
  <c r="J16" i="138"/>
  <c r="H16" i="138"/>
  <c r="G16" i="138"/>
  <c r="F16" i="138"/>
  <c r="E16" i="138"/>
  <c r="R15" i="138"/>
  <c r="Q15" i="138"/>
  <c r="P15" i="138"/>
  <c r="O15" i="138"/>
  <c r="M15" i="138"/>
  <c r="L15" i="138"/>
  <c r="K15" i="138"/>
  <c r="J15" i="138"/>
  <c r="H15" i="138"/>
  <c r="G15" i="138"/>
  <c r="F15" i="138"/>
  <c r="E15" i="138"/>
  <c r="P14" i="138"/>
  <c r="O14" i="138"/>
  <c r="K14" i="138"/>
  <c r="J14" i="138"/>
  <c r="F14" i="138"/>
  <c r="E14" i="138"/>
  <c r="R13" i="138"/>
  <c r="M13" i="138"/>
  <c r="H13" i="138"/>
  <c r="R12" i="138"/>
  <c r="M12" i="138"/>
  <c r="H12" i="138"/>
  <c r="R11" i="138"/>
  <c r="M11" i="138"/>
  <c r="H11" i="138"/>
  <c r="O10" i="138"/>
  <c r="J10" i="138"/>
  <c r="E10" i="138"/>
  <c r="O48" i="138" l="1"/>
  <c r="R49" i="138"/>
  <c r="H14" i="138"/>
  <c r="M37" i="138"/>
  <c r="P116" i="138"/>
  <c r="P94" i="138" s="1"/>
  <c r="P164" i="138" s="1"/>
  <c r="R39" i="138"/>
  <c r="H48" i="138"/>
  <c r="R14" i="138"/>
  <c r="R111" i="138"/>
  <c r="O110" i="138"/>
  <c r="R110" i="138" s="1"/>
  <c r="H184" i="138"/>
  <c r="F183" i="138"/>
  <c r="H21" i="138"/>
  <c r="R21" i="138"/>
  <c r="H55" i="138"/>
  <c r="L63" i="138"/>
  <c r="L81" i="138"/>
  <c r="M81" i="138" s="1"/>
  <c r="H82" i="138"/>
  <c r="O99" i="138"/>
  <c r="M111" i="138"/>
  <c r="J110" i="138"/>
  <c r="M110" i="138" s="1"/>
  <c r="H139" i="138"/>
  <c r="E132" i="138"/>
  <c r="L14" i="138"/>
  <c r="H37" i="138"/>
  <c r="M40" i="138"/>
  <c r="O36" i="138"/>
  <c r="R45" i="138"/>
  <c r="J48" i="138"/>
  <c r="M48" i="138" s="1"/>
  <c r="E65" i="138"/>
  <c r="M66" i="138"/>
  <c r="P66" i="138"/>
  <c r="P65" i="138" s="1"/>
  <c r="P63" i="138" s="1"/>
  <c r="R72" i="138"/>
  <c r="M85" i="138"/>
  <c r="J99" i="138"/>
  <c r="H129" i="138"/>
  <c r="K120" i="138"/>
  <c r="K119" i="138" s="1"/>
  <c r="K117" i="138" s="1"/>
  <c r="O165" i="138"/>
  <c r="R165" i="138" s="1"/>
  <c r="R169" i="138"/>
  <c r="H185" i="138"/>
  <c r="M183" i="138"/>
  <c r="K182" i="138"/>
  <c r="K178" i="138" s="1"/>
  <c r="H205" i="138"/>
  <c r="R189" i="138"/>
  <c r="O182" i="138"/>
  <c r="H123" i="138"/>
  <c r="G39" i="138"/>
  <c r="H39" i="138" s="1"/>
  <c r="R124" i="138"/>
  <c r="Q121" i="138"/>
  <c r="Q120" i="138" s="1"/>
  <c r="Q119" i="138" s="1"/>
  <c r="Q117" i="138" s="1"/>
  <c r="Q116" i="138" s="1"/>
  <c r="Q94" i="138" s="1"/>
  <c r="Q164" i="138" s="1"/>
  <c r="L37" i="138"/>
  <c r="L36" i="138" s="1"/>
  <c r="L35" i="138" s="1"/>
  <c r="L33" i="138" s="1"/>
  <c r="L32" i="138" s="1"/>
  <c r="H40" i="138"/>
  <c r="Q40" i="138"/>
  <c r="Q37" i="138" s="1"/>
  <c r="Q36" i="138" s="1"/>
  <c r="Q35" i="138" s="1"/>
  <c r="Q33" i="138" s="1"/>
  <c r="Q32" i="138" s="1"/>
  <c r="Q10" i="138" s="1"/>
  <c r="Q80" i="138" s="1"/>
  <c r="F48" i="138"/>
  <c r="F36" i="138" s="1"/>
  <c r="K48" i="138"/>
  <c r="K36" i="138" s="1"/>
  <c r="K35" i="138" s="1"/>
  <c r="K33" i="138" s="1"/>
  <c r="P48" i="138"/>
  <c r="P36" i="138" s="1"/>
  <c r="P35" i="138" s="1"/>
  <c r="P33" i="138" s="1"/>
  <c r="O63" i="138"/>
  <c r="R63" i="138" s="1"/>
  <c r="J65" i="138"/>
  <c r="R85" i="138"/>
  <c r="E89" i="138"/>
  <c r="H89" i="138" s="1"/>
  <c r="H101" i="138"/>
  <c r="E100" i="138"/>
  <c r="H111" i="138"/>
  <c r="E110" i="138"/>
  <c r="H110" i="138" s="1"/>
  <c r="M122" i="138"/>
  <c r="L121" i="138"/>
  <c r="L120" i="138" s="1"/>
  <c r="L119" i="138" s="1"/>
  <c r="L117" i="138" s="1"/>
  <c r="L116" i="138" s="1"/>
  <c r="L94" i="138" s="1"/>
  <c r="L164" i="138" s="1"/>
  <c r="H124" i="138"/>
  <c r="G40" i="138"/>
  <c r="G37" i="138" s="1"/>
  <c r="G36" i="138" s="1"/>
  <c r="G35" i="138" s="1"/>
  <c r="G33" i="138" s="1"/>
  <c r="G32" i="138" s="1"/>
  <c r="G10" i="138" s="1"/>
  <c r="G80" i="138" s="1"/>
  <c r="M132" i="138"/>
  <c r="M150" i="138"/>
  <c r="J149" i="138"/>
  <c r="H152" i="138"/>
  <c r="E150" i="138"/>
  <c r="R183" i="138"/>
  <c r="P182" i="138"/>
  <c r="P178" i="138" s="1"/>
  <c r="E217" i="138"/>
  <c r="H219" i="138"/>
  <c r="H233" i="138"/>
  <c r="R233" i="138"/>
  <c r="Q39" i="138"/>
  <c r="M101" i="138"/>
  <c r="H121" i="138"/>
  <c r="E120" i="138"/>
  <c r="J120" i="138"/>
  <c r="O120" i="138"/>
  <c r="R129" i="138"/>
  <c r="R133" i="138"/>
  <c r="O132" i="138"/>
  <c r="R132" i="138" s="1"/>
  <c r="J165" i="138"/>
  <c r="M165" i="138" s="1"/>
  <c r="M169" i="138"/>
  <c r="H195" i="138"/>
  <c r="M194" i="138"/>
  <c r="M200" i="138"/>
  <c r="R205" i="138"/>
  <c r="G216" i="138"/>
  <c r="G204" i="138" s="1"/>
  <c r="G203" i="138" s="1"/>
  <c r="G248" i="138" s="1"/>
  <c r="O217" i="138"/>
  <c r="R219" i="138"/>
  <c r="M129" i="138"/>
  <c r="H133" i="138"/>
  <c r="F132" i="138"/>
  <c r="F120" i="138" s="1"/>
  <c r="F119" i="138" s="1"/>
  <c r="F117" i="138" s="1"/>
  <c r="M152" i="138"/>
  <c r="M166" i="138"/>
  <c r="E165" i="138"/>
  <c r="H165" i="138" s="1"/>
  <c r="H169" i="138"/>
  <c r="R184" i="138"/>
  <c r="M189" i="138"/>
  <c r="J182" i="138"/>
  <c r="J217" i="138"/>
  <c r="M219" i="138"/>
  <c r="M133" i="138"/>
  <c r="M139" i="138"/>
  <c r="R152" i="138"/>
  <c r="R166" i="138"/>
  <c r="M185" i="138"/>
  <c r="H190" i="138"/>
  <c r="M195" i="138"/>
  <c r="R200" i="138"/>
  <c r="L204" i="138"/>
  <c r="L203" i="138" s="1"/>
  <c r="L248" i="138" s="1"/>
  <c r="Q204" i="138"/>
  <c r="Q203" i="138" s="1"/>
  <c r="Q248" i="138" s="1"/>
  <c r="H213" i="138"/>
  <c r="K203" i="138"/>
  <c r="M231" i="138"/>
  <c r="R231" i="138"/>
  <c r="R244" i="138"/>
  <c r="H250" i="138"/>
  <c r="H135" i="138"/>
  <c r="R139" i="138"/>
  <c r="M184" i="138"/>
  <c r="R185" i="138"/>
  <c r="E189" i="138"/>
  <c r="M190" i="138"/>
  <c r="R195" i="138"/>
  <c r="M213" i="138"/>
  <c r="P204" i="138"/>
  <c r="P203" i="138" s="1"/>
  <c r="H227" i="138"/>
  <c r="H236" i="138"/>
  <c r="M236" i="138"/>
  <c r="M250" i="138"/>
  <c r="M249" i="138"/>
  <c r="R249" i="138"/>
  <c r="F35" i="138" l="1"/>
  <c r="F33" i="138" s="1"/>
  <c r="H36" i="138"/>
  <c r="R33" i="138"/>
  <c r="P32" i="138"/>
  <c r="K32" i="138"/>
  <c r="M33" i="138"/>
  <c r="H189" i="138"/>
  <c r="E182" i="138"/>
  <c r="R120" i="138"/>
  <c r="O119" i="138"/>
  <c r="R119" i="138" s="1"/>
  <c r="E81" i="138"/>
  <c r="H81" i="138" s="1"/>
  <c r="K116" i="138"/>
  <c r="M117" i="138"/>
  <c r="R37" i="138"/>
  <c r="J216" i="138"/>
  <c r="M217" i="138"/>
  <c r="F116" i="138"/>
  <c r="H117" i="138"/>
  <c r="O216" i="138"/>
  <c r="R217" i="138"/>
  <c r="P248" i="138"/>
  <c r="J147" i="138"/>
  <c r="M147" i="138" s="1"/>
  <c r="M149" i="138"/>
  <c r="M65" i="138"/>
  <c r="J63" i="138"/>
  <c r="M63" i="138" s="1"/>
  <c r="J36" i="138"/>
  <c r="K248" i="138"/>
  <c r="H65" i="138"/>
  <c r="E63" i="138"/>
  <c r="M14" i="138"/>
  <c r="L10" i="138"/>
  <c r="L80" i="138" s="1"/>
  <c r="H132" i="138"/>
  <c r="R99" i="138"/>
  <c r="O98" i="138"/>
  <c r="R40" i="138"/>
  <c r="M182" i="138"/>
  <c r="J178" i="138"/>
  <c r="M121" i="138"/>
  <c r="M120" i="138"/>
  <c r="J119" i="138"/>
  <c r="M119" i="138" s="1"/>
  <c r="H150" i="138"/>
  <c r="E149" i="138"/>
  <c r="R65" i="138"/>
  <c r="R116" i="138"/>
  <c r="R117" i="138"/>
  <c r="H120" i="138"/>
  <c r="E216" i="138"/>
  <c r="H217" i="138"/>
  <c r="R121" i="138"/>
  <c r="H100" i="138"/>
  <c r="E99" i="138"/>
  <c r="R66" i="138"/>
  <c r="R182" i="138"/>
  <c r="O178" i="138"/>
  <c r="M99" i="138"/>
  <c r="J98" i="138"/>
  <c r="O35" i="138"/>
  <c r="R36" i="138"/>
  <c r="H183" i="138"/>
  <c r="F182" i="138"/>
  <c r="F178" i="138" s="1"/>
  <c r="F248" i="138" s="1"/>
  <c r="R48" i="138"/>
  <c r="M98" i="138" l="1"/>
  <c r="J94" i="138"/>
  <c r="M178" i="138"/>
  <c r="H63" i="138"/>
  <c r="E35" i="138"/>
  <c r="F94" i="138"/>
  <c r="F164" i="138" s="1"/>
  <c r="H116" i="138"/>
  <c r="M32" i="138"/>
  <c r="K10" i="138"/>
  <c r="F32" i="138"/>
  <c r="H33" i="138"/>
  <c r="H99" i="138"/>
  <c r="E98" i="138"/>
  <c r="H216" i="138"/>
  <c r="E204" i="138"/>
  <c r="K94" i="138"/>
  <c r="K164" i="138" s="1"/>
  <c r="M116" i="138"/>
  <c r="H182" i="138"/>
  <c r="E178" i="138"/>
  <c r="P10" i="138"/>
  <c r="R32" i="138"/>
  <c r="R178" i="138"/>
  <c r="R216" i="138"/>
  <c r="O204" i="138"/>
  <c r="M216" i="138"/>
  <c r="J204" i="138"/>
  <c r="R35" i="138"/>
  <c r="O80" i="138"/>
  <c r="E147" i="138"/>
  <c r="H149" i="138"/>
  <c r="R98" i="138"/>
  <c r="O94" i="138"/>
  <c r="J35" i="138"/>
  <c r="M36" i="138"/>
  <c r="J203" i="138" l="1"/>
  <c r="M204" i="138"/>
  <c r="H204" i="138"/>
  <c r="E203" i="138"/>
  <c r="H203" i="138" s="1"/>
  <c r="M35" i="138"/>
  <c r="J80" i="138"/>
  <c r="H147" i="138"/>
  <c r="E119" i="138"/>
  <c r="H119" i="138" s="1"/>
  <c r="F10" i="138"/>
  <c r="H32" i="138"/>
  <c r="O164" i="138"/>
  <c r="R164" i="138" s="1"/>
  <c r="R94" i="138"/>
  <c r="R80" i="138"/>
  <c r="R204" i="138"/>
  <c r="O203" i="138"/>
  <c r="H98" i="138"/>
  <c r="E94" i="138"/>
  <c r="K80" i="138"/>
  <c r="M10" i="138"/>
  <c r="H35" i="138"/>
  <c r="E80" i="138"/>
  <c r="J164" i="138"/>
  <c r="M164" i="138" s="1"/>
  <c r="M94" i="138"/>
  <c r="H178" i="138"/>
  <c r="E248" i="138"/>
  <c r="H248" i="138" s="1"/>
  <c r="P80" i="138"/>
  <c r="R10" i="138"/>
  <c r="H80" i="138" l="1"/>
  <c r="F80" i="138"/>
  <c r="H10" i="138"/>
  <c r="R203" i="138"/>
  <c r="O248" i="138"/>
  <c r="R248" i="138" s="1"/>
  <c r="M80" i="138"/>
  <c r="E164" i="138"/>
  <c r="H164" i="138" s="1"/>
  <c r="H94" i="138"/>
  <c r="M203" i="138"/>
  <c r="J248" i="138"/>
  <c r="M248" i="138" s="1"/>
  <c r="R260" i="2" l="1"/>
  <c r="M260" i="2"/>
  <c r="H260" i="2"/>
  <c r="R259" i="2"/>
  <c r="M259" i="2"/>
  <c r="H259" i="2"/>
  <c r="R258" i="2"/>
  <c r="M258" i="2"/>
  <c r="H258" i="2"/>
  <c r="Q257" i="2"/>
  <c r="R257" i="2" s="1"/>
  <c r="P257" i="2"/>
  <c r="O257" i="2"/>
  <c r="L257" i="2"/>
  <c r="M257" i="2" s="1"/>
  <c r="K257" i="2"/>
  <c r="J257" i="2"/>
  <c r="G257" i="2"/>
  <c r="H257" i="2" s="1"/>
  <c r="F257" i="2"/>
  <c r="R256" i="2"/>
  <c r="M256" i="2"/>
  <c r="H256" i="2"/>
  <c r="R255" i="2"/>
  <c r="M255" i="2"/>
  <c r="H255" i="2"/>
  <c r="R254" i="2"/>
  <c r="M254" i="2"/>
  <c r="H254" i="2"/>
  <c r="Q253" i="2"/>
  <c r="P253" i="2"/>
  <c r="O253" i="2"/>
  <c r="L253" i="2"/>
  <c r="K253" i="2"/>
  <c r="J253" i="2"/>
  <c r="G253" i="2"/>
  <c r="F253" i="2"/>
  <c r="E253" i="2"/>
  <c r="R252" i="2"/>
  <c r="M252" i="2"/>
  <c r="H252" i="2"/>
  <c r="R251" i="2"/>
  <c r="M251" i="2"/>
  <c r="H251" i="2"/>
  <c r="Q250" i="2"/>
  <c r="P250" i="2"/>
  <c r="O250" i="2"/>
  <c r="R250" i="2" s="1"/>
  <c r="L250" i="2"/>
  <c r="K250" i="2"/>
  <c r="K249" i="2" s="1"/>
  <c r="J250" i="2"/>
  <c r="G250" i="2"/>
  <c r="F250" i="2"/>
  <c r="F249" i="2" s="1"/>
  <c r="E250" i="2"/>
  <c r="H250" i="2" s="1"/>
  <c r="P249" i="2"/>
  <c r="O249" i="2"/>
  <c r="J249" i="2"/>
  <c r="R247" i="2"/>
  <c r="M247" i="2"/>
  <c r="H247" i="2"/>
  <c r="R246" i="2"/>
  <c r="M246" i="2"/>
  <c r="H246" i="2"/>
  <c r="R245" i="2"/>
  <c r="M245" i="2"/>
  <c r="H245" i="2"/>
  <c r="R244" i="2"/>
  <c r="Q244" i="2"/>
  <c r="P244" i="2"/>
  <c r="O244" i="2"/>
  <c r="M244" i="2"/>
  <c r="L244" i="2"/>
  <c r="K244" i="2"/>
  <c r="J244" i="2"/>
  <c r="H244" i="2"/>
  <c r="G244" i="2"/>
  <c r="F244" i="2"/>
  <c r="E244" i="2"/>
  <c r="R243" i="2"/>
  <c r="M243" i="2"/>
  <c r="H243" i="2"/>
  <c r="R242" i="2"/>
  <c r="M242" i="2"/>
  <c r="H242" i="2"/>
  <c r="R241" i="2"/>
  <c r="M241" i="2"/>
  <c r="H241" i="2"/>
  <c r="Q240" i="2"/>
  <c r="P240" i="2"/>
  <c r="O240" i="2"/>
  <c r="R240" i="2" s="1"/>
  <c r="L240" i="2"/>
  <c r="K240" i="2"/>
  <c r="J240" i="2"/>
  <c r="M240" i="2" s="1"/>
  <c r="G240" i="2"/>
  <c r="F240" i="2"/>
  <c r="E240" i="2"/>
  <c r="R239" i="2"/>
  <c r="M239" i="2"/>
  <c r="H239" i="2"/>
  <c r="R238" i="2"/>
  <c r="M238" i="2"/>
  <c r="H238" i="2"/>
  <c r="R237" i="2"/>
  <c r="M237" i="2"/>
  <c r="H237" i="2"/>
  <c r="Q236" i="2"/>
  <c r="Q234" i="2" s="1"/>
  <c r="Q233" i="2" s="1"/>
  <c r="Q231" i="2" s="1"/>
  <c r="P236" i="2"/>
  <c r="R236" i="2" s="1"/>
  <c r="O236" i="2"/>
  <c r="L236" i="2"/>
  <c r="L234" i="2" s="1"/>
  <c r="L233" i="2" s="1"/>
  <c r="L231" i="2" s="1"/>
  <c r="K236" i="2"/>
  <c r="J236" i="2"/>
  <c r="G236" i="2"/>
  <c r="G234" i="2" s="1"/>
  <c r="G233" i="2" s="1"/>
  <c r="G231" i="2" s="1"/>
  <c r="F236" i="2"/>
  <c r="H236" i="2" s="1"/>
  <c r="E236" i="2"/>
  <c r="R235" i="2"/>
  <c r="M235" i="2"/>
  <c r="H235" i="2"/>
  <c r="O234" i="2"/>
  <c r="J234" i="2"/>
  <c r="F234" i="2"/>
  <c r="E234" i="2"/>
  <c r="J233" i="2"/>
  <c r="R232" i="2"/>
  <c r="M232" i="2"/>
  <c r="H232" i="2"/>
  <c r="R230" i="2"/>
  <c r="M230" i="2"/>
  <c r="H230" i="2"/>
  <c r="R229" i="2"/>
  <c r="M229" i="2"/>
  <c r="H229" i="2"/>
  <c r="R228" i="2"/>
  <c r="M228" i="2"/>
  <c r="H228" i="2"/>
  <c r="Q227" i="2"/>
  <c r="P227" i="2"/>
  <c r="O227" i="2"/>
  <c r="R227" i="2" s="1"/>
  <c r="L227" i="2"/>
  <c r="K227" i="2"/>
  <c r="J227" i="2"/>
  <c r="M227" i="2" s="1"/>
  <c r="G227" i="2"/>
  <c r="F227" i="2"/>
  <c r="E227" i="2"/>
  <c r="R226" i="2"/>
  <c r="M226" i="2"/>
  <c r="H226" i="2"/>
  <c r="R225" i="2"/>
  <c r="M225" i="2"/>
  <c r="H225" i="2"/>
  <c r="R224" i="2"/>
  <c r="M224" i="2"/>
  <c r="H224" i="2"/>
  <c r="Q223" i="2"/>
  <c r="P223" i="2"/>
  <c r="R223" i="2" s="1"/>
  <c r="O223" i="2"/>
  <c r="L223" i="2"/>
  <c r="K223" i="2"/>
  <c r="M223" i="2" s="1"/>
  <c r="J223" i="2"/>
  <c r="G223" i="2"/>
  <c r="F223" i="2"/>
  <c r="H223" i="2" s="1"/>
  <c r="E223" i="2"/>
  <c r="R222" i="2"/>
  <c r="M222" i="2"/>
  <c r="H222" i="2"/>
  <c r="R221" i="2"/>
  <c r="M221" i="2"/>
  <c r="H221" i="2"/>
  <c r="R220" i="2"/>
  <c r="M220" i="2"/>
  <c r="H220" i="2"/>
  <c r="Q219" i="2"/>
  <c r="R219" i="2" s="1"/>
  <c r="P219" i="2"/>
  <c r="O219" i="2"/>
  <c r="O217" i="2" s="1"/>
  <c r="L219" i="2"/>
  <c r="M219" i="2" s="1"/>
  <c r="K219" i="2"/>
  <c r="J219" i="2"/>
  <c r="J217" i="2" s="1"/>
  <c r="G219" i="2"/>
  <c r="H219" i="2" s="1"/>
  <c r="F219" i="2"/>
  <c r="E219" i="2"/>
  <c r="E217" i="2" s="1"/>
  <c r="R218" i="2"/>
  <c r="M218" i="2"/>
  <c r="H218" i="2"/>
  <c r="Q217" i="2"/>
  <c r="Q216" i="2" s="1"/>
  <c r="P217" i="2"/>
  <c r="L217" i="2"/>
  <c r="K217" i="2"/>
  <c r="K216" i="2" s="1"/>
  <c r="K204" i="2" s="1"/>
  <c r="G217" i="2"/>
  <c r="G216" i="2" s="1"/>
  <c r="F217" i="2"/>
  <c r="L216" i="2"/>
  <c r="F216" i="2"/>
  <c r="R215" i="2"/>
  <c r="M215" i="2"/>
  <c r="H215" i="2"/>
  <c r="R214" i="2"/>
  <c r="M214" i="2"/>
  <c r="H214" i="2"/>
  <c r="R213" i="2"/>
  <c r="Q213" i="2"/>
  <c r="P213" i="2"/>
  <c r="O213" i="2"/>
  <c r="M213" i="2"/>
  <c r="L213" i="2"/>
  <c r="K213" i="2"/>
  <c r="J213" i="2"/>
  <c r="H213" i="2"/>
  <c r="G213" i="2"/>
  <c r="F213" i="2"/>
  <c r="E213" i="2"/>
  <c r="R212" i="2"/>
  <c r="M212" i="2"/>
  <c r="H212" i="2"/>
  <c r="R211" i="2"/>
  <c r="M211" i="2"/>
  <c r="H211" i="2"/>
  <c r="Q210" i="2"/>
  <c r="P210" i="2"/>
  <c r="O210" i="2"/>
  <c r="L210" i="2"/>
  <c r="K210" i="2"/>
  <c r="J210" i="2"/>
  <c r="G210" i="2"/>
  <c r="F210" i="2"/>
  <c r="H210" i="2" s="1"/>
  <c r="E210" i="2"/>
  <c r="R209" i="2"/>
  <c r="M209" i="2"/>
  <c r="H209" i="2"/>
  <c r="R208" i="2"/>
  <c r="M208" i="2"/>
  <c r="H208" i="2"/>
  <c r="R207" i="2"/>
  <c r="M207" i="2"/>
  <c r="H207" i="2"/>
  <c r="R206" i="2"/>
  <c r="M206" i="2"/>
  <c r="H206" i="2"/>
  <c r="Q205" i="2"/>
  <c r="P205" i="2"/>
  <c r="R205" i="2" s="1"/>
  <c r="O205" i="2"/>
  <c r="L205" i="2"/>
  <c r="K205" i="2"/>
  <c r="J205" i="2"/>
  <c r="G205" i="2"/>
  <c r="G204" i="2" s="1"/>
  <c r="G203" i="2" s="1"/>
  <c r="F205" i="2"/>
  <c r="R202" i="2"/>
  <c r="M202" i="2"/>
  <c r="H202" i="2"/>
  <c r="R201" i="2"/>
  <c r="M201" i="2"/>
  <c r="H201" i="2"/>
  <c r="Q200" i="2"/>
  <c r="P200" i="2"/>
  <c r="O200" i="2"/>
  <c r="R200" i="2" s="1"/>
  <c r="L200" i="2"/>
  <c r="K200" i="2"/>
  <c r="J200" i="2"/>
  <c r="M200" i="2" s="1"/>
  <c r="G200" i="2"/>
  <c r="F200" i="2"/>
  <c r="E200" i="2"/>
  <c r="R199" i="2"/>
  <c r="M199" i="2"/>
  <c r="H199" i="2"/>
  <c r="R198" i="2"/>
  <c r="M198" i="2"/>
  <c r="H198" i="2"/>
  <c r="R197" i="2"/>
  <c r="M197" i="2"/>
  <c r="H197" i="2"/>
  <c r="R196" i="2"/>
  <c r="M196" i="2"/>
  <c r="H196" i="2"/>
  <c r="Q195" i="2"/>
  <c r="P195" i="2"/>
  <c r="P194" i="2" s="1"/>
  <c r="O195" i="2"/>
  <c r="L195" i="2"/>
  <c r="K195" i="2"/>
  <c r="J195" i="2"/>
  <c r="G195" i="2"/>
  <c r="F195" i="2"/>
  <c r="E195" i="2"/>
  <c r="C195" i="2"/>
  <c r="Q194" i="2"/>
  <c r="L194" i="2"/>
  <c r="K194" i="2"/>
  <c r="G194" i="2"/>
  <c r="F194" i="2"/>
  <c r="C194" i="2"/>
  <c r="R193" i="2"/>
  <c r="M193" i="2"/>
  <c r="H193" i="2"/>
  <c r="R192" i="2"/>
  <c r="M192" i="2"/>
  <c r="H192" i="2"/>
  <c r="R191" i="2"/>
  <c r="M191" i="2"/>
  <c r="H191" i="2"/>
  <c r="R190" i="2"/>
  <c r="Q190" i="2"/>
  <c r="P190" i="2"/>
  <c r="O190" i="2"/>
  <c r="M190" i="2"/>
  <c r="L190" i="2"/>
  <c r="K190" i="2"/>
  <c r="J190" i="2"/>
  <c r="H190" i="2"/>
  <c r="G190" i="2"/>
  <c r="F190" i="2"/>
  <c r="E190" i="2"/>
  <c r="R189" i="2"/>
  <c r="Q189" i="2"/>
  <c r="P189" i="2"/>
  <c r="O189" i="2"/>
  <c r="M189" i="2"/>
  <c r="L189" i="2"/>
  <c r="K189" i="2"/>
  <c r="J189" i="2"/>
  <c r="H189" i="2"/>
  <c r="G189" i="2"/>
  <c r="F189" i="2"/>
  <c r="E189" i="2"/>
  <c r="R188" i="2"/>
  <c r="M188" i="2"/>
  <c r="H188" i="2"/>
  <c r="R187" i="2"/>
  <c r="M187" i="2"/>
  <c r="H187" i="2"/>
  <c r="R186" i="2"/>
  <c r="M186" i="2"/>
  <c r="H186" i="2"/>
  <c r="Q185" i="2"/>
  <c r="P185" i="2"/>
  <c r="O185" i="2"/>
  <c r="R185" i="2" s="1"/>
  <c r="L185" i="2"/>
  <c r="L184" i="2" s="1"/>
  <c r="L183" i="2" s="1"/>
  <c r="L182" i="2" s="1"/>
  <c r="L178" i="2" s="1"/>
  <c r="K185" i="2"/>
  <c r="J185" i="2"/>
  <c r="G185" i="2"/>
  <c r="F185" i="2"/>
  <c r="F184" i="2" s="1"/>
  <c r="F183" i="2" s="1"/>
  <c r="E185" i="2"/>
  <c r="Q184" i="2"/>
  <c r="P184" i="2"/>
  <c r="O184" i="2"/>
  <c r="K184" i="2"/>
  <c r="J184" i="2"/>
  <c r="G184" i="2"/>
  <c r="G183" i="2" s="1"/>
  <c r="G182" i="2" s="1"/>
  <c r="G178" i="2" s="1"/>
  <c r="E184" i="2"/>
  <c r="Q183" i="2"/>
  <c r="P183" i="2"/>
  <c r="P182" i="2" s="1"/>
  <c r="P178" i="2" s="1"/>
  <c r="K183" i="2"/>
  <c r="E183" i="2"/>
  <c r="H183" i="2" s="1"/>
  <c r="Q182" i="2"/>
  <c r="Q178" i="2" s="1"/>
  <c r="K182" i="2"/>
  <c r="F182" i="2"/>
  <c r="F178" i="2" s="1"/>
  <c r="E182" i="2"/>
  <c r="R181" i="2"/>
  <c r="M181" i="2"/>
  <c r="H181" i="2"/>
  <c r="R180" i="2"/>
  <c r="M180" i="2"/>
  <c r="H180" i="2"/>
  <c r="R179" i="2"/>
  <c r="M179" i="2"/>
  <c r="H179" i="2"/>
  <c r="K178" i="2"/>
  <c r="R177" i="2"/>
  <c r="M177" i="2"/>
  <c r="H177" i="2"/>
  <c r="R176" i="2"/>
  <c r="M176" i="2"/>
  <c r="H176" i="2"/>
  <c r="R175" i="2"/>
  <c r="M175" i="2"/>
  <c r="H175" i="2"/>
  <c r="R174" i="2"/>
  <c r="M174" i="2"/>
  <c r="H174" i="2"/>
  <c r="Q173" i="2"/>
  <c r="R173" i="2" s="1"/>
  <c r="P173" i="2"/>
  <c r="O173" i="2"/>
  <c r="L173" i="2"/>
  <c r="L165" i="2" s="1"/>
  <c r="K173" i="2"/>
  <c r="J173" i="2"/>
  <c r="G173" i="2"/>
  <c r="H173" i="2" s="1"/>
  <c r="F173" i="2"/>
  <c r="E173" i="2"/>
  <c r="R172" i="2"/>
  <c r="M172" i="2"/>
  <c r="H172" i="2"/>
  <c r="R171" i="2"/>
  <c r="M171" i="2"/>
  <c r="H171" i="2"/>
  <c r="R170" i="2"/>
  <c r="M170" i="2"/>
  <c r="H170" i="2"/>
  <c r="R169" i="2"/>
  <c r="Q169" i="2"/>
  <c r="P169" i="2"/>
  <c r="O169" i="2"/>
  <c r="M169" i="2"/>
  <c r="L169" i="2"/>
  <c r="K169" i="2"/>
  <c r="J169" i="2"/>
  <c r="H169" i="2"/>
  <c r="G169" i="2"/>
  <c r="F169" i="2"/>
  <c r="E169" i="2"/>
  <c r="R168" i="2"/>
  <c r="M168" i="2"/>
  <c r="H168" i="2"/>
  <c r="R167" i="2"/>
  <c r="M167" i="2"/>
  <c r="H167" i="2"/>
  <c r="Q166" i="2"/>
  <c r="P166" i="2"/>
  <c r="O166" i="2"/>
  <c r="L166" i="2"/>
  <c r="K166" i="2"/>
  <c r="J166" i="2"/>
  <c r="M166" i="2" s="1"/>
  <c r="G166" i="2"/>
  <c r="G165" i="2" s="1"/>
  <c r="F166" i="2"/>
  <c r="E166" i="2"/>
  <c r="P165" i="2"/>
  <c r="K165" i="2"/>
  <c r="F165" i="2"/>
  <c r="E165" i="2"/>
  <c r="H165" i="2" s="1"/>
  <c r="R163" i="2"/>
  <c r="M163" i="2"/>
  <c r="H163" i="2"/>
  <c r="R162" i="2"/>
  <c r="M162" i="2"/>
  <c r="H162" i="2"/>
  <c r="R161" i="2"/>
  <c r="M161" i="2"/>
  <c r="H161" i="2"/>
  <c r="Q160" i="2"/>
  <c r="P160" i="2"/>
  <c r="R160" i="2" s="1"/>
  <c r="O160" i="2"/>
  <c r="L160" i="2"/>
  <c r="K160" i="2"/>
  <c r="M160" i="2" s="1"/>
  <c r="J160" i="2"/>
  <c r="G160" i="2"/>
  <c r="G149" i="2" s="1"/>
  <c r="G147" i="2" s="1"/>
  <c r="F160" i="2"/>
  <c r="E160" i="2"/>
  <c r="R159" i="2"/>
  <c r="M159" i="2"/>
  <c r="H159" i="2"/>
  <c r="R158" i="2"/>
  <c r="M158" i="2"/>
  <c r="H158" i="2"/>
  <c r="R157" i="2"/>
  <c r="M157" i="2"/>
  <c r="H157" i="2"/>
  <c r="R156" i="2"/>
  <c r="Q156" i="2"/>
  <c r="P156" i="2"/>
  <c r="O156" i="2"/>
  <c r="M156" i="2"/>
  <c r="L156" i="2"/>
  <c r="K156" i="2"/>
  <c r="J156" i="2"/>
  <c r="H156" i="2"/>
  <c r="G156" i="2"/>
  <c r="F156" i="2"/>
  <c r="E156" i="2"/>
  <c r="R155" i="2"/>
  <c r="M155" i="2"/>
  <c r="H155" i="2"/>
  <c r="R154" i="2"/>
  <c r="M154" i="2"/>
  <c r="H154" i="2"/>
  <c r="R153" i="2"/>
  <c r="M153" i="2"/>
  <c r="H153" i="2"/>
  <c r="Q152" i="2"/>
  <c r="P152" i="2"/>
  <c r="P150" i="2" s="1"/>
  <c r="O152" i="2"/>
  <c r="L152" i="2"/>
  <c r="K152" i="2"/>
  <c r="K150" i="2" s="1"/>
  <c r="J152" i="2"/>
  <c r="G152" i="2"/>
  <c r="F152" i="2"/>
  <c r="F150" i="2" s="1"/>
  <c r="E152" i="2"/>
  <c r="R151" i="2"/>
  <c r="M151" i="2"/>
  <c r="H151" i="2"/>
  <c r="Q150" i="2"/>
  <c r="L150" i="2"/>
  <c r="G150" i="2"/>
  <c r="L149" i="2"/>
  <c r="L147" i="2" s="1"/>
  <c r="R148" i="2"/>
  <c r="M148" i="2"/>
  <c r="L148" i="2"/>
  <c r="H148" i="2"/>
  <c r="G148" i="2"/>
  <c r="F148" i="2"/>
  <c r="R146" i="2"/>
  <c r="M146" i="2"/>
  <c r="H146" i="2"/>
  <c r="R145" i="2"/>
  <c r="M145" i="2"/>
  <c r="H145" i="2"/>
  <c r="R144" i="2"/>
  <c r="M144" i="2"/>
  <c r="H144" i="2"/>
  <c r="Q143" i="2"/>
  <c r="P143" i="2"/>
  <c r="O143" i="2"/>
  <c r="L143" i="2"/>
  <c r="K143" i="2"/>
  <c r="J143" i="2"/>
  <c r="G143" i="2"/>
  <c r="F143" i="2"/>
  <c r="E143" i="2"/>
  <c r="R142" i="2"/>
  <c r="M142" i="2"/>
  <c r="H142" i="2"/>
  <c r="R141" i="2"/>
  <c r="M141" i="2"/>
  <c r="H141" i="2"/>
  <c r="R140" i="2"/>
  <c r="M140" i="2"/>
  <c r="H140" i="2"/>
  <c r="Q139" i="2"/>
  <c r="P139" i="2"/>
  <c r="O139" i="2"/>
  <c r="L139" i="2"/>
  <c r="K139" i="2"/>
  <c r="J139" i="2"/>
  <c r="G139" i="2"/>
  <c r="F139" i="2"/>
  <c r="E139" i="2"/>
  <c r="R138" i="2"/>
  <c r="M138" i="2"/>
  <c r="H138" i="2"/>
  <c r="R137" i="2"/>
  <c r="M137" i="2"/>
  <c r="H137" i="2"/>
  <c r="R136" i="2"/>
  <c r="M136" i="2"/>
  <c r="H136" i="2"/>
  <c r="Q135" i="2"/>
  <c r="P135" i="2"/>
  <c r="P133" i="2" s="1"/>
  <c r="O135" i="2"/>
  <c r="O133" i="2" s="1"/>
  <c r="L135" i="2"/>
  <c r="M135" i="2" s="1"/>
  <c r="K135" i="2"/>
  <c r="K133" i="2" s="1"/>
  <c r="J135" i="2"/>
  <c r="G135" i="2"/>
  <c r="F135" i="2"/>
  <c r="F133" i="2" s="1"/>
  <c r="E135" i="2"/>
  <c r="R134" i="2"/>
  <c r="M134" i="2"/>
  <c r="H134" i="2"/>
  <c r="J133" i="2"/>
  <c r="E133" i="2"/>
  <c r="E132" i="2" s="1"/>
  <c r="E120" i="2" s="1"/>
  <c r="R131" i="2"/>
  <c r="M131" i="2"/>
  <c r="H131" i="2"/>
  <c r="R130" i="2"/>
  <c r="M130" i="2"/>
  <c r="H130" i="2"/>
  <c r="Q129" i="2"/>
  <c r="P129" i="2"/>
  <c r="O129" i="2"/>
  <c r="R129" i="2" s="1"/>
  <c r="L129" i="2"/>
  <c r="K129" i="2"/>
  <c r="J129" i="2"/>
  <c r="G129" i="2"/>
  <c r="F129" i="2"/>
  <c r="E129" i="2"/>
  <c r="H129" i="2" s="1"/>
  <c r="R128" i="2"/>
  <c r="M128" i="2"/>
  <c r="H128" i="2"/>
  <c r="R127" i="2"/>
  <c r="M127" i="2"/>
  <c r="H127" i="2"/>
  <c r="Q126" i="2"/>
  <c r="R126" i="2" s="1"/>
  <c r="P126" i="2"/>
  <c r="O126" i="2"/>
  <c r="L126" i="2"/>
  <c r="M126" i="2" s="1"/>
  <c r="K126" i="2"/>
  <c r="J126" i="2"/>
  <c r="G126" i="2"/>
  <c r="H126" i="2" s="1"/>
  <c r="F126" i="2"/>
  <c r="E126" i="2"/>
  <c r="R125" i="2"/>
  <c r="M125" i="2"/>
  <c r="H125" i="2"/>
  <c r="Q124" i="2"/>
  <c r="Q121" i="2" s="1"/>
  <c r="P124" i="2"/>
  <c r="R124" i="2" s="1"/>
  <c r="L124" i="2"/>
  <c r="K124" i="2"/>
  <c r="M124" i="2" s="1"/>
  <c r="H124" i="2"/>
  <c r="G124" i="2"/>
  <c r="F124" i="2"/>
  <c r="Q123" i="2"/>
  <c r="R123" i="2" s="1"/>
  <c r="P123" i="2"/>
  <c r="L123" i="2"/>
  <c r="L39" i="2" s="1"/>
  <c r="K123" i="2"/>
  <c r="G123" i="2"/>
  <c r="F123" i="2"/>
  <c r="H123" i="2" s="1"/>
  <c r="R122" i="2"/>
  <c r="Q122" i="2"/>
  <c r="P122" i="2"/>
  <c r="M122" i="2"/>
  <c r="L122" i="2"/>
  <c r="K122" i="2"/>
  <c r="G122" i="2"/>
  <c r="G121" i="2" s="1"/>
  <c r="F122" i="2"/>
  <c r="F121" i="2" s="1"/>
  <c r="P121" i="2"/>
  <c r="O121" i="2"/>
  <c r="K121" i="2"/>
  <c r="J121" i="2"/>
  <c r="E121" i="2"/>
  <c r="R118" i="2"/>
  <c r="M118" i="2"/>
  <c r="H118" i="2"/>
  <c r="O116" i="2"/>
  <c r="J116" i="2"/>
  <c r="E116" i="2"/>
  <c r="R115" i="2"/>
  <c r="M115" i="2"/>
  <c r="H115" i="2"/>
  <c r="R114" i="2"/>
  <c r="M114" i="2"/>
  <c r="H114" i="2"/>
  <c r="R113" i="2"/>
  <c r="M113" i="2"/>
  <c r="H113" i="2"/>
  <c r="R112" i="2"/>
  <c r="M112" i="2"/>
  <c r="H112" i="2"/>
  <c r="Q111" i="2"/>
  <c r="P111" i="2"/>
  <c r="O111" i="2"/>
  <c r="L111" i="2"/>
  <c r="K111" i="2"/>
  <c r="K110" i="2" s="1"/>
  <c r="J111" i="2"/>
  <c r="G111" i="2"/>
  <c r="F111" i="2"/>
  <c r="E111" i="2"/>
  <c r="C111" i="2"/>
  <c r="Q110" i="2"/>
  <c r="P110" i="2"/>
  <c r="L110" i="2"/>
  <c r="G110" i="2"/>
  <c r="F110" i="2"/>
  <c r="C110" i="2"/>
  <c r="R109" i="2"/>
  <c r="M109" i="2"/>
  <c r="H109" i="2"/>
  <c r="R108" i="2"/>
  <c r="M108" i="2"/>
  <c r="H108" i="2"/>
  <c r="R107" i="2"/>
  <c r="M107" i="2"/>
  <c r="H107" i="2"/>
  <c r="Q106" i="2"/>
  <c r="P106" i="2"/>
  <c r="R106" i="2" s="1"/>
  <c r="O106" i="2"/>
  <c r="L106" i="2"/>
  <c r="K106" i="2"/>
  <c r="M106" i="2" s="1"/>
  <c r="J106" i="2"/>
  <c r="G106" i="2"/>
  <c r="F106" i="2"/>
  <c r="H106" i="2" s="1"/>
  <c r="E106" i="2"/>
  <c r="Q105" i="2"/>
  <c r="O105" i="2"/>
  <c r="L105" i="2"/>
  <c r="J105" i="2"/>
  <c r="G105" i="2"/>
  <c r="F105" i="2"/>
  <c r="H105" i="2" s="1"/>
  <c r="E105" i="2"/>
  <c r="R104" i="2"/>
  <c r="M104" i="2"/>
  <c r="H104" i="2"/>
  <c r="R103" i="2"/>
  <c r="M103" i="2"/>
  <c r="H103" i="2"/>
  <c r="R102" i="2"/>
  <c r="M102" i="2"/>
  <c r="H102" i="2"/>
  <c r="Q101" i="2"/>
  <c r="P101" i="2"/>
  <c r="P100" i="2" s="1"/>
  <c r="P99" i="2" s="1"/>
  <c r="O101" i="2"/>
  <c r="L101" i="2"/>
  <c r="K101" i="2"/>
  <c r="J101" i="2"/>
  <c r="G101" i="2"/>
  <c r="F101" i="2"/>
  <c r="E101" i="2"/>
  <c r="H101" i="2" s="1"/>
  <c r="Q100" i="2"/>
  <c r="Q99" i="2" s="1"/>
  <c r="Q98" i="2" s="1"/>
  <c r="O100" i="2"/>
  <c r="L100" i="2"/>
  <c r="K100" i="2"/>
  <c r="K99" i="2" s="1"/>
  <c r="G100" i="2"/>
  <c r="F100" i="2"/>
  <c r="F99" i="2" s="1"/>
  <c r="F98" i="2" s="1"/>
  <c r="O99" i="2"/>
  <c r="L99" i="2"/>
  <c r="L98" i="2" s="1"/>
  <c r="G99" i="2"/>
  <c r="G98" i="2" s="1"/>
  <c r="O98" i="2"/>
  <c r="R97" i="2"/>
  <c r="M97" i="2"/>
  <c r="H97" i="2"/>
  <c r="R96" i="2"/>
  <c r="M96" i="2"/>
  <c r="H96" i="2"/>
  <c r="R95" i="2"/>
  <c r="M95" i="2"/>
  <c r="H95" i="2"/>
  <c r="R93" i="2"/>
  <c r="M93" i="2"/>
  <c r="H93" i="2"/>
  <c r="R92" i="2"/>
  <c r="M92" i="2"/>
  <c r="H92" i="2"/>
  <c r="R91" i="2"/>
  <c r="M91" i="2"/>
  <c r="H91" i="2"/>
  <c r="E91" i="2"/>
  <c r="R90" i="2"/>
  <c r="M90" i="2"/>
  <c r="H90" i="2"/>
  <c r="Q89" i="2"/>
  <c r="P89" i="2"/>
  <c r="O89" i="2"/>
  <c r="L89" i="2"/>
  <c r="K89" i="2"/>
  <c r="J89" i="2"/>
  <c r="M89" i="2" s="1"/>
  <c r="G89" i="2"/>
  <c r="F89" i="2"/>
  <c r="E89" i="2"/>
  <c r="H89" i="2" s="1"/>
  <c r="R88" i="2"/>
  <c r="M88" i="2"/>
  <c r="H88" i="2"/>
  <c r="R87" i="2"/>
  <c r="M87" i="2"/>
  <c r="H87" i="2"/>
  <c r="R86" i="2"/>
  <c r="M86" i="2"/>
  <c r="H86" i="2"/>
  <c r="Q85" i="2"/>
  <c r="Q81" i="2" s="1"/>
  <c r="P85" i="2"/>
  <c r="O85" i="2"/>
  <c r="L85" i="2"/>
  <c r="L81" i="2" s="1"/>
  <c r="K85" i="2"/>
  <c r="J85" i="2"/>
  <c r="G85" i="2"/>
  <c r="G81" i="2" s="1"/>
  <c r="F85" i="2"/>
  <c r="E85" i="2"/>
  <c r="R84" i="2"/>
  <c r="M84" i="2"/>
  <c r="H84" i="2"/>
  <c r="R83" i="2"/>
  <c r="M83" i="2"/>
  <c r="H83" i="2"/>
  <c r="R82" i="2"/>
  <c r="Q82" i="2"/>
  <c r="P82" i="2"/>
  <c r="O82" i="2"/>
  <c r="O81" i="2" s="1"/>
  <c r="M82" i="2"/>
  <c r="L82" i="2"/>
  <c r="K82" i="2"/>
  <c r="J82" i="2"/>
  <c r="H82" i="2"/>
  <c r="G82" i="2"/>
  <c r="F82" i="2"/>
  <c r="E82" i="2"/>
  <c r="E81" i="2" s="1"/>
  <c r="R79" i="2"/>
  <c r="M79" i="2"/>
  <c r="H79" i="2"/>
  <c r="R78" i="2"/>
  <c r="M78" i="2"/>
  <c r="H78" i="2"/>
  <c r="R77" i="2"/>
  <c r="M77" i="2"/>
  <c r="H77" i="2"/>
  <c r="Q76" i="2"/>
  <c r="P76" i="2"/>
  <c r="O76" i="2"/>
  <c r="R76" i="2" s="1"/>
  <c r="L76" i="2"/>
  <c r="K76" i="2"/>
  <c r="J76" i="2"/>
  <c r="G76" i="2"/>
  <c r="F76" i="2"/>
  <c r="F65" i="2" s="1"/>
  <c r="F63" i="2" s="1"/>
  <c r="E76" i="2"/>
  <c r="R75" i="2"/>
  <c r="M75" i="2"/>
  <c r="H75" i="2"/>
  <c r="R74" i="2"/>
  <c r="M74" i="2"/>
  <c r="H74" i="2"/>
  <c r="R73" i="2"/>
  <c r="M73" i="2"/>
  <c r="H73" i="2"/>
  <c r="Q72" i="2"/>
  <c r="P72" i="2"/>
  <c r="R72" i="2" s="1"/>
  <c r="O72" i="2"/>
  <c r="L72" i="2"/>
  <c r="K72" i="2"/>
  <c r="M72" i="2" s="1"/>
  <c r="J72" i="2"/>
  <c r="G72" i="2"/>
  <c r="F72" i="2"/>
  <c r="E72" i="2"/>
  <c r="R71" i="2"/>
  <c r="M71" i="2"/>
  <c r="H71" i="2"/>
  <c r="R70" i="2"/>
  <c r="M70" i="2"/>
  <c r="H70" i="2"/>
  <c r="R69" i="2"/>
  <c r="M69" i="2"/>
  <c r="H69" i="2"/>
  <c r="R68" i="2"/>
  <c r="Q68" i="2"/>
  <c r="P68" i="2"/>
  <c r="O68" i="2"/>
  <c r="O66" i="2" s="1"/>
  <c r="M68" i="2"/>
  <c r="L68" i="2"/>
  <c r="K68" i="2"/>
  <c r="J68" i="2"/>
  <c r="J66" i="2" s="1"/>
  <c r="H68" i="2"/>
  <c r="G68" i="2"/>
  <c r="F68" i="2"/>
  <c r="E68" i="2"/>
  <c r="E66" i="2" s="1"/>
  <c r="R67" i="2"/>
  <c r="M67" i="2"/>
  <c r="H67" i="2"/>
  <c r="Q66" i="2"/>
  <c r="Q65" i="2" s="1"/>
  <c r="Q63" i="2" s="1"/>
  <c r="P66" i="2"/>
  <c r="L66" i="2"/>
  <c r="K66" i="2"/>
  <c r="K65" i="2" s="1"/>
  <c r="K63" i="2" s="1"/>
  <c r="G66" i="2"/>
  <c r="G65" i="2" s="1"/>
  <c r="F66" i="2"/>
  <c r="L65" i="2"/>
  <c r="L63" i="2" s="1"/>
  <c r="R64" i="2"/>
  <c r="M64" i="2"/>
  <c r="L64" i="2"/>
  <c r="J64" i="2"/>
  <c r="G64" i="2"/>
  <c r="F64" i="2"/>
  <c r="E64" i="2"/>
  <c r="R62" i="2"/>
  <c r="M62" i="2"/>
  <c r="H62" i="2"/>
  <c r="R61" i="2"/>
  <c r="M61" i="2"/>
  <c r="H61" i="2"/>
  <c r="R60" i="2"/>
  <c r="M60" i="2"/>
  <c r="H60" i="2"/>
  <c r="Q59" i="2"/>
  <c r="P59" i="2"/>
  <c r="O59" i="2"/>
  <c r="L59" i="2"/>
  <c r="K59" i="2"/>
  <c r="J59" i="2"/>
  <c r="G59" i="2"/>
  <c r="F59" i="2"/>
  <c r="E59" i="2"/>
  <c r="R58" i="2"/>
  <c r="M58" i="2"/>
  <c r="H58" i="2"/>
  <c r="R57" i="2"/>
  <c r="M57" i="2"/>
  <c r="H57" i="2"/>
  <c r="R56" i="2"/>
  <c r="M56" i="2"/>
  <c r="H56" i="2"/>
  <c r="Q55" i="2"/>
  <c r="P55" i="2"/>
  <c r="O55" i="2"/>
  <c r="R55" i="2" s="1"/>
  <c r="L55" i="2"/>
  <c r="K55" i="2"/>
  <c r="J55" i="2"/>
  <c r="G55" i="2"/>
  <c r="F55" i="2"/>
  <c r="E55" i="2"/>
  <c r="R54" i="2"/>
  <c r="M54" i="2"/>
  <c r="H54" i="2"/>
  <c r="R53" i="2"/>
  <c r="M53" i="2"/>
  <c r="H53" i="2"/>
  <c r="R52" i="2"/>
  <c r="M52" i="2"/>
  <c r="H52" i="2"/>
  <c r="Q51" i="2"/>
  <c r="Q49" i="2" s="1"/>
  <c r="Q48" i="2" s="1"/>
  <c r="P51" i="2"/>
  <c r="P49" i="2" s="1"/>
  <c r="O51" i="2"/>
  <c r="L51" i="2"/>
  <c r="L49" i="2" s="1"/>
  <c r="K51" i="2"/>
  <c r="K49" i="2" s="1"/>
  <c r="K48" i="2" s="1"/>
  <c r="J51" i="2"/>
  <c r="J49" i="2" s="1"/>
  <c r="J48" i="2" s="1"/>
  <c r="G51" i="2"/>
  <c r="G49" i="2" s="1"/>
  <c r="F51" i="2"/>
  <c r="F49" i="2" s="1"/>
  <c r="E51" i="2"/>
  <c r="R50" i="2"/>
  <c r="M50" i="2"/>
  <c r="H50" i="2"/>
  <c r="R47" i="2"/>
  <c r="M47" i="2"/>
  <c r="H47" i="2"/>
  <c r="R46" i="2"/>
  <c r="M46" i="2"/>
  <c r="H46" i="2"/>
  <c r="Q45" i="2"/>
  <c r="P45" i="2"/>
  <c r="R45" i="2" s="1"/>
  <c r="O45" i="2"/>
  <c r="L45" i="2"/>
  <c r="K45" i="2"/>
  <c r="M45" i="2" s="1"/>
  <c r="J45" i="2"/>
  <c r="G45" i="2"/>
  <c r="F45" i="2"/>
  <c r="E45" i="2"/>
  <c r="Q44" i="2"/>
  <c r="R44" i="2" s="1"/>
  <c r="M44" i="2"/>
  <c r="L44" i="2"/>
  <c r="G44" i="2"/>
  <c r="H44" i="2" s="1"/>
  <c r="R43" i="2"/>
  <c r="P43" i="2"/>
  <c r="K43" i="2"/>
  <c r="M43" i="2" s="1"/>
  <c r="H43" i="2"/>
  <c r="F43" i="2"/>
  <c r="Q42" i="2"/>
  <c r="P42" i="2"/>
  <c r="O42" i="2"/>
  <c r="L42" i="2"/>
  <c r="K42" i="2"/>
  <c r="M42" i="2" s="1"/>
  <c r="J42" i="2"/>
  <c r="G42" i="2"/>
  <c r="F42" i="2"/>
  <c r="H42" i="2" s="1"/>
  <c r="E42" i="2"/>
  <c r="R41" i="2"/>
  <c r="M41" i="2"/>
  <c r="H41" i="2"/>
  <c r="Q40" i="2"/>
  <c r="P40" i="2"/>
  <c r="O40" i="2"/>
  <c r="L40" i="2"/>
  <c r="K40" i="2"/>
  <c r="K37" i="2" s="1"/>
  <c r="K36" i="2" s="1"/>
  <c r="K35" i="2" s="1"/>
  <c r="K33" i="2" s="1"/>
  <c r="J40" i="2"/>
  <c r="G40" i="2"/>
  <c r="F40" i="2"/>
  <c r="E40" i="2"/>
  <c r="Q39" i="2"/>
  <c r="P39" i="2"/>
  <c r="O39" i="2"/>
  <c r="R39" i="2" s="1"/>
  <c r="K39" i="2"/>
  <c r="J39" i="2"/>
  <c r="G39" i="2"/>
  <c r="F39" i="2"/>
  <c r="E39" i="2"/>
  <c r="H39" i="2" s="1"/>
  <c r="Q38" i="2"/>
  <c r="P38" i="2"/>
  <c r="R38" i="2" s="1"/>
  <c r="K38" i="2"/>
  <c r="G38" i="2"/>
  <c r="Q37" i="2"/>
  <c r="P37" i="2"/>
  <c r="G37" i="2"/>
  <c r="R34" i="2"/>
  <c r="M34" i="2"/>
  <c r="H34" i="2"/>
  <c r="O32" i="2"/>
  <c r="J32" i="2"/>
  <c r="E32" i="2"/>
  <c r="R31" i="2"/>
  <c r="M31" i="2"/>
  <c r="H31" i="2"/>
  <c r="R30" i="2"/>
  <c r="M30" i="2"/>
  <c r="H30" i="2"/>
  <c r="R29" i="2"/>
  <c r="M29" i="2"/>
  <c r="H29" i="2"/>
  <c r="R28" i="2"/>
  <c r="M28" i="2"/>
  <c r="H28" i="2"/>
  <c r="Q27" i="2"/>
  <c r="P27" i="2"/>
  <c r="O27" i="2"/>
  <c r="L27" i="2"/>
  <c r="L26" i="2" s="1"/>
  <c r="K27" i="2"/>
  <c r="J27" i="2"/>
  <c r="G27" i="2"/>
  <c r="G26" i="2" s="1"/>
  <c r="F27" i="2"/>
  <c r="E27" i="2"/>
  <c r="C27" i="2"/>
  <c r="Q26" i="2"/>
  <c r="O26" i="2"/>
  <c r="J26" i="2"/>
  <c r="E26" i="2"/>
  <c r="C26" i="2"/>
  <c r="R25" i="2"/>
  <c r="M25" i="2"/>
  <c r="H25" i="2"/>
  <c r="R24" i="2"/>
  <c r="M24" i="2"/>
  <c r="H24" i="2"/>
  <c r="R23" i="2"/>
  <c r="M23" i="2"/>
  <c r="H23" i="2"/>
  <c r="Q22" i="2"/>
  <c r="P22" i="2"/>
  <c r="O22" i="2"/>
  <c r="R22" i="2" s="1"/>
  <c r="L22" i="2"/>
  <c r="K22" i="2"/>
  <c r="J22" i="2"/>
  <c r="M22" i="2" s="1"/>
  <c r="G22" i="2"/>
  <c r="F22" i="2"/>
  <c r="E22" i="2"/>
  <c r="H22" i="2" s="1"/>
  <c r="Q21" i="2"/>
  <c r="P21" i="2"/>
  <c r="L21" i="2"/>
  <c r="K21" i="2"/>
  <c r="J21" i="2"/>
  <c r="G21" i="2"/>
  <c r="F21" i="2"/>
  <c r="E21" i="2"/>
  <c r="R20" i="2"/>
  <c r="M20" i="2"/>
  <c r="H20" i="2"/>
  <c r="R19" i="2"/>
  <c r="M19" i="2"/>
  <c r="H19" i="2"/>
  <c r="R18" i="2"/>
  <c r="M18" i="2"/>
  <c r="H18" i="2"/>
  <c r="Q17" i="2"/>
  <c r="P17" i="2"/>
  <c r="R17" i="2" s="1"/>
  <c r="O17" i="2"/>
  <c r="L17" i="2"/>
  <c r="L16" i="2" s="1"/>
  <c r="L15" i="2" s="1"/>
  <c r="L14" i="2" s="1"/>
  <c r="K17" i="2"/>
  <c r="J17" i="2"/>
  <c r="G17" i="2"/>
  <c r="F17" i="2"/>
  <c r="H17" i="2" s="1"/>
  <c r="E17" i="2"/>
  <c r="Q16" i="2"/>
  <c r="P16" i="2"/>
  <c r="R16" i="2" s="1"/>
  <c r="O16" i="2"/>
  <c r="K16" i="2"/>
  <c r="J16" i="2"/>
  <c r="G16" i="2"/>
  <c r="G15" i="2" s="1"/>
  <c r="G14" i="2" s="1"/>
  <c r="E16" i="2"/>
  <c r="Q15" i="2"/>
  <c r="P15" i="2"/>
  <c r="R15" i="2" s="1"/>
  <c r="O15" i="2"/>
  <c r="K15" i="2"/>
  <c r="J15" i="2"/>
  <c r="E15" i="2"/>
  <c r="Q14" i="2"/>
  <c r="K14" i="2"/>
  <c r="R13" i="2"/>
  <c r="M13" i="2"/>
  <c r="H13" i="2"/>
  <c r="R12" i="2"/>
  <c r="M12" i="2"/>
  <c r="E12" i="2"/>
  <c r="R11" i="2"/>
  <c r="M11" i="2"/>
  <c r="H11" i="2"/>
  <c r="H135" i="2" l="1"/>
  <c r="L133" i="2"/>
  <c r="L132" i="2" s="1"/>
  <c r="R143" i="2"/>
  <c r="J132" i="2"/>
  <c r="R135" i="2"/>
  <c r="H51" i="2"/>
  <c r="M55" i="2"/>
  <c r="M59" i="2"/>
  <c r="H55" i="2"/>
  <c r="R51" i="2"/>
  <c r="Q36" i="2"/>
  <c r="Q35" i="2" s="1"/>
  <c r="Q33" i="2" s="1"/>
  <c r="Q32" i="2" s="1"/>
  <c r="Q10" i="2" s="1"/>
  <c r="Q80" i="2" s="1"/>
  <c r="O49" i="2"/>
  <c r="P48" i="2"/>
  <c r="P36" i="2" s="1"/>
  <c r="R59" i="2"/>
  <c r="F48" i="2"/>
  <c r="L48" i="2"/>
  <c r="M48" i="2" s="1"/>
  <c r="H59" i="2"/>
  <c r="Q133" i="2"/>
  <c r="Q132" i="2" s="1"/>
  <c r="Q120" i="2" s="1"/>
  <c r="H143" i="2"/>
  <c r="G133" i="2"/>
  <c r="H133" i="2" s="1"/>
  <c r="M143" i="2"/>
  <c r="M133" i="2"/>
  <c r="R139" i="2"/>
  <c r="K32" i="2"/>
  <c r="K10" i="2" s="1"/>
  <c r="K80" i="2" s="1"/>
  <c r="E10" i="2"/>
  <c r="G63" i="2"/>
  <c r="H81" i="2"/>
  <c r="R81" i="2"/>
  <c r="E65" i="2"/>
  <c r="H66" i="2"/>
  <c r="M66" i="2"/>
  <c r="J65" i="2"/>
  <c r="M101" i="2"/>
  <c r="J100" i="2"/>
  <c r="R99" i="2"/>
  <c r="M139" i="2"/>
  <c r="L248" i="2"/>
  <c r="Q249" i="2"/>
  <c r="R253" i="2"/>
  <c r="M16" i="2"/>
  <c r="P26" i="2"/>
  <c r="R26" i="2" s="1"/>
  <c r="R27" i="2"/>
  <c r="R40" i="2"/>
  <c r="O37" i="2"/>
  <c r="M49" i="2"/>
  <c r="G48" i="2"/>
  <c r="G36" i="2" s="1"/>
  <c r="G35" i="2" s="1"/>
  <c r="G33" i="2" s="1"/>
  <c r="G32" i="2" s="1"/>
  <c r="G10" i="2" s="1"/>
  <c r="G80" i="2" s="1"/>
  <c r="H72" i="2"/>
  <c r="M76" i="2"/>
  <c r="R85" i="2"/>
  <c r="P81" i="2"/>
  <c r="E100" i="2"/>
  <c r="P105" i="2"/>
  <c r="R105" i="2" s="1"/>
  <c r="L121" i="2"/>
  <c r="L38" i="2"/>
  <c r="J150" i="2"/>
  <c r="M152" i="2"/>
  <c r="M21" i="2"/>
  <c r="J14" i="2"/>
  <c r="F26" i="2"/>
  <c r="H26" i="2" s="1"/>
  <c r="H27" i="2"/>
  <c r="H40" i="2"/>
  <c r="E37" i="2"/>
  <c r="O65" i="2"/>
  <c r="R66" i="2"/>
  <c r="H85" i="2"/>
  <c r="F81" i="2"/>
  <c r="H12" i="2"/>
  <c r="M15" i="2"/>
  <c r="H21" i="2"/>
  <c r="E14" i="2"/>
  <c r="P65" i="2"/>
  <c r="P63" i="2" s="1"/>
  <c r="J81" i="2"/>
  <c r="M81" i="2" s="1"/>
  <c r="K98" i="2"/>
  <c r="H111" i="2"/>
  <c r="E110" i="2"/>
  <c r="H110" i="2" s="1"/>
  <c r="O150" i="2"/>
  <c r="R152" i="2"/>
  <c r="H182" i="2"/>
  <c r="E178" i="2"/>
  <c r="H178" i="2" s="1"/>
  <c r="M233" i="2"/>
  <c r="J231" i="2"/>
  <c r="P14" i="2"/>
  <c r="F16" i="2"/>
  <c r="M17" i="2"/>
  <c r="O21" i="2"/>
  <c r="M27" i="2"/>
  <c r="K26" i="2"/>
  <c r="M26" i="2" s="1"/>
  <c r="M39" i="2"/>
  <c r="M40" i="2"/>
  <c r="J37" i="2"/>
  <c r="R42" i="2"/>
  <c r="H45" i="2"/>
  <c r="E49" i="2"/>
  <c r="M51" i="2"/>
  <c r="H64" i="2"/>
  <c r="H76" i="2"/>
  <c r="K81" i="2"/>
  <c r="M85" i="2"/>
  <c r="R89" i="2"/>
  <c r="O94" i="2"/>
  <c r="K105" i="2"/>
  <c r="M105" i="2" s="1"/>
  <c r="J120" i="2"/>
  <c r="H122" i="2"/>
  <c r="F38" i="2"/>
  <c r="H152" i="2"/>
  <c r="E150" i="2"/>
  <c r="M184" i="2"/>
  <c r="J183" i="2"/>
  <c r="H217" i="2"/>
  <c r="E216" i="2"/>
  <c r="H216" i="2" s="1"/>
  <c r="R166" i="2"/>
  <c r="O165" i="2"/>
  <c r="R165" i="2" s="1"/>
  <c r="R195" i="2"/>
  <c r="O194" i="2"/>
  <c r="R194" i="2" s="1"/>
  <c r="L249" i="2"/>
  <c r="M249" i="2" s="1"/>
  <c r="M253" i="2"/>
  <c r="R100" i="2"/>
  <c r="R101" i="2"/>
  <c r="M111" i="2"/>
  <c r="J110" i="2"/>
  <c r="M110" i="2" s="1"/>
  <c r="H121" i="2"/>
  <c r="R121" i="2"/>
  <c r="M123" i="2"/>
  <c r="M129" i="2"/>
  <c r="Q149" i="2"/>
  <c r="Q147" i="2" s="1"/>
  <c r="H160" i="2"/>
  <c r="J165" i="2"/>
  <c r="M165" i="2" s="1"/>
  <c r="G248" i="2"/>
  <c r="H205" i="2"/>
  <c r="F204" i="2"/>
  <c r="L204" i="2"/>
  <c r="L203" i="2" s="1"/>
  <c r="M210" i="2"/>
  <c r="M217" i="2"/>
  <c r="J216" i="2"/>
  <c r="F233" i="2"/>
  <c r="F231" i="2" s="1"/>
  <c r="O132" i="2"/>
  <c r="H139" i="2"/>
  <c r="G132" i="2"/>
  <c r="G120" i="2" s="1"/>
  <c r="G119" i="2" s="1"/>
  <c r="G117" i="2" s="1"/>
  <c r="G116" i="2" s="1"/>
  <c r="G94" i="2" s="1"/>
  <c r="G164" i="2" s="1"/>
  <c r="R234" i="2"/>
  <c r="O233" i="2"/>
  <c r="R111" i="2"/>
  <c r="O110" i="2"/>
  <c r="R110" i="2" s="1"/>
  <c r="Q165" i="2"/>
  <c r="M173" i="2"/>
  <c r="R184" i="2"/>
  <c r="O183" i="2"/>
  <c r="M195" i="2"/>
  <c r="J194" i="2"/>
  <c r="M194" i="2" s="1"/>
  <c r="P216" i="2"/>
  <c r="P204" i="2" s="1"/>
  <c r="P203" i="2" s="1"/>
  <c r="P248" i="2" s="1"/>
  <c r="R217" i="2"/>
  <c r="O216" i="2"/>
  <c r="H234" i="2"/>
  <c r="E233" i="2"/>
  <c r="P234" i="2"/>
  <c r="P233" i="2" s="1"/>
  <c r="P231" i="2" s="1"/>
  <c r="M236" i="2"/>
  <c r="K234" i="2"/>
  <c r="K233" i="2" s="1"/>
  <c r="K231" i="2" s="1"/>
  <c r="K203" i="2" s="1"/>
  <c r="K248" i="2" s="1"/>
  <c r="H249" i="2"/>
  <c r="G249" i="2"/>
  <c r="H253" i="2"/>
  <c r="F149" i="2"/>
  <c r="F147" i="2" s="1"/>
  <c r="K149" i="2"/>
  <c r="K147" i="2" s="1"/>
  <c r="P149" i="2"/>
  <c r="P147" i="2" s="1"/>
  <c r="H166" i="2"/>
  <c r="H184" i="2"/>
  <c r="M185" i="2"/>
  <c r="H195" i="2"/>
  <c r="E194" i="2"/>
  <c r="H194" i="2" s="1"/>
  <c r="M234" i="2"/>
  <c r="R249" i="2"/>
  <c r="F132" i="2"/>
  <c r="F120" i="2" s="1"/>
  <c r="K132" i="2"/>
  <c r="K120" i="2" s="1"/>
  <c r="P132" i="2"/>
  <c r="P120" i="2" s="1"/>
  <c r="P119" i="2" s="1"/>
  <c r="P117" i="2" s="1"/>
  <c r="H185" i="2"/>
  <c r="H200" i="2"/>
  <c r="M205" i="2"/>
  <c r="Q204" i="2"/>
  <c r="Q203" i="2" s="1"/>
  <c r="Q248" i="2" s="1"/>
  <c r="R210" i="2"/>
  <c r="H227" i="2"/>
  <c r="H240" i="2"/>
  <c r="M250" i="2"/>
  <c r="E443" i="170"/>
  <c r="E273" i="170" s="1"/>
  <c r="L440" i="170"/>
  <c r="L273" i="170" s="1"/>
  <c r="L266" i="170" s="1"/>
  <c r="L148" i="170" s="1"/>
  <c r="G440" i="170"/>
  <c r="G273" i="170" s="1"/>
  <c r="G266" i="170" s="1"/>
  <c r="G148" i="170" s="1"/>
  <c r="L120" i="2" l="1"/>
  <c r="L119" i="2" s="1"/>
  <c r="L117" i="2" s="1"/>
  <c r="L116" i="2" s="1"/>
  <c r="L94" i="2" s="1"/>
  <c r="L164" i="2" s="1"/>
  <c r="P35" i="2"/>
  <c r="P33" i="2" s="1"/>
  <c r="R33" i="2" s="1"/>
  <c r="O48" i="2"/>
  <c r="R48" i="2" s="1"/>
  <c r="R49" i="2"/>
  <c r="R133" i="2"/>
  <c r="H132" i="2"/>
  <c r="P116" i="2"/>
  <c r="P32" i="2"/>
  <c r="R32" i="2" s="1"/>
  <c r="H233" i="2"/>
  <c r="E231" i="2"/>
  <c r="H231" i="2" s="1"/>
  <c r="R233" i="2"/>
  <c r="O231" i="2"/>
  <c r="R231" i="2" s="1"/>
  <c r="M216" i="2"/>
  <c r="J204" i="2"/>
  <c r="F203" i="2"/>
  <c r="H204" i="2"/>
  <c r="M183" i="2"/>
  <c r="J182" i="2"/>
  <c r="H150" i="2"/>
  <c r="E149" i="2"/>
  <c r="O149" i="2"/>
  <c r="R150" i="2"/>
  <c r="E63" i="2"/>
  <c r="H63" i="2" s="1"/>
  <c r="H65" i="2"/>
  <c r="M120" i="2"/>
  <c r="H16" i="2"/>
  <c r="F15" i="2"/>
  <c r="R65" i="2"/>
  <c r="O63" i="2"/>
  <c r="R63" i="2" s="1"/>
  <c r="R37" i="2"/>
  <c r="M100" i="2"/>
  <c r="J99" i="2"/>
  <c r="J63" i="2"/>
  <c r="M63" i="2" s="1"/>
  <c r="M65" i="2"/>
  <c r="F119" i="2"/>
  <c r="F117" i="2" s="1"/>
  <c r="K119" i="2"/>
  <c r="K117" i="2" s="1"/>
  <c r="R216" i="2"/>
  <c r="O204" i="2"/>
  <c r="R132" i="2"/>
  <c r="O120" i="2"/>
  <c r="M132" i="2"/>
  <c r="M121" i="2"/>
  <c r="J36" i="2"/>
  <c r="M37" i="2"/>
  <c r="M14" i="2"/>
  <c r="J10" i="2"/>
  <c r="J149" i="2"/>
  <c r="M150" i="2"/>
  <c r="H100" i="2"/>
  <c r="E99" i="2"/>
  <c r="P98" i="2"/>
  <c r="R183" i="2"/>
  <c r="O182" i="2"/>
  <c r="Q119" i="2"/>
  <c r="Q117" i="2" s="1"/>
  <c r="Q116" i="2" s="1"/>
  <c r="Q94" i="2" s="1"/>
  <c r="Q164" i="2" s="1"/>
  <c r="H38" i="2"/>
  <c r="F37" i="2"/>
  <c r="F36" i="2" s="1"/>
  <c r="F35" i="2" s="1"/>
  <c r="F33" i="2" s="1"/>
  <c r="H49" i="2"/>
  <c r="E48" i="2"/>
  <c r="H48" i="2" s="1"/>
  <c r="R21" i="2"/>
  <c r="O14" i="2"/>
  <c r="M231" i="2"/>
  <c r="L37" i="2"/>
  <c r="L36" i="2" s="1"/>
  <c r="L35" i="2" s="1"/>
  <c r="L33" i="2" s="1"/>
  <c r="M38" i="2"/>
  <c r="H120" i="2"/>
  <c r="P480" i="170"/>
  <c r="O480" i="170"/>
  <c r="K480" i="170"/>
  <c r="J480" i="170"/>
  <c r="F480" i="170"/>
  <c r="E480" i="170"/>
  <c r="P453" i="170"/>
  <c r="O453" i="170"/>
  <c r="O452" i="170" s="1"/>
  <c r="O266" i="170" s="1"/>
  <c r="K453" i="170"/>
  <c r="J453" i="170"/>
  <c r="F453" i="170"/>
  <c r="E453" i="170"/>
  <c r="P440" i="170"/>
  <c r="P273" i="170" s="1"/>
  <c r="F440" i="170"/>
  <c r="F273" i="170" s="1"/>
  <c r="K440" i="170"/>
  <c r="K273" i="170" s="1"/>
  <c r="P275" i="170"/>
  <c r="F275" i="170"/>
  <c r="K275" i="170"/>
  <c r="J306" i="5"/>
  <c r="Q285" i="5"/>
  <c r="L285" i="5"/>
  <c r="G285" i="5"/>
  <c r="Q281" i="5"/>
  <c r="L281" i="5"/>
  <c r="G281" i="5"/>
  <c r="P276" i="5"/>
  <c r="K276" i="5"/>
  <c r="F276" i="5"/>
  <c r="K275" i="5"/>
  <c r="F275" i="5"/>
  <c r="R260" i="5"/>
  <c r="M260" i="5"/>
  <c r="H260" i="5"/>
  <c r="R259" i="5"/>
  <c r="M259" i="5"/>
  <c r="H259" i="5"/>
  <c r="R258" i="5"/>
  <c r="M258" i="5"/>
  <c r="H258" i="5"/>
  <c r="Q257" i="5"/>
  <c r="P257" i="5"/>
  <c r="O257" i="5"/>
  <c r="R257" i="5" s="1"/>
  <c r="L257" i="5"/>
  <c r="K257" i="5"/>
  <c r="J257" i="5"/>
  <c r="G257" i="5"/>
  <c r="F257" i="5"/>
  <c r="E257" i="5"/>
  <c r="R256" i="5"/>
  <c r="M256" i="5"/>
  <c r="H256" i="5"/>
  <c r="R255" i="5"/>
  <c r="M255" i="5"/>
  <c r="H255" i="5"/>
  <c r="R254" i="5"/>
  <c r="M254" i="5"/>
  <c r="H254" i="5"/>
  <c r="Q253" i="5"/>
  <c r="P253" i="5"/>
  <c r="O253" i="5"/>
  <c r="L253" i="5"/>
  <c r="K253" i="5"/>
  <c r="K249" i="5" s="1"/>
  <c r="J253" i="5"/>
  <c r="G253" i="5"/>
  <c r="F253" i="5"/>
  <c r="F249" i="5" s="1"/>
  <c r="E253" i="5"/>
  <c r="E249" i="5" s="1"/>
  <c r="R252" i="5"/>
  <c r="M252" i="5"/>
  <c r="H252" i="5"/>
  <c r="R251" i="5"/>
  <c r="M251" i="5"/>
  <c r="H251" i="5"/>
  <c r="Q250" i="5"/>
  <c r="P250" i="5"/>
  <c r="O250" i="5"/>
  <c r="O249" i="5" s="1"/>
  <c r="L250" i="5"/>
  <c r="K250" i="5"/>
  <c r="J250" i="5"/>
  <c r="G250" i="5"/>
  <c r="G249" i="5" s="1"/>
  <c r="F250" i="5"/>
  <c r="E250" i="5"/>
  <c r="Q249" i="5"/>
  <c r="L249" i="5"/>
  <c r="R247" i="5"/>
  <c r="M247" i="5"/>
  <c r="H247" i="5"/>
  <c r="R246" i="5"/>
  <c r="M246" i="5"/>
  <c r="H246" i="5"/>
  <c r="R245" i="5"/>
  <c r="M245" i="5"/>
  <c r="H245" i="5"/>
  <c r="Q244" i="5"/>
  <c r="P244" i="5"/>
  <c r="O244" i="5"/>
  <c r="L244" i="5"/>
  <c r="K244" i="5"/>
  <c r="J244" i="5"/>
  <c r="M244" i="5" s="1"/>
  <c r="G244" i="5"/>
  <c r="F244" i="5"/>
  <c r="E244" i="5"/>
  <c r="R243" i="5"/>
  <c r="M243" i="5"/>
  <c r="H243" i="5"/>
  <c r="R242" i="5"/>
  <c r="M242" i="5"/>
  <c r="H242" i="5"/>
  <c r="R241" i="5"/>
  <c r="M241" i="5"/>
  <c r="H241" i="5"/>
  <c r="Q240" i="5"/>
  <c r="P240" i="5"/>
  <c r="O240" i="5"/>
  <c r="L240" i="5"/>
  <c r="K240" i="5"/>
  <c r="J240" i="5"/>
  <c r="G240" i="5"/>
  <c r="F240" i="5"/>
  <c r="E240" i="5"/>
  <c r="R239" i="5"/>
  <c r="M239" i="5"/>
  <c r="H239" i="5"/>
  <c r="R238" i="5"/>
  <c r="M238" i="5"/>
  <c r="H238" i="5"/>
  <c r="R237" i="5"/>
  <c r="M237" i="5"/>
  <c r="H237" i="5"/>
  <c r="Q236" i="5"/>
  <c r="Q234" i="5" s="1"/>
  <c r="P236" i="5"/>
  <c r="P234" i="5" s="1"/>
  <c r="O236" i="5"/>
  <c r="L236" i="5"/>
  <c r="K236" i="5"/>
  <c r="J236" i="5"/>
  <c r="G236" i="5"/>
  <c r="F236" i="5"/>
  <c r="E236" i="5"/>
  <c r="R235" i="5"/>
  <c r="M235" i="5"/>
  <c r="H235" i="5"/>
  <c r="L234" i="5"/>
  <c r="K234" i="5"/>
  <c r="G234" i="5"/>
  <c r="F234" i="5"/>
  <c r="E234" i="5"/>
  <c r="L233" i="5"/>
  <c r="L231" i="5" s="1"/>
  <c r="O232" i="5"/>
  <c r="M232" i="5"/>
  <c r="E232" i="5"/>
  <c r="H232" i="5" s="1"/>
  <c r="R230" i="5"/>
  <c r="M230" i="5"/>
  <c r="H230" i="5"/>
  <c r="R229" i="5"/>
  <c r="M229" i="5"/>
  <c r="H229" i="5"/>
  <c r="R228" i="5"/>
  <c r="M228" i="5"/>
  <c r="H228" i="5"/>
  <c r="Q227" i="5"/>
  <c r="Q216" i="5" s="1"/>
  <c r="Q204" i="5" s="1"/>
  <c r="P227" i="5"/>
  <c r="P216" i="5" s="1"/>
  <c r="O227" i="5"/>
  <c r="L227" i="5"/>
  <c r="K227" i="5"/>
  <c r="J227" i="5"/>
  <c r="G227" i="5"/>
  <c r="F227" i="5"/>
  <c r="E227" i="5"/>
  <c r="R226" i="5"/>
  <c r="M226" i="5"/>
  <c r="H226" i="5"/>
  <c r="O225" i="5"/>
  <c r="J225" i="5"/>
  <c r="J57" i="5" s="1"/>
  <c r="M57" i="5" s="1"/>
  <c r="E225" i="5"/>
  <c r="H225" i="5" s="1"/>
  <c r="R224" i="5"/>
  <c r="M224" i="5"/>
  <c r="H224" i="5"/>
  <c r="Q223" i="5"/>
  <c r="P223" i="5"/>
  <c r="L223" i="5"/>
  <c r="K223" i="5"/>
  <c r="G223" i="5"/>
  <c r="F223" i="5"/>
  <c r="E223" i="5"/>
  <c r="E216" i="5" s="1"/>
  <c r="R222" i="5"/>
  <c r="M222" i="5"/>
  <c r="H222" i="5"/>
  <c r="R221" i="5"/>
  <c r="M221" i="5"/>
  <c r="H221" i="5"/>
  <c r="R220" i="5"/>
  <c r="M220" i="5"/>
  <c r="H220" i="5"/>
  <c r="Q219" i="5"/>
  <c r="P219" i="5"/>
  <c r="O219" i="5"/>
  <c r="R219" i="5" s="1"/>
  <c r="L219" i="5"/>
  <c r="K219" i="5"/>
  <c r="J219" i="5"/>
  <c r="G219" i="5"/>
  <c r="F219" i="5"/>
  <c r="E219" i="5"/>
  <c r="R218" i="5"/>
  <c r="M218" i="5"/>
  <c r="H218" i="5"/>
  <c r="Q217" i="5"/>
  <c r="P217" i="5"/>
  <c r="O217" i="5"/>
  <c r="L217" i="5"/>
  <c r="K217" i="5"/>
  <c r="J217" i="5"/>
  <c r="G217" i="5"/>
  <c r="G216" i="5" s="1"/>
  <c r="F217" i="5"/>
  <c r="E217" i="5"/>
  <c r="R215" i="5"/>
  <c r="M215" i="5"/>
  <c r="H215" i="5"/>
  <c r="R214" i="5"/>
  <c r="M214" i="5"/>
  <c r="H214" i="5"/>
  <c r="Q213" i="5"/>
  <c r="P213" i="5"/>
  <c r="O213" i="5"/>
  <c r="L213" i="5"/>
  <c r="K213" i="5"/>
  <c r="J213" i="5"/>
  <c r="G213" i="5"/>
  <c r="F213" i="5"/>
  <c r="E213" i="5"/>
  <c r="R212" i="5"/>
  <c r="M212" i="5"/>
  <c r="H212" i="5"/>
  <c r="R211" i="5"/>
  <c r="J211" i="5"/>
  <c r="M211" i="5" s="1"/>
  <c r="E211" i="5"/>
  <c r="E210" i="5" s="1"/>
  <c r="Q210" i="5"/>
  <c r="P210" i="5"/>
  <c r="O210" i="5"/>
  <c r="L210" i="5"/>
  <c r="K210" i="5"/>
  <c r="J210" i="5"/>
  <c r="G210" i="5"/>
  <c r="F210" i="5"/>
  <c r="R209" i="5"/>
  <c r="M209" i="5"/>
  <c r="H209" i="5"/>
  <c r="O208" i="5"/>
  <c r="R208" i="5" s="1"/>
  <c r="J208" i="5"/>
  <c r="M208" i="5" s="1"/>
  <c r="E208" i="5"/>
  <c r="H208" i="5" s="1"/>
  <c r="O207" i="5"/>
  <c r="R207" i="5" s="1"/>
  <c r="J207" i="5"/>
  <c r="M207" i="5" s="1"/>
  <c r="E207" i="5"/>
  <c r="H207" i="5" s="1"/>
  <c r="O206" i="5"/>
  <c r="J206" i="5"/>
  <c r="M206" i="5" s="1"/>
  <c r="E206" i="5"/>
  <c r="H206" i="5" s="1"/>
  <c r="Q205" i="5"/>
  <c r="P205" i="5"/>
  <c r="L205" i="5"/>
  <c r="K205" i="5"/>
  <c r="G205" i="5"/>
  <c r="F205" i="5"/>
  <c r="E205" i="5"/>
  <c r="H205" i="5" s="1"/>
  <c r="R202" i="5"/>
  <c r="M202" i="5"/>
  <c r="H202" i="5"/>
  <c r="O201" i="5"/>
  <c r="R201" i="5" s="1"/>
  <c r="J201" i="5"/>
  <c r="E201" i="5"/>
  <c r="E33" i="5" s="1"/>
  <c r="Q200" i="5"/>
  <c r="P200" i="5"/>
  <c r="O200" i="5"/>
  <c r="L200" i="5"/>
  <c r="K200" i="5"/>
  <c r="G200" i="5"/>
  <c r="F200" i="5"/>
  <c r="R199" i="5"/>
  <c r="M199" i="5"/>
  <c r="H199" i="5"/>
  <c r="R198" i="5"/>
  <c r="M198" i="5"/>
  <c r="H198" i="5"/>
  <c r="R197" i="5"/>
  <c r="M197" i="5"/>
  <c r="H197" i="5"/>
  <c r="R196" i="5"/>
  <c r="M196" i="5"/>
  <c r="H196" i="5"/>
  <c r="Q195" i="5"/>
  <c r="Q194" i="5" s="1"/>
  <c r="P195" i="5"/>
  <c r="P194" i="5" s="1"/>
  <c r="O195" i="5"/>
  <c r="L195" i="5"/>
  <c r="K195" i="5"/>
  <c r="J195" i="5"/>
  <c r="G195" i="5"/>
  <c r="G194" i="5" s="1"/>
  <c r="F195" i="5"/>
  <c r="E195" i="5"/>
  <c r="E194" i="5" s="1"/>
  <c r="C195" i="5"/>
  <c r="C194" i="5" s="1"/>
  <c r="L194" i="5"/>
  <c r="K194" i="5"/>
  <c r="F194" i="5"/>
  <c r="R193" i="5"/>
  <c r="M193" i="5"/>
  <c r="H193" i="5"/>
  <c r="R192" i="5"/>
  <c r="M192" i="5"/>
  <c r="H192" i="5"/>
  <c r="R191" i="5"/>
  <c r="M191" i="5"/>
  <c r="H191" i="5"/>
  <c r="Q190" i="5"/>
  <c r="Q189" i="5" s="1"/>
  <c r="P190" i="5"/>
  <c r="O190" i="5"/>
  <c r="L190" i="5"/>
  <c r="K190" i="5"/>
  <c r="J190" i="5"/>
  <c r="J189" i="5" s="1"/>
  <c r="G190" i="5"/>
  <c r="F190" i="5"/>
  <c r="E190" i="5"/>
  <c r="E189" i="5" s="1"/>
  <c r="O189" i="5"/>
  <c r="L189" i="5"/>
  <c r="G189" i="5"/>
  <c r="F189" i="5"/>
  <c r="R188" i="5"/>
  <c r="M188" i="5"/>
  <c r="H188" i="5"/>
  <c r="R187" i="5"/>
  <c r="M187" i="5"/>
  <c r="H187" i="5"/>
  <c r="R186" i="5"/>
  <c r="M186" i="5"/>
  <c r="H186" i="5"/>
  <c r="Q185" i="5"/>
  <c r="P185" i="5"/>
  <c r="O185" i="5"/>
  <c r="L185" i="5"/>
  <c r="K185" i="5"/>
  <c r="J185" i="5"/>
  <c r="G185" i="5"/>
  <c r="G184" i="5" s="1"/>
  <c r="G183" i="5" s="1"/>
  <c r="G182" i="5" s="1"/>
  <c r="G178" i="5" s="1"/>
  <c r="F185" i="5"/>
  <c r="F184" i="5" s="1"/>
  <c r="F183" i="5" s="1"/>
  <c r="F182" i="5" s="1"/>
  <c r="E185" i="5"/>
  <c r="Q184" i="5"/>
  <c r="Q183" i="5" s="1"/>
  <c r="P184" i="5"/>
  <c r="P183" i="5" s="1"/>
  <c r="L184" i="5"/>
  <c r="L183" i="5" s="1"/>
  <c r="L182" i="5" s="1"/>
  <c r="L178" i="5" s="1"/>
  <c r="K184" i="5"/>
  <c r="J184" i="5"/>
  <c r="E184" i="5"/>
  <c r="K183" i="5"/>
  <c r="R181" i="5"/>
  <c r="M181" i="5"/>
  <c r="H181" i="5"/>
  <c r="R180" i="5"/>
  <c r="M180" i="5"/>
  <c r="H180" i="5"/>
  <c r="R179" i="5"/>
  <c r="M179" i="5"/>
  <c r="H179" i="5"/>
  <c r="R177" i="5"/>
  <c r="M177" i="5"/>
  <c r="H177" i="5"/>
  <c r="R176" i="5"/>
  <c r="M176" i="5"/>
  <c r="H176" i="5"/>
  <c r="R175" i="5"/>
  <c r="M175" i="5"/>
  <c r="H175" i="5"/>
  <c r="R174" i="5"/>
  <c r="M174" i="5"/>
  <c r="H174" i="5"/>
  <c r="Q173" i="5"/>
  <c r="Q165" i="5" s="1"/>
  <c r="P173" i="5"/>
  <c r="O173" i="5"/>
  <c r="L173" i="5"/>
  <c r="K173" i="5"/>
  <c r="J173" i="5"/>
  <c r="G173" i="5"/>
  <c r="F173" i="5"/>
  <c r="E173" i="5"/>
  <c r="E165" i="5" s="1"/>
  <c r="R172" i="5"/>
  <c r="M172" i="5"/>
  <c r="H172" i="5"/>
  <c r="R171" i="5"/>
  <c r="M171" i="5"/>
  <c r="H171" i="5"/>
  <c r="R170" i="5"/>
  <c r="M170" i="5"/>
  <c r="H170" i="5"/>
  <c r="Q169" i="5"/>
  <c r="P169" i="5"/>
  <c r="P165" i="5" s="1"/>
  <c r="O169" i="5"/>
  <c r="L169" i="5"/>
  <c r="K169" i="5"/>
  <c r="J169" i="5"/>
  <c r="M169" i="5" s="1"/>
  <c r="G169" i="5"/>
  <c r="F169" i="5"/>
  <c r="E169" i="5"/>
  <c r="R168" i="5"/>
  <c r="M168" i="5"/>
  <c r="H168" i="5"/>
  <c r="R167" i="5"/>
  <c r="M167" i="5"/>
  <c r="H167" i="5"/>
  <c r="Q166" i="5"/>
  <c r="P166" i="5"/>
  <c r="O166" i="5"/>
  <c r="R166" i="5" s="1"/>
  <c r="L166" i="5"/>
  <c r="K166" i="5"/>
  <c r="J166" i="5"/>
  <c r="G166" i="5"/>
  <c r="F166" i="5"/>
  <c r="E166" i="5"/>
  <c r="J165" i="5"/>
  <c r="R163" i="5"/>
  <c r="M163" i="5"/>
  <c r="H163" i="5"/>
  <c r="R162" i="5"/>
  <c r="M162" i="5"/>
  <c r="H162" i="5"/>
  <c r="R161" i="5"/>
  <c r="M161" i="5"/>
  <c r="H161" i="5"/>
  <c r="Q160" i="5"/>
  <c r="P160" i="5"/>
  <c r="O160" i="5"/>
  <c r="L160" i="5"/>
  <c r="K160" i="5"/>
  <c r="J160" i="5"/>
  <c r="G160" i="5"/>
  <c r="F160" i="5"/>
  <c r="E160" i="5"/>
  <c r="R159" i="5"/>
  <c r="M159" i="5"/>
  <c r="H159" i="5"/>
  <c r="R158" i="5"/>
  <c r="M158" i="5"/>
  <c r="H158" i="5"/>
  <c r="R157" i="5"/>
  <c r="M157" i="5"/>
  <c r="H157" i="5"/>
  <c r="Q156" i="5"/>
  <c r="P156" i="5"/>
  <c r="P149" i="5" s="1"/>
  <c r="P147" i="5" s="1"/>
  <c r="O156" i="5"/>
  <c r="L156" i="5"/>
  <c r="K156" i="5"/>
  <c r="J156" i="5"/>
  <c r="G156" i="5"/>
  <c r="F156" i="5"/>
  <c r="E156" i="5"/>
  <c r="R155" i="5"/>
  <c r="M155" i="5"/>
  <c r="H155" i="5"/>
  <c r="R154" i="5"/>
  <c r="M154" i="5"/>
  <c r="H154" i="5"/>
  <c r="R153" i="5"/>
  <c r="M153" i="5"/>
  <c r="H153" i="5"/>
  <c r="Q152" i="5"/>
  <c r="P152" i="5"/>
  <c r="O152" i="5"/>
  <c r="L152" i="5"/>
  <c r="K152" i="5"/>
  <c r="J152" i="5"/>
  <c r="G152" i="5"/>
  <c r="F152" i="5"/>
  <c r="E152" i="5"/>
  <c r="R151" i="5"/>
  <c r="M151" i="5"/>
  <c r="H151" i="5"/>
  <c r="Q150" i="5"/>
  <c r="P150" i="5"/>
  <c r="O150" i="5"/>
  <c r="O149" i="5" s="1"/>
  <c r="L150" i="5"/>
  <c r="L149" i="5" s="1"/>
  <c r="L147" i="5" s="1"/>
  <c r="K150" i="5"/>
  <c r="J150" i="5"/>
  <c r="G150" i="5"/>
  <c r="F150" i="5"/>
  <c r="E150" i="5"/>
  <c r="F149" i="5"/>
  <c r="F147" i="5" s="1"/>
  <c r="R148" i="5"/>
  <c r="M148" i="5"/>
  <c r="H148" i="5"/>
  <c r="R146" i="5"/>
  <c r="M146" i="5"/>
  <c r="H146" i="5"/>
  <c r="R145" i="5"/>
  <c r="M145" i="5"/>
  <c r="H145" i="5"/>
  <c r="R144" i="5"/>
  <c r="M144" i="5"/>
  <c r="H144" i="5"/>
  <c r="Q143" i="5"/>
  <c r="P143" i="5"/>
  <c r="O143" i="5"/>
  <c r="L143" i="5"/>
  <c r="K143" i="5"/>
  <c r="J143" i="5"/>
  <c r="G143" i="5"/>
  <c r="F143" i="5"/>
  <c r="E143" i="5"/>
  <c r="R142" i="5"/>
  <c r="M142" i="5"/>
  <c r="H142" i="5"/>
  <c r="R141" i="5"/>
  <c r="M141" i="5"/>
  <c r="H141" i="5"/>
  <c r="P140" i="5"/>
  <c r="R140" i="5" s="1"/>
  <c r="K140" i="5"/>
  <c r="F140" i="5"/>
  <c r="H140" i="5" s="1"/>
  <c r="Q139" i="5"/>
  <c r="P139" i="5"/>
  <c r="O139" i="5"/>
  <c r="L139" i="5"/>
  <c r="J139" i="5"/>
  <c r="G139" i="5"/>
  <c r="E139" i="5"/>
  <c r="R138" i="5"/>
  <c r="M138" i="5"/>
  <c r="H138" i="5"/>
  <c r="R137" i="5"/>
  <c r="M137" i="5"/>
  <c r="H137" i="5"/>
  <c r="R136" i="5"/>
  <c r="M136" i="5"/>
  <c r="H136" i="5"/>
  <c r="Q135" i="5"/>
  <c r="P135" i="5"/>
  <c r="O135" i="5"/>
  <c r="L135" i="5"/>
  <c r="K135" i="5"/>
  <c r="J135" i="5"/>
  <c r="G135" i="5"/>
  <c r="F135" i="5"/>
  <c r="E135" i="5"/>
  <c r="Q134" i="5"/>
  <c r="P134" i="5"/>
  <c r="P50" i="5" s="1"/>
  <c r="O134" i="5"/>
  <c r="O133" i="5" s="1"/>
  <c r="O132" i="5" s="1"/>
  <c r="L134" i="5"/>
  <c r="K134" i="5"/>
  <c r="J134" i="5"/>
  <c r="G134" i="5"/>
  <c r="G133" i="5" s="1"/>
  <c r="F134" i="5"/>
  <c r="R131" i="5"/>
  <c r="M131" i="5"/>
  <c r="H131" i="5"/>
  <c r="R130" i="5"/>
  <c r="M130" i="5"/>
  <c r="H130" i="5"/>
  <c r="Q129" i="5"/>
  <c r="P129" i="5"/>
  <c r="O129" i="5"/>
  <c r="K129" i="5"/>
  <c r="J129" i="5"/>
  <c r="F129" i="5"/>
  <c r="E129" i="5"/>
  <c r="P128" i="5"/>
  <c r="P126" i="5" s="1"/>
  <c r="O128" i="5"/>
  <c r="O44" i="5" s="1"/>
  <c r="J128" i="5"/>
  <c r="M128" i="5" s="1"/>
  <c r="E128" i="5"/>
  <c r="Q127" i="5"/>
  <c r="R127" i="5" s="1"/>
  <c r="L127" i="5"/>
  <c r="L43" i="5" s="1"/>
  <c r="L42" i="5" s="1"/>
  <c r="G127" i="5"/>
  <c r="H127" i="5" s="1"/>
  <c r="Q126" i="5"/>
  <c r="K126" i="5"/>
  <c r="F126" i="5"/>
  <c r="R125" i="5"/>
  <c r="M125" i="5"/>
  <c r="H125" i="5"/>
  <c r="Q124" i="5"/>
  <c r="R124" i="5" s="1"/>
  <c r="L124" i="5"/>
  <c r="G124" i="5"/>
  <c r="H124" i="5" s="1"/>
  <c r="Q123" i="5"/>
  <c r="Q39" i="5" s="1"/>
  <c r="P123" i="5"/>
  <c r="R123" i="5" s="1"/>
  <c r="L123" i="5"/>
  <c r="L39" i="5" s="1"/>
  <c r="K123" i="5"/>
  <c r="G123" i="5"/>
  <c r="F123" i="5"/>
  <c r="H123" i="5" s="1"/>
  <c r="Q122" i="5"/>
  <c r="P122" i="5"/>
  <c r="L122" i="5"/>
  <c r="K122" i="5"/>
  <c r="G122" i="5"/>
  <c r="G38" i="5" s="1"/>
  <c r="F122" i="5"/>
  <c r="O121" i="5"/>
  <c r="J121" i="5"/>
  <c r="G121" i="5"/>
  <c r="E121" i="5"/>
  <c r="R118" i="5"/>
  <c r="M118" i="5"/>
  <c r="H118" i="5"/>
  <c r="Q117" i="5"/>
  <c r="P117" i="5"/>
  <c r="O117" i="5"/>
  <c r="O116" i="5" s="1"/>
  <c r="L117" i="5"/>
  <c r="K117" i="5"/>
  <c r="J117" i="5"/>
  <c r="J116" i="5" s="1"/>
  <c r="J94" i="5" s="1"/>
  <c r="G117" i="5"/>
  <c r="G116" i="5" s="1"/>
  <c r="F117" i="5"/>
  <c r="E117" i="5"/>
  <c r="Q116" i="5"/>
  <c r="L116" i="5"/>
  <c r="K116" i="5"/>
  <c r="F116" i="5"/>
  <c r="E116" i="5"/>
  <c r="R115" i="5"/>
  <c r="M115" i="5"/>
  <c r="H115" i="5"/>
  <c r="R114" i="5"/>
  <c r="M114" i="5"/>
  <c r="H114" i="5"/>
  <c r="R113" i="5"/>
  <c r="M113" i="5"/>
  <c r="H113" i="5"/>
  <c r="R112" i="5"/>
  <c r="M112" i="5"/>
  <c r="H112" i="5"/>
  <c r="Q111" i="5"/>
  <c r="Q110" i="5" s="1"/>
  <c r="P111" i="5"/>
  <c r="O111" i="5"/>
  <c r="L111" i="5"/>
  <c r="K111" i="5"/>
  <c r="J111" i="5"/>
  <c r="G111" i="5"/>
  <c r="G110" i="5" s="1"/>
  <c r="F111" i="5"/>
  <c r="E111" i="5"/>
  <c r="E110" i="5" s="1"/>
  <c r="C111" i="5"/>
  <c r="C110" i="5" s="1"/>
  <c r="O110" i="5"/>
  <c r="L110" i="5"/>
  <c r="J110" i="5"/>
  <c r="R109" i="5"/>
  <c r="M109" i="5"/>
  <c r="H109" i="5"/>
  <c r="R108" i="5"/>
  <c r="M108" i="5"/>
  <c r="H108" i="5"/>
  <c r="R107" i="5"/>
  <c r="M107" i="5"/>
  <c r="H107" i="5"/>
  <c r="Q106" i="5"/>
  <c r="Q105" i="5" s="1"/>
  <c r="P106" i="5"/>
  <c r="P105" i="5" s="1"/>
  <c r="O106" i="5"/>
  <c r="L106" i="5"/>
  <c r="L105" i="5" s="1"/>
  <c r="K106" i="5"/>
  <c r="K105" i="5" s="1"/>
  <c r="J106" i="5"/>
  <c r="G106" i="5"/>
  <c r="F106" i="5"/>
  <c r="F105" i="5" s="1"/>
  <c r="E106" i="5"/>
  <c r="E105" i="5" s="1"/>
  <c r="J105" i="5"/>
  <c r="G105" i="5"/>
  <c r="R104" i="5"/>
  <c r="M104" i="5"/>
  <c r="H104" i="5"/>
  <c r="R103" i="5"/>
  <c r="M103" i="5"/>
  <c r="H103" i="5"/>
  <c r="R102" i="5"/>
  <c r="M102" i="5"/>
  <c r="H102" i="5"/>
  <c r="Q101" i="5"/>
  <c r="Q100" i="5" s="1"/>
  <c r="Q99" i="5" s="1"/>
  <c r="Q98" i="5" s="1"/>
  <c r="Q94" i="5" s="1"/>
  <c r="P101" i="5"/>
  <c r="O101" i="5"/>
  <c r="L101" i="5"/>
  <c r="K101" i="5"/>
  <c r="J101" i="5"/>
  <c r="G101" i="5"/>
  <c r="F101" i="5"/>
  <c r="E101" i="5"/>
  <c r="E100" i="5" s="1"/>
  <c r="E99" i="5" s="1"/>
  <c r="E98" i="5" s="1"/>
  <c r="E94" i="5" s="1"/>
  <c r="P100" i="5"/>
  <c r="P99" i="5" s="1"/>
  <c r="O100" i="5"/>
  <c r="L100" i="5"/>
  <c r="L99" i="5" s="1"/>
  <c r="L98" i="5" s="1"/>
  <c r="L94" i="5" s="1"/>
  <c r="J100" i="5"/>
  <c r="G100" i="5"/>
  <c r="G99" i="5" s="1"/>
  <c r="G98" i="5" s="1"/>
  <c r="O99" i="5"/>
  <c r="J99" i="5"/>
  <c r="J98" i="5" s="1"/>
  <c r="R97" i="5"/>
  <c r="M97" i="5"/>
  <c r="H97" i="5"/>
  <c r="R96" i="5"/>
  <c r="M96" i="5"/>
  <c r="H96" i="5"/>
  <c r="R95" i="5"/>
  <c r="M95" i="5"/>
  <c r="H95" i="5"/>
  <c r="R93" i="5"/>
  <c r="M93" i="5"/>
  <c r="H93" i="5"/>
  <c r="R92" i="5"/>
  <c r="M92" i="5"/>
  <c r="H92" i="5"/>
  <c r="R91" i="5"/>
  <c r="M91" i="5"/>
  <c r="H91" i="5"/>
  <c r="R90" i="5"/>
  <c r="M90" i="5"/>
  <c r="H90" i="5"/>
  <c r="Q89" i="5"/>
  <c r="P89" i="5"/>
  <c r="O89" i="5"/>
  <c r="L89" i="5"/>
  <c r="K89" i="5"/>
  <c r="J89" i="5"/>
  <c r="M89" i="5" s="1"/>
  <c r="G89" i="5"/>
  <c r="F89" i="5"/>
  <c r="E89" i="5"/>
  <c r="H89" i="5" s="1"/>
  <c r="R88" i="5"/>
  <c r="M88" i="5"/>
  <c r="H88" i="5"/>
  <c r="R87" i="5"/>
  <c r="M87" i="5"/>
  <c r="H87" i="5"/>
  <c r="R86" i="5"/>
  <c r="M86" i="5"/>
  <c r="H86" i="5"/>
  <c r="Q85" i="5"/>
  <c r="P85" i="5"/>
  <c r="O85" i="5"/>
  <c r="O81" i="5" s="1"/>
  <c r="L85" i="5"/>
  <c r="K85" i="5"/>
  <c r="J85" i="5"/>
  <c r="G85" i="5"/>
  <c r="G81" i="5" s="1"/>
  <c r="F85" i="5"/>
  <c r="H85" i="5" s="1"/>
  <c r="E85" i="5"/>
  <c r="R84" i="5"/>
  <c r="M84" i="5"/>
  <c r="H84" i="5"/>
  <c r="R83" i="5"/>
  <c r="M83" i="5"/>
  <c r="H83" i="5"/>
  <c r="Q82" i="5"/>
  <c r="Q81" i="5" s="1"/>
  <c r="P82" i="5"/>
  <c r="O82" i="5"/>
  <c r="L82" i="5"/>
  <c r="K82" i="5"/>
  <c r="J82" i="5"/>
  <c r="G82" i="5"/>
  <c r="F82" i="5"/>
  <c r="F81" i="5" s="1"/>
  <c r="H81" i="5" s="1"/>
  <c r="E82" i="5"/>
  <c r="E81" i="5" s="1"/>
  <c r="R79" i="5"/>
  <c r="M79" i="5"/>
  <c r="H79" i="5"/>
  <c r="R78" i="5"/>
  <c r="M78" i="5"/>
  <c r="H78" i="5"/>
  <c r="R77" i="5"/>
  <c r="M77" i="5"/>
  <c r="H77" i="5"/>
  <c r="Q76" i="5"/>
  <c r="P76" i="5"/>
  <c r="O76" i="5"/>
  <c r="L76" i="5"/>
  <c r="K76" i="5"/>
  <c r="J76" i="5"/>
  <c r="G76" i="5"/>
  <c r="F76" i="5"/>
  <c r="E76" i="5"/>
  <c r="H76" i="5" s="1"/>
  <c r="R75" i="5"/>
  <c r="M75" i="5"/>
  <c r="H75" i="5"/>
  <c r="R74" i="5"/>
  <c r="M74" i="5"/>
  <c r="H74" i="5"/>
  <c r="R73" i="5"/>
  <c r="M73" i="5"/>
  <c r="H73" i="5"/>
  <c r="Q72" i="5"/>
  <c r="P72" i="5"/>
  <c r="O72" i="5"/>
  <c r="L72" i="5"/>
  <c r="K72" i="5"/>
  <c r="J72" i="5"/>
  <c r="G72" i="5"/>
  <c r="F72" i="5"/>
  <c r="E72" i="5"/>
  <c r="R71" i="5"/>
  <c r="M71" i="5"/>
  <c r="H71" i="5"/>
  <c r="R70" i="5"/>
  <c r="M70" i="5"/>
  <c r="H70" i="5"/>
  <c r="R69" i="5"/>
  <c r="M69" i="5"/>
  <c r="H69" i="5"/>
  <c r="Q68" i="5"/>
  <c r="Q66" i="5" s="1"/>
  <c r="Q65" i="5" s="1"/>
  <c r="Q63" i="5" s="1"/>
  <c r="P68" i="5"/>
  <c r="P66" i="5" s="1"/>
  <c r="O68" i="5"/>
  <c r="L68" i="5"/>
  <c r="L66" i="5" s="1"/>
  <c r="K68" i="5"/>
  <c r="J68" i="5"/>
  <c r="G68" i="5"/>
  <c r="G66" i="5" s="1"/>
  <c r="F68" i="5"/>
  <c r="F66" i="5" s="1"/>
  <c r="E68" i="5"/>
  <c r="H68" i="5" s="1"/>
  <c r="R67" i="5"/>
  <c r="M67" i="5"/>
  <c r="H67" i="5"/>
  <c r="K66" i="5"/>
  <c r="K65" i="5" s="1"/>
  <c r="K63" i="5" s="1"/>
  <c r="J64" i="5"/>
  <c r="M64" i="5" s="1"/>
  <c r="E64" i="5"/>
  <c r="H64" i="5" s="1"/>
  <c r="O62" i="5"/>
  <c r="R62" i="5" s="1"/>
  <c r="J62" i="5"/>
  <c r="M62" i="5" s="1"/>
  <c r="E62" i="5"/>
  <c r="H62" i="5" s="1"/>
  <c r="R61" i="5"/>
  <c r="M61" i="5"/>
  <c r="H61" i="5"/>
  <c r="R60" i="5"/>
  <c r="M60" i="5"/>
  <c r="H60" i="5"/>
  <c r="Q59" i="5"/>
  <c r="P59" i="5"/>
  <c r="R59" i="5" s="1"/>
  <c r="O59" i="5"/>
  <c r="L59" i="5"/>
  <c r="K59" i="5"/>
  <c r="J59" i="5"/>
  <c r="G59" i="5"/>
  <c r="F59" i="5"/>
  <c r="E59" i="5"/>
  <c r="R58" i="5"/>
  <c r="M58" i="5"/>
  <c r="H58" i="5"/>
  <c r="E57" i="5"/>
  <c r="H57" i="5" s="1"/>
  <c r="Q56" i="5"/>
  <c r="Q55" i="5" s="1"/>
  <c r="P56" i="5"/>
  <c r="L56" i="5"/>
  <c r="K56" i="5"/>
  <c r="G56" i="5"/>
  <c r="G55" i="5" s="1"/>
  <c r="P55" i="5"/>
  <c r="L55" i="5"/>
  <c r="R54" i="5"/>
  <c r="M54" i="5"/>
  <c r="H54" i="5"/>
  <c r="R53" i="5"/>
  <c r="M53" i="5"/>
  <c r="H53" i="5"/>
  <c r="R52" i="5"/>
  <c r="M52" i="5"/>
  <c r="H52" i="5"/>
  <c r="Q51" i="5"/>
  <c r="P51" i="5"/>
  <c r="O51" i="5"/>
  <c r="L51" i="5"/>
  <c r="K51" i="5"/>
  <c r="J51" i="5"/>
  <c r="M51" i="5" s="1"/>
  <c r="G51" i="5"/>
  <c r="F51" i="5"/>
  <c r="E51" i="5"/>
  <c r="H51" i="5" s="1"/>
  <c r="Q50" i="5"/>
  <c r="Q49" i="5" s="1"/>
  <c r="K50" i="5"/>
  <c r="K49" i="5" s="1"/>
  <c r="J50" i="5"/>
  <c r="J49" i="5" s="1"/>
  <c r="E50" i="5"/>
  <c r="R47" i="5"/>
  <c r="M47" i="5"/>
  <c r="H47" i="5"/>
  <c r="R46" i="5"/>
  <c r="M46" i="5"/>
  <c r="H46" i="5"/>
  <c r="Q45" i="5"/>
  <c r="P45" i="5"/>
  <c r="O45" i="5"/>
  <c r="L45" i="5"/>
  <c r="K45" i="5"/>
  <c r="J45" i="5"/>
  <c r="G45" i="5"/>
  <c r="F45" i="5"/>
  <c r="E45" i="5"/>
  <c r="H45" i="5" s="1"/>
  <c r="Q44" i="5"/>
  <c r="L44" i="5"/>
  <c r="K44" i="5"/>
  <c r="K42" i="5" s="1"/>
  <c r="G44" i="5"/>
  <c r="F44" i="5"/>
  <c r="F42" i="5" s="1"/>
  <c r="Q43" i="5"/>
  <c r="Q42" i="5" s="1"/>
  <c r="O43" i="5"/>
  <c r="J43" i="5"/>
  <c r="G43" i="5"/>
  <c r="R41" i="5"/>
  <c r="M41" i="5"/>
  <c r="H41" i="5"/>
  <c r="P40" i="5"/>
  <c r="K40" i="5"/>
  <c r="G40" i="5"/>
  <c r="F40" i="5"/>
  <c r="F37" i="5" s="1"/>
  <c r="E40" i="5"/>
  <c r="O39" i="5"/>
  <c r="K39" i="5"/>
  <c r="G39" i="5"/>
  <c r="F39" i="5"/>
  <c r="P38" i="5"/>
  <c r="O38" i="5"/>
  <c r="L38" i="5"/>
  <c r="K38" i="5"/>
  <c r="K37" i="5" s="1"/>
  <c r="F38" i="5"/>
  <c r="O34" i="5"/>
  <c r="R34" i="5" s="1"/>
  <c r="J34" i="5"/>
  <c r="M34" i="5" s="1"/>
  <c r="E34" i="5"/>
  <c r="H34" i="5" s="1"/>
  <c r="Q33" i="5"/>
  <c r="P33" i="5"/>
  <c r="P32" i="5" s="1"/>
  <c r="O33" i="5"/>
  <c r="O32" i="5" s="1"/>
  <c r="R32" i="5" s="1"/>
  <c r="L33" i="5"/>
  <c r="K33" i="5"/>
  <c r="J33" i="5"/>
  <c r="G33" i="5"/>
  <c r="G32" i="5" s="1"/>
  <c r="F33" i="5"/>
  <c r="Q32" i="5"/>
  <c r="L32" i="5"/>
  <c r="K32" i="5"/>
  <c r="F32" i="5"/>
  <c r="R31" i="5"/>
  <c r="M31" i="5"/>
  <c r="H31" i="5"/>
  <c r="R30" i="5"/>
  <c r="M30" i="5"/>
  <c r="H30" i="5"/>
  <c r="R29" i="5"/>
  <c r="M29" i="5"/>
  <c r="H29" i="5"/>
  <c r="R28" i="5"/>
  <c r="M28" i="5"/>
  <c r="H28" i="5"/>
  <c r="Q27" i="5"/>
  <c r="Q26" i="5" s="1"/>
  <c r="P27" i="5"/>
  <c r="P26" i="5" s="1"/>
  <c r="O27" i="5"/>
  <c r="L27" i="5"/>
  <c r="L26" i="5" s="1"/>
  <c r="K27" i="5"/>
  <c r="K26" i="5" s="1"/>
  <c r="J27" i="5"/>
  <c r="G27" i="5"/>
  <c r="G26" i="5" s="1"/>
  <c r="F27" i="5"/>
  <c r="F26" i="5" s="1"/>
  <c r="E27" i="5"/>
  <c r="E26" i="5" s="1"/>
  <c r="C27" i="5"/>
  <c r="J26" i="5"/>
  <c r="C26" i="5"/>
  <c r="R25" i="5"/>
  <c r="M25" i="5"/>
  <c r="H25" i="5"/>
  <c r="R24" i="5"/>
  <c r="M24" i="5"/>
  <c r="H24" i="5"/>
  <c r="R23" i="5"/>
  <c r="M23" i="5"/>
  <c r="H23" i="5"/>
  <c r="Q22" i="5"/>
  <c r="Q21" i="5" s="1"/>
  <c r="P22" i="5"/>
  <c r="O22" i="5"/>
  <c r="O21" i="5" s="1"/>
  <c r="L22" i="5"/>
  <c r="L21" i="5" s="1"/>
  <c r="L14" i="5" s="1"/>
  <c r="L10" i="5" s="1"/>
  <c r="K22" i="5"/>
  <c r="J22" i="5"/>
  <c r="G22" i="5"/>
  <c r="G21" i="5" s="1"/>
  <c r="F22" i="5"/>
  <c r="F21" i="5" s="1"/>
  <c r="E22" i="5"/>
  <c r="P21" i="5"/>
  <c r="K21" i="5"/>
  <c r="J21" i="5"/>
  <c r="E21" i="5"/>
  <c r="R20" i="5"/>
  <c r="M20" i="5"/>
  <c r="H20" i="5"/>
  <c r="R19" i="5"/>
  <c r="M19" i="5"/>
  <c r="H19" i="5"/>
  <c r="R18" i="5"/>
  <c r="M18" i="5"/>
  <c r="H18" i="5"/>
  <c r="E18" i="5"/>
  <c r="E17" i="5" s="1"/>
  <c r="E16" i="5" s="1"/>
  <c r="E15" i="5" s="1"/>
  <c r="E14" i="5" s="1"/>
  <c r="Q17" i="5"/>
  <c r="P17" i="5"/>
  <c r="O17" i="5"/>
  <c r="O16" i="5" s="1"/>
  <c r="L17" i="5"/>
  <c r="K17" i="5"/>
  <c r="J17" i="5"/>
  <c r="J16" i="5" s="1"/>
  <c r="J15" i="5" s="1"/>
  <c r="J14" i="5" s="1"/>
  <c r="G17" i="5"/>
  <c r="G16" i="5" s="1"/>
  <c r="G15" i="5" s="1"/>
  <c r="G14" i="5" s="1"/>
  <c r="G10" i="5" s="1"/>
  <c r="F17" i="5"/>
  <c r="Q16" i="5"/>
  <c r="Q15" i="5" s="1"/>
  <c r="Q14" i="5" s="1"/>
  <c r="Q10" i="5" s="1"/>
  <c r="L16" i="5"/>
  <c r="L15" i="5" s="1"/>
  <c r="K16" i="5"/>
  <c r="K15" i="5" s="1"/>
  <c r="F16" i="5"/>
  <c r="O15" i="5"/>
  <c r="O14" i="5" s="1"/>
  <c r="O10" i="5" s="1"/>
  <c r="F15" i="5"/>
  <c r="R13" i="5"/>
  <c r="M13" i="5"/>
  <c r="H13" i="5"/>
  <c r="R12" i="5"/>
  <c r="M12" i="5"/>
  <c r="H12" i="5"/>
  <c r="R11" i="5"/>
  <c r="M11" i="5"/>
  <c r="H11" i="5"/>
  <c r="J452" i="170" l="1"/>
  <c r="J266" i="170" s="1"/>
  <c r="K452" i="170"/>
  <c r="K266" i="170" s="1"/>
  <c r="F452" i="170"/>
  <c r="F266" i="170" s="1"/>
  <c r="P452" i="170"/>
  <c r="P266" i="170" s="1"/>
  <c r="R117" i="2"/>
  <c r="E36" i="2"/>
  <c r="H36" i="2" s="1"/>
  <c r="O36" i="2"/>
  <c r="O35" i="2" s="1"/>
  <c r="R35" i="2" s="1"/>
  <c r="P10" i="2"/>
  <c r="P80" i="2" s="1"/>
  <c r="E484" i="170"/>
  <c r="E452" i="170" s="1"/>
  <c r="E266" i="170" s="1"/>
  <c r="L204" i="5"/>
  <c r="L203" i="5" s="1"/>
  <c r="L248" i="5" s="1"/>
  <c r="R17" i="5"/>
  <c r="E38" i="5"/>
  <c r="E37" i="5" s="1"/>
  <c r="H211" i="5"/>
  <c r="M22" i="5"/>
  <c r="M27" i="5"/>
  <c r="J38" i="5"/>
  <c r="P37" i="5"/>
  <c r="P36" i="5" s="1"/>
  <c r="P35" i="5" s="1"/>
  <c r="O40" i="5"/>
  <c r="E43" i="5"/>
  <c r="J44" i="5"/>
  <c r="G50" i="5"/>
  <c r="G49" i="5" s="1"/>
  <c r="M68" i="5"/>
  <c r="P65" i="5"/>
  <c r="P63" i="5" s="1"/>
  <c r="H72" i="5"/>
  <c r="M76" i="5"/>
  <c r="G94" i="5"/>
  <c r="M111" i="5"/>
  <c r="G37" i="5"/>
  <c r="Q121" i="5"/>
  <c r="Q120" i="5" s="1"/>
  <c r="Q119" i="5" s="1"/>
  <c r="Q164" i="5" s="1"/>
  <c r="H129" i="5"/>
  <c r="L133" i="5"/>
  <c r="L132" i="5" s="1"/>
  <c r="K133" i="5"/>
  <c r="Q133" i="5"/>
  <c r="Q132" i="5" s="1"/>
  <c r="G132" i="5"/>
  <c r="K149" i="5"/>
  <c r="K147" i="5" s="1"/>
  <c r="Q149" i="5"/>
  <c r="Q147" i="5" s="1"/>
  <c r="M152" i="5"/>
  <c r="G149" i="5"/>
  <c r="G147" i="5" s="1"/>
  <c r="R156" i="5"/>
  <c r="M160" i="5"/>
  <c r="J205" i="5"/>
  <c r="M205" i="5" s="1"/>
  <c r="G233" i="5"/>
  <c r="G231" i="5" s="1"/>
  <c r="E233" i="5"/>
  <c r="E231" i="5" s="1"/>
  <c r="R244" i="5"/>
  <c r="P49" i="5"/>
  <c r="P48" i="5" s="1"/>
  <c r="M105" i="5"/>
  <c r="H194" i="5"/>
  <c r="P39" i="5"/>
  <c r="Q40" i="5"/>
  <c r="L81" i="5"/>
  <c r="J126" i="5"/>
  <c r="G165" i="5"/>
  <c r="H173" i="5"/>
  <c r="M190" i="5"/>
  <c r="L216" i="5"/>
  <c r="M227" i="5"/>
  <c r="J249" i="5"/>
  <c r="J39" i="5"/>
  <c r="O50" i="5"/>
  <c r="O49" i="5" s="1"/>
  <c r="F56" i="5"/>
  <c r="F55" i="5" s="1"/>
  <c r="R106" i="5"/>
  <c r="P133" i="5"/>
  <c r="P132" i="5" s="1"/>
  <c r="R132" i="5" s="1"/>
  <c r="F139" i="5"/>
  <c r="R139" i="5"/>
  <c r="H143" i="5"/>
  <c r="O165" i="5"/>
  <c r="R165" i="5" s="1"/>
  <c r="M185" i="5"/>
  <c r="R200" i="5"/>
  <c r="R210" i="5"/>
  <c r="M219" i="5"/>
  <c r="F233" i="5"/>
  <c r="M257" i="5"/>
  <c r="F32" i="2"/>
  <c r="H32" i="2" s="1"/>
  <c r="H33" i="2"/>
  <c r="R120" i="2"/>
  <c r="O147" i="2"/>
  <c r="R147" i="2" s="1"/>
  <c r="R149" i="2"/>
  <c r="H203" i="2"/>
  <c r="F248" i="2"/>
  <c r="H248" i="2" s="1"/>
  <c r="L32" i="2"/>
  <c r="M33" i="2"/>
  <c r="J35" i="2"/>
  <c r="M35" i="2" s="1"/>
  <c r="M36" i="2"/>
  <c r="H117" i="2"/>
  <c r="F116" i="2"/>
  <c r="M182" i="2"/>
  <c r="J178" i="2"/>
  <c r="R182" i="2"/>
  <c r="O178" i="2"/>
  <c r="H99" i="2"/>
  <c r="E98" i="2"/>
  <c r="H149" i="2"/>
  <c r="E147" i="2"/>
  <c r="R14" i="2"/>
  <c r="O10" i="2"/>
  <c r="M117" i="2"/>
  <c r="K116" i="2"/>
  <c r="M99" i="2"/>
  <c r="J98" i="2"/>
  <c r="E35" i="2"/>
  <c r="M204" i="2"/>
  <c r="J203" i="2"/>
  <c r="M203" i="2" s="1"/>
  <c r="P94" i="2"/>
  <c r="R98" i="2"/>
  <c r="M149" i="2"/>
  <c r="J147" i="2"/>
  <c r="H37" i="2"/>
  <c r="R204" i="2"/>
  <c r="O203" i="2"/>
  <c r="R203" i="2" s="1"/>
  <c r="H15" i="2"/>
  <c r="F14" i="2"/>
  <c r="R116" i="2"/>
  <c r="M15" i="5"/>
  <c r="K14" i="5"/>
  <c r="H33" i="5"/>
  <c r="E32" i="5"/>
  <c r="H32" i="5" s="1"/>
  <c r="K132" i="5"/>
  <c r="M38" i="5"/>
  <c r="E49" i="5"/>
  <c r="M82" i="5"/>
  <c r="K81" i="5"/>
  <c r="M124" i="5"/>
  <c r="L121" i="5"/>
  <c r="L120" i="5" s="1"/>
  <c r="L119" i="5" s="1"/>
  <c r="L164" i="5" s="1"/>
  <c r="E126" i="5"/>
  <c r="E44" i="5"/>
  <c r="H44" i="5" s="1"/>
  <c r="H134" i="5"/>
  <c r="F133" i="5"/>
  <c r="F132" i="5" s="1"/>
  <c r="H135" i="5"/>
  <c r="E133" i="5"/>
  <c r="M17" i="5"/>
  <c r="R21" i="5"/>
  <c r="M26" i="5"/>
  <c r="M33" i="5"/>
  <c r="J32" i="5"/>
  <c r="M32" i="5" s="1"/>
  <c r="M39" i="5"/>
  <c r="J40" i="5"/>
  <c r="J37" i="5" s="1"/>
  <c r="H82" i="5"/>
  <c r="H128" i="5"/>
  <c r="H150" i="5"/>
  <c r="E149" i="5"/>
  <c r="F178" i="5"/>
  <c r="H184" i="5"/>
  <c r="E183" i="5"/>
  <c r="K189" i="5"/>
  <c r="M189" i="5" s="1"/>
  <c r="M201" i="5"/>
  <c r="J200" i="5"/>
  <c r="M200" i="5" s="1"/>
  <c r="H213" i="5"/>
  <c r="R232" i="5"/>
  <c r="O64" i="5"/>
  <c r="R64" i="5" s="1"/>
  <c r="F231" i="5"/>
  <c r="H231" i="5" s="1"/>
  <c r="R250" i="5"/>
  <c r="P249" i="5"/>
  <c r="R249" i="5" s="1"/>
  <c r="M249" i="5"/>
  <c r="R22" i="5"/>
  <c r="H38" i="5"/>
  <c r="E39" i="5"/>
  <c r="H39" i="5" s="1"/>
  <c r="H43" i="5"/>
  <c r="E42" i="5"/>
  <c r="R43" i="5"/>
  <c r="O42" i="5"/>
  <c r="M44" i="5"/>
  <c r="P44" i="5"/>
  <c r="P42" i="5" s="1"/>
  <c r="R45" i="5"/>
  <c r="R50" i="5"/>
  <c r="F65" i="5"/>
  <c r="F63" i="5" s="1"/>
  <c r="M101" i="5"/>
  <c r="K100" i="5"/>
  <c r="L126" i="5"/>
  <c r="M126" i="5" s="1"/>
  <c r="M127" i="5"/>
  <c r="O147" i="5"/>
  <c r="R147" i="5" s="1"/>
  <c r="F165" i="5"/>
  <c r="L165" i="5"/>
  <c r="R169" i="5"/>
  <c r="H165" i="5"/>
  <c r="M173" i="5"/>
  <c r="K165" i="5"/>
  <c r="M165" i="5" s="1"/>
  <c r="K182" i="5"/>
  <c r="K178" i="5" s="1"/>
  <c r="R185" i="5"/>
  <c r="O184" i="5"/>
  <c r="M223" i="5"/>
  <c r="K216" i="5"/>
  <c r="M225" i="5"/>
  <c r="J223" i="5"/>
  <c r="J216" i="5" s="1"/>
  <c r="R227" i="5"/>
  <c r="R236" i="5"/>
  <c r="O234" i="5"/>
  <c r="O233" i="5" s="1"/>
  <c r="O231" i="5" s="1"/>
  <c r="M240" i="5"/>
  <c r="K233" i="5"/>
  <c r="H15" i="5"/>
  <c r="R27" i="5"/>
  <c r="O26" i="5"/>
  <c r="R26" i="5" s="1"/>
  <c r="M56" i="5"/>
  <c r="K55" i="5"/>
  <c r="K48" i="5" s="1"/>
  <c r="K36" i="5" s="1"/>
  <c r="K35" i="5" s="1"/>
  <c r="R99" i="5"/>
  <c r="P98" i="5"/>
  <c r="H201" i="5"/>
  <c r="E200" i="5"/>
  <c r="H200" i="5" s="1"/>
  <c r="J204" i="5"/>
  <c r="M16" i="5"/>
  <c r="H21" i="5"/>
  <c r="Q38" i="5"/>
  <c r="F50" i="5"/>
  <c r="F49" i="5" s="1"/>
  <c r="F48" i="5" s="1"/>
  <c r="F36" i="5" s="1"/>
  <c r="L50" i="5"/>
  <c r="L49" i="5" s="1"/>
  <c r="L48" i="5" s="1"/>
  <c r="M116" i="5"/>
  <c r="F14" i="5"/>
  <c r="H16" i="5"/>
  <c r="P16" i="5"/>
  <c r="M21" i="5"/>
  <c r="H26" i="5"/>
  <c r="H37" i="5"/>
  <c r="R39" i="5"/>
  <c r="L40" i="5"/>
  <c r="L37" i="5" s="1"/>
  <c r="G42" i="5"/>
  <c r="J81" i="5"/>
  <c r="P81" i="5"/>
  <c r="R81" i="5" s="1"/>
  <c r="H101" i="5"/>
  <c r="F100" i="5"/>
  <c r="R117" i="5"/>
  <c r="P116" i="5"/>
  <c r="R116" i="5" s="1"/>
  <c r="M134" i="5"/>
  <c r="M135" i="5"/>
  <c r="J133" i="5"/>
  <c r="H139" i="5"/>
  <c r="M140" i="5"/>
  <c r="K139" i="5"/>
  <c r="E204" i="5"/>
  <c r="R225" i="5"/>
  <c r="O57" i="5"/>
  <c r="R57" i="5" s="1"/>
  <c r="H17" i="5"/>
  <c r="H22" i="5"/>
  <c r="H27" i="5"/>
  <c r="R33" i="5"/>
  <c r="R38" i="5"/>
  <c r="H40" i="5"/>
  <c r="M43" i="5"/>
  <c r="M45" i="5"/>
  <c r="R51" i="5"/>
  <c r="H56" i="5"/>
  <c r="R56" i="5"/>
  <c r="M59" i="5"/>
  <c r="L65" i="5"/>
  <c r="L63" i="5" s="1"/>
  <c r="R72" i="5"/>
  <c r="R85" i="5"/>
  <c r="O105" i="5"/>
  <c r="R105" i="5" s="1"/>
  <c r="H111" i="5"/>
  <c r="M122" i="5"/>
  <c r="K121" i="5"/>
  <c r="H152" i="5"/>
  <c r="M156" i="5"/>
  <c r="J149" i="5"/>
  <c r="H160" i="5"/>
  <c r="M184" i="5"/>
  <c r="J183" i="5"/>
  <c r="H189" i="5"/>
  <c r="R195" i="5"/>
  <c r="O194" i="5"/>
  <c r="R194" i="5" s="1"/>
  <c r="G204" i="5"/>
  <c r="R217" i="5"/>
  <c r="H223" i="5"/>
  <c r="F216" i="5"/>
  <c r="H216" i="5" s="1"/>
  <c r="M236" i="5"/>
  <c r="J234" i="5"/>
  <c r="J233" i="5" s="1"/>
  <c r="J231" i="5" s="1"/>
  <c r="R234" i="5"/>
  <c r="P233" i="5"/>
  <c r="H240" i="5"/>
  <c r="H249" i="5"/>
  <c r="M250" i="5"/>
  <c r="H253" i="5"/>
  <c r="G48" i="5"/>
  <c r="Q48" i="5"/>
  <c r="H59" i="5"/>
  <c r="G65" i="5"/>
  <c r="G63" i="5" s="1"/>
  <c r="R68" i="5"/>
  <c r="M72" i="5"/>
  <c r="R76" i="5"/>
  <c r="R82" i="5"/>
  <c r="M85" i="5"/>
  <c r="R89" i="5"/>
  <c r="R128" i="5"/>
  <c r="O126" i="5"/>
  <c r="O120" i="5" s="1"/>
  <c r="O119" i="5" s="1"/>
  <c r="M129" i="5"/>
  <c r="M143" i="5"/>
  <c r="Q182" i="5"/>
  <c r="Q178" i="5" s="1"/>
  <c r="R190" i="5"/>
  <c r="P189" i="5"/>
  <c r="R189" i="5" s="1"/>
  <c r="M195" i="5"/>
  <c r="J194" i="5"/>
  <c r="M194" i="5" s="1"/>
  <c r="P204" i="5"/>
  <c r="R206" i="5"/>
  <c r="O205" i="5"/>
  <c r="R205" i="5" s="1"/>
  <c r="H234" i="5"/>
  <c r="R100" i="5"/>
  <c r="H105" i="5"/>
  <c r="M106" i="5"/>
  <c r="H116" i="5"/>
  <c r="M117" i="5"/>
  <c r="M121" i="5"/>
  <c r="R129" i="5"/>
  <c r="R134" i="5"/>
  <c r="M139" i="5"/>
  <c r="R150" i="5"/>
  <c r="H156" i="5"/>
  <c r="M166" i="5"/>
  <c r="H169" i="5"/>
  <c r="H185" i="5"/>
  <c r="H190" i="5"/>
  <c r="H195" i="5"/>
  <c r="M210" i="5"/>
  <c r="R213" i="5"/>
  <c r="M217" i="5"/>
  <c r="H219" i="5"/>
  <c r="H227" i="5"/>
  <c r="H236" i="5"/>
  <c r="Q233" i="5"/>
  <c r="Q231" i="5" s="1"/>
  <c r="Q203" i="5" s="1"/>
  <c r="H244" i="5"/>
  <c r="H250" i="5"/>
  <c r="R253" i="5"/>
  <c r="H257" i="5"/>
  <c r="R101" i="5"/>
  <c r="H106" i="5"/>
  <c r="R111" i="5"/>
  <c r="H117" i="5"/>
  <c r="H122" i="5"/>
  <c r="R122" i="5"/>
  <c r="M123" i="5"/>
  <c r="G126" i="5"/>
  <c r="G120" i="5" s="1"/>
  <c r="G119" i="5" s="1"/>
  <c r="G164" i="5" s="1"/>
  <c r="R135" i="5"/>
  <c r="R143" i="5"/>
  <c r="M150" i="5"/>
  <c r="R152" i="5"/>
  <c r="R160" i="5"/>
  <c r="H166" i="5"/>
  <c r="R173" i="5"/>
  <c r="H210" i="5"/>
  <c r="M213" i="5"/>
  <c r="H217" i="5"/>
  <c r="R240" i="5"/>
  <c r="M253" i="5"/>
  <c r="J42" i="5"/>
  <c r="E55" i="5"/>
  <c r="J55" i="5"/>
  <c r="O55" i="5"/>
  <c r="E66" i="5"/>
  <c r="J66" i="5"/>
  <c r="O66" i="5"/>
  <c r="P94" i="5"/>
  <c r="F110" i="5"/>
  <c r="H110" i="5" s="1"/>
  <c r="K110" i="5"/>
  <c r="M110" i="5" s="1"/>
  <c r="P110" i="5"/>
  <c r="R110" i="5" s="1"/>
  <c r="F121" i="5"/>
  <c r="P121" i="5"/>
  <c r="O223" i="5"/>
  <c r="R36" i="2" l="1"/>
  <c r="R40" i="5"/>
  <c r="O37" i="5"/>
  <c r="G203" i="5"/>
  <c r="G248" i="5" s="1"/>
  <c r="F35" i="5"/>
  <c r="R126" i="5"/>
  <c r="F120" i="5"/>
  <c r="F119" i="5" s="1"/>
  <c r="M216" i="5"/>
  <c r="P182" i="5"/>
  <c r="P178" i="5" s="1"/>
  <c r="M81" i="5"/>
  <c r="M234" i="5"/>
  <c r="H233" i="5"/>
  <c r="P120" i="5"/>
  <c r="P119" i="5" s="1"/>
  <c r="R133" i="5"/>
  <c r="Q248" i="5"/>
  <c r="G36" i="5"/>
  <c r="Q37" i="5"/>
  <c r="R49" i="5"/>
  <c r="H50" i="5"/>
  <c r="J10" i="5"/>
  <c r="R149" i="5"/>
  <c r="P164" i="2"/>
  <c r="R94" i="2"/>
  <c r="M98" i="2"/>
  <c r="J94" i="2"/>
  <c r="R178" i="2"/>
  <c r="O248" i="2"/>
  <c r="R248" i="2" s="1"/>
  <c r="H35" i="2"/>
  <c r="E80" i="2"/>
  <c r="M116" i="2"/>
  <c r="K94" i="2"/>
  <c r="K164" i="2" s="1"/>
  <c r="H147" i="2"/>
  <c r="E119" i="2"/>
  <c r="H119" i="2" s="1"/>
  <c r="H98" i="2"/>
  <c r="E94" i="2"/>
  <c r="J248" i="2"/>
  <c r="M248" i="2" s="1"/>
  <c r="M178" i="2"/>
  <c r="O119" i="2"/>
  <c r="M147" i="2"/>
  <c r="J119" i="2"/>
  <c r="M119" i="2" s="1"/>
  <c r="O80" i="2"/>
  <c r="R80" i="2" s="1"/>
  <c r="R10" i="2"/>
  <c r="F94" i="2"/>
  <c r="F164" i="2" s="1"/>
  <c r="H116" i="2"/>
  <c r="F10" i="2"/>
  <c r="H14" i="2"/>
  <c r="J80" i="2"/>
  <c r="L10" i="2"/>
  <c r="M32" i="2"/>
  <c r="H126" i="5"/>
  <c r="H204" i="5"/>
  <c r="E203" i="5"/>
  <c r="G35" i="5"/>
  <c r="G80" i="5" s="1"/>
  <c r="H14" i="5"/>
  <c r="F10" i="5"/>
  <c r="F80" i="5" s="1"/>
  <c r="H42" i="5"/>
  <c r="H121" i="5"/>
  <c r="M204" i="5"/>
  <c r="J203" i="5"/>
  <c r="H149" i="5"/>
  <c r="E147" i="5"/>
  <c r="H147" i="5" s="1"/>
  <c r="M37" i="5"/>
  <c r="E10" i="5"/>
  <c r="K120" i="5"/>
  <c r="K119" i="5" s="1"/>
  <c r="M133" i="5"/>
  <c r="J132" i="5"/>
  <c r="R16" i="5"/>
  <c r="P15" i="5"/>
  <c r="R184" i="5"/>
  <c r="O183" i="5"/>
  <c r="K204" i="5"/>
  <c r="H183" i="5"/>
  <c r="E182" i="5"/>
  <c r="R44" i="5"/>
  <c r="R233" i="5"/>
  <c r="P231" i="5"/>
  <c r="R231" i="5" s="1"/>
  <c r="M233" i="5"/>
  <c r="K231" i="5"/>
  <c r="M231" i="5" s="1"/>
  <c r="F204" i="5"/>
  <c r="F203" i="5" s="1"/>
  <c r="H203" i="5" s="1"/>
  <c r="M50" i="5"/>
  <c r="H100" i="5"/>
  <c r="F99" i="5"/>
  <c r="L36" i="5"/>
  <c r="L35" i="5" s="1"/>
  <c r="L80" i="5" s="1"/>
  <c r="M100" i="5"/>
  <c r="K99" i="5"/>
  <c r="R119" i="5"/>
  <c r="M183" i="5"/>
  <c r="J182" i="5"/>
  <c r="M149" i="5"/>
  <c r="J147" i="5"/>
  <c r="M147" i="5" s="1"/>
  <c r="O98" i="5"/>
  <c r="O94" i="5" s="1"/>
  <c r="O164" i="5" s="1"/>
  <c r="M49" i="5"/>
  <c r="R42" i="5"/>
  <c r="M40" i="5"/>
  <c r="H133" i="5"/>
  <c r="E132" i="5"/>
  <c r="H132" i="5" s="1"/>
  <c r="H49" i="5"/>
  <c r="M14" i="5"/>
  <c r="K10" i="5"/>
  <c r="K80" i="5" s="1"/>
  <c r="O216" i="5"/>
  <c r="R223" i="5"/>
  <c r="M66" i="5"/>
  <c r="J65" i="5"/>
  <c r="R55" i="5"/>
  <c r="O48" i="5"/>
  <c r="H55" i="5"/>
  <c r="E48" i="5"/>
  <c r="R66" i="5"/>
  <c r="O65" i="5"/>
  <c r="H66" i="5"/>
  <c r="E65" i="5"/>
  <c r="M55" i="5"/>
  <c r="J48" i="5"/>
  <c r="M48" i="5" s="1"/>
  <c r="M42" i="5"/>
  <c r="P164" i="5"/>
  <c r="R120" i="5"/>
  <c r="R121" i="5"/>
  <c r="P203" i="5" l="1"/>
  <c r="P248" i="5" s="1"/>
  <c r="E120" i="5"/>
  <c r="R37" i="5"/>
  <c r="Q36" i="5"/>
  <c r="Q35" i="5" s="1"/>
  <c r="Q80" i="5" s="1"/>
  <c r="F80" i="2"/>
  <c r="H80" i="2" s="1"/>
  <c r="H10" i="2"/>
  <c r="J164" i="2"/>
  <c r="M164" i="2" s="1"/>
  <c r="M94" i="2"/>
  <c r="L80" i="2"/>
  <c r="M80" i="2" s="1"/>
  <c r="M10" i="2"/>
  <c r="E164" i="2"/>
  <c r="H164" i="2" s="1"/>
  <c r="H94" i="2"/>
  <c r="R119" i="2"/>
  <c r="O164" i="2"/>
  <c r="R164" i="2" s="1"/>
  <c r="M132" i="5"/>
  <c r="J120" i="5"/>
  <c r="R94" i="5"/>
  <c r="H182" i="5"/>
  <c r="E178" i="5"/>
  <c r="F248" i="5"/>
  <c r="R164" i="5"/>
  <c r="M99" i="5"/>
  <c r="K98" i="5"/>
  <c r="R15" i="5"/>
  <c r="P14" i="5"/>
  <c r="H10" i="5"/>
  <c r="M10" i="5"/>
  <c r="E119" i="5"/>
  <c r="H120" i="5"/>
  <c r="R183" i="5"/>
  <c r="O182" i="5"/>
  <c r="H99" i="5"/>
  <c r="F98" i="5"/>
  <c r="J36" i="5"/>
  <c r="M36" i="5" s="1"/>
  <c r="R98" i="5"/>
  <c r="M182" i="5"/>
  <c r="J178" i="5"/>
  <c r="K203" i="5"/>
  <c r="K248" i="5" s="1"/>
  <c r="H65" i="5"/>
  <c r="E63" i="5"/>
  <c r="H63" i="5" s="1"/>
  <c r="R65" i="5"/>
  <c r="O63" i="5"/>
  <c r="R63" i="5" s="1"/>
  <c r="E36" i="5"/>
  <c r="H48" i="5"/>
  <c r="O36" i="5"/>
  <c r="R48" i="5"/>
  <c r="M65" i="5"/>
  <c r="J63" i="5"/>
  <c r="M63" i="5" s="1"/>
  <c r="R216" i="5"/>
  <c r="O204" i="5"/>
  <c r="J248" i="5" l="1"/>
  <c r="M178" i="5"/>
  <c r="H98" i="5"/>
  <c r="F94" i="5"/>
  <c r="R14" i="5"/>
  <c r="P10" i="5"/>
  <c r="H119" i="5"/>
  <c r="E164" i="5"/>
  <c r="M120" i="5"/>
  <c r="J119" i="5"/>
  <c r="M248" i="5"/>
  <c r="M203" i="5"/>
  <c r="R182" i="5"/>
  <c r="O178" i="5"/>
  <c r="R178" i="5" s="1"/>
  <c r="M98" i="5"/>
  <c r="K94" i="5"/>
  <c r="E248" i="5"/>
  <c r="H248" i="5" s="1"/>
  <c r="H178" i="5"/>
  <c r="R204" i="5"/>
  <c r="O203" i="5"/>
  <c r="O35" i="5"/>
  <c r="R36" i="5"/>
  <c r="E35" i="5"/>
  <c r="H36" i="5"/>
  <c r="J35" i="5"/>
  <c r="F164" i="5" l="1"/>
  <c r="H164" i="5" s="1"/>
  <c r="H94" i="5"/>
  <c r="M119" i="5"/>
  <c r="J164" i="5"/>
  <c r="P80" i="5"/>
  <c r="R10" i="5"/>
  <c r="K164" i="5"/>
  <c r="M94" i="5"/>
  <c r="R203" i="5"/>
  <c r="O248" i="5"/>
  <c r="R248" i="5" s="1"/>
  <c r="M35" i="5"/>
  <c r="J80" i="5"/>
  <c r="M80" i="5" s="1"/>
  <c r="H35" i="5"/>
  <c r="E80" i="5"/>
  <c r="H80" i="5" s="1"/>
  <c r="R35" i="5"/>
  <c r="O80" i="5"/>
  <c r="R80" i="5" s="1"/>
  <c r="M164" i="5" l="1"/>
  <c r="P272" i="142"/>
  <c r="K272" i="142"/>
  <c r="F272" i="142"/>
  <c r="R260" i="142"/>
  <c r="M260" i="142"/>
  <c r="H260" i="142"/>
  <c r="R259" i="142"/>
  <c r="M259" i="142"/>
  <c r="H259" i="142"/>
  <c r="R258" i="142"/>
  <c r="M258" i="142"/>
  <c r="H258" i="142"/>
  <c r="Q257" i="142"/>
  <c r="P257" i="142"/>
  <c r="O257" i="142"/>
  <c r="O249" i="142" s="1"/>
  <c r="L257" i="142"/>
  <c r="K257" i="142"/>
  <c r="J257" i="142"/>
  <c r="G257" i="142"/>
  <c r="G249" i="142" s="1"/>
  <c r="F257" i="142"/>
  <c r="E257" i="142"/>
  <c r="R256" i="142"/>
  <c r="M256" i="142"/>
  <c r="H256" i="142"/>
  <c r="R255" i="142"/>
  <c r="M255" i="142"/>
  <c r="H255" i="142"/>
  <c r="R254" i="142"/>
  <c r="M254" i="142"/>
  <c r="H254" i="142"/>
  <c r="Q253" i="142"/>
  <c r="P253" i="142"/>
  <c r="O253" i="142"/>
  <c r="L253" i="142"/>
  <c r="K253" i="142"/>
  <c r="J253" i="142"/>
  <c r="G253" i="142"/>
  <c r="F253" i="142"/>
  <c r="E253" i="142"/>
  <c r="H253" i="142" s="1"/>
  <c r="R252" i="142"/>
  <c r="M252" i="142"/>
  <c r="H252" i="142"/>
  <c r="R251" i="142"/>
  <c r="M251" i="142"/>
  <c r="H251" i="142"/>
  <c r="Q250" i="142"/>
  <c r="P250" i="142"/>
  <c r="P249" i="142" s="1"/>
  <c r="O250" i="142"/>
  <c r="L250" i="142"/>
  <c r="K250" i="142"/>
  <c r="J250" i="142"/>
  <c r="G250" i="142"/>
  <c r="F250" i="142"/>
  <c r="E250" i="142"/>
  <c r="H250" i="142" s="1"/>
  <c r="Q249" i="142"/>
  <c r="L249" i="142"/>
  <c r="K249" i="142"/>
  <c r="F249" i="142"/>
  <c r="E249" i="142"/>
  <c r="H249" i="142" s="1"/>
  <c r="R247" i="142"/>
  <c r="M247" i="142"/>
  <c r="H247" i="142"/>
  <c r="R246" i="142"/>
  <c r="M246" i="142"/>
  <c r="H246" i="142"/>
  <c r="R245" i="142"/>
  <c r="M245" i="142"/>
  <c r="H245" i="142"/>
  <c r="Q244" i="142"/>
  <c r="P244" i="142"/>
  <c r="O244" i="142"/>
  <c r="L244" i="142"/>
  <c r="K244" i="142"/>
  <c r="J244" i="142"/>
  <c r="G244" i="142"/>
  <c r="F244" i="142"/>
  <c r="E244" i="142"/>
  <c r="R243" i="142"/>
  <c r="M243" i="142"/>
  <c r="H243" i="142"/>
  <c r="R242" i="142"/>
  <c r="M242" i="142"/>
  <c r="H242" i="142"/>
  <c r="R241" i="142"/>
  <c r="M241" i="142"/>
  <c r="H241" i="142"/>
  <c r="Q240" i="142"/>
  <c r="Q233" i="142" s="1"/>
  <c r="Q231" i="142" s="1"/>
  <c r="P240" i="142"/>
  <c r="O240" i="142"/>
  <c r="L240" i="142"/>
  <c r="L233" i="142" s="1"/>
  <c r="L231" i="142" s="1"/>
  <c r="L203" i="142" s="1"/>
  <c r="K240" i="142"/>
  <c r="K233" i="142" s="1"/>
  <c r="K231" i="142" s="1"/>
  <c r="J240" i="142"/>
  <c r="G240" i="142"/>
  <c r="F240" i="142"/>
  <c r="F233" i="142" s="1"/>
  <c r="F231" i="142" s="1"/>
  <c r="E240" i="142"/>
  <c r="R239" i="142"/>
  <c r="M239" i="142"/>
  <c r="H239" i="142"/>
  <c r="R238" i="142"/>
  <c r="M238" i="142"/>
  <c r="H238" i="142"/>
  <c r="R237" i="142"/>
  <c r="M237" i="142"/>
  <c r="H237" i="142"/>
  <c r="Q236" i="142"/>
  <c r="P236" i="142"/>
  <c r="O236" i="142"/>
  <c r="R236" i="142" s="1"/>
  <c r="L236" i="142"/>
  <c r="K236" i="142"/>
  <c r="J236" i="142"/>
  <c r="G236" i="142"/>
  <c r="F236" i="142"/>
  <c r="E236" i="142"/>
  <c r="R235" i="142"/>
  <c r="M235" i="142"/>
  <c r="H235" i="142"/>
  <c r="Q234" i="142"/>
  <c r="P234" i="142"/>
  <c r="O234" i="142"/>
  <c r="L234" i="142"/>
  <c r="K234" i="142"/>
  <c r="J234" i="142"/>
  <c r="M234" i="142" s="1"/>
  <c r="G234" i="142"/>
  <c r="G233" i="142" s="1"/>
  <c r="G231" i="142" s="1"/>
  <c r="F234" i="142"/>
  <c r="E234" i="142"/>
  <c r="P233" i="142"/>
  <c r="P231" i="142" s="1"/>
  <c r="J233" i="142"/>
  <c r="R232" i="142"/>
  <c r="R64" i="142" s="1"/>
  <c r="M232" i="142"/>
  <c r="H232" i="142"/>
  <c r="R230" i="142"/>
  <c r="M230" i="142"/>
  <c r="H230" i="142"/>
  <c r="R229" i="142"/>
  <c r="M229" i="142"/>
  <c r="H229" i="142"/>
  <c r="R228" i="142"/>
  <c r="M228" i="142"/>
  <c r="H228" i="142"/>
  <c r="Q227" i="142"/>
  <c r="P227" i="142"/>
  <c r="O227" i="142"/>
  <c r="L227" i="142"/>
  <c r="K227" i="142"/>
  <c r="J227" i="142"/>
  <c r="G227" i="142"/>
  <c r="F227" i="142"/>
  <c r="H227" i="142" s="1"/>
  <c r="E227" i="142"/>
  <c r="R226" i="142"/>
  <c r="M226" i="142"/>
  <c r="H226" i="142"/>
  <c r="R225" i="142"/>
  <c r="M225" i="142"/>
  <c r="H225" i="142"/>
  <c r="R224" i="142"/>
  <c r="M224" i="142"/>
  <c r="H224" i="142"/>
  <c r="Q223" i="142"/>
  <c r="P223" i="142"/>
  <c r="O223" i="142"/>
  <c r="L223" i="142"/>
  <c r="K223" i="142"/>
  <c r="J223" i="142"/>
  <c r="M223" i="142" s="1"/>
  <c r="G223" i="142"/>
  <c r="F223" i="142"/>
  <c r="E223" i="142"/>
  <c r="H223" i="142" s="1"/>
  <c r="R222" i="142"/>
  <c r="M222" i="142"/>
  <c r="H222" i="142"/>
  <c r="R221" i="142"/>
  <c r="M221" i="142"/>
  <c r="H221" i="142"/>
  <c r="R220" i="142"/>
  <c r="M220" i="142"/>
  <c r="H220" i="142"/>
  <c r="Q219" i="142"/>
  <c r="P219" i="142"/>
  <c r="O219" i="142"/>
  <c r="O217" i="142" s="1"/>
  <c r="L219" i="142"/>
  <c r="L217" i="142" s="1"/>
  <c r="L216" i="142" s="1"/>
  <c r="L204" i="142" s="1"/>
  <c r="K219" i="142"/>
  <c r="J219" i="142"/>
  <c r="G219" i="142"/>
  <c r="G217" i="142" s="1"/>
  <c r="G216" i="142" s="1"/>
  <c r="F219" i="142"/>
  <c r="H219" i="142" s="1"/>
  <c r="E219" i="142"/>
  <c r="R218" i="142"/>
  <c r="M218" i="142"/>
  <c r="H218" i="142"/>
  <c r="Q217" i="142"/>
  <c r="J217" i="142"/>
  <c r="E217" i="142"/>
  <c r="Q216" i="142"/>
  <c r="O216" i="142"/>
  <c r="E216" i="142"/>
  <c r="R215" i="142"/>
  <c r="M215" i="142"/>
  <c r="H215" i="142"/>
  <c r="R214" i="142"/>
  <c r="M214" i="142"/>
  <c r="H214" i="142"/>
  <c r="Q213" i="142"/>
  <c r="P213" i="142"/>
  <c r="O213" i="142"/>
  <c r="L213" i="142"/>
  <c r="K213" i="142"/>
  <c r="J213" i="142"/>
  <c r="M213" i="142" s="1"/>
  <c r="G213" i="142"/>
  <c r="F213" i="142"/>
  <c r="E213" i="142"/>
  <c r="H213" i="142" s="1"/>
  <c r="R212" i="142"/>
  <c r="M212" i="142"/>
  <c r="H212" i="142"/>
  <c r="R211" i="142"/>
  <c r="M211" i="142"/>
  <c r="H211" i="142"/>
  <c r="Q210" i="142"/>
  <c r="P210" i="142"/>
  <c r="O210" i="142"/>
  <c r="L210" i="142"/>
  <c r="K210" i="142"/>
  <c r="J210" i="142"/>
  <c r="M210" i="142" s="1"/>
  <c r="G210" i="142"/>
  <c r="G204" i="142" s="1"/>
  <c r="G203" i="142" s="1"/>
  <c r="F210" i="142"/>
  <c r="E210" i="142"/>
  <c r="R209" i="142"/>
  <c r="M209" i="142"/>
  <c r="H209" i="142"/>
  <c r="R208" i="142"/>
  <c r="M208" i="142"/>
  <c r="H208" i="142"/>
  <c r="R207" i="142"/>
  <c r="M207" i="142"/>
  <c r="H207" i="142"/>
  <c r="R206" i="142"/>
  <c r="R38" i="142" s="1"/>
  <c r="M206" i="142"/>
  <c r="H206" i="142"/>
  <c r="Q205" i="142"/>
  <c r="P205" i="142"/>
  <c r="O205" i="142"/>
  <c r="L205" i="142"/>
  <c r="K205" i="142"/>
  <c r="J205" i="142"/>
  <c r="G205" i="142"/>
  <c r="F205" i="142"/>
  <c r="E205" i="142"/>
  <c r="H205" i="142" s="1"/>
  <c r="Q204" i="142"/>
  <c r="Q203" i="142" s="1"/>
  <c r="R202" i="142"/>
  <c r="M202" i="142"/>
  <c r="H202" i="142"/>
  <c r="R201" i="142"/>
  <c r="M201" i="142"/>
  <c r="H201" i="142"/>
  <c r="Q200" i="142"/>
  <c r="P200" i="142"/>
  <c r="O200" i="142"/>
  <c r="R200" i="142" s="1"/>
  <c r="L200" i="142"/>
  <c r="K200" i="142"/>
  <c r="J200" i="142"/>
  <c r="M200" i="142" s="1"/>
  <c r="G200" i="142"/>
  <c r="G178" i="142" s="1"/>
  <c r="G248" i="142" s="1"/>
  <c r="F200" i="142"/>
  <c r="E200" i="142"/>
  <c r="R199" i="142"/>
  <c r="M199" i="142"/>
  <c r="H199" i="142"/>
  <c r="R198" i="142"/>
  <c r="M198" i="142"/>
  <c r="H198" i="142"/>
  <c r="R197" i="142"/>
  <c r="M197" i="142"/>
  <c r="H197" i="142"/>
  <c r="R196" i="142"/>
  <c r="M196" i="142"/>
  <c r="H196" i="142"/>
  <c r="Q195" i="142"/>
  <c r="Q194" i="142" s="1"/>
  <c r="P195" i="142"/>
  <c r="P194" i="142" s="1"/>
  <c r="O195" i="142"/>
  <c r="L195" i="142"/>
  <c r="L194" i="142" s="1"/>
  <c r="K195" i="142"/>
  <c r="K194" i="142" s="1"/>
  <c r="J195" i="142"/>
  <c r="M195" i="142" s="1"/>
  <c r="G195" i="142"/>
  <c r="G194" i="142" s="1"/>
  <c r="F195" i="142"/>
  <c r="E195" i="142"/>
  <c r="H195" i="142" s="1"/>
  <c r="C195" i="142"/>
  <c r="C194" i="142" s="1"/>
  <c r="F194" i="142"/>
  <c r="R193" i="142"/>
  <c r="M193" i="142"/>
  <c r="H193" i="142"/>
  <c r="R192" i="142"/>
  <c r="M192" i="142"/>
  <c r="H192" i="142"/>
  <c r="R191" i="142"/>
  <c r="M191" i="142"/>
  <c r="H191" i="142"/>
  <c r="Q190" i="142"/>
  <c r="P190" i="142"/>
  <c r="O190" i="142"/>
  <c r="O189" i="142" s="1"/>
  <c r="L190" i="142"/>
  <c r="K190" i="142"/>
  <c r="J190" i="142"/>
  <c r="G190" i="142"/>
  <c r="G189" i="142" s="1"/>
  <c r="F190" i="142"/>
  <c r="E190" i="142"/>
  <c r="Q189" i="142"/>
  <c r="P189" i="142"/>
  <c r="R189" i="142" s="1"/>
  <c r="L189" i="142"/>
  <c r="K189" i="142"/>
  <c r="J189" i="142"/>
  <c r="F189" i="142"/>
  <c r="E189" i="142"/>
  <c r="R188" i="142"/>
  <c r="M188" i="142"/>
  <c r="H188" i="142"/>
  <c r="R187" i="142"/>
  <c r="M187" i="142"/>
  <c r="H187" i="142"/>
  <c r="R186" i="142"/>
  <c r="M186" i="142"/>
  <c r="H186" i="142"/>
  <c r="H18" i="142" s="1"/>
  <c r="Q185" i="142"/>
  <c r="P185" i="142"/>
  <c r="O185" i="142"/>
  <c r="R185" i="142" s="1"/>
  <c r="L185" i="142"/>
  <c r="L184" i="142" s="1"/>
  <c r="L183" i="142" s="1"/>
  <c r="L182" i="142" s="1"/>
  <c r="L178" i="142" s="1"/>
  <c r="K185" i="142"/>
  <c r="J185" i="142"/>
  <c r="G185" i="142"/>
  <c r="F185" i="142"/>
  <c r="F184" i="142" s="1"/>
  <c r="F183" i="142" s="1"/>
  <c r="F182" i="142" s="1"/>
  <c r="F178" i="142" s="1"/>
  <c r="E185" i="142"/>
  <c r="Q184" i="142"/>
  <c r="P184" i="142"/>
  <c r="O184" i="142"/>
  <c r="K184" i="142"/>
  <c r="J184" i="142"/>
  <c r="G184" i="142"/>
  <c r="G183" i="142" s="1"/>
  <c r="G182" i="142" s="1"/>
  <c r="E184" i="142"/>
  <c r="Q183" i="142"/>
  <c r="P183" i="142"/>
  <c r="P182" i="142" s="1"/>
  <c r="P178" i="142" s="1"/>
  <c r="K183" i="142"/>
  <c r="J183" i="142"/>
  <c r="E183" i="142"/>
  <c r="Q182" i="142"/>
  <c r="Q178" i="142" s="1"/>
  <c r="K182" i="142"/>
  <c r="K178" i="142" s="1"/>
  <c r="E182" i="142"/>
  <c r="R181" i="142"/>
  <c r="M181" i="142"/>
  <c r="H181" i="142"/>
  <c r="R180" i="142"/>
  <c r="M180" i="142"/>
  <c r="H180" i="142"/>
  <c r="R179" i="142"/>
  <c r="M179" i="142"/>
  <c r="H179" i="142"/>
  <c r="R176" i="142"/>
  <c r="M176" i="142"/>
  <c r="H176" i="142"/>
  <c r="R175" i="142"/>
  <c r="M175" i="142"/>
  <c r="H175" i="142"/>
  <c r="R174" i="142"/>
  <c r="M174" i="142"/>
  <c r="H174" i="142"/>
  <c r="Q173" i="142"/>
  <c r="Q165" i="142" s="1"/>
  <c r="P173" i="142"/>
  <c r="O173" i="142"/>
  <c r="L173" i="142"/>
  <c r="K173" i="142"/>
  <c r="K165" i="142" s="1"/>
  <c r="J173" i="142"/>
  <c r="G173" i="142"/>
  <c r="F173" i="142"/>
  <c r="E173" i="142"/>
  <c r="E165" i="142" s="1"/>
  <c r="R172" i="142"/>
  <c r="M172" i="142"/>
  <c r="H172" i="142"/>
  <c r="R171" i="142"/>
  <c r="M171" i="142"/>
  <c r="H171" i="142"/>
  <c r="R170" i="142"/>
  <c r="M170" i="142"/>
  <c r="H170" i="142"/>
  <c r="Q169" i="142"/>
  <c r="P169" i="142"/>
  <c r="O169" i="142"/>
  <c r="R169" i="142" s="1"/>
  <c r="L169" i="142"/>
  <c r="K169" i="142"/>
  <c r="J169" i="142"/>
  <c r="M169" i="142" s="1"/>
  <c r="G169" i="142"/>
  <c r="G165" i="142" s="1"/>
  <c r="F169" i="142"/>
  <c r="E169" i="142"/>
  <c r="R168" i="142"/>
  <c r="M168" i="142"/>
  <c r="H168" i="142"/>
  <c r="R167" i="142"/>
  <c r="M167" i="142"/>
  <c r="H167" i="142"/>
  <c r="Q166" i="142"/>
  <c r="P166" i="142"/>
  <c r="O166" i="142"/>
  <c r="R166" i="142" s="1"/>
  <c r="L166" i="142"/>
  <c r="L165" i="142" s="1"/>
  <c r="K166" i="142"/>
  <c r="J166" i="142"/>
  <c r="G166" i="142"/>
  <c r="F166" i="142"/>
  <c r="F165" i="142" s="1"/>
  <c r="E166" i="142"/>
  <c r="P165" i="142"/>
  <c r="O165" i="142"/>
  <c r="R165" i="142" s="1"/>
  <c r="J165" i="142"/>
  <c r="R163" i="142"/>
  <c r="M163" i="142"/>
  <c r="H163" i="142"/>
  <c r="R162" i="142"/>
  <c r="M162" i="142"/>
  <c r="H162" i="142"/>
  <c r="R161" i="142"/>
  <c r="M161" i="142"/>
  <c r="H161" i="142"/>
  <c r="Q160" i="142"/>
  <c r="P160" i="142"/>
  <c r="O160" i="142"/>
  <c r="L160" i="142"/>
  <c r="K160" i="142"/>
  <c r="M160" i="142" s="1"/>
  <c r="J160" i="142"/>
  <c r="G160" i="142"/>
  <c r="F160" i="142"/>
  <c r="E160" i="142"/>
  <c r="R159" i="142"/>
  <c r="M159" i="142"/>
  <c r="H159" i="142"/>
  <c r="R158" i="142"/>
  <c r="M158" i="142"/>
  <c r="H158" i="142"/>
  <c r="R157" i="142"/>
  <c r="M157" i="142"/>
  <c r="H157" i="142"/>
  <c r="Q156" i="142"/>
  <c r="P156" i="142"/>
  <c r="P149" i="142" s="1"/>
  <c r="P147" i="142" s="1"/>
  <c r="O156" i="142"/>
  <c r="L156" i="142"/>
  <c r="K156" i="142"/>
  <c r="J156" i="142"/>
  <c r="M156" i="142" s="1"/>
  <c r="G156" i="142"/>
  <c r="G149" i="142" s="1"/>
  <c r="G147" i="142" s="1"/>
  <c r="F156" i="142"/>
  <c r="E156" i="142"/>
  <c r="R155" i="142"/>
  <c r="M155" i="142"/>
  <c r="H155" i="142"/>
  <c r="R154" i="142"/>
  <c r="M154" i="142"/>
  <c r="H154" i="142"/>
  <c r="R153" i="142"/>
  <c r="M153" i="142"/>
  <c r="H153" i="142"/>
  <c r="Q152" i="142"/>
  <c r="P152" i="142"/>
  <c r="O152" i="142"/>
  <c r="L152" i="142"/>
  <c r="K152" i="142"/>
  <c r="M152" i="142" s="1"/>
  <c r="J152" i="142"/>
  <c r="G152" i="142"/>
  <c r="F152" i="142"/>
  <c r="E152" i="142"/>
  <c r="R151" i="142"/>
  <c r="M151" i="142"/>
  <c r="H151" i="142"/>
  <c r="Q150" i="142"/>
  <c r="Q149" i="142" s="1"/>
  <c r="Q147" i="142" s="1"/>
  <c r="P150" i="142"/>
  <c r="O150" i="142"/>
  <c r="L150" i="142"/>
  <c r="K150" i="142"/>
  <c r="K149" i="142" s="1"/>
  <c r="K147" i="142" s="1"/>
  <c r="J150" i="142"/>
  <c r="G150" i="142"/>
  <c r="F150" i="142"/>
  <c r="E150" i="142"/>
  <c r="L149" i="142"/>
  <c r="F149" i="142"/>
  <c r="F147" i="142" s="1"/>
  <c r="R148" i="142"/>
  <c r="L148" i="142"/>
  <c r="H148" i="142"/>
  <c r="R146" i="142"/>
  <c r="M146" i="142"/>
  <c r="H146" i="142"/>
  <c r="R145" i="142"/>
  <c r="M145" i="142"/>
  <c r="H145" i="142"/>
  <c r="R144" i="142"/>
  <c r="M144" i="142"/>
  <c r="H144" i="142"/>
  <c r="Q143" i="142"/>
  <c r="P143" i="142"/>
  <c r="O143" i="142"/>
  <c r="L143" i="142"/>
  <c r="K143" i="142"/>
  <c r="M143" i="142" s="1"/>
  <c r="J143" i="142"/>
  <c r="G143" i="142"/>
  <c r="F143" i="142"/>
  <c r="E143" i="142"/>
  <c r="R142" i="142"/>
  <c r="M142" i="142"/>
  <c r="H142" i="142"/>
  <c r="R141" i="142"/>
  <c r="M141" i="142"/>
  <c r="H141" i="142"/>
  <c r="R140" i="142"/>
  <c r="R56" i="142" s="1"/>
  <c r="M140" i="142"/>
  <c r="M56" i="142" s="1"/>
  <c r="H140" i="142"/>
  <c r="Q139" i="142"/>
  <c r="P139" i="142"/>
  <c r="O139" i="142"/>
  <c r="R139" i="142" s="1"/>
  <c r="L139" i="142"/>
  <c r="K139" i="142"/>
  <c r="J139" i="142"/>
  <c r="M139" i="142" s="1"/>
  <c r="G139" i="142"/>
  <c r="F139" i="142"/>
  <c r="E139" i="142"/>
  <c r="R138" i="142"/>
  <c r="M138" i="142"/>
  <c r="H138" i="142"/>
  <c r="R137" i="142"/>
  <c r="M137" i="142"/>
  <c r="H137" i="142"/>
  <c r="R136" i="142"/>
  <c r="M136" i="142"/>
  <c r="H136" i="142"/>
  <c r="Q135" i="142"/>
  <c r="P135" i="142"/>
  <c r="P133" i="142" s="1"/>
  <c r="O135" i="142"/>
  <c r="L135" i="142"/>
  <c r="L133" i="142" s="1"/>
  <c r="L132" i="142" s="1"/>
  <c r="K135" i="142"/>
  <c r="K133" i="142" s="1"/>
  <c r="K132" i="142" s="1"/>
  <c r="J135" i="142"/>
  <c r="G135" i="142"/>
  <c r="F135" i="142"/>
  <c r="E135" i="142"/>
  <c r="E133" i="142" s="1"/>
  <c r="R134" i="142"/>
  <c r="M134" i="142"/>
  <c r="H134" i="142"/>
  <c r="Q133" i="142"/>
  <c r="Q132" i="142" s="1"/>
  <c r="O133" i="142"/>
  <c r="J133" i="142"/>
  <c r="G133" i="142"/>
  <c r="G132" i="142" s="1"/>
  <c r="O132" i="142"/>
  <c r="R131" i="142"/>
  <c r="M131" i="142"/>
  <c r="M47" i="142" s="1"/>
  <c r="H131" i="142"/>
  <c r="H47" i="142" s="1"/>
  <c r="R130" i="142"/>
  <c r="M130" i="142"/>
  <c r="H130" i="142"/>
  <c r="Q129" i="142"/>
  <c r="P129" i="142"/>
  <c r="O129" i="142"/>
  <c r="L129" i="142"/>
  <c r="K129" i="142"/>
  <c r="J129" i="142"/>
  <c r="G129" i="142"/>
  <c r="F129" i="142"/>
  <c r="E129" i="142"/>
  <c r="H129" i="142" s="1"/>
  <c r="Q128" i="142"/>
  <c r="P128" i="142"/>
  <c r="R128" i="142" s="1"/>
  <c r="L128" i="142"/>
  <c r="K128" i="142"/>
  <c r="M128" i="142" s="1"/>
  <c r="G128" i="142"/>
  <c r="F128" i="142"/>
  <c r="H128" i="142" s="1"/>
  <c r="Q127" i="142"/>
  <c r="P127" i="142"/>
  <c r="P126" i="142" s="1"/>
  <c r="O127" i="142"/>
  <c r="L127" i="142"/>
  <c r="M127" i="142" s="1"/>
  <c r="G127" i="142"/>
  <c r="H127" i="142" s="1"/>
  <c r="H43" i="142" s="1"/>
  <c r="Q126" i="142"/>
  <c r="O126" i="142"/>
  <c r="L126" i="142"/>
  <c r="K126" i="142"/>
  <c r="J126" i="142"/>
  <c r="F126" i="142"/>
  <c r="E126" i="142"/>
  <c r="R125" i="142"/>
  <c r="M125" i="142"/>
  <c r="H125" i="142"/>
  <c r="Q124" i="142"/>
  <c r="Q121" i="142" s="1"/>
  <c r="P124" i="142"/>
  <c r="O124" i="142"/>
  <c r="O121" i="142" s="1"/>
  <c r="L124" i="142"/>
  <c r="G124" i="142"/>
  <c r="H124" i="142" s="1"/>
  <c r="H40" i="142" s="1"/>
  <c r="R123" i="142"/>
  <c r="L123" i="142"/>
  <c r="M123" i="142" s="1"/>
  <c r="M39" i="142" s="1"/>
  <c r="G123" i="142"/>
  <c r="H123" i="142" s="1"/>
  <c r="R122" i="142"/>
  <c r="L122" i="142"/>
  <c r="L38" i="142" s="1"/>
  <c r="G122" i="142"/>
  <c r="E122" i="142"/>
  <c r="H122" i="142" s="1"/>
  <c r="H38" i="142" s="1"/>
  <c r="P121" i="142"/>
  <c r="K121" i="142"/>
  <c r="J121" i="142"/>
  <c r="F121" i="142"/>
  <c r="E121" i="142"/>
  <c r="Q120" i="142"/>
  <c r="Q119" i="142" s="1"/>
  <c r="D120" i="142"/>
  <c r="D119" i="142" s="1"/>
  <c r="C119" i="142"/>
  <c r="R118" i="142"/>
  <c r="M118" i="142"/>
  <c r="H118" i="142"/>
  <c r="Q117" i="142"/>
  <c r="L117" i="142"/>
  <c r="K117" i="142"/>
  <c r="M117" i="142" s="1"/>
  <c r="G117" i="142"/>
  <c r="G33" i="142" s="1"/>
  <c r="G32" i="142" s="1"/>
  <c r="F117" i="142"/>
  <c r="H117" i="142" s="1"/>
  <c r="H33" i="142" s="1"/>
  <c r="P116" i="142"/>
  <c r="O116" i="142"/>
  <c r="L116" i="142"/>
  <c r="J116" i="142"/>
  <c r="G116" i="142"/>
  <c r="F116" i="142"/>
  <c r="E116" i="142"/>
  <c r="R115" i="142"/>
  <c r="M115" i="142"/>
  <c r="H115" i="142"/>
  <c r="R114" i="142"/>
  <c r="M114" i="142"/>
  <c r="H114" i="142"/>
  <c r="R113" i="142"/>
  <c r="M113" i="142"/>
  <c r="H113" i="142"/>
  <c r="R112" i="142"/>
  <c r="M112" i="142"/>
  <c r="H112" i="142"/>
  <c r="Q111" i="142"/>
  <c r="P111" i="142"/>
  <c r="P110" i="142" s="1"/>
  <c r="O111" i="142"/>
  <c r="L111" i="142"/>
  <c r="K111" i="142"/>
  <c r="J111" i="142"/>
  <c r="M111" i="142" s="1"/>
  <c r="G111" i="142"/>
  <c r="G110" i="142" s="1"/>
  <c r="F111" i="142"/>
  <c r="E111" i="142"/>
  <c r="C111" i="142"/>
  <c r="C110" i="142" s="1"/>
  <c r="Q110" i="142"/>
  <c r="L110" i="142"/>
  <c r="K110" i="142"/>
  <c r="F110" i="142"/>
  <c r="E110" i="142"/>
  <c r="R109" i="142"/>
  <c r="M109" i="142"/>
  <c r="H109" i="142"/>
  <c r="R108" i="142"/>
  <c r="M108" i="142"/>
  <c r="H108" i="142"/>
  <c r="R107" i="142"/>
  <c r="M107" i="142"/>
  <c r="H107" i="142"/>
  <c r="Q106" i="142"/>
  <c r="P106" i="142"/>
  <c r="O106" i="142"/>
  <c r="L106" i="142"/>
  <c r="K106" i="142"/>
  <c r="J106" i="142"/>
  <c r="J105" i="142" s="1"/>
  <c r="G106" i="142"/>
  <c r="F106" i="142"/>
  <c r="E106" i="142"/>
  <c r="Q105" i="142"/>
  <c r="O105" i="142"/>
  <c r="L105" i="142"/>
  <c r="K105" i="142"/>
  <c r="M105" i="142" s="1"/>
  <c r="G105" i="142"/>
  <c r="F105" i="142"/>
  <c r="E105" i="142"/>
  <c r="R104" i="142"/>
  <c r="M104" i="142"/>
  <c r="H104" i="142"/>
  <c r="R103" i="142"/>
  <c r="M103" i="142"/>
  <c r="H103" i="142"/>
  <c r="R102" i="142"/>
  <c r="R18" i="142" s="1"/>
  <c r="M102" i="142"/>
  <c r="M18" i="142" s="1"/>
  <c r="H102" i="142"/>
  <c r="Q101" i="142"/>
  <c r="P101" i="142"/>
  <c r="O101" i="142"/>
  <c r="L101" i="142"/>
  <c r="K101" i="142"/>
  <c r="J101" i="142"/>
  <c r="M101" i="142" s="1"/>
  <c r="G101" i="142"/>
  <c r="G100" i="142" s="1"/>
  <c r="G99" i="142" s="1"/>
  <c r="G98" i="142" s="1"/>
  <c r="G94" i="142" s="1"/>
  <c r="F101" i="142"/>
  <c r="E101" i="142"/>
  <c r="Q100" i="142"/>
  <c r="P100" i="142"/>
  <c r="P99" i="142" s="1"/>
  <c r="L100" i="142"/>
  <c r="K100" i="142"/>
  <c r="J100" i="142"/>
  <c r="F100" i="142"/>
  <c r="E100" i="142"/>
  <c r="Q99" i="142"/>
  <c r="Q98" i="142" s="1"/>
  <c r="L99" i="142"/>
  <c r="K99" i="142"/>
  <c r="K98" i="142" s="1"/>
  <c r="F99" i="142"/>
  <c r="E99" i="142"/>
  <c r="L98" i="142"/>
  <c r="F98" i="142"/>
  <c r="F94" i="142" s="1"/>
  <c r="R97" i="142"/>
  <c r="M97" i="142"/>
  <c r="H97" i="142"/>
  <c r="R96" i="142"/>
  <c r="M96" i="142"/>
  <c r="H96" i="142"/>
  <c r="O95" i="142"/>
  <c r="J95" i="142"/>
  <c r="M95" i="142" s="1"/>
  <c r="E95" i="142"/>
  <c r="H95" i="142" s="1"/>
  <c r="H11" i="142" s="1"/>
  <c r="R92" i="142"/>
  <c r="M92" i="142"/>
  <c r="H92" i="142"/>
  <c r="R91" i="142"/>
  <c r="M91" i="142"/>
  <c r="H91" i="142"/>
  <c r="R90" i="142"/>
  <c r="M90" i="142"/>
  <c r="H90" i="142"/>
  <c r="Q89" i="142"/>
  <c r="P89" i="142"/>
  <c r="O89" i="142"/>
  <c r="L89" i="142"/>
  <c r="L81" i="142" s="1"/>
  <c r="K89" i="142"/>
  <c r="J89" i="142"/>
  <c r="G89" i="142"/>
  <c r="F89" i="142"/>
  <c r="E89" i="142"/>
  <c r="R88" i="142"/>
  <c r="M88" i="142"/>
  <c r="H88" i="142"/>
  <c r="R87" i="142"/>
  <c r="M87" i="142"/>
  <c r="H87" i="142"/>
  <c r="R86" i="142"/>
  <c r="M86" i="142"/>
  <c r="H86" i="142"/>
  <c r="Q85" i="142"/>
  <c r="P85" i="142"/>
  <c r="O85" i="142"/>
  <c r="L85" i="142"/>
  <c r="K85" i="142"/>
  <c r="J85" i="142"/>
  <c r="M85" i="142" s="1"/>
  <c r="G85" i="142"/>
  <c r="F85" i="142"/>
  <c r="E85" i="142"/>
  <c r="H85" i="142" s="1"/>
  <c r="R84" i="142"/>
  <c r="M84" i="142"/>
  <c r="H84" i="142"/>
  <c r="R83" i="142"/>
  <c r="M83" i="142"/>
  <c r="H83" i="142"/>
  <c r="Q82" i="142"/>
  <c r="P82" i="142"/>
  <c r="O82" i="142"/>
  <c r="L82" i="142"/>
  <c r="K82" i="142"/>
  <c r="J82" i="142"/>
  <c r="M82" i="142" s="1"/>
  <c r="G82" i="142"/>
  <c r="G81" i="142" s="1"/>
  <c r="F82" i="142"/>
  <c r="E82" i="142"/>
  <c r="Q81" i="142"/>
  <c r="P81" i="142"/>
  <c r="K81" i="142"/>
  <c r="E81" i="142"/>
  <c r="R79" i="142"/>
  <c r="M79" i="142"/>
  <c r="H79" i="142"/>
  <c r="R78" i="142"/>
  <c r="M78" i="142"/>
  <c r="H78" i="142"/>
  <c r="R77" i="142"/>
  <c r="M77" i="142"/>
  <c r="H77" i="142"/>
  <c r="Q76" i="142"/>
  <c r="P76" i="142"/>
  <c r="O76" i="142"/>
  <c r="L76" i="142"/>
  <c r="K76" i="142"/>
  <c r="J76" i="142"/>
  <c r="G76" i="142"/>
  <c r="F76" i="142"/>
  <c r="H76" i="142" s="1"/>
  <c r="E76" i="142"/>
  <c r="R75" i="142"/>
  <c r="M75" i="142"/>
  <c r="H75" i="142"/>
  <c r="R74" i="142"/>
  <c r="M74" i="142"/>
  <c r="H74" i="142"/>
  <c r="R73" i="142"/>
  <c r="M73" i="142"/>
  <c r="H73" i="142"/>
  <c r="Q72" i="142"/>
  <c r="Q65" i="142" s="1"/>
  <c r="P72" i="142"/>
  <c r="P65" i="142" s="1"/>
  <c r="P63" i="142" s="1"/>
  <c r="O72" i="142"/>
  <c r="L72" i="142"/>
  <c r="K72" i="142"/>
  <c r="K65" i="142" s="1"/>
  <c r="K63" i="142" s="1"/>
  <c r="J72" i="142"/>
  <c r="G72" i="142"/>
  <c r="F72" i="142"/>
  <c r="E72" i="142"/>
  <c r="H72" i="142" s="1"/>
  <c r="R71" i="142"/>
  <c r="M71" i="142"/>
  <c r="H71" i="142"/>
  <c r="R70" i="142"/>
  <c r="M70" i="142"/>
  <c r="H70" i="142"/>
  <c r="R69" i="142"/>
  <c r="M69" i="142"/>
  <c r="H69" i="142"/>
  <c r="Q68" i="142"/>
  <c r="P68" i="142"/>
  <c r="O68" i="142"/>
  <c r="L68" i="142"/>
  <c r="K68" i="142"/>
  <c r="J68" i="142"/>
  <c r="G68" i="142"/>
  <c r="F68" i="142"/>
  <c r="H68" i="142" s="1"/>
  <c r="E68" i="142"/>
  <c r="R67" i="142"/>
  <c r="M67" i="142"/>
  <c r="H67" i="142"/>
  <c r="Q66" i="142"/>
  <c r="P66" i="142"/>
  <c r="O66" i="142"/>
  <c r="R66" i="142" s="1"/>
  <c r="L66" i="142"/>
  <c r="L65" i="142" s="1"/>
  <c r="K66" i="142"/>
  <c r="J66" i="142"/>
  <c r="G66" i="142"/>
  <c r="F66" i="142"/>
  <c r="F65" i="142" s="1"/>
  <c r="E66" i="142"/>
  <c r="O65" i="142"/>
  <c r="G65" i="142"/>
  <c r="G63" i="142" s="1"/>
  <c r="Q64" i="142"/>
  <c r="Q63" i="142" s="1"/>
  <c r="P64" i="142"/>
  <c r="O64" i="142"/>
  <c r="N64" i="142"/>
  <c r="K64" i="142"/>
  <c r="J64" i="142"/>
  <c r="I64" i="142"/>
  <c r="H64" i="142"/>
  <c r="G64" i="142"/>
  <c r="F64" i="142"/>
  <c r="E64" i="142"/>
  <c r="D64" i="142"/>
  <c r="C64" i="142"/>
  <c r="R62" i="142"/>
  <c r="M62" i="142"/>
  <c r="H62" i="142"/>
  <c r="R61" i="142"/>
  <c r="M61" i="142"/>
  <c r="H61" i="142"/>
  <c r="R60" i="142"/>
  <c r="M60" i="142"/>
  <c r="H60" i="142"/>
  <c r="Q59" i="142"/>
  <c r="P59" i="142"/>
  <c r="O59" i="142"/>
  <c r="L59" i="142"/>
  <c r="K59" i="142"/>
  <c r="J59" i="142"/>
  <c r="G59" i="142"/>
  <c r="F59" i="142"/>
  <c r="H59" i="142" s="1"/>
  <c r="E59" i="142"/>
  <c r="R58" i="142"/>
  <c r="Q58" i="142"/>
  <c r="Q55" i="142" s="1"/>
  <c r="P58" i="142"/>
  <c r="O58" i="142"/>
  <c r="N58" i="142"/>
  <c r="M58" i="142"/>
  <c r="L58" i="142"/>
  <c r="L55" i="142" s="1"/>
  <c r="L48" i="142" s="1"/>
  <c r="K58" i="142"/>
  <c r="J58" i="142"/>
  <c r="I58" i="142"/>
  <c r="H58" i="142"/>
  <c r="G58" i="142"/>
  <c r="F58" i="142"/>
  <c r="E58" i="142"/>
  <c r="E55" i="142" s="1"/>
  <c r="H55" i="142" s="1"/>
  <c r="D58" i="142"/>
  <c r="C58" i="142"/>
  <c r="R57" i="142"/>
  <c r="M57" i="142"/>
  <c r="H57" i="142"/>
  <c r="Q56" i="142"/>
  <c r="P56" i="142"/>
  <c r="O56" i="142"/>
  <c r="O55" i="142" s="1"/>
  <c r="N56" i="142"/>
  <c r="L56" i="142"/>
  <c r="K56" i="142"/>
  <c r="K55" i="142" s="1"/>
  <c r="J56" i="142"/>
  <c r="I56" i="142"/>
  <c r="H56" i="142"/>
  <c r="G56" i="142"/>
  <c r="G55" i="142" s="1"/>
  <c r="G48" i="142" s="1"/>
  <c r="F56" i="142"/>
  <c r="E56" i="142"/>
  <c r="D56" i="142"/>
  <c r="C56" i="142"/>
  <c r="J55" i="142"/>
  <c r="F55" i="142"/>
  <c r="R54" i="142"/>
  <c r="M54" i="142"/>
  <c r="H54" i="142"/>
  <c r="R53" i="142"/>
  <c r="M53" i="142"/>
  <c r="H53" i="142"/>
  <c r="R52" i="142"/>
  <c r="M52" i="142"/>
  <c r="H52" i="142"/>
  <c r="Q51" i="142"/>
  <c r="P51" i="142"/>
  <c r="R51" i="142" s="1"/>
  <c r="O51" i="142"/>
  <c r="L51" i="142"/>
  <c r="K51" i="142"/>
  <c r="J51" i="142"/>
  <c r="G51" i="142"/>
  <c r="F51" i="142"/>
  <c r="E51" i="142"/>
  <c r="R50" i="142"/>
  <c r="M50" i="142"/>
  <c r="H50" i="142"/>
  <c r="Q49" i="142"/>
  <c r="P49" i="142"/>
  <c r="O49" i="142"/>
  <c r="L49" i="142"/>
  <c r="K49" i="142"/>
  <c r="K48" i="142" s="1"/>
  <c r="J49" i="142"/>
  <c r="G49" i="142"/>
  <c r="F49" i="142"/>
  <c r="E49" i="142"/>
  <c r="H49" i="142" s="1"/>
  <c r="Q48" i="142"/>
  <c r="E48" i="142"/>
  <c r="R47" i="142"/>
  <c r="Q47" i="142"/>
  <c r="P47" i="142"/>
  <c r="P45" i="142" s="1"/>
  <c r="O47" i="142"/>
  <c r="O45" i="142" s="1"/>
  <c r="N47" i="142"/>
  <c r="L47" i="142"/>
  <c r="K47" i="142"/>
  <c r="K45" i="142" s="1"/>
  <c r="J47" i="142"/>
  <c r="I47" i="142"/>
  <c r="G47" i="142"/>
  <c r="G45" i="142" s="1"/>
  <c r="F47" i="142"/>
  <c r="E47" i="142"/>
  <c r="D47" i="142"/>
  <c r="C47" i="142"/>
  <c r="R46" i="142"/>
  <c r="M46" i="142"/>
  <c r="H46" i="142"/>
  <c r="Q45" i="142"/>
  <c r="L45" i="142"/>
  <c r="J45" i="142"/>
  <c r="F45" i="142"/>
  <c r="E45" i="142"/>
  <c r="Q44" i="142"/>
  <c r="P44" i="142"/>
  <c r="R44" i="142" s="1"/>
  <c r="L44" i="142"/>
  <c r="K44" i="142"/>
  <c r="G44" i="142"/>
  <c r="F44" i="142"/>
  <c r="H44" i="142" s="1"/>
  <c r="Q43" i="142"/>
  <c r="P43" i="142"/>
  <c r="O43" i="142"/>
  <c r="N43" i="142"/>
  <c r="L43" i="142"/>
  <c r="L42" i="142" s="1"/>
  <c r="K43" i="142"/>
  <c r="K42" i="142" s="1"/>
  <c r="J43" i="142"/>
  <c r="I43" i="142"/>
  <c r="G43" i="142"/>
  <c r="G42" i="142" s="1"/>
  <c r="G36" i="142" s="1"/>
  <c r="G35" i="142" s="1"/>
  <c r="F43" i="142"/>
  <c r="E43" i="142"/>
  <c r="D43" i="142"/>
  <c r="C43" i="142"/>
  <c r="Q42" i="142"/>
  <c r="O42" i="142"/>
  <c r="J42" i="142"/>
  <c r="E42" i="142"/>
  <c r="R41" i="142"/>
  <c r="M41" i="142"/>
  <c r="H41" i="142"/>
  <c r="P40" i="142"/>
  <c r="O40" i="142"/>
  <c r="N40" i="142"/>
  <c r="K40" i="142"/>
  <c r="J40" i="142"/>
  <c r="J37" i="142" s="1"/>
  <c r="I40" i="142"/>
  <c r="G40" i="142"/>
  <c r="F40" i="142"/>
  <c r="F37" i="142" s="1"/>
  <c r="E40" i="142"/>
  <c r="E37" i="142" s="1"/>
  <c r="D40" i="142"/>
  <c r="C40" i="142"/>
  <c r="R39" i="142"/>
  <c r="Q39" i="142"/>
  <c r="P39" i="142"/>
  <c r="O39" i="142"/>
  <c r="N39" i="142"/>
  <c r="L39" i="142"/>
  <c r="K39" i="142"/>
  <c r="J39" i="142"/>
  <c r="I39" i="142"/>
  <c r="G39" i="142"/>
  <c r="F39" i="142"/>
  <c r="E39" i="142"/>
  <c r="D39" i="142"/>
  <c r="C39" i="142"/>
  <c r="Q38" i="142"/>
  <c r="P38" i="142"/>
  <c r="P37" i="142" s="1"/>
  <c r="O38" i="142"/>
  <c r="O37" i="142" s="1"/>
  <c r="N38" i="142"/>
  <c r="K38" i="142"/>
  <c r="J38" i="142"/>
  <c r="I38" i="142"/>
  <c r="G38" i="142"/>
  <c r="G37" i="142" s="1"/>
  <c r="F38" i="142"/>
  <c r="E38" i="142"/>
  <c r="D38" i="142"/>
  <c r="C38" i="142"/>
  <c r="K37" i="142"/>
  <c r="R34" i="142"/>
  <c r="M34" i="142"/>
  <c r="H34" i="142"/>
  <c r="P33" i="142"/>
  <c r="O33" i="142"/>
  <c r="O32" i="142" s="1"/>
  <c r="N33" i="142"/>
  <c r="L33" i="142"/>
  <c r="K33" i="142"/>
  <c r="J33" i="142"/>
  <c r="J32" i="142" s="1"/>
  <c r="I33" i="142"/>
  <c r="F33" i="142"/>
  <c r="F32" i="142" s="1"/>
  <c r="E33" i="142"/>
  <c r="D33" i="142"/>
  <c r="C33" i="142"/>
  <c r="P32" i="142"/>
  <c r="L32" i="142"/>
  <c r="K32" i="142"/>
  <c r="E32" i="142"/>
  <c r="R31" i="142"/>
  <c r="M31" i="142"/>
  <c r="H31" i="142"/>
  <c r="R30" i="142"/>
  <c r="M30" i="142"/>
  <c r="H30" i="142"/>
  <c r="R29" i="142"/>
  <c r="M29" i="142"/>
  <c r="H29" i="142"/>
  <c r="R28" i="142"/>
  <c r="M28" i="142"/>
  <c r="H28" i="142"/>
  <c r="Q27" i="142"/>
  <c r="Q26" i="142" s="1"/>
  <c r="P27" i="142"/>
  <c r="O27" i="142"/>
  <c r="L27" i="142"/>
  <c r="L26" i="142" s="1"/>
  <c r="K27" i="142"/>
  <c r="J27" i="142"/>
  <c r="G27" i="142"/>
  <c r="F27" i="142"/>
  <c r="E27" i="142"/>
  <c r="E26" i="142" s="1"/>
  <c r="C27" i="142"/>
  <c r="P26" i="142"/>
  <c r="O26" i="142"/>
  <c r="J26" i="142"/>
  <c r="G26" i="142"/>
  <c r="C26" i="142"/>
  <c r="R25" i="142"/>
  <c r="M25" i="142"/>
  <c r="H25" i="142"/>
  <c r="R24" i="142"/>
  <c r="M24" i="142"/>
  <c r="H24" i="142"/>
  <c r="R23" i="142"/>
  <c r="M23" i="142"/>
  <c r="H23" i="142"/>
  <c r="Q22" i="142"/>
  <c r="P22" i="142"/>
  <c r="O22" i="142"/>
  <c r="R22" i="142" s="1"/>
  <c r="L22" i="142"/>
  <c r="L21" i="142" s="1"/>
  <c r="K22" i="142"/>
  <c r="J22" i="142"/>
  <c r="G22" i="142"/>
  <c r="F22" i="142"/>
  <c r="F21" i="142" s="1"/>
  <c r="E22" i="142"/>
  <c r="Q21" i="142"/>
  <c r="P21" i="142"/>
  <c r="K21" i="142"/>
  <c r="J21" i="142"/>
  <c r="M21" i="142" s="1"/>
  <c r="G21" i="142"/>
  <c r="E21" i="142"/>
  <c r="R20" i="142"/>
  <c r="M20" i="142"/>
  <c r="H20" i="142"/>
  <c r="R19" i="142"/>
  <c r="M19" i="142"/>
  <c r="H19" i="142"/>
  <c r="Q18" i="142"/>
  <c r="Q17" i="142" s="1"/>
  <c r="Q16" i="142" s="1"/>
  <c r="P18" i="142"/>
  <c r="P17" i="142" s="1"/>
  <c r="O18" i="142"/>
  <c r="O17" i="142" s="1"/>
  <c r="N18" i="142"/>
  <c r="L18" i="142"/>
  <c r="K18" i="142"/>
  <c r="K17" i="142" s="1"/>
  <c r="K16" i="142" s="1"/>
  <c r="J18" i="142"/>
  <c r="I18" i="142"/>
  <c r="G18" i="142"/>
  <c r="F18" i="142"/>
  <c r="E18" i="142"/>
  <c r="E17" i="142" s="1"/>
  <c r="D18" i="142"/>
  <c r="C18" i="142"/>
  <c r="L17" i="142"/>
  <c r="L16" i="142" s="1"/>
  <c r="L15" i="142" s="1"/>
  <c r="L14" i="142" s="1"/>
  <c r="J17" i="142"/>
  <c r="G17" i="142"/>
  <c r="F17" i="142"/>
  <c r="F16" i="142" s="1"/>
  <c r="F15" i="142" s="1"/>
  <c r="P16" i="142"/>
  <c r="P15" i="142" s="1"/>
  <c r="J16" i="142"/>
  <c r="G16" i="142"/>
  <c r="G15" i="142" s="1"/>
  <c r="G14" i="142" s="1"/>
  <c r="Q15" i="142"/>
  <c r="Q14" i="142" s="1"/>
  <c r="K15" i="142"/>
  <c r="J15" i="142"/>
  <c r="K14" i="142"/>
  <c r="F14" i="142"/>
  <c r="R13" i="142"/>
  <c r="M13" i="142"/>
  <c r="H13" i="142"/>
  <c r="R12" i="142"/>
  <c r="M12" i="142"/>
  <c r="H12" i="142"/>
  <c r="Q11" i="142"/>
  <c r="P11" i="142"/>
  <c r="N11" i="142"/>
  <c r="L11" i="142"/>
  <c r="L10" i="142" s="1"/>
  <c r="K11" i="142"/>
  <c r="K10" i="142" s="1"/>
  <c r="J11" i="142"/>
  <c r="I11" i="142"/>
  <c r="G11" i="142"/>
  <c r="F11" i="142"/>
  <c r="F10" i="142" s="1"/>
  <c r="E11" i="142"/>
  <c r="D11" i="142"/>
  <c r="C11" i="142"/>
  <c r="F42" i="142" l="1"/>
  <c r="F36" i="142" s="1"/>
  <c r="F35" i="142" s="1"/>
  <c r="F80" i="142" s="1"/>
  <c r="P42" i="142"/>
  <c r="M44" i="142"/>
  <c r="M45" i="142"/>
  <c r="R17" i="142"/>
  <c r="O16" i="142"/>
  <c r="P14" i="142"/>
  <c r="H37" i="142"/>
  <c r="E36" i="142"/>
  <c r="H17" i="142"/>
  <c r="E16" i="142"/>
  <c r="M32" i="142"/>
  <c r="M49" i="142"/>
  <c r="J48" i="142"/>
  <c r="M48" i="142" s="1"/>
  <c r="R82" i="142"/>
  <c r="O81" i="142"/>
  <c r="R81" i="142" s="1"/>
  <c r="H89" i="142"/>
  <c r="F81" i="142"/>
  <c r="H150" i="142"/>
  <c r="E149" i="142"/>
  <c r="R156" i="142"/>
  <c r="O149" i="142"/>
  <c r="H182" i="142"/>
  <c r="E178" i="142"/>
  <c r="H178" i="142" s="1"/>
  <c r="L248" i="142"/>
  <c r="G10" i="142"/>
  <c r="G80" i="142" s="1"/>
  <c r="J14" i="142"/>
  <c r="J10" i="142" s="1"/>
  <c r="R45" i="142"/>
  <c r="F48" i="142"/>
  <c r="H48" i="142" s="1"/>
  <c r="M51" i="142"/>
  <c r="O48" i="142"/>
  <c r="O36" i="142" s="1"/>
  <c r="R95" i="142"/>
  <c r="R11" i="142" s="1"/>
  <c r="O11" i="142"/>
  <c r="P10" i="142"/>
  <c r="H32" i="142"/>
  <c r="M110" i="142"/>
  <c r="R117" i="142"/>
  <c r="R33" i="142" s="1"/>
  <c r="Q116" i="142"/>
  <c r="Q33" i="142"/>
  <c r="Q32" i="142" s="1"/>
  <c r="Q10" i="142" s="1"/>
  <c r="R121" i="142"/>
  <c r="O120" i="142"/>
  <c r="R132" i="142"/>
  <c r="E132" i="142"/>
  <c r="K120" i="142"/>
  <c r="K119" i="142" s="1"/>
  <c r="H165" i="142"/>
  <c r="M205" i="142"/>
  <c r="R210" i="142"/>
  <c r="O204" i="142"/>
  <c r="J216" i="142"/>
  <c r="J204" i="142" s="1"/>
  <c r="J203" i="142" s="1"/>
  <c r="M233" i="142"/>
  <c r="R234" i="142"/>
  <c r="O233" i="142"/>
  <c r="H240" i="142"/>
  <c r="E233" i="142"/>
  <c r="M250" i="142"/>
  <c r="J249" i="142"/>
  <c r="M249" i="142" s="1"/>
  <c r="R249" i="142"/>
  <c r="K36" i="142"/>
  <c r="K35" i="142" s="1"/>
  <c r="K80" i="142" s="1"/>
  <c r="J36" i="142"/>
  <c r="M72" i="142"/>
  <c r="J65" i="142"/>
  <c r="R101" i="142"/>
  <c r="O100" i="142"/>
  <c r="L121" i="142"/>
  <c r="L120" i="142" s="1"/>
  <c r="L119" i="142" s="1"/>
  <c r="M122" i="142"/>
  <c r="M38" i="142" s="1"/>
  <c r="L147" i="142"/>
  <c r="L64" i="142"/>
  <c r="L63" i="142" s="1"/>
  <c r="M148" i="142"/>
  <c r="M64" i="142" s="1"/>
  <c r="M183" i="142"/>
  <c r="J182" i="142"/>
  <c r="R184" i="142"/>
  <c r="O183" i="142"/>
  <c r="M26" i="142"/>
  <c r="M27" i="142"/>
  <c r="K26" i="142"/>
  <c r="H45" i="142"/>
  <c r="E63" i="142"/>
  <c r="H63" i="142" s="1"/>
  <c r="L94" i="142"/>
  <c r="M100" i="142"/>
  <c r="J99" i="142"/>
  <c r="R111" i="142"/>
  <c r="O110" i="142"/>
  <c r="E120" i="142"/>
  <c r="H126" i="142"/>
  <c r="M15" i="142"/>
  <c r="M16" i="142"/>
  <c r="O21" i="142"/>
  <c r="R21" i="142" s="1"/>
  <c r="R26" i="142"/>
  <c r="H27" i="142"/>
  <c r="F26" i="142"/>
  <c r="H26" i="142" s="1"/>
  <c r="Q40" i="142"/>
  <c r="Q37" i="142" s="1"/>
  <c r="Q36" i="142" s="1"/>
  <c r="Q35" i="142" s="1"/>
  <c r="H42" i="142"/>
  <c r="P55" i="142"/>
  <c r="R55" i="142" s="1"/>
  <c r="F63" i="142"/>
  <c r="R65" i="142"/>
  <c r="O63" i="142"/>
  <c r="R63" i="142" s="1"/>
  <c r="J81" i="142"/>
  <c r="M81" i="142" s="1"/>
  <c r="H99" i="142"/>
  <c r="E98" i="142"/>
  <c r="Q94" i="142"/>
  <c r="Q164" i="142" s="1"/>
  <c r="R106" i="142"/>
  <c r="P105" i="142"/>
  <c r="R105" i="142" s="1"/>
  <c r="R110" i="142"/>
  <c r="L40" i="142"/>
  <c r="L37" i="142" s="1"/>
  <c r="M124" i="142"/>
  <c r="M40" i="142" s="1"/>
  <c r="Q248" i="142"/>
  <c r="J231" i="142"/>
  <c r="M231" i="142" s="1"/>
  <c r="H81" i="142"/>
  <c r="H100" i="142"/>
  <c r="H105" i="142"/>
  <c r="R116" i="142"/>
  <c r="M133" i="142"/>
  <c r="H143" i="142"/>
  <c r="M165" i="142"/>
  <c r="H173" i="142"/>
  <c r="H183" i="142"/>
  <c r="M189" i="142"/>
  <c r="R190" i="142"/>
  <c r="R244" i="142"/>
  <c r="R257" i="142"/>
  <c r="M17" i="142"/>
  <c r="H21" i="142"/>
  <c r="M22" i="142"/>
  <c r="R27" i="142"/>
  <c r="R42" i="142"/>
  <c r="H51" i="142"/>
  <c r="M55" i="142"/>
  <c r="R59" i="142"/>
  <c r="E65" i="142"/>
  <c r="H65" i="142" s="1"/>
  <c r="M66" i="142"/>
  <c r="R68" i="142"/>
  <c r="R76" i="142"/>
  <c r="H82" i="142"/>
  <c r="R89" i="142"/>
  <c r="H101" i="142"/>
  <c r="H106" i="142"/>
  <c r="H111" i="142"/>
  <c r="M33" i="142"/>
  <c r="G126" i="142"/>
  <c r="R126" i="142"/>
  <c r="M43" i="142"/>
  <c r="R129" i="142"/>
  <c r="J132" i="142"/>
  <c r="M132" i="142" s="1"/>
  <c r="H139" i="142"/>
  <c r="J149" i="142"/>
  <c r="R150" i="142"/>
  <c r="H156" i="142"/>
  <c r="M166" i="142"/>
  <c r="H169" i="142"/>
  <c r="R173" i="142"/>
  <c r="H184" i="142"/>
  <c r="M185" i="142"/>
  <c r="H189" i="142"/>
  <c r="M190" i="142"/>
  <c r="H200" i="142"/>
  <c r="H210" i="142"/>
  <c r="R219" i="142"/>
  <c r="R227" i="142"/>
  <c r="H234" i="142"/>
  <c r="M236" i="142"/>
  <c r="R240" i="142"/>
  <c r="M244" i="142"/>
  <c r="R253" i="142"/>
  <c r="M257" i="142"/>
  <c r="M106" i="142"/>
  <c r="H110" i="142"/>
  <c r="H135" i="142"/>
  <c r="H152" i="142"/>
  <c r="H160" i="142"/>
  <c r="M184" i="142"/>
  <c r="H22" i="142"/>
  <c r="M42" i="142"/>
  <c r="R49" i="142"/>
  <c r="M59" i="142"/>
  <c r="H66" i="142"/>
  <c r="M68" i="142"/>
  <c r="R72" i="142"/>
  <c r="M76" i="142"/>
  <c r="R85" i="142"/>
  <c r="M89" i="142"/>
  <c r="M11" i="142"/>
  <c r="J110" i="142"/>
  <c r="H116" i="142"/>
  <c r="K116" i="142"/>
  <c r="K94" i="142" s="1"/>
  <c r="K164" i="142" s="1"/>
  <c r="G121" i="142"/>
  <c r="H39" i="142"/>
  <c r="R124" i="142"/>
  <c r="R40" i="142" s="1"/>
  <c r="M126" i="142"/>
  <c r="R127" i="142"/>
  <c r="R43" i="142" s="1"/>
  <c r="M129" i="142"/>
  <c r="F133" i="142"/>
  <c r="F132" i="142" s="1"/>
  <c r="F120" i="142" s="1"/>
  <c r="F119" i="142" s="1"/>
  <c r="F164" i="142" s="1"/>
  <c r="R133" i="142"/>
  <c r="P132" i="142"/>
  <c r="P120" i="142" s="1"/>
  <c r="P119" i="142" s="1"/>
  <c r="R143" i="142"/>
  <c r="M150" i="142"/>
  <c r="R152" i="142"/>
  <c r="R160" i="142"/>
  <c r="H166" i="142"/>
  <c r="M173" i="142"/>
  <c r="H185" i="142"/>
  <c r="H190" i="142"/>
  <c r="R195" i="142"/>
  <c r="E204" i="142"/>
  <c r="R205" i="142"/>
  <c r="R213" i="142"/>
  <c r="M219" i="142"/>
  <c r="R223" i="142"/>
  <c r="M227" i="142"/>
  <c r="H236" i="142"/>
  <c r="M240" i="142"/>
  <c r="H244" i="142"/>
  <c r="R250" i="142"/>
  <c r="M253" i="142"/>
  <c r="H257" i="142"/>
  <c r="M135" i="142"/>
  <c r="R135" i="142"/>
  <c r="E194" i="142"/>
  <c r="H194" i="142" s="1"/>
  <c r="J194" i="142"/>
  <c r="M194" i="142" s="1"/>
  <c r="O194" i="142"/>
  <c r="R194" i="142" s="1"/>
  <c r="F217" i="142"/>
  <c r="F216" i="142" s="1"/>
  <c r="F204" i="142" s="1"/>
  <c r="F203" i="142" s="1"/>
  <c r="K217" i="142"/>
  <c r="K216" i="142" s="1"/>
  <c r="K204" i="142" s="1"/>
  <c r="K203" i="142" s="1"/>
  <c r="K248" i="142" s="1"/>
  <c r="P217" i="142"/>
  <c r="P216" i="142" s="1"/>
  <c r="P204" i="142" s="1"/>
  <c r="P203" i="142" s="1"/>
  <c r="G120" i="142" l="1"/>
  <c r="G119" i="142" s="1"/>
  <c r="G164" i="142" s="1"/>
  <c r="Q80" i="142"/>
  <c r="L36" i="142"/>
  <c r="L35" i="142" s="1"/>
  <c r="L80" i="142" s="1"/>
  <c r="M37" i="142"/>
  <c r="O35" i="142"/>
  <c r="M149" i="142"/>
  <c r="J147" i="142"/>
  <c r="M147" i="142" s="1"/>
  <c r="M116" i="142"/>
  <c r="H98" i="142"/>
  <c r="E94" i="142"/>
  <c r="R183" i="142"/>
  <c r="O182" i="142"/>
  <c r="J35" i="142"/>
  <c r="O203" i="142"/>
  <c r="M121" i="142"/>
  <c r="M99" i="142"/>
  <c r="J98" i="142"/>
  <c r="R100" i="142"/>
  <c r="O99" i="142"/>
  <c r="R203" i="142"/>
  <c r="L164" i="142"/>
  <c r="M14" i="142"/>
  <c r="P48" i="142"/>
  <c r="P36" i="142" s="1"/>
  <c r="P35" i="142" s="1"/>
  <c r="P80" i="142" s="1"/>
  <c r="H133" i="142"/>
  <c r="J120" i="142"/>
  <c r="H149" i="142"/>
  <c r="E147" i="142"/>
  <c r="H147" i="142" s="1"/>
  <c r="H16" i="142"/>
  <c r="E15" i="142"/>
  <c r="H36" i="142"/>
  <c r="E35" i="142"/>
  <c r="H35" i="142" s="1"/>
  <c r="R233" i="142"/>
  <c r="O231" i="142"/>
  <c r="R231" i="142" s="1"/>
  <c r="M10" i="142"/>
  <c r="E203" i="142"/>
  <c r="E248" i="142" s="1"/>
  <c r="H248" i="142" s="1"/>
  <c r="M65" i="142"/>
  <c r="J63" i="142"/>
  <c r="M63" i="142" s="1"/>
  <c r="R120" i="142"/>
  <c r="O119" i="142"/>
  <c r="R119" i="142" s="1"/>
  <c r="R149" i="142"/>
  <c r="O147" i="142"/>
  <c r="R147" i="142" s="1"/>
  <c r="P98" i="142"/>
  <c r="P94" i="142" s="1"/>
  <c r="P164" i="142" s="1"/>
  <c r="R16" i="142"/>
  <c r="O15" i="142"/>
  <c r="H121" i="142"/>
  <c r="R32" i="142"/>
  <c r="E119" i="142"/>
  <c r="R37" i="142"/>
  <c r="M182" i="142"/>
  <c r="J178" i="142"/>
  <c r="H233" i="142"/>
  <c r="E231" i="142"/>
  <c r="H231" i="142" s="1"/>
  <c r="H132" i="142"/>
  <c r="R48" i="142"/>
  <c r="R204" i="142"/>
  <c r="H204" i="142"/>
  <c r="M203" i="142"/>
  <c r="P248" i="142"/>
  <c r="F248" i="142"/>
  <c r="R217" i="142"/>
  <c r="H217" i="142"/>
  <c r="M216" i="142"/>
  <c r="M204" i="142"/>
  <c r="M217" i="142"/>
  <c r="R216" i="142"/>
  <c r="H216" i="142"/>
  <c r="M35" i="142" l="1"/>
  <c r="O14" i="142"/>
  <c r="R15" i="142"/>
  <c r="M98" i="142"/>
  <c r="J94" i="142"/>
  <c r="R182" i="142"/>
  <c r="O178" i="142"/>
  <c r="R36" i="142"/>
  <c r="J248" i="142"/>
  <c r="M248" i="142" s="1"/>
  <c r="M178" i="142"/>
  <c r="E14" i="142"/>
  <c r="H15" i="142"/>
  <c r="R99" i="142"/>
  <c r="O98" i="142"/>
  <c r="H203" i="142"/>
  <c r="E164" i="142"/>
  <c r="H164" i="142" s="1"/>
  <c r="H94" i="142"/>
  <c r="H120" i="142"/>
  <c r="H119" i="142" s="1"/>
  <c r="M120" i="142"/>
  <c r="J119" i="142"/>
  <c r="M119" i="142" s="1"/>
  <c r="J80" i="142"/>
  <c r="M80" i="142" s="1"/>
  <c r="M36" i="142"/>
  <c r="R35" i="142"/>
  <c r="E10" i="142" l="1"/>
  <c r="H14" i="142"/>
  <c r="R98" i="142"/>
  <c r="O94" i="142"/>
  <c r="R14" i="142"/>
  <c r="O10" i="142"/>
  <c r="O248" i="142"/>
  <c r="R248" i="142" s="1"/>
  <c r="R178" i="142"/>
  <c r="J164" i="142"/>
  <c r="M164" i="142" s="1"/>
  <c r="M94" i="142"/>
  <c r="E80" i="142" l="1"/>
  <c r="H80" i="142" s="1"/>
  <c r="H10" i="142"/>
  <c r="O164" i="142"/>
  <c r="R164" i="142" s="1"/>
  <c r="R94" i="142"/>
  <c r="O80" i="142"/>
  <c r="R80" i="142" s="1"/>
  <c r="R10" i="142"/>
  <c r="P117" i="166" l="1"/>
  <c r="K117" i="166"/>
  <c r="F117" i="166"/>
  <c r="O114" i="166"/>
  <c r="J114" i="166"/>
  <c r="E114" i="166"/>
  <c r="O110" i="166"/>
  <c r="J110" i="166"/>
  <c r="O104" i="166"/>
  <c r="O99" i="166"/>
  <c r="J99" i="166"/>
  <c r="J98" i="166" s="1"/>
  <c r="O98" i="166"/>
  <c r="E98" i="166"/>
  <c r="O96" i="166"/>
  <c r="J96" i="166"/>
  <c r="O89" i="166"/>
  <c r="J89" i="166"/>
  <c r="E89" i="166"/>
  <c r="O86" i="166"/>
  <c r="O84" i="166" s="1"/>
  <c r="J84" i="166"/>
  <c r="E84" i="166"/>
  <c r="O83" i="166"/>
  <c r="O82" i="166"/>
  <c r="O80" i="166"/>
  <c r="O73" i="166" s="1"/>
  <c r="O74" i="166"/>
  <c r="J74" i="166"/>
  <c r="J73" i="166" s="1"/>
  <c r="E73" i="166"/>
  <c r="E26" i="166" s="1"/>
  <c r="R65" i="166"/>
  <c r="M65" i="166"/>
  <c r="H65" i="166"/>
  <c r="R64" i="166"/>
  <c r="M64" i="166"/>
  <c r="H64" i="166"/>
  <c r="R62" i="166"/>
  <c r="M62" i="166"/>
  <c r="H62" i="166"/>
  <c r="R60" i="166"/>
  <c r="M60" i="166"/>
  <c r="H60" i="166"/>
  <c r="R59" i="166"/>
  <c r="M59" i="166"/>
  <c r="H59" i="166"/>
  <c r="Q58" i="166"/>
  <c r="P58" i="166"/>
  <c r="O58" i="166"/>
  <c r="L58" i="166"/>
  <c r="K58" i="166"/>
  <c r="J58" i="166"/>
  <c r="G58" i="166"/>
  <c r="F58" i="166"/>
  <c r="E58" i="166"/>
  <c r="R57" i="166"/>
  <c r="M57" i="166"/>
  <c r="H57" i="166"/>
  <c r="R56" i="166"/>
  <c r="M56" i="166"/>
  <c r="H56" i="166"/>
  <c r="Q55" i="166"/>
  <c r="P55" i="166"/>
  <c r="O55" i="166"/>
  <c r="L55" i="166"/>
  <c r="K55" i="166"/>
  <c r="J55" i="166"/>
  <c r="G55" i="166"/>
  <c r="F55" i="166"/>
  <c r="E55" i="166"/>
  <c r="R52" i="166"/>
  <c r="M52" i="166"/>
  <c r="H52" i="166"/>
  <c r="R51" i="166"/>
  <c r="M51" i="166"/>
  <c r="H51" i="166"/>
  <c r="Q50" i="166"/>
  <c r="P50" i="166"/>
  <c r="O50" i="166"/>
  <c r="L50" i="166"/>
  <c r="K50" i="166"/>
  <c r="J50" i="166"/>
  <c r="G50" i="166"/>
  <c r="F50" i="166"/>
  <c r="E50" i="166"/>
  <c r="R49" i="166"/>
  <c r="M49" i="166"/>
  <c r="H49" i="166"/>
  <c r="R48" i="166"/>
  <c r="M48" i="166"/>
  <c r="H48" i="166"/>
  <c r="R47" i="166"/>
  <c r="M47" i="166"/>
  <c r="H47" i="166"/>
  <c r="Q46" i="166"/>
  <c r="P46" i="166"/>
  <c r="P42" i="166" s="1"/>
  <c r="P40" i="166" s="1"/>
  <c r="O46" i="166"/>
  <c r="L46" i="166"/>
  <c r="K46" i="166"/>
  <c r="J46" i="166"/>
  <c r="G46" i="166"/>
  <c r="F46" i="166"/>
  <c r="E46" i="166"/>
  <c r="R45" i="166"/>
  <c r="M45" i="166"/>
  <c r="H45" i="166"/>
  <c r="R44" i="166"/>
  <c r="M44" i="166"/>
  <c r="H44" i="166"/>
  <c r="Q43" i="166"/>
  <c r="P43" i="166"/>
  <c r="O43" i="166"/>
  <c r="L43" i="166"/>
  <c r="K43" i="166"/>
  <c r="J43" i="166"/>
  <c r="G43" i="166"/>
  <c r="F43" i="166"/>
  <c r="E43" i="166"/>
  <c r="R41" i="166"/>
  <c r="M41" i="166"/>
  <c r="H41" i="166"/>
  <c r="R39" i="166"/>
  <c r="M39" i="166"/>
  <c r="H39" i="166"/>
  <c r="R38" i="166"/>
  <c r="M38" i="166"/>
  <c r="H38" i="166"/>
  <c r="Q37" i="166"/>
  <c r="P37" i="166"/>
  <c r="O37" i="166"/>
  <c r="L37" i="166"/>
  <c r="K37" i="166"/>
  <c r="J37" i="166"/>
  <c r="G37" i="166"/>
  <c r="F37" i="166"/>
  <c r="H37" i="166" s="1"/>
  <c r="E37" i="166"/>
  <c r="O36" i="166"/>
  <c r="R36" i="166" s="1"/>
  <c r="M36" i="166"/>
  <c r="H36" i="166"/>
  <c r="R35" i="166"/>
  <c r="M35" i="166"/>
  <c r="H35" i="166"/>
  <c r="R34" i="166"/>
  <c r="M34" i="166"/>
  <c r="H34" i="166"/>
  <c r="Q33" i="166"/>
  <c r="Q29" i="166" s="1"/>
  <c r="P33" i="166"/>
  <c r="L33" i="166"/>
  <c r="K33" i="166"/>
  <c r="J33" i="166"/>
  <c r="G33" i="166"/>
  <c r="F33" i="166"/>
  <c r="E33" i="166"/>
  <c r="R32" i="166"/>
  <c r="M32" i="166"/>
  <c r="H32" i="166"/>
  <c r="R31" i="166"/>
  <c r="M31" i="166"/>
  <c r="H31" i="166"/>
  <c r="Q30" i="166"/>
  <c r="P30" i="166"/>
  <c r="O30" i="166"/>
  <c r="L30" i="166"/>
  <c r="K30" i="166"/>
  <c r="J30" i="166"/>
  <c r="G30" i="166"/>
  <c r="F30" i="166"/>
  <c r="E30" i="166"/>
  <c r="K29" i="166"/>
  <c r="E29" i="166"/>
  <c r="R28" i="166"/>
  <c r="M28" i="166"/>
  <c r="H28" i="166"/>
  <c r="Q27" i="166"/>
  <c r="P27" i="166"/>
  <c r="O27" i="166"/>
  <c r="L27" i="166"/>
  <c r="K27" i="166"/>
  <c r="J27" i="166"/>
  <c r="G27" i="166"/>
  <c r="F27" i="166"/>
  <c r="E27" i="166"/>
  <c r="H27" i="166" s="1"/>
  <c r="Q26" i="166"/>
  <c r="Q24" i="166" s="1"/>
  <c r="P26" i="166"/>
  <c r="L26" i="166"/>
  <c r="L24" i="166" s="1"/>
  <c r="K26" i="166"/>
  <c r="K24" i="166" s="1"/>
  <c r="G26" i="166"/>
  <c r="G24" i="166" s="1"/>
  <c r="F26" i="166"/>
  <c r="F24" i="166" s="1"/>
  <c r="R25" i="166"/>
  <c r="M25" i="166"/>
  <c r="H25" i="166"/>
  <c r="P24" i="166"/>
  <c r="O23" i="166"/>
  <c r="R23" i="166" s="1"/>
  <c r="J23" i="166"/>
  <c r="M23" i="166" s="1"/>
  <c r="E23" i="166"/>
  <c r="H23" i="166" s="1"/>
  <c r="R22" i="166"/>
  <c r="M22" i="166"/>
  <c r="H22" i="166"/>
  <c r="R21" i="166"/>
  <c r="M21" i="166"/>
  <c r="H21" i="166"/>
  <c r="R20" i="166"/>
  <c r="M20" i="166"/>
  <c r="H20" i="166"/>
  <c r="Q19" i="166"/>
  <c r="P19" i="166"/>
  <c r="O19" i="166"/>
  <c r="L19" i="166"/>
  <c r="K19" i="166"/>
  <c r="J19" i="166"/>
  <c r="G19" i="166"/>
  <c r="F19" i="166"/>
  <c r="E19" i="166"/>
  <c r="H19" i="166" s="1"/>
  <c r="O16" i="166"/>
  <c r="R16" i="166" s="1"/>
  <c r="J16" i="166"/>
  <c r="M16" i="166" s="1"/>
  <c r="E16" i="166"/>
  <c r="H16" i="166" s="1"/>
  <c r="R15" i="166"/>
  <c r="M15" i="166"/>
  <c r="H15" i="166"/>
  <c r="R14" i="166"/>
  <c r="M14" i="166"/>
  <c r="H14" i="166"/>
  <c r="R13" i="166"/>
  <c r="M13" i="166"/>
  <c r="H13" i="166"/>
  <c r="R12" i="166"/>
  <c r="M12" i="166"/>
  <c r="E12" i="166"/>
  <c r="H12" i="166" s="1"/>
  <c r="O11" i="166"/>
  <c r="R11" i="166" s="1"/>
  <c r="J11" i="166"/>
  <c r="M11" i="166" s="1"/>
  <c r="G11" i="166"/>
  <c r="G10" i="166" s="1"/>
  <c r="F11" i="166"/>
  <c r="Q10" i="166"/>
  <c r="P10" i="166"/>
  <c r="L10" i="166"/>
  <c r="K10" i="166"/>
  <c r="F10" i="166"/>
  <c r="Q18" i="166" l="1"/>
  <c r="J42" i="166"/>
  <c r="J40" i="166" s="1"/>
  <c r="O42" i="166"/>
  <c r="O40" i="166" s="1"/>
  <c r="H26" i="166"/>
  <c r="G42" i="166"/>
  <c r="G40" i="166" s="1"/>
  <c r="L29" i="166"/>
  <c r="J29" i="166"/>
  <c r="R30" i="166"/>
  <c r="M33" i="166"/>
  <c r="F42" i="166"/>
  <c r="F40" i="166" s="1"/>
  <c r="L42" i="166"/>
  <c r="L40" i="166" s="1"/>
  <c r="R46" i="166"/>
  <c r="E42" i="166"/>
  <c r="E40" i="166" s="1"/>
  <c r="M50" i="166"/>
  <c r="Q42" i="166"/>
  <c r="Q40" i="166" s="1"/>
  <c r="Q17" i="166" s="1"/>
  <c r="Q53" i="166" s="1"/>
  <c r="Q63" i="166" s="1"/>
  <c r="Q61" i="166" s="1"/>
  <c r="Q54" i="166" s="1"/>
  <c r="H55" i="166"/>
  <c r="R58" i="166"/>
  <c r="G29" i="166"/>
  <c r="G18" i="166" s="1"/>
  <c r="G17" i="166" s="1"/>
  <c r="G53" i="166" s="1"/>
  <c r="G63" i="166" s="1"/>
  <c r="G61" i="166" s="1"/>
  <c r="G54" i="166" s="1"/>
  <c r="J10" i="166"/>
  <c r="M10" i="166" s="1"/>
  <c r="M19" i="166"/>
  <c r="R43" i="166"/>
  <c r="M46" i="166"/>
  <c r="K18" i="166"/>
  <c r="H42" i="166"/>
  <c r="J26" i="166"/>
  <c r="L18" i="166"/>
  <c r="M29" i="166"/>
  <c r="R42" i="166"/>
  <c r="O26" i="166"/>
  <c r="O24" i="166" s="1"/>
  <c r="F29" i="166"/>
  <c r="H29" i="166" s="1"/>
  <c r="M30" i="166"/>
  <c r="H33" i="166"/>
  <c r="H50" i="166"/>
  <c r="E11" i="166"/>
  <c r="E10" i="166" s="1"/>
  <c r="H10" i="166" s="1"/>
  <c r="R27" i="166"/>
  <c r="H30" i="166"/>
  <c r="O33" i="166"/>
  <c r="O29" i="166" s="1"/>
  <c r="R37" i="166"/>
  <c r="K42" i="166"/>
  <c r="K40" i="166" s="1"/>
  <c r="M40" i="166" s="1"/>
  <c r="M43" i="166"/>
  <c r="H46" i="166"/>
  <c r="R55" i="166"/>
  <c r="M58" i="166"/>
  <c r="E24" i="166"/>
  <c r="E18" i="166" s="1"/>
  <c r="O10" i="166"/>
  <c r="R10" i="166" s="1"/>
  <c r="R19" i="166"/>
  <c r="M27" i="166"/>
  <c r="P29" i="166"/>
  <c r="M37" i="166"/>
  <c r="H43" i="166"/>
  <c r="R50" i="166"/>
  <c r="M55" i="166"/>
  <c r="H58" i="166"/>
  <c r="R26" i="166"/>
  <c r="M42" i="166" l="1"/>
  <c r="L17" i="166"/>
  <c r="L53" i="166" s="1"/>
  <c r="L63" i="166" s="1"/>
  <c r="L61" i="166" s="1"/>
  <c r="L54" i="166" s="1"/>
  <c r="H40" i="166"/>
  <c r="R40" i="166"/>
  <c r="M26" i="166"/>
  <c r="J24" i="166"/>
  <c r="H24" i="166"/>
  <c r="R33" i="166"/>
  <c r="H11" i="166"/>
  <c r="K17" i="166"/>
  <c r="K53" i="166" s="1"/>
  <c r="K63" i="166" s="1"/>
  <c r="K61" i="166" s="1"/>
  <c r="K54" i="166" s="1"/>
  <c r="F18" i="166"/>
  <c r="F17" i="166" s="1"/>
  <c r="F53" i="166" s="1"/>
  <c r="F63" i="166" s="1"/>
  <c r="F61" i="166" s="1"/>
  <c r="F54" i="166" s="1"/>
  <c r="R29" i="166"/>
  <c r="E17" i="166"/>
  <c r="E53" i="166"/>
  <c r="P18" i="166"/>
  <c r="P17" i="166" s="1"/>
  <c r="P53" i="166" s="1"/>
  <c r="P63" i="166" s="1"/>
  <c r="P61" i="166" s="1"/>
  <c r="P54" i="166" s="1"/>
  <c r="R24" i="166"/>
  <c r="O18" i="166"/>
  <c r="H17" i="166" l="1"/>
  <c r="J18" i="166"/>
  <c r="M24" i="166"/>
  <c r="H53" i="166"/>
  <c r="E63" i="166"/>
  <c r="H18" i="166"/>
  <c r="R18" i="166"/>
  <c r="O17" i="166"/>
  <c r="M18" i="166" l="1"/>
  <c r="J17" i="166"/>
  <c r="H63" i="166"/>
  <c r="E61" i="166"/>
  <c r="R17" i="166"/>
  <c r="O53" i="166"/>
  <c r="E54" i="166" l="1"/>
  <c r="H54" i="166" s="1"/>
  <c r="H61" i="166"/>
  <c r="M17" i="166"/>
  <c r="J53" i="166"/>
  <c r="O63" i="166"/>
  <c r="R53" i="166"/>
  <c r="M53" i="166" l="1"/>
  <c r="J63" i="166"/>
  <c r="R63" i="166"/>
  <c r="O61" i="166"/>
  <c r="M63" i="166" l="1"/>
  <c r="J61" i="166"/>
  <c r="O54" i="166"/>
  <c r="R54" i="166" s="1"/>
  <c r="R61" i="166"/>
  <c r="J54" i="166" l="1"/>
  <c r="M54" i="166" s="1"/>
  <c r="M61" i="166"/>
  <c r="E500" i="134"/>
  <c r="E499" i="134" s="1"/>
  <c r="E498" i="134" s="1"/>
  <c r="E496" i="134"/>
  <c r="E495" i="134" s="1"/>
  <c r="E492" i="134"/>
  <c r="E491" i="134"/>
  <c r="E490" i="134" s="1"/>
  <c r="E488" i="134"/>
  <c r="J483" i="134"/>
  <c r="E483" i="134"/>
  <c r="J482" i="134"/>
  <c r="J481" i="134" s="1"/>
  <c r="E482" i="134"/>
  <c r="E481" i="134" s="1"/>
  <c r="J479" i="134"/>
  <c r="E479" i="134"/>
  <c r="E476" i="134"/>
  <c r="E474" i="134"/>
  <c r="E473" i="134"/>
  <c r="E472" i="134" s="1"/>
  <c r="E470" i="134"/>
  <c r="E469" i="134" s="1"/>
  <c r="E466" i="134"/>
  <c r="E464" i="134"/>
  <c r="E463" i="134"/>
  <c r="E462" i="134" s="1"/>
  <c r="E460" i="134"/>
  <c r="E459" i="134" s="1"/>
  <c r="E454" i="134"/>
  <c r="E453" i="134" s="1"/>
  <c r="E452" i="134" s="1"/>
  <c r="E450" i="134"/>
  <c r="E449" i="134"/>
  <c r="Q441" i="134"/>
  <c r="Q440" i="134" s="1"/>
  <c r="Q439" i="134" s="1"/>
  <c r="L441" i="134"/>
  <c r="L440" i="134" s="1"/>
  <c r="L439" i="134" s="1"/>
  <c r="G441" i="134"/>
  <c r="G440" i="134"/>
  <c r="G439" i="134" s="1"/>
  <c r="Q437" i="134"/>
  <c r="Q436" i="134" s="1"/>
  <c r="L437" i="134"/>
  <c r="G437" i="134"/>
  <c r="G436" i="134" s="1"/>
  <c r="L436" i="134"/>
  <c r="Q433" i="134"/>
  <c r="L433" i="134"/>
  <c r="G433" i="134"/>
  <c r="G432" i="134" s="1"/>
  <c r="G431" i="134" s="1"/>
  <c r="Q432" i="134"/>
  <c r="Q431" i="134" s="1"/>
  <c r="L432" i="134"/>
  <c r="L431" i="134"/>
  <c r="Q429" i="134"/>
  <c r="L429" i="134"/>
  <c r="L428" i="134" s="1"/>
  <c r="G429" i="134"/>
  <c r="G428" i="134" s="1"/>
  <c r="Q428" i="134"/>
  <c r="Q425" i="134"/>
  <c r="Q424" i="134" s="1"/>
  <c r="Q423" i="134" s="1"/>
  <c r="Q422" i="134" s="1"/>
  <c r="L425" i="134"/>
  <c r="L424" i="134" s="1"/>
  <c r="L423" i="134" s="1"/>
  <c r="L422" i="134" s="1"/>
  <c r="G425" i="134"/>
  <c r="G424" i="134"/>
  <c r="G423" i="134" s="1"/>
  <c r="G422" i="134"/>
  <c r="Q420" i="134"/>
  <c r="L420" i="134"/>
  <c r="L419" i="134" s="1"/>
  <c r="G420" i="134"/>
  <c r="G419" i="134" s="1"/>
  <c r="Q419" i="134"/>
  <c r="Q416" i="134"/>
  <c r="L416" i="134"/>
  <c r="L415" i="134" s="1"/>
  <c r="L414" i="134" s="1"/>
  <c r="G416" i="134"/>
  <c r="G415" i="134" s="1"/>
  <c r="G414" i="134" s="1"/>
  <c r="G413" i="134" s="1"/>
  <c r="Q415" i="134"/>
  <c r="Q414" i="134"/>
  <c r="Q413" i="134" s="1"/>
  <c r="L413" i="134"/>
  <c r="Q411" i="134"/>
  <c r="L411" i="134"/>
  <c r="L410" i="134" s="1"/>
  <c r="G411" i="134"/>
  <c r="G410" i="134" s="1"/>
  <c r="Q410" i="134"/>
  <c r="Q407" i="134"/>
  <c r="Q406" i="134" s="1"/>
  <c r="Q405" i="134" s="1"/>
  <c r="L407" i="134"/>
  <c r="L406" i="134" s="1"/>
  <c r="L405" i="134" s="1"/>
  <c r="G407" i="134"/>
  <c r="G406" i="134"/>
  <c r="G405" i="134" s="1"/>
  <c r="Q403" i="134"/>
  <c r="Q402" i="134" s="1"/>
  <c r="L403" i="134"/>
  <c r="L402" i="134" s="1"/>
  <c r="G403" i="134"/>
  <c r="G402" i="134" s="1"/>
  <c r="Q397" i="134"/>
  <c r="L397" i="134"/>
  <c r="L396" i="134" s="1"/>
  <c r="L395" i="134" s="1"/>
  <c r="G397" i="134"/>
  <c r="G396" i="134" s="1"/>
  <c r="G395" i="134" s="1"/>
  <c r="Q396" i="134"/>
  <c r="Q395" i="134"/>
  <c r="Q393" i="134"/>
  <c r="Q392" i="134" s="1"/>
  <c r="L393" i="134"/>
  <c r="L392" i="134" s="1"/>
  <c r="G393" i="134"/>
  <c r="G392" i="134"/>
  <c r="Q388" i="134"/>
  <c r="Q387" i="134" s="1"/>
  <c r="Q386" i="134" s="1"/>
  <c r="L388" i="134"/>
  <c r="L387" i="134" s="1"/>
  <c r="L386" i="134" s="1"/>
  <c r="G388" i="134"/>
  <c r="G387" i="134"/>
  <c r="G386" i="134" s="1"/>
  <c r="Q384" i="134"/>
  <c r="Q383" i="134" s="1"/>
  <c r="L384" i="134"/>
  <c r="G384" i="134"/>
  <c r="G383" i="134" s="1"/>
  <c r="L383" i="134"/>
  <c r="Q380" i="134"/>
  <c r="L380" i="134"/>
  <c r="G380" i="134"/>
  <c r="Q376" i="134"/>
  <c r="Q375" i="134" s="1"/>
  <c r="Q374" i="134" s="1"/>
  <c r="L376" i="134"/>
  <c r="G376" i="134"/>
  <c r="L375" i="134"/>
  <c r="L374" i="134" s="1"/>
  <c r="G375" i="134"/>
  <c r="Q372" i="134"/>
  <c r="Q371" i="134" s="1"/>
  <c r="L372" i="134"/>
  <c r="L371" i="134" s="1"/>
  <c r="G372" i="134"/>
  <c r="G371" i="134" s="1"/>
  <c r="Q368" i="134"/>
  <c r="Q367" i="134" s="1"/>
  <c r="Q366" i="134" s="1"/>
  <c r="L368" i="134"/>
  <c r="G368" i="134"/>
  <c r="L367" i="134"/>
  <c r="L366" i="134" s="1"/>
  <c r="G367" i="134"/>
  <c r="G366" i="134"/>
  <c r="Q364" i="134"/>
  <c r="Q363" i="134" s="1"/>
  <c r="L364" i="134"/>
  <c r="G364" i="134"/>
  <c r="L363" i="134"/>
  <c r="G363" i="134"/>
  <c r="P358" i="134"/>
  <c r="K358" i="134"/>
  <c r="K357" i="134" s="1"/>
  <c r="K356" i="134" s="1"/>
  <c r="F358" i="134"/>
  <c r="F357" i="134" s="1"/>
  <c r="F356" i="134" s="1"/>
  <c r="P357" i="134"/>
  <c r="P356" i="134"/>
  <c r="P354" i="134"/>
  <c r="K354" i="134"/>
  <c r="F354" i="134"/>
  <c r="P353" i="134"/>
  <c r="K353" i="134"/>
  <c r="F353" i="134"/>
  <c r="P350" i="134"/>
  <c r="P349" i="134" s="1"/>
  <c r="P348" i="134" s="1"/>
  <c r="K350" i="134"/>
  <c r="F350" i="134"/>
  <c r="K349" i="134"/>
  <c r="K348" i="134" s="1"/>
  <c r="F349" i="134"/>
  <c r="F348" i="134"/>
  <c r="P346" i="134"/>
  <c r="K346" i="134"/>
  <c r="F346" i="134"/>
  <c r="P345" i="134"/>
  <c r="K345" i="134"/>
  <c r="F345" i="134"/>
  <c r="P341" i="134"/>
  <c r="P340" i="134" s="1"/>
  <c r="P339" i="134" s="1"/>
  <c r="K341" i="134"/>
  <c r="K340" i="134" s="1"/>
  <c r="K339" i="134" s="1"/>
  <c r="F341" i="134"/>
  <c r="F340" i="134"/>
  <c r="F339" i="134" s="1"/>
  <c r="P337" i="134"/>
  <c r="K337" i="134"/>
  <c r="F337" i="134"/>
  <c r="P336" i="134"/>
  <c r="K336" i="134"/>
  <c r="F336" i="134"/>
  <c r="P331" i="134"/>
  <c r="K331" i="134"/>
  <c r="K330" i="134" s="1"/>
  <c r="K329" i="134" s="1"/>
  <c r="F331" i="134"/>
  <c r="F330" i="134" s="1"/>
  <c r="F329" i="134" s="1"/>
  <c r="P330" i="134"/>
  <c r="P329" i="134"/>
  <c r="P327" i="134"/>
  <c r="K327" i="134"/>
  <c r="F327" i="134"/>
  <c r="P326" i="134"/>
  <c r="K326" i="134"/>
  <c r="F326" i="134"/>
  <c r="P321" i="134"/>
  <c r="K321" i="134"/>
  <c r="F321" i="134"/>
  <c r="F320" i="134" s="1"/>
  <c r="F319" i="134" s="1"/>
  <c r="P320" i="134"/>
  <c r="P319" i="134" s="1"/>
  <c r="K320" i="134"/>
  <c r="K319" i="134"/>
  <c r="P317" i="134"/>
  <c r="K317" i="134"/>
  <c r="F317" i="134"/>
  <c r="P316" i="134"/>
  <c r="K316" i="134"/>
  <c r="F316" i="134"/>
  <c r="P311" i="134"/>
  <c r="P310" i="134" s="1"/>
  <c r="P309" i="134" s="1"/>
  <c r="K311" i="134"/>
  <c r="F311" i="134"/>
  <c r="K310" i="134"/>
  <c r="K309" i="134" s="1"/>
  <c r="F310" i="134"/>
  <c r="F309" i="134"/>
  <c r="P307" i="134"/>
  <c r="K307" i="134"/>
  <c r="F307" i="134"/>
  <c r="P306" i="134"/>
  <c r="K306" i="134"/>
  <c r="F306" i="134"/>
  <c r="P302" i="134"/>
  <c r="P301" i="134" s="1"/>
  <c r="P300" i="134" s="1"/>
  <c r="K302" i="134"/>
  <c r="K301" i="134" s="1"/>
  <c r="K300" i="134" s="1"/>
  <c r="F302" i="134"/>
  <c r="F301" i="134" s="1"/>
  <c r="F300" i="134"/>
  <c r="P298" i="134"/>
  <c r="K298" i="134"/>
  <c r="K297" i="134" s="1"/>
  <c r="F298" i="134"/>
  <c r="F297" i="134" s="1"/>
  <c r="P297" i="134"/>
  <c r="P293" i="134"/>
  <c r="P292" i="134" s="1"/>
  <c r="P291" i="134" s="1"/>
  <c r="K293" i="134"/>
  <c r="K292" i="134" s="1"/>
  <c r="K291" i="134" s="1"/>
  <c r="F293" i="134"/>
  <c r="F292" i="134" s="1"/>
  <c r="F291" i="134" s="1"/>
  <c r="P289" i="134"/>
  <c r="P288" i="134" s="1"/>
  <c r="K289" i="134"/>
  <c r="K288" i="134" s="1"/>
  <c r="F289" i="134"/>
  <c r="F288" i="134" s="1"/>
  <c r="O283" i="134"/>
  <c r="O282" i="134" s="1"/>
  <c r="O281" i="134" s="1"/>
  <c r="J283" i="134"/>
  <c r="J282" i="134" s="1"/>
  <c r="J281" i="134" s="1"/>
  <c r="E283" i="134"/>
  <c r="E282" i="134"/>
  <c r="E281" i="134"/>
  <c r="O279" i="134"/>
  <c r="O278" i="134" s="1"/>
  <c r="J279" i="134"/>
  <c r="E279" i="134"/>
  <c r="E278" i="134" s="1"/>
  <c r="J278" i="134"/>
  <c r="O275" i="134"/>
  <c r="J275" i="134"/>
  <c r="E275" i="134"/>
  <c r="O273" i="134"/>
  <c r="O272" i="134" s="1"/>
  <c r="O271" i="134" s="1"/>
  <c r="J273" i="134"/>
  <c r="J272" i="134" s="1"/>
  <c r="J271" i="134" s="1"/>
  <c r="E273" i="134"/>
  <c r="E272" i="134"/>
  <c r="E271" i="134" s="1"/>
  <c r="O269" i="134"/>
  <c r="O268" i="134" s="1"/>
  <c r="J269" i="134"/>
  <c r="E269" i="134"/>
  <c r="E268" i="134" s="1"/>
  <c r="J268" i="134"/>
  <c r="R260" i="134"/>
  <c r="M260" i="134"/>
  <c r="H260" i="134"/>
  <c r="R259" i="134"/>
  <c r="M259" i="134"/>
  <c r="H259" i="134"/>
  <c r="R258" i="134"/>
  <c r="M258" i="134"/>
  <c r="H258" i="134"/>
  <c r="Q257" i="134"/>
  <c r="P257" i="134"/>
  <c r="O257" i="134"/>
  <c r="R257" i="134" s="1"/>
  <c r="L257" i="134"/>
  <c r="L249" i="134" s="1"/>
  <c r="K257" i="134"/>
  <c r="J257" i="134"/>
  <c r="G257" i="134"/>
  <c r="F257" i="134"/>
  <c r="F249" i="134" s="1"/>
  <c r="E257" i="134"/>
  <c r="R256" i="134"/>
  <c r="M256" i="134"/>
  <c r="H256" i="134"/>
  <c r="R255" i="134"/>
  <c r="M255" i="134"/>
  <c r="H255" i="134"/>
  <c r="R254" i="134"/>
  <c r="M254" i="134"/>
  <c r="H254" i="134"/>
  <c r="Q253" i="134"/>
  <c r="P253" i="134"/>
  <c r="O253" i="134"/>
  <c r="L253" i="134"/>
  <c r="K253" i="134"/>
  <c r="K249" i="134" s="1"/>
  <c r="J253" i="134"/>
  <c r="G253" i="134"/>
  <c r="F253" i="134"/>
  <c r="E253" i="134"/>
  <c r="R252" i="134"/>
  <c r="M252" i="134"/>
  <c r="H252" i="134"/>
  <c r="R251" i="134"/>
  <c r="M251" i="134"/>
  <c r="H251" i="134"/>
  <c r="Q250" i="134"/>
  <c r="P250" i="134"/>
  <c r="O250" i="134"/>
  <c r="O249" i="134" s="1"/>
  <c r="L250" i="134"/>
  <c r="K250" i="134"/>
  <c r="J250" i="134"/>
  <c r="J249" i="134" s="1"/>
  <c r="M249" i="134" s="1"/>
  <c r="G250" i="134"/>
  <c r="G249" i="134" s="1"/>
  <c r="F250" i="134"/>
  <c r="E250" i="134"/>
  <c r="Q249" i="134"/>
  <c r="P249" i="134"/>
  <c r="E249" i="134"/>
  <c r="R247" i="134"/>
  <c r="M247" i="134"/>
  <c r="H247" i="134"/>
  <c r="R246" i="134"/>
  <c r="M246" i="134"/>
  <c r="H246" i="134"/>
  <c r="R245" i="134"/>
  <c r="M245" i="134"/>
  <c r="H245" i="134"/>
  <c r="Q244" i="134"/>
  <c r="P244" i="134"/>
  <c r="O244" i="134"/>
  <c r="L244" i="134"/>
  <c r="K244" i="134"/>
  <c r="J244" i="134"/>
  <c r="G244" i="134"/>
  <c r="F244" i="134"/>
  <c r="H244" i="134" s="1"/>
  <c r="E244" i="134"/>
  <c r="R243" i="134"/>
  <c r="M243" i="134"/>
  <c r="H243" i="134"/>
  <c r="R242" i="134"/>
  <c r="M242" i="134"/>
  <c r="H242" i="134"/>
  <c r="R241" i="134"/>
  <c r="M241" i="134"/>
  <c r="H241" i="134"/>
  <c r="Q240" i="134"/>
  <c r="Q233" i="134" s="1"/>
  <c r="Q231" i="134" s="1"/>
  <c r="P240" i="134"/>
  <c r="P233" i="134" s="1"/>
  <c r="P231" i="134" s="1"/>
  <c r="O240" i="134"/>
  <c r="L240" i="134"/>
  <c r="K240" i="134"/>
  <c r="K233" i="134" s="1"/>
  <c r="K231" i="134" s="1"/>
  <c r="J240" i="134"/>
  <c r="M240" i="134" s="1"/>
  <c r="G240" i="134"/>
  <c r="F240" i="134"/>
  <c r="E240" i="134"/>
  <c r="R239" i="134"/>
  <c r="M239" i="134"/>
  <c r="H239" i="134"/>
  <c r="R238" i="134"/>
  <c r="M238" i="134"/>
  <c r="H238" i="134"/>
  <c r="R237" i="134"/>
  <c r="M237" i="134"/>
  <c r="H237" i="134"/>
  <c r="Q236" i="134"/>
  <c r="P236" i="134"/>
  <c r="O236" i="134"/>
  <c r="R236" i="134" s="1"/>
  <c r="L236" i="134"/>
  <c r="K236" i="134"/>
  <c r="J236" i="134"/>
  <c r="G236" i="134"/>
  <c r="F236" i="134"/>
  <c r="H236" i="134" s="1"/>
  <c r="E236" i="134"/>
  <c r="R235" i="134"/>
  <c r="M235" i="134"/>
  <c r="H235" i="134"/>
  <c r="Q234" i="134"/>
  <c r="P234" i="134"/>
  <c r="O234" i="134"/>
  <c r="R234" i="134" s="1"/>
  <c r="L234" i="134"/>
  <c r="L233" i="134" s="1"/>
  <c r="L231" i="134" s="1"/>
  <c r="K234" i="134"/>
  <c r="J234" i="134"/>
  <c r="G234" i="134"/>
  <c r="G233" i="134" s="1"/>
  <c r="F234" i="134"/>
  <c r="F233" i="134" s="1"/>
  <c r="F231" i="134" s="1"/>
  <c r="E234" i="134"/>
  <c r="O233" i="134"/>
  <c r="O232" i="134"/>
  <c r="R232" i="134" s="1"/>
  <c r="J232" i="134"/>
  <c r="M232" i="134" s="1"/>
  <c r="E232" i="134"/>
  <c r="H232" i="134" s="1"/>
  <c r="G231" i="134"/>
  <c r="R230" i="134"/>
  <c r="M230" i="134"/>
  <c r="H230" i="134"/>
  <c r="R229" i="134"/>
  <c r="M229" i="134"/>
  <c r="H229" i="134"/>
  <c r="R228" i="134"/>
  <c r="M228" i="134"/>
  <c r="H228" i="134"/>
  <c r="Q227" i="134"/>
  <c r="P227" i="134"/>
  <c r="O227" i="134"/>
  <c r="L227" i="134"/>
  <c r="K227" i="134"/>
  <c r="J227" i="134"/>
  <c r="G227" i="134"/>
  <c r="F227" i="134"/>
  <c r="E227" i="134"/>
  <c r="H227" i="134" s="1"/>
  <c r="R226" i="134"/>
  <c r="M226" i="134"/>
  <c r="H226" i="134"/>
  <c r="R225" i="134"/>
  <c r="M225" i="134"/>
  <c r="H225" i="134"/>
  <c r="R224" i="134"/>
  <c r="M224" i="134"/>
  <c r="H224" i="134"/>
  <c r="Q223" i="134"/>
  <c r="P223" i="134"/>
  <c r="P216" i="134" s="1"/>
  <c r="O223" i="134"/>
  <c r="R223" i="134" s="1"/>
  <c r="L223" i="134"/>
  <c r="K223" i="134"/>
  <c r="J223" i="134"/>
  <c r="J216" i="134" s="1"/>
  <c r="G223" i="134"/>
  <c r="F223" i="134"/>
  <c r="E223" i="134"/>
  <c r="R222" i="134"/>
  <c r="M222" i="134"/>
  <c r="H222" i="134"/>
  <c r="R221" i="134"/>
  <c r="M221" i="134"/>
  <c r="H221" i="134"/>
  <c r="R220" i="134"/>
  <c r="M220" i="134"/>
  <c r="H220" i="134"/>
  <c r="Q219" i="134"/>
  <c r="P219" i="134"/>
  <c r="O219" i="134"/>
  <c r="L219" i="134"/>
  <c r="K219" i="134"/>
  <c r="J219" i="134"/>
  <c r="G219" i="134"/>
  <c r="F219" i="134"/>
  <c r="E219" i="134"/>
  <c r="H219" i="134" s="1"/>
  <c r="R218" i="134"/>
  <c r="M218" i="134"/>
  <c r="H218" i="134"/>
  <c r="Q217" i="134"/>
  <c r="Q216" i="134" s="1"/>
  <c r="P217" i="134"/>
  <c r="O217" i="134"/>
  <c r="L217" i="134"/>
  <c r="K217" i="134"/>
  <c r="K216" i="134" s="1"/>
  <c r="J217" i="134"/>
  <c r="G217" i="134"/>
  <c r="F217" i="134"/>
  <c r="E217" i="134"/>
  <c r="E216" i="134" s="1"/>
  <c r="O216" i="134"/>
  <c r="R216" i="134" s="1"/>
  <c r="L216" i="134"/>
  <c r="G216" i="134"/>
  <c r="F216" i="134"/>
  <c r="R215" i="134"/>
  <c r="M215" i="134"/>
  <c r="H215" i="134"/>
  <c r="R214" i="134"/>
  <c r="M214" i="134"/>
  <c r="H214" i="134"/>
  <c r="Q213" i="134"/>
  <c r="P213" i="134"/>
  <c r="O213" i="134"/>
  <c r="L213" i="134"/>
  <c r="K213" i="134"/>
  <c r="J213" i="134"/>
  <c r="G213" i="134"/>
  <c r="F213" i="134"/>
  <c r="E213" i="134"/>
  <c r="R212" i="134"/>
  <c r="M212" i="134"/>
  <c r="H212" i="134"/>
  <c r="R211" i="134"/>
  <c r="M211" i="134"/>
  <c r="H211" i="134"/>
  <c r="Q210" i="134"/>
  <c r="P210" i="134"/>
  <c r="O210" i="134"/>
  <c r="L210" i="134"/>
  <c r="K210" i="134"/>
  <c r="J210" i="134"/>
  <c r="G210" i="134"/>
  <c r="F210" i="134"/>
  <c r="E210" i="134"/>
  <c r="H210" i="134" s="1"/>
  <c r="R209" i="134"/>
  <c r="M209" i="134"/>
  <c r="H209" i="134"/>
  <c r="R208" i="134"/>
  <c r="O208" i="134"/>
  <c r="J208" i="134"/>
  <c r="M208" i="134" s="1"/>
  <c r="E208" i="134"/>
  <c r="H208" i="134" s="1"/>
  <c r="O207" i="134"/>
  <c r="J207" i="134"/>
  <c r="E207" i="134"/>
  <c r="H207" i="134" s="1"/>
  <c r="O206" i="134"/>
  <c r="R206" i="134" s="1"/>
  <c r="J206" i="134"/>
  <c r="E206" i="134"/>
  <c r="Q205" i="134"/>
  <c r="P205" i="134"/>
  <c r="O205" i="134"/>
  <c r="L205" i="134"/>
  <c r="K205" i="134"/>
  <c r="G205" i="134"/>
  <c r="F205" i="134"/>
  <c r="F204" i="134" s="1"/>
  <c r="P204" i="134"/>
  <c r="G204" i="134"/>
  <c r="R202" i="134"/>
  <c r="M202" i="134"/>
  <c r="H202" i="134"/>
  <c r="R201" i="134"/>
  <c r="O201" i="134"/>
  <c r="O33" i="134" s="1"/>
  <c r="M201" i="134"/>
  <c r="J201" i="134"/>
  <c r="E201" i="134"/>
  <c r="E200" i="134" s="1"/>
  <c r="Q200" i="134"/>
  <c r="P200" i="134"/>
  <c r="O200" i="134"/>
  <c r="L200" i="134"/>
  <c r="K200" i="134"/>
  <c r="J200" i="134"/>
  <c r="G200" i="134"/>
  <c r="F200" i="134"/>
  <c r="H200" i="134" s="1"/>
  <c r="R199" i="134"/>
  <c r="M199" i="134"/>
  <c r="H199" i="134"/>
  <c r="R198" i="134"/>
  <c r="M198" i="134"/>
  <c r="H198" i="134"/>
  <c r="R197" i="134"/>
  <c r="M197" i="134"/>
  <c r="H197" i="134"/>
  <c r="R196" i="134"/>
  <c r="M196" i="134"/>
  <c r="H196" i="134"/>
  <c r="Q195" i="134"/>
  <c r="P195" i="134"/>
  <c r="O195" i="134"/>
  <c r="O194" i="134" s="1"/>
  <c r="L195" i="134"/>
  <c r="K195" i="134"/>
  <c r="J195" i="134"/>
  <c r="J194" i="134" s="1"/>
  <c r="M194" i="134" s="1"/>
  <c r="G195" i="134"/>
  <c r="G194" i="134" s="1"/>
  <c r="F195" i="134"/>
  <c r="E195" i="134"/>
  <c r="C195" i="134"/>
  <c r="C194" i="134" s="1"/>
  <c r="Q194" i="134"/>
  <c r="L194" i="134"/>
  <c r="K194" i="134"/>
  <c r="F194" i="134"/>
  <c r="E194" i="134"/>
  <c r="R193" i="134"/>
  <c r="M193" i="134"/>
  <c r="H193" i="134"/>
  <c r="R192" i="134"/>
  <c r="M192" i="134"/>
  <c r="H192" i="134"/>
  <c r="R191" i="134"/>
  <c r="M191" i="134"/>
  <c r="H191" i="134"/>
  <c r="Q190" i="134"/>
  <c r="P190" i="134"/>
  <c r="P189" i="134" s="1"/>
  <c r="O190" i="134"/>
  <c r="L190" i="134"/>
  <c r="K190" i="134"/>
  <c r="J190" i="134"/>
  <c r="G190" i="134"/>
  <c r="F190" i="134"/>
  <c r="E190" i="134"/>
  <c r="H190" i="134" s="1"/>
  <c r="Q189" i="134"/>
  <c r="O189" i="134"/>
  <c r="L189" i="134"/>
  <c r="K189" i="134"/>
  <c r="G189" i="134"/>
  <c r="F189" i="134"/>
  <c r="R188" i="134"/>
  <c r="M188" i="134"/>
  <c r="H188" i="134"/>
  <c r="R187" i="134"/>
  <c r="M187" i="134"/>
  <c r="H187" i="134"/>
  <c r="R186" i="134"/>
  <c r="M186" i="134"/>
  <c r="H186" i="134"/>
  <c r="Q185" i="134"/>
  <c r="P185" i="134"/>
  <c r="R185" i="134" s="1"/>
  <c r="O185" i="134"/>
  <c r="O184" i="134" s="1"/>
  <c r="O183" i="134" s="1"/>
  <c r="L185" i="134"/>
  <c r="K185" i="134"/>
  <c r="J185" i="134"/>
  <c r="G185" i="134"/>
  <c r="G184" i="134" s="1"/>
  <c r="G183" i="134" s="1"/>
  <c r="F185" i="134"/>
  <c r="E185" i="134"/>
  <c r="Q184" i="134"/>
  <c r="P184" i="134"/>
  <c r="L184" i="134"/>
  <c r="K184" i="134"/>
  <c r="J184" i="134"/>
  <c r="J183" i="134" s="1"/>
  <c r="F184" i="134"/>
  <c r="E184" i="134"/>
  <c r="Q183" i="134"/>
  <c r="L183" i="134"/>
  <c r="L182" i="134" s="1"/>
  <c r="L178" i="134" s="1"/>
  <c r="F183" i="134"/>
  <c r="E183" i="134"/>
  <c r="O182" i="134"/>
  <c r="O178" i="134" s="1"/>
  <c r="G182" i="134"/>
  <c r="G178" i="134" s="1"/>
  <c r="F182" i="134"/>
  <c r="R181" i="134"/>
  <c r="M181" i="134"/>
  <c r="H181" i="134"/>
  <c r="O180" i="134"/>
  <c r="R180" i="134" s="1"/>
  <c r="J180" i="134"/>
  <c r="M180" i="134" s="1"/>
  <c r="E180" i="134"/>
  <c r="H180" i="134" s="1"/>
  <c r="R179" i="134"/>
  <c r="M179" i="134"/>
  <c r="H179" i="134"/>
  <c r="R177" i="134"/>
  <c r="M177" i="134"/>
  <c r="H177" i="134"/>
  <c r="R176" i="134"/>
  <c r="M176" i="134"/>
  <c r="H176" i="134"/>
  <c r="R175" i="134"/>
  <c r="M175" i="134"/>
  <c r="H175" i="134"/>
  <c r="R174" i="134"/>
  <c r="M174" i="134"/>
  <c r="H174" i="134"/>
  <c r="Q173" i="134"/>
  <c r="Q165" i="134" s="1"/>
  <c r="P173" i="134"/>
  <c r="O173" i="134"/>
  <c r="L173" i="134"/>
  <c r="K173" i="134"/>
  <c r="K165" i="134" s="1"/>
  <c r="J173" i="134"/>
  <c r="G173" i="134"/>
  <c r="F173" i="134"/>
  <c r="E173" i="134"/>
  <c r="R172" i="134"/>
  <c r="M172" i="134"/>
  <c r="H172" i="134"/>
  <c r="R171" i="134"/>
  <c r="M171" i="134"/>
  <c r="H171" i="134"/>
  <c r="R170" i="134"/>
  <c r="M170" i="134"/>
  <c r="H170" i="134"/>
  <c r="Q169" i="134"/>
  <c r="P169" i="134"/>
  <c r="P165" i="134" s="1"/>
  <c r="O169" i="134"/>
  <c r="R169" i="134" s="1"/>
  <c r="L169" i="134"/>
  <c r="K169" i="134"/>
  <c r="J169" i="134"/>
  <c r="M169" i="134" s="1"/>
  <c r="G169" i="134"/>
  <c r="F169" i="134"/>
  <c r="E169" i="134"/>
  <c r="R168" i="134"/>
  <c r="M168" i="134"/>
  <c r="H168" i="134"/>
  <c r="R167" i="134"/>
  <c r="M167" i="134"/>
  <c r="H167" i="134"/>
  <c r="Q166" i="134"/>
  <c r="P166" i="134"/>
  <c r="O166" i="134"/>
  <c r="L166" i="134"/>
  <c r="L165" i="134" s="1"/>
  <c r="K166" i="134"/>
  <c r="J166" i="134"/>
  <c r="G166" i="134"/>
  <c r="F166" i="134"/>
  <c r="E166" i="134"/>
  <c r="J165" i="134"/>
  <c r="M165" i="134" s="1"/>
  <c r="G165" i="134"/>
  <c r="R163" i="134"/>
  <c r="M163" i="134"/>
  <c r="H163" i="134"/>
  <c r="R162" i="134"/>
  <c r="M162" i="134"/>
  <c r="H162" i="134"/>
  <c r="R161" i="134"/>
  <c r="M161" i="134"/>
  <c r="H161" i="134"/>
  <c r="Q160" i="134"/>
  <c r="P160" i="134"/>
  <c r="O160" i="134"/>
  <c r="L160" i="134"/>
  <c r="K160" i="134"/>
  <c r="M160" i="134" s="1"/>
  <c r="J160" i="134"/>
  <c r="G160" i="134"/>
  <c r="F160" i="134"/>
  <c r="E160" i="134"/>
  <c r="R159" i="134"/>
  <c r="M159" i="134"/>
  <c r="H159" i="134"/>
  <c r="R158" i="134"/>
  <c r="M158" i="134"/>
  <c r="H158" i="134"/>
  <c r="R157" i="134"/>
  <c r="M157" i="134"/>
  <c r="H157" i="134"/>
  <c r="Q156" i="134"/>
  <c r="P156" i="134"/>
  <c r="P149" i="134" s="1"/>
  <c r="P147" i="134" s="1"/>
  <c r="O156" i="134"/>
  <c r="R156" i="134" s="1"/>
  <c r="L156" i="134"/>
  <c r="K156" i="134"/>
  <c r="J156" i="134"/>
  <c r="G156" i="134"/>
  <c r="F156" i="134"/>
  <c r="E156" i="134"/>
  <c r="R155" i="134"/>
  <c r="M155" i="134"/>
  <c r="H155" i="134"/>
  <c r="R154" i="134"/>
  <c r="M154" i="134"/>
  <c r="H154" i="134"/>
  <c r="R153" i="134"/>
  <c r="M153" i="134"/>
  <c r="H153" i="134"/>
  <c r="Q152" i="134"/>
  <c r="P152" i="134"/>
  <c r="O152" i="134"/>
  <c r="L152" i="134"/>
  <c r="K152" i="134"/>
  <c r="M152" i="134" s="1"/>
  <c r="J152" i="134"/>
  <c r="G152" i="134"/>
  <c r="F152" i="134"/>
  <c r="E152" i="134"/>
  <c r="R151" i="134"/>
  <c r="M151" i="134"/>
  <c r="H151" i="134"/>
  <c r="Q150" i="134"/>
  <c r="Q149" i="134" s="1"/>
  <c r="Q147" i="134" s="1"/>
  <c r="P150" i="134"/>
  <c r="O150" i="134"/>
  <c r="L150" i="134"/>
  <c r="K150" i="134"/>
  <c r="K149" i="134" s="1"/>
  <c r="J150" i="134"/>
  <c r="G150" i="134"/>
  <c r="F150" i="134"/>
  <c r="E150" i="134"/>
  <c r="O149" i="134"/>
  <c r="R149" i="134" s="1"/>
  <c r="L149" i="134"/>
  <c r="L147" i="134" s="1"/>
  <c r="G149" i="134"/>
  <c r="G147" i="134" s="1"/>
  <c r="F149" i="134"/>
  <c r="Q148" i="134"/>
  <c r="O148" i="134"/>
  <c r="L148" i="134"/>
  <c r="L64" i="134" s="1"/>
  <c r="J148" i="134"/>
  <c r="G148" i="134"/>
  <c r="E148" i="134"/>
  <c r="K147" i="134"/>
  <c r="F147" i="134"/>
  <c r="R146" i="134"/>
  <c r="M146" i="134"/>
  <c r="H146" i="134"/>
  <c r="R145" i="134"/>
  <c r="M145" i="134"/>
  <c r="H145" i="134"/>
  <c r="R144" i="134"/>
  <c r="M144" i="134"/>
  <c r="H144" i="134"/>
  <c r="Q143" i="134"/>
  <c r="P143" i="134"/>
  <c r="O143" i="134"/>
  <c r="L143" i="134"/>
  <c r="K143" i="134"/>
  <c r="J143" i="134"/>
  <c r="M143" i="134" s="1"/>
  <c r="G143" i="134"/>
  <c r="F143" i="134"/>
  <c r="E143" i="134"/>
  <c r="R142" i="134"/>
  <c r="M142" i="134"/>
  <c r="H142" i="134"/>
  <c r="R141" i="134"/>
  <c r="M141" i="134"/>
  <c r="H141" i="134"/>
  <c r="R140" i="134"/>
  <c r="M140" i="134"/>
  <c r="H140" i="134"/>
  <c r="Q139" i="134"/>
  <c r="P139" i="134"/>
  <c r="O139" i="134"/>
  <c r="L139" i="134"/>
  <c r="L132" i="134" s="1"/>
  <c r="K139" i="134"/>
  <c r="J139" i="134"/>
  <c r="G139" i="134"/>
  <c r="F139" i="134"/>
  <c r="E139" i="134"/>
  <c r="R138" i="134"/>
  <c r="M138" i="134"/>
  <c r="H138" i="134"/>
  <c r="R137" i="134"/>
  <c r="M137" i="134"/>
  <c r="H137" i="134"/>
  <c r="R136" i="134"/>
  <c r="M136" i="134"/>
  <c r="H136" i="134"/>
  <c r="Q135" i="134"/>
  <c r="P135" i="134"/>
  <c r="O135" i="134"/>
  <c r="L135" i="134"/>
  <c r="K135" i="134"/>
  <c r="J135" i="134"/>
  <c r="M135" i="134" s="1"/>
  <c r="G135" i="134"/>
  <c r="F135" i="134"/>
  <c r="E135" i="134"/>
  <c r="R134" i="134"/>
  <c r="M134" i="134"/>
  <c r="H134" i="134"/>
  <c r="Q133" i="134"/>
  <c r="P133" i="134"/>
  <c r="P132" i="134" s="1"/>
  <c r="O133" i="134"/>
  <c r="L133" i="134"/>
  <c r="K133" i="134"/>
  <c r="J133" i="134"/>
  <c r="G133" i="134"/>
  <c r="G132" i="134" s="1"/>
  <c r="F133" i="134"/>
  <c r="E133" i="134"/>
  <c r="Q132" i="134"/>
  <c r="K132" i="134"/>
  <c r="E132" i="134"/>
  <c r="R131" i="134"/>
  <c r="M131" i="134"/>
  <c r="H131" i="134"/>
  <c r="R130" i="134"/>
  <c r="M130" i="134"/>
  <c r="H130" i="134"/>
  <c r="Q129" i="134"/>
  <c r="P129" i="134"/>
  <c r="O129" i="134"/>
  <c r="L129" i="134"/>
  <c r="K129" i="134"/>
  <c r="J129" i="134"/>
  <c r="M129" i="134" s="1"/>
  <c r="G129" i="134"/>
  <c r="F129" i="134"/>
  <c r="E129" i="134"/>
  <c r="Q128" i="134"/>
  <c r="L128" i="134"/>
  <c r="G128" i="134"/>
  <c r="H128" i="134" s="1"/>
  <c r="P127" i="134"/>
  <c r="R127" i="134" s="1"/>
  <c r="K127" i="134"/>
  <c r="F127" i="134"/>
  <c r="P126" i="134"/>
  <c r="O126" i="134"/>
  <c r="L126" i="134"/>
  <c r="J126" i="134"/>
  <c r="G126" i="134"/>
  <c r="F126" i="134"/>
  <c r="E126" i="134"/>
  <c r="R125" i="134"/>
  <c r="M125" i="134"/>
  <c r="H125" i="134"/>
  <c r="Q124" i="134"/>
  <c r="P124" i="134"/>
  <c r="O124" i="134"/>
  <c r="L124" i="134"/>
  <c r="K124" i="134"/>
  <c r="J124" i="134"/>
  <c r="G124" i="134"/>
  <c r="G40" i="134" s="1"/>
  <c r="F124" i="134"/>
  <c r="E124" i="134"/>
  <c r="Q123" i="134"/>
  <c r="P123" i="134"/>
  <c r="L123" i="134"/>
  <c r="L39" i="134" s="1"/>
  <c r="K123" i="134"/>
  <c r="G123" i="134"/>
  <c r="F123" i="134"/>
  <c r="H123" i="134" s="1"/>
  <c r="Q122" i="134"/>
  <c r="P122" i="134"/>
  <c r="L122" i="134"/>
  <c r="K122" i="134"/>
  <c r="G122" i="134"/>
  <c r="G38" i="134" s="1"/>
  <c r="G37" i="134" s="1"/>
  <c r="F122" i="134"/>
  <c r="P121" i="134"/>
  <c r="O121" i="134"/>
  <c r="J121" i="134"/>
  <c r="G121" i="134"/>
  <c r="G120" i="134" s="1"/>
  <c r="G119" i="134" s="1"/>
  <c r="E121" i="134"/>
  <c r="R118" i="134"/>
  <c r="M118" i="134"/>
  <c r="H118" i="134"/>
  <c r="Q117" i="134"/>
  <c r="Q116" i="134" s="1"/>
  <c r="P117" i="134"/>
  <c r="L117" i="134"/>
  <c r="K117" i="134"/>
  <c r="M117" i="134" s="1"/>
  <c r="G117" i="134"/>
  <c r="F117" i="134"/>
  <c r="F116" i="134" s="1"/>
  <c r="E117" i="134"/>
  <c r="P116" i="134"/>
  <c r="O116" i="134"/>
  <c r="L116" i="134"/>
  <c r="K116" i="134"/>
  <c r="J116" i="134"/>
  <c r="E116" i="134"/>
  <c r="R115" i="134"/>
  <c r="M115" i="134"/>
  <c r="H115" i="134"/>
  <c r="R114" i="134"/>
  <c r="M114" i="134"/>
  <c r="H114" i="134"/>
  <c r="R113" i="134"/>
  <c r="M113" i="134"/>
  <c r="H113" i="134"/>
  <c r="R112" i="134"/>
  <c r="M112" i="134"/>
  <c r="H112" i="134"/>
  <c r="Q111" i="134"/>
  <c r="Q110" i="134" s="1"/>
  <c r="P111" i="134"/>
  <c r="O111" i="134"/>
  <c r="L111" i="134"/>
  <c r="L110" i="134" s="1"/>
  <c r="K111" i="134"/>
  <c r="J111" i="134"/>
  <c r="G111" i="134"/>
  <c r="F111" i="134"/>
  <c r="E111" i="134"/>
  <c r="E110" i="134" s="1"/>
  <c r="C111" i="134"/>
  <c r="P110" i="134"/>
  <c r="O110" i="134"/>
  <c r="R110" i="134" s="1"/>
  <c r="J110" i="134"/>
  <c r="G110" i="134"/>
  <c r="C110" i="134"/>
  <c r="R109" i="134"/>
  <c r="M109" i="134"/>
  <c r="H109" i="134"/>
  <c r="R108" i="134"/>
  <c r="M108" i="134"/>
  <c r="H108" i="134"/>
  <c r="R107" i="134"/>
  <c r="M107" i="134"/>
  <c r="H107" i="134"/>
  <c r="Q106" i="134"/>
  <c r="Q105" i="134" s="1"/>
  <c r="P106" i="134"/>
  <c r="O106" i="134"/>
  <c r="R106" i="134" s="1"/>
  <c r="L106" i="134"/>
  <c r="L105" i="134" s="1"/>
  <c r="K106" i="134"/>
  <c r="K105" i="134" s="1"/>
  <c r="J106" i="134"/>
  <c r="G106" i="134"/>
  <c r="G105" i="134" s="1"/>
  <c r="F106" i="134"/>
  <c r="F105" i="134" s="1"/>
  <c r="E106" i="134"/>
  <c r="E105" i="134" s="1"/>
  <c r="P105" i="134"/>
  <c r="O105" i="134"/>
  <c r="R105" i="134" s="1"/>
  <c r="J105" i="134"/>
  <c r="M105" i="134" s="1"/>
  <c r="R104" i="134"/>
  <c r="M104" i="134"/>
  <c r="H104" i="134"/>
  <c r="R103" i="134"/>
  <c r="M103" i="134"/>
  <c r="H103" i="134"/>
  <c r="R102" i="134"/>
  <c r="M102" i="134"/>
  <c r="H102" i="134"/>
  <c r="Q101" i="134"/>
  <c r="Q100" i="134" s="1"/>
  <c r="Q99" i="134" s="1"/>
  <c r="P101" i="134"/>
  <c r="P100" i="134" s="1"/>
  <c r="O101" i="134"/>
  <c r="L101" i="134"/>
  <c r="L100" i="134" s="1"/>
  <c r="L99" i="134" s="1"/>
  <c r="K101" i="134"/>
  <c r="J101" i="134"/>
  <c r="J100" i="134" s="1"/>
  <c r="J99" i="134" s="1"/>
  <c r="J98" i="134" s="1"/>
  <c r="J94" i="134" s="1"/>
  <c r="G101" i="134"/>
  <c r="F101" i="134"/>
  <c r="E101" i="134"/>
  <c r="E100" i="134" s="1"/>
  <c r="E99" i="134" s="1"/>
  <c r="O100" i="134"/>
  <c r="O99" i="134" s="1"/>
  <c r="O98" i="134" s="1"/>
  <c r="O94" i="134" s="1"/>
  <c r="G100" i="134"/>
  <c r="F100" i="134"/>
  <c r="G99" i="134"/>
  <c r="Q98" i="134"/>
  <c r="Q94" i="134" s="1"/>
  <c r="E98" i="134"/>
  <c r="R97" i="134"/>
  <c r="M97" i="134"/>
  <c r="H97" i="134"/>
  <c r="R96" i="134"/>
  <c r="M96" i="134"/>
  <c r="H96" i="134"/>
  <c r="R95" i="134"/>
  <c r="M95" i="134"/>
  <c r="H95" i="134"/>
  <c r="R93" i="134"/>
  <c r="M93" i="134"/>
  <c r="H93" i="134"/>
  <c r="R92" i="134"/>
  <c r="M92" i="134"/>
  <c r="H92" i="134"/>
  <c r="R91" i="134"/>
  <c r="M91" i="134"/>
  <c r="H91" i="134"/>
  <c r="R90" i="134"/>
  <c r="M90" i="134"/>
  <c r="H90" i="134"/>
  <c r="Q89" i="134"/>
  <c r="P89" i="134"/>
  <c r="O89" i="134"/>
  <c r="R89" i="134" s="1"/>
  <c r="L89" i="134"/>
  <c r="K89" i="134"/>
  <c r="J89" i="134"/>
  <c r="M89" i="134" s="1"/>
  <c r="G89" i="134"/>
  <c r="F89" i="134"/>
  <c r="E89" i="134"/>
  <c r="R88" i="134"/>
  <c r="M88" i="134"/>
  <c r="H88" i="134"/>
  <c r="R87" i="134"/>
  <c r="M87" i="134"/>
  <c r="H87" i="134"/>
  <c r="R86" i="134"/>
  <c r="M86" i="134"/>
  <c r="H86" i="134"/>
  <c r="Q85" i="134"/>
  <c r="P85" i="134"/>
  <c r="O85" i="134"/>
  <c r="L85" i="134"/>
  <c r="L81" i="134" s="1"/>
  <c r="K85" i="134"/>
  <c r="M85" i="134" s="1"/>
  <c r="J85" i="134"/>
  <c r="G85" i="134"/>
  <c r="F85" i="134"/>
  <c r="E85" i="134"/>
  <c r="E81" i="134" s="1"/>
  <c r="R84" i="134"/>
  <c r="M84" i="134"/>
  <c r="H84" i="134"/>
  <c r="R83" i="134"/>
  <c r="M83" i="134"/>
  <c r="H83" i="134"/>
  <c r="Q82" i="134"/>
  <c r="P82" i="134"/>
  <c r="O82" i="134"/>
  <c r="L82" i="134"/>
  <c r="K82" i="134"/>
  <c r="J82" i="134"/>
  <c r="J81" i="134" s="1"/>
  <c r="G82" i="134"/>
  <c r="F82" i="134"/>
  <c r="E82" i="134"/>
  <c r="Q81" i="134"/>
  <c r="F81" i="134"/>
  <c r="R79" i="134"/>
  <c r="M79" i="134"/>
  <c r="H79" i="134"/>
  <c r="R78" i="134"/>
  <c r="M78" i="134"/>
  <c r="H78" i="134"/>
  <c r="R77" i="134"/>
  <c r="M77" i="134"/>
  <c r="H77" i="134"/>
  <c r="Q76" i="134"/>
  <c r="P76" i="134"/>
  <c r="O76" i="134"/>
  <c r="L76" i="134"/>
  <c r="K76" i="134"/>
  <c r="J76" i="134"/>
  <c r="G76" i="134"/>
  <c r="F76" i="134"/>
  <c r="E76" i="134"/>
  <c r="R75" i="134"/>
  <c r="M75" i="134"/>
  <c r="H75" i="134"/>
  <c r="R74" i="134"/>
  <c r="M74" i="134"/>
  <c r="H74" i="134"/>
  <c r="R73" i="134"/>
  <c r="M73" i="134"/>
  <c r="H73" i="134"/>
  <c r="Q72" i="134"/>
  <c r="Q65" i="134" s="1"/>
  <c r="P72" i="134"/>
  <c r="O72" i="134"/>
  <c r="L72" i="134"/>
  <c r="K72" i="134"/>
  <c r="K65" i="134" s="1"/>
  <c r="K63" i="134" s="1"/>
  <c r="J72" i="134"/>
  <c r="G72" i="134"/>
  <c r="F72" i="134"/>
  <c r="E72" i="134"/>
  <c r="R71" i="134"/>
  <c r="M71" i="134"/>
  <c r="H71" i="134"/>
  <c r="R70" i="134"/>
  <c r="M70" i="134"/>
  <c r="H70" i="134"/>
  <c r="R69" i="134"/>
  <c r="M69" i="134"/>
  <c r="H69" i="134"/>
  <c r="Q68" i="134"/>
  <c r="P68" i="134"/>
  <c r="O68" i="134"/>
  <c r="L68" i="134"/>
  <c r="K68" i="134"/>
  <c r="J68" i="134"/>
  <c r="G68" i="134"/>
  <c r="F68" i="134"/>
  <c r="E68" i="134"/>
  <c r="R67" i="134"/>
  <c r="M67" i="134"/>
  <c r="H67" i="134"/>
  <c r="Q66" i="134"/>
  <c r="P66" i="134"/>
  <c r="O66" i="134"/>
  <c r="L66" i="134"/>
  <c r="K66" i="134"/>
  <c r="J66" i="134"/>
  <c r="M66" i="134" s="1"/>
  <c r="G66" i="134"/>
  <c r="G65" i="134" s="1"/>
  <c r="G63" i="134" s="1"/>
  <c r="F66" i="134"/>
  <c r="E66" i="134"/>
  <c r="P65" i="134"/>
  <c r="P63" i="134" s="1"/>
  <c r="Q64" i="134"/>
  <c r="Q63" i="134" s="1"/>
  <c r="G64" i="134"/>
  <c r="R62" i="134"/>
  <c r="M62" i="134"/>
  <c r="H62" i="134"/>
  <c r="R61" i="134"/>
  <c r="M61" i="134"/>
  <c r="H61" i="134"/>
  <c r="R60" i="134"/>
  <c r="M60" i="134"/>
  <c r="H60" i="134"/>
  <c r="Q59" i="134"/>
  <c r="P59" i="134"/>
  <c r="O59" i="134"/>
  <c r="L59" i="134"/>
  <c r="K59" i="134"/>
  <c r="J59" i="134"/>
  <c r="G59" i="134"/>
  <c r="F59" i="134"/>
  <c r="E59" i="134"/>
  <c r="H59" i="134" s="1"/>
  <c r="R58" i="134"/>
  <c r="M58" i="134"/>
  <c r="H58" i="134"/>
  <c r="R57" i="134"/>
  <c r="M57" i="134"/>
  <c r="H57" i="134"/>
  <c r="R56" i="134"/>
  <c r="M56" i="134"/>
  <c r="H56" i="134"/>
  <c r="Q55" i="134"/>
  <c r="P55" i="134"/>
  <c r="O55" i="134"/>
  <c r="O48" i="134" s="1"/>
  <c r="L55" i="134"/>
  <c r="K55" i="134"/>
  <c r="J55" i="134"/>
  <c r="G55" i="134"/>
  <c r="G48" i="134" s="1"/>
  <c r="F55" i="134"/>
  <c r="E55" i="134"/>
  <c r="R54" i="134"/>
  <c r="M54" i="134"/>
  <c r="H54" i="134"/>
  <c r="R53" i="134"/>
  <c r="M53" i="134"/>
  <c r="H53" i="134"/>
  <c r="R52" i="134"/>
  <c r="M52" i="134"/>
  <c r="H52" i="134"/>
  <c r="Q51" i="134"/>
  <c r="P51" i="134"/>
  <c r="O51" i="134"/>
  <c r="L51" i="134"/>
  <c r="K51" i="134"/>
  <c r="J51" i="134"/>
  <c r="G51" i="134"/>
  <c r="F51" i="134"/>
  <c r="E51" i="134"/>
  <c r="H51" i="134" s="1"/>
  <c r="R50" i="134"/>
  <c r="M50" i="134"/>
  <c r="H50" i="134"/>
  <c r="Q49" i="134"/>
  <c r="Q48" i="134" s="1"/>
  <c r="P49" i="134"/>
  <c r="O49" i="134"/>
  <c r="L49" i="134"/>
  <c r="L48" i="134" s="1"/>
  <c r="K49" i="134"/>
  <c r="J49" i="134"/>
  <c r="G49" i="134"/>
  <c r="F49" i="134"/>
  <c r="E49" i="134"/>
  <c r="E48" i="134" s="1"/>
  <c r="H48" i="134" s="1"/>
  <c r="F48" i="134"/>
  <c r="R47" i="134"/>
  <c r="M47" i="134"/>
  <c r="H47" i="134"/>
  <c r="R46" i="134"/>
  <c r="M46" i="134"/>
  <c r="H46" i="134"/>
  <c r="Q45" i="134"/>
  <c r="P45" i="134"/>
  <c r="O45" i="134"/>
  <c r="L45" i="134"/>
  <c r="K45" i="134"/>
  <c r="J45" i="134"/>
  <c r="G45" i="134"/>
  <c r="F45" i="134"/>
  <c r="E45" i="134"/>
  <c r="H45" i="134" s="1"/>
  <c r="G44" i="134"/>
  <c r="P43" i="134"/>
  <c r="R43" i="134" s="1"/>
  <c r="P42" i="134"/>
  <c r="O42" i="134"/>
  <c r="J42" i="134"/>
  <c r="E42" i="134"/>
  <c r="R41" i="134"/>
  <c r="M41" i="134"/>
  <c r="H41" i="134"/>
  <c r="Q40" i="134"/>
  <c r="P40" i="134"/>
  <c r="P37" i="134" s="1"/>
  <c r="K40" i="134"/>
  <c r="J40" i="134"/>
  <c r="E40" i="134"/>
  <c r="Q39" i="134"/>
  <c r="K39" i="134"/>
  <c r="G39" i="134"/>
  <c r="F39" i="134"/>
  <c r="H39" i="134" s="1"/>
  <c r="E39" i="134"/>
  <c r="P38" i="134"/>
  <c r="O38" i="134"/>
  <c r="L38" i="134"/>
  <c r="F38" i="134"/>
  <c r="R34" i="134"/>
  <c r="M34" i="134"/>
  <c r="H34" i="134"/>
  <c r="Q33" i="134"/>
  <c r="Q32" i="134" s="1"/>
  <c r="P33" i="134"/>
  <c r="L33" i="134"/>
  <c r="L32" i="134" s="1"/>
  <c r="K33" i="134"/>
  <c r="J33" i="134"/>
  <c r="F33" i="134"/>
  <c r="E33" i="134"/>
  <c r="E32" i="134" s="1"/>
  <c r="P32" i="134"/>
  <c r="O32" i="134"/>
  <c r="J32" i="134"/>
  <c r="F32" i="134"/>
  <c r="R31" i="134"/>
  <c r="M31" i="134"/>
  <c r="H31" i="134"/>
  <c r="R30" i="134"/>
  <c r="M30" i="134"/>
  <c r="H30" i="134"/>
  <c r="R29" i="134"/>
  <c r="M29" i="134"/>
  <c r="H29" i="134"/>
  <c r="R28" i="134"/>
  <c r="M28" i="134"/>
  <c r="H28" i="134"/>
  <c r="Q27" i="134"/>
  <c r="P27" i="134"/>
  <c r="O27" i="134"/>
  <c r="O26" i="134" s="1"/>
  <c r="L27" i="134"/>
  <c r="K27" i="134"/>
  <c r="J27" i="134"/>
  <c r="J26" i="134" s="1"/>
  <c r="G27" i="134"/>
  <c r="G26" i="134" s="1"/>
  <c r="F27" i="134"/>
  <c r="E27" i="134"/>
  <c r="C27" i="134"/>
  <c r="C26" i="134" s="1"/>
  <c r="Q26" i="134"/>
  <c r="L26" i="134"/>
  <c r="K26" i="134"/>
  <c r="F26" i="134"/>
  <c r="E26" i="134"/>
  <c r="H26" i="134" s="1"/>
  <c r="R25" i="134"/>
  <c r="M25" i="134"/>
  <c r="H25" i="134"/>
  <c r="R24" i="134"/>
  <c r="M24" i="134"/>
  <c r="H24" i="134"/>
  <c r="R23" i="134"/>
  <c r="M23" i="134"/>
  <c r="H23" i="134"/>
  <c r="Q22" i="134"/>
  <c r="P22" i="134"/>
  <c r="P21" i="134" s="1"/>
  <c r="O22" i="134"/>
  <c r="L22" i="134"/>
  <c r="K22" i="134"/>
  <c r="J22" i="134"/>
  <c r="G22" i="134"/>
  <c r="F22" i="134"/>
  <c r="E22" i="134"/>
  <c r="H22" i="134" s="1"/>
  <c r="Q21" i="134"/>
  <c r="O21" i="134"/>
  <c r="L21" i="134"/>
  <c r="K21" i="134"/>
  <c r="G21" i="134"/>
  <c r="F21" i="134"/>
  <c r="F14" i="134" s="1"/>
  <c r="E21" i="134"/>
  <c r="H21" i="134" s="1"/>
  <c r="R20" i="134"/>
  <c r="M20" i="134"/>
  <c r="H20" i="134"/>
  <c r="R19" i="134"/>
  <c r="M19" i="134"/>
  <c r="H19" i="134"/>
  <c r="R18" i="134"/>
  <c r="M18" i="134"/>
  <c r="H18" i="134"/>
  <c r="Q17" i="134"/>
  <c r="P17" i="134"/>
  <c r="O17" i="134"/>
  <c r="O16" i="134" s="1"/>
  <c r="O15" i="134" s="1"/>
  <c r="O14" i="134" s="1"/>
  <c r="L17" i="134"/>
  <c r="K17" i="134"/>
  <c r="J17" i="134"/>
  <c r="G17" i="134"/>
  <c r="G16" i="134" s="1"/>
  <c r="G15" i="134" s="1"/>
  <c r="G14" i="134" s="1"/>
  <c r="F17" i="134"/>
  <c r="E17" i="134"/>
  <c r="Q16" i="134"/>
  <c r="Q15" i="134" s="1"/>
  <c r="Q14" i="134" s="1"/>
  <c r="Q10" i="134" s="1"/>
  <c r="P16" i="134"/>
  <c r="L16" i="134"/>
  <c r="K16" i="134"/>
  <c r="J16" i="134"/>
  <c r="J15" i="134" s="1"/>
  <c r="F16" i="134"/>
  <c r="E16" i="134"/>
  <c r="L15" i="134"/>
  <c r="K15" i="134"/>
  <c r="F15" i="134"/>
  <c r="E15" i="134"/>
  <c r="L14" i="134"/>
  <c r="L10" i="134" s="1"/>
  <c r="R13" i="134"/>
  <c r="M13" i="134"/>
  <c r="H13" i="134"/>
  <c r="O12" i="134"/>
  <c r="R12" i="134" s="1"/>
  <c r="J12" i="134"/>
  <c r="M12" i="134" s="1"/>
  <c r="E12" i="134"/>
  <c r="H12" i="134" s="1"/>
  <c r="R11" i="134"/>
  <c r="M11" i="134"/>
  <c r="H11" i="134"/>
  <c r="P36" i="134" l="1"/>
  <c r="P35" i="134" s="1"/>
  <c r="R100" i="134"/>
  <c r="L248" i="134"/>
  <c r="R195" i="134"/>
  <c r="P194" i="134"/>
  <c r="P203" i="134"/>
  <c r="L37" i="134"/>
  <c r="R82" i="134"/>
  <c r="P81" i="134"/>
  <c r="P99" i="134"/>
  <c r="H148" i="134"/>
  <c r="E64" i="134"/>
  <c r="E147" i="134"/>
  <c r="R148" i="134"/>
  <c r="O64" i="134"/>
  <c r="O147" i="134"/>
  <c r="Q182" i="134"/>
  <c r="Q178" i="134" s="1"/>
  <c r="M184" i="134"/>
  <c r="K183" i="134"/>
  <c r="F203" i="134"/>
  <c r="R205" i="134"/>
  <c r="O204" i="134"/>
  <c r="M206" i="134"/>
  <c r="J205" i="134"/>
  <c r="J38" i="134"/>
  <c r="J37" i="134" s="1"/>
  <c r="J36" i="134" s="1"/>
  <c r="R207" i="134"/>
  <c r="O39" i="134"/>
  <c r="J233" i="134"/>
  <c r="R16" i="134"/>
  <c r="P15" i="134"/>
  <c r="O10" i="134"/>
  <c r="H32" i="134"/>
  <c r="H44" i="134"/>
  <c r="G42" i="134"/>
  <c r="E94" i="134"/>
  <c r="L98" i="134"/>
  <c r="L94" i="134" s="1"/>
  <c r="L164" i="134" s="1"/>
  <c r="M127" i="134"/>
  <c r="K126" i="134"/>
  <c r="K43" i="134"/>
  <c r="R128" i="134"/>
  <c r="Q126" i="134"/>
  <c r="Q44" i="134"/>
  <c r="P120" i="134"/>
  <c r="P119" i="134" s="1"/>
  <c r="H132" i="134"/>
  <c r="E120" i="134"/>
  <c r="M133" i="134"/>
  <c r="J132" i="134"/>
  <c r="M132" i="134" s="1"/>
  <c r="H139" i="134"/>
  <c r="F132" i="134"/>
  <c r="M190" i="134"/>
  <c r="J189" i="134"/>
  <c r="M189" i="134" s="1"/>
  <c r="M15" i="134"/>
  <c r="K14" i="134"/>
  <c r="F10" i="134"/>
  <c r="M49" i="134"/>
  <c r="K48" i="134"/>
  <c r="R66" i="134"/>
  <c r="O65" i="134"/>
  <c r="R65" i="134" s="1"/>
  <c r="H72" i="134"/>
  <c r="E65" i="134"/>
  <c r="Q164" i="134"/>
  <c r="H111" i="134"/>
  <c r="F110" i="134"/>
  <c r="G36" i="134"/>
  <c r="G35" i="134" s="1"/>
  <c r="H147" i="134"/>
  <c r="F178" i="134"/>
  <c r="F248" i="134" s="1"/>
  <c r="G203" i="134"/>
  <c r="R249" i="134"/>
  <c r="R68" i="134"/>
  <c r="M82" i="134"/>
  <c r="G98" i="134"/>
  <c r="M101" i="134"/>
  <c r="K100" i="134"/>
  <c r="G116" i="134"/>
  <c r="H116" i="134" s="1"/>
  <c r="G33" i="134"/>
  <c r="G32" i="134" s="1"/>
  <c r="G10" i="134" s="1"/>
  <c r="L121" i="134"/>
  <c r="L120" i="134" s="1"/>
  <c r="L119" i="134" s="1"/>
  <c r="L40" i="134"/>
  <c r="M40" i="134" s="1"/>
  <c r="H183" i="134"/>
  <c r="H240" i="134"/>
  <c r="E233" i="134"/>
  <c r="E14" i="134"/>
  <c r="E10" i="134" s="1"/>
  <c r="H15" i="134"/>
  <c r="H33" i="134"/>
  <c r="J48" i="134"/>
  <c r="M48" i="134" s="1"/>
  <c r="P48" i="134"/>
  <c r="R48" i="134" s="1"/>
  <c r="J64" i="134"/>
  <c r="F65" i="134"/>
  <c r="F63" i="134" s="1"/>
  <c r="L65" i="134"/>
  <c r="G81" i="134"/>
  <c r="H81" i="134" s="1"/>
  <c r="O81" i="134"/>
  <c r="R81" i="134" s="1"/>
  <c r="H105" i="134"/>
  <c r="H110" i="134"/>
  <c r="M111" i="134"/>
  <c r="K110" i="134"/>
  <c r="M110" i="134" s="1"/>
  <c r="H127" i="134"/>
  <c r="F43" i="134"/>
  <c r="M128" i="134"/>
  <c r="L44" i="134"/>
  <c r="R129" i="134"/>
  <c r="R133" i="134"/>
  <c r="O132" i="134"/>
  <c r="R132" i="134" s="1"/>
  <c r="R135" i="134"/>
  <c r="M139" i="134"/>
  <c r="R143" i="134"/>
  <c r="L63" i="134"/>
  <c r="H152" i="134"/>
  <c r="M156" i="134"/>
  <c r="J149" i="134"/>
  <c r="R147" i="134"/>
  <c r="H160" i="134"/>
  <c r="J182" i="134"/>
  <c r="J178" i="134" s="1"/>
  <c r="H194" i="134"/>
  <c r="R194" i="134"/>
  <c r="H201" i="134"/>
  <c r="L204" i="134"/>
  <c r="L203" i="134" s="1"/>
  <c r="H206" i="134"/>
  <c r="E205" i="134"/>
  <c r="E38" i="134"/>
  <c r="E37" i="134" s="1"/>
  <c r="E36" i="134" s="1"/>
  <c r="M207" i="134"/>
  <c r="J39" i="134"/>
  <c r="M210" i="134"/>
  <c r="H213" i="134"/>
  <c r="H217" i="134"/>
  <c r="M216" i="134"/>
  <c r="R17" i="134"/>
  <c r="M33" i="134"/>
  <c r="K32" i="134"/>
  <c r="M32" i="134" s="1"/>
  <c r="H49" i="134"/>
  <c r="R55" i="134"/>
  <c r="R76" i="134"/>
  <c r="H85" i="134"/>
  <c r="H100" i="134"/>
  <c r="F99" i="134"/>
  <c r="R116" i="134"/>
  <c r="Q38" i="134"/>
  <c r="Q37" i="134" s="1"/>
  <c r="Q121" i="134"/>
  <c r="Q120" i="134" s="1"/>
  <c r="Q119" i="134" s="1"/>
  <c r="F121" i="134"/>
  <c r="F40" i="134"/>
  <c r="F37" i="134" s="1"/>
  <c r="R126" i="134"/>
  <c r="H166" i="134"/>
  <c r="F165" i="134"/>
  <c r="H173" i="134"/>
  <c r="E165" i="134"/>
  <c r="G248" i="134"/>
  <c r="R233" i="134"/>
  <c r="H249" i="134"/>
  <c r="R250" i="134"/>
  <c r="M253" i="134"/>
  <c r="M16" i="134"/>
  <c r="M22" i="134"/>
  <c r="J21" i="134"/>
  <c r="M21" i="134" s="1"/>
  <c r="M26" i="134"/>
  <c r="R27" i="134"/>
  <c r="P26" i="134"/>
  <c r="R26" i="134" s="1"/>
  <c r="H38" i="134"/>
  <c r="M39" i="134"/>
  <c r="J65" i="134"/>
  <c r="M65" i="134" s="1"/>
  <c r="K81" i="134"/>
  <c r="M81" i="134" s="1"/>
  <c r="H101" i="134"/>
  <c r="M116" i="134"/>
  <c r="R121" i="134"/>
  <c r="O120" i="134"/>
  <c r="M122" i="134"/>
  <c r="K38" i="134"/>
  <c r="K121" i="134"/>
  <c r="R123" i="134"/>
  <c r="P39" i="134"/>
  <c r="R124" i="134"/>
  <c r="O40" i="134"/>
  <c r="H150" i="134"/>
  <c r="E149" i="134"/>
  <c r="H149" i="134" s="1"/>
  <c r="O165" i="134"/>
  <c r="R165" i="134" s="1"/>
  <c r="R184" i="134"/>
  <c r="P183" i="134"/>
  <c r="E189" i="134"/>
  <c r="H189" i="134" s="1"/>
  <c r="K204" i="134"/>
  <c r="K203" i="134" s="1"/>
  <c r="Q204" i="134"/>
  <c r="Q203" i="134" s="1"/>
  <c r="H216" i="134"/>
  <c r="O231" i="134"/>
  <c r="R231" i="134" s="1"/>
  <c r="H16" i="134"/>
  <c r="M17" i="134"/>
  <c r="R21" i="134"/>
  <c r="M27" i="134"/>
  <c r="R32" i="134"/>
  <c r="R38" i="134"/>
  <c r="R45" i="134"/>
  <c r="R51" i="134"/>
  <c r="M55" i="134"/>
  <c r="R59" i="134"/>
  <c r="H66" i="134"/>
  <c r="M68" i="134"/>
  <c r="R72" i="134"/>
  <c r="M76" i="134"/>
  <c r="H82" i="134"/>
  <c r="H89" i="134"/>
  <c r="M106" i="134"/>
  <c r="H117" i="134"/>
  <c r="M124" i="134"/>
  <c r="M126" i="134"/>
  <c r="H129" i="134"/>
  <c r="H135" i="134"/>
  <c r="H143" i="134"/>
  <c r="R150" i="134"/>
  <c r="H156" i="134"/>
  <c r="R166" i="134"/>
  <c r="R173" i="134"/>
  <c r="H184" i="134"/>
  <c r="M185" i="134"/>
  <c r="R189" i="134"/>
  <c r="M195" i="134"/>
  <c r="R200" i="134"/>
  <c r="R213" i="134"/>
  <c r="R217" i="134"/>
  <c r="R219" i="134"/>
  <c r="M223" i="134"/>
  <c r="R227" i="134"/>
  <c r="M234" i="134"/>
  <c r="R244" i="134"/>
  <c r="M250" i="134"/>
  <c r="H253" i="134"/>
  <c r="M257" i="134"/>
  <c r="H17" i="134"/>
  <c r="R22" i="134"/>
  <c r="H27" i="134"/>
  <c r="R33" i="134"/>
  <c r="M45" i="134"/>
  <c r="R49" i="134"/>
  <c r="M51" i="134"/>
  <c r="H55" i="134"/>
  <c r="M59" i="134"/>
  <c r="H68" i="134"/>
  <c r="M72" i="134"/>
  <c r="H76" i="134"/>
  <c r="R85" i="134"/>
  <c r="R101" i="134"/>
  <c r="H106" i="134"/>
  <c r="R111" i="134"/>
  <c r="R117" i="134"/>
  <c r="H122" i="134"/>
  <c r="R122" i="134"/>
  <c r="M123" i="134"/>
  <c r="H124" i="134"/>
  <c r="H126" i="134"/>
  <c r="H133" i="134"/>
  <c r="R139" i="134"/>
  <c r="M148" i="134"/>
  <c r="M150" i="134"/>
  <c r="R152" i="134"/>
  <c r="R160" i="134"/>
  <c r="M166" i="134"/>
  <c r="H169" i="134"/>
  <c r="M173" i="134"/>
  <c r="H185" i="134"/>
  <c r="R190" i="134"/>
  <c r="H195" i="134"/>
  <c r="M200" i="134"/>
  <c r="R210" i="134"/>
  <c r="M213" i="134"/>
  <c r="M217" i="134"/>
  <c r="M219" i="134"/>
  <c r="H223" i="134"/>
  <c r="M227" i="134"/>
  <c r="H234" i="134"/>
  <c r="M236" i="134"/>
  <c r="R240" i="134"/>
  <c r="M244" i="134"/>
  <c r="H250" i="134"/>
  <c r="R253" i="134"/>
  <c r="H257" i="134"/>
  <c r="G374" i="134"/>
  <c r="H37" i="134" l="1"/>
  <c r="F36" i="134"/>
  <c r="F35" i="134" s="1"/>
  <c r="F80" i="134" s="1"/>
  <c r="G80" i="134"/>
  <c r="H10" i="134"/>
  <c r="R120" i="134"/>
  <c r="O119" i="134"/>
  <c r="M64" i="134"/>
  <c r="J63" i="134"/>
  <c r="M63" i="134" s="1"/>
  <c r="R15" i="134"/>
  <c r="P14" i="134"/>
  <c r="R99" i="134"/>
  <c r="P98" i="134"/>
  <c r="H121" i="134"/>
  <c r="F120" i="134"/>
  <c r="F119" i="134" s="1"/>
  <c r="M100" i="134"/>
  <c r="K99" i="134"/>
  <c r="J35" i="134"/>
  <c r="Q36" i="134"/>
  <c r="Q35" i="134" s="1"/>
  <c r="Q80" i="134" s="1"/>
  <c r="H40" i="134"/>
  <c r="J14" i="134"/>
  <c r="J10" i="134" s="1"/>
  <c r="H205" i="134"/>
  <c r="E204" i="134"/>
  <c r="M44" i="134"/>
  <c r="L42" i="134"/>
  <c r="L36" i="134" s="1"/>
  <c r="L35" i="134" s="1"/>
  <c r="L80" i="134" s="1"/>
  <c r="G94" i="134"/>
  <c r="G164" i="134" s="1"/>
  <c r="H65" i="134"/>
  <c r="M14" i="134"/>
  <c r="K10" i="134"/>
  <c r="E119" i="134"/>
  <c r="H119" i="134" s="1"/>
  <c r="R39" i="134"/>
  <c r="M183" i="134"/>
  <c r="K182" i="134"/>
  <c r="R64" i="134"/>
  <c r="O63" i="134"/>
  <c r="R63" i="134" s="1"/>
  <c r="R183" i="134"/>
  <c r="P182" i="134"/>
  <c r="R204" i="134"/>
  <c r="O203" i="134"/>
  <c r="R40" i="134"/>
  <c r="O37" i="134"/>
  <c r="M121" i="134"/>
  <c r="K120" i="134"/>
  <c r="K119" i="134" s="1"/>
  <c r="H99" i="134"/>
  <c r="F98" i="134"/>
  <c r="M149" i="134"/>
  <c r="J147" i="134"/>
  <c r="M147" i="134" s="1"/>
  <c r="H43" i="134"/>
  <c r="F42" i="134"/>
  <c r="H42" i="134" s="1"/>
  <c r="M43" i="134"/>
  <c r="K42" i="134"/>
  <c r="M42" i="134" s="1"/>
  <c r="Q248" i="134"/>
  <c r="M38" i="134"/>
  <c r="K37" i="134"/>
  <c r="H165" i="134"/>
  <c r="E35" i="134"/>
  <c r="H233" i="134"/>
  <c r="E231" i="134"/>
  <c r="H231" i="134" s="1"/>
  <c r="J120" i="134"/>
  <c r="H14" i="134"/>
  <c r="E182" i="134"/>
  <c r="R44" i="134"/>
  <c r="Q42" i="134"/>
  <c r="R42" i="134" s="1"/>
  <c r="E164" i="134"/>
  <c r="M233" i="134"/>
  <c r="J231" i="134"/>
  <c r="M231" i="134" s="1"/>
  <c r="M205" i="134"/>
  <c r="J204" i="134"/>
  <c r="H64" i="134"/>
  <c r="E63" i="134"/>
  <c r="H63" i="134" s="1"/>
  <c r="Q593" i="66"/>
  <c r="Q592" i="66" s="1"/>
  <c r="Q591" i="66" s="1"/>
  <c r="L593" i="66"/>
  <c r="G593" i="66"/>
  <c r="L592" i="66"/>
  <c r="G592" i="66"/>
  <c r="L591" i="66"/>
  <c r="G591" i="66"/>
  <c r="Q589" i="66"/>
  <c r="L589" i="66"/>
  <c r="G589" i="66"/>
  <c r="G588" i="66" s="1"/>
  <c r="Q588" i="66"/>
  <c r="L588" i="66"/>
  <c r="Q584" i="66"/>
  <c r="Q583" i="66" s="1"/>
  <c r="L584" i="66"/>
  <c r="L583" i="66" s="1"/>
  <c r="G584" i="66"/>
  <c r="G583" i="66"/>
  <c r="Q581" i="66"/>
  <c r="Q580" i="66" s="1"/>
  <c r="L581" i="66"/>
  <c r="G581" i="66"/>
  <c r="L580" i="66"/>
  <c r="G580" i="66"/>
  <c r="Q574" i="66"/>
  <c r="L574" i="66"/>
  <c r="G574" i="66"/>
  <c r="G573" i="66" s="1"/>
  <c r="G572" i="66" s="1"/>
  <c r="Q573" i="66"/>
  <c r="Q572" i="66" s="1"/>
  <c r="L573" i="66"/>
  <c r="L572" i="66" s="1"/>
  <c r="Q570" i="66"/>
  <c r="Q569" i="66" s="1"/>
  <c r="L570" i="66"/>
  <c r="G570" i="66"/>
  <c r="L569" i="66"/>
  <c r="G569" i="66"/>
  <c r="Q563" i="66"/>
  <c r="L563" i="66"/>
  <c r="G563" i="66"/>
  <c r="G562" i="66" s="1"/>
  <c r="G561" i="66" s="1"/>
  <c r="Q562" i="66"/>
  <c r="L562" i="66"/>
  <c r="L561" i="66" s="1"/>
  <c r="Q561" i="66"/>
  <c r="Q559" i="66"/>
  <c r="L559" i="66"/>
  <c r="G559" i="66"/>
  <c r="G558" i="66" s="1"/>
  <c r="Q558" i="66"/>
  <c r="L558" i="66"/>
  <c r="Q552" i="66"/>
  <c r="L552" i="66"/>
  <c r="L551" i="66" s="1"/>
  <c r="L550" i="66" s="1"/>
  <c r="G552" i="66"/>
  <c r="G551" i="66" s="1"/>
  <c r="G550" i="66" s="1"/>
  <c r="Q551" i="66"/>
  <c r="Q550" i="66"/>
  <c r="Q548" i="66"/>
  <c r="L548" i="66"/>
  <c r="L547" i="66" s="1"/>
  <c r="G548" i="66"/>
  <c r="Q547" i="66"/>
  <c r="G547" i="66"/>
  <c r="Q543" i="66"/>
  <c r="L543" i="66"/>
  <c r="L542" i="66" s="1"/>
  <c r="L541" i="66" s="1"/>
  <c r="G543" i="66"/>
  <c r="Q542" i="66"/>
  <c r="Q541" i="66" s="1"/>
  <c r="G542" i="66"/>
  <c r="G541" i="66" s="1"/>
  <c r="Q539" i="66"/>
  <c r="Q538" i="66" s="1"/>
  <c r="L539" i="66"/>
  <c r="L538" i="66" s="1"/>
  <c r="G539" i="66"/>
  <c r="G538" i="66"/>
  <c r="Q532" i="66"/>
  <c r="L532" i="66"/>
  <c r="G532" i="66"/>
  <c r="G531" i="66" s="1"/>
  <c r="G530" i="66" s="1"/>
  <c r="Q531" i="66"/>
  <c r="L531" i="66"/>
  <c r="Q530" i="66"/>
  <c r="L530" i="66"/>
  <c r="Q528" i="66"/>
  <c r="L528" i="66"/>
  <c r="G528" i="66"/>
  <c r="G527" i="66" s="1"/>
  <c r="Q527" i="66"/>
  <c r="L527" i="66"/>
  <c r="Q523" i="66"/>
  <c r="Q519" i="66" s="1"/>
  <c r="L523" i="66"/>
  <c r="G523" i="66"/>
  <c r="Q521" i="66"/>
  <c r="L521" i="66"/>
  <c r="L520" i="66" s="1"/>
  <c r="G521" i="66"/>
  <c r="G520" i="66" s="1"/>
  <c r="G519" i="66" s="1"/>
  <c r="Q520" i="66"/>
  <c r="Q517" i="66"/>
  <c r="Q516" i="66" s="1"/>
  <c r="L517" i="66"/>
  <c r="G517" i="66"/>
  <c r="L516" i="66"/>
  <c r="G516" i="66"/>
  <c r="Q512" i="66"/>
  <c r="L512" i="66"/>
  <c r="G512" i="66"/>
  <c r="Q510" i="66"/>
  <c r="Q509" i="66" s="1"/>
  <c r="Q508" i="66" s="1"/>
  <c r="L510" i="66"/>
  <c r="G510" i="66"/>
  <c r="G509" i="66" s="1"/>
  <c r="L509" i="66"/>
  <c r="L508" i="66" s="1"/>
  <c r="G508" i="66"/>
  <c r="Q506" i="66"/>
  <c r="L506" i="66"/>
  <c r="G506" i="66"/>
  <c r="Q505" i="66"/>
  <c r="L505" i="66"/>
  <c r="G505" i="66"/>
  <c r="Q501" i="66"/>
  <c r="L501" i="66"/>
  <c r="G501" i="66"/>
  <c r="Q499" i="66"/>
  <c r="L499" i="66"/>
  <c r="G499" i="66"/>
  <c r="G498" i="66" s="1"/>
  <c r="G497" i="66" s="1"/>
  <c r="Q498" i="66"/>
  <c r="L498" i="66"/>
  <c r="Q497" i="66"/>
  <c r="L497" i="66"/>
  <c r="Q495" i="66"/>
  <c r="L495" i="66"/>
  <c r="L494" i="66" s="1"/>
  <c r="G495" i="66"/>
  <c r="G494" i="66" s="1"/>
  <c r="Q494" i="66"/>
  <c r="Q490" i="66"/>
  <c r="L490" i="66"/>
  <c r="G490" i="66"/>
  <c r="Q488" i="66"/>
  <c r="Q487" i="66" s="1"/>
  <c r="L488" i="66"/>
  <c r="L487" i="66" s="1"/>
  <c r="L486" i="66" s="1"/>
  <c r="G488" i="66"/>
  <c r="G487" i="66"/>
  <c r="G486" i="66" s="1"/>
  <c r="Q484" i="66"/>
  <c r="Q483" i="66" s="1"/>
  <c r="L484" i="66"/>
  <c r="G484" i="66"/>
  <c r="G483" i="66" s="1"/>
  <c r="L483" i="66"/>
  <c r="Q479" i="66"/>
  <c r="L479" i="66"/>
  <c r="G479" i="66"/>
  <c r="Q477" i="66"/>
  <c r="Q476" i="66" s="1"/>
  <c r="Q475" i="66" s="1"/>
  <c r="L477" i="66"/>
  <c r="L476" i="66" s="1"/>
  <c r="L475" i="66" s="1"/>
  <c r="G477" i="66"/>
  <c r="G476" i="66"/>
  <c r="G475" i="66" s="1"/>
  <c r="Q473" i="66"/>
  <c r="Q472" i="66" s="1"/>
  <c r="L473" i="66"/>
  <c r="G473" i="66"/>
  <c r="G472" i="66" s="1"/>
  <c r="L472" i="66"/>
  <c r="Q468" i="66"/>
  <c r="Q467" i="66" s="1"/>
  <c r="Q466" i="66" s="1"/>
  <c r="L468" i="66"/>
  <c r="G468" i="66"/>
  <c r="L467" i="66"/>
  <c r="L466" i="66" s="1"/>
  <c r="G467" i="66"/>
  <c r="G466" i="66"/>
  <c r="Q464" i="66"/>
  <c r="Q463" i="66" s="1"/>
  <c r="L464" i="66"/>
  <c r="G464" i="66"/>
  <c r="L463" i="66"/>
  <c r="G463" i="66"/>
  <c r="Q459" i="66"/>
  <c r="L459" i="66"/>
  <c r="G459" i="66"/>
  <c r="Q457" i="66"/>
  <c r="L457" i="66"/>
  <c r="G457" i="66"/>
  <c r="G456" i="66" s="1"/>
  <c r="Q456" i="66"/>
  <c r="Q455" i="66" s="1"/>
  <c r="L456" i="66"/>
  <c r="L455" i="66"/>
  <c r="Q453" i="66"/>
  <c r="L453" i="66"/>
  <c r="L452" i="66" s="1"/>
  <c r="G453" i="66"/>
  <c r="G452" i="66" s="1"/>
  <c r="Q452" i="66"/>
  <c r="Q448" i="66"/>
  <c r="L448" i="66"/>
  <c r="G448" i="66"/>
  <c r="Q446" i="66"/>
  <c r="L446" i="66"/>
  <c r="L445" i="66" s="1"/>
  <c r="G446" i="66"/>
  <c r="G445" i="66" s="1"/>
  <c r="G444" i="66" s="1"/>
  <c r="Q445" i="66"/>
  <c r="Q444" i="66"/>
  <c r="Q442" i="66"/>
  <c r="Q441" i="66" s="1"/>
  <c r="L442" i="66"/>
  <c r="G442" i="66"/>
  <c r="L441" i="66"/>
  <c r="G441" i="66"/>
  <c r="E435" i="66"/>
  <c r="E434" i="66" s="1"/>
  <c r="E433" i="66" s="1"/>
  <c r="E431" i="66"/>
  <c r="E430" i="66" s="1"/>
  <c r="E427" i="66"/>
  <c r="E426" i="66" s="1"/>
  <c r="E425" i="66"/>
  <c r="E422" i="66"/>
  <c r="E421" i="66" s="1"/>
  <c r="E418" i="66"/>
  <c r="E416" i="66"/>
  <c r="E413" i="66"/>
  <c r="J412" i="66"/>
  <c r="E412" i="66"/>
  <c r="E411" i="66"/>
  <c r="J410" i="66"/>
  <c r="E410" i="66"/>
  <c r="J409" i="66"/>
  <c r="J408" i="66" s="1"/>
  <c r="E409" i="66"/>
  <c r="J407" i="66"/>
  <c r="J406" i="66" s="1"/>
  <c r="J405" i="66"/>
  <c r="E405" i="66"/>
  <c r="E400" i="66"/>
  <c r="E399" i="66"/>
  <c r="E398" i="66" s="1"/>
  <c r="J397" i="66"/>
  <c r="J396" i="66" s="1"/>
  <c r="J395" i="66" s="1"/>
  <c r="J394" i="66" s="1"/>
  <c r="E397" i="66"/>
  <c r="J393" i="66"/>
  <c r="E393" i="66"/>
  <c r="J392" i="66"/>
  <c r="J391" i="66" s="1"/>
  <c r="E387" i="66"/>
  <c r="E386" i="66" s="1"/>
  <c r="E385" i="66" s="1"/>
  <c r="E383" i="66"/>
  <c r="E382" i="66"/>
  <c r="E379" i="66"/>
  <c r="E378" i="66"/>
  <c r="E377" i="66" s="1"/>
  <c r="J376" i="66"/>
  <c r="E376" i="66"/>
  <c r="J375" i="66"/>
  <c r="J374" i="66" s="1"/>
  <c r="J373" i="66" s="1"/>
  <c r="E375" i="66"/>
  <c r="E374" i="66" s="1"/>
  <c r="J372" i="66"/>
  <c r="J371" i="66" s="1"/>
  <c r="J370" i="66" s="1"/>
  <c r="E372" i="66"/>
  <c r="E371" i="66"/>
  <c r="E370" i="66" s="1"/>
  <c r="E364" i="66"/>
  <c r="E363" i="66" s="1"/>
  <c r="E362" i="66" s="1"/>
  <c r="E360" i="66"/>
  <c r="E359" i="66"/>
  <c r="E355" i="66"/>
  <c r="E354" i="66"/>
  <c r="E353" i="66" s="1"/>
  <c r="E351" i="66"/>
  <c r="E346" i="66"/>
  <c r="E345" i="66" s="1"/>
  <c r="E344" i="66" s="1"/>
  <c r="E342" i="66"/>
  <c r="E341" i="66"/>
  <c r="E338" i="66"/>
  <c r="E208" i="66" s="1"/>
  <c r="H208" i="66" s="1"/>
  <c r="E337" i="66"/>
  <c r="E336" i="66" s="1"/>
  <c r="E335" i="66" s="1"/>
  <c r="E333" i="66"/>
  <c r="E331" i="66"/>
  <c r="P323" i="66"/>
  <c r="P322" i="66" s="1"/>
  <c r="P321" i="66" s="1"/>
  <c r="K323" i="66"/>
  <c r="K322" i="66" s="1"/>
  <c r="K321" i="66" s="1"/>
  <c r="F323" i="66"/>
  <c r="F322" i="66"/>
  <c r="F321" i="66" s="1"/>
  <c r="P319" i="66"/>
  <c r="P318" i="66" s="1"/>
  <c r="K319" i="66"/>
  <c r="F319" i="66"/>
  <c r="F318" i="66" s="1"/>
  <c r="K318" i="66"/>
  <c r="P312" i="66"/>
  <c r="P311" i="66" s="1"/>
  <c r="P310" i="66" s="1"/>
  <c r="K312" i="66"/>
  <c r="F312" i="66"/>
  <c r="F311" i="66" s="1"/>
  <c r="F310" i="66" s="1"/>
  <c r="K311" i="66"/>
  <c r="K310" i="66" s="1"/>
  <c r="P308" i="66"/>
  <c r="P307" i="66" s="1"/>
  <c r="K308" i="66"/>
  <c r="K307" i="66" s="1"/>
  <c r="F308" i="66"/>
  <c r="F307" i="66"/>
  <c r="P304" i="66"/>
  <c r="K304" i="66"/>
  <c r="K301" i="66" s="1"/>
  <c r="K300" i="66" s="1"/>
  <c r="K299" i="66" s="1"/>
  <c r="F304" i="66"/>
  <c r="F301" i="66" s="1"/>
  <c r="F300" i="66" s="1"/>
  <c r="F299" i="66" s="1"/>
  <c r="P301" i="66"/>
  <c r="P300" i="66" s="1"/>
  <c r="P299" i="66" s="1"/>
  <c r="P298" i="66"/>
  <c r="P297" i="66" s="1"/>
  <c r="P296" i="66" s="1"/>
  <c r="K298" i="66"/>
  <c r="K297" i="66" s="1"/>
  <c r="K296" i="66" s="1"/>
  <c r="F298" i="66"/>
  <c r="F297" i="66" s="1"/>
  <c r="F296" i="66" s="1"/>
  <c r="F293" i="66"/>
  <c r="F292" i="66" s="1"/>
  <c r="F291" i="66" s="1"/>
  <c r="P292" i="66"/>
  <c r="P291" i="66" s="1"/>
  <c r="K292" i="66"/>
  <c r="K291" i="66" s="1"/>
  <c r="F290" i="66"/>
  <c r="P289" i="66"/>
  <c r="P288" i="66" s="1"/>
  <c r="K289" i="66"/>
  <c r="K288" i="66"/>
  <c r="P284" i="66"/>
  <c r="P283" i="66" s="1"/>
  <c r="K284" i="66"/>
  <c r="F284" i="66"/>
  <c r="F283" i="66" s="1"/>
  <c r="K283" i="66"/>
  <c r="P281" i="66"/>
  <c r="P280" i="66" s="1"/>
  <c r="K281" i="66"/>
  <c r="F281" i="66"/>
  <c r="F280" i="66" s="1"/>
  <c r="K280" i="66"/>
  <c r="P276" i="66"/>
  <c r="P275" i="66" s="1"/>
  <c r="P274" i="66" s="1"/>
  <c r="K276" i="66"/>
  <c r="F276" i="66"/>
  <c r="F275" i="66" s="1"/>
  <c r="F274" i="66" s="1"/>
  <c r="K275" i="66"/>
  <c r="K274" i="66" s="1"/>
  <c r="P272" i="66"/>
  <c r="P271" i="66" s="1"/>
  <c r="K272" i="66"/>
  <c r="F272" i="66"/>
  <c r="F271" i="66" s="1"/>
  <c r="K271" i="66"/>
  <c r="R260" i="66"/>
  <c r="M260" i="66"/>
  <c r="H260" i="66"/>
  <c r="R259" i="66"/>
  <c r="M259" i="66"/>
  <c r="H259" i="66"/>
  <c r="R258" i="66"/>
  <c r="M258" i="66"/>
  <c r="H258" i="66"/>
  <c r="Q257" i="66"/>
  <c r="P257" i="66"/>
  <c r="P249" i="66" s="1"/>
  <c r="O257" i="66"/>
  <c r="L257" i="66"/>
  <c r="K257" i="66"/>
  <c r="J257" i="66"/>
  <c r="G257" i="66"/>
  <c r="F257" i="66"/>
  <c r="E257" i="66"/>
  <c r="H257" i="66" s="1"/>
  <c r="R256" i="66"/>
  <c r="M256" i="66"/>
  <c r="H256" i="66"/>
  <c r="R255" i="66"/>
  <c r="M255" i="66"/>
  <c r="H255" i="66"/>
  <c r="R254" i="66"/>
  <c r="M254" i="66"/>
  <c r="H254" i="66"/>
  <c r="Q253" i="66"/>
  <c r="P253" i="66"/>
  <c r="O253" i="66"/>
  <c r="O249" i="66" s="1"/>
  <c r="L253" i="66"/>
  <c r="K253" i="66"/>
  <c r="J253" i="66"/>
  <c r="G253" i="66"/>
  <c r="F253" i="66"/>
  <c r="E253" i="66"/>
  <c r="R252" i="66"/>
  <c r="M252" i="66"/>
  <c r="H252" i="66"/>
  <c r="R251" i="66"/>
  <c r="M251" i="66"/>
  <c r="H251" i="66"/>
  <c r="Q250" i="66"/>
  <c r="P250" i="66"/>
  <c r="O250" i="66"/>
  <c r="L250" i="66"/>
  <c r="L249" i="66" s="1"/>
  <c r="K250" i="66"/>
  <c r="J250" i="66"/>
  <c r="G250" i="66"/>
  <c r="F250" i="66"/>
  <c r="H250" i="66" s="1"/>
  <c r="E250" i="66"/>
  <c r="G249" i="66"/>
  <c r="R247" i="66"/>
  <c r="M247" i="66"/>
  <c r="E247" i="66"/>
  <c r="R246" i="66"/>
  <c r="M246" i="66"/>
  <c r="H246" i="66"/>
  <c r="R245" i="66"/>
  <c r="M245" i="66"/>
  <c r="H245" i="66"/>
  <c r="Q244" i="66"/>
  <c r="Q76" i="66" s="1"/>
  <c r="P244" i="66"/>
  <c r="O244" i="66"/>
  <c r="L244" i="66"/>
  <c r="K244" i="66"/>
  <c r="J244" i="66"/>
  <c r="J76" i="66" s="1"/>
  <c r="G244" i="66"/>
  <c r="F244" i="66"/>
  <c r="E244" i="66"/>
  <c r="E76" i="66" s="1"/>
  <c r="R243" i="66"/>
  <c r="M243" i="66"/>
  <c r="H243" i="66"/>
  <c r="R242" i="66"/>
  <c r="M242" i="66"/>
  <c r="H242" i="66"/>
  <c r="R241" i="66"/>
  <c r="M241" i="66"/>
  <c r="H241" i="66"/>
  <c r="Q240" i="66"/>
  <c r="P240" i="66"/>
  <c r="O240" i="66"/>
  <c r="O72" i="66" s="1"/>
  <c r="L240" i="66"/>
  <c r="L72" i="66" s="1"/>
  <c r="K240" i="66"/>
  <c r="J240" i="66"/>
  <c r="G240" i="66"/>
  <c r="G233" i="66" s="1"/>
  <c r="F240" i="66"/>
  <c r="F72" i="66" s="1"/>
  <c r="E240" i="66"/>
  <c r="R239" i="66"/>
  <c r="M239" i="66"/>
  <c r="H239" i="66"/>
  <c r="R238" i="66"/>
  <c r="M238" i="66"/>
  <c r="H238" i="66"/>
  <c r="R237" i="66"/>
  <c r="M237" i="66"/>
  <c r="H237" i="66"/>
  <c r="Q236" i="66"/>
  <c r="Q68" i="66" s="1"/>
  <c r="P236" i="66"/>
  <c r="O236" i="66"/>
  <c r="L236" i="66"/>
  <c r="K236" i="66"/>
  <c r="J236" i="66"/>
  <c r="J68" i="66" s="1"/>
  <c r="G236" i="66"/>
  <c r="F236" i="66"/>
  <c r="E236" i="66"/>
  <c r="E68" i="66" s="1"/>
  <c r="R235" i="66"/>
  <c r="M235" i="66"/>
  <c r="H235" i="66"/>
  <c r="Q234" i="66"/>
  <c r="P234" i="66"/>
  <c r="P233" i="66" s="1"/>
  <c r="O234" i="66"/>
  <c r="L234" i="66"/>
  <c r="K234" i="66"/>
  <c r="K233" i="66" s="1"/>
  <c r="J234" i="66"/>
  <c r="G234" i="66"/>
  <c r="F234" i="66"/>
  <c r="E234" i="66"/>
  <c r="H234" i="66" s="1"/>
  <c r="Q233" i="66"/>
  <c r="Q65" i="66" s="1"/>
  <c r="E233" i="66"/>
  <c r="E65" i="66" s="1"/>
  <c r="R232" i="66"/>
  <c r="M232" i="66"/>
  <c r="E232" i="66"/>
  <c r="Q231" i="66"/>
  <c r="E231" i="66"/>
  <c r="R230" i="66"/>
  <c r="R229" i="66"/>
  <c r="M229" i="66"/>
  <c r="H229" i="66"/>
  <c r="R228" i="66"/>
  <c r="M228" i="66"/>
  <c r="H228" i="66"/>
  <c r="Q227" i="66"/>
  <c r="Q59" i="66" s="1"/>
  <c r="P227" i="66"/>
  <c r="O227" i="66"/>
  <c r="L227" i="66"/>
  <c r="K227" i="66"/>
  <c r="J227" i="66"/>
  <c r="G227" i="66"/>
  <c r="F227" i="66"/>
  <c r="E227" i="66"/>
  <c r="E59" i="66" s="1"/>
  <c r="R226" i="66"/>
  <c r="M226" i="66"/>
  <c r="H226" i="66"/>
  <c r="R225" i="66"/>
  <c r="M225" i="66"/>
  <c r="H225" i="66"/>
  <c r="R224" i="66"/>
  <c r="M224" i="66"/>
  <c r="H224" i="66"/>
  <c r="Q223" i="66"/>
  <c r="P223" i="66"/>
  <c r="P216" i="66" s="1"/>
  <c r="O223" i="66"/>
  <c r="R223" i="66" s="1"/>
  <c r="L223" i="66"/>
  <c r="K223" i="66"/>
  <c r="J223" i="66"/>
  <c r="G223" i="66"/>
  <c r="F223" i="66"/>
  <c r="E223" i="66"/>
  <c r="R222" i="66"/>
  <c r="M222" i="66"/>
  <c r="H222" i="66"/>
  <c r="R221" i="66"/>
  <c r="M221" i="66"/>
  <c r="H221" i="66"/>
  <c r="R220" i="66"/>
  <c r="M220" i="66"/>
  <c r="H220" i="66"/>
  <c r="Q219" i="66"/>
  <c r="P219" i="66"/>
  <c r="O219" i="66"/>
  <c r="L219" i="66"/>
  <c r="K219" i="66"/>
  <c r="J219" i="66"/>
  <c r="G219" i="66"/>
  <c r="F219" i="66"/>
  <c r="H219" i="66" s="1"/>
  <c r="E219" i="66"/>
  <c r="R218" i="66"/>
  <c r="M218" i="66"/>
  <c r="H218" i="66"/>
  <c r="Q217" i="66"/>
  <c r="Q216" i="66" s="1"/>
  <c r="P217" i="66"/>
  <c r="O217" i="66"/>
  <c r="L217" i="66"/>
  <c r="K217" i="66"/>
  <c r="K216" i="66" s="1"/>
  <c r="J217" i="66"/>
  <c r="G217" i="66"/>
  <c r="F217" i="66"/>
  <c r="E217" i="66"/>
  <c r="O216" i="66"/>
  <c r="R216" i="66" s="1"/>
  <c r="L216" i="66"/>
  <c r="G216" i="66"/>
  <c r="F216" i="66"/>
  <c r="R215" i="66"/>
  <c r="M215" i="66"/>
  <c r="H215" i="66"/>
  <c r="R214" i="66"/>
  <c r="M214" i="66"/>
  <c r="H214" i="66"/>
  <c r="Q213" i="66"/>
  <c r="P213" i="66"/>
  <c r="O213" i="66"/>
  <c r="L213" i="66"/>
  <c r="L204" i="66" s="1"/>
  <c r="K213" i="66"/>
  <c r="J213" i="66"/>
  <c r="G213" i="66"/>
  <c r="F213" i="66"/>
  <c r="F204" i="66" s="1"/>
  <c r="E213" i="66"/>
  <c r="R212" i="66"/>
  <c r="M212" i="66"/>
  <c r="H212" i="66"/>
  <c r="R211" i="66"/>
  <c r="M211" i="66"/>
  <c r="H211" i="66"/>
  <c r="Q210" i="66"/>
  <c r="Q42" i="66" s="1"/>
  <c r="P210" i="66"/>
  <c r="O210" i="66"/>
  <c r="L210" i="66"/>
  <c r="K210" i="66"/>
  <c r="K42" i="66" s="1"/>
  <c r="M42" i="66" s="1"/>
  <c r="J210" i="66"/>
  <c r="G210" i="66"/>
  <c r="F210" i="66"/>
  <c r="E210" i="66"/>
  <c r="R209" i="66"/>
  <c r="M209" i="66"/>
  <c r="H209" i="66"/>
  <c r="R208" i="66"/>
  <c r="J208" i="66"/>
  <c r="M208" i="66" s="1"/>
  <c r="R207" i="66"/>
  <c r="J207" i="66"/>
  <c r="J39" i="66" s="1"/>
  <c r="E207" i="66"/>
  <c r="H207" i="66" s="1"/>
  <c r="R206" i="66"/>
  <c r="J206" i="66"/>
  <c r="Q205" i="66"/>
  <c r="P205" i="66"/>
  <c r="O205" i="66"/>
  <c r="L205" i="66"/>
  <c r="K205" i="66"/>
  <c r="G205" i="66"/>
  <c r="G204" i="66" s="1"/>
  <c r="F205" i="66"/>
  <c r="Q204" i="66"/>
  <c r="Q203" i="66" s="1"/>
  <c r="P204" i="66"/>
  <c r="R202" i="66"/>
  <c r="M202" i="66"/>
  <c r="H202" i="66"/>
  <c r="R201" i="66"/>
  <c r="Q200" i="66"/>
  <c r="P200" i="66"/>
  <c r="O200" i="66"/>
  <c r="L200" i="66"/>
  <c r="K200" i="66"/>
  <c r="G200" i="66"/>
  <c r="F200" i="66"/>
  <c r="R199" i="66"/>
  <c r="M199" i="66"/>
  <c r="H199" i="66"/>
  <c r="R198" i="66"/>
  <c r="M198" i="66"/>
  <c r="H198" i="66"/>
  <c r="R197" i="66"/>
  <c r="M197" i="66"/>
  <c r="H197" i="66"/>
  <c r="R196" i="66"/>
  <c r="M196" i="66"/>
  <c r="H196" i="66"/>
  <c r="Q195" i="66"/>
  <c r="Q194" i="66" s="1"/>
  <c r="P195" i="66"/>
  <c r="O195" i="66"/>
  <c r="L195" i="66"/>
  <c r="K195" i="66"/>
  <c r="K194" i="66" s="1"/>
  <c r="J195" i="66"/>
  <c r="G195" i="66"/>
  <c r="F195" i="66"/>
  <c r="E195" i="66"/>
  <c r="P194" i="66"/>
  <c r="O194" i="66"/>
  <c r="L194" i="66"/>
  <c r="J194" i="66"/>
  <c r="G194" i="66"/>
  <c r="F194" i="66"/>
  <c r="R193" i="66"/>
  <c r="M193" i="66"/>
  <c r="H193" i="66"/>
  <c r="R192" i="66"/>
  <c r="M192" i="66"/>
  <c r="H192" i="66"/>
  <c r="R191" i="66"/>
  <c r="M191" i="66"/>
  <c r="H191" i="66"/>
  <c r="Q190" i="66"/>
  <c r="P190" i="66"/>
  <c r="O190" i="66"/>
  <c r="L190" i="66"/>
  <c r="K190" i="66"/>
  <c r="J190" i="66"/>
  <c r="J189" i="66" s="1"/>
  <c r="G190" i="66"/>
  <c r="F190" i="66"/>
  <c r="E190" i="66"/>
  <c r="E189" i="66" s="1"/>
  <c r="Q189" i="66"/>
  <c r="O189" i="66"/>
  <c r="L189" i="66"/>
  <c r="K189" i="66"/>
  <c r="G189" i="66"/>
  <c r="F189" i="66"/>
  <c r="R188" i="66"/>
  <c r="M188" i="66"/>
  <c r="H188" i="66"/>
  <c r="R187" i="66"/>
  <c r="M187" i="66"/>
  <c r="H187" i="66"/>
  <c r="R186" i="66"/>
  <c r="M186" i="66"/>
  <c r="H186" i="66"/>
  <c r="Q185" i="66"/>
  <c r="P185" i="66"/>
  <c r="O185" i="66"/>
  <c r="L185" i="66"/>
  <c r="K185" i="66"/>
  <c r="J185" i="66"/>
  <c r="M185" i="66" s="1"/>
  <c r="G185" i="66"/>
  <c r="G184" i="66" s="1"/>
  <c r="G183" i="66" s="1"/>
  <c r="F185" i="66"/>
  <c r="E185" i="66"/>
  <c r="Q184" i="66"/>
  <c r="P184" i="66"/>
  <c r="P183" i="66" s="1"/>
  <c r="L184" i="66"/>
  <c r="K184" i="66"/>
  <c r="K183" i="66" s="1"/>
  <c r="J184" i="66"/>
  <c r="F184" i="66"/>
  <c r="E184" i="66"/>
  <c r="H184" i="66" s="1"/>
  <c r="Q183" i="66"/>
  <c r="Q182" i="66" s="1"/>
  <c r="Q178" i="66" s="1"/>
  <c r="L183" i="66"/>
  <c r="F183" i="66"/>
  <c r="E183" i="66"/>
  <c r="L182" i="66"/>
  <c r="G182" i="66"/>
  <c r="G14" i="66" s="1"/>
  <c r="F182" i="66"/>
  <c r="F14" i="66" s="1"/>
  <c r="R181" i="66"/>
  <c r="J181" i="66"/>
  <c r="M181" i="66" s="1"/>
  <c r="R180" i="66"/>
  <c r="J180" i="66"/>
  <c r="R179" i="66"/>
  <c r="M179" i="66"/>
  <c r="H179" i="66"/>
  <c r="L178" i="66"/>
  <c r="G178" i="66"/>
  <c r="F178" i="66"/>
  <c r="R177" i="66"/>
  <c r="M177" i="66"/>
  <c r="H177" i="66"/>
  <c r="R176" i="66"/>
  <c r="M176" i="66"/>
  <c r="H176" i="66"/>
  <c r="R175" i="66"/>
  <c r="M175" i="66"/>
  <c r="H175" i="66"/>
  <c r="R174" i="66"/>
  <c r="M174" i="66"/>
  <c r="H174" i="66"/>
  <c r="Q173" i="66"/>
  <c r="P173" i="66"/>
  <c r="O173" i="66"/>
  <c r="O165" i="66" s="1"/>
  <c r="L173" i="66"/>
  <c r="K173" i="66"/>
  <c r="J173" i="66"/>
  <c r="G173" i="66"/>
  <c r="G165" i="66" s="1"/>
  <c r="F173" i="66"/>
  <c r="E173" i="66"/>
  <c r="R172" i="66"/>
  <c r="M172" i="66"/>
  <c r="H172" i="66"/>
  <c r="R171" i="66"/>
  <c r="M171" i="66"/>
  <c r="H171" i="66"/>
  <c r="R170" i="66"/>
  <c r="M170" i="66"/>
  <c r="H170" i="66"/>
  <c r="Q169" i="66"/>
  <c r="P169" i="66"/>
  <c r="O169" i="66"/>
  <c r="L169" i="66"/>
  <c r="K169" i="66"/>
  <c r="J169" i="66"/>
  <c r="G169" i="66"/>
  <c r="F169" i="66"/>
  <c r="E169" i="66"/>
  <c r="H169" i="66" s="1"/>
  <c r="R168" i="66"/>
  <c r="M168" i="66"/>
  <c r="H168" i="66"/>
  <c r="R167" i="66"/>
  <c r="M167" i="66"/>
  <c r="H167" i="66"/>
  <c r="Q166" i="66"/>
  <c r="P166" i="66"/>
  <c r="P165" i="66" s="1"/>
  <c r="O166" i="66"/>
  <c r="L166" i="66"/>
  <c r="K166" i="66"/>
  <c r="K165" i="66" s="1"/>
  <c r="J166" i="66"/>
  <c r="G166" i="66"/>
  <c r="F166" i="66"/>
  <c r="E166" i="66"/>
  <c r="H166" i="66" s="1"/>
  <c r="Q165" i="66"/>
  <c r="L165" i="66"/>
  <c r="F165" i="66"/>
  <c r="E165" i="66"/>
  <c r="H165" i="66" s="1"/>
  <c r="R163" i="66"/>
  <c r="M163" i="66"/>
  <c r="H163" i="66"/>
  <c r="R162" i="66"/>
  <c r="M162" i="66"/>
  <c r="H162" i="66"/>
  <c r="R161" i="66"/>
  <c r="M161" i="66"/>
  <c r="H161" i="66"/>
  <c r="Q160" i="66"/>
  <c r="P160" i="66"/>
  <c r="O160" i="66"/>
  <c r="L160" i="66"/>
  <c r="K160" i="66"/>
  <c r="J160" i="66"/>
  <c r="G160" i="66"/>
  <c r="F160" i="66"/>
  <c r="E160" i="66"/>
  <c r="R159" i="66"/>
  <c r="M159" i="66"/>
  <c r="H159" i="66"/>
  <c r="R158" i="66"/>
  <c r="M158" i="66"/>
  <c r="H158" i="66"/>
  <c r="R157" i="66"/>
  <c r="M157" i="66"/>
  <c r="H157" i="66"/>
  <c r="Q156" i="66"/>
  <c r="Q149" i="66" s="1"/>
  <c r="P156" i="66"/>
  <c r="O156" i="66"/>
  <c r="L156" i="66"/>
  <c r="K156" i="66"/>
  <c r="J156" i="66"/>
  <c r="G156" i="66"/>
  <c r="F156" i="66"/>
  <c r="E156" i="66"/>
  <c r="H156" i="66" s="1"/>
  <c r="R155" i="66"/>
  <c r="M155" i="66"/>
  <c r="H155" i="66"/>
  <c r="R154" i="66"/>
  <c r="M154" i="66"/>
  <c r="H154" i="66"/>
  <c r="R153" i="66"/>
  <c r="M153" i="66"/>
  <c r="H153" i="66"/>
  <c r="Q152" i="66"/>
  <c r="P152" i="66"/>
  <c r="P150" i="66" s="1"/>
  <c r="P149" i="66" s="1"/>
  <c r="P147" i="66" s="1"/>
  <c r="O152" i="66"/>
  <c r="O150" i="66" s="1"/>
  <c r="L152" i="66"/>
  <c r="K152" i="66"/>
  <c r="K150" i="66" s="1"/>
  <c r="J152" i="66"/>
  <c r="J150" i="66" s="1"/>
  <c r="G152" i="66"/>
  <c r="G150" i="66" s="1"/>
  <c r="F152" i="66"/>
  <c r="F150" i="66" s="1"/>
  <c r="E152" i="66"/>
  <c r="R151" i="66"/>
  <c r="M151" i="66"/>
  <c r="H151" i="66"/>
  <c r="Q150" i="66"/>
  <c r="L150" i="66"/>
  <c r="L149" i="66" s="1"/>
  <c r="E150" i="66"/>
  <c r="J149" i="66"/>
  <c r="J147" i="66" s="1"/>
  <c r="G149" i="66"/>
  <c r="Q148" i="66"/>
  <c r="P148" i="66"/>
  <c r="L148" i="66"/>
  <c r="K148" i="66"/>
  <c r="G148" i="66"/>
  <c r="R146" i="66"/>
  <c r="M146" i="66"/>
  <c r="H146" i="66"/>
  <c r="R145" i="66"/>
  <c r="M145" i="66"/>
  <c r="H145" i="66"/>
  <c r="R144" i="66"/>
  <c r="M144" i="66"/>
  <c r="H144" i="66"/>
  <c r="Q143" i="66"/>
  <c r="P143" i="66"/>
  <c r="O143" i="66"/>
  <c r="R143" i="66" s="1"/>
  <c r="L143" i="66"/>
  <c r="K143" i="66"/>
  <c r="J143" i="66"/>
  <c r="G143" i="66"/>
  <c r="F143" i="66"/>
  <c r="E143" i="66"/>
  <c r="R142" i="66"/>
  <c r="M142" i="66"/>
  <c r="H142" i="66"/>
  <c r="R141" i="66"/>
  <c r="M141" i="66"/>
  <c r="H141" i="66"/>
  <c r="R140" i="66"/>
  <c r="M140" i="66"/>
  <c r="H140" i="66"/>
  <c r="Q139" i="66"/>
  <c r="Q55" i="66" s="1"/>
  <c r="P139" i="66"/>
  <c r="O139" i="66"/>
  <c r="L139" i="66"/>
  <c r="K139" i="66"/>
  <c r="J139" i="66"/>
  <c r="J55" i="66" s="1"/>
  <c r="G139" i="66"/>
  <c r="F139" i="66"/>
  <c r="E139" i="66"/>
  <c r="E55" i="66" s="1"/>
  <c r="R138" i="66"/>
  <c r="M138" i="66"/>
  <c r="H138" i="66"/>
  <c r="R137" i="66"/>
  <c r="M137" i="66"/>
  <c r="H137" i="66"/>
  <c r="R136" i="66"/>
  <c r="M136" i="66"/>
  <c r="H136" i="66"/>
  <c r="Q135" i="66"/>
  <c r="Q133" i="66" s="1"/>
  <c r="P135" i="66"/>
  <c r="O135" i="66"/>
  <c r="R135" i="66" s="1"/>
  <c r="L135" i="66"/>
  <c r="L133" i="66" s="1"/>
  <c r="L132" i="66" s="1"/>
  <c r="L48" i="66" s="1"/>
  <c r="K135" i="66"/>
  <c r="J135" i="66"/>
  <c r="G135" i="66"/>
  <c r="G133" i="66" s="1"/>
  <c r="G132" i="66" s="1"/>
  <c r="F135" i="66"/>
  <c r="F133" i="66" s="1"/>
  <c r="F132" i="66" s="1"/>
  <c r="F48" i="66" s="1"/>
  <c r="E135" i="66"/>
  <c r="R134" i="66"/>
  <c r="M134" i="66"/>
  <c r="H134" i="66"/>
  <c r="P133" i="66"/>
  <c r="K133" i="66"/>
  <c r="P132" i="66"/>
  <c r="P48" i="66" s="1"/>
  <c r="Q131" i="66"/>
  <c r="Q47" i="66" s="1"/>
  <c r="P131" i="66"/>
  <c r="L131" i="66"/>
  <c r="L129" i="66" s="1"/>
  <c r="K131" i="66"/>
  <c r="M131" i="66" s="1"/>
  <c r="G131" i="66"/>
  <c r="G129" i="66" s="1"/>
  <c r="F131" i="66"/>
  <c r="R130" i="66"/>
  <c r="M130" i="66"/>
  <c r="H130" i="66"/>
  <c r="Q129" i="66"/>
  <c r="O129" i="66"/>
  <c r="K129" i="66"/>
  <c r="J129" i="66"/>
  <c r="E129" i="66"/>
  <c r="E45" i="66" s="1"/>
  <c r="R128" i="66"/>
  <c r="M128" i="66"/>
  <c r="H128" i="66"/>
  <c r="R127" i="66"/>
  <c r="M127" i="66"/>
  <c r="H127" i="66"/>
  <c r="Q126" i="66"/>
  <c r="P126" i="66"/>
  <c r="O126" i="66"/>
  <c r="O42" i="66" s="1"/>
  <c r="L126" i="66"/>
  <c r="K126" i="66"/>
  <c r="J126" i="66"/>
  <c r="J42" i="66" s="1"/>
  <c r="G126" i="66"/>
  <c r="F126" i="66"/>
  <c r="E126" i="66"/>
  <c r="R125" i="66"/>
  <c r="M125" i="66"/>
  <c r="H125" i="66"/>
  <c r="Q124" i="66"/>
  <c r="P124" i="66"/>
  <c r="R124" i="66" s="1"/>
  <c r="L124" i="66"/>
  <c r="L40" i="66" s="1"/>
  <c r="K124" i="66"/>
  <c r="G124" i="66"/>
  <c r="F124" i="66"/>
  <c r="F40" i="66" s="1"/>
  <c r="E124" i="66"/>
  <c r="H124" i="66" s="1"/>
  <c r="Q123" i="66"/>
  <c r="P123" i="66"/>
  <c r="R123" i="66" s="1"/>
  <c r="L123" i="66"/>
  <c r="K123" i="66"/>
  <c r="M123" i="66" s="1"/>
  <c r="G123" i="66"/>
  <c r="F123" i="66"/>
  <c r="H123" i="66" s="1"/>
  <c r="Q122" i="66"/>
  <c r="P122" i="66"/>
  <c r="L122" i="66"/>
  <c r="K122" i="66"/>
  <c r="M122" i="66" s="1"/>
  <c r="G122" i="66"/>
  <c r="G121" i="66" s="1"/>
  <c r="F122" i="66"/>
  <c r="F121" i="66" s="1"/>
  <c r="O121" i="66"/>
  <c r="K121" i="66"/>
  <c r="K37" i="66" s="1"/>
  <c r="J121" i="66"/>
  <c r="E121" i="66"/>
  <c r="R118" i="66"/>
  <c r="M118" i="66"/>
  <c r="H118" i="66"/>
  <c r="Q117" i="66"/>
  <c r="Q33" i="66" s="1"/>
  <c r="P117" i="66"/>
  <c r="L117" i="66"/>
  <c r="L116" i="66" s="1"/>
  <c r="K117" i="66"/>
  <c r="G117" i="66"/>
  <c r="E117" i="66"/>
  <c r="Q116" i="66"/>
  <c r="Q32" i="66" s="1"/>
  <c r="P116" i="66"/>
  <c r="R116" i="66" s="1"/>
  <c r="O116" i="66"/>
  <c r="J116" i="66"/>
  <c r="G116" i="66"/>
  <c r="E116" i="66"/>
  <c r="R115" i="66"/>
  <c r="M115" i="66"/>
  <c r="H115" i="66"/>
  <c r="R114" i="66"/>
  <c r="M114" i="66"/>
  <c r="H114" i="66"/>
  <c r="R113" i="66"/>
  <c r="M113" i="66"/>
  <c r="H113" i="66"/>
  <c r="R112" i="66"/>
  <c r="M112" i="66"/>
  <c r="H112" i="66"/>
  <c r="Q111" i="66"/>
  <c r="P111" i="66"/>
  <c r="O111" i="66"/>
  <c r="L111" i="66"/>
  <c r="K111" i="66"/>
  <c r="J111" i="66"/>
  <c r="J110" i="66" s="1"/>
  <c r="G111" i="66"/>
  <c r="F111" i="66"/>
  <c r="E111" i="66"/>
  <c r="Q110" i="66"/>
  <c r="O110" i="66"/>
  <c r="L110" i="66"/>
  <c r="K110" i="66"/>
  <c r="G110" i="66"/>
  <c r="F110" i="66"/>
  <c r="E110" i="66"/>
  <c r="R109" i="66"/>
  <c r="M109" i="66"/>
  <c r="H109" i="66"/>
  <c r="R108" i="66"/>
  <c r="M108" i="66"/>
  <c r="H108" i="66"/>
  <c r="R107" i="66"/>
  <c r="M107" i="66"/>
  <c r="H107" i="66"/>
  <c r="Q106" i="66"/>
  <c r="P106" i="66"/>
  <c r="O106" i="66"/>
  <c r="L106" i="66"/>
  <c r="K106" i="66"/>
  <c r="J106" i="66"/>
  <c r="M106" i="66" s="1"/>
  <c r="G106" i="66"/>
  <c r="G105" i="66" s="1"/>
  <c r="F106" i="66"/>
  <c r="E106" i="66"/>
  <c r="Q105" i="66"/>
  <c r="P105" i="66"/>
  <c r="L105" i="66"/>
  <c r="K105" i="66"/>
  <c r="J105" i="66"/>
  <c r="M105" i="66" s="1"/>
  <c r="F105" i="66"/>
  <c r="E105" i="66"/>
  <c r="R104" i="66"/>
  <c r="M104" i="66"/>
  <c r="H104" i="66"/>
  <c r="R103" i="66"/>
  <c r="M103" i="66"/>
  <c r="H103" i="66"/>
  <c r="R102" i="66"/>
  <c r="M102" i="66"/>
  <c r="H102" i="66"/>
  <c r="Q101" i="66"/>
  <c r="P101" i="66"/>
  <c r="O101" i="66"/>
  <c r="L101" i="66"/>
  <c r="L100" i="66" s="1"/>
  <c r="L99" i="66" s="1"/>
  <c r="L98" i="66" s="1"/>
  <c r="K101" i="66"/>
  <c r="J101" i="66"/>
  <c r="G101" i="66"/>
  <c r="F101" i="66"/>
  <c r="E101" i="66"/>
  <c r="Q100" i="66"/>
  <c r="P100" i="66"/>
  <c r="O100" i="66"/>
  <c r="O99" i="66" s="1"/>
  <c r="K100" i="66"/>
  <c r="J100" i="66"/>
  <c r="J99" i="66" s="1"/>
  <c r="J98" i="66" s="1"/>
  <c r="J94" i="66" s="1"/>
  <c r="G100" i="66"/>
  <c r="G99" i="66" s="1"/>
  <c r="E100" i="66"/>
  <c r="Q99" i="66"/>
  <c r="P99" i="66"/>
  <c r="K99" i="66"/>
  <c r="E99" i="66"/>
  <c r="Q98" i="66"/>
  <c r="Q94" i="66" s="1"/>
  <c r="Q10" i="66" s="1"/>
  <c r="K98" i="66"/>
  <c r="E98" i="66"/>
  <c r="E94" i="66" s="1"/>
  <c r="R97" i="66"/>
  <c r="M97" i="66"/>
  <c r="H97" i="66"/>
  <c r="R96" i="66"/>
  <c r="M96" i="66"/>
  <c r="H96" i="66"/>
  <c r="R95" i="66"/>
  <c r="M95" i="66"/>
  <c r="H95" i="66"/>
  <c r="R93" i="66"/>
  <c r="M93" i="66"/>
  <c r="H93" i="66"/>
  <c r="R92" i="66"/>
  <c r="M92" i="66"/>
  <c r="H92" i="66"/>
  <c r="R91" i="66"/>
  <c r="M91" i="66"/>
  <c r="H91" i="66"/>
  <c r="R90" i="66"/>
  <c r="M90" i="66"/>
  <c r="H90" i="66"/>
  <c r="Q89" i="66"/>
  <c r="P89" i="66"/>
  <c r="P81" i="66" s="1"/>
  <c r="O89" i="66"/>
  <c r="L89" i="66"/>
  <c r="K89" i="66"/>
  <c r="J89" i="66"/>
  <c r="G89" i="66"/>
  <c r="F89" i="66"/>
  <c r="E89" i="66"/>
  <c r="H89" i="66" s="1"/>
  <c r="R88" i="66"/>
  <c r="M88" i="66"/>
  <c r="H88" i="66"/>
  <c r="R87" i="66"/>
  <c r="M87" i="66"/>
  <c r="H87" i="66"/>
  <c r="R86" i="66"/>
  <c r="M86" i="66"/>
  <c r="H86" i="66"/>
  <c r="Q85" i="66"/>
  <c r="P85" i="66"/>
  <c r="O85" i="66"/>
  <c r="O81" i="66" s="1"/>
  <c r="L85" i="66"/>
  <c r="K85" i="66"/>
  <c r="J85" i="66"/>
  <c r="G85" i="66"/>
  <c r="F85" i="66"/>
  <c r="E85" i="66"/>
  <c r="R84" i="66"/>
  <c r="M84" i="66"/>
  <c r="H84" i="66"/>
  <c r="R83" i="66"/>
  <c r="M83" i="66"/>
  <c r="H83" i="66"/>
  <c r="Q82" i="66"/>
  <c r="P82" i="66"/>
  <c r="O82" i="66"/>
  <c r="L82" i="66"/>
  <c r="L81" i="66" s="1"/>
  <c r="K82" i="66"/>
  <c r="J82" i="66"/>
  <c r="G82" i="66"/>
  <c r="F82" i="66"/>
  <c r="H82" i="66" s="1"/>
  <c r="E82" i="66"/>
  <c r="G81" i="66"/>
  <c r="Q79" i="66"/>
  <c r="P79" i="66"/>
  <c r="O79" i="66"/>
  <c r="L79" i="66"/>
  <c r="K79" i="66"/>
  <c r="J79" i="66"/>
  <c r="G79" i="66"/>
  <c r="F79" i="66"/>
  <c r="Q78" i="66"/>
  <c r="P78" i="66"/>
  <c r="R78" i="66" s="1"/>
  <c r="O78" i="66"/>
  <c r="L78" i="66"/>
  <c r="K78" i="66"/>
  <c r="J78" i="66"/>
  <c r="G78" i="66"/>
  <c r="F78" i="66"/>
  <c r="E78" i="66"/>
  <c r="Q77" i="66"/>
  <c r="P77" i="66"/>
  <c r="O77" i="66"/>
  <c r="L77" i="66"/>
  <c r="K77" i="66"/>
  <c r="M77" i="66" s="1"/>
  <c r="J77" i="66"/>
  <c r="G77" i="66"/>
  <c r="F77" i="66"/>
  <c r="E77" i="66"/>
  <c r="O76" i="66"/>
  <c r="L76" i="66"/>
  <c r="G76" i="66"/>
  <c r="F76" i="66"/>
  <c r="H76" i="66" s="1"/>
  <c r="Q75" i="66"/>
  <c r="P75" i="66"/>
  <c r="O75" i="66"/>
  <c r="L75" i="66"/>
  <c r="K75" i="66"/>
  <c r="J75" i="66"/>
  <c r="G75" i="66"/>
  <c r="F75" i="66"/>
  <c r="E75" i="66"/>
  <c r="Q74" i="66"/>
  <c r="P74" i="66"/>
  <c r="R74" i="66" s="1"/>
  <c r="O74" i="66"/>
  <c r="L74" i="66"/>
  <c r="K74" i="66"/>
  <c r="J74" i="66"/>
  <c r="G74" i="66"/>
  <c r="F74" i="66"/>
  <c r="E74" i="66"/>
  <c r="Q73" i="66"/>
  <c r="P73" i="66"/>
  <c r="O73" i="66"/>
  <c r="L73" i="66"/>
  <c r="K73" i="66"/>
  <c r="M73" i="66" s="1"/>
  <c r="J73" i="66"/>
  <c r="G73" i="66"/>
  <c r="F73" i="66"/>
  <c r="E73" i="66"/>
  <c r="Q72" i="66"/>
  <c r="P72" i="66"/>
  <c r="K72" i="66"/>
  <c r="J72" i="66"/>
  <c r="E72" i="66"/>
  <c r="Q71" i="66"/>
  <c r="P71" i="66"/>
  <c r="O71" i="66"/>
  <c r="L71" i="66"/>
  <c r="K71" i="66"/>
  <c r="J71" i="66"/>
  <c r="G71" i="66"/>
  <c r="F71" i="66"/>
  <c r="E71" i="66"/>
  <c r="Q70" i="66"/>
  <c r="P70" i="66"/>
  <c r="R70" i="66" s="1"/>
  <c r="O70" i="66"/>
  <c r="L70" i="66"/>
  <c r="K70" i="66"/>
  <c r="J70" i="66"/>
  <c r="G70" i="66"/>
  <c r="F70" i="66"/>
  <c r="E70" i="66"/>
  <c r="Q69" i="66"/>
  <c r="P69" i="66"/>
  <c r="O69" i="66"/>
  <c r="L69" i="66"/>
  <c r="K69" i="66"/>
  <c r="M69" i="66" s="1"/>
  <c r="J69" i="66"/>
  <c r="G69" i="66"/>
  <c r="F69" i="66"/>
  <c r="E69" i="66"/>
  <c r="O68" i="66"/>
  <c r="L68" i="66"/>
  <c r="G68" i="66"/>
  <c r="F68" i="66"/>
  <c r="Q67" i="66"/>
  <c r="P67" i="66"/>
  <c r="R67" i="66" s="1"/>
  <c r="O67" i="66"/>
  <c r="L67" i="66"/>
  <c r="K67" i="66"/>
  <c r="J67" i="66"/>
  <c r="G67" i="66"/>
  <c r="F67" i="66"/>
  <c r="E67" i="66"/>
  <c r="Q66" i="66"/>
  <c r="O66" i="66"/>
  <c r="L66" i="66"/>
  <c r="K66" i="66"/>
  <c r="G66" i="66"/>
  <c r="F66" i="66"/>
  <c r="E66" i="66"/>
  <c r="Q64" i="66"/>
  <c r="O64" i="66"/>
  <c r="L64" i="66"/>
  <c r="K64" i="66"/>
  <c r="J64" i="66"/>
  <c r="G64" i="66"/>
  <c r="Q62" i="66"/>
  <c r="P62" i="66"/>
  <c r="R62" i="66" s="1"/>
  <c r="O62" i="66"/>
  <c r="L62" i="66"/>
  <c r="K62" i="66"/>
  <c r="G62" i="66"/>
  <c r="F62" i="66"/>
  <c r="Q61" i="66"/>
  <c r="P61" i="66"/>
  <c r="R61" i="66" s="1"/>
  <c r="O61" i="66"/>
  <c r="L61" i="66"/>
  <c r="K61" i="66"/>
  <c r="J61" i="66"/>
  <c r="G61" i="66"/>
  <c r="F61" i="66"/>
  <c r="E61" i="66"/>
  <c r="Q60" i="66"/>
  <c r="P60" i="66"/>
  <c r="O60" i="66"/>
  <c r="L60" i="66"/>
  <c r="K60" i="66"/>
  <c r="M60" i="66" s="1"/>
  <c r="J60" i="66"/>
  <c r="G60" i="66"/>
  <c r="F60" i="66"/>
  <c r="E60" i="66"/>
  <c r="P59" i="66"/>
  <c r="O59" i="66"/>
  <c r="L59" i="66"/>
  <c r="J59" i="66"/>
  <c r="G59" i="66"/>
  <c r="F59" i="66"/>
  <c r="H59" i="66" s="1"/>
  <c r="Q58" i="66"/>
  <c r="P58" i="66"/>
  <c r="R58" i="66" s="1"/>
  <c r="O58" i="66"/>
  <c r="L58" i="66"/>
  <c r="K58" i="66"/>
  <c r="J58" i="66"/>
  <c r="G58" i="66"/>
  <c r="F58" i="66"/>
  <c r="E58" i="66"/>
  <c r="Q57" i="66"/>
  <c r="P57" i="66"/>
  <c r="O57" i="66"/>
  <c r="L57" i="66"/>
  <c r="K57" i="66"/>
  <c r="M57" i="66" s="1"/>
  <c r="J57" i="66"/>
  <c r="G57" i="66"/>
  <c r="F57" i="66"/>
  <c r="E57" i="66"/>
  <c r="Q56" i="66"/>
  <c r="P56" i="66"/>
  <c r="O56" i="66"/>
  <c r="L56" i="66"/>
  <c r="K56" i="66"/>
  <c r="J56" i="66"/>
  <c r="G56" i="66"/>
  <c r="F56" i="66"/>
  <c r="H56" i="66" s="1"/>
  <c r="E56" i="66"/>
  <c r="O55" i="66"/>
  <c r="L55" i="66"/>
  <c r="G55" i="66"/>
  <c r="F55" i="66"/>
  <c r="R54" i="66"/>
  <c r="M54" i="66"/>
  <c r="H54" i="66"/>
  <c r="R53" i="66"/>
  <c r="M53" i="66"/>
  <c r="H53" i="66"/>
  <c r="R52" i="66"/>
  <c r="M52" i="66"/>
  <c r="H52" i="66"/>
  <c r="Q51" i="66"/>
  <c r="Q49" i="66" s="1"/>
  <c r="P51" i="66"/>
  <c r="P49" i="66" s="1"/>
  <c r="O51" i="66"/>
  <c r="L51" i="66"/>
  <c r="L49" i="66" s="1"/>
  <c r="K51" i="66"/>
  <c r="J51" i="66"/>
  <c r="G51" i="66"/>
  <c r="G49" i="66" s="1"/>
  <c r="F51" i="66"/>
  <c r="F49" i="66" s="1"/>
  <c r="E51" i="66"/>
  <c r="R50" i="66"/>
  <c r="M50" i="66"/>
  <c r="H50" i="66"/>
  <c r="K49" i="66"/>
  <c r="O47" i="66"/>
  <c r="L47" i="66"/>
  <c r="K47" i="66"/>
  <c r="J47" i="66"/>
  <c r="G47" i="66"/>
  <c r="F47" i="66"/>
  <c r="H47" i="66" s="1"/>
  <c r="E47" i="66"/>
  <c r="Q46" i="66"/>
  <c r="P46" i="66"/>
  <c r="O46" i="66"/>
  <c r="L46" i="66"/>
  <c r="K46" i="66"/>
  <c r="J46" i="66"/>
  <c r="G46" i="66"/>
  <c r="F46" i="66"/>
  <c r="E46" i="66"/>
  <c r="Q45" i="66"/>
  <c r="O45" i="66"/>
  <c r="J45" i="66"/>
  <c r="G45" i="66"/>
  <c r="Q44" i="66"/>
  <c r="P44" i="66"/>
  <c r="O44" i="66"/>
  <c r="L44" i="66"/>
  <c r="K44" i="66"/>
  <c r="M44" i="66" s="1"/>
  <c r="J44" i="66"/>
  <c r="G44" i="66"/>
  <c r="F44" i="66"/>
  <c r="E44" i="66"/>
  <c r="Q43" i="66"/>
  <c r="P43" i="66"/>
  <c r="O43" i="66"/>
  <c r="L43" i="66"/>
  <c r="K43" i="66"/>
  <c r="J43" i="66"/>
  <c r="G43" i="66"/>
  <c r="F43" i="66"/>
  <c r="H43" i="66" s="1"/>
  <c r="E43" i="66"/>
  <c r="L42" i="66"/>
  <c r="G42" i="66"/>
  <c r="F42" i="66"/>
  <c r="Q41" i="66"/>
  <c r="P41" i="66"/>
  <c r="O41" i="66"/>
  <c r="L41" i="66"/>
  <c r="K41" i="66"/>
  <c r="J41" i="66"/>
  <c r="G41" i="66"/>
  <c r="F41" i="66"/>
  <c r="E41" i="66"/>
  <c r="Q40" i="66"/>
  <c r="P40" i="66"/>
  <c r="R40" i="66" s="1"/>
  <c r="O40" i="66"/>
  <c r="K40" i="66"/>
  <c r="J40" i="66"/>
  <c r="G40" i="66"/>
  <c r="Q39" i="66"/>
  <c r="P39" i="66"/>
  <c r="O39" i="66"/>
  <c r="L39" i="66"/>
  <c r="G39" i="66"/>
  <c r="F39" i="66"/>
  <c r="H39" i="66" s="1"/>
  <c r="E39" i="66"/>
  <c r="O38" i="66"/>
  <c r="L38" i="66"/>
  <c r="K38" i="66"/>
  <c r="G38" i="66"/>
  <c r="O37" i="66"/>
  <c r="G37" i="66"/>
  <c r="Q34" i="66"/>
  <c r="P34" i="66"/>
  <c r="O34" i="66"/>
  <c r="L34" i="66"/>
  <c r="K34" i="66"/>
  <c r="M34" i="66" s="1"/>
  <c r="J34" i="66"/>
  <c r="G34" i="66"/>
  <c r="F34" i="66"/>
  <c r="E34" i="66"/>
  <c r="P33" i="66"/>
  <c r="O33" i="66"/>
  <c r="L33" i="66"/>
  <c r="G33" i="66"/>
  <c r="P32" i="66"/>
  <c r="R32" i="66" s="1"/>
  <c r="O32" i="66"/>
  <c r="L32" i="66"/>
  <c r="G32" i="66"/>
  <c r="R31" i="66"/>
  <c r="M31" i="66"/>
  <c r="H31" i="66"/>
  <c r="R30" i="66"/>
  <c r="M30" i="66"/>
  <c r="H30" i="66"/>
  <c r="R29" i="66"/>
  <c r="M29" i="66"/>
  <c r="H29" i="66"/>
  <c r="R28" i="66"/>
  <c r="M28" i="66"/>
  <c r="H28" i="66"/>
  <c r="Q27" i="66"/>
  <c r="P27" i="66"/>
  <c r="O27" i="66"/>
  <c r="O26" i="66" s="1"/>
  <c r="L27" i="66"/>
  <c r="K27" i="66"/>
  <c r="J27" i="66"/>
  <c r="J26" i="66" s="1"/>
  <c r="G27" i="66"/>
  <c r="G26" i="66" s="1"/>
  <c r="F27" i="66"/>
  <c r="E27" i="66"/>
  <c r="Q26" i="66"/>
  <c r="L26" i="66"/>
  <c r="K26" i="66"/>
  <c r="M26" i="66" s="1"/>
  <c r="F26" i="66"/>
  <c r="E26" i="66"/>
  <c r="R25" i="66"/>
  <c r="M25" i="66"/>
  <c r="H25" i="66"/>
  <c r="R24" i="66"/>
  <c r="M24" i="66"/>
  <c r="H24" i="66"/>
  <c r="R23" i="66"/>
  <c r="M23" i="66"/>
  <c r="H23" i="66"/>
  <c r="Q22" i="66"/>
  <c r="P22" i="66"/>
  <c r="O22" i="66"/>
  <c r="L22" i="66"/>
  <c r="L21" i="66" s="1"/>
  <c r="K22" i="66"/>
  <c r="J22" i="66"/>
  <c r="M22" i="66" s="1"/>
  <c r="G22" i="66"/>
  <c r="G21" i="66" s="1"/>
  <c r="F22" i="66"/>
  <c r="F21" i="66" s="1"/>
  <c r="E22" i="66"/>
  <c r="Q21" i="66"/>
  <c r="P21" i="66"/>
  <c r="K21" i="66"/>
  <c r="J21" i="66"/>
  <c r="M21" i="66" s="1"/>
  <c r="E21" i="66"/>
  <c r="R20" i="66"/>
  <c r="M20" i="66"/>
  <c r="H20" i="66"/>
  <c r="Q19" i="66"/>
  <c r="P19" i="66"/>
  <c r="O19" i="66"/>
  <c r="L19" i="66"/>
  <c r="K19" i="66"/>
  <c r="J19" i="66"/>
  <c r="G19" i="66"/>
  <c r="F19" i="66"/>
  <c r="H19" i="66" s="1"/>
  <c r="E19" i="66"/>
  <c r="Q18" i="66"/>
  <c r="P18" i="66"/>
  <c r="R18" i="66" s="1"/>
  <c r="O18" i="66"/>
  <c r="L18" i="66"/>
  <c r="K18" i="66"/>
  <c r="J18" i="66"/>
  <c r="G18" i="66"/>
  <c r="F18" i="66"/>
  <c r="E18" i="66"/>
  <c r="R17" i="66"/>
  <c r="Q17" i="66"/>
  <c r="P17" i="66"/>
  <c r="O17" i="66"/>
  <c r="L17" i="66"/>
  <c r="K17" i="66"/>
  <c r="J17" i="66"/>
  <c r="G17" i="66"/>
  <c r="F17" i="66"/>
  <c r="H17" i="66" s="1"/>
  <c r="E17" i="66"/>
  <c r="Q16" i="66"/>
  <c r="P16" i="66"/>
  <c r="L16" i="66"/>
  <c r="J16" i="66"/>
  <c r="G16" i="66"/>
  <c r="F16" i="66"/>
  <c r="E16" i="66"/>
  <c r="P15" i="66"/>
  <c r="L15" i="66"/>
  <c r="G15" i="66"/>
  <c r="F15" i="66"/>
  <c r="L14" i="66"/>
  <c r="Q13" i="66"/>
  <c r="P13" i="66"/>
  <c r="O13" i="66"/>
  <c r="L13" i="66"/>
  <c r="K13" i="66"/>
  <c r="G13" i="66"/>
  <c r="F13" i="66"/>
  <c r="Q12" i="66"/>
  <c r="P12" i="66"/>
  <c r="R12" i="66" s="1"/>
  <c r="O12" i="66"/>
  <c r="L12" i="66"/>
  <c r="K12" i="66"/>
  <c r="J12" i="66"/>
  <c r="G12" i="66"/>
  <c r="F12" i="66"/>
  <c r="Q11" i="66"/>
  <c r="P11" i="66"/>
  <c r="O11" i="66"/>
  <c r="L11" i="66"/>
  <c r="K11" i="66"/>
  <c r="M11" i="66" s="1"/>
  <c r="J11" i="66"/>
  <c r="G11" i="66"/>
  <c r="F11" i="66"/>
  <c r="E11" i="66"/>
  <c r="K182" i="66" l="1"/>
  <c r="K15" i="66"/>
  <c r="K231" i="66"/>
  <c r="K65" i="66"/>
  <c r="R249" i="66"/>
  <c r="R150" i="66"/>
  <c r="O149" i="66"/>
  <c r="R99" i="66"/>
  <c r="P98" i="66"/>
  <c r="P94" i="66" s="1"/>
  <c r="R139" i="66"/>
  <c r="P55" i="66"/>
  <c r="R55" i="66" s="1"/>
  <c r="H183" i="66"/>
  <c r="E182" i="66"/>
  <c r="R190" i="66"/>
  <c r="P189" i="66"/>
  <c r="R189" i="66" s="1"/>
  <c r="M234" i="66"/>
  <c r="J233" i="66"/>
  <c r="R244" i="66"/>
  <c r="P76" i="66"/>
  <c r="R76" i="66" s="1"/>
  <c r="H11" i="66"/>
  <c r="R46" i="66"/>
  <c r="H60" i="66"/>
  <c r="R79" i="66"/>
  <c r="H110" i="66"/>
  <c r="M139" i="66"/>
  <c r="K132" i="66"/>
  <c r="K48" i="66" s="1"/>
  <c r="K55" i="66"/>
  <c r="M55" i="66" s="1"/>
  <c r="M166" i="66"/>
  <c r="J165" i="66"/>
  <c r="M165" i="66" s="1"/>
  <c r="M190" i="66"/>
  <c r="H195" i="66"/>
  <c r="E194" i="66"/>
  <c r="H194" i="66" s="1"/>
  <c r="M206" i="66"/>
  <c r="J38" i="66"/>
  <c r="M38" i="66" s="1"/>
  <c r="M207" i="66"/>
  <c r="H232" i="66"/>
  <c r="E64" i="66"/>
  <c r="F233" i="66"/>
  <c r="M236" i="66"/>
  <c r="K68" i="66"/>
  <c r="M68" i="66" s="1"/>
  <c r="G231" i="66"/>
  <c r="G65" i="66"/>
  <c r="E408" i="66"/>
  <c r="E407" i="66" s="1"/>
  <c r="E406" i="66" s="1"/>
  <c r="E206" i="66"/>
  <c r="L444" i="66"/>
  <c r="L519" i="66"/>
  <c r="J13" i="66"/>
  <c r="M13" i="66" s="1"/>
  <c r="Q14" i="66"/>
  <c r="H16" i="66"/>
  <c r="H18" i="66"/>
  <c r="R11" i="66"/>
  <c r="R13" i="66"/>
  <c r="E15" i="66"/>
  <c r="H15" i="66" s="1"/>
  <c r="Q15" i="66"/>
  <c r="M17" i="66"/>
  <c r="M19" i="66"/>
  <c r="H21" i="66"/>
  <c r="H26" i="66"/>
  <c r="M27" i="66"/>
  <c r="H34" i="66"/>
  <c r="E40" i="66"/>
  <c r="H40" i="66" s="1"/>
  <c r="M43" i="66"/>
  <c r="R44" i="66"/>
  <c r="H55" i="66"/>
  <c r="M56" i="66"/>
  <c r="R57" i="66"/>
  <c r="J66" i="66"/>
  <c r="M66" i="66" s="1"/>
  <c r="P66" i="66"/>
  <c r="R66" i="66" s="1"/>
  <c r="H69" i="66"/>
  <c r="M70" i="66"/>
  <c r="R71" i="66"/>
  <c r="G72" i="66"/>
  <c r="H72" i="66" s="1"/>
  <c r="H73" i="66"/>
  <c r="M74" i="66"/>
  <c r="R75" i="66"/>
  <c r="F81" i="66"/>
  <c r="H81" i="66" s="1"/>
  <c r="E81" i="66"/>
  <c r="M82" i="66"/>
  <c r="K81" i="66"/>
  <c r="Q81" i="66"/>
  <c r="H85" i="66"/>
  <c r="M89" i="66"/>
  <c r="J81" i="66"/>
  <c r="R81" i="66"/>
  <c r="M99" i="66"/>
  <c r="G98" i="66"/>
  <c r="G94" i="66" s="1"/>
  <c r="G10" i="66" s="1"/>
  <c r="R100" i="66"/>
  <c r="H105" i="66"/>
  <c r="M110" i="66"/>
  <c r="M111" i="66"/>
  <c r="K120" i="66"/>
  <c r="K36" i="66" s="1"/>
  <c r="L121" i="66"/>
  <c r="L37" i="66" s="1"/>
  <c r="F148" i="66"/>
  <c r="R148" i="66"/>
  <c r="P64" i="66"/>
  <c r="R64" i="66" s="1"/>
  <c r="M180" i="66"/>
  <c r="M184" i="66"/>
  <c r="J183" i="66"/>
  <c r="H189" i="66"/>
  <c r="R194" i="66"/>
  <c r="J205" i="66"/>
  <c r="M210" i="66"/>
  <c r="H213" i="66"/>
  <c r="M223" i="66"/>
  <c r="J216" i="66"/>
  <c r="M216" i="66" s="1"/>
  <c r="H227" i="66"/>
  <c r="L233" i="66"/>
  <c r="F249" i="66"/>
  <c r="E249" i="66"/>
  <c r="H249" i="66" s="1"/>
  <c r="M250" i="66"/>
  <c r="K249" i="66"/>
  <c r="Q249" i="66"/>
  <c r="H253" i="66"/>
  <c r="M257" i="66"/>
  <c r="J249" i="66"/>
  <c r="M249" i="66" s="1"/>
  <c r="E181" i="66"/>
  <c r="E392" i="66"/>
  <c r="E391" i="66" s="1"/>
  <c r="E396" i="66"/>
  <c r="E395" i="66" s="1"/>
  <c r="E394" i="66" s="1"/>
  <c r="E230" i="66"/>
  <c r="Q486" i="66"/>
  <c r="M99" i="134"/>
  <c r="K98" i="134"/>
  <c r="R106" i="66"/>
  <c r="O105" i="66"/>
  <c r="R105" i="66" s="1"/>
  <c r="M117" i="66"/>
  <c r="K116" i="66"/>
  <c r="K33" i="66"/>
  <c r="M129" i="66"/>
  <c r="K45" i="66"/>
  <c r="H150" i="66"/>
  <c r="E149" i="66"/>
  <c r="Q248" i="66"/>
  <c r="H210" i="66"/>
  <c r="E42" i="66"/>
  <c r="H42" i="66" s="1"/>
  <c r="P231" i="66"/>
  <c r="P203" i="66" s="1"/>
  <c r="P65" i="66"/>
  <c r="R236" i="66"/>
  <c r="P68" i="66"/>
  <c r="R68" i="66" s="1"/>
  <c r="H247" i="66"/>
  <c r="E79" i="66"/>
  <c r="E373" i="66"/>
  <c r="M12" i="66"/>
  <c r="K16" i="66"/>
  <c r="M16" i="66" s="1"/>
  <c r="M18" i="66"/>
  <c r="R41" i="66"/>
  <c r="M61" i="66"/>
  <c r="F37" i="66"/>
  <c r="P121" i="66"/>
  <c r="P38" i="66"/>
  <c r="R165" i="66"/>
  <c r="G248" i="66"/>
  <c r="M189" i="66"/>
  <c r="R240" i="66"/>
  <c r="O233" i="66"/>
  <c r="M244" i="66"/>
  <c r="K76" i="66"/>
  <c r="M76" i="66" s="1"/>
  <c r="E350" i="66"/>
  <c r="E404" i="66"/>
  <c r="E403" i="66" s="1"/>
  <c r="E201" i="66"/>
  <c r="H35" i="134"/>
  <c r="E80" i="134"/>
  <c r="H80" i="134" s="1"/>
  <c r="H204" i="134"/>
  <c r="E203" i="134"/>
  <c r="H203" i="134" s="1"/>
  <c r="R14" i="134"/>
  <c r="P10" i="134"/>
  <c r="R119" i="134"/>
  <c r="O164" i="134"/>
  <c r="R19" i="66"/>
  <c r="R22" i="66"/>
  <c r="O21" i="66"/>
  <c r="R21" i="66" s="1"/>
  <c r="R27" i="66"/>
  <c r="P26" i="66"/>
  <c r="R26" i="66" s="1"/>
  <c r="F38" i="66"/>
  <c r="K39" i="66"/>
  <c r="M39" i="66" s="1"/>
  <c r="M40" i="66"/>
  <c r="H68" i="66"/>
  <c r="H77" i="66"/>
  <c r="M78" i="66"/>
  <c r="O98" i="66"/>
  <c r="O94" i="66" s="1"/>
  <c r="H101" i="66"/>
  <c r="F100" i="66"/>
  <c r="R111" i="66"/>
  <c r="P110" i="66"/>
  <c r="R110" i="66" s="1"/>
  <c r="Q121" i="66"/>
  <c r="Q37" i="66" s="1"/>
  <c r="Q38" i="66"/>
  <c r="R126" i="66"/>
  <c r="P42" i="66"/>
  <c r="R42" i="66" s="1"/>
  <c r="H131" i="66"/>
  <c r="F129" i="66"/>
  <c r="R131" i="66"/>
  <c r="P47" i="66"/>
  <c r="R47" i="66" s="1"/>
  <c r="P129" i="66"/>
  <c r="L147" i="66"/>
  <c r="R160" i="66"/>
  <c r="R173" i="66"/>
  <c r="P182" i="66"/>
  <c r="R185" i="66"/>
  <c r="O184" i="66"/>
  <c r="K204" i="66"/>
  <c r="K203" i="66" s="1"/>
  <c r="G203" i="66"/>
  <c r="R205" i="66"/>
  <c r="O204" i="66"/>
  <c r="H217" i="66"/>
  <c r="E216" i="66"/>
  <c r="H216" i="66" s="1"/>
  <c r="M219" i="66"/>
  <c r="M227" i="66"/>
  <c r="K59" i="66"/>
  <c r="M59" i="66" s="1"/>
  <c r="J230" i="66"/>
  <c r="F289" i="66"/>
  <c r="F288" i="66" s="1"/>
  <c r="F117" i="66"/>
  <c r="J404" i="66"/>
  <c r="J403" i="66" s="1"/>
  <c r="J201" i="66"/>
  <c r="G455" i="66"/>
  <c r="M120" i="134"/>
  <c r="J119" i="134"/>
  <c r="H36" i="134"/>
  <c r="H98" i="134"/>
  <c r="F94" i="134"/>
  <c r="O36" i="134"/>
  <c r="R37" i="134"/>
  <c r="R182" i="134"/>
  <c r="P178" i="134"/>
  <c r="M182" i="134"/>
  <c r="K178" i="134"/>
  <c r="H120" i="134"/>
  <c r="R34" i="66"/>
  <c r="R39" i="66"/>
  <c r="H41" i="66"/>
  <c r="R43" i="66"/>
  <c r="H46" i="66"/>
  <c r="M47" i="66"/>
  <c r="R56" i="66"/>
  <c r="H58" i="66"/>
  <c r="R60" i="66"/>
  <c r="M64" i="66"/>
  <c r="H67" i="66"/>
  <c r="R69" i="66"/>
  <c r="H71" i="66"/>
  <c r="M72" i="66"/>
  <c r="R73" i="66"/>
  <c r="H75" i="66"/>
  <c r="R77" i="66"/>
  <c r="H79" i="66"/>
  <c r="R82" i="66"/>
  <c r="M85" i="66"/>
  <c r="R89" i="66"/>
  <c r="M101" i="66"/>
  <c r="R117" i="66"/>
  <c r="M124" i="66"/>
  <c r="H126" i="66"/>
  <c r="H135" i="66"/>
  <c r="Q132" i="66"/>
  <c r="H143" i="66"/>
  <c r="M148" i="66"/>
  <c r="F149" i="66"/>
  <c r="F147" i="66" s="1"/>
  <c r="M156" i="66"/>
  <c r="H160" i="66"/>
  <c r="R166" i="66"/>
  <c r="M169" i="66"/>
  <c r="H173" i="66"/>
  <c r="M195" i="66"/>
  <c r="R200" i="66"/>
  <c r="R210" i="66"/>
  <c r="M213" i="66"/>
  <c r="M217" i="66"/>
  <c r="R219" i="66"/>
  <c r="R227" i="66"/>
  <c r="R234" i="66"/>
  <c r="H240" i="66"/>
  <c r="R250" i="66"/>
  <c r="M253" i="66"/>
  <c r="R257" i="66"/>
  <c r="M204" i="134"/>
  <c r="J203" i="134"/>
  <c r="E178" i="134"/>
  <c r="H182" i="134"/>
  <c r="M37" i="134"/>
  <c r="K36" i="134"/>
  <c r="R203" i="134"/>
  <c r="O248" i="134"/>
  <c r="J80" i="134"/>
  <c r="M10" i="134"/>
  <c r="R98" i="134"/>
  <c r="P94" i="134"/>
  <c r="H22" i="66"/>
  <c r="H27" i="66"/>
  <c r="R33" i="66"/>
  <c r="M41" i="66"/>
  <c r="H44" i="66"/>
  <c r="M46" i="66"/>
  <c r="H57" i="66"/>
  <c r="M58" i="66"/>
  <c r="R59" i="66"/>
  <c r="H61" i="66"/>
  <c r="H66" i="66"/>
  <c r="M67" i="66"/>
  <c r="H70" i="66"/>
  <c r="M71" i="66"/>
  <c r="R72" i="66"/>
  <c r="H74" i="66"/>
  <c r="M75" i="66"/>
  <c r="H78" i="66"/>
  <c r="M79" i="66"/>
  <c r="R85" i="66"/>
  <c r="M100" i="66"/>
  <c r="R101" i="66"/>
  <c r="H106" i="66"/>
  <c r="H111" i="66"/>
  <c r="L94" i="66"/>
  <c r="L10" i="66" s="1"/>
  <c r="R121" i="66"/>
  <c r="M126" i="66"/>
  <c r="M135" i="66"/>
  <c r="H139" i="66"/>
  <c r="M143" i="66"/>
  <c r="G147" i="66"/>
  <c r="G63" i="66" s="1"/>
  <c r="Q147" i="66"/>
  <c r="Q63" i="66" s="1"/>
  <c r="K149" i="66"/>
  <c r="K147" i="66" s="1"/>
  <c r="M147" i="66" s="1"/>
  <c r="R156" i="66"/>
  <c r="M160" i="66"/>
  <c r="R169" i="66"/>
  <c r="M173" i="66"/>
  <c r="H185" i="66"/>
  <c r="H190" i="66"/>
  <c r="M194" i="66"/>
  <c r="R195" i="66"/>
  <c r="R213" i="66"/>
  <c r="R217" i="66"/>
  <c r="H223" i="66"/>
  <c r="H236" i="66"/>
  <c r="M240" i="66"/>
  <c r="H244" i="66"/>
  <c r="R253" i="66"/>
  <c r="E420" i="66"/>
  <c r="M51" i="66"/>
  <c r="J49" i="66"/>
  <c r="M49" i="66" s="1"/>
  <c r="K63" i="66"/>
  <c r="H51" i="66"/>
  <c r="E49" i="66"/>
  <c r="H49" i="66" s="1"/>
  <c r="R51" i="66"/>
  <c r="O49" i="66"/>
  <c r="R49" i="66" s="1"/>
  <c r="L45" i="66"/>
  <c r="G48" i="66"/>
  <c r="G120" i="66"/>
  <c r="Q48" i="66"/>
  <c r="P63" i="66"/>
  <c r="H121" i="66"/>
  <c r="M149" i="66"/>
  <c r="M150" i="66"/>
  <c r="M98" i="66"/>
  <c r="R98" i="66"/>
  <c r="H122" i="66"/>
  <c r="R122" i="66"/>
  <c r="H152" i="66"/>
  <c r="M152" i="66"/>
  <c r="R152" i="66"/>
  <c r="E133" i="66"/>
  <c r="J133" i="66"/>
  <c r="O133" i="66"/>
  <c r="F164" i="134" l="1"/>
  <c r="H164" i="134" s="1"/>
  <c r="H94" i="134"/>
  <c r="H117" i="66"/>
  <c r="F116" i="66"/>
  <c r="F33" i="66"/>
  <c r="H33" i="66" s="1"/>
  <c r="R184" i="66"/>
  <c r="O183" i="66"/>
  <c r="O16" i="66"/>
  <c r="R16" i="66" s="1"/>
  <c r="H201" i="66"/>
  <c r="E33" i="66"/>
  <c r="E200" i="66"/>
  <c r="M116" i="66"/>
  <c r="K32" i="66"/>
  <c r="H182" i="66"/>
  <c r="E14" i="66"/>
  <c r="H14" i="66" s="1"/>
  <c r="R149" i="66"/>
  <c r="O147" i="66"/>
  <c r="K178" i="66"/>
  <c r="K248" i="66" s="1"/>
  <c r="K14" i="66"/>
  <c r="K35" i="134"/>
  <c r="M36" i="134"/>
  <c r="H38" i="66"/>
  <c r="P80" i="134"/>
  <c r="R10" i="134"/>
  <c r="M205" i="66"/>
  <c r="J37" i="66"/>
  <c r="M37" i="66" s="1"/>
  <c r="J204" i="66"/>
  <c r="M183" i="66"/>
  <c r="J182" i="66"/>
  <c r="J15" i="66"/>
  <c r="M15" i="66" s="1"/>
  <c r="M81" i="66"/>
  <c r="F231" i="66"/>
  <c r="F65" i="66"/>
  <c r="H65" i="66" s="1"/>
  <c r="Q120" i="66"/>
  <c r="L120" i="66"/>
  <c r="K248" i="134"/>
  <c r="M178" i="134"/>
  <c r="M201" i="66"/>
  <c r="J33" i="66"/>
  <c r="M33" i="66" s="1"/>
  <c r="J200" i="66"/>
  <c r="M230" i="66"/>
  <c r="J62" i="66"/>
  <c r="M62" i="66" s="1"/>
  <c r="P178" i="66"/>
  <c r="P248" i="66" s="1"/>
  <c r="P14" i="66"/>
  <c r="H129" i="66"/>
  <c r="F45" i="66"/>
  <c r="H45" i="66" s="1"/>
  <c r="R94" i="66"/>
  <c r="E180" i="66"/>
  <c r="R233" i="66"/>
  <c r="O231" i="66"/>
  <c r="R231" i="66" s="1"/>
  <c r="O65" i="66"/>
  <c r="R65" i="66" s="1"/>
  <c r="F120" i="66"/>
  <c r="H181" i="66"/>
  <c r="E13" i="66"/>
  <c r="H13" i="66" s="1"/>
  <c r="H178" i="134"/>
  <c r="E248" i="134"/>
  <c r="H248" i="134" s="1"/>
  <c r="P248" i="134"/>
  <c r="R178" i="134"/>
  <c r="R204" i="66"/>
  <c r="O203" i="66"/>
  <c r="R203" i="66" s="1"/>
  <c r="H100" i="66"/>
  <c r="F99" i="66"/>
  <c r="P120" i="66"/>
  <c r="P37" i="66"/>
  <c r="R37" i="66" s="1"/>
  <c r="M98" i="134"/>
  <c r="K94" i="134"/>
  <c r="M203" i="134"/>
  <c r="J248" i="134"/>
  <c r="M248" i="134" s="1"/>
  <c r="M45" i="66"/>
  <c r="K119" i="66"/>
  <c r="K35" i="66" s="1"/>
  <c r="P164" i="134"/>
  <c r="R94" i="134"/>
  <c r="R248" i="134"/>
  <c r="M121" i="66"/>
  <c r="R36" i="134"/>
  <c r="O35" i="134"/>
  <c r="M119" i="134"/>
  <c r="J164" i="134"/>
  <c r="R129" i="66"/>
  <c r="P45" i="66"/>
  <c r="R45" i="66" s="1"/>
  <c r="K94" i="66"/>
  <c r="R164" i="134"/>
  <c r="R38" i="66"/>
  <c r="H233" i="66"/>
  <c r="H149" i="66"/>
  <c r="E147" i="66"/>
  <c r="E62" i="66"/>
  <c r="H62" i="66" s="1"/>
  <c r="H230" i="66"/>
  <c r="L65" i="66"/>
  <c r="M65" i="66" s="1"/>
  <c r="L231" i="66"/>
  <c r="L203" i="66" s="1"/>
  <c r="L248" i="66" s="1"/>
  <c r="H148" i="66"/>
  <c r="F64" i="66"/>
  <c r="H64" i="66" s="1"/>
  <c r="H206" i="66"/>
  <c r="E205" i="66"/>
  <c r="E38" i="66"/>
  <c r="M233" i="66"/>
  <c r="J231" i="66"/>
  <c r="J65" i="66"/>
  <c r="J132" i="66"/>
  <c r="M133" i="66"/>
  <c r="O132" i="66"/>
  <c r="R133" i="66"/>
  <c r="E132" i="66"/>
  <c r="H133" i="66"/>
  <c r="Q119" i="66"/>
  <c r="Q36" i="66"/>
  <c r="G119" i="66"/>
  <c r="G36" i="66"/>
  <c r="L119" i="66"/>
  <c r="L36" i="66"/>
  <c r="M231" i="66" l="1"/>
  <c r="J63" i="66"/>
  <c r="M200" i="66"/>
  <c r="J32" i="66"/>
  <c r="H116" i="66"/>
  <c r="F32" i="66"/>
  <c r="H32" i="66" s="1"/>
  <c r="M14" i="66"/>
  <c r="H200" i="66"/>
  <c r="E32" i="66"/>
  <c r="R183" i="66"/>
  <c r="O15" i="66"/>
  <c r="R15" i="66" s="1"/>
  <c r="O182" i="66"/>
  <c r="R35" i="134"/>
  <c r="O80" i="134"/>
  <c r="R80" i="134" s="1"/>
  <c r="K164" i="134"/>
  <c r="M164" i="134" s="1"/>
  <c r="M94" i="134"/>
  <c r="H99" i="66"/>
  <c r="F98" i="66"/>
  <c r="P10" i="66"/>
  <c r="F119" i="66"/>
  <c r="F36" i="66"/>
  <c r="H180" i="66"/>
  <c r="E178" i="66"/>
  <c r="E12" i="66"/>
  <c r="H12" i="66" s="1"/>
  <c r="M182" i="66"/>
  <c r="J14" i="66"/>
  <c r="J178" i="66"/>
  <c r="E63" i="66"/>
  <c r="H147" i="66"/>
  <c r="M204" i="66"/>
  <c r="J203" i="66"/>
  <c r="M203" i="66" s="1"/>
  <c r="K10" i="66"/>
  <c r="K80" i="66" s="1"/>
  <c r="M94" i="66"/>
  <c r="K164" i="66"/>
  <c r="P119" i="66"/>
  <c r="P36" i="66"/>
  <c r="H205" i="66"/>
  <c r="E204" i="66"/>
  <c r="E37" i="66"/>
  <c r="H37" i="66" s="1"/>
  <c r="L63" i="66"/>
  <c r="F203" i="66"/>
  <c r="F248" i="66" s="1"/>
  <c r="H231" i="66"/>
  <c r="F63" i="66"/>
  <c r="K80" i="134"/>
  <c r="M80" i="134" s="1"/>
  <c r="M35" i="134"/>
  <c r="O63" i="66"/>
  <c r="R63" i="66" s="1"/>
  <c r="R147" i="66"/>
  <c r="M32" i="66"/>
  <c r="L35" i="66"/>
  <c r="L80" i="66" s="1"/>
  <c r="L164" i="66"/>
  <c r="G35" i="66"/>
  <c r="G80" i="66" s="1"/>
  <c r="G164" i="66"/>
  <c r="Q35" i="66"/>
  <c r="Q80" i="66" s="1"/>
  <c r="Q164" i="66"/>
  <c r="E48" i="66"/>
  <c r="H48" i="66" s="1"/>
  <c r="H132" i="66"/>
  <c r="E120" i="66"/>
  <c r="O48" i="66"/>
  <c r="R48" i="66" s="1"/>
  <c r="R132" i="66"/>
  <c r="O120" i="66"/>
  <c r="J48" i="66"/>
  <c r="M48" i="66" s="1"/>
  <c r="M132" i="66"/>
  <c r="J120" i="66"/>
  <c r="E10" i="66" l="1"/>
  <c r="H178" i="66"/>
  <c r="F94" i="66"/>
  <c r="H98" i="66"/>
  <c r="H63" i="66"/>
  <c r="P35" i="66"/>
  <c r="P164" i="66"/>
  <c r="M63" i="66"/>
  <c r="J248" i="66"/>
  <c r="M248" i="66" s="1"/>
  <c r="J10" i="66"/>
  <c r="M10" i="66" s="1"/>
  <c r="M178" i="66"/>
  <c r="P80" i="66"/>
  <c r="H204" i="66"/>
  <c r="E203" i="66"/>
  <c r="H203" i="66" s="1"/>
  <c r="F35" i="66"/>
  <c r="R182" i="66"/>
  <c r="O14" i="66"/>
  <c r="R14" i="66" s="1"/>
  <c r="O178" i="66"/>
  <c r="M120" i="66"/>
  <c r="J119" i="66"/>
  <c r="J36" i="66"/>
  <c r="M36" i="66" s="1"/>
  <c r="H120" i="66"/>
  <c r="E119" i="66"/>
  <c r="E36" i="66"/>
  <c r="H36" i="66" s="1"/>
  <c r="R120" i="66"/>
  <c r="O119" i="66"/>
  <c r="O36" i="66"/>
  <c r="R36" i="66" s="1"/>
  <c r="F164" i="66" l="1"/>
  <c r="F10" i="66"/>
  <c r="F80" i="66" s="1"/>
  <c r="H94" i="66"/>
  <c r="O248" i="66"/>
  <c r="R248" i="66" s="1"/>
  <c r="R178" i="66"/>
  <c r="O10" i="66"/>
  <c r="R10" i="66" s="1"/>
  <c r="H10" i="66"/>
  <c r="E248" i="66"/>
  <c r="H248" i="66" s="1"/>
  <c r="H119" i="66"/>
  <c r="E35" i="66"/>
  <c r="E164" i="66"/>
  <c r="H164" i="66" s="1"/>
  <c r="R119" i="66"/>
  <c r="O35" i="66"/>
  <c r="O164" i="66"/>
  <c r="R164" i="66" s="1"/>
  <c r="M119" i="66"/>
  <c r="J35" i="66"/>
  <c r="J164" i="66"/>
  <c r="M164" i="66" s="1"/>
  <c r="R35" i="66" l="1"/>
  <c r="O80" i="66"/>
  <c r="R80" i="66" s="1"/>
  <c r="M35" i="66"/>
  <c r="J80" i="66"/>
  <c r="M80" i="66" s="1"/>
  <c r="H35" i="66"/>
  <c r="E80" i="66"/>
  <c r="H80" i="66" s="1"/>
  <c r="Q283" i="130" l="1"/>
  <c r="Q282" i="130" s="1"/>
  <c r="Q281" i="130" s="1"/>
  <c r="L283" i="130"/>
  <c r="L282" i="130" s="1"/>
  <c r="L281" i="130" s="1"/>
  <c r="G283" i="130"/>
  <c r="G282" i="130"/>
  <c r="G281" i="130" s="1"/>
  <c r="Q279" i="130"/>
  <c r="Q278" i="130" s="1"/>
  <c r="L279" i="130"/>
  <c r="G279" i="130"/>
  <c r="L278" i="130"/>
  <c r="G278" i="130"/>
  <c r="E272" i="130"/>
  <c r="E271" i="130" s="1"/>
  <c r="E270" i="130" s="1"/>
  <c r="E268" i="130"/>
  <c r="R260" i="130"/>
  <c r="M260" i="130"/>
  <c r="H260" i="130"/>
  <c r="R259" i="130"/>
  <c r="M259" i="130"/>
  <c r="H259" i="130"/>
  <c r="R258" i="130"/>
  <c r="M258" i="130"/>
  <c r="H258" i="130"/>
  <c r="Q257" i="130"/>
  <c r="P257" i="130"/>
  <c r="O257" i="130"/>
  <c r="L257" i="130"/>
  <c r="K257" i="130"/>
  <c r="J257" i="130"/>
  <c r="G257" i="130"/>
  <c r="F257" i="130"/>
  <c r="E257" i="130"/>
  <c r="H257" i="130" s="1"/>
  <c r="R256" i="130"/>
  <c r="M256" i="130"/>
  <c r="H256" i="130"/>
  <c r="R255" i="130"/>
  <c r="M255" i="130"/>
  <c r="H255" i="130"/>
  <c r="R254" i="130"/>
  <c r="M254" i="130"/>
  <c r="H254" i="130"/>
  <c r="Q253" i="130"/>
  <c r="P253" i="130"/>
  <c r="O253" i="130"/>
  <c r="R253" i="130" s="1"/>
  <c r="L253" i="130"/>
  <c r="K253" i="130"/>
  <c r="J253" i="130"/>
  <c r="G253" i="130"/>
  <c r="F253" i="130"/>
  <c r="E253" i="130"/>
  <c r="R252" i="130"/>
  <c r="M252" i="130"/>
  <c r="H252" i="130"/>
  <c r="R251" i="130"/>
  <c r="M251" i="130"/>
  <c r="H251" i="130"/>
  <c r="Q250" i="130"/>
  <c r="Q249" i="130" s="1"/>
  <c r="P250" i="130"/>
  <c r="O250" i="130"/>
  <c r="L250" i="130"/>
  <c r="L249" i="130" s="1"/>
  <c r="K250" i="130"/>
  <c r="K249" i="130" s="1"/>
  <c r="J250" i="130"/>
  <c r="G250" i="130"/>
  <c r="F250" i="130"/>
  <c r="H250" i="130" s="1"/>
  <c r="E250" i="130"/>
  <c r="E249" i="130" s="1"/>
  <c r="P249" i="130"/>
  <c r="O249" i="130"/>
  <c r="J249" i="130"/>
  <c r="G249" i="130"/>
  <c r="R247" i="130"/>
  <c r="M247" i="130"/>
  <c r="H247" i="130"/>
  <c r="R246" i="130"/>
  <c r="M246" i="130"/>
  <c r="H246" i="130"/>
  <c r="R245" i="130"/>
  <c r="M245" i="130"/>
  <c r="H245" i="130"/>
  <c r="Q244" i="130"/>
  <c r="P244" i="130"/>
  <c r="O244" i="130"/>
  <c r="L244" i="130"/>
  <c r="K244" i="130"/>
  <c r="J244" i="130"/>
  <c r="G244" i="130"/>
  <c r="F244" i="130"/>
  <c r="E244" i="130"/>
  <c r="H244" i="130" s="1"/>
  <c r="R243" i="130"/>
  <c r="M243" i="130"/>
  <c r="H243" i="130"/>
  <c r="R242" i="130"/>
  <c r="M242" i="130"/>
  <c r="H242" i="130"/>
  <c r="R241" i="130"/>
  <c r="M241" i="130"/>
  <c r="H241" i="130"/>
  <c r="Q240" i="130"/>
  <c r="P240" i="130"/>
  <c r="O240" i="130"/>
  <c r="O233" i="130" s="1"/>
  <c r="L240" i="130"/>
  <c r="K240" i="130"/>
  <c r="J240" i="130"/>
  <c r="G240" i="130"/>
  <c r="G233" i="130" s="1"/>
  <c r="G231" i="130" s="1"/>
  <c r="F240" i="130"/>
  <c r="E240" i="130"/>
  <c r="R239" i="130"/>
  <c r="M239" i="130"/>
  <c r="H239" i="130"/>
  <c r="R238" i="130"/>
  <c r="M238" i="130"/>
  <c r="H238" i="130"/>
  <c r="R237" i="130"/>
  <c r="M237" i="130"/>
  <c r="H237" i="130"/>
  <c r="Q236" i="130"/>
  <c r="P236" i="130"/>
  <c r="O236" i="130"/>
  <c r="L236" i="130"/>
  <c r="K236" i="130"/>
  <c r="J236" i="130"/>
  <c r="G236" i="130"/>
  <c r="F236" i="130"/>
  <c r="E236" i="130"/>
  <c r="H236" i="130" s="1"/>
  <c r="R235" i="130"/>
  <c r="M235" i="130"/>
  <c r="H235" i="130"/>
  <c r="Q234" i="130"/>
  <c r="Q233" i="130" s="1"/>
  <c r="Q231" i="130" s="1"/>
  <c r="P234" i="130"/>
  <c r="P233" i="130" s="1"/>
  <c r="P231" i="130" s="1"/>
  <c r="O234" i="130"/>
  <c r="L234" i="130"/>
  <c r="K234" i="130"/>
  <c r="M234" i="130" s="1"/>
  <c r="J234" i="130"/>
  <c r="J233" i="130" s="1"/>
  <c r="G234" i="130"/>
  <c r="F234" i="130"/>
  <c r="E234" i="130"/>
  <c r="E233" i="130" s="1"/>
  <c r="L233" i="130"/>
  <c r="F233" i="130"/>
  <c r="R232" i="130"/>
  <c r="M232" i="130"/>
  <c r="H232" i="130"/>
  <c r="L231" i="130"/>
  <c r="F231" i="130"/>
  <c r="R230" i="130"/>
  <c r="M230" i="130"/>
  <c r="H230" i="130"/>
  <c r="R229" i="130"/>
  <c r="M229" i="130"/>
  <c r="H229" i="130"/>
  <c r="R228" i="130"/>
  <c r="M228" i="130"/>
  <c r="H228" i="130"/>
  <c r="Q227" i="130"/>
  <c r="P227" i="130"/>
  <c r="R227" i="130" s="1"/>
  <c r="O227" i="130"/>
  <c r="L227" i="130"/>
  <c r="K227" i="130"/>
  <c r="J227" i="130"/>
  <c r="G227" i="130"/>
  <c r="F227" i="130"/>
  <c r="E227" i="130"/>
  <c r="R226" i="130"/>
  <c r="M226" i="130"/>
  <c r="H226" i="130"/>
  <c r="R225" i="130"/>
  <c r="M225" i="130"/>
  <c r="H225" i="130"/>
  <c r="R224" i="130"/>
  <c r="M224" i="130"/>
  <c r="H224" i="130"/>
  <c r="Q223" i="130"/>
  <c r="P223" i="130"/>
  <c r="O223" i="130"/>
  <c r="R223" i="130" s="1"/>
  <c r="L223" i="130"/>
  <c r="L216" i="130" s="1"/>
  <c r="L204" i="130" s="1"/>
  <c r="L203" i="130" s="1"/>
  <c r="K223" i="130"/>
  <c r="J223" i="130"/>
  <c r="G223" i="130"/>
  <c r="F223" i="130"/>
  <c r="F216" i="130" s="1"/>
  <c r="F204" i="130" s="1"/>
  <c r="F203" i="130" s="1"/>
  <c r="E223" i="130"/>
  <c r="R222" i="130"/>
  <c r="M222" i="130"/>
  <c r="H222" i="130"/>
  <c r="R221" i="130"/>
  <c r="M221" i="130"/>
  <c r="H221" i="130"/>
  <c r="R220" i="130"/>
  <c r="M220" i="130"/>
  <c r="H220" i="130"/>
  <c r="Q219" i="130"/>
  <c r="P219" i="130"/>
  <c r="R219" i="130" s="1"/>
  <c r="O219" i="130"/>
  <c r="L219" i="130"/>
  <c r="K219" i="130"/>
  <c r="J219" i="130"/>
  <c r="G219" i="130"/>
  <c r="F219" i="130"/>
  <c r="E219" i="130"/>
  <c r="R218" i="130"/>
  <c r="M218" i="130"/>
  <c r="H218" i="130"/>
  <c r="Q217" i="130"/>
  <c r="P217" i="130"/>
  <c r="P216" i="130" s="1"/>
  <c r="O217" i="130"/>
  <c r="L217" i="130"/>
  <c r="K217" i="130"/>
  <c r="J217" i="130"/>
  <c r="M217" i="130" s="1"/>
  <c r="G217" i="130"/>
  <c r="G216" i="130" s="1"/>
  <c r="F217" i="130"/>
  <c r="E217" i="130"/>
  <c r="H217" i="130" s="1"/>
  <c r="Q216" i="130"/>
  <c r="K216" i="130"/>
  <c r="E216" i="130"/>
  <c r="R215" i="130"/>
  <c r="M215" i="130"/>
  <c r="H215" i="130"/>
  <c r="R214" i="130"/>
  <c r="M214" i="130"/>
  <c r="H214" i="130"/>
  <c r="Q213" i="130"/>
  <c r="P213" i="130"/>
  <c r="O213" i="130"/>
  <c r="L213" i="130"/>
  <c r="K213" i="130"/>
  <c r="J213" i="130"/>
  <c r="M213" i="130" s="1"/>
  <c r="G213" i="130"/>
  <c r="F213" i="130"/>
  <c r="E213" i="130"/>
  <c r="H213" i="130" s="1"/>
  <c r="R212" i="130"/>
  <c r="M212" i="130"/>
  <c r="H212" i="130"/>
  <c r="R211" i="130"/>
  <c r="M211" i="130"/>
  <c r="H211" i="130"/>
  <c r="Q210" i="130"/>
  <c r="P210" i="130"/>
  <c r="O210" i="130"/>
  <c r="R210" i="130" s="1"/>
  <c r="L210" i="130"/>
  <c r="K210" i="130"/>
  <c r="J210" i="130"/>
  <c r="M210" i="130" s="1"/>
  <c r="G210" i="130"/>
  <c r="G204" i="130" s="1"/>
  <c r="G203" i="130" s="1"/>
  <c r="F210" i="130"/>
  <c r="E210" i="130"/>
  <c r="R209" i="130"/>
  <c r="M209" i="130"/>
  <c r="H209" i="130"/>
  <c r="R208" i="130"/>
  <c r="M208" i="130"/>
  <c r="H208" i="130"/>
  <c r="R207" i="130"/>
  <c r="M207" i="130"/>
  <c r="H207" i="130"/>
  <c r="R206" i="130"/>
  <c r="M206" i="130"/>
  <c r="H206" i="130"/>
  <c r="Q205" i="130"/>
  <c r="P205" i="130"/>
  <c r="P204" i="130" s="1"/>
  <c r="P203" i="130" s="1"/>
  <c r="O205" i="130"/>
  <c r="L205" i="130"/>
  <c r="K205" i="130"/>
  <c r="J205" i="130"/>
  <c r="M205" i="130" s="1"/>
  <c r="G205" i="130"/>
  <c r="F205" i="130"/>
  <c r="E205" i="130"/>
  <c r="H205" i="130" s="1"/>
  <c r="Q204" i="130"/>
  <c r="Q203" i="130" s="1"/>
  <c r="K204" i="130"/>
  <c r="E204" i="130"/>
  <c r="R202" i="130"/>
  <c r="M202" i="130"/>
  <c r="H202" i="130"/>
  <c r="R201" i="130"/>
  <c r="M201" i="130"/>
  <c r="H201" i="130"/>
  <c r="Q200" i="130"/>
  <c r="P200" i="130"/>
  <c r="O200" i="130"/>
  <c r="L200" i="130"/>
  <c r="K200" i="130"/>
  <c r="J200" i="130"/>
  <c r="G200" i="130"/>
  <c r="F200" i="130"/>
  <c r="E200" i="130"/>
  <c r="R199" i="130"/>
  <c r="M199" i="130"/>
  <c r="H199" i="130"/>
  <c r="R198" i="130"/>
  <c r="M198" i="130"/>
  <c r="H198" i="130"/>
  <c r="R197" i="130"/>
  <c r="M197" i="130"/>
  <c r="H197" i="130"/>
  <c r="R196" i="130"/>
  <c r="M196" i="130"/>
  <c r="H196" i="130"/>
  <c r="Q195" i="130"/>
  <c r="P195" i="130"/>
  <c r="O195" i="130"/>
  <c r="O194" i="130" s="1"/>
  <c r="R194" i="130" s="1"/>
  <c r="L195" i="130"/>
  <c r="L194" i="130" s="1"/>
  <c r="K195" i="130"/>
  <c r="J195" i="130"/>
  <c r="G195" i="130"/>
  <c r="G194" i="130" s="1"/>
  <c r="F195" i="130"/>
  <c r="H195" i="130" s="1"/>
  <c r="E195" i="130"/>
  <c r="C195" i="130"/>
  <c r="Q194" i="130"/>
  <c r="P194" i="130"/>
  <c r="K194" i="130"/>
  <c r="J194" i="130"/>
  <c r="E194" i="130"/>
  <c r="C194" i="130"/>
  <c r="R193" i="130"/>
  <c r="M193" i="130"/>
  <c r="H193" i="130"/>
  <c r="R192" i="130"/>
  <c r="M192" i="130"/>
  <c r="H192" i="130"/>
  <c r="R191" i="130"/>
  <c r="M191" i="130"/>
  <c r="H191" i="130"/>
  <c r="Q190" i="130"/>
  <c r="P190" i="130"/>
  <c r="O190" i="130"/>
  <c r="R190" i="130" s="1"/>
  <c r="L190" i="130"/>
  <c r="K190" i="130"/>
  <c r="J190" i="130"/>
  <c r="M190" i="130" s="1"/>
  <c r="G190" i="130"/>
  <c r="G189" i="130" s="1"/>
  <c r="F190" i="130"/>
  <c r="E190" i="130"/>
  <c r="Q189" i="130"/>
  <c r="P189" i="130"/>
  <c r="L189" i="130"/>
  <c r="K189" i="130"/>
  <c r="J189" i="130"/>
  <c r="M189" i="130" s="1"/>
  <c r="F189" i="130"/>
  <c r="E189" i="130"/>
  <c r="R188" i="130"/>
  <c r="M188" i="130"/>
  <c r="H188" i="130"/>
  <c r="R187" i="130"/>
  <c r="M187" i="130"/>
  <c r="H187" i="130"/>
  <c r="R186" i="130"/>
  <c r="M186" i="130"/>
  <c r="H186" i="130"/>
  <c r="Q185" i="130"/>
  <c r="P185" i="130"/>
  <c r="O185" i="130"/>
  <c r="L185" i="130"/>
  <c r="L184" i="130" s="1"/>
  <c r="L183" i="130" s="1"/>
  <c r="L182" i="130" s="1"/>
  <c r="L178" i="130" s="1"/>
  <c r="L248" i="130" s="1"/>
  <c r="K185" i="130"/>
  <c r="J185" i="130"/>
  <c r="G185" i="130"/>
  <c r="F185" i="130"/>
  <c r="H185" i="130" s="1"/>
  <c r="E185" i="130"/>
  <c r="Q184" i="130"/>
  <c r="P184" i="130"/>
  <c r="O184" i="130"/>
  <c r="O183" i="130" s="1"/>
  <c r="K184" i="130"/>
  <c r="J184" i="130"/>
  <c r="G184" i="130"/>
  <c r="G183" i="130" s="1"/>
  <c r="E184" i="130"/>
  <c r="Q183" i="130"/>
  <c r="P183" i="130"/>
  <c r="K183" i="130"/>
  <c r="J183" i="130"/>
  <c r="J182" i="130" s="1"/>
  <c r="J178" i="130" s="1"/>
  <c r="M178" i="130" s="1"/>
  <c r="E183" i="130"/>
  <c r="Q182" i="130"/>
  <c r="Q178" i="130" s="1"/>
  <c r="K182" i="130"/>
  <c r="K178" i="130" s="1"/>
  <c r="E182" i="130"/>
  <c r="R181" i="130"/>
  <c r="M181" i="130"/>
  <c r="H181" i="130"/>
  <c r="R180" i="130"/>
  <c r="M180" i="130"/>
  <c r="H180" i="130"/>
  <c r="R179" i="130"/>
  <c r="M179" i="130"/>
  <c r="H179" i="130"/>
  <c r="R177" i="130"/>
  <c r="M177" i="130"/>
  <c r="H177" i="130"/>
  <c r="R176" i="130"/>
  <c r="M176" i="130"/>
  <c r="H176" i="130"/>
  <c r="R175" i="130"/>
  <c r="M175" i="130"/>
  <c r="H175" i="130"/>
  <c r="R174" i="130"/>
  <c r="M174" i="130"/>
  <c r="H174" i="130"/>
  <c r="Q173" i="130"/>
  <c r="P173" i="130"/>
  <c r="P165" i="130" s="1"/>
  <c r="O173" i="130"/>
  <c r="L173" i="130"/>
  <c r="K173" i="130"/>
  <c r="J173" i="130"/>
  <c r="M173" i="130" s="1"/>
  <c r="G173" i="130"/>
  <c r="F173" i="130"/>
  <c r="E173" i="130"/>
  <c r="H173" i="130" s="1"/>
  <c r="R172" i="130"/>
  <c r="M172" i="130"/>
  <c r="H172" i="130"/>
  <c r="R171" i="130"/>
  <c r="M171" i="130"/>
  <c r="H171" i="130"/>
  <c r="R170" i="130"/>
  <c r="M170" i="130"/>
  <c r="H170" i="130"/>
  <c r="Q169" i="130"/>
  <c r="P169" i="130"/>
  <c r="O169" i="130"/>
  <c r="L169" i="130"/>
  <c r="K169" i="130"/>
  <c r="J169" i="130"/>
  <c r="G169" i="130"/>
  <c r="F169" i="130"/>
  <c r="H169" i="130" s="1"/>
  <c r="E169" i="130"/>
  <c r="R168" i="130"/>
  <c r="M168" i="130"/>
  <c r="H168" i="130"/>
  <c r="R167" i="130"/>
  <c r="M167" i="130"/>
  <c r="H167" i="130"/>
  <c r="Q166" i="130"/>
  <c r="Q165" i="130" s="1"/>
  <c r="P166" i="130"/>
  <c r="O166" i="130"/>
  <c r="L166" i="130"/>
  <c r="K166" i="130"/>
  <c r="M166" i="130" s="1"/>
  <c r="J166" i="130"/>
  <c r="G166" i="130"/>
  <c r="F166" i="130"/>
  <c r="E166" i="130"/>
  <c r="E165" i="130" s="1"/>
  <c r="H165" i="130" s="1"/>
  <c r="O165" i="130"/>
  <c r="L165" i="130"/>
  <c r="G165" i="130"/>
  <c r="F165" i="130"/>
  <c r="R163" i="130"/>
  <c r="M163" i="130"/>
  <c r="H163" i="130"/>
  <c r="R162" i="130"/>
  <c r="M162" i="130"/>
  <c r="H162" i="130"/>
  <c r="R161" i="130"/>
  <c r="M161" i="130"/>
  <c r="H161" i="130"/>
  <c r="Q160" i="130"/>
  <c r="P160" i="130"/>
  <c r="O160" i="130"/>
  <c r="L160" i="130"/>
  <c r="K160" i="130"/>
  <c r="J160" i="130"/>
  <c r="M160" i="130" s="1"/>
  <c r="G160" i="130"/>
  <c r="F160" i="130"/>
  <c r="E160" i="130"/>
  <c r="H160" i="130" s="1"/>
  <c r="R159" i="130"/>
  <c r="M159" i="130"/>
  <c r="H159" i="130"/>
  <c r="R158" i="130"/>
  <c r="M158" i="130"/>
  <c r="H158" i="130"/>
  <c r="R157" i="130"/>
  <c r="M157" i="130"/>
  <c r="H157" i="130"/>
  <c r="Q156" i="130"/>
  <c r="P156" i="130"/>
  <c r="O156" i="130"/>
  <c r="R156" i="130" s="1"/>
  <c r="L156" i="130"/>
  <c r="L149" i="130" s="1"/>
  <c r="L147" i="130" s="1"/>
  <c r="L119" i="130" s="1"/>
  <c r="K156" i="130"/>
  <c r="J156" i="130"/>
  <c r="G156" i="130"/>
  <c r="G149" i="130" s="1"/>
  <c r="G147" i="130" s="1"/>
  <c r="F156" i="130"/>
  <c r="H156" i="130" s="1"/>
  <c r="E156" i="130"/>
  <c r="R155" i="130"/>
  <c r="M155" i="130"/>
  <c r="H155" i="130"/>
  <c r="R154" i="130"/>
  <c r="M154" i="130"/>
  <c r="H154" i="130"/>
  <c r="R153" i="130"/>
  <c r="M153" i="130"/>
  <c r="H153" i="130"/>
  <c r="Q152" i="130"/>
  <c r="P152" i="130"/>
  <c r="O152" i="130"/>
  <c r="L152" i="130"/>
  <c r="K152" i="130"/>
  <c r="J152" i="130"/>
  <c r="M152" i="130" s="1"/>
  <c r="G152" i="130"/>
  <c r="F152" i="130"/>
  <c r="E152" i="130"/>
  <c r="H152" i="130" s="1"/>
  <c r="R151" i="130"/>
  <c r="M151" i="130"/>
  <c r="H151" i="130"/>
  <c r="Q150" i="130"/>
  <c r="P150" i="130"/>
  <c r="R150" i="130" s="1"/>
  <c r="O150" i="130"/>
  <c r="L150" i="130"/>
  <c r="K150" i="130"/>
  <c r="J150" i="130"/>
  <c r="J149" i="130" s="1"/>
  <c r="G150" i="130"/>
  <c r="F150" i="130"/>
  <c r="E150" i="130"/>
  <c r="Q149" i="130"/>
  <c r="K149" i="130"/>
  <c r="E149" i="130"/>
  <c r="R148" i="130"/>
  <c r="M148" i="130"/>
  <c r="H148" i="130"/>
  <c r="Q147" i="130"/>
  <c r="K147" i="130"/>
  <c r="E147" i="130"/>
  <c r="R146" i="130"/>
  <c r="M146" i="130"/>
  <c r="H146" i="130"/>
  <c r="R145" i="130"/>
  <c r="M145" i="130"/>
  <c r="H145" i="130"/>
  <c r="R144" i="130"/>
  <c r="M144" i="130"/>
  <c r="H144" i="130"/>
  <c r="Q143" i="130"/>
  <c r="P143" i="130"/>
  <c r="O143" i="130"/>
  <c r="R143" i="130" s="1"/>
  <c r="L143" i="130"/>
  <c r="K143" i="130"/>
  <c r="J143" i="130"/>
  <c r="M143" i="130" s="1"/>
  <c r="G143" i="130"/>
  <c r="F143" i="130"/>
  <c r="E143" i="130"/>
  <c r="R142" i="130"/>
  <c r="M142" i="130"/>
  <c r="H142" i="130"/>
  <c r="R141" i="130"/>
  <c r="M141" i="130"/>
  <c r="H141" i="130"/>
  <c r="R140" i="130"/>
  <c r="M140" i="130"/>
  <c r="H140" i="130"/>
  <c r="Q139" i="130"/>
  <c r="Q132" i="130" s="1"/>
  <c r="P139" i="130"/>
  <c r="O139" i="130"/>
  <c r="L139" i="130"/>
  <c r="L132" i="130" s="1"/>
  <c r="K139" i="130"/>
  <c r="M139" i="130" s="1"/>
  <c r="J139" i="130"/>
  <c r="G139" i="130"/>
  <c r="F139" i="130"/>
  <c r="F132" i="130" s="1"/>
  <c r="E139" i="130"/>
  <c r="E132" i="130" s="1"/>
  <c r="R138" i="130"/>
  <c r="M138" i="130"/>
  <c r="H138" i="130"/>
  <c r="R137" i="130"/>
  <c r="M137" i="130"/>
  <c r="H137" i="130"/>
  <c r="R136" i="130"/>
  <c r="M136" i="130"/>
  <c r="H136" i="130"/>
  <c r="Q135" i="130"/>
  <c r="P135" i="130"/>
  <c r="O135" i="130"/>
  <c r="R135" i="130" s="1"/>
  <c r="L135" i="130"/>
  <c r="K135" i="130"/>
  <c r="J135" i="130"/>
  <c r="M135" i="130" s="1"/>
  <c r="G135" i="130"/>
  <c r="F135" i="130"/>
  <c r="E135" i="130"/>
  <c r="R134" i="130"/>
  <c r="M134" i="130"/>
  <c r="H134" i="130"/>
  <c r="Q133" i="130"/>
  <c r="P133" i="130"/>
  <c r="O133" i="130"/>
  <c r="O132" i="130" s="1"/>
  <c r="L133" i="130"/>
  <c r="K133" i="130"/>
  <c r="J133" i="130"/>
  <c r="G133" i="130"/>
  <c r="G132" i="130" s="1"/>
  <c r="F133" i="130"/>
  <c r="E133" i="130"/>
  <c r="P132" i="130"/>
  <c r="J132" i="130"/>
  <c r="R131" i="130"/>
  <c r="M131" i="130"/>
  <c r="H131" i="130"/>
  <c r="R130" i="130"/>
  <c r="M130" i="130"/>
  <c r="H130" i="130"/>
  <c r="Q129" i="130"/>
  <c r="P129" i="130"/>
  <c r="O129" i="130"/>
  <c r="L129" i="130"/>
  <c r="K129" i="130"/>
  <c r="J129" i="130"/>
  <c r="G129" i="130"/>
  <c r="F129" i="130"/>
  <c r="E129" i="130"/>
  <c r="R128" i="130"/>
  <c r="M128" i="130"/>
  <c r="H128" i="130"/>
  <c r="R127" i="130"/>
  <c r="M127" i="130"/>
  <c r="H127" i="130"/>
  <c r="Q126" i="130"/>
  <c r="P126" i="130"/>
  <c r="O126" i="130"/>
  <c r="O120" i="130" s="1"/>
  <c r="L126" i="130"/>
  <c r="K126" i="130"/>
  <c r="J126" i="130"/>
  <c r="G126" i="130"/>
  <c r="F126" i="130"/>
  <c r="H126" i="130" s="1"/>
  <c r="E126" i="130"/>
  <c r="R125" i="130"/>
  <c r="M125" i="130"/>
  <c r="H125" i="130"/>
  <c r="Q124" i="130"/>
  <c r="R124" i="130" s="1"/>
  <c r="L124" i="130"/>
  <c r="M124" i="130" s="1"/>
  <c r="G124" i="130"/>
  <c r="G121" i="130" s="1"/>
  <c r="G120" i="130" s="1"/>
  <c r="E124" i="130"/>
  <c r="H124" i="130" s="1"/>
  <c r="R123" i="130"/>
  <c r="M123" i="130"/>
  <c r="H123" i="130"/>
  <c r="R122" i="130"/>
  <c r="M122" i="130"/>
  <c r="H122" i="130"/>
  <c r="Q121" i="130"/>
  <c r="P121" i="130"/>
  <c r="R121" i="130" s="1"/>
  <c r="O121" i="130"/>
  <c r="L121" i="130"/>
  <c r="K121" i="130"/>
  <c r="J121" i="130"/>
  <c r="J120" i="130" s="1"/>
  <c r="F121" i="130"/>
  <c r="Q120" i="130"/>
  <c r="Q119" i="130" s="1"/>
  <c r="L120" i="130"/>
  <c r="R118" i="130"/>
  <c r="M118" i="130"/>
  <c r="H118" i="130"/>
  <c r="Q117" i="130"/>
  <c r="R117" i="130" s="1"/>
  <c r="L117" i="130"/>
  <c r="L116" i="130" s="1"/>
  <c r="G117" i="130"/>
  <c r="H117" i="130" s="1"/>
  <c r="Q116" i="130"/>
  <c r="P116" i="130"/>
  <c r="R116" i="130" s="1"/>
  <c r="O116" i="130"/>
  <c r="K116" i="130"/>
  <c r="J116" i="130"/>
  <c r="G116" i="130"/>
  <c r="F116" i="130"/>
  <c r="E116" i="130"/>
  <c r="R115" i="130"/>
  <c r="M115" i="130"/>
  <c r="H115" i="130"/>
  <c r="R114" i="130"/>
  <c r="M114" i="130"/>
  <c r="H114" i="130"/>
  <c r="R113" i="130"/>
  <c r="M113" i="130"/>
  <c r="H113" i="130"/>
  <c r="R112" i="130"/>
  <c r="M112" i="130"/>
  <c r="H112" i="130"/>
  <c r="Q111" i="130"/>
  <c r="Q110" i="130" s="1"/>
  <c r="P111" i="130"/>
  <c r="O111" i="130"/>
  <c r="L111" i="130"/>
  <c r="L110" i="130" s="1"/>
  <c r="K111" i="130"/>
  <c r="M111" i="130" s="1"/>
  <c r="J111" i="130"/>
  <c r="G111" i="130"/>
  <c r="F111" i="130"/>
  <c r="E111" i="130"/>
  <c r="E110" i="130" s="1"/>
  <c r="C111" i="130"/>
  <c r="P110" i="130"/>
  <c r="O110" i="130"/>
  <c r="J110" i="130"/>
  <c r="G110" i="130"/>
  <c r="C110" i="130"/>
  <c r="R109" i="130"/>
  <c r="M109" i="130"/>
  <c r="H109" i="130"/>
  <c r="R108" i="130"/>
  <c r="M108" i="130"/>
  <c r="H108" i="130"/>
  <c r="R107" i="130"/>
  <c r="M107" i="130"/>
  <c r="H107" i="130"/>
  <c r="Q106" i="130"/>
  <c r="P106" i="130"/>
  <c r="O106" i="130"/>
  <c r="R106" i="130" s="1"/>
  <c r="L106" i="130"/>
  <c r="L105" i="130" s="1"/>
  <c r="K106" i="130"/>
  <c r="J106" i="130"/>
  <c r="G106" i="130"/>
  <c r="F106" i="130"/>
  <c r="F105" i="130" s="1"/>
  <c r="E106" i="130"/>
  <c r="Q105" i="130"/>
  <c r="P105" i="130"/>
  <c r="O105" i="130"/>
  <c r="R105" i="130" s="1"/>
  <c r="K105" i="130"/>
  <c r="J105" i="130"/>
  <c r="G105" i="130"/>
  <c r="E105" i="130"/>
  <c r="R104" i="130"/>
  <c r="M104" i="130"/>
  <c r="H104" i="130"/>
  <c r="R103" i="130"/>
  <c r="M103" i="130"/>
  <c r="H103" i="130"/>
  <c r="R102" i="130"/>
  <c r="M102" i="130"/>
  <c r="H102" i="130"/>
  <c r="Q101" i="130"/>
  <c r="Q100" i="130" s="1"/>
  <c r="Q99" i="130" s="1"/>
  <c r="Q98" i="130" s="1"/>
  <c r="Q94" i="130" s="1"/>
  <c r="P101" i="130"/>
  <c r="O101" i="130"/>
  <c r="L101" i="130"/>
  <c r="K101" i="130"/>
  <c r="M101" i="130" s="1"/>
  <c r="J101" i="130"/>
  <c r="G101" i="130"/>
  <c r="F101" i="130"/>
  <c r="E101" i="130"/>
  <c r="E100" i="130" s="1"/>
  <c r="E99" i="130" s="1"/>
  <c r="E98" i="130" s="1"/>
  <c r="E94" i="130" s="1"/>
  <c r="P100" i="130"/>
  <c r="O100" i="130"/>
  <c r="L100" i="130"/>
  <c r="L99" i="130" s="1"/>
  <c r="L98" i="130" s="1"/>
  <c r="L94" i="130" s="1"/>
  <c r="L164" i="130" s="1"/>
  <c r="J100" i="130"/>
  <c r="G100" i="130"/>
  <c r="F100" i="130"/>
  <c r="P99" i="130"/>
  <c r="O99" i="130"/>
  <c r="O98" i="130" s="1"/>
  <c r="O94" i="130" s="1"/>
  <c r="J99" i="130"/>
  <c r="G99" i="130"/>
  <c r="G98" i="130" s="1"/>
  <c r="G94" i="130" s="1"/>
  <c r="P98" i="130"/>
  <c r="J98" i="130"/>
  <c r="J94" i="130" s="1"/>
  <c r="R97" i="130"/>
  <c r="M97" i="130"/>
  <c r="H97" i="130"/>
  <c r="R96" i="130"/>
  <c r="M96" i="130"/>
  <c r="H96" i="130"/>
  <c r="R95" i="130"/>
  <c r="M95" i="130"/>
  <c r="H95" i="130"/>
  <c r="E95" i="130"/>
  <c r="R93" i="130"/>
  <c r="M93" i="130"/>
  <c r="H93" i="130"/>
  <c r="R92" i="130"/>
  <c r="M92" i="130"/>
  <c r="H92" i="130"/>
  <c r="R91" i="130"/>
  <c r="M91" i="130"/>
  <c r="H91" i="130"/>
  <c r="R90" i="130"/>
  <c r="M90" i="130"/>
  <c r="H90" i="130"/>
  <c r="Q89" i="130"/>
  <c r="P89" i="130"/>
  <c r="P81" i="130" s="1"/>
  <c r="O89" i="130"/>
  <c r="L89" i="130"/>
  <c r="K89" i="130"/>
  <c r="J89" i="130"/>
  <c r="M89" i="130" s="1"/>
  <c r="G89" i="130"/>
  <c r="F89" i="130"/>
  <c r="E89" i="130"/>
  <c r="H89" i="130" s="1"/>
  <c r="R88" i="130"/>
  <c r="M88" i="130"/>
  <c r="H88" i="130"/>
  <c r="R87" i="130"/>
  <c r="M87" i="130"/>
  <c r="H87" i="130"/>
  <c r="R86" i="130"/>
  <c r="M86" i="130"/>
  <c r="H86" i="130"/>
  <c r="Q85" i="130"/>
  <c r="P85" i="130"/>
  <c r="O85" i="130"/>
  <c r="R85" i="130" s="1"/>
  <c r="L85" i="130"/>
  <c r="K85" i="130"/>
  <c r="J85" i="130"/>
  <c r="G85" i="130"/>
  <c r="F85" i="130"/>
  <c r="E85" i="130"/>
  <c r="R84" i="130"/>
  <c r="M84" i="130"/>
  <c r="H84" i="130"/>
  <c r="R83" i="130"/>
  <c r="M83" i="130"/>
  <c r="H83" i="130"/>
  <c r="Q82" i="130"/>
  <c r="Q81" i="130" s="1"/>
  <c r="P82" i="130"/>
  <c r="O82" i="130"/>
  <c r="L82" i="130"/>
  <c r="K82" i="130"/>
  <c r="K81" i="130" s="1"/>
  <c r="J82" i="130"/>
  <c r="G82" i="130"/>
  <c r="F82" i="130"/>
  <c r="E82" i="130"/>
  <c r="H82" i="130" s="1"/>
  <c r="O81" i="130"/>
  <c r="L81" i="130"/>
  <c r="G81" i="130"/>
  <c r="F81" i="130"/>
  <c r="R79" i="130"/>
  <c r="M79" i="130"/>
  <c r="H79" i="130"/>
  <c r="R78" i="130"/>
  <c r="M78" i="130"/>
  <c r="H78" i="130"/>
  <c r="R77" i="130"/>
  <c r="M77" i="130"/>
  <c r="H77" i="130"/>
  <c r="Q76" i="130"/>
  <c r="P76" i="130"/>
  <c r="R76" i="130" s="1"/>
  <c r="O76" i="130"/>
  <c r="L76" i="130"/>
  <c r="K76" i="130"/>
  <c r="J76" i="130"/>
  <c r="G76" i="130"/>
  <c r="F76" i="130"/>
  <c r="E76" i="130"/>
  <c r="R75" i="130"/>
  <c r="M75" i="130"/>
  <c r="H75" i="130"/>
  <c r="R74" i="130"/>
  <c r="M74" i="130"/>
  <c r="H74" i="130"/>
  <c r="R73" i="130"/>
  <c r="M73" i="130"/>
  <c r="H73" i="130"/>
  <c r="Q72" i="130"/>
  <c r="P72" i="130"/>
  <c r="O72" i="130"/>
  <c r="R72" i="130" s="1"/>
  <c r="L72" i="130"/>
  <c r="L65" i="130" s="1"/>
  <c r="L63" i="130" s="1"/>
  <c r="K72" i="130"/>
  <c r="J72" i="130"/>
  <c r="G72" i="130"/>
  <c r="G65" i="130" s="1"/>
  <c r="G63" i="130" s="1"/>
  <c r="F72" i="130"/>
  <c r="F65" i="130" s="1"/>
  <c r="F63" i="130" s="1"/>
  <c r="H63" i="130" s="1"/>
  <c r="E72" i="130"/>
  <c r="R71" i="130"/>
  <c r="M71" i="130"/>
  <c r="H71" i="130"/>
  <c r="R70" i="130"/>
  <c r="M70" i="130"/>
  <c r="H70" i="130"/>
  <c r="R69" i="130"/>
  <c r="M69" i="130"/>
  <c r="H69" i="130"/>
  <c r="Q68" i="130"/>
  <c r="P68" i="130"/>
  <c r="R68" i="130" s="1"/>
  <c r="O68" i="130"/>
  <c r="L68" i="130"/>
  <c r="K68" i="130"/>
  <c r="J68" i="130"/>
  <c r="G68" i="130"/>
  <c r="F68" i="130"/>
  <c r="E68" i="130"/>
  <c r="R67" i="130"/>
  <c r="M67" i="130"/>
  <c r="H67" i="130"/>
  <c r="Q66" i="130"/>
  <c r="P66" i="130"/>
  <c r="P65" i="130" s="1"/>
  <c r="P63" i="130" s="1"/>
  <c r="O66" i="130"/>
  <c r="L66" i="130"/>
  <c r="K66" i="130"/>
  <c r="J66" i="130"/>
  <c r="M66" i="130" s="1"/>
  <c r="G66" i="130"/>
  <c r="F66" i="130"/>
  <c r="E66" i="130"/>
  <c r="H66" i="130" s="1"/>
  <c r="Q65" i="130"/>
  <c r="K65" i="130"/>
  <c r="E65" i="130"/>
  <c r="R64" i="130"/>
  <c r="M64" i="130"/>
  <c r="H64" i="130"/>
  <c r="Q63" i="130"/>
  <c r="K63" i="130"/>
  <c r="E63" i="130"/>
  <c r="R62" i="130"/>
  <c r="M62" i="130"/>
  <c r="H62" i="130"/>
  <c r="R61" i="130"/>
  <c r="M61" i="130"/>
  <c r="H61" i="130"/>
  <c r="R60" i="130"/>
  <c r="M60" i="130"/>
  <c r="H60" i="130"/>
  <c r="Q59" i="130"/>
  <c r="P59" i="130"/>
  <c r="O59" i="130"/>
  <c r="R59" i="130" s="1"/>
  <c r="L59" i="130"/>
  <c r="K59" i="130"/>
  <c r="J59" i="130"/>
  <c r="M59" i="130" s="1"/>
  <c r="G59" i="130"/>
  <c r="F59" i="130"/>
  <c r="E59" i="130"/>
  <c r="R58" i="130"/>
  <c r="M58" i="130"/>
  <c r="H58" i="130"/>
  <c r="R57" i="130"/>
  <c r="M57" i="130"/>
  <c r="H57" i="130"/>
  <c r="R56" i="130"/>
  <c r="M56" i="130"/>
  <c r="H56" i="130"/>
  <c r="Q55" i="130"/>
  <c r="Q48" i="130" s="1"/>
  <c r="Q36" i="130" s="1"/>
  <c r="Q35" i="130" s="1"/>
  <c r="P55" i="130"/>
  <c r="O55" i="130"/>
  <c r="L55" i="130"/>
  <c r="L48" i="130" s="1"/>
  <c r="K55" i="130"/>
  <c r="M55" i="130" s="1"/>
  <c r="J55" i="130"/>
  <c r="G55" i="130"/>
  <c r="F55" i="130"/>
  <c r="E55" i="130"/>
  <c r="E48" i="130" s="1"/>
  <c r="R54" i="130"/>
  <c r="M54" i="130"/>
  <c r="H54" i="130"/>
  <c r="R53" i="130"/>
  <c r="M53" i="130"/>
  <c r="H53" i="130"/>
  <c r="R52" i="130"/>
  <c r="M52" i="130"/>
  <c r="H52" i="130"/>
  <c r="Q51" i="130"/>
  <c r="P51" i="130"/>
  <c r="O51" i="130"/>
  <c r="R51" i="130" s="1"/>
  <c r="L51" i="130"/>
  <c r="K51" i="130"/>
  <c r="J51" i="130"/>
  <c r="M51" i="130" s="1"/>
  <c r="G51" i="130"/>
  <c r="F51" i="130"/>
  <c r="E51" i="130"/>
  <c r="R50" i="130"/>
  <c r="M50" i="130"/>
  <c r="H50" i="130"/>
  <c r="Q49" i="130"/>
  <c r="P49" i="130"/>
  <c r="O49" i="130"/>
  <c r="O48" i="130" s="1"/>
  <c r="O36" i="130" s="1"/>
  <c r="L49" i="130"/>
  <c r="K49" i="130"/>
  <c r="J49" i="130"/>
  <c r="G49" i="130"/>
  <c r="G48" i="130" s="1"/>
  <c r="G36" i="130" s="1"/>
  <c r="G35" i="130" s="1"/>
  <c r="F49" i="130"/>
  <c r="E49" i="130"/>
  <c r="P48" i="130"/>
  <c r="J48" i="130"/>
  <c r="J36" i="130" s="1"/>
  <c r="R47" i="130"/>
  <c r="M47" i="130"/>
  <c r="H47" i="130"/>
  <c r="R46" i="130"/>
  <c r="M46" i="130"/>
  <c r="H46" i="130"/>
  <c r="Q45" i="130"/>
  <c r="P45" i="130"/>
  <c r="O45" i="130"/>
  <c r="L45" i="130"/>
  <c r="K45" i="130"/>
  <c r="J45" i="130"/>
  <c r="G45" i="130"/>
  <c r="F45" i="130"/>
  <c r="E45" i="130"/>
  <c r="R44" i="130"/>
  <c r="M44" i="130"/>
  <c r="H44" i="130"/>
  <c r="R43" i="130"/>
  <c r="M43" i="130"/>
  <c r="H43" i="130"/>
  <c r="Q42" i="130"/>
  <c r="P42" i="130"/>
  <c r="O42" i="130"/>
  <c r="L42" i="130"/>
  <c r="K42" i="130"/>
  <c r="J42" i="130"/>
  <c r="G42" i="130"/>
  <c r="F42" i="130"/>
  <c r="H42" i="130" s="1"/>
  <c r="E42" i="130"/>
  <c r="R41" i="130"/>
  <c r="M41" i="130"/>
  <c r="H41" i="130"/>
  <c r="Q40" i="130"/>
  <c r="R40" i="130" s="1"/>
  <c r="L40" i="130"/>
  <c r="M40" i="130" s="1"/>
  <c r="G40" i="130"/>
  <c r="E40" i="130"/>
  <c r="H40" i="130" s="1"/>
  <c r="R39" i="130"/>
  <c r="M39" i="130"/>
  <c r="E39" i="130"/>
  <c r="H39" i="130" s="1"/>
  <c r="R38" i="130"/>
  <c r="M38" i="130"/>
  <c r="E38" i="130"/>
  <c r="E37" i="130" s="1"/>
  <c r="Q37" i="130"/>
  <c r="P37" i="130"/>
  <c r="O37" i="130"/>
  <c r="R37" i="130" s="1"/>
  <c r="L37" i="130"/>
  <c r="L36" i="130" s="1"/>
  <c r="K37" i="130"/>
  <c r="J37" i="130"/>
  <c r="G37" i="130"/>
  <c r="F37" i="130"/>
  <c r="R34" i="130"/>
  <c r="M34" i="130"/>
  <c r="H34" i="130"/>
  <c r="Q33" i="130"/>
  <c r="Q32" i="130" s="1"/>
  <c r="G33" i="130"/>
  <c r="H33" i="130" s="1"/>
  <c r="P32" i="130"/>
  <c r="O32" i="130"/>
  <c r="K32" i="130"/>
  <c r="J32" i="130"/>
  <c r="F32" i="130"/>
  <c r="E32" i="130"/>
  <c r="R31" i="130"/>
  <c r="M31" i="130"/>
  <c r="H31" i="130"/>
  <c r="R30" i="130"/>
  <c r="M30" i="130"/>
  <c r="H30" i="130"/>
  <c r="R29" i="130"/>
  <c r="M29" i="130"/>
  <c r="H29" i="130"/>
  <c r="R28" i="130"/>
  <c r="M28" i="130"/>
  <c r="H28" i="130"/>
  <c r="Q27" i="130"/>
  <c r="P27" i="130"/>
  <c r="O27" i="130"/>
  <c r="O26" i="130" s="1"/>
  <c r="L27" i="130"/>
  <c r="K27" i="130"/>
  <c r="J27" i="130"/>
  <c r="J26" i="130" s="1"/>
  <c r="M26" i="130" s="1"/>
  <c r="G27" i="130"/>
  <c r="G26" i="130" s="1"/>
  <c r="F27" i="130"/>
  <c r="E27" i="130"/>
  <c r="C27" i="130"/>
  <c r="C26" i="130" s="1"/>
  <c r="Q26" i="130"/>
  <c r="L26" i="130"/>
  <c r="K26" i="130"/>
  <c r="F26" i="130"/>
  <c r="E26" i="130"/>
  <c r="R25" i="130"/>
  <c r="M25" i="130"/>
  <c r="H25" i="130"/>
  <c r="R24" i="130"/>
  <c r="M24" i="130"/>
  <c r="H24" i="130"/>
  <c r="R23" i="130"/>
  <c r="M23" i="130"/>
  <c r="H23" i="130"/>
  <c r="Q22" i="130"/>
  <c r="P22" i="130"/>
  <c r="P21" i="130" s="1"/>
  <c r="O22" i="130"/>
  <c r="L22" i="130"/>
  <c r="K22" i="130"/>
  <c r="J22" i="130"/>
  <c r="M22" i="130" s="1"/>
  <c r="G22" i="130"/>
  <c r="F22" i="130"/>
  <c r="E22" i="130"/>
  <c r="H22" i="130" s="1"/>
  <c r="Q21" i="130"/>
  <c r="O21" i="130"/>
  <c r="L21" i="130"/>
  <c r="K21" i="130"/>
  <c r="G21" i="130"/>
  <c r="F21" i="130"/>
  <c r="E21" i="130"/>
  <c r="H21" i="130" s="1"/>
  <c r="R20" i="130"/>
  <c r="M20" i="130"/>
  <c r="H20" i="130"/>
  <c r="R19" i="130"/>
  <c r="M19" i="130"/>
  <c r="H19" i="130"/>
  <c r="R18" i="130"/>
  <c r="M18" i="130"/>
  <c r="H18" i="130"/>
  <c r="Q17" i="130"/>
  <c r="P17" i="130"/>
  <c r="O17" i="130"/>
  <c r="R17" i="130" s="1"/>
  <c r="L17" i="130"/>
  <c r="K17" i="130"/>
  <c r="J17" i="130"/>
  <c r="G17" i="130"/>
  <c r="G16" i="130" s="1"/>
  <c r="G15" i="130" s="1"/>
  <c r="G14" i="130" s="1"/>
  <c r="F17" i="130"/>
  <c r="E17" i="130"/>
  <c r="Q16" i="130"/>
  <c r="P16" i="130"/>
  <c r="L16" i="130"/>
  <c r="K16" i="130"/>
  <c r="J16" i="130"/>
  <c r="J15" i="130" s="1"/>
  <c r="F16" i="130"/>
  <c r="E16" i="130"/>
  <c r="Q15" i="130"/>
  <c r="Q14" i="130" s="1"/>
  <c r="Q10" i="130" s="1"/>
  <c r="Q80" i="130" s="1"/>
  <c r="L15" i="130"/>
  <c r="K15" i="130"/>
  <c r="F15" i="130"/>
  <c r="E15" i="130"/>
  <c r="E14" i="130" s="1"/>
  <c r="L14" i="130"/>
  <c r="F14" i="130"/>
  <c r="F10" i="130" s="1"/>
  <c r="R13" i="130"/>
  <c r="M13" i="130"/>
  <c r="H13" i="130"/>
  <c r="R12" i="130"/>
  <c r="M12" i="130"/>
  <c r="H12" i="130"/>
  <c r="R11" i="130"/>
  <c r="M11" i="130"/>
  <c r="E11" i="130"/>
  <c r="H11" i="130" s="1"/>
  <c r="H14" i="130" l="1"/>
  <c r="E10" i="130"/>
  <c r="H48" i="130"/>
  <c r="H233" i="130"/>
  <c r="E231" i="130"/>
  <c r="H231" i="130" s="1"/>
  <c r="R233" i="130"/>
  <c r="O231" i="130"/>
  <c r="R231" i="130" s="1"/>
  <c r="L35" i="130"/>
  <c r="H37" i="130"/>
  <c r="E36" i="130"/>
  <c r="G182" i="130"/>
  <c r="G178" i="130" s="1"/>
  <c r="G248" i="130" s="1"/>
  <c r="J14" i="130"/>
  <c r="Q164" i="130"/>
  <c r="G119" i="130"/>
  <c r="G164" i="130" s="1"/>
  <c r="H132" i="130"/>
  <c r="M149" i="130"/>
  <c r="J147" i="130"/>
  <c r="M147" i="130" s="1"/>
  <c r="Q248" i="130"/>
  <c r="J231" i="130"/>
  <c r="M231" i="130" s="1"/>
  <c r="H65" i="130"/>
  <c r="R98" i="130"/>
  <c r="R110" i="130"/>
  <c r="H149" i="130"/>
  <c r="M194" i="130"/>
  <c r="H216" i="130"/>
  <c r="R33" i="130"/>
  <c r="H55" i="130"/>
  <c r="M68" i="130"/>
  <c r="P94" i="130"/>
  <c r="R94" i="130" s="1"/>
  <c r="R99" i="130"/>
  <c r="M116" i="130"/>
  <c r="M117" i="130"/>
  <c r="F120" i="130"/>
  <c r="M121" i="130"/>
  <c r="R129" i="130"/>
  <c r="R165" i="130"/>
  <c r="H200" i="130"/>
  <c r="M219" i="130"/>
  <c r="M249" i="130"/>
  <c r="H16" i="130"/>
  <c r="M17" i="130"/>
  <c r="R21" i="130"/>
  <c r="M27" i="130"/>
  <c r="R32" i="130"/>
  <c r="L33" i="130"/>
  <c r="M37" i="130"/>
  <c r="R42" i="130"/>
  <c r="M45" i="130"/>
  <c r="F48" i="130"/>
  <c r="F36" i="130" s="1"/>
  <c r="F35" i="130" s="1"/>
  <c r="F80" i="130" s="1"/>
  <c r="M49" i="130"/>
  <c r="H51" i="130"/>
  <c r="H59" i="130"/>
  <c r="O65" i="130"/>
  <c r="H68" i="130"/>
  <c r="M72" i="130"/>
  <c r="H76" i="130"/>
  <c r="J81" i="130"/>
  <c r="M81" i="130" s="1"/>
  <c r="R82" i="130"/>
  <c r="M85" i="130"/>
  <c r="R100" i="130"/>
  <c r="R101" i="130"/>
  <c r="H105" i="130"/>
  <c r="M106" i="130"/>
  <c r="K110" i="130"/>
  <c r="M110" i="130" s="1"/>
  <c r="H116" i="130"/>
  <c r="R126" i="130"/>
  <c r="M129" i="130"/>
  <c r="M133" i="130"/>
  <c r="H135" i="130"/>
  <c r="H143" i="130"/>
  <c r="O149" i="130"/>
  <c r="H150" i="130"/>
  <c r="J165" i="130"/>
  <c r="R169" i="130"/>
  <c r="E178" i="130"/>
  <c r="M184" i="130"/>
  <c r="R185" i="130"/>
  <c r="H190" i="130"/>
  <c r="F194" i="130"/>
  <c r="H194" i="130" s="1"/>
  <c r="R195" i="130"/>
  <c r="R200" i="130"/>
  <c r="O204" i="130"/>
  <c r="H210" i="130"/>
  <c r="O216" i="130"/>
  <c r="R216" i="130" s="1"/>
  <c r="H219" i="130"/>
  <c r="M223" i="130"/>
  <c r="H227" i="130"/>
  <c r="R236" i="130"/>
  <c r="M240" i="130"/>
  <c r="R244" i="130"/>
  <c r="R250" i="130"/>
  <c r="M253" i="130"/>
  <c r="R257" i="130"/>
  <c r="M15" i="130"/>
  <c r="H26" i="130"/>
  <c r="H32" i="130"/>
  <c r="R48" i="130"/>
  <c r="H100" i="130"/>
  <c r="R132" i="130"/>
  <c r="M182" i="130"/>
  <c r="R183" i="130"/>
  <c r="H204" i="130"/>
  <c r="R249" i="130"/>
  <c r="H15" i="130"/>
  <c r="M16" i="130"/>
  <c r="R27" i="130"/>
  <c r="G32" i="130"/>
  <c r="G10" i="130" s="1"/>
  <c r="G80" i="130" s="1"/>
  <c r="P36" i="130"/>
  <c r="P35" i="130" s="1"/>
  <c r="H38" i="130"/>
  <c r="R45" i="130"/>
  <c r="K48" i="130"/>
  <c r="R49" i="130"/>
  <c r="M76" i="130"/>
  <c r="R81" i="130"/>
  <c r="H101" i="130"/>
  <c r="M105" i="130"/>
  <c r="H111" i="130"/>
  <c r="E121" i="130"/>
  <c r="K132" i="130"/>
  <c r="R133" i="130"/>
  <c r="H139" i="130"/>
  <c r="F149" i="130"/>
  <c r="F147" i="130" s="1"/>
  <c r="H147" i="130" s="1"/>
  <c r="M150" i="130"/>
  <c r="H166" i="130"/>
  <c r="M183" i="130"/>
  <c r="R184" i="130"/>
  <c r="H189" i="130"/>
  <c r="M227" i="130"/>
  <c r="H234" i="130"/>
  <c r="R240" i="130"/>
  <c r="K14" i="130"/>
  <c r="K10" i="130" s="1"/>
  <c r="P15" i="130"/>
  <c r="O16" i="130"/>
  <c r="O15" i="130" s="1"/>
  <c r="O14" i="130" s="1"/>
  <c r="O10" i="130" s="1"/>
  <c r="H17" i="130"/>
  <c r="J21" i="130"/>
  <c r="M21" i="130" s="1"/>
  <c r="R22" i="130"/>
  <c r="P26" i="130"/>
  <c r="R26" i="130" s="1"/>
  <c r="H27" i="130"/>
  <c r="M42" i="130"/>
  <c r="H45" i="130"/>
  <c r="H49" i="130"/>
  <c r="R55" i="130"/>
  <c r="J65" i="130"/>
  <c r="R66" i="130"/>
  <c r="H72" i="130"/>
  <c r="E81" i="130"/>
  <c r="H81" i="130" s="1"/>
  <c r="M82" i="130"/>
  <c r="H85" i="130"/>
  <c r="R89" i="130"/>
  <c r="F99" i="130"/>
  <c r="K100" i="130"/>
  <c r="H106" i="130"/>
  <c r="F110" i="130"/>
  <c r="H110" i="130" s="1"/>
  <c r="R111" i="130"/>
  <c r="P120" i="130"/>
  <c r="R120" i="130" s="1"/>
  <c r="M126" i="130"/>
  <c r="H129" i="130"/>
  <c r="H133" i="130"/>
  <c r="R139" i="130"/>
  <c r="P149" i="130"/>
  <c r="P147" i="130" s="1"/>
  <c r="R152" i="130"/>
  <c r="M156" i="130"/>
  <c r="R160" i="130"/>
  <c r="K165" i="130"/>
  <c r="R166" i="130"/>
  <c r="M169" i="130"/>
  <c r="R173" i="130"/>
  <c r="P182" i="130"/>
  <c r="F184" i="130"/>
  <c r="M185" i="130"/>
  <c r="O189" i="130"/>
  <c r="R189" i="130" s="1"/>
  <c r="M195" i="130"/>
  <c r="M200" i="130"/>
  <c r="J204" i="130"/>
  <c r="R205" i="130"/>
  <c r="R213" i="130"/>
  <c r="J216" i="130"/>
  <c r="M216" i="130" s="1"/>
  <c r="R217" i="130"/>
  <c r="H223" i="130"/>
  <c r="K233" i="130"/>
  <c r="K231" i="130" s="1"/>
  <c r="K203" i="130" s="1"/>
  <c r="K248" i="130" s="1"/>
  <c r="R234" i="130"/>
  <c r="M236" i="130"/>
  <c r="H240" i="130"/>
  <c r="M244" i="130"/>
  <c r="F249" i="130"/>
  <c r="H249" i="130" s="1"/>
  <c r="M250" i="130"/>
  <c r="H253" i="130"/>
  <c r="M257" i="130"/>
  <c r="P178" i="130" l="1"/>
  <c r="P248" i="130" s="1"/>
  <c r="R149" i="130"/>
  <c r="O147" i="130"/>
  <c r="M204" i="130"/>
  <c r="J203" i="130"/>
  <c r="M100" i="130"/>
  <c r="K99" i="130"/>
  <c r="R15" i="130"/>
  <c r="P14" i="130"/>
  <c r="R204" i="130"/>
  <c r="O203" i="130"/>
  <c r="R203" i="130" s="1"/>
  <c r="J119" i="130"/>
  <c r="O182" i="130"/>
  <c r="O178" i="130" s="1"/>
  <c r="E203" i="130"/>
  <c r="H99" i="130"/>
  <c r="F98" i="130"/>
  <c r="M132" i="130"/>
  <c r="K120" i="130"/>
  <c r="M48" i="130"/>
  <c r="K36" i="130"/>
  <c r="M165" i="130"/>
  <c r="R65" i="130"/>
  <c r="O63" i="130"/>
  <c r="M33" i="130"/>
  <c r="L32" i="130"/>
  <c r="M233" i="130"/>
  <c r="H10" i="130"/>
  <c r="P164" i="130"/>
  <c r="M14" i="130"/>
  <c r="J10" i="130"/>
  <c r="P119" i="130"/>
  <c r="M65" i="130"/>
  <c r="J63" i="130"/>
  <c r="R16" i="130"/>
  <c r="H184" i="130"/>
  <c r="F183" i="130"/>
  <c r="H121" i="130"/>
  <c r="E120" i="130"/>
  <c r="F119" i="130"/>
  <c r="H36" i="130"/>
  <c r="E35" i="130"/>
  <c r="R36" i="130"/>
  <c r="Q320" i="126"/>
  <c r="L320" i="126"/>
  <c r="L319" i="126" s="1"/>
  <c r="L318" i="126" s="1"/>
  <c r="G320" i="126"/>
  <c r="G319" i="126" s="1"/>
  <c r="G318" i="126" s="1"/>
  <c r="Q319" i="126"/>
  <c r="Q318" i="126"/>
  <c r="Q316" i="126"/>
  <c r="Q315" i="126" s="1"/>
  <c r="L316" i="126"/>
  <c r="L315" i="126" s="1"/>
  <c r="G316" i="126"/>
  <c r="G315" i="126"/>
  <c r="Q312" i="126"/>
  <c r="Q311" i="126" s="1"/>
  <c r="Q310" i="126" s="1"/>
  <c r="L312" i="126"/>
  <c r="G312" i="126"/>
  <c r="L311" i="126"/>
  <c r="L310" i="126" s="1"/>
  <c r="G311" i="126"/>
  <c r="G310" i="126"/>
  <c r="Q308" i="126"/>
  <c r="L308" i="126"/>
  <c r="G308" i="126"/>
  <c r="G307" i="126" s="1"/>
  <c r="Q307" i="126"/>
  <c r="L307" i="126"/>
  <c r="Q303" i="126"/>
  <c r="Q302" i="126" s="1"/>
  <c r="Q301" i="126" s="1"/>
  <c r="L303" i="126"/>
  <c r="L302" i="126" s="1"/>
  <c r="L301" i="126" s="1"/>
  <c r="G303" i="126"/>
  <c r="G302" i="126"/>
  <c r="G301" i="126" s="1"/>
  <c r="Q299" i="126"/>
  <c r="Q298" i="126" s="1"/>
  <c r="L299" i="126"/>
  <c r="G299" i="126"/>
  <c r="G298" i="126" s="1"/>
  <c r="L298" i="126"/>
  <c r="Q293" i="126"/>
  <c r="L293" i="126"/>
  <c r="G293" i="126"/>
  <c r="G292" i="126" s="1"/>
  <c r="G291" i="126" s="1"/>
  <c r="Q292" i="126"/>
  <c r="Q291" i="126" s="1"/>
  <c r="L292" i="126"/>
  <c r="L291" i="126"/>
  <c r="Q289" i="126"/>
  <c r="L289" i="126"/>
  <c r="L288" i="126" s="1"/>
  <c r="G289" i="126"/>
  <c r="G288" i="126" s="1"/>
  <c r="Q288" i="126"/>
  <c r="Q285" i="126"/>
  <c r="Q284" i="126" s="1"/>
  <c r="Q283" i="126" s="1"/>
  <c r="L285" i="126"/>
  <c r="G285" i="126"/>
  <c r="L284" i="126"/>
  <c r="L283" i="126" s="1"/>
  <c r="G284" i="126"/>
  <c r="G283" i="126"/>
  <c r="Q281" i="126"/>
  <c r="Q280" i="126" s="1"/>
  <c r="L281" i="126"/>
  <c r="L280" i="126" s="1"/>
  <c r="G281" i="126"/>
  <c r="G280" i="126"/>
  <c r="Q276" i="126"/>
  <c r="L276" i="126"/>
  <c r="L275" i="126" s="1"/>
  <c r="L274" i="126" s="1"/>
  <c r="G276" i="126"/>
  <c r="G275" i="126" s="1"/>
  <c r="G274" i="126" s="1"/>
  <c r="Q275" i="126"/>
  <c r="Q274" i="126" s="1"/>
  <c r="Q272" i="126"/>
  <c r="L272" i="126"/>
  <c r="L271" i="126" s="1"/>
  <c r="G272" i="126"/>
  <c r="G271" i="126" s="1"/>
  <c r="Q271" i="126"/>
  <c r="R260" i="126"/>
  <c r="M260" i="126"/>
  <c r="H260" i="126"/>
  <c r="R259" i="126"/>
  <c r="M259" i="126"/>
  <c r="H259" i="126"/>
  <c r="R258" i="126"/>
  <c r="M258" i="126"/>
  <c r="H258" i="126"/>
  <c r="Q257" i="126"/>
  <c r="P257" i="126"/>
  <c r="O257" i="126"/>
  <c r="R257" i="126" s="1"/>
  <c r="L257" i="126"/>
  <c r="K257" i="126"/>
  <c r="J257" i="126"/>
  <c r="G257" i="126"/>
  <c r="F257" i="126"/>
  <c r="E257" i="126"/>
  <c r="R256" i="126"/>
  <c r="M256" i="126"/>
  <c r="H256" i="126"/>
  <c r="R255" i="126"/>
  <c r="M255" i="126"/>
  <c r="H255" i="126"/>
  <c r="R254" i="126"/>
  <c r="M254" i="126"/>
  <c r="H254" i="126"/>
  <c r="Q253" i="126"/>
  <c r="P253" i="126"/>
  <c r="R253" i="126" s="1"/>
  <c r="O253" i="126"/>
  <c r="L253" i="126"/>
  <c r="K253" i="126"/>
  <c r="J253" i="126"/>
  <c r="G253" i="126"/>
  <c r="F253" i="126"/>
  <c r="E253" i="126"/>
  <c r="R252" i="126"/>
  <c r="M252" i="126"/>
  <c r="H252" i="126"/>
  <c r="R251" i="126"/>
  <c r="M251" i="126"/>
  <c r="H251" i="126"/>
  <c r="Q250" i="126"/>
  <c r="P250" i="126"/>
  <c r="O250" i="126"/>
  <c r="O249" i="126" s="1"/>
  <c r="R249" i="126" s="1"/>
  <c r="L250" i="126"/>
  <c r="L249" i="126" s="1"/>
  <c r="K250" i="126"/>
  <c r="J250" i="126"/>
  <c r="G250" i="126"/>
  <c r="G249" i="126" s="1"/>
  <c r="F250" i="126"/>
  <c r="F249" i="126" s="1"/>
  <c r="E250" i="126"/>
  <c r="Q249" i="126"/>
  <c r="P249" i="126"/>
  <c r="K249" i="126"/>
  <c r="J249" i="126"/>
  <c r="E249" i="126"/>
  <c r="R247" i="126"/>
  <c r="M247" i="126"/>
  <c r="H247" i="126"/>
  <c r="R246" i="126"/>
  <c r="M246" i="126"/>
  <c r="H246" i="126"/>
  <c r="R245" i="126"/>
  <c r="M245" i="126"/>
  <c r="H245" i="126"/>
  <c r="Q244" i="126"/>
  <c r="P244" i="126"/>
  <c r="O244" i="126"/>
  <c r="R244" i="126" s="1"/>
  <c r="L244" i="126"/>
  <c r="K244" i="126"/>
  <c r="J244" i="126"/>
  <c r="G244" i="126"/>
  <c r="F244" i="126"/>
  <c r="E244" i="126"/>
  <c r="R243" i="126"/>
  <c r="M243" i="126"/>
  <c r="H243" i="126"/>
  <c r="R242" i="126"/>
  <c r="M242" i="126"/>
  <c r="H242" i="126"/>
  <c r="R241" i="126"/>
  <c r="M241" i="126"/>
  <c r="H241" i="126"/>
  <c r="Q240" i="126"/>
  <c r="Q233" i="126" s="1"/>
  <c r="Q231" i="126" s="1"/>
  <c r="P240" i="126"/>
  <c r="R240" i="126" s="1"/>
  <c r="O240" i="126"/>
  <c r="L240" i="126"/>
  <c r="K240" i="126"/>
  <c r="K233" i="126" s="1"/>
  <c r="K231" i="126" s="1"/>
  <c r="J240" i="126"/>
  <c r="J233" i="126" s="1"/>
  <c r="G240" i="126"/>
  <c r="F240" i="126"/>
  <c r="E240" i="126"/>
  <c r="E233" i="126" s="1"/>
  <c r="R239" i="126"/>
  <c r="M239" i="126"/>
  <c r="H239" i="126"/>
  <c r="R238" i="126"/>
  <c r="M238" i="126"/>
  <c r="H238" i="126"/>
  <c r="R237" i="126"/>
  <c r="M237" i="126"/>
  <c r="H237" i="126"/>
  <c r="Q236" i="126"/>
  <c r="P236" i="126"/>
  <c r="O236" i="126"/>
  <c r="R236" i="126" s="1"/>
  <c r="L236" i="126"/>
  <c r="K236" i="126"/>
  <c r="J236" i="126"/>
  <c r="G236" i="126"/>
  <c r="F236" i="126"/>
  <c r="E236" i="126"/>
  <c r="R235" i="126"/>
  <c r="M235" i="126"/>
  <c r="H235" i="126"/>
  <c r="Q234" i="126"/>
  <c r="P234" i="126"/>
  <c r="O234" i="126"/>
  <c r="R234" i="126" s="1"/>
  <c r="L234" i="126"/>
  <c r="L233" i="126" s="1"/>
  <c r="L231" i="126" s="1"/>
  <c r="K234" i="126"/>
  <c r="J234" i="126"/>
  <c r="G234" i="126"/>
  <c r="F234" i="126"/>
  <c r="H234" i="126" s="1"/>
  <c r="E234" i="126"/>
  <c r="O233" i="126"/>
  <c r="G233" i="126"/>
  <c r="R232" i="126"/>
  <c r="M232" i="126"/>
  <c r="H232" i="126"/>
  <c r="O231" i="126"/>
  <c r="G231" i="126"/>
  <c r="R230" i="126"/>
  <c r="M230" i="126"/>
  <c r="H230" i="126"/>
  <c r="R229" i="126"/>
  <c r="M229" i="126"/>
  <c r="H229" i="126"/>
  <c r="R228" i="126"/>
  <c r="M228" i="126"/>
  <c r="H228" i="126"/>
  <c r="Q227" i="126"/>
  <c r="P227" i="126"/>
  <c r="O227" i="126"/>
  <c r="L227" i="126"/>
  <c r="K227" i="126"/>
  <c r="J227" i="126"/>
  <c r="G227" i="126"/>
  <c r="F227" i="126"/>
  <c r="E227" i="126"/>
  <c r="H227" i="126" s="1"/>
  <c r="R226" i="126"/>
  <c r="M226" i="126"/>
  <c r="H226" i="126"/>
  <c r="R225" i="126"/>
  <c r="M225" i="126"/>
  <c r="H225" i="126"/>
  <c r="R224" i="126"/>
  <c r="M224" i="126"/>
  <c r="H224" i="126"/>
  <c r="Q223" i="126"/>
  <c r="P223" i="126"/>
  <c r="P216" i="126" s="1"/>
  <c r="O223" i="126"/>
  <c r="O216" i="126" s="1"/>
  <c r="L223" i="126"/>
  <c r="K223" i="126"/>
  <c r="J223" i="126"/>
  <c r="J216" i="126" s="1"/>
  <c r="G223" i="126"/>
  <c r="G216" i="126" s="1"/>
  <c r="G204" i="126" s="1"/>
  <c r="G203" i="126" s="1"/>
  <c r="F223" i="126"/>
  <c r="E223" i="126"/>
  <c r="R222" i="126"/>
  <c r="M222" i="126"/>
  <c r="H222" i="126"/>
  <c r="R221" i="126"/>
  <c r="M221" i="126"/>
  <c r="H221" i="126"/>
  <c r="R220" i="126"/>
  <c r="M220" i="126"/>
  <c r="H220" i="126"/>
  <c r="Q219" i="126"/>
  <c r="P219" i="126"/>
  <c r="O219" i="126"/>
  <c r="L219" i="126"/>
  <c r="K219" i="126"/>
  <c r="J219" i="126"/>
  <c r="G219" i="126"/>
  <c r="F219" i="126"/>
  <c r="E219" i="126"/>
  <c r="H219" i="126" s="1"/>
  <c r="R218" i="126"/>
  <c r="M218" i="126"/>
  <c r="H218" i="126"/>
  <c r="Q217" i="126"/>
  <c r="Q216" i="126" s="1"/>
  <c r="P217" i="126"/>
  <c r="O217" i="126"/>
  <c r="L217" i="126"/>
  <c r="K217" i="126"/>
  <c r="K216" i="126" s="1"/>
  <c r="J217" i="126"/>
  <c r="G217" i="126"/>
  <c r="F217" i="126"/>
  <c r="E217" i="126"/>
  <c r="H217" i="126" s="1"/>
  <c r="L216" i="126"/>
  <c r="F216" i="126"/>
  <c r="R215" i="126"/>
  <c r="M215" i="126"/>
  <c r="H215" i="126"/>
  <c r="R214" i="126"/>
  <c r="M214" i="126"/>
  <c r="H214" i="126"/>
  <c r="Q213" i="126"/>
  <c r="P213" i="126"/>
  <c r="O213" i="126"/>
  <c r="L213" i="126"/>
  <c r="K213" i="126"/>
  <c r="J213" i="126"/>
  <c r="G213" i="126"/>
  <c r="F213" i="126"/>
  <c r="E213" i="126"/>
  <c r="H213" i="126" s="1"/>
  <c r="R212" i="126"/>
  <c r="M212" i="126"/>
  <c r="H212" i="126"/>
  <c r="R211" i="126"/>
  <c r="M211" i="126"/>
  <c r="H211" i="126"/>
  <c r="Q210" i="126"/>
  <c r="P210" i="126"/>
  <c r="P204" i="126" s="1"/>
  <c r="O210" i="126"/>
  <c r="L210" i="126"/>
  <c r="K210" i="126"/>
  <c r="J210" i="126"/>
  <c r="M210" i="126" s="1"/>
  <c r="G210" i="126"/>
  <c r="F210" i="126"/>
  <c r="E210" i="126"/>
  <c r="H210" i="126" s="1"/>
  <c r="R209" i="126"/>
  <c r="M209" i="126"/>
  <c r="H209" i="126"/>
  <c r="R208" i="126"/>
  <c r="M208" i="126"/>
  <c r="H208" i="126"/>
  <c r="R207" i="126"/>
  <c r="M207" i="126"/>
  <c r="H207" i="126"/>
  <c r="R206" i="126"/>
  <c r="M206" i="126"/>
  <c r="H206" i="126"/>
  <c r="Q205" i="126"/>
  <c r="Q204" i="126" s="1"/>
  <c r="Q203" i="126" s="1"/>
  <c r="P205" i="126"/>
  <c r="O205" i="126"/>
  <c r="L205" i="126"/>
  <c r="K205" i="126"/>
  <c r="K204" i="126" s="1"/>
  <c r="K203" i="126" s="1"/>
  <c r="J205" i="126"/>
  <c r="G205" i="126"/>
  <c r="F205" i="126"/>
  <c r="E205" i="126"/>
  <c r="H205" i="126" s="1"/>
  <c r="L204" i="126"/>
  <c r="L203" i="126" s="1"/>
  <c r="F204" i="126"/>
  <c r="R202" i="126"/>
  <c r="M202" i="126"/>
  <c r="H202" i="126"/>
  <c r="R201" i="126"/>
  <c r="M201" i="126"/>
  <c r="H201" i="126"/>
  <c r="Q200" i="126"/>
  <c r="P200" i="126"/>
  <c r="O200" i="126"/>
  <c r="R200" i="126" s="1"/>
  <c r="L200" i="126"/>
  <c r="K200" i="126"/>
  <c r="J200" i="126"/>
  <c r="G200" i="126"/>
  <c r="F200" i="126"/>
  <c r="H200" i="126" s="1"/>
  <c r="E200" i="126"/>
  <c r="R199" i="126"/>
  <c r="M199" i="126"/>
  <c r="H199" i="126"/>
  <c r="R198" i="126"/>
  <c r="M198" i="126"/>
  <c r="H198" i="126"/>
  <c r="R197" i="126"/>
  <c r="M197" i="126"/>
  <c r="H197" i="126"/>
  <c r="R196" i="126"/>
  <c r="M196" i="126"/>
  <c r="H196" i="126"/>
  <c r="Q195" i="126"/>
  <c r="P195" i="126"/>
  <c r="O195" i="126"/>
  <c r="O194" i="126" s="1"/>
  <c r="L195" i="126"/>
  <c r="K195" i="126"/>
  <c r="J195" i="126"/>
  <c r="G195" i="126"/>
  <c r="G194" i="126" s="1"/>
  <c r="F195" i="126"/>
  <c r="E195" i="126"/>
  <c r="Q194" i="126"/>
  <c r="P194" i="126"/>
  <c r="L194" i="126"/>
  <c r="K194" i="126"/>
  <c r="J194" i="126"/>
  <c r="F194" i="126"/>
  <c r="E194" i="126"/>
  <c r="R193" i="126"/>
  <c r="M193" i="126"/>
  <c r="H193" i="126"/>
  <c r="R192" i="126"/>
  <c r="M192" i="126"/>
  <c r="H192" i="126"/>
  <c r="R191" i="126"/>
  <c r="M191" i="126"/>
  <c r="H191" i="126"/>
  <c r="Q190" i="126"/>
  <c r="P190" i="126"/>
  <c r="O190" i="126"/>
  <c r="R190" i="126" s="1"/>
  <c r="L190" i="126"/>
  <c r="L189" i="126" s="1"/>
  <c r="K190" i="126"/>
  <c r="J190" i="126"/>
  <c r="G190" i="126"/>
  <c r="F190" i="126"/>
  <c r="F189" i="126" s="1"/>
  <c r="E190" i="126"/>
  <c r="Q189" i="126"/>
  <c r="P189" i="126"/>
  <c r="O189" i="126"/>
  <c r="R189" i="126" s="1"/>
  <c r="K189" i="126"/>
  <c r="J189" i="126"/>
  <c r="G189" i="126"/>
  <c r="E189" i="126"/>
  <c r="R188" i="126"/>
  <c r="M188" i="126"/>
  <c r="H188" i="126"/>
  <c r="R187" i="126"/>
  <c r="M187" i="126"/>
  <c r="H187" i="126"/>
  <c r="R186" i="126"/>
  <c r="M186" i="126"/>
  <c r="H186" i="126"/>
  <c r="Q185" i="126"/>
  <c r="Q184" i="126" s="1"/>
  <c r="Q183" i="126" s="1"/>
  <c r="Q182" i="126" s="1"/>
  <c r="Q178" i="126" s="1"/>
  <c r="Q248" i="126" s="1"/>
  <c r="P185" i="126"/>
  <c r="O185" i="126"/>
  <c r="L185" i="126"/>
  <c r="K185" i="126"/>
  <c r="M185" i="126" s="1"/>
  <c r="J185" i="126"/>
  <c r="G185" i="126"/>
  <c r="F185" i="126"/>
  <c r="E185" i="126"/>
  <c r="E184" i="126" s="1"/>
  <c r="E183" i="126" s="1"/>
  <c r="E182" i="126" s="1"/>
  <c r="E178" i="126" s="1"/>
  <c r="P184" i="126"/>
  <c r="O184" i="126"/>
  <c r="L184" i="126"/>
  <c r="L183" i="126" s="1"/>
  <c r="L182" i="126" s="1"/>
  <c r="L178" i="126" s="1"/>
  <c r="L248" i="126" s="1"/>
  <c r="J184" i="126"/>
  <c r="G184" i="126"/>
  <c r="F184" i="126"/>
  <c r="P183" i="126"/>
  <c r="O183" i="126"/>
  <c r="O182" i="126" s="1"/>
  <c r="O178" i="126" s="1"/>
  <c r="J183" i="126"/>
  <c r="G183" i="126"/>
  <c r="G182" i="126" s="1"/>
  <c r="G178" i="126" s="1"/>
  <c r="P182" i="126"/>
  <c r="J182" i="126"/>
  <c r="J178" i="126" s="1"/>
  <c r="R181" i="126"/>
  <c r="M181" i="126"/>
  <c r="H181" i="126"/>
  <c r="R180" i="126"/>
  <c r="M180" i="126"/>
  <c r="H180" i="126"/>
  <c r="R179" i="126"/>
  <c r="M179" i="126"/>
  <c r="H179" i="126"/>
  <c r="R177" i="126"/>
  <c r="M177" i="126"/>
  <c r="H177" i="126"/>
  <c r="R176" i="126"/>
  <c r="M176" i="126"/>
  <c r="H176" i="126"/>
  <c r="R175" i="126"/>
  <c r="M175" i="126"/>
  <c r="H175" i="126"/>
  <c r="R174" i="126"/>
  <c r="M174" i="126"/>
  <c r="H174" i="126"/>
  <c r="Q173" i="126"/>
  <c r="P173" i="126"/>
  <c r="O173" i="126"/>
  <c r="R173" i="126" s="1"/>
  <c r="L173" i="126"/>
  <c r="K173" i="126"/>
  <c r="J173" i="126"/>
  <c r="M173" i="126" s="1"/>
  <c r="G173" i="126"/>
  <c r="G165" i="126" s="1"/>
  <c r="F173" i="126"/>
  <c r="E173" i="126"/>
  <c r="R172" i="126"/>
  <c r="M172" i="126"/>
  <c r="H172" i="126"/>
  <c r="R171" i="126"/>
  <c r="M171" i="126"/>
  <c r="H171" i="126"/>
  <c r="R170" i="126"/>
  <c r="M170" i="126"/>
  <c r="H170" i="126"/>
  <c r="Q169" i="126"/>
  <c r="P169" i="126"/>
  <c r="O169" i="126"/>
  <c r="L169" i="126"/>
  <c r="K169" i="126"/>
  <c r="M169" i="126" s="1"/>
  <c r="J169" i="126"/>
  <c r="G169" i="126"/>
  <c r="F169" i="126"/>
  <c r="E169" i="126"/>
  <c r="R168" i="126"/>
  <c r="M168" i="126"/>
  <c r="H168" i="126"/>
  <c r="R167" i="126"/>
  <c r="M167" i="126"/>
  <c r="H167" i="126"/>
  <c r="Q166" i="126"/>
  <c r="P166" i="126"/>
  <c r="R166" i="126" s="1"/>
  <c r="O166" i="126"/>
  <c r="L166" i="126"/>
  <c r="K166" i="126"/>
  <c r="J166" i="126"/>
  <c r="J165" i="126" s="1"/>
  <c r="M165" i="126" s="1"/>
  <c r="G166" i="126"/>
  <c r="F166" i="126"/>
  <c r="E166" i="126"/>
  <c r="Q165" i="126"/>
  <c r="L165" i="126"/>
  <c r="K165" i="126"/>
  <c r="F165" i="126"/>
  <c r="E165" i="126"/>
  <c r="R163" i="126"/>
  <c r="M163" i="126"/>
  <c r="H163" i="126"/>
  <c r="R162" i="126"/>
  <c r="M162" i="126"/>
  <c r="H162" i="126"/>
  <c r="R161" i="126"/>
  <c r="M161" i="126"/>
  <c r="H161" i="126"/>
  <c r="Q160" i="126"/>
  <c r="P160" i="126"/>
  <c r="O160" i="126"/>
  <c r="L160" i="126"/>
  <c r="K160" i="126"/>
  <c r="J160" i="126"/>
  <c r="G160" i="126"/>
  <c r="F160" i="126"/>
  <c r="E160" i="126"/>
  <c r="R159" i="126"/>
  <c r="M159" i="126"/>
  <c r="H159" i="126"/>
  <c r="R158" i="126"/>
  <c r="M158" i="126"/>
  <c r="H158" i="126"/>
  <c r="R157" i="126"/>
  <c r="M157" i="126"/>
  <c r="H157" i="126"/>
  <c r="Q156" i="126"/>
  <c r="Q149" i="126" s="1"/>
  <c r="Q147" i="126" s="1"/>
  <c r="P156" i="126"/>
  <c r="O156" i="126"/>
  <c r="L156" i="126"/>
  <c r="L149" i="126" s="1"/>
  <c r="L147" i="126" s="1"/>
  <c r="K156" i="126"/>
  <c r="K149" i="126" s="1"/>
  <c r="K147" i="126" s="1"/>
  <c r="J156" i="126"/>
  <c r="G156" i="126"/>
  <c r="F156" i="126"/>
  <c r="F149" i="126" s="1"/>
  <c r="F147" i="126" s="1"/>
  <c r="E156" i="126"/>
  <c r="H156" i="126" s="1"/>
  <c r="R155" i="126"/>
  <c r="M155" i="126"/>
  <c r="H155" i="126"/>
  <c r="R154" i="126"/>
  <c r="M154" i="126"/>
  <c r="H154" i="126"/>
  <c r="R153" i="126"/>
  <c r="M153" i="126"/>
  <c r="H153" i="126"/>
  <c r="Q152" i="126"/>
  <c r="P152" i="126"/>
  <c r="O152" i="126"/>
  <c r="L152" i="126"/>
  <c r="K152" i="126"/>
  <c r="J152" i="126"/>
  <c r="G152" i="126"/>
  <c r="F152" i="126"/>
  <c r="E152" i="126"/>
  <c r="R151" i="126"/>
  <c r="M151" i="126"/>
  <c r="H151" i="126"/>
  <c r="Q150" i="126"/>
  <c r="P150" i="126"/>
  <c r="O150" i="126"/>
  <c r="R150" i="126" s="1"/>
  <c r="L150" i="126"/>
  <c r="K150" i="126"/>
  <c r="J150" i="126"/>
  <c r="M150" i="126" s="1"/>
  <c r="G150" i="126"/>
  <c r="G149" i="126" s="1"/>
  <c r="G147" i="126" s="1"/>
  <c r="F150" i="126"/>
  <c r="E150" i="126"/>
  <c r="P149" i="126"/>
  <c r="J149" i="126"/>
  <c r="R148" i="126"/>
  <c r="M148" i="126"/>
  <c r="H148" i="126"/>
  <c r="P147" i="126"/>
  <c r="J147" i="126"/>
  <c r="R146" i="126"/>
  <c r="M146" i="126"/>
  <c r="H146" i="126"/>
  <c r="R145" i="126"/>
  <c r="M145" i="126"/>
  <c r="H145" i="126"/>
  <c r="R144" i="126"/>
  <c r="M144" i="126"/>
  <c r="H144" i="126"/>
  <c r="Q143" i="126"/>
  <c r="P143" i="126"/>
  <c r="O143" i="126"/>
  <c r="L143" i="126"/>
  <c r="K143" i="126"/>
  <c r="J143" i="126"/>
  <c r="G143" i="126"/>
  <c r="F143" i="126"/>
  <c r="H143" i="126" s="1"/>
  <c r="E143" i="126"/>
  <c r="R142" i="126"/>
  <c r="M142" i="126"/>
  <c r="H142" i="126"/>
  <c r="R141" i="126"/>
  <c r="M141" i="126"/>
  <c r="H141" i="126"/>
  <c r="R140" i="126"/>
  <c r="M140" i="126"/>
  <c r="H140" i="126"/>
  <c r="Q139" i="126"/>
  <c r="Q132" i="126" s="1"/>
  <c r="P139" i="126"/>
  <c r="P132" i="126" s="1"/>
  <c r="P120" i="126" s="1"/>
  <c r="P119" i="126" s="1"/>
  <c r="O139" i="126"/>
  <c r="L139" i="126"/>
  <c r="K139" i="126"/>
  <c r="K132" i="126" s="1"/>
  <c r="J139" i="126"/>
  <c r="M139" i="126" s="1"/>
  <c r="G139" i="126"/>
  <c r="F139" i="126"/>
  <c r="E139" i="126"/>
  <c r="H139" i="126" s="1"/>
  <c r="R138" i="126"/>
  <c r="M138" i="126"/>
  <c r="H138" i="126"/>
  <c r="R137" i="126"/>
  <c r="M137" i="126"/>
  <c r="H137" i="126"/>
  <c r="R136" i="126"/>
  <c r="M136" i="126"/>
  <c r="H136" i="126"/>
  <c r="Q135" i="126"/>
  <c r="P135" i="126"/>
  <c r="O135" i="126"/>
  <c r="L135" i="126"/>
  <c r="K135" i="126"/>
  <c r="J135" i="126"/>
  <c r="G135" i="126"/>
  <c r="F135" i="126"/>
  <c r="H135" i="126" s="1"/>
  <c r="E135" i="126"/>
  <c r="R134" i="126"/>
  <c r="M134" i="126"/>
  <c r="H134" i="126"/>
  <c r="Q133" i="126"/>
  <c r="P133" i="126"/>
  <c r="O133" i="126"/>
  <c r="R133" i="126" s="1"/>
  <c r="L133" i="126"/>
  <c r="L132" i="126" s="1"/>
  <c r="K133" i="126"/>
  <c r="J133" i="126"/>
  <c r="G133" i="126"/>
  <c r="F133" i="126"/>
  <c r="F132" i="126" s="1"/>
  <c r="E133" i="126"/>
  <c r="O132" i="126"/>
  <c r="G132" i="126"/>
  <c r="R131" i="126"/>
  <c r="M131" i="126"/>
  <c r="H131" i="126"/>
  <c r="R130" i="126"/>
  <c r="M130" i="126"/>
  <c r="H130" i="126"/>
  <c r="Q129" i="126"/>
  <c r="P129" i="126"/>
  <c r="O129" i="126"/>
  <c r="L129" i="126"/>
  <c r="K129" i="126"/>
  <c r="J129" i="126"/>
  <c r="G129" i="126"/>
  <c r="F129" i="126"/>
  <c r="H129" i="126" s="1"/>
  <c r="E129" i="126"/>
  <c r="R128" i="126"/>
  <c r="M128" i="126"/>
  <c r="H128" i="126"/>
  <c r="R127" i="126"/>
  <c r="M127" i="126"/>
  <c r="H127" i="126"/>
  <c r="Q126" i="126"/>
  <c r="P126" i="126"/>
  <c r="O126" i="126"/>
  <c r="L126" i="126"/>
  <c r="K126" i="126"/>
  <c r="M126" i="126" s="1"/>
  <c r="J126" i="126"/>
  <c r="G126" i="126"/>
  <c r="F126" i="126"/>
  <c r="E126" i="126"/>
  <c r="R125" i="126"/>
  <c r="M125" i="126"/>
  <c r="H125" i="126"/>
  <c r="Q124" i="126"/>
  <c r="R124" i="126" s="1"/>
  <c r="L124" i="126"/>
  <c r="M124" i="126" s="1"/>
  <c r="G124" i="126"/>
  <c r="H124" i="126" s="1"/>
  <c r="Q123" i="126"/>
  <c r="R123" i="126" s="1"/>
  <c r="L123" i="126"/>
  <c r="M123" i="126" s="1"/>
  <c r="G123" i="126"/>
  <c r="H123" i="126" s="1"/>
  <c r="Q122" i="126"/>
  <c r="R122" i="126" s="1"/>
  <c r="L122" i="126"/>
  <c r="M122" i="126" s="1"/>
  <c r="G122" i="126"/>
  <c r="H122" i="126" s="1"/>
  <c r="P121" i="126"/>
  <c r="O121" i="126"/>
  <c r="L121" i="126"/>
  <c r="L120" i="126" s="1"/>
  <c r="K121" i="126"/>
  <c r="J121" i="126"/>
  <c r="F121" i="126"/>
  <c r="F120" i="126" s="1"/>
  <c r="E121" i="126"/>
  <c r="O120" i="126"/>
  <c r="R118" i="126"/>
  <c r="M118" i="126"/>
  <c r="H118" i="126"/>
  <c r="Q117" i="126"/>
  <c r="Q116" i="126" s="1"/>
  <c r="Q32" i="126" s="1"/>
  <c r="L117" i="126"/>
  <c r="M117" i="126" s="1"/>
  <c r="G117" i="126"/>
  <c r="H117" i="126" s="1"/>
  <c r="P116" i="126"/>
  <c r="O116" i="126"/>
  <c r="L116" i="126"/>
  <c r="L32" i="126" s="1"/>
  <c r="K116" i="126"/>
  <c r="M116" i="126" s="1"/>
  <c r="J116" i="126"/>
  <c r="F116" i="126"/>
  <c r="E116" i="126"/>
  <c r="R115" i="126"/>
  <c r="M115" i="126"/>
  <c r="H115" i="126"/>
  <c r="R114" i="126"/>
  <c r="M114" i="126"/>
  <c r="H114" i="126"/>
  <c r="R113" i="126"/>
  <c r="M113" i="126"/>
  <c r="H113" i="126"/>
  <c r="R112" i="126"/>
  <c r="M112" i="126"/>
  <c r="H112" i="126"/>
  <c r="Q111" i="126"/>
  <c r="P111" i="126"/>
  <c r="O111" i="126"/>
  <c r="L111" i="126"/>
  <c r="L110" i="126" s="1"/>
  <c r="K111" i="126"/>
  <c r="J111" i="126"/>
  <c r="G111" i="126"/>
  <c r="F111" i="126"/>
  <c r="H111" i="126" s="1"/>
  <c r="E111" i="126"/>
  <c r="Q110" i="126"/>
  <c r="P110" i="126"/>
  <c r="O110" i="126"/>
  <c r="K110" i="126"/>
  <c r="J110" i="126"/>
  <c r="G110" i="126"/>
  <c r="E110" i="126"/>
  <c r="R109" i="126"/>
  <c r="M109" i="126"/>
  <c r="H109" i="126"/>
  <c r="R108" i="126"/>
  <c r="M108" i="126"/>
  <c r="H108" i="126"/>
  <c r="R107" i="126"/>
  <c r="M107" i="126"/>
  <c r="H107" i="126"/>
  <c r="Q106" i="126"/>
  <c r="Q105" i="126" s="1"/>
  <c r="P106" i="126"/>
  <c r="O106" i="126"/>
  <c r="L106" i="126"/>
  <c r="K106" i="126"/>
  <c r="K105" i="126" s="1"/>
  <c r="J106" i="126"/>
  <c r="G106" i="126"/>
  <c r="F106" i="126"/>
  <c r="E106" i="126"/>
  <c r="H106" i="126" s="1"/>
  <c r="P105" i="126"/>
  <c r="O105" i="126"/>
  <c r="L105" i="126"/>
  <c r="J105" i="126"/>
  <c r="G105" i="126"/>
  <c r="F105" i="126"/>
  <c r="R104" i="126"/>
  <c r="M104" i="126"/>
  <c r="H104" i="126"/>
  <c r="R103" i="126"/>
  <c r="M103" i="126"/>
  <c r="H103" i="126"/>
  <c r="R102" i="126"/>
  <c r="M102" i="126"/>
  <c r="H102" i="126"/>
  <c r="Q101" i="126"/>
  <c r="P101" i="126"/>
  <c r="R101" i="126" s="1"/>
  <c r="O101" i="126"/>
  <c r="L101" i="126"/>
  <c r="K101" i="126"/>
  <c r="J101" i="126"/>
  <c r="J100" i="126" s="1"/>
  <c r="J99" i="126" s="1"/>
  <c r="J98" i="126" s="1"/>
  <c r="J94" i="126" s="1"/>
  <c r="G101" i="126"/>
  <c r="F101" i="126"/>
  <c r="E101" i="126"/>
  <c r="Q100" i="126"/>
  <c r="Q99" i="126" s="1"/>
  <c r="Q98" i="126" s="1"/>
  <c r="Q94" i="126" s="1"/>
  <c r="O100" i="126"/>
  <c r="L100" i="126"/>
  <c r="K100" i="126"/>
  <c r="G100" i="126"/>
  <c r="F100" i="126"/>
  <c r="E100" i="126"/>
  <c r="E99" i="126" s="1"/>
  <c r="O99" i="126"/>
  <c r="L99" i="126"/>
  <c r="L98" i="126" s="1"/>
  <c r="L94" i="126" s="1"/>
  <c r="G99" i="126"/>
  <c r="F99" i="126"/>
  <c r="O98" i="126"/>
  <c r="O94" i="126" s="1"/>
  <c r="G98" i="126"/>
  <c r="R97" i="126"/>
  <c r="M97" i="126"/>
  <c r="H97" i="126"/>
  <c r="R96" i="126"/>
  <c r="M96" i="126"/>
  <c r="H96" i="126"/>
  <c r="R95" i="126"/>
  <c r="M95" i="126"/>
  <c r="H95" i="126"/>
  <c r="R93" i="126"/>
  <c r="M93" i="126"/>
  <c r="H93" i="126"/>
  <c r="R92" i="126"/>
  <c r="M92" i="126"/>
  <c r="H92" i="126"/>
  <c r="R91" i="126"/>
  <c r="M91" i="126"/>
  <c r="H91" i="126"/>
  <c r="R90" i="126"/>
  <c r="M90" i="126"/>
  <c r="H90" i="126"/>
  <c r="Q89" i="126"/>
  <c r="P89" i="126"/>
  <c r="O89" i="126"/>
  <c r="R89" i="126" s="1"/>
  <c r="L89" i="126"/>
  <c r="L81" i="126" s="1"/>
  <c r="K89" i="126"/>
  <c r="J89" i="126"/>
  <c r="G89" i="126"/>
  <c r="F89" i="126"/>
  <c r="F81" i="126" s="1"/>
  <c r="E89" i="126"/>
  <c r="R88" i="126"/>
  <c r="M88" i="126"/>
  <c r="H88" i="126"/>
  <c r="R87" i="126"/>
  <c r="M87" i="126"/>
  <c r="H87" i="126"/>
  <c r="R86" i="126"/>
  <c r="M86" i="126"/>
  <c r="H86" i="126"/>
  <c r="Q85" i="126"/>
  <c r="P85" i="126"/>
  <c r="R85" i="126" s="1"/>
  <c r="O85" i="126"/>
  <c r="L85" i="126"/>
  <c r="K85" i="126"/>
  <c r="J85" i="126"/>
  <c r="G85" i="126"/>
  <c r="F85" i="126"/>
  <c r="E85" i="126"/>
  <c r="R84" i="126"/>
  <c r="M84" i="126"/>
  <c r="H84" i="126"/>
  <c r="R83" i="126"/>
  <c r="M83" i="126"/>
  <c r="H83" i="126"/>
  <c r="Q82" i="126"/>
  <c r="P82" i="126"/>
  <c r="O82" i="126"/>
  <c r="O81" i="126" s="1"/>
  <c r="R81" i="126" s="1"/>
  <c r="L82" i="126"/>
  <c r="K82" i="126"/>
  <c r="J82" i="126"/>
  <c r="G82" i="126"/>
  <c r="G81" i="126" s="1"/>
  <c r="F82" i="126"/>
  <c r="E82" i="126"/>
  <c r="Q81" i="126"/>
  <c r="P81" i="126"/>
  <c r="K81" i="126"/>
  <c r="J81" i="126"/>
  <c r="E81" i="126"/>
  <c r="R79" i="126"/>
  <c r="M79" i="126"/>
  <c r="H79" i="126"/>
  <c r="R78" i="126"/>
  <c r="M78" i="126"/>
  <c r="H78" i="126"/>
  <c r="R77" i="126"/>
  <c r="M77" i="126"/>
  <c r="H77" i="126"/>
  <c r="Q76" i="126"/>
  <c r="P76" i="126"/>
  <c r="O76" i="126"/>
  <c r="L76" i="126"/>
  <c r="K76" i="126"/>
  <c r="J76" i="126"/>
  <c r="G76" i="126"/>
  <c r="F76" i="126"/>
  <c r="H76" i="126" s="1"/>
  <c r="E76" i="126"/>
  <c r="R75" i="126"/>
  <c r="M75" i="126"/>
  <c r="H75" i="126"/>
  <c r="R74" i="126"/>
  <c r="M74" i="126"/>
  <c r="H74" i="126"/>
  <c r="R73" i="126"/>
  <c r="M73" i="126"/>
  <c r="H73" i="126"/>
  <c r="Q72" i="126"/>
  <c r="Q65" i="126" s="1"/>
  <c r="Q63" i="126" s="1"/>
  <c r="P72" i="126"/>
  <c r="P65" i="126" s="1"/>
  <c r="P63" i="126" s="1"/>
  <c r="O72" i="126"/>
  <c r="L72" i="126"/>
  <c r="K72" i="126"/>
  <c r="K65" i="126" s="1"/>
  <c r="K63" i="126" s="1"/>
  <c r="J72" i="126"/>
  <c r="M72" i="126" s="1"/>
  <c r="G72" i="126"/>
  <c r="F72" i="126"/>
  <c r="E72" i="126"/>
  <c r="H72" i="126" s="1"/>
  <c r="R71" i="126"/>
  <c r="M71" i="126"/>
  <c r="H71" i="126"/>
  <c r="R70" i="126"/>
  <c r="M70" i="126"/>
  <c r="H70" i="126"/>
  <c r="R69" i="126"/>
  <c r="M69" i="126"/>
  <c r="H69" i="126"/>
  <c r="Q68" i="126"/>
  <c r="P68" i="126"/>
  <c r="O68" i="126"/>
  <c r="L68" i="126"/>
  <c r="K68" i="126"/>
  <c r="J68" i="126"/>
  <c r="G68" i="126"/>
  <c r="F68" i="126"/>
  <c r="H68" i="126" s="1"/>
  <c r="E68" i="126"/>
  <c r="R67" i="126"/>
  <c r="M67" i="126"/>
  <c r="H67" i="126"/>
  <c r="Q66" i="126"/>
  <c r="P66" i="126"/>
  <c r="O66" i="126"/>
  <c r="R66" i="126" s="1"/>
  <c r="L66" i="126"/>
  <c r="L65" i="126" s="1"/>
  <c r="L63" i="126" s="1"/>
  <c r="K66" i="126"/>
  <c r="J66" i="126"/>
  <c r="G66" i="126"/>
  <c r="F66" i="126"/>
  <c r="F65" i="126" s="1"/>
  <c r="F63" i="126" s="1"/>
  <c r="E66" i="126"/>
  <c r="O65" i="126"/>
  <c r="G65" i="126"/>
  <c r="R64" i="126"/>
  <c r="M64" i="126"/>
  <c r="H64" i="126"/>
  <c r="O63" i="126"/>
  <c r="G63" i="126"/>
  <c r="R62" i="126"/>
  <c r="M62" i="126"/>
  <c r="H62" i="126"/>
  <c r="R61" i="126"/>
  <c r="M61" i="126"/>
  <c r="H61" i="126"/>
  <c r="R60" i="126"/>
  <c r="M60" i="126"/>
  <c r="H60" i="126"/>
  <c r="Q59" i="126"/>
  <c r="P59" i="126"/>
  <c r="O59" i="126"/>
  <c r="L59" i="126"/>
  <c r="K59" i="126"/>
  <c r="M59" i="126" s="1"/>
  <c r="J59" i="126"/>
  <c r="G59" i="126"/>
  <c r="F59" i="126"/>
  <c r="E59" i="126"/>
  <c r="R58" i="126"/>
  <c r="M58" i="126"/>
  <c r="H58" i="126"/>
  <c r="R57" i="126"/>
  <c r="M57" i="126"/>
  <c r="H57" i="126"/>
  <c r="R56" i="126"/>
  <c r="M56" i="126"/>
  <c r="H56" i="126"/>
  <c r="Q55" i="126"/>
  <c r="P55" i="126"/>
  <c r="P48" i="126" s="1"/>
  <c r="O55" i="126"/>
  <c r="R55" i="126" s="1"/>
  <c r="L55" i="126"/>
  <c r="K55" i="126"/>
  <c r="J55" i="126"/>
  <c r="M55" i="126" s="1"/>
  <c r="G55" i="126"/>
  <c r="G48" i="126" s="1"/>
  <c r="F55" i="126"/>
  <c r="E55" i="126"/>
  <c r="R54" i="126"/>
  <c r="M54" i="126"/>
  <c r="H54" i="126"/>
  <c r="R53" i="126"/>
  <c r="M53" i="126"/>
  <c r="H53" i="126"/>
  <c r="R52" i="126"/>
  <c r="M52" i="126"/>
  <c r="H52" i="126"/>
  <c r="Q51" i="126"/>
  <c r="P51" i="126"/>
  <c r="O51" i="126"/>
  <c r="L51" i="126"/>
  <c r="K51" i="126"/>
  <c r="M51" i="126" s="1"/>
  <c r="J51" i="126"/>
  <c r="G51" i="126"/>
  <c r="F51" i="126"/>
  <c r="E51" i="126"/>
  <c r="R50" i="126"/>
  <c r="M50" i="126"/>
  <c r="H50" i="126"/>
  <c r="Q49" i="126"/>
  <c r="Q48" i="126" s="1"/>
  <c r="P49" i="126"/>
  <c r="O49" i="126"/>
  <c r="L49" i="126"/>
  <c r="K49" i="126"/>
  <c r="K48" i="126" s="1"/>
  <c r="J49" i="126"/>
  <c r="G49" i="126"/>
  <c r="F49" i="126"/>
  <c r="E49" i="126"/>
  <c r="H49" i="126" s="1"/>
  <c r="L48" i="126"/>
  <c r="F48" i="126"/>
  <c r="R47" i="126"/>
  <c r="M47" i="126"/>
  <c r="H47" i="126"/>
  <c r="R46" i="126"/>
  <c r="M46" i="126"/>
  <c r="H46" i="126"/>
  <c r="Q45" i="126"/>
  <c r="P45" i="126"/>
  <c r="O45" i="126"/>
  <c r="L45" i="126"/>
  <c r="K45" i="126"/>
  <c r="J45" i="126"/>
  <c r="G45" i="126"/>
  <c r="F45" i="126"/>
  <c r="E45" i="126"/>
  <c r="H45" i="126" s="1"/>
  <c r="R44" i="126"/>
  <c r="M44" i="126"/>
  <c r="H44" i="126"/>
  <c r="R43" i="126"/>
  <c r="M43" i="126"/>
  <c r="H43" i="126"/>
  <c r="Q42" i="126"/>
  <c r="P42" i="126"/>
  <c r="P36" i="126" s="1"/>
  <c r="O42" i="126"/>
  <c r="L42" i="126"/>
  <c r="K42" i="126"/>
  <c r="K36" i="126" s="1"/>
  <c r="J42" i="126"/>
  <c r="M42" i="126" s="1"/>
  <c r="G42" i="126"/>
  <c r="F42" i="126"/>
  <c r="E42" i="126"/>
  <c r="H42" i="126" s="1"/>
  <c r="R41" i="126"/>
  <c r="M41" i="126"/>
  <c r="H41" i="126"/>
  <c r="Q40" i="126"/>
  <c r="R40" i="126" s="1"/>
  <c r="L40" i="126"/>
  <c r="M40" i="126" s="1"/>
  <c r="G40" i="126"/>
  <c r="H40" i="126" s="1"/>
  <c r="L39" i="126"/>
  <c r="M39" i="126" s="1"/>
  <c r="G39" i="126"/>
  <c r="H39" i="126" s="1"/>
  <c r="Q38" i="126"/>
  <c r="R38" i="126" s="1"/>
  <c r="G38" i="126"/>
  <c r="H38" i="126" s="1"/>
  <c r="P37" i="126"/>
  <c r="O37" i="126"/>
  <c r="L37" i="126"/>
  <c r="K37" i="126"/>
  <c r="J37" i="126"/>
  <c r="F37" i="126"/>
  <c r="E37" i="126"/>
  <c r="R34" i="126"/>
  <c r="M34" i="126"/>
  <c r="H34" i="126"/>
  <c r="L33" i="126"/>
  <c r="M33" i="126" s="1"/>
  <c r="P32" i="126"/>
  <c r="O32" i="126"/>
  <c r="K32" i="126"/>
  <c r="J32" i="126"/>
  <c r="F32" i="126"/>
  <c r="E32" i="126"/>
  <c r="R31" i="126"/>
  <c r="M31" i="126"/>
  <c r="H31" i="126"/>
  <c r="R30" i="126"/>
  <c r="M30" i="126"/>
  <c r="H30" i="126"/>
  <c r="R29" i="126"/>
  <c r="M29" i="126"/>
  <c r="H29" i="126"/>
  <c r="R28" i="126"/>
  <c r="M28" i="126"/>
  <c r="H28" i="126"/>
  <c r="Q27" i="126"/>
  <c r="P27" i="126"/>
  <c r="P26" i="126" s="1"/>
  <c r="R26" i="126" s="1"/>
  <c r="O27" i="126"/>
  <c r="L27" i="126"/>
  <c r="K27" i="126"/>
  <c r="J27" i="126"/>
  <c r="M27" i="126" s="1"/>
  <c r="G27" i="126"/>
  <c r="F27" i="126"/>
  <c r="E27" i="126"/>
  <c r="H27" i="126" s="1"/>
  <c r="Q26" i="126"/>
  <c r="O26" i="126"/>
  <c r="L26" i="126"/>
  <c r="K26" i="126"/>
  <c r="G26" i="126"/>
  <c r="F26" i="126"/>
  <c r="E26" i="126"/>
  <c r="R25" i="126"/>
  <c r="M25" i="126"/>
  <c r="H25" i="126"/>
  <c r="R24" i="126"/>
  <c r="M24" i="126"/>
  <c r="H24" i="126"/>
  <c r="R23" i="126"/>
  <c r="M23" i="126"/>
  <c r="H23" i="126"/>
  <c r="Q22" i="126"/>
  <c r="P22" i="126"/>
  <c r="O22" i="126"/>
  <c r="R22" i="126" s="1"/>
  <c r="L22" i="126"/>
  <c r="K22" i="126"/>
  <c r="J22" i="126"/>
  <c r="M22" i="126" s="1"/>
  <c r="G22" i="126"/>
  <c r="G21" i="126" s="1"/>
  <c r="F22" i="126"/>
  <c r="E22" i="126"/>
  <c r="Q21" i="126"/>
  <c r="P21" i="126"/>
  <c r="L21" i="126"/>
  <c r="K21" i="126"/>
  <c r="J21" i="126"/>
  <c r="M21" i="126" s="1"/>
  <c r="F21" i="126"/>
  <c r="E21" i="126"/>
  <c r="R20" i="126"/>
  <c r="M20" i="126"/>
  <c r="H20" i="126"/>
  <c r="R19" i="126"/>
  <c r="M19" i="126"/>
  <c r="H19" i="126"/>
  <c r="R18" i="126"/>
  <c r="M18" i="126"/>
  <c r="H18" i="126"/>
  <c r="Q17" i="126"/>
  <c r="P17" i="126"/>
  <c r="O17" i="126"/>
  <c r="L17" i="126"/>
  <c r="L16" i="126" s="1"/>
  <c r="L15" i="126" s="1"/>
  <c r="L14" i="126" s="1"/>
  <c r="K17" i="126"/>
  <c r="J17" i="126"/>
  <c r="G17" i="126"/>
  <c r="F17" i="126"/>
  <c r="H17" i="126" s="1"/>
  <c r="E17" i="126"/>
  <c r="Q16" i="126"/>
  <c r="P16" i="126"/>
  <c r="O16" i="126"/>
  <c r="O15" i="126" s="1"/>
  <c r="K16" i="126"/>
  <c r="J16" i="126"/>
  <c r="G16" i="126"/>
  <c r="G15" i="126" s="1"/>
  <c r="E16" i="126"/>
  <c r="Q15" i="126"/>
  <c r="P15" i="126"/>
  <c r="K15" i="126"/>
  <c r="J15" i="126"/>
  <c r="J14" i="126" s="1"/>
  <c r="E15" i="126"/>
  <c r="Q14" i="126"/>
  <c r="K14" i="126"/>
  <c r="K10" i="126" s="1"/>
  <c r="E14" i="126"/>
  <c r="R13" i="126"/>
  <c r="M13" i="126"/>
  <c r="H13" i="126"/>
  <c r="R12" i="126"/>
  <c r="M12" i="126"/>
  <c r="H12" i="126"/>
  <c r="R11" i="126"/>
  <c r="M11" i="126"/>
  <c r="H11" i="126"/>
  <c r="E231" i="126" l="1"/>
  <c r="P35" i="126"/>
  <c r="L10" i="126"/>
  <c r="L80" i="126" s="1"/>
  <c r="R216" i="126"/>
  <c r="O204" i="126"/>
  <c r="K80" i="126"/>
  <c r="G14" i="126"/>
  <c r="K35" i="126"/>
  <c r="L36" i="126"/>
  <c r="L119" i="126"/>
  <c r="L35" i="126" s="1"/>
  <c r="H132" i="126"/>
  <c r="G248" i="126"/>
  <c r="M216" i="126"/>
  <c r="M14" i="126"/>
  <c r="J10" i="126"/>
  <c r="Q10" i="126"/>
  <c r="F119" i="126"/>
  <c r="M233" i="126"/>
  <c r="J231" i="126"/>
  <c r="M231" i="126" s="1"/>
  <c r="R63" i="126"/>
  <c r="R65" i="126"/>
  <c r="M81" i="126"/>
  <c r="M100" i="126"/>
  <c r="R132" i="126"/>
  <c r="M147" i="126"/>
  <c r="M149" i="126"/>
  <c r="H165" i="126"/>
  <c r="R182" i="126"/>
  <c r="H184" i="126"/>
  <c r="M249" i="126"/>
  <c r="H21" i="126"/>
  <c r="M32" i="126"/>
  <c r="Q33" i="126"/>
  <c r="R33" i="126" s="1"/>
  <c r="H51" i="126"/>
  <c r="H59" i="126"/>
  <c r="R82" i="126"/>
  <c r="M85" i="126"/>
  <c r="R105" i="126"/>
  <c r="R110" i="126"/>
  <c r="R117" i="126"/>
  <c r="G121" i="126"/>
  <c r="H126" i="126"/>
  <c r="J132" i="126"/>
  <c r="E149" i="126"/>
  <c r="R160" i="126"/>
  <c r="H169" i="126"/>
  <c r="R183" i="126"/>
  <c r="H249" i="126"/>
  <c r="M253" i="126"/>
  <c r="H183" i="130"/>
  <c r="F182" i="130"/>
  <c r="K35" i="130"/>
  <c r="K80" i="130" s="1"/>
  <c r="M36" i="130"/>
  <c r="M99" i="130"/>
  <c r="K98" i="130"/>
  <c r="E10" i="126"/>
  <c r="M16" i="126"/>
  <c r="R17" i="126"/>
  <c r="H22" i="126"/>
  <c r="H32" i="126"/>
  <c r="L38" i="126"/>
  <c r="M38" i="126" s="1"/>
  <c r="Q39" i="126"/>
  <c r="R39" i="126" s="1"/>
  <c r="R45" i="126"/>
  <c r="J48" i="126"/>
  <c r="M48" i="126" s="1"/>
  <c r="R49" i="126"/>
  <c r="H55" i="126"/>
  <c r="E65" i="126"/>
  <c r="M66" i="126"/>
  <c r="R68" i="126"/>
  <c r="M76" i="126"/>
  <c r="R76" i="126"/>
  <c r="M82" i="126"/>
  <c r="H85" i="126"/>
  <c r="M89" i="126"/>
  <c r="H101" i="126"/>
  <c r="M105" i="126"/>
  <c r="R106" i="126"/>
  <c r="M110" i="126"/>
  <c r="R111" i="126"/>
  <c r="G116" i="126"/>
  <c r="G32" i="126" s="1"/>
  <c r="R116" i="126"/>
  <c r="K120" i="126"/>
  <c r="K119" i="126" s="1"/>
  <c r="M121" i="126"/>
  <c r="R129" i="126"/>
  <c r="E132" i="126"/>
  <c r="E120" i="126" s="1"/>
  <c r="M133" i="126"/>
  <c r="R135" i="126"/>
  <c r="R143" i="126"/>
  <c r="H150" i="126"/>
  <c r="M152" i="126"/>
  <c r="R156" i="126"/>
  <c r="M160" i="126"/>
  <c r="O165" i="126"/>
  <c r="H166" i="126"/>
  <c r="H173" i="126"/>
  <c r="P178" i="126"/>
  <c r="R184" i="126"/>
  <c r="H189" i="126"/>
  <c r="M190" i="126"/>
  <c r="H194" i="126"/>
  <c r="M195" i="126"/>
  <c r="J204" i="126"/>
  <c r="R205" i="126"/>
  <c r="R213" i="126"/>
  <c r="R217" i="126"/>
  <c r="R219" i="126"/>
  <c r="M223" i="126"/>
  <c r="R227" i="126"/>
  <c r="M234" i="126"/>
  <c r="M236" i="126"/>
  <c r="H240" i="126"/>
  <c r="M244" i="126"/>
  <c r="M250" i="126"/>
  <c r="H253" i="126"/>
  <c r="M257" i="126"/>
  <c r="H35" i="130"/>
  <c r="E80" i="130"/>
  <c r="H80" i="130" s="1"/>
  <c r="O35" i="130"/>
  <c r="R63" i="130"/>
  <c r="H98" i="130"/>
  <c r="F94" i="130"/>
  <c r="R15" i="126"/>
  <c r="R32" i="126"/>
  <c r="H99" i="126"/>
  <c r="R194" i="126"/>
  <c r="J35" i="130"/>
  <c r="M35" i="130" s="1"/>
  <c r="M63" i="130"/>
  <c r="M32" i="130"/>
  <c r="L10" i="130"/>
  <c r="L80" i="130" s="1"/>
  <c r="H203" i="130"/>
  <c r="E248" i="130"/>
  <c r="J164" i="130"/>
  <c r="R147" i="130"/>
  <c r="O119" i="130"/>
  <c r="M15" i="126"/>
  <c r="R16" i="126"/>
  <c r="H26" i="126"/>
  <c r="O48" i="126"/>
  <c r="J65" i="126"/>
  <c r="H81" i="126"/>
  <c r="H100" i="126"/>
  <c r="M101" i="126"/>
  <c r="R152" i="126"/>
  <c r="M166" i="126"/>
  <c r="H185" i="126"/>
  <c r="M189" i="126"/>
  <c r="M194" i="126"/>
  <c r="R195" i="126"/>
  <c r="R223" i="126"/>
  <c r="P233" i="126"/>
  <c r="P231" i="126" s="1"/>
  <c r="R231" i="126" s="1"/>
  <c r="M240" i="126"/>
  <c r="R250" i="126"/>
  <c r="P14" i="126"/>
  <c r="P10" i="126" s="1"/>
  <c r="P80" i="126" s="1"/>
  <c r="F16" i="126"/>
  <c r="M17" i="126"/>
  <c r="O21" i="126"/>
  <c r="R21" i="126" s="1"/>
  <c r="J26" i="126"/>
  <c r="M26" i="126" s="1"/>
  <c r="R27" i="126"/>
  <c r="G33" i="126"/>
  <c r="H33" i="126" s="1"/>
  <c r="F36" i="126"/>
  <c r="M37" i="126"/>
  <c r="R42" i="126"/>
  <c r="M45" i="126"/>
  <c r="E48" i="126"/>
  <c r="H48" i="126" s="1"/>
  <c r="M49" i="126"/>
  <c r="R51" i="126"/>
  <c r="R59" i="126"/>
  <c r="H66" i="126"/>
  <c r="M68" i="126"/>
  <c r="R72" i="126"/>
  <c r="H82" i="126"/>
  <c r="H89" i="126"/>
  <c r="F98" i="126"/>
  <c r="F94" i="126" s="1"/>
  <c r="F164" i="126" s="1"/>
  <c r="K99" i="126"/>
  <c r="P100" i="126"/>
  <c r="E105" i="126"/>
  <c r="H105" i="126" s="1"/>
  <c r="M106" i="126"/>
  <c r="F110" i="126"/>
  <c r="H110" i="126" s="1"/>
  <c r="M111" i="126"/>
  <c r="H121" i="126"/>
  <c r="Q121" i="126"/>
  <c r="R126" i="126"/>
  <c r="M129" i="126"/>
  <c r="H133" i="126"/>
  <c r="M135" i="126"/>
  <c r="R139" i="126"/>
  <c r="M143" i="126"/>
  <c r="O149" i="126"/>
  <c r="H152" i="126"/>
  <c r="M156" i="126"/>
  <c r="H160" i="126"/>
  <c r="P165" i="126"/>
  <c r="R165" i="126" s="1"/>
  <c r="R169" i="126"/>
  <c r="F183" i="126"/>
  <c r="K184" i="126"/>
  <c r="R185" i="126"/>
  <c r="H190" i="126"/>
  <c r="H195" i="126"/>
  <c r="M200" i="126"/>
  <c r="M205" i="126"/>
  <c r="R210" i="126"/>
  <c r="M213" i="126"/>
  <c r="E216" i="126"/>
  <c r="H216" i="126" s="1"/>
  <c r="M217" i="126"/>
  <c r="M219" i="126"/>
  <c r="H223" i="126"/>
  <c r="M227" i="126"/>
  <c r="F233" i="126"/>
  <c r="F231" i="126" s="1"/>
  <c r="H236" i="126"/>
  <c r="H244" i="126"/>
  <c r="H250" i="126"/>
  <c r="H257" i="126"/>
  <c r="H120" i="130"/>
  <c r="E119" i="130"/>
  <c r="M10" i="130"/>
  <c r="K119" i="130"/>
  <c r="M119" i="130" s="1"/>
  <c r="M120" i="130"/>
  <c r="R178" i="130"/>
  <c r="O248" i="130"/>
  <c r="R248" i="130" s="1"/>
  <c r="R14" i="130"/>
  <c r="P10" i="130"/>
  <c r="M203" i="130"/>
  <c r="J248" i="130"/>
  <c r="M248" i="130" s="1"/>
  <c r="R182" i="130"/>
  <c r="M10" i="126"/>
  <c r="R178" i="126"/>
  <c r="E204" i="126" l="1"/>
  <c r="R149" i="126"/>
  <c r="O147" i="126"/>
  <c r="F164" i="130"/>
  <c r="H94" i="130"/>
  <c r="M98" i="130"/>
  <c r="K94" i="130"/>
  <c r="G37" i="126"/>
  <c r="H37" i="126" s="1"/>
  <c r="G120" i="126"/>
  <c r="O14" i="126"/>
  <c r="R204" i="126"/>
  <c r="O203" i="126"/>
  <c r="H233" i="126"/>
  <c r="H183" i="126"/>
  <c r="F182" i="126"/>
  <c r="R100" i="126"/>
  <c r="P99" i="126"/>
  <c r="R233" i="126"/>
  <c r="H149" i="126"/>
  <c r="E147" i="126"/>
  <c r="H147" i="126" s="1"/>
  <c r="J36" i="126"/>
  <c r="E98" i="126"/>
  <c r="L164" i="126"/>
  <c r="E36" i="126"/>
  <c r="E35" i="126" s="1"/>
  <c r="P203" i="126"/>
  <c r="P248" i="126" s="1"/>
  <c r="R48" i="126"/>
  <c r="O36" i="126"/>
  <c r="R119" i="130"/>
  <c r="O164" i="130"/>
  <c r="R164" i="130" s="1"/>
  <c r="H65" i="126"/>
  <c r="E63" i="126"/>
  <c r="H63" i="126" s="1"/>
  <c r="E80" i="126"/>
  <c r="P80" i="130"/>
  <c r="R10" i="130"/>
  <c r="H119" i="130"/>
  <c r="E164" i="130"/>
  <c r="H164" i="130" s="1"/>
  <c r="M184" i="126"/>
  <c r="K183" i="126"/>
  <c r="F35" i="126"/>
  <c r="M204" i="126"/>
  <c r="J203" i="126"/>
  <c r="J80" i="130"/>
  <c r="M80" i="130" s="1"/>
  <c r="H231" i="126"/>
  <c r="Q37" i="126"/>
  <c r="R37" i="126" s="1"/>
  <c r="Q120" i="126"/>
  <c r="M99" i="126"/>
  <c r="K98" i="126"/>
  <c r="H16" i="126"/>
  <c r="F15" i="126"/>
  <c r="R121" i="126"/>
  <c r="M65" i="126"/>
  <c r="J63" i="126"/>
  <c r="M63" i="126" s="1"/>
  <c r="R35" i="130"/>
  <c r="O80" i="130"/>
  <c r="F178" i="130"/>
  <c r="H182" i="130"/>
  <c r="M132" i="126"/>
  <c r="J120" i="126"/>
  <c r="H116" i="126"/>
  <c r="F203" i="126"/>
  <c r="G94" i="126"/>
  <c r="Q340" i="74"/>
  <c r="L340" i="74"/>
  <c r="G340" i="74"/>
  <c r="Q334" i="74"/>
  <c r="Q333" i="74" s="1"/>
  <c r="Q332" i="74" s="1"/>
  <c r="L334" i="74"/>
  <c r="L333" i="74" s="1"/>
  <c r="L332" i="74" s="1"/>
  <c r="G334" i="74"/>
  <c r="G333" i="74"/>
  <c r="G332" i="74" s="1"/>
  <c r="Q316" i="74"/>
  <c r="L316" i="74"/>
  <c r="G316" i="74"/>
  <c r="Q309" i="74"/>
  <c r="Q308" i="74" s="1"/>
  <c r="Q307" i="74" s="1"/>
  <c r="P309" i="74"/>
  <c r="P308" i="74" s="1"/>
  <c r="P307" i="74" s="1"/>
  <c r="L309" i="74"/>
  <c r="K309" i="74"/>
  <c r="G309" i="74"/>
  <c r="G308" i="74" s="1"/>
  <c r="G307" i="74" s="1"/>
  <c r="F309" i="74"/>
  <c r="F308" i="74" s="1"/>
  <c r="L308" i="74"/>
  <c r="L307" i="74" s="1"/>
  <c r="K308" i="74"/>
  <c r="K307" i="74" s="1"/>
  <c r="F306" i="74"/>
  <c r="F305" i="74"/>
  <c r="F301" i="74"/>
  <c r="P297" i="74"/>
  <c r="K297" i="74"/>
  <c r="G297" i="74"/>
  <c r="F297" i="74"/>
  <c r="F296" i="74" s="1"/>
  <c r="F295" i="74" s="1"/>
  <c r="F294" i="74" s="1"/>
  <c r="P296" i="74"/>
  <c r="K296" i="74"/>
  <c r="G296" i="74"/>
  <c r="G295" i="74" s="1"/>
  <c r="P295" i="74"/>
  <c r="K295" i="74"/>
  <c r="P294" i="74"/>
  <c r="K294" i="74"/>
  <c r="K293" i="74" s="1"/>
  <c r="K292" i="74" s="1"/>
  <c r="P293" i="74"/>
  <c r="P292" i="74" s="1"/>
  <c r="L289" i="74"/>
  <c r="L174" i="74" s="1"/>
  <c r="P288" i="74"/>
  <c r="P287" i="74" s="1"/>
  <c r="L288" i="74"/>
  <c r="K288" i="74"/>
  <c r="K287" i="74" s="1"/>
  <c r="G288" i="74"/>
  <c r="G289" i="74" s="1"/>
  <c r="G174" i="74" s="1"/>
  <c r="G173" i="74" s="1"/>
  <c r="G165" i="74" s="1"/>
  <c r="F288" i="74"/>
  <c r="F287" i="74" s="1"/>
  <c r="O286" i="74"/>
  <c r="N286" i="74"/>
  <c r="G286" i="74"/>
  <c r="P284" i="74"/>
  <c r="K284" i="74"/>
  <c r="K283" i="74" s="1"/>
  <c r="K278" i="74" s="1"/>
  <c r="K277" i="74" s="1"/>
  <c r="F284" i="74"/>
  <c r="F283" i="74" s="1"/>
  <c r="F278" i="74" s="1"/>
  <c r="F277" i="74" s="1"/>
  <c r="P283" i="74"/>
  <c r="P279" i="74"/>
  <c r="L279" i="74"/>
  <c r="L278" i="74" s="1"/>
  <c r="L277" i="74" s="1"/>
  <c r="L286" i="74" s="1"/>
  <c r="K279" i="74"/>
  <c r="G279" i="74"/>
  <c r="G278" i="74" s="1"/>
  <c r="F279" i="74"/>
  <c r="P278" i="74"/>
  <c r="P277" i="74" s="1"/>
  <c r="P275" i="74"/>
  <c r="P273" i="74" s="1"/>
  <c r="P286" i="74" s="1"/>
  <c r="K275" i="74"/>
  <c r="K273" i="74" s="1"/>
  <c r="F275" i="74"/>
  <c r="F273" i="74"/>
  <c r="R260" i="74"/>
  <c r="M260" i="74"/>
  <c r="H260" i="74"/>
  <c r="R259" i="74"/>
  <c r="M259" i="74"/>
  <c r="H259" i="74"/>
  <c r="R258" i="74"/>
  <c r="M258" i="74"/>
  <c r="H258" i="74"/>
  <c r="Q257" i="74"/>
  <c r="P257" i="74"/>
  <c r="O257" i="74"/>
  <c r="L257" i="74"/>
  <c r="L249" i="74" s="1"/>
  <c r="K257" i="74"/>
  <c r="J257" i="74"/>
  <c r="G257" i="74"/>
  <c r="F257" i="74"/>
  <c r="H257" i="74" s="1"/>
  <c r="E257" i="74"/>
  <c r="R256" i="74"/>
  <c r="M256" i="74"/>
  <c r="H256" i="74"/>
  <c r="R255" i="74"/>
  <c r="M255" i="74"/>
  <c r="H255" i="74"/>
  <c r="R254" i="74"/>
  <c r="M254" i="74"/>
  <c r="H254" i="74"/>
  <c r="Q253" i="74"/>
  <c r="P253" i="74"/>
  <c r="O253" i="74"/>
  <c r="L253" i="74"/>
  <c r="K253" i="74"/>
  <c r="J253" i="74"/>
  <c r="M253" i="74" s="1"/>
  <c r="G253" i="74"/>
  <c r="F253" i="74"/>
  <c r="E253" i="74"/>
  <c r="H253" i="74" s="1"/>
  <c r="R252" i="74"/>
  <c r="M252" i="74"/>
  <c r="H252" i="74"/>
  <c r="R251" i="74"/>
  <c r="M251" i="74"/>
  <c r="H251" i="74"/>
  <c r="Q250" i="74"/>
  <c r="P250" i="74"/>
  <c r="O250" i="74"/>
  <c r="R250" i="74" s="1"/>
  <c r="L250" i="74"/>
  <c r="K250" i="74"/>
  <c r="J250" i="74"/>
  <c r="M250" i="74" s="1"/>
  <c r="G250" i="74"/>
  <c r="G249" i="74" s="1"/>
  <c r="F250" i="74"/>
  <c r="E250" i="74"/>
  <c r="Q249" i="74"/>
  <c r="P249" i="74"/>
  <c r="K249" i="74"/>
  <c r="J249" i="74"/>
  <c r="E249" i="74"/>
  <c r="R247" i="74"/>
  <c r="M247" i="74"/>
  <c r="H247" i="74"/>
  <c r="R246" i="74"/>
  <c r="M246" i="74"/>
  <c r="H246" i="74"/>
  <c r="R245" i="74"/>
  <c r="M245" i="74"/>
  <c r="H245" i="74"/>
  <c r="Q244" i="74"/>
  <c r="P244" i="74"/>
  <c r="O244" i="74"/>
  <c r="L244" i="74"/>
  <c r="K244" i="74"/>
  <c r="J244" i="74"/>
  <c r="G244" i="74"/>
  <c r="F244" i="74"/>
  <c r="H244" i="74" s="1"/>
  <c r="E244" i="74"/>
  <c r="R243" i="74"/>
  <c r="M243" i="74"/>
  <c r="H243" i="74"/>
  <c r="R242" i="74"/>
  <c r="M242" i="74"/>
  <c r="H242" i="74"/>
  <c r="R241" i="74"/>
  <c r="M241" i="74"/>
  <c r="H241" i="74"/>
  <c r="Q240" i="74"/>
  <c r="P240" i="74"/>
  <c r="O240" i="74"/>
  <c r="L240" i="74"/>
  <c r="K240" i="74"/>
  <c r="J240" i="74"/>
  <c r="M240" i="74" s="1"/>
  <c r="G240" i="74"/>
  <c r="F240" i="74"/>
  <c r="E240" i="74"/>
  <c r="H240" i="74" s="1"/>
  <c r="R239" i="74"/>
  <c r="M239" i="74"/>
  <c r="H239" i="74"/>
  <c r="R238" i="74"/>
  <c r="M238" i="74"/>
  <c r="H238" i="74"/>
  <c r="R237" i="74"/>
  <c r="M237" i="74"/>
  <c r="H237" i="74"/>
  <c r="Q236" i="74"/>
  <c r="P236" i="74"/>
  <c r="P234" i="74" s="1"/>
  <c r="O236" i="74"/>
  <c r="O234" i="74" s="1"/>
  <c r="L236" i="74"/>
  <c r="L234" i="74" s="1"/>
  <c r="L233" i="74" s="1"/>
  <c r="L231" i="74" s="1"/>
  <c r="K236" i="74"/>
  <c r="K234" i="74" s="1"/>
  <c r="J236" i="74"/>
  <c r="G236" i="74"/>
  <c r="G234" i="74" s="1"/>
  <c r="G233" i="74" s="1"/>
  <c r="G231" i="74" s="1"/>
  <c r="F236" i="74"/>
  <c r="F234" i="74" s="1"/>
  <c r="F233" i="74" s="1"/>
  <c r="F231" i="74" s="1"/>
  <c r="E236" i="74"/>
  <c r="R235" i="74"/>
  <c r="M235" i="74"/>
  <c r="H235" i="74"/>
  <c r="Q234" i="74"/>
  <c r="J234" i="74"/>
  <c r="J233" i="74" s="1"/>
  <c r="E234" i="74"/>
  <c r="Q233" i="74"/>
  <c r="Q231" i="74" s="1"/>
  <c r="E233" i="74"/>
  <c r="R232" i="74"/>
  <c r="M232" i="74"/>
  <c r="H232" i="74"/>
  <c r="R230" i="74"/>
  <c r="M230" i="74"/>
  <c r="H230" i="74"/>
  <c r="R229" i="74"/>
  <c r="M229" i="74"/>
  <c r="H229" i="74"/>
  <c r="R228" i="74"/>
  <c r="M228" i="74"/>
  <c r="H228" i="74"/>
  <c r="Q227" i="74"/>
  <c r="P227" i="74"/>
  <c r="O227" i="74"/>
  <c r="R227" i="74" s="1"/>
  <c r="L227" i="74"/>
  <c r="K227" i="74"/>
  <c r="J227" i="74"/>
  <c r="G227" i="74"/>
  <c r="F227" i="74"/>
  <c r="E227" i="74"/>
  <c r="R226" i="74"/>
  <c r="M226" i="74"/>
  <c r="H226" i="74"/>
  <c r="R225" i="74"/>
  <c r="M225" i="74"/>
  <c r="H225" i="74"/>
  <c r="R224" i="74"/>
  <c r="M224" i="74"/>
  <c r="H224" i="74"/>
  <c r="Q223" i="74"/>
  <c r="P223" i="74"/>
  <c r="R223" i="74" s="1"/>
  <c r="O223" i="74"/>
  <c r="L223" i="74"/>
  <c r="K223" i="74"/>
  <c r="J223" i="74"/>
  <c r="G223" i="74"/>
  <c r="F223" i="74"/>
  <c r="E223" i="74"/>
  <c r="R222" i="74"/>
  <c r="M222" i="74"/>
  <c r="H222" i="74"/>
  <c r="R221" i="74"/>
  <c r="M221" i="74"/>
  <c r="H221" i="74"/>
  <c r="R220" i="74"/>
  <c r="M220" i="74"/>
  <c r="H220" i="74"/>
  <c r="Q219" i="74"/>
  <c r="Q217" i="74" s="1"/>
  <c r="P219" i="74"/>
  <c r="O219" i="74"/>
  <c r="R219" i="74" s="1"/>
  <c r="L219" i="74"/>
  <c r="L217" i="74" s="1"/>
  <c r="L216" i="74" s="1"/>
  <c r="K219" i="74"/>
  <c r="K217" i="74" s="1"/>
  <c r="K216" i="74" s="1"/>
  <c r="J219" i="74"/>
  <c r="G219" i="74"/>
  <c r="G217" i="74" s="1"/>
  <c r="G216" i="74" s="1"/>
  <c r="F219" i="74"/>
  <c r="F217" i="74" s="1"/>
  <c r="F216" i="74" s="1"/>
  <c r="F204" i="74" s="1"/>
  <c r="E219" i="74"/>
  <c r="R218" i="74"/>
  <c r="M218" i="74"/>
  <c r="H218" i="74"/>
  <c r="P217" i="74"/>
  <c r="P216" i="74"/>
  <c r="P204" i="74" s="1"/>
  <c r="R215" i="74"/>
  <c r="M215" i="74"/>
  <c r="H215" i="74"/>
  <c r="R214" i="74"/>
  <c r="M214" i="74"/>
  <c r="H214" i="74"/>
  <c r="Q213" i="74"/>
  <c r="P213" i="74"/>
  <c r="O213" i="74"/>
  <c r="L213" i="74"/>
  <c r="K213" i="74"/>
  <c r="J213" i="74"/>
  <c r="G213" i="74"/>
  <c r="F213" i="74"/>
  <c r="H213" i="74" s="1"/>
  <c r="E213" i="74"/>
  <c r="R212" i="74"/>
  <c r="M212" i="74"/>
  <c r="H212" i="74"/>
  <c r="R211" i="74"/>
  <c r="M211" i="74"/>
  <c r="H211" i="74"/>
  <c r="Q210" i="74"/>
  <c r="P210" i="74"/>
  <c r="O210" i="74"/>
  <c r="L210" i="74"/>
  <c r="K210" i="74"/>
  <c r="M210" i="74" s="1"/>
  <c r="J210" i="74"/>
  <c r="G210" i="74"/>
  <c r="F210" i="74"/>
  <c r="E210" i="74"/>
  <c r="R209" i="74"/>
  <c r="M209" i="74"/>
  <c r="H209" i="74"/>
  <c r="R208" i="74"/>
  <c r="M208" i="74"/>
  <c r="H208" i="74"/>
  <c r="R207" i="74"/>
  <c r="M207" i="74"/>
  <c r="H207" i="74"/>
  <c r="R206" i="74"/>
  <c r="M206" i="74"/>
  <c r="H206" i="74"/>
  <c r="Q205" i="74"/>
  <c r="P205" i="74"/>
  <c r="O205" i="74"/>
  <c r="L205" i="74"/>
  <c r="K205" i="74"/>
  <c r="J205" i="74"/>
  <c r="G205" i="74"/>
  <c r="F205" i="74"/>
  <c r="H205" i="74" s="1"/>
  <c r="E205" i="74"/>
  <c r="R202" i="74"/>
  <c r="M202" i="74"/>
  <c r="H202" i="74"/>
  <c r="R201" i="74"/>
  <c r="M201" i="74"/>
  <c r="H201" i="74"/>
  <c r="Q200" i="74"/>
  <c r="P200" i="74"/>
  <c r="R200" i="74" s="1"/>
  <c r="O200" i="74"/>
  <c r="L200" i="74"/>
  <c r="K200" i="74"/>
  <c r="J200" i="74"/>
  <c r="G200" i="74"/>
  <c r="F200" i="74"/>
  <c r="E200" i="74"/>
  <c r="R199" i="74"/>
  <c r="M199" i="74"/>
  <c r="H199" i="74"/>
  <c r="R198" i="74"/>
  <c r="M198" i="74"/>
  <c r="H198" i="74"/>
  <c r="R197" i="74"/>
  <c r="M197" i="74"/>
  <c r="H197" i="74"/>
  <c r="R196" i="74"/>
  <c r="M196" i="74"/>
  <c r="H196" i="74"/>
  <c r="Q195" i="74"/>
  <c r="Q194" i="74" s="1"/>
  <c r="P195" i="74"/>
  <c r="P194" i="74" s="1"/>
  <c r="O195" i="74"/>
  <c r="L195" i="74"/>
  <c r="K195" i="74"/>
  <c r="K194" i="74" s="1"/>
  <c r="J195" i="74"/>
  <c r="G195" i="74"/>
  <c r="F195" i="74"/>
  <c r="F194" i="74" s="1"/>
  <c r="E195" i="74"/>
  <c r="E194" i="74" s="1"/>
  <c r="H194" i="74" s="1"/>
  <c r="C195" i="74"/>
  <c r="C194" i="74" s="1"/>
  <c r="O194" i="74"/>
  <c r="L194" i="74"/>
  <c r="J194" i="74"/>
  <c r="G194" i="74"/>
  <c r="R193" i="74"/>
  <c r="M193" i="74"/>
  <c r="H193" i="74"/>
  <c r="R192" i="74"/>
  <c r="M192" i="74"/>
  <c r="H192" i="74"/>
  <c r="R191" i="74"/>
  <c r="M191" i="74"/>
  <c r="H191" i="74"/>
  <c r="Q190" i="74"/>
  <c r="Q189" i="74" s="1"/>
  <c r="Q182" i="74" s="1"/>
  <c r="Q178" i="74" s="1"/>
  <c r="P190" i="74"/>
  <c r="O190" i="74"/>
  <c r="R190" i="74" s="1"/>
  <c r="L190" i="74"/>
  <c r="L189" i="74" s="1"/>
  <c r="K190" i="74"/>
  <c r="K189" i="74" s="1"/>
  <c r="J190" i="74"/>
  <c r="G190" i="74"/>
  <c r="F190" i="74"/>
  <c r="F189" i="74" s="1"/>
  <c r="E190" i="74"/>
  <c r="E189" i="74" s="1"/>
  <c r="H189" i="74" s="1"/>
  <c r="P189" i="74"/>
  <c r="O189" i="74"/>
  <c r="J189" i="74"/>
  <c r="G189" i="74"/>
  <c r="R188" i="74"/>
  <c r="M188" i="74"/>
  <c r="H188" i="74"/>
  <c r="R187" i="74"/>
  <c r="M187" i="74"/>
  <c r="H187" i="74"/>
  <c r="R186" i="74"/>
  <c r="M186" i="74"/>
  <c r="H186" i="74"/>
  <c r="Q185" i="74"/>
  <c r="Q184" i="74" s="1"/>
  <c r="Q183" i="74" s="1"/>
  <c r="P185" i="74"/>
  <c r="P184" i="74" s="1"/>
  <c r="O185" i="74"/>
  <c r="L185" i="74"/>
  <c r="K185" i="74"/>
  <c r="M185" i="74" s="1"/>
  <c r="J185" i="74"/>
  <c r="J184" i="74" s="1"/>
  <c r="J183" i="74" s="1"/>
  <c r="G185" i="74"/>
  <c r="F185" i="74"/>
  <c r="E185" i="74"/>
  <c r="E184" i="74" s="1"/>
  <c r="E183" i="74" s="1"/>
  <c r="O184" i="74"/>
  <c r="L184" i="74"/>
  <c r="L183" i="74" s="1"/>
  <c r="G184" i="74"/>
  <c r="F184" i="74"/>
  <c r="O183" i="74"/>
  <c r="G183" i="74"/>
  <c r="R181" i="74"/>
  <c r="M181" i="74"/>
  <c r="H181" i="74"/>
  <c r="R180" i="74"/>
  <c r="M180" i="74"/>
  <c r="H180" i="74"/>
  <c r="R179" i="74"/>
  <c r="M179" i="74"/>
  <c r="H179" i="74"/>
  <c r="R177" i="74"/>
  <c r="M177" i="74"/>
  <c r="H177" i="74"/>
  <c r="R176" i="74"/>
  <c r="M176" i="74"/>
  <c r="H176" i="74"/>
  <c r="R175" i="74"/>
  <c r="M175" i="74"/>
  <c r="H175" i="74"/>
  <c r="Q174" i="74"/>
  <c r="Q173" i="74" s="1"/>
  <c r="Q165" i="74" s="1"/>
  <c r="P174" i="74"/>
  <c r="P173" i="74" s="1"/>
  <c r="K174" i="74"/>
  <c r="K90" i="74" s="1"/>
  <c r="F174" i="74"/>
  <c r="F173" i="74" s="1"/>
  <c r="F165" i="74" s="1"/>
  <c r="O173" i="74"/>
  <c r="K173" i="74"/>
  <c r="J173" i="74"/>
  <c r="E173" i="74"/>
  <c r="R172" i="74"/>
  <c r="M172" i="74"/>
  <c r="H172" i="74"/>
  <c r="R171" i="74"/>
  <c r="M171" i="74"/>
  <c r="H171" i="74"/>
  <c r="R170" i="74"/>
  <c r="M170" i="74"/>
  <c r="H170" i="74"/>
  <c r="Q169" i="74"/>
  <c r="P169" i="74"/>
  <c r="O169" i="74"/>
  <c r="L169" i="74"/>
  <c r="K169" i="74"/>
  <c r="M169" i="74" s="1"/>
  <c r="J169" i="74"/>
  <c r="G169" i="74"/>
  <c r="F169" i="74"/>
  <c r="E169" i="74"/>
  <c r="R168" i="74"/>
  <c r="M168" i="74"/>
  <c r="H168" i="74"/>
  <c r="R167" i="74"/>
  <c r="M167" i="74"/>
  <c r="H167" i="74"/>
  <c r="Q166" i="74"/>
  <c r="P166" i="74"/>
  <c r="R166" i="74" s="1"/>
  <c r="O166" i="74"/>
  <c r="L166" i="74"/>
  <c r="K166" i="74"/>
  <c r="J166" i="74"/>
  <c r="G166" i="74"/>
  <c r="F166" i="74"/>
  <c r="E166" i="74"/>
  <c r="K165" i="74"/>
  <c r="R163" i="74"/>
  <c r="M163" i="74"/>
  <c r="H163" i="74"/>
  <c r="R162" i="74"/>
  <c r="M162" i="74"/>
  <c r="H162" i="74"/>
  <c r="R161" i="74"/>
  <c r="M161" i="74"/>
  <c r="H161" i="74"/>
  <c r="Q160" i="74"/>
  <c r="P160" i="74"/>
  <c r="O160" i="74"/>
  <c r="R160" i="74" s="1"/>
  <c r="L160" i="74"/>
  <c r="K160" i="74"/>
  <c r="J160" i="74"/>
  <c r="M160" i="74" s="1"/>
  <c r="G160" i="74"/>
  <c r="F160" i="74"/>
  <c r="E160" i="74"/>
  <c r="R159" i="74"/>
  <c r="M159" i="74"/>
  <c r="H159" i="74"/>
  <c r="R158" i="74"/>
  <c r="M158" i="74"/>
  <c r="H158" i="74"/>
  <c r="R157" i="74"/>
  <c r="M157" i="74"/>
  <c r="H157" i="74"/>
  <c r="Q156" i="74"/>
  <c r="P156" i="74"/>
  <c r="O156" i="74"/>
  <c r="L156" i="74"/>
  <c r="K156" i="74"/>
  <c r="M156" i="74" s="1"/>
  <c r="J156" i="74"/>
  <c r="G156" i="74"/>
  <c r="F156" i="74"/>
  <c r="E156" i="74"/>
  <c r="R155" i="74"/>
  <c r="M155" i="74"/>
  <c r="H155" i="74"/>
  <c r="R154" i="74"/>
  <c r="M154" i="74"/>
  <c r="H154" i="74"/>
  <c r="R153" i="74"/>
  <c r="M153" i="74"/>
  <c r="H153" i="74"/>
  <c r="Q152" i="74"/>
  <c r="Q150" i="74" s="1"/>
  <c r="P152" i="74"/>
  <c r="P150" i="74" s="1"/>
  <c r="P149" i="74" s="1"/>
  <c r="O152" i="74"/>
  <c r="R152" i="74" s="1"/>
  <c r="L152" i="74"/>
  <c r="L150" i="74" s="1"/>
  <c r="K152" i="74"/>
  <c r="J152" i="74"/>
  <c r="M152" i="74" s="1"/>
  <c r="G152" i="74"/>
  <c r="G150" i="74" s="1"/>
  <c r="G149" i="74" s="1"/>
  <c r="F152" i="74"/>
  <c r="E152" i="74"/>
  <c r="R151" i="74"/>
  <c r="M151" i="74"/>
  <c r="H151" i="74"/>
  <c r="K150" i="74"/>
  <c r="K149" i="74" s="1"/>
  <c r="K147" i="74" s="1"/>
  <c r="F150" i="74"/>
  <c r="F149" i="74" s="1"/>
  <c r="Q148" i="74"/>
  <c r="P148" i="74"/>
  <c r="L148" i="74"/>
  <c r="K148" i="74"/>
  <c r="M148" i="74" s="1"/>
  <c r="G148" i="74"/>
  <c r="F148" i="74"/>
  <c r="R146" i="74"/>
  <c r="M146" i="74"/>
  <c r="H146" i="74"/>
  <c r="Q145" i="74"/>
  <c r="P145" i="74"/>
  <c r="L145" i="74"/>
  <c r="L143" i="74" s="1"/>
  <c r="K145" i="74"/>
  <c r="M145" i="74" s="1"/>
  <c r="G145" i="74"/>
  <c r="F145" i="74"/>
  <c r="R144" i="74"/>
  <c r="M144" i="74"/>
  <c r="H144" i="74"/>
  <c r="Q143" i="74"/>
  <c r="P143" i="74"/>
  <c r="O143" i="74"/>
  <c r="J143" i="74"/>
  <c r="G143" i="74"/>
  <c r="F143" i="74"/>
  <c r="H143" i="74" s="1"/>
  <c r="E143" i="74"/>
  <c r="R142" i="74"/>
  <c r="M142" i="74"/>
  <c r="H142" i="74"/>
  <c r="R141" i="74"/>
  <c r="M141" i="74"/>
  <c r="H141" i="74"/>
  <c r="Q140" i="74"/>
  <c r="Q139" i="74" s="1"/>
  <c r="Q132" i="74" s="1"/>
  <c r="P140" i="74"/>
  <c r="P139" i="74" s="1"/>
  <c r="L140" i="74"/>
  <c r="K140" i="74"/>
  <c r="M140" i="74" s="1"/>
  <c r="G140" i="74"/>
  <c r="G139" i="74" s="1"/>
  <c r="F140" i="74"/>
  <c r="F139" i="74" s="1"/>
  <c r="O139" i="74"/>
  <c r="L139" i="74"/>
  <c r="J139" i="74"/>
  <c r="E139" i="74"/>
  <c r="R138" i="74"/>
  <c r="M138" i="74"/>
  <c r="H138" i="74"/>
  <c r="R137" i="74"/>
  <c r="M137" i="74"/>
  <c r="H137" i="74"/>
  <c r="R136" i="74"/>
  <c r="M136" i="74"/>
  <c r="H136" i="74"/>
  <c r="Q135" i="74"/>
  <c r="P135" i="74"/>
  <c r="P133" i="74" s="1"/>
  <c r="P132" i="74" s="1"/>
  <c r="O135" i="74"/>
  <c r="O133" i="74" s="1"/>
  <c r="L135" i="74"/>
  <c r="K135" i="74"/>
  <c r="K133" i="74" s="1"/>
  <c r="J135" i="74"/>
  <c r="J133" i="74" s="1"/>
  <c r="G135" i="74"/>
  <c r="G133" i="74" s="1"/>
  <c r="G132" i="74" s="1"/>
  <c r="F135" i="74"/>
  <c r="F133" i="74" s="1"/>
  <c r="E135" i="74"/>
  <c r="R134" i="74"/>
  <c r="M134" i="74"/>
  <c r="H134" i="74"/>
  <c r="Q133" i="74"/>
  <c r="L133" i="74"/>
  <c r="E133" i="74"/>
  <c r="E132" i="74"/>
  <c r="R131" i="74"/>
  <c r="M131" i="74"/>
  <c r="H131" i="74"/>
  <c r="R130" i="74"/>
  <c r="M130" i="74"/>
  <c r="H130" i="74"/>
  <c r="Q129" i="74"/>
  <c r="P129" i="74"/>
  <c r="O129" i="74"/>
  <c r="L129" i="74"/>
  <c r="K129" i="74"/>
  <c r="J129" i="74"/>
  <c r="M129" i="74" s="1"/>
  <c r="G129" i="74"/>
  <c r="F129" i="74"/>
  <c r="E129" i="74"/>
  <c r="H129" i="74" s="1"/>
  <c r="R128" i="74"/>
  <c r="M128" i="74"/>
  <c r="H128" i="74"/>
  <c r="Q127" i="74"/>
  <c r="Q126" i="74" s="1"/>
  <c r="P127" i="74"/>
  <c r="P126" i="74" s="1"/>
  <c r="L127" i="74"/>
  <c r="K127" i="74"/>
  <c r="G127" i="74"/>
  <c r="G126" i="74" s="1"/>
  <c r="F127" i="74"/>
  <c r="F126" i="74" s="1"/>
  <c r="O126" i="74"/>
  <c r="L126" i="74"/>
  <c r="K126" i="74"/>
  <c r="J126" i="74"/>
  <c r="E126" i="74"/>
  <c r="R125" i="74"/>
  <c r="M125" i="74"/>
  <c r="H125" i="74"/>
  <c r="Q124" i="74"/>
  <c r="P124" i="74"/>
  <c r="R124" i="74" s="1"/>
  <c r="L124" i="74"/>
  <c r="K124" i="74"/>
  <c r="G124" i="74"/>
  <c r="F124" i="74"/>
  <c r="H124" i="74" s="1"/>
  <c r="Q123" i="74"/>
  <c r="P123" i="74"/>
  <c r="R123" i="74" s="1"/>
  <c r="L123" i="74"/>
  <c r="K123" i="74"/>
  <c r="M123" i="74" s="1"/>
  <c r="G123" i="74"/>
  <c r="F123" i="74"/>
  <c r="H123" i="74" s="1"/>
  <c r="Q122" i="74"/>
  <c r="Q121" i="74" s="1"/>
  <c r="P122" i="74"/>
  <c r="P121" i="74" s="1"/>
  <c r="L122" i="74"/>
  <c r="K122" i="74"/>
  <c r="M122" i="74" s="1"/>
  <c r="G122" i="74"/>
  <c r="G121" i="74" s="1"/>
  <c r="F122" i="74"/>
  <c r="F121" i="74" s="1"/>
  <c r="O121" i="74"/>
  <c r="L121" i="74"/>
  <c r="K121" i="74"/>
  <c r="J121" i="74"/>
  <c r="E121" i="74"/>
  <c r="E120" i="74"/>
  <c r="R118" i="74"/>
  <c r="M118" i="74"/>
  <c r="H118" i="74"/>
  <c r="O116" i="74"/>
  <c r="J116" i="74"/>
  <c r="E116" i="74"/>
  <c r="R115" i="74"/>
  <c r="M115" i="74"/>
  <c r="H115" i="74"/>
  <c r="R114" i="74"/>
  <c r="M114" i="74"/>
  <c r="H114" i="74"/>
  <c r="R113" i="74"/>
  <c r="M113" i="74"/>
  <c r="H113" i="74"/>
  <c r="R112" i="74"/>
  <c r="M112" i="74"/>
  <c r="H112" i="74"/>
  <c r="Q111" i="74"/>
  <c r="Q110" i="74" s="1"/>
  <c r="P111" i="74"/>
  <c r="O111" i="74"/>
  <c r="L111" i="74"/>
  <c r="L110" i="74" s="1"/>
  <c r="K111" i="74"/>
  <c r="K110" i="74" s="1"/>
  <c r="J111" i="74"/>
  <c r="G111" i="74"/>
  <c r="G110" i="74" s="1"/>
  <c r="F111" i="74"/>
  <c r="E111" i="74"/>
  <c r="H111" i="74" s="1"/>
  <c r="C111" i="74"/>
  <c r="P110" i="74"/>
  <c r="F110" i="74"/>
  <c r="C110" i="74"/>
  <c r="R109" i="74"/>
  <c r="M109" i="74"/>
  <c r="H109" i="74"/>
  <c r="R108" i="74"/>
  <c r="M108" i="74"/>
  <c r="H108" i="74"/>
  <c r="R107" i="74"/>
  <c r="M107" i="74"/>
  <c r="H107" i="74"/>
  <c r="Q106" i="74"/>
  <c r="P106" i="74"/>
  <c r="R106" i="74" s="1"/>
  <c r="O106" i="74"/>
  <c r="L106" i="74"/>
  <c r="K106" i="74"/>
  <c r="J106" i="74"/>
  <c r="J105" i="74" s="1"/>
  <c r="G106" i="74"/>
  <c r="F106" i="74"/>
  <c r="E106" i="74"/>
  <c r="Q105" i="74"/>
  <c r="O105" i="74"/>
  <c r="L105" i="74"/>
  <c r="K105" i="74"/>
  <c r="G105" i="74"/>
  <c r="F105" i="74"/>
  <c r="E105" i="74"/>
  <c r="R104" i="74"/>
  <c r="M104" i="74"/>
  <c r="H104" i="74"/>
  <c r="R103" i="74"/>
  <c r="M103" i="74"/>
  <c r="H103" i="74"/>
  <c r="R102" i="74"/>
  <c r="M102" i="74"/>
  <c r="H102" i="74"/>
  <c r="Q101" i="74"/>
  <c r="P101" i="74"/>
  <c r="O101" i="74"/>
  <c r="R101" i="74" s="1"/>
  <c r="L101" i="74"/>
  <c r="K101" i="74"/>
  <c r="J101" i="74"/>
  <c r="M101" i="74" s="1"/>
  <c r="G101" i="74"/>
  <c r="G100" i="74" s="1"/>
  <c r="G99" i="74" s="1"/>
  <c r="G98" i="74" s="1"/>
  <c r="F101" i="74"/>
  <c r="E101" i="74"/>
  <c r="Q100" i="74"/>
  <c r="P100" i="74"/>
  <c r="P99" i="74" s="1"/>
  <c r="L100" i="74"/>
  <c r="K100" i="74"/>
  <c r="J100" i="74"/>
  <c r="M100" i="74" s="1"/>
  <c r="F100" i="74"/>
  <c r="E100" i="74"/>
  <c r="Q99" i="74"/>
  <c r="Q98" i="74" s="1"/>
  <c r="L99" i="74"/>
  <c r="K99" i="74"/>
  <c r="F99" i="74"/>
  <c r="E99" i="74"/>
  <c r="L98" i="74"/>
  <c r="R97" i="74"/>
  <c r="M97" i="74"/>
  <c r="H97" i="74"/>
  <c r="R96" i="74"/>
  <c r="M96" i="74"/>
  <c r="H96" i="74"/>
  <c r="R95" i="74"/>
  <c r="M95" i="74"/>
  <c r="H95" i="74"/>
  <c r="R93" i="74"/>
  <c r="M93" i="74"/>
  <c r="H93" i="74"/>
  <c r="R92" i="74"/>
  <c r="M92" i="74"/>
  <c r="H92" i="74"/>
  <c r="R91" i="74"/>
  <c r="M91" i="74"/>
  <c r="H91" i="74"/>
  <c r="P90" i="74"/>
  <c r="P89" i="74" s="1"/>
  <c r="P81" i="74" s="1"/>
  <c r="F90" i="74"/>
  <c r="O89" i="74"/>
  <c r="J89" i="74"/>
  <c r="E89" i="74"/>
  <c r="R88" i="74"/>
  <c r="M88" i="74"/>
  <c r="H88" i="74"/>
  <c r="R87" i="74"/>
  <c r="M87" i="74"/>
  <c r="H87" i="74"/>
  <c r="R86" i="74"/>
  <c r="M86" i="74"/>
  <c r="H86" i="74"/>
  <c r="Q85" i="74"/>
  <c r="P85" i="74"/>
  <c r="O85" i="74"/>
  <c r="R85" i="74" s="1"/>
  <c r="L85" i="74"/>
  <c r="K85" i="74"/>
  <c r="J85" i="74"/>
  <c r="M85" i="74" s="1"/>
  <c r="G85" i="74"/>
  <c r="F85" i="74"/>
  <c r="E85" i="74"/>
  <c r="R84" i="74"/>
  <c r="M84" i="74"/>
  <c r="H84" i="74"/>
  <c r="R83" i="74"/>
  <c r="M83" i="74"/>
  <c r="H83" i="74"/>
  <c r="Q82" i="74"/>
  <c r="P82" i="74"/>
  <c r="O82" i="74"/>
  <c r="R82" i="74" s="1"/>
  <c r="L82" i="74"/>
  <c r="K82" i="74"/>
  <c r="J82" i="74"/>
  <c r="G82" i="74"/>
  <c r="F82" i="74"/>
  <c r="E82" i="74"/>
  <c r="R79" i="74"/>
  <c r="M79" i="74"/>
  <c r="H79" i="74"/>
  <c r="R78" i="74"/>
  <c r="M78" i="74"/>
  <c r="H78" i="74"/>
  <c r="R77" i="74"/>
  <c r="M77" i="74"/>
  <c r="H77" i="74"/>
  <c r="Q76" i="74"/>
  <c r="P76" i="74"/>
  <c r="O76" i="74"/>
  <c r="R76" i="74" s="1"/>
  <c r="L76" i="74"/>
  <c r="K76" i="74"/>
  <c r="J76" i="74"/>
  <c r="M76" i="74" s="1"/>
  <c r="G76" i="74"/>
  <c r="F76" i="74"/>
  <c r="E76" i="74"/>
  <c r="R75" i="74"/>
  <c r="M75" i="74"/>
  <c r="H75" i="74"/>
  <c r="R74" i="74"/>
  <c r="M74" i="74"/>
  <c r="H74" i="74"/>
  <c r="R73" i="74"/>
  <c r="M73" i="74"/>
  <c r="H73" i="74"/>
  <c r="Q72" i="74"/>
  <c r="P72" i="74"/>
  <c r="O72" i="74"/>
  <c r="L72" i="74"/>
  <c r="K72" i="74"/>
  <c r="M72" i="74" s="1"/>
  <c r="J72" i="74"/>
  <c r="G72" i="74"/>
  <c r="F72" i="74"/>
  <c r="E72" i="74"/>
  <c r="R71" i="74"/>
  <c r="M71" i="74"/>
  <c r="H71" i="74"/>
  <c r="R70" i="74"/>
  <c r="M70" i="74"/>
  <c r="H70" i="74"/>
  <c r="R69" i="74"/>
  <c r="M69" i="74"/>
  <c r="H69" i="74"/>
  <c r="Q68" i="74"/>
  <c r="Q66" i="74" s="1"/>
  <c r="P68" i="74"/>
  <c r="P66" i="74" s="1"/>
  <c r="P65" i="74" s="1"/>
  <c r="O68" i="74"/>
  <c r="R68" i="74" s="1"/>
  <c r="L68" i="74"/>
  <c r="L66" i="74" s="1"/>
  <c r="K68" i="74"/>
  <c r="J68" i="74"/>
  <c r="M68" i="74" s="1"/>
  <c r="G68" i="74"/>
  <c r="G66" i="74" s="1"/>
  <c r="G65" i="74" s="1"/>
  <c r="F68" i="74"/>
  <c r="E68" i="74"/>
  <c r="R67" i="74"/>
  <c r="M67" i="74"/>
  <c r="H67" i="74"/>
  <c r="K66" i="74"/>
  <c r="K65" i="74" s="1"/>
  <c r="K63" i="74" s="1"/>
  <c r="F66" i="74"/>
  <c r="F65" i="74" s="1"/>
  <c r="Q64" i="74"/>
  <c r="P64" i="74"/>
  <c r="L64" i="74"/>
  <c r="K64" i="74"/>
  <c r="M64" i="74" s="1"/>
  <c r="G64" i="74"/>
  <c r="F64" i="74"/>
  <c r="R62" i="74"/>
  <c r="M62" i="74"/>
  <c r="H62" i="74"/>
  <c r="Q61" i="74"/>
  <c r="P61" i="74"/>
  <c r="R61" i="74" s="1"/>
  <c r="L61" i="74"/>
  <c r="L59" i="74" s="1"/>
  <c r="K61" i="74"/>
  <c r="G61" i="74"/>
  <c r="F61" i="74"/>
  <c r="H61" i="74" s="1"/>
  <c r="R60" i="74"/>
  <c r="M60" i="74"/>
  <c r="H60" i="74"/>
  <c r="Q59" i="74"/>
  <c r="P59" i="74"/>
  <c r="O59" i="74"/>
  <c r="J59" i="74"/>
  <c r="G59" i="74"/>
  <c r="F59" i="74"/>
  <c r="H59" i="74" s="1"/>
  <c r="E59" i="74"/>
  <c r="R58" i="74"/>
  <c r="M58" i="74"/>
  <c r="H58" i="74"/>
  <c r="R57" i="74"/>
  <c r="M57" i="74"/>
  <c r="H57" i="74"/>
  <c r="Q56" i="74"/>
  <c r="Q55" i="74" s="1"/>
  <c r="Q48" i="74" s="1"/>
  <c r="P56" i="74"/>
  <c r="L56" i="74"/>
  <c r="K56" i="74"/>
  <c r="M56" i="74" s="1"/>
  <c r="G56" i="74"/>
  <c r="G55" i="74" s="1"/>
  <c r="F56" i="74"/>
  <c r="O55" i="74"/>
  <c r="L55" i="74"/>
  <c r="J55" i="74"/>
  <c r="E55" i="74"/>
  <c r="R54" i="74"/>
  <c r="M54" i="74"/>
  <c r="H54" i="74"/>
  <c r="R53" i="74"/>
  <c r="M53" i="74"/>
  <c r="H53" i="74"/>
  <c r="R52" i="74"/>
  <c r="M52" i="74"/>
  <c r="H52" i="74"/>
  <c r="Q51" i="74"/>
  <c r="P51" i="74"/>
  <c r="O51" i="74"/>
  <c r="O49" i="74" s="1"/>
  <c r="O48" i="74" s="1"/>
  <c r="O36" i="74" s="1"/>
  <c r="L51" i="74"/>
  <c r="K51" i="74"/>
  <c r="J51" i="74"/>
  <c r="J49" i="74" s="1"/>
  <c r="J48" i="74" s="1"/>
  <c r="G51" i="74"/>
  <c r="G49" i="74" s="1"/>
  <c r="F51" i="74"/>
  <c r="E51" i="74"/>
  <c r="R50" i="74"/>
  <c r="M50" i="74"/>
  <c r="H50" i="74"/>
  <c r="Q49" i="74"/>
  <c r="L49" i="74"/>
  <c r="E49" i="74"/>
  <c r="E48" i="74"/>
  <c r="R47" i="74"/>
  <c r="M47" i="74"/>
  <c r="H47" i="74"/>
  <c r="R46" i="74"/>
  <c r="M46" i="74"/>
  <c r="H46" i="74"/>
  <c r="Q45" i="74"/>
  <c r="P45" i="74"/>
  <c r="O45" i="74"/>
  <c r="L45" i="74"/>
  <c r="K45" i="74"/>
  <c r="J45" i="74"/>
  <c r="G45" i="74"/>
  <c r="F45" i="74"/>
  <c r="E45" i="74"/>
  <c r="H45" i="74" s="1"/>
  <c r="R44" i="74"/>
  <c r="M44" i="74"/>
  <c r="H44" i="74"/>
  <c r="Q43" i="74"/>
  <c r="Q42" i="74" s="1"/>
  <c r="P43" i="74"/>
  <c r="R43" i="74" s="1"/>
  <c r="L43" i="74"/>
  <c r="K43" i="74"/>
  <c r="G43" i="74"/>
  <c r="G42" i="74" s="1"/>
  <c r="F43" i="74"/>
  <c r="H43" i="74" s="1"/>
  <c r="O42" i="74"/>
  <c r="L42" i="74"/>
  <c r="K42" i="74"/>
  <c r="J42" i="74"/>
  <c r="E42" i="74"/>
  <c r="R41" i="74"/>
  <c r="M41" i="74"/>
  <c r="H41" i="74"/>
  <c r="Q40" i="74"/>
  <c r="P40" i="74"/>
  <c r="R40" i="74" s="1"/>
  <c r="L40" i="74"/>
  <c r="K40" i="74"/>
  <c r="G40" i="74"/>
  <c r="F40" i="74"/>
  <c r="H40" i="74" s="1"/>
  <c r="Q39" i="74"/>
  <c r="P39" i="74"/>
  <c r="R39" i="74" s="1"/>
  <c r="L39" i="74"/>
  <c r="K39" i="74"/>
  <c r="M39" i="74" s="1"/>
  <c r="G39" i="74"/>
  <c r="F39" i="74"/>
  <c r="H39" i="74" s="1"/>
  <c r="Q38" i="74"/>
  <c r="Q37" i="74" s="1"/>
  <c r="Q36" i="74" s="1"/>
  <c r="P38" i="74"/>
  <c r="R38" i="74" s="1"/>
  <c r="L38" i="74"/>
  <c r="K38" i="74"/>
  <c r="M38" i="74" s="1"/>
  <c r="G38" i="74"/>
  <c r="G37" i="74" s="1"/>
  <c r="F38" i="74"/>
  <c r="H38" i="74" s="1"/>
  <c r="O37" i="74"/>
  <c r="L37" i="74"/>
  <c r="K37" i="74"/>
  <c r="J37" i="74"/>
  <c r="E37" i="74"/>
  <c r="E36" i="74"/>
  <c r="R34" i="74"/>
  <c r="M34" i="74"/>
  <c r="G34" i="74"/>
  <c r="H34" i="74" s="1"/>
  <c r="O32" i="74"/>
  <c r="J32" i="74"/>
  <c r="E32" i="74"/>
  <c r="R31" i="74"/>
  <c r="M31" i="74"/>
  <c r="H31" i="74"/>
  <c r="R30" i="74"/>
  <c r="M30" i="74"/>
  <c r="H30" i="74"/>
  <c r="R29" i="74"/>
  <c r="M29" i="74"/>
  <c r="H29" i="74"/>
  <c r="R28" i="74"/>
  <c r="M28" i="74"/>
  <c r="H28" i="74"/>
  <c r="Q27" i="74"/>
  <c r="Q26" i="74" s="1"/>
  <c r="P27" i="74"/>
  <c r="R27" i="74" s="1"/>
  <c r="O27" i="74"/>
  <c r="L27" i="74"/>
  <c r="K27" i="74"/>
  <c r="J27" i="74"/>
  <c r="J26" i="74" s="1"/>
  <c r="G27" i="74"/>
  <c r="F27" i="74"/>
  <c r="E27" i="74"/>
  <c r="E26" i="74" s="1"/>
  <c r="C27" i="74"/>
  <c r="C26" i="74" s="1"/>
  <c r="O26" i="74"/>
  <c r="L26" i="74"/>
  <c r="G26" i="74"/>
  <c r="R25" i="74"/>
  <c r="M25" i="74"/>
  <c r="H25" i="74"/>
  <c r="R24" i="74"/>
  <c r="M24" i="74"/>
  <c r="H24" i="74"/>
  <c r="R23" i="74"/>
  <c r="M23" i="74"/>
  <c r="H23" i="74"/>
  <c r="Q22" i="74"/>
  <c r="Q21" i="74" s="1"/>
  <c r="Q14" i="74" s="1"/>
  <c r="P22" i="74"/>
  <c r="O22" i="74"/>
  <c r="L22" i="74"/>
  <c r="K22" i="74"/>
  <c r="K21" i="74" s="1"/>
  <c r="J22" i="74"/>
  <c r="G22" i="74"/>
  <c r="F22" i="74"/>
  <c r="E22" i="74"/>
  <c r="P21" i="74"/>
  <c r="O21" i="74"/>
  <c r="L21" i="74"/>
  <c r="L14" i="74" s="1"/>
  <c r="J21" i="74"/>
  <c r="G21" i="74"/>
  <c r="F21" i="74"/>
  <c r="R20" i="74"/>
  <c r="M20" i="74"/>
  <c r="H20" i="74"/>
  <c r="R19" i="74"/>
  <c r="M19" i="74"/>
  <c r="H19" i="74"/>
  <c r="R18" i="74"/>
  <c r="M18" i="74"/>
  <c r="H18" i="74"/>
  <c r="Q17" i="74"/>
  <c r="P17" i="74"/>
  <c r="O17" i="74"/>
  <c r="L17" i="74"/>
  <c r="K17" i="74"/>
  <c r="J17" i="74"/>
  <c r="J16" i="74" s="1"/>
  <c r="J15" i="74" s="1"/>
  <c r="G17" i="74"/>
  <c r="F17" i="74"/>
  <c r="E17" i="74"/>
  <c r="Q16" i="74"/>
  <c r="Q15" i="74" s="1"/>
  <c r="O16" i="74"/>
  <c r="L16" i="74"/>
  <c r="K16" i="74"/>
  <c r="G16" i="74"/>
  <c r="F16" i="74"/>
  <c r="E16" i="74"/>
  <c r="E15" i="74" s="1"/>
  <c r="O15" i="74"/>
  <c r="L15" i="74"/>
  <c r="G15" i="74"/>
  <c r="F15" i="74"/>
  <c r="H15" i="74" s="1"/>
  <c r="R13" i="74"/>
  <c r="M13" i="74"/>
  <c r="G13" i="74"/>
  <c r="H13" i="74" s="1"/>
  <c r="R12" i="74"/>
  <c r="M12" i="74"/>
  <c r="G12" i="74"/>
  <c r="H12" i="74" s="1"/>
  <c r="R11" i="74"/>
  <c r="M11" i="74"/>
  <c r="G11" i="74"/>
  <c r="H11" i="74" s="1"/>
  <c r="R260" i="122"/>
  <c r="M260" i="122"/>
  <c r="H260" i="122"/>
  <c r="R259" i="122"/>
  <c r="M259" i="122"/>
  <c r="H259" i="122"/>
  <c r="R258" i="122"/>
  <c r="M258" i="122"/>
  <c r="H258" i="122"/>
  <c r="Q257" i="122"/>
  <c r="P257" i="122"/>
  <c r="O257" i="122"/>
  <c r="L257" i="122"/>
  <c r="K257" i="122"/>
  <c r="J257" i="122"/>
  <c r="G257" i="122"/>
  <c r="F257" i="122"/>
  <c r="E257" i="122"/>
  <c r="R256" i="122"/>
  <c r="M256" i="122"/>
  <c r="H256" i="122"/>
  <c r="R255" i="122"/>
  <c r="M255" i="122"/>
  <c r="H255" i="122"/>
  <c r="R254" i="122"/>
  <c r="M254" i="122"/>
  <c r="H254" i="122"/>
  <c r="Q253" i="122"/>
  <c r="P253" i="122"/>
  <c r="O253" i="122"/>
  <c r="R253" i="122" s="1"/>
  <c r="L253" i="122"/>
  <c r="K253" i="122"/>
  <c r="J253" i="122"/>
  <c r="G253" i="122"/>
  <c r="G249" i="122" s="1"/>
  <c r="F253" i="122"/>
  <c r="E253" i="122"/>
  <c r="R252" i="122"/>
  <c r="M252" i="122"/>
  <c r="H252" i="122"/>
  <c r="R251" i="122"/>
  <c r="M251" i="122"/>
  <c r="H251" i="122"/>
  <c r="Q250" i="122"/>
  <c r="P250" i="122"/>
  <c r="O250" i="122"/>
  <c r="L250" i="122"/>
  <c r="K250" i="122"/>
  <c r="J250" i="122"/>
  <c r="G250" i="122"/>
  <c r="F250" i="122"/>
  <c r="E250" i="122"/>
  <c r="R247" i="122"/>
  <c r="M247" i="122"/>
  <c r="H247" i="122"/>
  <c r="R246" i="122"/>
  <c r="M246" i="122"/>
  <c r="H246" i="122"/>
  <c r="R245" i="122"/>
  <c r="M245" i="122"/>
  <c r="H245" i="122"/>
  <c r="Q244" i="122"/>
  <c r="P244" i="122"/>
  <c r="O244" i="122"/>
  <c r="L244" i="122"/>
  <c r="K244" i="122"/>
  <c r="J244" i="122"/>
  <c r="G244" i="122"/>
  <c r="F244" i="122"/>
  <c r="E244" i="122"/>
  <c r="R243" i="122"/>
  <c r="M243" i="122"/>
  <c r="H243" i="122"/>
  <c r="R242" i="122"/>
  <c r="M242" i="122"/>
  <c r="H242" i="122"/>
  <c r="R241" i="122"/>
  <c r="M241" i="122"/>
  <c r="H241" i="122"/>
  <c r="Q240" i="122"/>
  <c r="Q233" i="122" s="1"/>
  <c r="Q231" i="122" s="1"/>
  <c r="P240" i="122"/>
  <c r="O240" i="122"/>
  <c r="L240" i="122"/>
  <c r="K240" i="122"/>
  <c r="J240" i="122"/>
  <c r="G240" i="122"/>
  <c r="F240" i="122"/>
  <c r="E240" i="122"/>
  <c r="R239" i="122"/>
  <c r="M239" i="122"/>
  <c r="H239" i="122"/>
  <c r="R238" i="122"/>
  <c r="M238" i="122"/>
  <c r="H238" i="122"/>
  <c r="R237" i="122"/>
  <c r="M237" i="122"/>
  <c r="H237" i="122"/>
  <c r="Q236" i="122"/>
  <c r="P236" i="122"/>
  <c r="P234" i="122" s="1"/>
  <c r="P233" i="122" s="1"/>
  <c r="P231" i="122" s="1"/>
  <c r="O236" i="122"/>
  <c r="O234" i="122" s="1"/>
  <c r="R234" i="122" s="1"/>
  <c r="L236" i="122"/>
  <c r="K236" i="122"/>
  <c r="K234" i="122" s="1"/>
  <c r="J236" i="122"/>
  <c r="J234" i="122" s="1"/>
  <c r="G236" i="122"/>
  <c r="G234" i="122" s="1"/>
  <c r="F236" i="122"/>
  <c r="F234" i="122" s="1"/>
  <c r="E236" i="122"/>
  <c r="R235" i="122"/>
  <c r="M235" i="122"/>
  <c r="H235" i="122"/>
  <c r="Q234" i="122"/>
  <c r="L234" i="122"/>
  <c r="L233" i="122" s="1"/>
  <c r="L231" i="122" s="1"/>
  <c r="E234" i="122"/>
  <c r="R232" i="122"/>
  <c r="M232" i="122"/>
  <c r="H232" i="122"/>
  <c r="R230" i="122"/>
  <c r="M230" i="122"/>
  <c r="H230" i="122"/>
  <c r="R229" i="122"/>
  <c r="M229" i="122"/>
  <c r="H229" i="122"/>
  <c r="R228" i="122"/>
  <c r="M228" i="122"/>
  <c r="H228" i="122"/>
  <c r="Q227" i="122"/>
  <c r="P227" i="122"/>
  <c r="O227" i="122"/>
  <c r="L227" i="122"/>
  <c r="K227" i="122"/>
  <c r="J227" i="122"/>
  <c r="G227" i="122"/>
  <c r="F227" i="122"/>
  <c r="E227" i="122"/>
  <c r="R226" i="122"/>
  <c r="M226" i="122"/>
  <c r="H226" i="122"/>
  <c r="R225" i="122"/>
  <c r="M225" i="122"/>
  <c r="H225" i="122"/>
  <c r="R224" i="122"/>
  <c r="M224" i="122"/>
  <c r="H224" i="122"/>
  <c r="Q223" i="122"/>
  <c r="P223" i="122"/>
  <c r="O223" i="122"/>
  <c r="L223" i="122"/>
  <c r="K223" i="122"/>
  <c r="J223" i="122"/>
  <c r="G223" i="122"/>
  <c r="F223" i="122"/>
  <c r="E223" i="122"/>
  <c r="R222" i="122"/>
  <c r="M222" i="122"/>
  <c r="H222" i="122"/>
  <c r="R221" i="122"/>
  <c r="M221" i="122"/>
  <c r="H221" i="122"/>
  <c r="R220" i="122"/>
  <c r="M220" i="122"/>
  <c r="H220" i="122"/>
  <c r="Q219" i="122"/>
  <c r="Q217" i="122" s="1"/>
  <c r="P219" i="122"/>
  <c r="P217" i="122" s="1"/>
  <c r="P216" i="122" s="1"/>
  <c r="O219" i="122"/>
  <c r="L219" i="122"/>
  <c r="L217" i="122" s="1"/>
  <c r="K219" i="122"/>
  <c r="K217" i="122" s="1"/>
  <c r="J219" i="122"/>
  <c r="G219" i="122"/>
  <c r="G217" i="122" s="1"/>
  <c r="F219" i="122"/>
  <c r="F217" i="122" s="1"/>
  <c r="E219" i="122"/>
  <c r="R218" i="122"/>
  <c r="M218" i="122"/>
  <c r="H218" i="122"/>
  <c r="R215" i="122"/>
  <c r="M215" i="122"/>
  <c r="H215" i="122"/>
  <c r="R214" i="122"/>
  <c r="M214" i="122"/>
  <c r="H214" i="122"/>
  <c r="Q213" i="122"/>
  <c r="P213" i="122"/>
  <c r="O213" i="122"/>
  <c r="L213" i="122"/>
  <c r="K213" i="122"/>
  <c r="J213" i="122"/>
  <c r="G213" i="122"/>
  <c r="F213" i="122"/>
  <c r="E213" i="122"/>
  <c r="R212" i="122"/>
  <c r="M212" i="122"/>
  <c r="H212" i="122"/>
  <c r="R211" i="122"/>
  <c r="M211" i="122"/>
  <c r="H211" i="122"/>
  <c r="Q210" i="122"/>
  <c r="P210" i="122"/>
  <c r="O210" i="122"/>
  <c r="L210" i="122"/>
  <c r="K210" i="122"/>
  <c r="J210" i="122"/>
  <c r="G210" i="122"/>
  <c r="F210" i="122"/>
  <c r="E210" i="122"/>
  <c r="R209" i="122"/>
  <c r="M209" i="122"/>
  <c r="H209" i="122"/>
  <c r="R208" i="122"/>
  <c r="M208" i="122"/>
  <c r="H208" i="122"/>
  <c r="R207" i="122"/>
  <c r="M207" i="122"/>
  <c r="H207" i="122"/>
  <c r="R206" i="122"/>
  <c r="M206" i="122"/>
  <c r="H206" i="122"/>
  <c r="Q205" i="122"/>
  <c r="P205" i="122"/>
  <c r="O205" i="122"/>
  <c r="L205" i="122"/>
  <c r="K205" i="122"/>
  <c r="J205" i="122"/>
  <c r="G205" i="122"/>
  <c r="F205" i="122"/>
  <c r="E205" i="122"/>
  <c r="R202" i="122"/>
  <c r="M202" i="122"/>
  <c r="H202" i="122"/>
  <c r="R201" i="122"/>
  <c r="M201" i="122"/>
  <c r="H201" i="122"/>
  <c r="Q200" i="122"/>
  <c r="P200" i="122"/>
  <c r="O200" i="122"/>
  <c r="L200" i="122"/>
  <c r="K200" i="122"/>
  <c r="J200" i="122"/>
  <c r="G200" i="122"/>
  <c r="F200" i="122"/>
  <c r="E200" i="122"/>
  <c r="R199" i="122"/>
  <c r="M199" i="122"/>
  <c r="H199" i="122"/>
  <c r="R198" i="122"/>
  <c r="M198" i="122"/>
  <c r="H198" i="122"/>
  <c r="R197" i="122"/>
  <c r="M197" i="122"/>
  <c r="H197" i="122"/>
  <c r="R196" i="122"/>
  <c r="M196" i="122"/>
  <c r="H196" i="122"/>
  <c r="Q195" i="122"/>
  <c r="Q194" i="122" s="1"/>
  <c r="P195" i="122"/>
  <c r="P194" i="122" s="1"/>
  <c r="O195" i="122"/>
  <c r="L195" i="122"/>
  <c r="K195" i="122"/>
  <c r="K194" i="122" s="1"/>
  <c r="J195" i="122"/>
  <c r="G195" i="122"/>
  <c r="G194" i="122" s="1"/>
  <c r="F195" i="122"/>
  <c r="F194" i="122" s="1"/>
  <c r="E195" i="122"/>
  <c r="E194" i="122" s="1"/>
  <c r="C195" i="122"/>
  <c r="C194" i="122" s="1"/>
  <c r="O194" i="122"/>
  <c r="L194" i="122"/>
  <c r="J194" i="122"/>
  <c r="R193" i="122"/>
  <c r="M193" i="122"/>
  <c r="H193" i="122"/>
  <c r="R192" i="122"/>
  <c r="M192" i="122"/>
  <c r="H192" i="122"/>
  <c r="R191" i="122"/>
  <c r="M191" i="122"/>
  <c r="H191" i="122"/>
  <c r="Q190" i="122"/>
  <c r="Q189" i="122" s="1"/>
  <c r="Q182" i="122" s="1"/>
  <c r="Q178" i="122" s="1"/>
  <c r="P190" i="122"/>
  <c r="O190" i="122"/>
  <c r="L190" i="122"/>
  <c r="L189" i="122" s="1"/>
  <c r="K190" i="122"/>
  <c r="K189" i="122" s="1"/>
  <c r="J190" i="122"/>
  <c r="G190" i="122"/>
  <c r="F190" i="122"/>
  <c r="F189" i="122" s="1"/>
  <c r="E190" i="122"/>
  <c r="P189" i="122"/>
  <c r="O189" i="122"/>
  <c r="G189" i="122"/>
  <c r="R188" i="122"/>
  <c r="M188" i="122"/>
  <c r="H188" i="122"/>
  <c r="R187" i="122"/>
  <c r="M187" i="122"/>
  <c r="H187" i="122"/>
  <c r="R186" i="122"/>
  <c r="M186" i="122"/>
  <c r="H186" i="122"/>
  <c r="Q185" i="122"/>
  <c r="P185" i="122"/>
  <c r="O185" i="122"/>
  <c r="L185" i="122"/>
  <c r="L184" i="122" s="1"/>
  <c r="L183" i="122" s="1"/>
  <c r="K185" i="122"/>
  <c r="K184" i="122" s="1"/>
  <c r="J185" i="122"/>
  <c r="G185" i="122"/>
  <c r="G184" i="122" s="1"/>
  <c r="G183" i="122" s="1"/>
  <c r="F185" i="122"/>
  <c r="E185" i="122"/>
  <c r="E184" i="122" s="1"/>
  <c r="E183" i="122" s="1"/>
  <c r="Q184" i="122"/>
  <c r="P184" i="122"/>
  <c r="O184" i="122"/>
  <c r="O183" i="122" s="1"/>
  <c r="J184" i="122"/>
  <c r="Q183" i="122"/>
  <c r="P183" i="122"/>
  <c r="R183" i="122" s="1"/>
  <c r="J183" i="122"/>
  <c r="R181" i="122"/>
  <c r="M181" i="122"/>
  <c r="H181" i="122"/>
  <c r="R180" i="122"/>
  <c r="M180" i="122"/>
  <c r="H180" i="122"/>
  <c r="R179" i="122"/>
  <c r="M179" i="122"/>
  <c r="H179" i="122"/>
  <c r="R177" i="122"/>
  <c r="M177" i="122"/>
  <c r="H177" i="122"/>
  <c r="R176" i="122"/>
  <c r="M176" i="122"/>
  <c r="H176" i="122"/>
  <c r="R175" i="122"/>
  <c r="M175" i="122"/>
  <c r="H175" i="122"/>
  <c r="R174" i="122"/>
  <c r="M174" i="122"/>
  <c r="H174" i="122"/>
  <c r="Q173" i="122"/>
  <c r="P173" i="122"/>
  <c r="O173" i="122"/>
  <c r="L173" i="122"/>
  <c r="K173" i="122"/>
  <c r="J173" i="122"/>
  <c r="G173" i="122"/>
  <c r="F173" i="122"/>
  <c r="E173" i="122"/>
  <c r="R172" i="122"/>
  <c r="M172" i="122"/>
  <c r="H172" i="122"/>
  <c r="R171" i="122"/>
  <c r="M171" i="122"/>
  <c r="H171" i="122"/>
  <c r="R170" i="122"/>
  <c r="M170" i="122"/>
  <c r="H170" i="122"/>
  <c r="Q169" i="122"/>
  <c r="P169" i="122"/>
  <c r="O169" i="122"/>
  <c r="L169" i="122"/>
  <c r="K169" i="122"/>
  <c r="J169" i="122"/>
  <c r="G169" i="122"/>
  <c r="F169" i="122"/>
  <c r="E169" i="122"/>
  <c r="R168" i="122"/>
  <c r="M168" i="122"/>
  <c r="H168" i="122"/>
  <c r="R167" i="122"/>
  <c r="M167" i="122"/>
  <c r="H167" i="122"/>
  <c r="Q166" i="122"/>
  <c r="P166" i="122"/>
  <c r="O166" i="122"/>
  <c r="L166" i="122"/>
  <c r="K166" i="122"/>
  <c r="K165" i="122" s="1"/>
  <c r="J166" i="122"/>
  <c r="G166" i="122"/>
  <c r="F166" i="122"/>
  <c r="E166" i="122"/>
  <c r="R163" i="122"/>
  <c r="M163" i="122"/>
  <c r="H163" i="122"/>
  <c r="R162" i="122"/>
  <c r="M162" i="122"/>
  <c r="H162" i="122"/>
  <c r="R161" i="122"/>
  <c r="M161" i="122"/>
  <c r="H161" i="122"/>
  <c r="Q160" i="122"/>
  <c r="P160" i="122"/>
  <c r="O160" i="122"/>
  <c r="L160" i="122"/>
  <c r="K160" i="122"/>
  <c r="J160" i="122"/>
  <c r="M160" i="122" s="1"/>
  <c r="G160" i="122"/>
  <c r="F160" i="122"/>
  <c r="E160" i="122"/>
  <c r="H160" i="122" s="1"/>
  <c r="R159" i="122"/>
  <c r="M159" i="122"/>
  <c r="H159" i="122"/>
  <c r="R158" i="122"/>
  <c r="M158" i="122"/>
  <c r="H158" i="122"/>
  <c r="R157" i="122"/>
  <c r="M157" i="122"/>
  <c r="H157" i="122"/>
  <c r="Q156" i="122"/>
  <c r="P156" i="122"/>
  <c r="O156" i="122"/>
  <c r="L156" i="122"/>
  <c r="K156" i="122"/>
  <c r="J156" i="122"/>
  <c r="G156" i="122"/>
  <c r="F156" i="122"/>
  <c r="H156" i="122" s="1"/>
  <c r="E156" i="122"/>
  <c r="R155" i="122"/>
  <c r="M155" i="122"/>
  <c r="H155" i="122"/>
  <c r="R154" i="122"/>
  <c r="M154" i="122"/>
  <c r="H154" i="122"/>
  <c r="R153" i="122"/>
  <c r="M153" i="122"/>
  <c r="H153" i="122"/>
  <c r="Q152" i="122"/>
  <c r="Q150" i="122" s="1"/>
  <c r="P152" i="122"/>
  <c r="P150" i="122" s="1"/>
  <c r="P149" i="122" s="1"/>
  <c r="P147" i="122" s="1"/>
  <c r="O152" i="122"/>
  <c r="L152" i="122"/>
  <c r="L150" i="122" s="1"/>
  <c r="K152" i="122"/>
  <c r="J152" i="122"/>
  <c r="G152" i="122"/>
  <c r="G150" i="122" s="1"/>
  <c r="F152" i="122"/>
  <c r="E152" i="122"/>
  <c r="R151" i="122"/>
  <c r="M151" i="122"/>
  <c r="H151" i="122"/>
  <c r="K150" i="122"/>
  <c r="K149" i="122" s="1"/>
  <c r="K147" i="122" s="1"/>
  <c r="F150" i="122"/>
  <c r="R148" i="122"/>
  <c r="M148" i="122"/>
  <c r="H148" i="122"/>
  <c r="R146" i="122"/>
  <c r="M146" i="122"/>
  <c r="H146" i="122"/>
  <c r="R145" i="122"/>
  <c r="M145" i="122"/>
  <c r="H145" i="122"/>
  <c r="R144" i="122"/>
  <c r="M144" i="122"/>
  <c r="H144" i="122"/>
  <c r="Q143" i="122"/>
  <c r="P143" i="122"/>
  <c r="O143" i="122"/>
  <c r="L143" i="122"/>
  <c r="K143" i="122"/>
  <c r="J143" i="122"/>
  <c r="G143" i="122"/>
  <c r="F143" i="122"/>
  <c r="E143" i="122"/>
  <c r="R142" i="122"/>
  <c r="M142" i="122"/>
  <c r="H142" i="122"/>
  <c r="R141" i="122"/>
  <c r="M141" i="122"/>
  <c r="H141" i="122"/>
  <c r="R140" i="122"/>
  <c r="M140" i="122"/>
  <c r="H140" i="122"/>
  <c r="Q139" i="122"/>
  <c r="Q132" i="122" s="1"/>
  <c r="Q120" i="122" s="1"/>
  <c r="P139" i="122"/>
  <c r="O139" i="122"/>
  <c r="L139" i="122"/>
  <c r="K139" i="122"/>
  <c r="J139" i="122"/>
  <c r="G139" i="122"/>
  <c r="F139" i="122"/>
  <c r="E139" i="122"/>
  <c r="R138" i="122"/>
  <c r="M138" i="122"/>
  <c r="H138" i="122"/>
  <c r="R137" i="122"/>
  <c r="M137" i="122"/>
  <c r="H137" i="122"/>
  <c r="R136" i="122"/>
  <c r="M136" i="122"/>
  <c r="H136" i="122"/>
  <c r="Q135" i="122"/>
  <c r="P135" i="122"/>
  <c r="P133" i="122" s="1"/>
  <c r="O135" i="122"/>
  <c r="O133" i="122" s="1"/>
  <c r="R133" i="122" s="1"/>
  <c r="L135" i="122"/>
  <c r="L133" i="122" s="1"/>
  <c r="L132" i="122" s="1"/>
  <c r="K135" i="122"/>
  <c r="K133" i="122" s="1"/>
  <c r="J135" i="122"/>
  <c r="J133" i="122" s="1"/>
  <c r="G135" i="122"/>
  <c r="G133" i="122" s="1"/>
  <c r="F135" i="122"/>
  <c r="F133" i="122" s="1"/>
  <c r="E135" i="122"/>
  <c r="R134" i="122"/>
  <c r="M134" i="122"/>
  <c r="H134" i="122"/>
  <c r="Q133" i="122"/>
  <c r="E133" i="122"/>
  <c r="R131" i="122"/>
  <c r="M131" i="122"/>
  <c r="H131" i="122"/>
  <c r="R130" i="122"/>
  <c r="M130" i="122"/>
  <c r="H130" i="122"/>
  <c r="Q129" i="122"/>
  <c r="P129" i="122"/>
  <c r="O129" i="122"/>
  <c r="R129" i="122" s="1"/>
  <c r="L129" i="122"/>
  <c r="K129" i="122"/>
  <c r="J129" i="122"/>
  <c r="M129" i="122" s="1"/>
  <c r="G129" i="122"/>
  <c r="F129" i="122"/>
  <c r="E129" i="122"/>
  <c r="R128" i="122"/>
  <c r="M128" i="122"/>
  <c r="H128" i="122"/>
  <c r="R127" i="122"/>
  <c r="M127" i="122"/>
  <c r="H127" i="122"/>
  <c r="Q126" i="122"/>
  <c r="P126" i="122"/>
  <c r="O126" i="122"/>
  <c r="R126" i="122" s="1"/>
  <c r="L126" i="122"/>
  <c r="K126" i="122"/>
  <c r="J126" i="122"/>
  <c r="G126" i="122"/>
  <c r="F126" i="122"/>
  <c r="E126" i="122"/>
  <c r="R125" i="122"/>
  <c r="M125" i="122"/>
  <c r="H125" i="122"/>
  <c r="R124" i="122"/>
  <c r="M124" i="122"/>
  <c r="H124" i="122"/>
  <c r="R123" i="122"/>
  <c r="M123" i="122"/>
  <c r="H123" i="122"/>
  <c r="R122" i="122"/>
  <c r="M122" i="122"/>
  <c r="H122" i="122"/>
  <c r="Q121" i="122"/>
  <c r="P121" i="122"/>
  <c r="O121" i="122"/>
  <c r="R121" i="122" s="1"/>
  <c r="L121" i="122"/>
  <c r="K121" i="122"/>
  <c r="J121" i="122"/>
  <c r="M121" i="122" s="1"/>
  <c r="G121" i="122"/>
  <c r="F121" i="122"/>
  <c r="E121" i="122"/>
  <c r="R118" i="122"/>
  <c r="M118" i="122"/>
  <c r="H118" i="122"/>
  <c r="O116" i="122"/>
  <c r="L116" i="122"/>
  <c r="J116" i="122"/>
  <c r="E116" i="122"/>
  <c r="R115" i="122"/>
  <c r="M115" i="122"/>
  <c r="H115" i="122"/>
  <c r="R114" i="122"/>
  <c r="M114" i="122"/>
  <c r="H114" i="122"/>
  <c r="R113" i="122"/>
  <c r="M113" i="122"/>
  <c r="H113" i="122"/>
  <c r="R112" i="122"/>
  <c r="M112" i="122"/>
  <c r="H112" i="122"/>
  <c r="Q111" i="122"/>
  <c r="P111" i="122"/>
  <c r="P110" i="122" s="1"/>
  <c r="O111" i="122"/>
  <c r="O110" i="122" s="1"/>
  <c r="L111" i="122"/>
  <c r="K111" i="122"/>
  <c r="K110" i="122" s="1"/>
  <c r="J111" i="122"/>
  <c r="J110" i="122" s="1"/>
  <c r="G111" i="122"/>
  <c r="G110" i="122" s="1"/>
  <c r="F111" i="122"/>
  <c r="F110" i="122" s="1"/>
  <c r="E111" i="122"/>
  <c r="C111" i="122"/>
  <c r="C110" i="122" s="1"/>
  <c r="Q110" i="122"/>
  <c r="L110" i="122"/>
  <c r="E110" i="122"/>
  <c r="R109" i="122"/>
  <c r="M109" i="122"/>
  <c r="H109" i="122"/>
  <c r="R108" i="122"/>
  <c r="M108" i="122"/>
  <c r="H108" i="122"/>
  <c r="R107" i="122"/>
  <c r="M107" i="122"/>
  <c r="H107" i="122"/>
  <c r="Q106" i="122"/>
  <c r="P106" i="122"/>
  <c r="P105" i="122" s="1"/>
  <c r="O106" i="122"/>
  <c r="L106" i="122"/>
  <c r="L105" i="122" s="1"/>
  <c r="K106" i="122"/>
  <c r="J106" i="122"/>
  <c r="M106" i="122" s="1"/>
  <c r="G106" i="122"/>
  <c r="G105" i="122" s="1"/>
  <c r="F106" i="122"/>
  <c r="E106" i="122"/>
  <c r="Q105" i="122"/>
  <c r="Q98" i="122" s="1"/>
  <c r="O105" i="122"/>
  <c r="K105" i="122"/>
  <c r="F105" i="122"/>
  <c r="R104" i="122"/>
  <c r="M104" i="122"/>
  <c r="H104" i="122"/>
  <c r="R103" i="122"/>
  <c r="M103" i="122"/>
  <c r="H103" i="122"/>
  <c r="R102" i="122"/>
  <c r="M102" i="122"/>
  <c r="H102" i="122"/>
  <c r="Q101" i="122"/>
  <c r="Q100" i="122" s="1"/>
  <c r="Q99" i="122" s="1"/>
  <c r="P101" i="122"/>
  <c r="O101" i="122"/>
  <c r="L101" i="122"/>
  <c r="K101" i="122"/>
  <c r="J101" i="122"/>
  <c r="G101" i="122"/>
  <c r="G100" i="122" s="1"/>
  <c r="G99" i="122" s="1"/>
  <c r="F101" i="122"/>
  <c r="F100" i="122" s="1"/>
  <c r="E101" i="122"/>
  <c r="E100" i="122" s="1"/>
  <c r="E99" i="122" s="1"/>
  <c r="P100" i="122"/>
  <c r="O100" i="122"/>
  <c r="O99" i="122" s="1"/>
  <c r="L100" i="122"/>
  <c r="L99" i="122" s="1"/>
  <c r="J100" i="122"/>
  <c r="J99" i="122" s="1"/>
  <c r="P99" i="122"/>
  <c r="R97" i="122"/>
  <c r="M97" i="122"/>
  <c r="H97" i="122"/>
  <c r="R96" i="122"/>
  <c r="M96" i="122"/>
  <c r="H96" i="122"/>
  <c r="R95" i="122"/>
  <c r="M95" i="122"/>
  <c r="H95" i="122"/>
  <c r="R93" i="122"/>
  <c r="M93" i="122"/>
  <c r="H93" i="122"/>
  <c r="R92" i="122"/>
  <c r="M92" i="122"/>
  <c r="H92" i="122"/>
  <c r="R91" i="122"/>
  <c r="M91" i="122"/>
  <c r="H91" i="122"/>
  <c r="R90" i="122"/>
  <c r="M90" i="122"/>
  <c r="H90" i="122"/>
  <c r="Q89" i="122"/>
  <c r="P89" i="122"/>
  <c r="O89" i="122"/>
  <c r="L89" i="122"/>
  <c r="K89" i="122"/>
  <c r="J89" i="122"/>
  <c r="G89" i="122"/>
  <c r="F89" i="122"/>
  <c r="F81" i="122" s="1"/>
  <c r="E89" i="122"/>
  <c r="R88" i="122"/>
  <c r="M88" i="122"/>
  <c r="H88" i="122"/>
  <c r="R87" i="122"/>
  <c r="M87" i="122"/>
  <c r="H87" i="122"/>
  <c r="R86" i="122"/>
  <c r="M86" i="122"/>
  <c r="H86" i="122"/>
  <c r="Q85" i="122"/>
  <c r="P85" i="122"/>
  <c r="O85" i="122"/>
  <c r="L85" i="122"/>
  <c r="K85" i="122"/>
  <c r="J85" i="122"/>
  <c r="G85" i="122"/>
  <c r="F85" i="122"/>
  <c r="E85" i="122"/>
  <c r="R84" i="122"/>
  <c r="M84" i="122"/>
  <c r="H84" i="122"/>
  <c r="R83" i="122"/>
  <c r="M83" i="122"/>
  <c r="H83" i="122"/>
  <c r="Q82" i="122"/>
  <c r="P82" i="122"/>
  <c r="O82" i="122"/>
  <c r="L82" i="122"/>
  <c r="K82" i="122"/>
  <c r="J82" i="122"/>
  <c r="G82" i="122"/>
  <c r="F82" i="122"/>
  <c r="E82" i="122"/>
  <c r="R79" i="122"/>
  <c r="M79" i="122"/>
  <c r="H79" i="122"/>
  <c r="R78" i="122"/>
  <c r="M78" i="122"/>
  <c r="H78" i="122"/>
  <c r="R77" i="122"/>
  <c r="M77" i="122"/>
  <c r="H77" i="122"/>
  <c r="Q76" i="122"/>
  <c r="P76" i="122"/>
  <c r="O76" i="122"/>
  <c r="R76" i="122" s="1"/>
  <c r="L76" i="122"/>
  <c r="K76" i="122"/>
  <c r="J76" i="122"/>
  <c r="G76" i="122"/>
  <c r="F76" i="122"/>
  <c r="E76" i="122"/>
  <c r="R75" i="122"/>
  <c r="M75" i="122"/>
  <c r="H75" i="122"/>
  <c r="R74" i="122"/>
  <c r="M74" i="122"/>
  <c r="H74" i="122"/>
  <c r="R73" i="122"/>
  <c r="M73" i="122"/>
  <c r="H73" i="122"/>
  <c r="Q72" i="122"/>
  <c r="P72" i="122"/>
  <c r="O72" i="122"/>
  <c r="L72" i="122"/>
  <c r="K72" i="122"/>
  <c r="J72" i="122"/>
  <c r="G72" i="122"/>
  <c r="F72" i="122"/>
  <c r="E72" i="122"/>
  <c r="R71" i="122"/>
  <c r="M71" i="122"/>
  <c r="H71" i="122"/>
  <c r="R70" i="122"/>
  <c r="M70" i="122"/>
  <c r="H70" i="122"/>
  <c r="R69" i="122"/>
  <c r="M69" i="122"/>
  <c r="H69" i="122"/>
  <c r="Q68" i="122"/>
  <c r="Q66" i="122" s="1"/>
  <c r="P68" i="122"/>
  <c r="P66" i="122" s="1"/>
  <c r="O68" i="122"/>
  <c r="L68" i="122"/>
  <c r="L66" i="122" s="1"/>
  <c r="K68" i="122"/>
  <c r="J68" i="122"/>
  <c r="G68" i="122"/>
  <c r="G66" i="122" s="1"/>
  <c r="F68" i="122"/>
  <c r="F66" i="122" s="1"/>
  <c r="F65" i="122" s="1"/>
  <c r="F63" i="122" s="1"/>
  <c r="E68" i="122"/>
  <c r="R67" i="122"/>
  <c r="M67" i="122"/>
  <c r="H67" i="122"/>
  <c r="K66" i="122"/>
  <c r="R64" i="122"/>
  <c r="M64" i="122"/>
  <c r="H64" i="122"/>
  <c r="R62" i="122"/>
  <c r="M62" i="122"/>
  <c r="H62" i="122"/>
  <c r="R61" i="122"/>
  <c r="M61" i="122"/>
  <c r="H61" i="122"/>
  <c r="R60" i="122"/>
  <c r="M60" i="122"/>
  <c r="H60" i="122"/>
  <c r="Q59" i="122"/>
  <c r="P59" i="122"/>
  <c r="O59" i="122"/>
  <c r="L59" i="122"/>
  <c r="K59" i="122"/>
  <c r="J59" i="122"/>
  <c r="G59" i="122"/>
  <c r="F59" i="122"/>
  <c r="E59" i="122"/>
  <c r="R58" i="122"/>
  <c r="M58" i="122"/>
  <c r="H58" i="122"/>
  <c r="R57" i="122"/>
  <c r="M57" i="122"/>
  <c r="H57" i="122"/>
  <c r="R56" i="122"/>
  <c r="M56" i="122"/>
  <c r="H56" i="122"/>
  <c r="Q55" i="122"/>
  <c r="P55" i="122"/>
  <c r="O55" i="122"/>
  <c r="L55" i="122"/>
  <c r="K55" i="122"/>
  <c r="J55" i="122"/>
  <c r="G55" i="122"/>
  <c r="F55" i="122"/>
  <c r="E55" i="122"/>
  <c r="R54" i="122"/>
  <c r="M54" i="122"/>
  <c r="H54" i="122"/>
  <c r="R53" i="122"/>
  <c r="M53" i="122"/>
  <c r="H53" i="122"/>
  <c r="R52" i="122"/>
  <c r="M52" i="122"/>
  <c r="H52" i="122"/>
  <c r="Q51" i="122"/>
  <c r="P51" i="122"/>
  <c r="P49" i="122" s="1"/>
  <c r="O51" i="122"/>
  <c r="O49" i="122" s="1"/>
  <c r="L51" i="122"/>
  <c r="L49" i="122" s="1"/>
  <c r="K51" i="122"/>
  <c r="K49" i="122" s="1"/>
  <c r="J51" i="122"/>
  <c r="G51" i="122"/>
  <c r="G49" i="122" s="1"/>
  <c r="F51" i="122"/>
  <c r="F49" i="122" s="1"/>
  <c r="E51" i="122"/>
  <c r="E49" i="122" s="1"/>
  <c r="R50" i="122"/>
  <c r="M50" i="122"/>
  <c r="H50" i="122"/>
  <c r="Q49" i="122"/>
  <c r="J49" i="122"/>
  <c r="R47" i="122"/>
  <c r="M47" i="122"/>
  <c r="H47" i="122"/>
  <c r="R46" i="122"/>
  <c r="M46" i="122"/>
  <c r="H46" i="122"/>
  <c r="Q45" i="122"/>
  <c r="P45" i="122"/>
  <c r="O45" i="122"/>
  <c r="L45" i="122"/>
  <c r="K45" i="122"/>
  <c r="J45" i="122"/>
  <c r="G45" i="122"/>
  <c r="F45" i="122"/>
  <c r="E45" i="122"/>
  <c r="R44" i="122"/>
  <c r="M44" i="122"/>
  <c r="H44" i="122"/>
  <c r="R43" i="122"/>
  <c r="M43" i="122"/>
  <c r="H43" i="122"/>
  <c r="Q42" i="122"/>
  <c r="P42" i="122"/>
  <c r="O42" i="122"/>
  <c r="L42" i="122"/>
  <c r="K42" i="122"/>
  <c r="J42" i="122"/>
  <c r="G42" i="122"/>
  <c r="F42" i="122"/>
  <c r="E42" i="122"/>
  <c r="R41" i="122"/>
  <c r="M41" i="122"/>
  <c r="H41" i="122"/>
  <c r="Q40" i="122"/>
  <c r="P40" i="122"/>
  <c r="L40" i="122"/>
  <c r="K40" i="122"/>
  <c r="F40" i="122"/>
  <c r="H40" i="122" s="1"/>
  <c r="Q39" i="122"/>
  <c r="P39" i="122"/>
  <c r="L39" i="122"/>
  <c r="K39" i="122"/>
  <c r="G39" i="122"/>
  <c r="F39" i="122"/>
  <c r="Q38" i="122"/>
  <c r="Q37" i="122" s="1"/>
  <c r="P38" i="122"/>
  <c r="P37" i="122" s="1"/>
  <c r="L38" i="122"/>
  <c r="K38" i="122"/>
  <c r="G38" i="122"/>
  <c r="G37" i="122" s="1"/>
  <c r="F38" i="122"/>
  <c r="F37" i="122" s="1"/>
  <c r="O37" i="122"/>
  <c r="K37" i="122"/>
  <c r="J37" i="122"/>
  <c r="E37" i="122"/>
  <c r="R34" i="122"/>
  <c r="M34" i="122"/>
  <c r="H34" i="122"/>
  <c r="O32" i="122"/>
  <c r="J32" i="122"/>
  <c r="E32" i="122"/>
  <c r="R31" i="122"/>
  <c r="M31" i="122"/>
  <c r="H31" i="122"/>
  <c r="R30" i="122"/>
  <c r="M30" i="122"/>
  <c r="H30" i="122"/>
  <c r="R29" i="122"/>
  <c r="M29" i="122"/>
  <c r="H29" i="122"/>
  <c r="R28" i="122"/>
  <c r="M28" i="122"/>
  <c r="H28" i="122"/>
  <c r="Q27" i="122"/>
  <c r="Q26" i="122" s="1"/>
  <c r="P27" i="122"/>
  <c r="O27" i="122"/>
  <c r="L27" i="122"/>
  <c r="K27" i="122"/>
  <c r="J27" i="122"/>
  <c r="J26" i="122" s="1"/>
  <c r="G27" i="122"/>
  <c r="G26" i="122" s="1"/>
  <c r="F27" i="122"/>
  <c r="E27" i="122"/>
  <c r="E26" i="122" s="1"/>
  <c r="C27" i="122"/>
  <c r="C26" i="122" s="1"/>
  <c r="O26" i="122"/>
  <c r="L26" i="122"/>
  <c r="R25" i="122"/>
  <c r="M25" i="122"/>
  <c r="H25" i="122"/>
  <c r="R24" i="122"/>
  <c r="M24" i="122"/>
  <c r="H24" i="122"/>
  <c r="R23" i="122"/>
  <c r="M23" i="122"/>
  <c r="H23" i="122"/>
  <c r="Q22" i="122"/>
  <c r="Q21" i="122" s="1"/>
  <c r="P22" i="122"/>
  <c r="O22" i="122"/>
  <c r="L22" i="122"/>
  <c r="K22" i="122"/>
  <c r="K21" i="122" s="1"/>
  <c r="J22" i="122"/>
  <c r="G22" i="122"/>
  <c r="G21" i="122" s="1"/>
  <c r="F22" i="122"/>
  <c r="F21" i="122" s="1"/>
  <c r="E22" i="122"/>
  <c r="P21" i="122"/>
  <c r="O21" i="122"/>
  <c r="L21" i="122"/>
  <c r="J21" i="122"/>
  <c r="R20" i="122"/>
  <c r="M20" i="122"/>
  <c r="H20" i="122"/>
  <c r="R19" i="122"/>
  <c r="M19" i="122"/>
  <c r="H19" i="122"/>
  <c r="R18" i="122"/>
  <c r="M18" i="122"/>
  <c r="H18" i="122"/>
  <c r="Q17" i="122"/>
  <c r="Q16" i="122" s="1"/>
  <c r="Q15" i="122" s="1"/>
  <c r="P17" i="122"/>
  <c r="O17" i="122"/>
  <c r="L17" i="122"/>
  <c r="K17" i="122"/>
  <c r="J17" i="122"/>
  <c r="J16" i="122" s="1"/>
  <c r="J15" i="122" s="1"/>
  <c r="G17" i="122"/>
  <c r="F17" i="122"/>
  <c r="F16" i="122" s="1"/>
  <c r="F15" i="122" s="1"/>
  <c r="E17" i="122"/>
  <c r="E16" i="122" s="1"/>
  <c r="E15" i="122" s="1"/>
  <c r="O16" i="122"/>
  <c r="L16" i="122"/>
  <c r="L15" i="122" s="1"/>
  <c r="K16" i="122"/>
  <c r="G16" i="122"/>
  <c r="O15" i="122"/>
  <c r="G15" i="122"/>
  <c r="R13" i="122"/>
  <c r="M13" i="122"/>
  <c r="H13" i="122"/>
  <c r="R12" i="122"/>
  <c r="M12" i="122"/>
  <c r="H12" i="122"/>
  <c r="R11" i="122"/>
  <c r="M11" i="122"/>
  <c r="H11" i="122"/>
  <c r="R260" i="78"/>
  <c r="M260" i="78"/>
  <c r="H260" i="78"/>
  <c r="R259" i="78"/>
  <c r="M259" i="78"/>
  <c r="H259" i="78"/>
  <c r="R258" i="78"/>
  <c r="M258" i="78"/>
  <c r="H258" i="78"/>
  <c r="Q257" i="78"/>
  <c r="P257" i="78"/>
  <c r="P249" i="78" s="1"/>
  <c r="O257" i="78"/>
  <c r="L257" i="78"/>
  <c r="K257" i="78"/>
  <c r="J257" i="78"/>
  <c r="G257" i="78"/>
  <c r="F257" i="78"/>
  <c r="E257" i="78"/>
  <c r="R256" i="78"/>
  <c r="M256" i="78"/>
  <c r="H256" i="78"/>
  <c r="R255" i="78"/>
  <c r="M255" i="78"/>
  <c r="H255" i="78"/>
  <c r="R254" i="78"/>
  <c r="M254" i="78"/>
  <c r="H254" i="78"/>
  <c r="Q253" i="78"/>
  <c r="P253" i="78"/>
  <c r="O253" i="78"/>
  <c r="L253" i="78"/>
  <c r="K253" i="78"/>
  <c r="J253" i="78"/>
  <c r="G253" i="78"/>
  <c r="F253" i="78"/>
  <c r="E253" i="78"/>
  <c r="R252" i="78"/>
  <c r="M252" i="78"/>
  <c r="H252" i="78"/>
  <c r="R251" i="78"/>
  <c r="M251" i="78"/>
  <c r="H251" i="78"/>
  <c r="Q250" i="78"/>
  <c r="P250" i="78"/>
  <c r="O250" i="78"/>
  <c r="L250" i="78"/>
  <c r="K250" i="78"/>
  <c r="J250" i="78"/>
  <c r="G250" i="78"/>
  <c r="F250" i="78"/>
  <c r="E250" i="78"/>
  <c r="R247" i="78"/>
  <c r="M247" i="78"/>
  <c r="H247" i="78"/>
  <c r="R246" i="78"/>
  <c r="M246" i="78"/>
  <c r="H246" i="78"/>
  <c r="R245" i="78"/>
  <c r="M245" i="78"/>
  <c r="H245" i="78"/>
  <c r="Q244" i="78"/>
  <c r="P244" i="78"/>
  <c r="O244" i="78"/>
  <c r="R244" i="78" s="1"/>
  <c r="L244" i="78"/>
  <c r="K244" i="78"/>
  <c r="J244" i="78"/>
  <c r="G244" i="78"/>
  <c r="F244" i="78"/>
  <c r="E244" i="78"/>
  <c r="R243" i="78"/>
  <c r="M243" i="78"/>
  <c r="H243" i="78"/>
  <c r="R242" i="78"/>
  <c r="M242" i="78"/>
  <c r="H242" i="78"/>
  <c r="R241" i="78"/>
  <c r="M241" i="78"/>
  <c r="H241" i="78"/>
  <c r="Q240" i="78"/>
  <c r="P240" i="78"/>
  <c r="R240" i="78" s="1"/>
  <c r="O240" i="78"/>
  <c r="L240" i="78"/>
  <c r="K240" i="78"/>
  <c r="J240" i="78"/>
  <c r="G240" i="78"/>
  <c r="F240" i="78"/>
  <c r="E240" i="78"/>
  <c r="R239" i="78"/>
  <c r="M239" i="78"/>
  <c r="H239" i="78"/>
  <c r="R238" i="78"/>
  <c r="M238" i="78"/>
  <c r="H238" i="78"/>
  <c r="R237" i="78"/>
  <c r="M237" i="78"/>
  <c r="H237" i="78"/>
  <c r="Q236" i="78"/>
  <c r="Q234" i="78" s="1"/>
  <c r="P236" i="78"/>
  <c r="O236" i="78"/>
  <c r="L236" i="78"/>
  <c r="L234" i="78" s="1"/>
  <c r="L233" i="78" s="1"/>
  <c r="L231" i="78" s="1"/>
  <c r="K236" i="78"/>
  <c r="J236" i="78"/>
  <c r="G236" i="78"/>
  <c r="G234" i="78" s="1"/>
  <c r="F236" i="78"/>
  <c r="F234" i="78" s="1"/>
  <c r="F233" i="78" s="1"/>
  <c r="F231" i="78" s="1"/>
  <c r="E236" i="78"/>
  <c r="R235" i="78"/>
  <c r="M235" i="78"/>
  <c r="H235" i="78"/>
  <c r="P234" i="78"/>
  <c r="K234" i="78"/>
  <c r="P233" i="78"/>
  <c r="P231" i="78" s="1"/>
  <c r="R232" i="78"/>
  <c r="M232" i="78"/>
  <c r="H232" i="78"/>
  <c r="R230" i="78"/>
  <c r="M230" i="78"/>
  <c r="H230" i="78"/>
  <c r="R229" i="78"/>
  <c r="M229" i="78"/>
  <c r="H229" i="78"/>
  <c r="R228" i="78"/>
  <c r="M228" i="78"/>
  <c r="H228" i="78"/>
  <c r="Q227" i="78"/>
  <c r="P227" i="78"/>
  <c r="O227" i="78"/>
  <c r="L227" i="78"/>
  <c r="K227" i="78"/>
  <c r="M227" i="78" s="1"/>
  <c r="J227" i="78"/>
  <c r="G227" i="78"/>
  <c r="F227" i="78"/>
  <c r="E227" i="78"/>
  <c r="R226" i="78"/>
  <c r="M226" i="78"/>
  <c r="H226" i="78"/>
  <c r="R225" i="78"/>
  <c r="M225" i="78"/>
  <c r="H225" i="78"/>
  <c r="R224" i="78"/>
  <c r="M224" i="78"/>
  <c r="H224" i="78"/>
  <c r="Q223" i="78"/>
  <c r="P223" i="78"/>
  <c r="O223" i="78"/>
  <c r="R223" i="78" s="1"/>
  <c r="L223" i="78"/>
  <c r="K223" i="78"/>
  <c r="J223" i="78"/>
  <c r="M223" i="78" s="1"/>
  <c r="G223" i="78"/>
  <c r="F223" i="78"/>
  <c r="E223" i="78"/>
  <c r="R222" i="78"/>
  <c r="M222" i="78"/>
  <c r="H222" i="78"/>
  <c r="R221" i="78"/>
  <c r="M221" i="78"/>
  <c r="H221" i="78"/>
  <c r="R220" i="78"/>
  <c r="M220" i="78"/>
  <c r="H220" i="78"/>
  <c r="Q219" i="78"/>
  <c r="P219" i="78"/>
  <c r="P217" i="78" s="1"/>
  <c r="O219" i="78"/>
  <c r="L219" i="78"/>
  <c r="L217" i="78" s="1"/>
  <c r="L216" i="78" s="1"/>
  <c r="K219" i="78"/>
  <c r="K217" i="78" s="1"/>
  <c r="K216" i="78" s="1"/>
  <c r="J219" i="78"/>
  <c r="G219" i="78"/>
  <c r="F219" i="78"/>
  <c r="F217" i="78" s="1"/>
  <c r="F216" i="78" s="1"/>
  <c r="E219" i="78"/>
  <c r="E217" i="78" s="1"/>
  <c r="R218" i="78"/>
  <c r="M218" i="78"/>
  <c r="H218" i="78"/>
  <c r="Q217" i="78"/>
  <c r="O217" i="78"/>
  <c r="O216" i="78" s="1"/>
  <c r="J217" i="78"/>
  <c r="G217" i="78"/>
  <c r="J216" i="78"/>
  <c r="R215" i="78"/>
  <c r="M215" i="78"/>
  <c r="H215" i="78"/>
  <c r="R214" i="78"/>
  <c r="M214" i="78"/>
  <c r="H214" i="78"/>
  <c r="Q213" i="78"/>
  <c r="P213" i="78"/>
  <c r="O213" i="78"/>
  <c r="L213" i="78"/>
  <c r="K213" i="78"/>
  <c r="J213" i="78"/>
  <c r="G213" i="78"/>
  <c r="F213" i="78"/>
  <c r="E213" i="78"/>
  <c r="H213" i="78" s="1"/>
  <c r="R212" i="78"/>
  <c r="M212" i="78"/>
  <c r="H212" i="78"/>
  <c r="R211" i="78"/>
  <c r="M211" i="78"/>
  <c r="H211" i="78"/>
  <c r="Q210" i="78"/>
  <c r="P210" i="78"/>
  <c r="O210" i="78"/>
  <c r="L210" i="78"/>
  <c r="K210" i="78"/>
  <c r="J210" i="78"/>
  <c r="M210" i="78" s="1"/>
  <c r="G210" i="78"/>
  <c r="F210" i="78"/>
  <c r="E210" i="78"/>
  <c r="H210" i="78" s="1"/>
  <c r="R209" i="78"/>
  <c r="M209" i="78"/>
  <c r="H209" i="78"/>
  <c r="R208" i="78"/>
  <c r="M208" i="78"/>
  <c r="H208" i="78"/>
  <c r="R207" i="78"/>
  <c r="M207" i="78"/>
  <c r="H207" i="78"/>
  <c r="R206" i="78"/>
  <c r="M206" i="78"/>
  <c r="H206" i="78"/>
  <c r="Q205" i="78"/>
  <c r="P205" i="78"/>
  <c r="O205" i="78"/>
  <c r="L205" i="78"/>
  <c r="L204" i="78" s="1"/>
  <c r="L203" i="78" s="1"/>
  <c r="K205" i="78"/>
  <c r="J205" i="78"/>
  <c r="G205" i="78"/>
  <c r="F205" i="78"/>
  <c r="E205" i="78"/>
  <c r="H205" i="78" s="1"/>
  <c r="R202" i="78"/>
  <c r="M202" i="78"/>
  <c r="H202" i="78"/>
  <c r="R201" i="78"/>
  <c r="M201" i="78"/>
  <c r="H201" i="78"/>
  <c r="Q200" i="78"/>
  <c r="P200" i="78"/>
  <c r="O200" i="78"/>
  <c r="R200" i="78" s="1"/>
  <c r="L200" i="78"/>
  <c r="K200" i="78"/>
  <c r="J200" i="78"/>
  <c r="G200" i="78"/>
  <c r="F200" i="78"/>
  <c r="E200" i="78"/>
  <c r="R199" i="78"/>
  <c r="M199" i="78"/>
  <c r="H199" i="78"/>
  <c r="R198" i="78"/>
  <c r="M198" i="78"/>
  <c r="H198" i="78"/>
  <c r="R197" i="78"/>
  <c r="M197" i="78"/>
  <c r="H197" i="78"/>
  <c r="R196" i="78"/>
  <c r="M196" i="78"/>
  <c r="H196" i="78"/>
  <c r="Q195" i="78"/>
  <c r="Q194" i="78" s="1"/>
  <c r="P195" i="78"/>
  <c r="O195" i="78"/>
  <c r="L195" i="78"/>
  <c r="L194" i="78" s="1"/>
  <c r="K195" i="78"/>
  <c r="J195" i="78"/>
  <c r="G195" i="78"/>
  <c r="G194" i="78" s="1"/>
  <c r="F195" i="78"/>
  <c r="E195" i="78"/>
  <c r="C195" i="78"/>
  <c r="P194" i="78"/>
  <c r="K194" i="78"/>
  <c r="F194" i="78"/>
  <c r="C194" i="78"/>
  <c r="R193" i="78"/>
  <c r="M193" i="78"/>
  <c r="H193" i="78"/>
  <c r="R192" i="78"/>
  <c r="M192" i="78"/>
  <c r="H192" i="78"/>
  <c r="R191" i="78"/>
  <c r="M191" i="78"/>
  <c r="H191" i="78"/>
  <c r="Q190" i="78"/>
  <c r="P190" i="78"/>
  <c r="O190" i="78"/>
  <c r="L190" i="78"/>
  <c r="L189" i="78" s="1"/>
  <c r="K190" i="78"/>
  <c r="J190" i="78"/>
  <c r="G190" i="78"/>
  <c r="F190" i="78"/>
  <c r="E190" i="78"/>
  <c r="Q189" i="78"/>
  <c r="P189" i="78"/>
  <c r="P182" i="78" s="1"/>
  <c r="P178" i="78" s="1"/>
  <c r="O189" i="78"/>
  <c r="K189" i="78"/>
  <c r="J189" i="78"/>
  <c r="G189" i="78"/>
  <c r="E189" i="78"/>
  <c r="R188" i="78"/>
  <c r="M188" i="78"/>
  <c r="H188" i="78"/>
  <c r="R187" i="78"/>
  <c r="M187" i="78"/>
  <c r="H187" i="78"/>
  <c r="R186" i="78"/>
  <c r="M186" i="78"/>
  <c r="H186" i="78"/>
  <c r="Q185" i="78"/>
  <c r="Q184" i="78" s="1"/>
  <c r="Q183" i="78" s="1"/>
  <c r="Q182" i="78" s="1"/>
  <c r="Q178" i="78" s="1"/>
  <c r="P185" i="78"/>
  <c r="O185" i="78"/>
  <c r="L185" i="78"/>
  <c r="L184" i="78" s="1"/>
  <c r="L183" i="78" s="1"/>
  <c r="L182" i="78" s="1"/>
  <c r="L178" i="78" s="1"/>
  <c r="L248" i="78" s="1"/>
  <c r="K185" i="78"/>
  <c r="K184" i="78" s="1"/>
  <c r="K183" i="78" s="1"/>
  <c r="J185" i="78"/>
  <c r="G185" i="78"/>
  <c r="G184" i="78" s="1"/>
  <c r="G183" i="78" s="1"/>
  <c r="F185" i="78"/>
  <c r="F184" i="78" s="1"/>
  <c r="F183" i="78" s="1"/>
  <c r="E185" i="78"/>
  <c r="H185" i="78" s="1"/>
  <c r="P184" i="78"/>
  <c r="J184" i="78"/>
  <c r="P183" i="78"/>
  <c r="R181" i="78"/>
  <c r="M181" i="78"/>
  <c r="H181" i="78"/>
  <c r="R180" i="78"/>
  <c r="M180" i="78"/>
  <c r="H180" i="78"/>
  <c r="R179" i="78"/>
  <c r="M179" i="78"/>
  <c r="H179" i="78"/>
  <c r="R177" i="78"/>
  <c r="M177" i="78"/>
  <c r="H177" i="78"/>
  <c r="R176" i="78"/>
  <c r="M176" i="78"/>
  <c r="H176" i="78"/>
  <c r="R175" i="78"/>
  <c r="M175" i="78"/>
  <c r="H175" i="78"/>
  <c r="R174" i="78"/>
  <c r="M174" i="78"/>
  <c r="H174" i="78"/>
  <c r="Q173" i="78"/>
  <c r="P173" i="78"/>
  <c r="O173" i="78"/>
  <c r="L173" i="78"/>
  <c r="K173" i="78"/>
  <c r="J173" i="78"/>
  <c r="G173" i="78"/>
  <c r="F173" i="78"/>
  <c r="F165" i="78" s="1"/>
  <c r="E173" i="78"/>
  <c r="R172" i="78"/>
  <c r="M172" i="78"/>
  <c r="H172" i="78"/>
  <c r="R171" i="78"/>
  <c r="M171" i="78"/>
  <c r="H171" i="78"/>
  <c r="R170" i="78"/>
  <c r="M170" i="78"/>
  <c r="H170" i="78"/>
  <c r="Q169" i="78"/>
  <c r="P169" i="78"/>
  <c r="O169" i="78"/>
  <c r="L169" i="78"/>
  <c r="K169" i="78"/>
  <c r="J169" i="78"/>
  <c r="M169" i="78" s="1"/>
  <c r="G169" i="78"/>
  <c r="F169" i="78"/>
  <c r="E169" i="78"/>
  <c r="H169" i="78" s="1"/>
  <c r="R168" i="78"/>
  <c r="M168" i="78"/>
  <c r="H168" i="78"/>
  <c r="R167" i="78"/>
  <c r="M167" i="78"/>
  <c r="H167" i="78"/>
  <c r="Q166" i="78"/>
  <c r="P166" i="78"/>
  <c r="O166" i="78"/>
  <c r="L166" i="78"/>
  <c r="K166" i="78"/>
  <c r="J166" i="78"/>
  <c r="M166" i="78" s="1"/>
  <c r="G166" i="78"/>
  <c r="G165" i="78" s="1"/>
  <c r="F166" i="78"/>
  <c r="E166" i="78"/>
  <c r="R163" i="78"/>
  <c r="M163" i="78"/>
  <c r="H163" i="78"/>
  <c r="R162" i="78"/>
  <c r="M162" i="78"/>
  <c r="H162" i="78"/>
  <c r="R161" i="78"/>
  <c r="M161" i="78"/>
  <c r="H161" i="78"/>
  <c r="Q160" i="78"/>
  <c r="P160" i="78"/>
  <c r="R160" i="78" s="1"/>
  <c r="O160" i="78"/>
  <c r="L160" i="78"/>
  <c r="K160" i="78"/>
  <c r="J160" i="78"/>
  <c r="G160" i="78"/>
  <c r="F160" i="78"/>
  <c r="E160" i="78"/>
  <c r="R159" i="78"/>
  <c r="M159" i="78"/>
  <c r="H159" i="78"/>
  <c r="R158" i="78"/>
  <c r="M158" i="78"/>
  <c r="H158" i="78"/>
  <c r="R157" i="78"/>
  <c r="M157" i="78"/>
  <c r="H157" i="78"/>
  <c r="Q156" i="78"/>
  <c r="P156" i="78"/>
  <c r="O156" i="78"/>
  <c r="R156" i="78" s="1"/>
  <c r="L156" i="78"/>
  <c r="L149" i="78" s="1"/>
  <c r="L147" i="78" s="1"/>
  <c r="K156" i="78"/>
  <c r="J156" i="78"/>
  <c r="G156" i="78"/>
  <c r="F156" i="78"/>
  <c r="E156" i="78"/>
  <c r="R155" i="78"/>
  <c r="M155" i="78"/>
  <c r="H155" i="78"/>
  <c r="R154" i="78"/>
  <c r="M154" i="78"/>
  <c r="H154" i="78"/>
  <c r="R153" i="78"/>
  <c r="M153" i="78"/>
  <c r="H153" i="78"/>
  <c r="Q152" i="78"/>
  <c r="P152" i="78"/>
  <c r="P150" i="78" s="1"/>
  <c r="O152" i="78"/>
  <c r="L152" i="78"/>
  <c r="K152" i="78"/>
  <c r="K150" i="78" s="1"/>
  <c r="J152" i="78"/>
  <c r="J150" i="78" s="1"/>
  <c r="G152" i="78"/>
  <c r="F152" i="78"/>
  <c r="F150" i="78" s="1"/>
  <c r="E152" i="78"/>
  <c r="R151" i="78"/>
  <c r="M151" i="78"/>
  <c r="H151" i="78"/>
  <c r="Q150" i="78"/>
  <c r="Q149" i="78" s="1"/>
  <c r="Q147" i="78" s="1"/>
  <c r="O150" i="78"/>
  <c r="O149" i="78" s="1"/>
  <c r="L150" i="78"/>
  <c r="G150" i="78"/>
  <c r="E150" i="78"/>
  <c r="E149" i="78" s="1"/>
  <c r="G149" i="78"/>
  <c r="G147" i="78" s="1"/>
  <c r="R148" i="78"/>
  <c r="M148" i="78"/>
  <c r="H148" i="78"/>
  <c r="R146" i="78"/>
  <c r="M146" i="78"/>
  <c r="H146" i="78"/>
  <c r="R145" i="78"/>
  <c r="M145" i="78"/>
  <c r="H145" i="78"/>
  <c r="R144" i="78"/>
  <c r="M144" i="78"/>
  <c r="H144" i="78"/>
  <c r="Q143" i="78"/>
  <c r="P143" i="78"/>
  <c r="O143" i="78"/>
  <c r="R143" i="78" s="1"/>
  <c r="L143" i="78"/>
  <c r="K143" i="78"/>
  <c r="J143" i="78"/>
  <c r="M143" i="78" s="1"/>
  <c r="G143" i="78"/>
  <c r="F143" i="78"/>
  <c r="E143" i="78"/>
  <c r="R142" i="78"/>
  <c r="M142" i="78"/>
  <c r="H142" i="78"/>
  <c r="R141" i="78"/>
  <c r="M141" i="78"/>
  <c r="H141" i="78"/>
  <c r="R140" i="78"/>
  <c r="M140" i="78"/>
  <c r="H140" i="78"/>
  <c r="Q139" i="78"/>
  <c r="P139" i="78"/>
  <c r="O139" i="78"/>
  <c r="L139" i="78"/>
  <c r="K139" i="78"/>
  <c r="M139" i="78" s="1"/>
  <c r="J139" i="78"/>
  <c r="G139" i="78"/>
  <c r="F139" i="78"/>
  <c r="E139" i="78"/>
  <c r="R138" i="78"/>
  <c r="M138" i="78"/>
  <c r="H138" i="78"/>
  <c r="R137" i="78"/>
  <c r="M137" i="78"/>
  <c r="H137" i="78"/>
  <c r="R136" i="78"/>
  <c r="M136" i="78"/>
  <c r="H136" i="78"/>
  <c r="Q135" i="78"/>
  <c r="Q133" i="78" s="1"/>
  <c r="P135" i="78"/>
  <c r="P133" i="78" s="1"/>
  <c r="P132" i="78" s="1"/>
  <c r="O135" i="78"/>
  <c r="L135" i="78"/>
  <c r="L133" i="78" s="1"/>
  <c r="K135" i="78"/>
  <c r="J135" i="78"/>
  <c r="G135" i="78"/>
  <c r="G133" i="78" s="1"/>
  <c r="F135" i="78"/>
  <c r="E135" i="78"/>
  <c r="R134" i="78"/>
  <c r="M134" i="78"/>
  <c r="H134" i="78"/>
  <c r="K133" i="78"/>
  <c r="F133" i="78"/>
  <c r="F132" i="78" s="1"/>
  <c r="R131" i="78"/>
  <c r="M131" i="78"/>
  <c r="H131" i="78"/>
  <c r="R130" i="78"/>
  <c r="M130" i="78"/>
  <c r="H130" i="78"/>
  <c r="Q129" i="78"/>
  <c r="P129" i="78"/>
  <c r="O129" i="78"/>
  <c r="L129" i="78"/>
  <c r="K129" i="78"/>
  <c r="J129" i="78"/>
  <c r="G129" i="78"/>
  <c r="F129" i="78"/>
  <c r="E129" i="78"/>
  <c r="R128" i="78"/>
  <c r="M128" i="78"/>
  <c r="H128" i="78"/>
  <c r="R127" i="78"/>
  <c r="M127" i="78"/>
  <c r="H127" i="78"/>
  <c r="Q126" i="78"/>
  <c r="P126" i="78"/>
  <c r="O126" i="78"/>
  <c r="L126" i="78"/>
  <c r="K126" i="78"/>
  <c r="J126" i="78"/>
  <c r="G126" i="78"/>
  <c r="F126" i="78"/>
  <c r="E126" i="78"/>
  <c r="R125" i="78"/>
  <c r="M125" i="78"/>
  <c r="H125" i="78"/>
  <c r="Q124" i="78"/>
  <c r="R124" i="78" s="1"/>
  <c r="L124" i="78"/>
  <c r="M124" i="78" s="1"/>
  <c r="G124" i="78"/>
  <c r="H124" i="78" s="1"/>
  <c r="R123" i="78"/>
  <c r="M123" i="78"/>
  <c r="H123" i="78"/>
  <c r="R122" i="78"/>
  <c r="M122" i="78"/>
  <c r="H122" i="78"/>
  <c r="P121" i="78"/>
  <c r="O121" i="78"/>
  <c r="L121" i="78"/>
  <c r="K121" i="78"/>
  <c r="J121" i="78"/>
  <c r="F121" i="78"/>
  <c r="E121" i="78"/>
  <c r="R118" i="78"/>
  <c r="M118" i="78"/>
  <c r="H118" i="78"/>
  <c r="P116" i="78"/>
  <c r="O116" i="78"/>
  <c r="J116" i="78"/>
  <c r="E116" i="78"/>
  <c r="R115" i="78"/>
  <c r="M115" i="78"/>
  <c r="H115" i="78"/>
  <c r="R114" i="78"/>
  <c r="M114" i="78"/>
  <c r="H114" i="78"/>
  <c r="R113" i="78"/>
  <c r="M113" i="78"/>
  <c r="H113" i="78"/>
  <c r="R112" i="78"/>
  <c r="M112" i="78"/>
  <c r="H112" i="78"/>
  <c r="Q111" i="78"/>
  <c r="P111" i="78"/>
  <c r="P110" i="78" s="1"/>
  <c r="O111" i="78"/>
  <c r="O110" i="78" s="1"/>
  <c r="L111" i="78"/>
  <c r="K111" i="78"/>
  <c r="K110" i="78" s="1"/>
  <c r="J111" i="78"/>
  <c r="G111" i="78"/>
  <c r="F111" i="78"/>
  <c r="F110" i="78" s="1"/>
  <c r="E111" i="78"/>
  <c r="C111" i="78"/>
  <c r="C110" i="78" s="1"/>
  <c r="Q110" i="78"/>
  <c r="L110" i="78"/>
  <c r="J110" i="78"/>
  <c r="M110" i="78" s="1"/>
  <c r="G110" i="78"/>
  <c r="E110" i="78"/>
  <c r="R109" i="78"/>
  <c r="M109" i="78"/>
  <c r="H109" i="78"/>
  <c r="R108" i="78"/>
  <c r="M108" i="78"/>
  <c r="H108" i="78"/>
  <c r="R107" i="78"/>
  <c r="M107" i="78"/>
  <c r="H107" i="78"/>
  <c r="Q106" i="78"/>
  <c r="Q105" i="78" s="1"/>
  <c r="P106" i="78"/>
  <c r="O106" i="78"/>
  <c r="L106" i="78"/>
  <c r="K106" i="78"/>
  <c r="K105" i="78" s="1"/>
  <c r="J106" i="78"/>
  <c r="G106" i="78"/>
  <c r="G105" i="78" s="1"/>
  <c r="F106" i="78"/>
  <c r="E106" i="78"/>
  <c r="H106" i="78" s="1"/>
  <c r="P105" i="78"/>
  <c r="L105" i="78"/>
  <c r="F105" i="78"/>
  <c r="R104" i="78"/>
  <c r="M104" i="78"/>
  <c r="H104" i="78"/>
  <c r="R103" i="78"/>
  <c r="M103" i="78"/>
  <c r="H103" i="78"/>
  <c r="R102" i="78"/>
  <c r="M102" i="78"/>
  <c r="H102" i="78"/>
  <c r="Q101" i="78"/>
  <c r="P101" i="78"/>
  <c r="O101" i="78"/>
  <c r="O100" i="78" s="1"/>
  <c r="O99" i="78" s="1"/>
  <c r="L101" i="78"/>
  <c r="L100" i="78" s="1"/>
  <c r="L99" i="78" s="1"/>
  <c r="K101" i="78"/>
  <c r="J101" i="78"/>
  <c r="G101" i="78"/>
  <c r="G100" i="78" s="1"/>
  <c r="G99" i="78" s="1"/>
  <c r="F101" i="78"/>
  <c r="F100" i="78" s="1"/>
  <c r="E101" i="78"/>
  <c r="Q100" i="78"/>
  <c r="P100" i="78"/>
  <c r="K100" i="78"/>
  <c r="J100" i="78"/>
  <c r="J99" i="78" s="1"/>
  <c r="E100" i="78"/>
  <c r="Q99" i="78"/>
  <c r="K99" i="78"/>
  <c r="E99" i="78"/>
  <c r="R97" i="78"/>
  <c r="M97" i="78"/>
  <c r="H97" i="78"/>
  <c r="R96" i="78"/>
  <c r="M96" i="78"/>
  <c r="H96" i="78"/>
  <c r="R95" i="78"/>
  <c r="M95" i="78"/>
  <c r="H95" i="78"/>
  <c r="R93" i="78"/>
  <c r="M93" i="78"/>
  <c r="H93" i="78"/>
  <c r="R92" i="78"/>
  <c r="M92" i="78"/>
  <c r="H92" i="78"/>
  <c r="R91" i="78"/>
  <c r="M91" i="78"/>
  <c r="H91" i="78"/>
  <c r="R90" i="78"/>
  <c r="M90" i="78"/>
  <c r="H90" i="78"/>
  <c r="Q89" i="78"/>
  <c r="P89" i="78"/>
  <c r="O89" i="78"/>
  <c r="L89" i="78"/>
  <c r="K89" i="78"/>
  <c r="J89" i="78"/>
  <c r="G89" i="78"/>
  <c r="G81" i="78" s="1"/>
  <c r="F89" i="78"/>
  <c r="E89" i="78"/>
  <c r="R88" i="78"/>
  <c r="M88" i="78"/>
  <c r="H88" i="78"/>
  <c r="R87" i="78"/>
  <c r="M87" i="78"/>
  <c r="H87" i="78"/>
  <c r="R86" i="78"/>
  <c r="M86" i="78"/>
  <c r="H86" i="78"/>
  <c r="Q85" i="78"/>
  <c r="P85" i="78"/>
  <c r="O85" i="78"/>
  <c r="L85" i="78"/>
  <c r="K85" i="78"/>
  <c r="M85" i="78" s="1"/>
  <c r="J85" i="78"/>
  <c r="G85" i="78"/>
  <c r="F85" i="78"/>
  <c r="E85" i="78"/>
  <c r="R84" i="78"/>
  <c r="M84" i="78"/>
  <c r="H84" i="78"/>
  <c r="R83" i="78"/>
  <c r="M83" i="78"/>
  <c r="H83" i="78"/>
  <c r="Q82" i="78"/>
  <c r="P82" i="78"/>
  <c r="P81" i="78" s="1"/>
  <c r="O82" i="78"/>
  <c r="L82" i="78"/>
  <c r="K82" i="78"/>
  <c r="J82" i="78"/>
  <c r="G82" i="78"/>
  <c r="F82" i="78"/>
  <c r="E82" i="78"/>
  <c r="R79" i="78"/>
  <c r="M79" i="78"/>
  <c r="H79" i="78"/>
  <c r="R78" i="78"/>
  <c r="M78" i="78"/>
  <c r="H78" i="78"/>
  <c r="R77" i="78"/>
  <c r="M77" i="78"/>
  <c r="H77" i="78"/>
  <c r="Q76" i="78"/>
  <c r="P76" i="78"/>
  <c r="O76" i="78"/>
  <c r="R76" i="78" s="1"/>
  <c r="L76" i="78"/>
  <c r="K76" i="78"/>
  <c r="J76" i="78"/>
  <c r="G76" i="78"/>
  <c r="F76" i="78"/>
  <c r="E76" i="78"/>
  <c r="R75" i="78"/>
  <c r="M75" i="78"/>
  <c r="H75" i="78"/>
  <c r="R74" i="78"/>
  <c r="M74" i="78"/>
  <c r="H74" i="78"/>
  <c r="R73" i="78"/>
  <c r="M73" i="78"/>
  <c r="H73" i="78"/>
  <c r="Q72" i="78"/>
  <c r="P72" i="78"/>
  <c r="R72" i="78" s="1"/>
  <c r="O72" i="78"/>
  <c r="L72" i="78"/>
  <c r="K72" i="78"/>
  <c r="J72" i="78"/>
  <c r="G72" i="78"/>
  <c r="F72" i="78"/>
  <c r="E72" i="78"/>
  <c r="R71" i="78"/>
  <c r="M71" i="78"/>
  <c r="H71" i="78"/>
  <c r="R70" i="78"/>
  <c r="M70" i="78"/>
  <c r="H70" i="78"/>
  <c r="R69" i="78"/>
  <c r="M69" i="78"/>
  <c r="H69" i="78"/>
  <c r="Q68" i="78"/>
  <c r="Q66" i="78" s="1"/>
  <c r="P68" i="78"/>
  <c r="O68" i="78"/>
  <c r="L68" i="78"/>
  <c r="L66" i="78" s="1"/>
  <c r="K68" i="78"/>
  <c r="K66" i="78" s="1"/>
  <c r="K65" i="78" s="1"/>
  <c r="K63" i="78" s="1"/>
  <c r="J68" i="78"/>
  <c r="G68" i="78"/>
  <c r="G66" i="78" s="1"/>
  <c r="G65" i="78" s="1"/>
  <c r="G63" i="78" s="1"/>
  <c r="F68" i="78"/>
  <c r="F66" i="78" s="1"/>
  <c r="F65" i="78" s="1"/>
  <c r="E68" i="78"/>
  <c r="R67" i="78"/>
  <c r="M67" i="78"/>
  <c r="H67" i="78"/>
  <c r="P66" i="78"/>
  <c r="P65" i="78"/>
  <c r="P63" i="78" s="1"/>
  <c r="R64" i="78"/>
  <c r="L64" i="78"/>
  <c r="K64" i="78"/>
  <c r="G64" i="78"/>
  <c r="F64" i="78"/>
  <c r="R62" i="78"/>
  <c r="M62" i="78"/>
  <c r="H62" i="78"/>
  <c r="R61" i="78"/>
  <c r="M61" i="78"/>
  <c r="H61" i="78"/>
  <c r="R60" i="78"/>
  <c r="M60" i="78"/>
  <c r="H60" i="78"/>
  <c r="Q59" i="78"/>
  <c r="P59" i="78"/>
  <c r="R59" i="78" s="1"/>
  <c r="O59" i="78"/>
  <c r="L59" i="78"/>
  <c r="K59" i="78"/>
  <c r="J59" i="78"/>
  <c r="G59" i="78"/>
  <c r="F59" i="78"/>
  <c r="E59" i="78"/>
  <c r="R58" i="78"/>
  <c r="M58" i="78"/>
  <c r="H58" i="78"/>
  <c r="R57" i="78"/>
  <c r="M57" i="78"/>
  <c r="H57" i="78"/>
  <c r="R56" i="78"/>
  <c r="M56" i="78"/>
  <c r="H56" i="78"/>
  <c r="Q55" i="78"/>
  <c r="P55" i="78"/>
  <c r="O55" i="78"/>
  <c r="R55" i="78" s="1"/>
  <c r="L55" i="78"/>
  <c r="L48" i="78" s="1"/>
  <c r="K55" i="78"/>
  <c r="J55" i="78"/>
  <c r="G55" i="78"/>
  <c r="F55" i="78"/>
  <c r="E55" i="78"/>
  <c r="R54" i="78"/>
  <c r="M54" i="78"/>
  <c r="H54" i="78"/>
  <c r="R53" i="78"/>
  <c r="M53" i="78"/>
  <c r="H53" i="78"/>
  <c r="R52" i="78"/>
  <c r="M52" i="78"/>
  <c r="H52" i="78"/>
  <c r="Q51" i="78"/>
  <c r="P51" i="78"/>
  <c r="P49" i="78" s="1"/>
  <c r="P48" i="78" s="1"/>
  <c r="P36" i="78" s="1"/>
  <c r="P35" i="78" s="1"/>
  <c r="O51" i="78"/>
  <c r="L51" i="78"/>
  <c r="K51" i="78"/>
  <c r="K49" i="78" s="1"/>
  <c r="K48" i="78" s="1"/>
  <c r="J51" i="78"/>
  <c r="J49" i="78" s="1"/>
  <c r="M49" i="78" s="1"/>
  <c r="G51" i="78"/>
  <c r="F51" i="78"/>
  <c r="F49" i="78" s="1"/>
  <c r="E51" i="78"/>
  <c r="R50" i="78"/>
  <c r="M50" i="78"/>
  <c r="H50" i="78"/>
  <c r="Q49" i="78"/>
  <c r="Q48" i="78" s="1"/>
  <c r="O49" i="78"/>
  <c r="L49" i="78"/>
  <c r="G49" i="78"/>
  <c r="G48" i="78" s="1"/>
  <c r="E49" i="78"/>
  <c r="J48" i="78"/>
  <c r="M48" i="78" s="1"/>
  <c r="R47" i="78"/>
  <c r="M47" i="78"/>
  <c r="H47" i="78"/>
  <c r="R46" i="78"/>
  <c r="M46" i="78"/>
  <c r="H46" i="78"/>
  <c r="Q45" i="78"/>
  <c r="P45" i="78"/>
  <c r="O45" i="78"/>
  <c r="R45" i="78" s="1"/>
  <c r="L45" i="78"/>
  <c r="K45" i="78"/>
  <c r="J45" i="78"/>
  <c r="G45" i="78"/>
  <c r="F45" i="78"/>
  <c r="E45" i="78"/>
  <c r="R44" i="78"/>
  <c r="M44" i="78"/>
  <c r="H44" i="78"/>
  <c r="R43" i="78"/>
  <c r="M43" i="78"/>
  <c r="H43" i="78"/>
  <c r="Q42" i="78"/>
  <c r="P42" i="78"/>
  <c r="O42" i="78"/>
  <c r="L42" i="78"/>
  <c r="K42" i="78"/>
  <c r="J42" i="78"/>
  <c r="G42" i="78"/>
  <c r="F42" i="78"/>
  <c r="E42" i="78"/>
  <c r="H42" i="78" s="1"/>
  <c r="R41" i="78"/>
  <c r="M41" i="78"/>
  <c r="H41" i="78"/>
  <c r="R40" i="78"/>
  <c r="Q40" i="78"/>
  <c r="L40" i="78"/>
  <c r="M40" i="78" s="1"/>
  <c r="H40" i="78"/>
  <c r="G40" i="78"/>
  <c r="R39" i="78"/>
  <c r="M39" i="78"/>
  <c r="H39" i="78"/>
  <c r="R38" i="78"/>
  <c r="M38" i="78"/>
  <c r="H38" i="78"/>
  <c r="Q37" i="78"/>
  <c r="P37" i="78"/>
  <c r="O37" i="78"/>
  <c r="L37" i="78"/>
  <c r="K37" i="78"/>
  <c r="M37" i="78" s="1"/>
  <c r="J37" i="78"/>
  <c r="G37" i="78"/>
  <c r="F37" i="78"/>
  <c r="E37" i="78"/>
  <c r="R34" i="78"/>
  <c r="M34" i="78"/>
  <c r="H34" i="78"/>
  <c r="P32" i="78"/>
  <c r="O32" i="78"/>
  <c r="J32" i="78"/>
  <c r="E32" i="78"/>
  <c r="R31" i="78"/>
  <c r="M31" i="78"/>
  <c r="H31" i="78"/>
  <c r="R30" i="78"/>
  <c r="M30" i="78"/>
  <c r="H30" i="78"/>
  <c r="R29" i="78"/>
  <c r="M29" i="78"/>
  <c r="H29" i="78"/>
  <c r="R28" i="78"/>
  <c r="M28" i="78"/>
  <c r="H28" i="78"/>
  <c r="Q27" i="78"/>
  <c r="Q26" i="78" s="1"/>
  <c r="P27" i="78"/>
  <c r="O27" i="78"/>
  <c r="L27" i="78"/>
  <c r="L26" i="78" s="1"/>
  <c r="K27" i="78"/>
  <c r="K26" i="78" s="1"/>
  <c r="J27" i="78"/>
  <c r="G27" i="78"/>
  <c r="G26" i="78" s="1"/>
  <c r="F27" i="78"/>
  <c r="E27" i="78"/>
  <c r="H27" i="78" s="1"/>
  <c r="C27" i="78"/>
  <c r="P26" i="78"/>
  <c r="F26" i="78"/>
  <c r="C26" i="78"/>
  <c r="R25" i="78"/>
  <c r="M25" i="78"/>
  <c r="H25" i="78"/>
  <c r="R24" i="78"/>
  <c r="M24" i="78"/>
  <c r="H24" i="78"/>
  <c r="R23" i="78"/>
  <c r="M23" i="78"/>
  <c r="H23" i="78"/>
  <c r="Q22" i="78"/>
  <c r="P22" i="78"/>
  <c r="O22" i="78"/>
  <c r="L22" i="78"/>
  <c r="K22" i="78"/>
  <c r="J22" i="78"/>
  <c r="J21" i="78" s="1"/>
  <c r="G22" i="78"/>
  <c r="F22" i="78"/>
  <c r="E22" i="78"/>
  <c r="Q21" i="78"/>
  <c r="O21" i="78"/>
  <c r="L21" i="78"/>
  <c r="K21" i="78"/>
  <c r="K14" i="78" s="1"/>
  <c r="G21" i="78"/>
  <c r="F21" i="78"/>
  <c r="E21" i="78"/>
  <c r="R20" i="78"/>
  <c r="M20" i="78"/>
  <c r="H20" i="78"/>
  <c r="R19" i="78"/>
  <c r="M19" i="78"/>
  <c r="H19" i="78"/>
  <c r="R18" i="78"/>
  <c r="M18" i="78"/>
  <c r="H18" i="78"/>
  <c r="Q17" i="78"/>
  <c r="P17" i="78"/>
  <c r="O17" i="78"/>
  <c r="L17" i="78"/>
  <c r="K17" i="78"/>
  <c r="J17" i="78"/>
  <c r="M17" i="78" s="1"/>
  <c r="G17" i="78"/>
  <c r="G16" i="78" s="1"/>
  <c r="G15" i="78" s="1"/>
  <c r="G14" i="78" s="1"/>
  <c r="F17" i="78"/>
  <c r="E17" i="78"/>
  <c r="Q16" i="78"/>
  <c r="P16" i="78"/>
  <c r="P15" i="78" s="1"/>
  <c r="L16" i="78"/>
  <c r="K16" i="78"/>
  <c r="J16" i="78"/>
  <c r="F16" i="78"/>
  <c r="E16" i="78"/>
  <c r="Q15" i="78"/>
  <c r="Q14" i="78" s="1"/>
  <c r="L15" i="78"/>
  <c r="K15" i="78"/>
  <c r="F15" i="78"/>
  <c r="E15" i="78"/>
  <c r="L14" i="78"/>
  <c r="R13" i="78"/>
  <c r="M13" i="78"/>
  <c r="H13" i="78"/>
  <c r="R12" i="78"/>
  <c r="M12" i="78"/>
  <c r="H12" i="78"/>
  <c r="R11" i="78"/>
  <c r="M11" i="78"/>
  <c r="H11" i="78"/>
  <c r="H15" i="122" l="1"/>
  <c r="Q14" i="122"/>
  <c r="L14" i="122"/>
  <c r="R27" i="122"/>
  <c r="M72" i="122"/>
  <c r="L249" i="122"/>
  <c r="K249" i="122"/>
  <c r="H42" i="122"/>
  <c r="F48" i="122"/>
  <c r="L48" i="122"/>
  <c r="M55" i="122"/>
  <c r="H59" i="122"/>
  <c r="P65" i="122"/>
  <c r="P63" i="122" s="1"/>
  <c r="M76" i="122"/>
  <c r="H106" i="122"/>
  <c r="P132" i="122"/>
  <c r="F165" i="122"/>
  <c r="L165" i="122"/>
  <c r="K216" i="122"/>
  <c r="Q216" i="122"/>
  <c r="H227" i="122"/>
  <c r="R250" i="122"/>
  <c r="M253" i="122"/>
  <c r="Q249" i="122"/>
  <c r="M38" i="122"/>
  <c r="H39" i="122"/>
  <c r="R39" i="122"/>
  <c r="M40" i="122"/>
  <c r="R45" i="122"/>
  <c r="H55" i="122"/>
  <c r="Q48" i="122"/>
  <c r="Q36" i="122" s="1"/>
  <c r="H82" i="122"/>
  <c r="K81" i="122"/>
  <c r="Q81" i="122"/>
  <c r="M213" i="122"/>
  <c r="F216" i="122"/>
  <c r="F204" i="122" s="1"/>
  <c r="O233" i="122"/>
  <c r="H15" i="78"/>
  <c r="E14" i="78"/>
  <c r="H14" i="78" s="1"/>
  <c r="R22" i="78"/>
  <c r="P21" i="78"/>
  <c r="P14" i="78" s="1"/>
  <c r="P10" i="78" s="1"/>
  <c r="P80" i="78" s="1"/>
  <c r="M99" i="78"/>
  <c r="K98" i="78"/>
  <c r="H100" i="78"/>
  <c r="F99" i="78"/>
  <c r="H49" i="122"/>
  <c r="E48" i="122"/>
  <c r="M133" i="122"/>
  <c r="J132" i="122"/>
  <c r="M205" i="122"/>
  <c r="K204" i="122"/>
  <c r="Q204" i="122"/>
  <c r="R166" i="78"/>
  <c r="O165" i="78"/>
  <c r="M16" i="78"/>
  <c r="J15" i="78"/>
  <c r="M106" i="78"/>
  <c r="J105" i="78"/>
  <c r="M250" i="78"/>
  <c r="K249" i="78"/>
  <c r="H253" i="78"/>
  <c r="F249" i="78"/>
  <c r="F14" i="122"/>
  <c r="M16" i="122"/>
  <c r="K15" i="122"/>
  <c r="H22" i="122"/>
  <c r="E21" i="122"/>
  <c r="H21" i="122" s="1"/>
  <c r="H37" i="122"/>
  <c r="F36" i="122"/>
  <c r="F35" i="122" s="1"/>
  <c r="R37" i="122"/>
  <c r="M49" i="122"/>
  <c r="J48" i="122"/>
  <c r="H139" i="122"/>
  <c r="E132" i="122"/>
  <c r="F149" i="122"/>
  <c r="F147" i="122" s="1"/>
  <c r="M184" i="122"/>
  <c r="K183" i="122"/>
  <c r="M183" i="122" s="1"/>
  <c r="M234" i="122"/>
  <c r="J233" i="122"/>
  <c r="M233" i="122" s="1"/>
  <c r="F14" i="74"/>
  <c r="M16" i="74"/>
  <c r="K15" i="74"/>
  <c r="H22" i="74"/>
  <c r="E21" i="74"/>
  <c r="H21" i="74" s="1"/>
  <c r="G48" i="74"/>
  <c r="G36" i="74" s="1"/>
  <c r="M61" i="74"/>
  <c r="K59" i="74"/>
  <c r="M59" i="74" s="1"/>
  <c r="G63" i="74"/>
  <c r="M90" i="74"/>
  <c r="K89" i="74"/>
  <c r="K81" i="74" s="1"/>
  <c r="G306" i="74"/>
  <c r="G305" i="74" s="1"/>
  <c r="G117" i="74"/>
  <c r="Q306" i="74"/>
  <c r="Q305" i="74" s="1"/>
  <c r="Q117" i="74"/>
  <c r="R49" i="78"/>
  <c r="O48" i="78"/>
  <c r="R48" i="78" s="1"/>
  <c r="L120" i="78"/>
  <c r="L119" i="78" s="1"/>
  <c r="L117" i="78" s="1"/>
  <c r="L116" i="78" s="1"/>
  <c r="H100" i="122"/>
  <c r="F99" i="122"/>
  <c r="H99" i="122" s="1"/>
  <c r="H185" i="122"/>
  <c r="F184" i="122"/>
  <c r="R210" i="122"/>
  <c r="P204" i="122"/>
  <c r="P203" i="122" s="1"/>
  <c r="R133" i="74"/>
  <c r="O132" i="74"/>
  <c r="L90" i="74"/>
  <c r="L89" i="74" s="1"/>
  <c r="L81" i="74" s="1"/>
  <c r="L173" i="74"/>
  <c r="L165" i="74" s="1"/>
  <c r="K306" i="74"/>
  <c r="K305" i="74" s="1"/>
  <c r="K117" i="74"/>
  <c r="H49" i="78"/>
  <c r="E48" i="78"/>
  <c r="R100" i="78"/>
  <c r="P99" i="78"/>
  <c r="M184" i="78"/>
  <c r="H190" i="78"/>
  <c r="F189" i="78"/>
  <c r="F182" i="78" s="1"/>
  <c r="F178" i="78" s="1"/>
  <c r="G98" i="122"/>
  <c r="L120" i="122"/>
  <c r="H190" i="122"/>
  <c r="E189" i="122"/>
  <c r="M45" i="74"/>
  <c r="J36" i="74"/>
  <c r="M133" i="74"/>
  <c r="J132" i="74"/>
  <c r="R184" i="74"/>
  <c r="P183" i="74"/>
  <c r="L182" i="74"/>
  <c r="L178" i="74" s="1"/>
  <c r="L248" i="74" s="1"/>
  <c r="L306" i="74"/>
  <c r="L305" i="74" s="1"/>
  <c r="L117" i="74"/>
  <c r="G10" i="78"/>
  <c r="G80" i="78" s="1"/>
  <c r="R17" i="78"/>
  <c r="O16" i="78"/>
  <c r="Q36" i="78"/>
  <c r="R110" i="78"/>
  <c r="K132" i="78"/>
  <c r="J165" i="78"/>
  <c r="M216" i="78"/>
  <c r="H217" i="78"/>
  <c r="E216" i="78"/>
  <c r="E204" i="78" s="1"/>
  <c r="K204" i="78"/>
  <c r="G216" i="78"/>
  <c r="G204" i="78" s="1"/>
  <c r="R17" i="122"/>
  <c r="P16" i="122"/>
  <c r="R49" i="122"/>
  <c r="O48" i="122"/>
  <c r="O36" i="122" s="1"/>
  <c r="K65" i="122"/>
  <c r="K63" i="122" s="1"/>
  <c r="M101" i="122"/>
  <c r="K100" i="122"/>
  <c r="O132" i="122"/>
  <c r="O120" i="122" s="1"/>
  <c r="R169" i="122"/>
  <c r="P165" i="122"/>
  <c r="H240" i="122"/>
  <c r="E233" i="122"/>
  <c r="E231" i="122" s="1"/>
  <c r="R17" i="74"/>
  <c r="P16" i="74"/>
  <c r="G120" i="74"/>
  <c r="Q120" i="74"/>
  <c r="R234" i="74"/>
  <c r="O233" i="74"/>
  <c r="P306" i="74"/>
  <c r="P305" i="74" s="1"/>
  <c r="P117" i="74"/>
  <c r="H90" i="74"/>
  <c r="H99" i="74"/>
  <c r="K98" i="74"/>
  <c r="H184" i="74"/>
  <c r="R189" i="74"/>
  <c r="L204" i="74"/>
  <c r="L203" i="74" s="1"/>
  <c r="H233" i="74"/>
  <c r="M249" i="74"/>
  <c r="F248" i="130"/>
  <c r="H248" i="130" s="1"/>
  <c r="H178" i="130"/>
  <c r="H98" i="126"/>
  <c r="E94" i="126"/>
  <c r="M59" i="78"/>
  <c r="F63" i="78"/>
  <c r="K81" i="78"/>
  <c r="Q98" i="78"/>
  <c r="R129" i="78"/>
  <c r="H139" i="78"/>
  <c r="M217" i="78"/>
  <c r="H227" i="78"/>
  <c r="M240" i="78"/>
  <c r="Q249" i="78"/>
  <c r="R21" i="122"/>
  <c r="M27" i="122"/>
  <c r="H72" i="122"/>
  <c r="R85" i="122"/>
  <c r="R99" i="122"/>
  <c r="H101" i="122"/>
  <c r="P120" i="122"/>
  <c r="P119" i="122" s="1"/>
  <c r="P117" i="122" s="1"/>
  <c r="P116" i="122" s="1"/>
  <c r="R143" i="122"/>
  <c r="R184" i="122"/>
  <c r="R200" i="122"/>
  <c r="R244" i="122"/>
  <c r="G14" i="74"/>
  <c r="R59" i="74"/>
  <c r="H72" i="74"/>
  <c r="F89" i="74"/>
  <c r="F81" i="74" s="1"/>
  <c r="G90" i="74"/>
  <c r="G89" i="74" s="1"/>
  <c r="G81" i="74" s="1"/>
  <c r="H100" i="74"/>
  <c r="M106" i="74"/>
  <c r="R143" i="74"/>
  <c r="H185" i="74"/>
  <c r="M189" i="74"/>
  <c r="R194" i="74"/>
  <c r="M200" i="74"/>
  <c r="H210" i="74"/>
  <c r="M223" i="74"/>
  <c r="F286" i="74"/>
  <c r="G10" i="126"/>
  <c r="M98" i="126"/>
  <c r="K94" i="126"/>
  <c r="K164" i="130"/>
  <c r="M164" i="130" s="1"/>
  <c r="M94" i="130"/>
  <c r="H204" i="126"/>
  <c r="E203" i="126"/>
  <c r="H17" i="78"/>
  <c r="H22" i="78"/>
  <c r="R27" i="78"/>
  <c r="G36" i="78"/>
  <c r="G35" i="78" s="1"/>
  <c r="G33" i="78" s="1"/>
  <c r="G32" i="78" s="1"/>
  <c r="R42" i="78"/>
  <c r="M45" i="78"/>
  <c r="F48" i="78"/>
  <c r="F36" i="78" s="1"/>
  <c r="F35" i="78" s="1"/>
  <c r="F33" i="78" s="1"/>
  <c r="H33" i="78" s="1"/>
  <c r="M55" i="78"/>
  <c r="H59" i="78"/>
  <c r="H72" i="78"/>
  <c r="M76" i="78"/>
  <c r="F81" i="78"/>
  <c r="Q81" i="78"/>
  <c r="M101" i="78"/>
  <c r="M121" i="78"/>
  <c r="M129" i="78"/>
  <c r="H143" i="78"/>
  <c r="M156" i="78"/>
  <c r="H160" i="78"/>
  <c r="H166" i="78"/>
  <c r="Q165" i="78"/>
  <c r="L165" i="78"/>
  <c r="P165" i="78"/>
  <c r="R165" i="78" s="1"/>
  <c r="G182" i="78"/>
  <c r="G178" i="78" s="1"/>
  <c r="R185" i="78"/>
  <c r="K182" i="78"/>
  <c r="K178" i="78" s="1"/>
  <c r="R190" i="78"/>
  <c r="M200" i="78"/>
  <c r="R205" i="78"/>
  <c r="R213" i="78"/>
  <c r="H223" i="78"/>
  <c r="Q216" i="78"/>
  <c r="Q204" i="78" s="1"/>
  <c r="H240" i="78"/>
  <c r="M244" i="78"/>
  <c r="R253" i="78"/>
  <c r="L249" i="78"/>
  <c r="H17" i="122"/>
  <c r="M21" i="122"/>
  <c r="R22" i="122"/>
  <c r="H27" i="122"/>
  <c r="L37" i="122"/>
  <c r="L36" i="122" s="1"/>
  <c r="R42" i="122"/>
  <c r="M45" i="122"/>
  <c r="P48" i="122"/>
  <c r="P36" i="122" s="1"/>
  <c r="P35" i="122" s="1"/>
  <c r="P33" i="122" s="1"/>
  <c r="P32" i="122" s="1"/>
  <c r="R59" i="122"/>
  <c r="H76" i="122"/>
  <c r="P81" i="122"/>
  <c r="R82" i="122"/>
  <c r="M85" i="122"/>
  <c r="G81" i="122"/>
  <c r="R100" i="122"/>
  <c r="E105" i="122"/>
  <c r="L98" i="122"/>
  <c r="L94" i="122" s="1"/>
  <c r="H121" i="122"/>
  <c r="M126" i="122"/>
  <c r="H129" i="122"/>
  <c r="K132" i="122"/>
  <c r="K120" i="122" s="1"/>
  <c r="K119" i="122" s="1"/>
  <c r="K117" i="122" s="1"/>
  <c r="K116" i="122" s="1"/>
  <c r="M116" i="122" s="1"/>
  <c r="G132" i="122"/>
  <c r="G120" i="122" s="1"/>
  <c r="R139" i="122"/>
  <c r="M143" i="122"/>
  <c r="L149" i="122"/>
  <c r="L147" i="122" s="1"/>
  <c r="R156" i="122"/>
  <c r="M166" i="122"/>
  <c r="H169" i="122"/>
  <c r="R185" i="122"/>
  <c r="R190" i="122"/>
  <c r="M200" i="122"/>
  <c r="H210" i="122"/>
  <c r="G216" i="122"/>
  <c r="G204" i="122" s="1"/>
  <c r="M223" i="122"/>
  <c r="R227" i="122"/>
  <c r="K233" i="122"/>
  <c r="K231" i="122" s="1"/>
  <c r="G233" i="122"/>
  <c r="G231" i="122" s="1"/>
  <c r="R240" i="122"/>
  <c r="M244" i="122"/>
  <c r="M250" i="122"/>
  <c r="H253" i="122"/>
  <c r="H17" i="74"/>
  <c r="M21" i="74"/>
  <c r="R22" i="74"/>
  <c r="H27" i="74"/>
  <c r="M40" i="74"/>
  <c r="M43" i="74"/>
  <c r="M51" i="74"/>
  <c r="H68" i="74"/>
  <c r="Q65" i="74"/>
  <c r="Q63" i="74" s="1"/>
  <c r="Q35" i="74" s="1"/>
  <c r="H76" i="74"/>
  <c r="M82" i="74"/>
  <c r="H85" i="74"/>
  <c r="E98" i="74"/>
  <c r="E94" i="74" s="1"/>
  <c r="H101" i="74"/>
  <c r="H106" i="74"/>
  <c r="R111" i="74"/>
  <c r="J120" i="74"/>
  <c r="R121" i="74"/>
  <c r="M124" i="74"/>
  <c r="R126" i="74"/>
  <c r="M127" i="74"/>
  <c r="H145" i="74"/>
  <c r="R145" i="74"/>
  <c r="H152" i="74"/>
  <c r="Q149" i="74"/>
  <c r="Q147" i="74" s="1"/>
  <c r="H160" i="74"/>
  <c r="H166" i="74"/>
  <c r="H173" i="74"/>
  <c r="M190" i="74"/>
  <c r="H200" i="74"/>
  <c r="R205" i="74"/>
  <c r="R213" i="74"/>
  <c r="M219" i="74"/>
  <c r="H223" i="74"/>
  <c r="M227" i="74"/>
  <c r="H234" i="74"/>
  <c r="P233" i="74"/>
  <c r="P231" i="74" s="1"/>
  <c r="P203" i="74" s="1"/>
  <c r="R244" i="74"/>
  <c r="F249" i="74"/>
  <c r="H249" i="74" s="1"/>
  <c r="H250" i="74"/>
  <c r="R257" i="74"/>
  <c r="R80" i="130"/>
  <c r="O35" i="126"/>
  <c r="R99" i="126"/>
  <c r="P98" i="126"/>
  <c r="R14" i="126"/>
  <c r="O10" i="126"/>
  <c r="E119" i="126"/>
  <c r="G147" i="74"/>
  <c r="G119" i="74" s="1"/>
  <c r="G182" i="74"/>
  <c r="G178" i="74" s="1"/>
  <c r="F203" i="74"/>
  <c r="H182" i="126"/>
  <c r="F178" i="126"/>
  <c r="H16" i="78"/>
  <c r="F14" i="78"/>
  <c r="M22" i="78"/>
  <c r="H37" i="78"/>
  <c r="L36" i="78"/>
  <c r="K36" i="78"/>
  <c r="K35" i="78" s="1"/>
  <c r="K33" i="78" s="1"/>
  <c r="M72" i="78"/>
  <c r="H85" i="78"/>
  <c r="M100" i="78"/>
  <c r="R101" i="78"/>
  <c r="M160" i="78"/>
  <c r="F204" i="78"/>
  <c r="F203" i="78" s="1"/>
  <c r="F248" i="78" s="1"/>
  <c r="H250" i="78"/>
  <c r="H16" i="122"/>
  <c r="M17" i="122"/>
  <c r="G14" i="122"/>
  <c r="L81" i="122"/>
  <c r="H133" i="122"/>
  <c r="R166" i="122"/>
  <c r="M169" i="122"/>
  <c r="G165" i="122"/>
  <c r="L182" i="122"/>
  <c r="L178" i="122" s="1"/>
  <c r="H205" i="122"/>
  <c r="M210" i="122"/>
  <c r="H213" i="122"/>
  <c r="R223" i="122"/>
  <c r="H234" i="122"/>
  <c r="F249" i="122"/>
  <c r="H16" i="74"/>
  <c r="M17" i="74"/>
  <c r="R21" i="74"/>
  <c r="M27" i="74"/>
  <c r="R51" i="74"/>
  <c r="L48" i="74"/>
  <c r="L36" i="74" s="1"/>
  <c r="Q90" i="74"/>
  <c r="Q89" i="74" s="1"/>
  <c r="Q81" i="74" s="1"/>
  <c r="F98" i="74"/>
  <c r="H121" i="74"/>
  <c r="H126" i="74"/>
  <c r="H133" i="74"/>
  <c r="R139" i="74"/>
  <c r="L132" i="74"/>
  <c r="L120" i="74" s="1"/>
  <c r="H156" i="74"/>
  <c r="M166" i="74"/>
  <c r="H169" i="74"/>
  <c r="M174" i="74"/>
  <c r="K204" i="74"/>
  <c r="G204" i="74"/>
  <c r="G203" i="74" s="1"/>
  <c r="M120" i="126"/>
  <c r="J119" i="126"/>
  <c r="J35" i="126"/>
  <c r="M36" i="126"/>
  <c r="M27" i="78"/>
  <c r="R37" i="78"/>
  <c r="M42" i="78"/>
  <c r="H45" i="78"/>
  <c r="H55" i="78"/>
  <c r="M64" i="78"/>
  <c r="Q65" i="78"/>
  <c r="Q63" i="78" s="1"/>
  <c r="H76" i="78"/>
  <c r="R85" i="78"/>
  <c r="L81" i="78"/>
  <c r="H101" i="78"/>
  <c r="L98" i="78"/>
  <c r="G98" i="78"/>
  <c r="R106" i="78"/>
  <c r="H110" i="78"/>
  <c r="H129" i="78"/>
  <c r="L132" i="78"/>
  <c r="R139" i="78"/>
  <c r="H156" i="78"/>
  <c r="E165" i="78"/>
  <c r="R169" i="78"/>
  <c r="K165" i="78"/>
  <c r="M165" i="78" s="1"/>
  <c r="M185" i="78"/>
  <c r="M190" i="78"/>
  <c r="H200" i="78"/>
  <c r="M205" i="78"/>
  <c r="R210" i="78"/>
  <c r="M213" i="78"/>
  <c r="R217" i="78"/>
  <c r="P216" i="78"/>
  <c r="P204" i="78" s="1"/>
  <c r="P203" i="78" s="1"/>
  <c r="P248" i="78" s="1"/>
  <c r="R227" i="78"/>
  <c r="K233" i="78"/>
  <c r="K231" i="78" s="1"/>
  <c r="H244" i="78"/>
  <c r="R250" i="78"/>
  <c r="M253" i="78"/>
  <c r="G249" i="78"/>
  <c r="M22" i="122"/>
  <c r="H38" i="122"/>
  <c r="R38" i="122"/>
  <c r="M39" i="122"/>
  <c r="R40" i="122"/>
  <c r="M42" i="122"/>
  <c r="H45" i="122"/>
  <c r="K48" i="122"/>
  <c r="K36" i="122" s="1"/>
  <c r="K35" i="122" s="1"/>
  <c r="K33" i="122" s="1"/>
  <c r="G48" i="122"/>
  <c r="G36" i="122" s="1"/>
  <c r="R55" i="122"/>
  <c r="M59" i="122"/>
  <c r="L65" i="122"/>
  <c r="L63" i="122" s="1"/>
  <c r="R72" i="122"/>
  <c r="M82" i="122"/>
  <c r="H85" i="122"/>
  <c r="R101" i="122"/>
  <c r="R106" i="122"/>
  <c r="H126" i="122"/>
  <c r="F132" i="122"/>
  <c r="F120" i="122" s="1"/>
  <c r="M139" i="122"/>
  <c r="H143" i="122"/>
  <c r="M156" i="122"/>
  <c r="R160" i="122"/>
  <c r="H166" i="122"/>
  <c r="Q165" i="122"/>
  <c r="M185" i="122"/>
  <c r="G182" i="122"/>
  <c r="G178" i="122" s="1"/>
  <c r="M190" i="122"/>
  <c r="H200" i="122"/>
  <c r="R205" i="122"/>
  <c r="R213" i="122"/>
  <c r="H223" i="122"/>
  <c r="M227" i="122"/>
  <c r="F233" i="122"/>
  <c r="F231" i="122" s="1"/>
  <c r="F203" i="122" s="1"/>
  <c r="M240" i="122"/>
  <c r="H244" i="122"/>
  <c r="H250" i="122"/>
  <c r="P249" i="122"/>
  <c r="M22" i="74"/>
  <c r="M37" i="74"/>
  <c r="M42" i="74"/>
  <c r="R45" i="74"/>
  <c r="H51" i="74"/>
  <c r="K55" i="74"/>
  <c r="M55" i="74" s="1"/>
  <c r="H56" i="74"/>
  <c r="R56" i="74"/>
  <c r="H64" i="74"/>
  <c r="R64" i="74"/>
  <c r="L65" i="74"/>
  <c r="L63" i="74" s="1"/>
  <c r="R72" i="74"/>
  <c r="H82" i="74"/>
  <c r="J99" i="74"/>
  <c r="O100" i="74"/>
  <c r="P105" i="74"/>
  <c r="P98" i="74" s="1"/>
  <c r="M111" i="74"/>
  <c r="M121" i="74"/>
  <c r="M126" i="74"/>
  <c r="R129" i="74"/>
  <c r="F132" i="74"/>
  <c r="K139" i="74"/>
  <c r="K132" i="74" s="1"/>
  <c r="K143" i="74"/>
  <c r="M143" i="74" s="1"/>
  <c r="F147" i="74"/>
  <c r="P147" i="74"/>
  <c r="L149" i="74"/>
  <c r="L147" i="74" s="1"/>
  <c r="R156" i="74"/>
  <c r="R169" i="74"/>
  <c r="P165" i="74"/>
  <c r="F183" i="74"/>
  <c r="K184" i="74"/>
  <c r="R185" i="74"/>
  <c r="H190" i="74"/>
  <c r="M194" i="74"/>
  <c r="M205" i="74"/>
  <c r="R210" i="74"/>
  <c r="M213" i="74"/>
  <c r="H219" i="74"/>
  <c r="Q216" i="74"/>
  <c r="Q204" i="74" s="1"/>
  <c r="Q203" i="74" s="1"/>
  <c r="Q248" i="74" s="1"/>
  <c r="H227" i="74"/>
  <c r="K233" i="74"/>
  <c r="K231" i="74" s="1"/>
  <c r="R240" i="74"/>
  <c r="M244" i="74"/>
  <c r="O249" i="74"/>
  <c r="R249" i="74" s="1"/>
  <c r="R253" i="74"/>
  <c r="M257" i="74"/>
  <c r="H15" i="126"/>
  <c r="F14" i="126"/>
  <c r="Q119" i="126"/>
  <c r="Q36" i="126"/>
  <c r="R36" i="126" s="1"/>
  <c r="R120" i="126"/>
  <c r="M203" i="126"/>
  <c r="J248" i="126"/>
  <c r="M183" i="126"/>
  <c r="K182" i="126"/>
  <c r="R203" i="126"/>
  <c r="O248" i="126"/>
  <c r="R248" i="126" s="1"/>
  <c r="G119" i="126"/>
  <c r="G35" i="126" s="1"/>
  <c r="H35" i="126" s="1"/>
  <c r="G36" i="126"/>
  <c r="H36" i="126" s="1"/>
  <c r="R147" i="126"/>
  <c r="O119" i="126"/>
  <c r="H120" i="126"/>
  <c r="F293" i="74"/>
  <c r="F292" i="74" s="1"/>
  <c r="F117" i="74"/>
  <c r="J14" i="74"/>
  <c r="O14" i="74"/>
  <c r="F26" i="74"/>
  <c r="H26" i="74" s="1"/>
  <c r="K26" i="74"/>
  <c r="M26" i="74" s="1"/>
  <c r="P26" i="74"/>
  <c r="R26" i="74" s="1"/>
  <c r="F37" i="74"/>
  <c r="P37" i="74"/>
  <c r="R37" i="74" s="1"/>
  <c r="F42" i="74"/>
  <c r="H42" i="74" s="1"/>
  <c r="P42" i="74"/>
  <c r="R42" i="74" s="1"/>
  <c r="F49" i="74"/>
  <c r="K49" i="74"/>
  <c r="P49" i="74"/>
  <c r="F55" i="74"/>
  <c r="H55" i="74" s="1"/>
  <c r="P55" i="74"/>
  <c r="R55" i="74" s="1"/>
  <c r="F63" i="74"/>
  <c r="P63" i="74"/>
  <c r="E66" i="74"/>
  <c r="J66" i="74"/>
  <c r="O66" i="74"/>
  <c r="E81" i="74"/>
  <c r="J81" i="74"/>
  <c r="O81" i="74"/>
  <c r="R81" i="74" s="1"/>
  <c r="F120" i="74"/>
  <c r="P120" i="74"/>
  <c r="P119" i="74" s="1"/>
  <c r="H132" i="74"/>
  <c r="H139" i="74"/>
  <c r="R173" i="74"/>
  <c r="M233" i="74"/>
  <c r="M234" i="74"/>
  <c r="K286" i="74"/>
  <c r="H105" i="74"/>
  <c r="M105" i="74"/>
  <c r="R105" i="74"/>
  <c r="H122" i="74"/>
  <c r="R122" i="74"/>
  <c r="H127" i="74"/>
  <c r="R127" i="74"/>
  <c r="H135" i="74"/>
  <c r="M135" i="74"/>
  <c r="R135" i="74"/>
  <c r="H140" i="74"/>
  <c r="R140" i="74"/>
  <c r="H148" i="74"/>
  <c r="R148" i="74"/>
  <c r="H174" i="74"/>
  <c r="R174" i="74"/>
  <c r="H195" i="74"/>
  <c r="M195" i="74"/>
  <c r="R195" i="74"/>
  <c r="H236" i="74"/>
  <c r="M236" i="74"/>
  <c r="R236" i="74"/>
  <c r="E110" i="74"/>
  <c r="H110" i="74" s="1"/>
  <c r="J110" i="74"/>
  <c r="M110" i="74" s="1"/>
  <c r="O110" i="74"/>
  <c r="R110" i="74" s="1"/>
  <c r="E150" i="74"/>
  <c r="J150" i="74"/>
  <c r="O150" i="74"/>
  <c r="E165" i="74"/>
  <c r="H165" i="74" s="1"/>
  <c r="J165" i="74"/>
  <c r="M165" i="74" s="1"/>
  <c r="O165" i="74"/>
  <c r="R165" i="74" s="1"/>
  <c r="E182" i="74"/>
  <c r="J182" i="74"/>
  <c r="O182" i="74"/>
  <c r="E217" i="74"/>
  <c r="J217" i="74"/>
  <c r="O217" i="74"/>
  <c r="E231" i="74"/>
  <c r="H231" i="74" s="1"/>
  <c r="J231" i="74"/>
  <c r="M231" i="74" s="1"/>
  <c r="O231" i="74"/>
  <c r="R231" i="74" s="1"/>
  <c r="M117" i="122"/>
  <c r="H68" i="122"/>
  <c r="E66" i="122"/>
  <c r="R68" i="122"/>
  <c r="O66" i="122"/>
  <c r="H89" i="122"/>
  <c r="E81" i="122"/>
  <c r="R89" i="122"/>
  <c r="O81" i="122"/>
  <c r="H152" i="122"/>
  <c r="E150" i="122"/>
  <c r="R152" i="122"/>
  <c r="O150" i="122"/>
  <c r="H173" i="122"/>
  <c r="E165" i="122"/>
  <c r="H165" i="122" s="1"/>
  <c r="R173" i="122"/>
  <c r="O165" i="122"/>
  <c r="H219" i="122"/>
  <c r="E217" i="122"/>
  <c r="R219" i="122"/>
  <c r="O217" i="122"/>
  <c r="R233" i="122"/>
  <c r="O231" i="122"/>
  <c r="R231" i="122" s="1"/>
  <c r="J14" i="122"/>
  <c r="O14" i="122"/>
  <c r="F26" i="122"/>
  <c r="H26" i="122" s="1"/>
  <c r="K26" i="122"/>
  <c r="M26" i="122" s="1"/>
  <c r="P26" i="122"/>
  <c r="R26" i="122" s="1"/>
  <c r="G65" i="122"/>
  <c r="G63" i="122" s="1"/>
  <c r="Q65" i="122"/>
  <c r="Q63" i="122" s="1"/>
  <c r="P98" i="122"/>
  <c r="J105" i="122"/>
  <c r="H110" i="122"/>
  <c r="M110" i="122"/>
  <c r="R110" i="122"/>
  <c r="H111" i="122"/>
  <c r="M111" i="122"/>
  <c r="R111" i="122"/>
  <c r="E120" i="122"/>
  <c r="J120" i="122"/>
  <c r="G149" i="122"/>
  <c r="G147" i="122" s="1"/>
  <c r="Q149" i="122"/>
  <c r="Q147" i="122" s="1"/>
  <c r="Q119" i="122" s="1"/>
  <c r="Q117" i="122" s="1"/>
  <c r="K182" i="122"/>
  <c r="K178" i="122" s="1"/>
  <c r="P182" i="122"/>
  <c r="P178" i="122" s="1"/>
  <c r="J189" i="122"/>
  <c r="H194" i="122"/>
  <c r="M194" i="122"/>
  <c r="R194" i="122"/>
  <c r="H195" i="122"/>
  <c r="M195" i="122"/>
  <c r="R195" i="122"/>
  <c r="G203" i="122"/>
  <c r="Q203" i="122"/>
  <c r="Q248" i="122" s="1"/>
  <c r="H236" i="122"/>
  <c r="M236" i="122"/>
  <c r="R236" i="122"/>
  <c r="M68" i="122"/>
  <c r="J66" i="122"/>
  <c r="M89" i="122"/>
  <c r="J81" i="122"/>
  <c r="M81" i="122" s="1"/>
  <c r="H105" i="122"/>
  <c r="E98" i="122"/>
  <c r="R105" i="122"/>
  <c r="O98" i="122"/>
  <c r="M152" i="122"/>
  <c r="J150" i="122"/>
  <c r="M173" i="122"/>
  <c r="J165" i="122"/>
  <c r="M165" i="122" s="1"/>
  <c r="H189" i="122"/>
  <c r="E182" i="122"/>
  <c r="R189" i="122"/>
  <c r="O182" i="122"/>
  <c r="M219" i="122"/>
  <c r="J217" i="122"/>
  <c r="H51" i="122"/>
  <c r="M51" i="122"/>
  <c r="R51" i="122"/>
  <c r="R132" i="122"/>
  <c r="H135" i="122"/>
  <c r="M135" i="122"/>
  <c r="R135" i="122"/>
  <c r="L216" i="122"/>
  <c r="L204" i="122" s="1"/>
  <c r="L203" i="122" s="1"/>
  <c r="L248" i="122" s="1"/>
  <c r="E249" i="122"/>
  <c r="J249" i="122"/>
  <c r="M249" i="122" s="1"/>
  <c r="O249" i="122"/>
  <c r="H257" i="122"/>
  <c r="M257" i="122"/>
  <c r="R257" i="122"/>
  <c r="F32" i="78"/>
  <c r="F10" i="78" s="1"/>
  <c r="F80" i="78" s="1"/>
  <c r="K32" i="78"/>
  <c r="L35" i="78"/>
  <c r="L33" i="78" s="1"/>
  <c r="L32" i="78" s="1"/>
  <c r="L10" i="78" s="1"/>
  <c r="L80" i="78" s="1"/>
  <c r="H68" i="78"/>
  <c r="E66" i="78"/>
  <c r="R68" i="78"/>
  <c r="O66" i="78"/>
  <c r="H89" i="78"/>
  <c r="E81" i="78"/>
  <c r="H81" i="78" s="1"/>
  <c r="R89" i="78"/>
  <c r="O81" i="78"/>
  <c r="R81" i="78" s="1"/>
  <c r="M105" i="78"/>
  <c r="J98" i="78"/>
  <c r="M135" i="78"/>
  <c r="J133" i="78"/>
  <c r="M195" i="78"/>
  <c r="J194" i="78"/>
  <c r="M194" i="78" s="1"/>
  <c r="M236" i="78"/>
  <c r="J234" i="78"/>
  <c r="M257" i="78"/>
  <c r="J249" i="78"/>
  <c r="M68" i="78"/>
  <c r="J66" i="78"/>
  <c r="M89" i="78"/>
  <c r="J81" i="78"/>
  <c r="H135" i="78"/>
  <c r="E133" i="78"/>
  <c r="R135" i="78"/>
  <c r="O133" i="78"/>
  <c r="E147" i="78"/>
  <c r="O147" i="78"/>
  <c r="R147" i="78" s="1"/>
  <c r="H195" i="78"/>
  <c r="E194" i="78"/>
  <c r="H194" i="78" s="1"/>
  <c r="R195" i="78"/>
  <c r="O194" i="78"/>
  <c r="R194" i="78" s="1"/>
  <c r="H236" i="78"/>
  <c r="E234" i="78"/>
  <c r="R236" i="78"/>
  <c r="O234" i="78"/>
  <c r="H257" i="78"/>
  <c r="E249" i="78"/>
  <c r="H249" i="78" s="1"/>
  <c r="R257" i="78"/>
  <c r="O249" i="78"/>
  <c r="R249" i="78" s="1"/>
  <c r="H21" i="78"/>
  <c r="M21" i="78"/>
  <c r="R21" i="78"/>
  <c r="H51" i="78"/>
  <c r="M51" i="78"/>
  <c r="R51" i="78"/>
  <c r="H82" i="78"/>
  <c r="M82" i="78"/>
  <c r="R82" i="78"/>
  <c r="H111" i="78"/>
  <c r="M111" i="78"/>
  <c r="R111" i="78"/>
  <c r="H165" i="78"/>
  <c r="H173" i="78"/>
  <c r="M173" i="78"/>
  <c r="R173" i="78"/>
  <c r="R216" i="78"/>
  <c r="H219" i="78"/>
  <c r="M219" i="78"/>
  <c r="R219" i="78"/>
  <c r="E10" i="78"/>
  <c r="E26" i="78"/>
  <c r="H26" i="78" s="1"/>
  <c r="J26" i="78"/>
  <c r="M26" i="78" s="1"/>
  <c r="O26" i="78"/>
  <c r="R26" i="78" s="1"/>
  <c r="J36" i="78"/>
  <c r="O36" i="78"/>
  <c r="H64" i="78"/>
  <c r="L65" i="78"/>
  <c r="L63" i="78" s="1"/>
  <c r="E105" i="78"/>
  <c r="O105" i="78"/>
  <c r="G121" i="78"/>
  <c r="Q121" i="78"/>
  <c r="F120" i="78"/>
  <c r="H126" i="78"/>
  <c r="K120" i="78"/>
  <c r="M126" i="78"/>
  <c r="P120" i="78"/>
  <c r="R126" i="78"/>
  <c r="G132" i="78"/>
  <c r="Q132" i="78"/>
  <c r="J149" i="78"/>
  <c r="H150" i="78"/>
  <c r="M150" i="78"/>
  <c r="R150" i="78"/>
  <c r="F149" i="78"/>
  <c r="F147" i="78" s="1"/>
  <c r="H152" i="78"/>
  <c r="K149" i="78"/>
  <c r="K147" i="78" s="1"/>
  <c r="M152" i="78"/>
  <c r="P149" i="78"/>
  <c r="P147" i="78" s="1"/>
  <c r="R152" i="78"/>
  <c r="J183" i="78"/>
  <c r="E184" i="78"/>
  <c r="O184" i="78"/>
  <c r="M189" i="78"/>
  <c r="R189" i="78"/>
  <c r="J204" i="78"/>
  <c r="O204" i="78"/>
  <c r="G233" i="78"/>
  <c r="G231" i="78" s="1"/>
  <c r="G203" i="78" s="1"/>
  <c r="G248" i="78" s="1"/>
  <c r="Q233" i="78"/>
  <c r="Q231" i="78" s="1"/>
  <c r="Q203" i="78" s="1"/>
  <c r="Q248" i="78" s="1"/>
  <c r="H48" i="122" l="1"/>
  <c r="E36" i="122"/>
  <c r="L119" i="122"/>
  <c r="F98" i="122"/>
  <c r="H98" i="122" s="1"/>
  <c r="H233" i="122"/>
  <c r="F119" i="122"/>
  <c r="F117" i="122" s="1"/>
  <c r="F116" i="122" s="1"/>
  <c r="H231" i="122"/>
  <c r="H249" i="122"/>
  <c r="J231" i="122"/>
  <c r="M231" i="122" s="1"/>
  <c r="Q35" i="122"/>
  <c r="Q33" i="122" s="1"/>
  <c r="R33" i="122" s="1"/>
  <c r="R165" i="122"/>
  <c r="M48" i="122"/>
  <c r="K120" i="74"/>
  <c r="K119" i="74" s="1"/>
  <c r="M132" i="74"/>
  <c r="K32" i="122"/>
  <c r="G120" i="78"/>
  <c r="G119" i="78" s="1"/>
  <c r="G117" i="78" s="1"/>
  <c r="G116" i="78" s="1"/>
  <c r="G94" i="78" s="1"/>
  <c r="G164" i="78" s="1"/>
  <c r="M184" i="74"/>
  <c r="K183" i="74"/>
  <c r="J80" i="126"/>
  <c r="M80" i="126" s="1"/>
  <c r="M35" i="126"/>
  <c r="K164" i="126"/>
  <c r="M94" i="126"/>
  <c r="H184" i="122"/>
  <c r="F183" i="122"/>
  <c r="M15" i="78"/>
  <c r="J14" i="78"/>
  <c r="P94" i="122"/>
  <c r="P164" i="122" s="1"/>
  <c r="R81" i="122"/>
  <c r="M89" i="74"/>
  <c r="M81" i="74"/>
  <c r="H183" i="74"/>
  <c r="F182" i="74"/>
  <c r="F178" i="74" s="1"/>
  <c r="F248" i="74" s="1"/>
  <c r="M119" i="126"/>
  <c r="J164" i="126"/>
  <c r="M164" i="126" s="1"/>
  <c r="H94" i="126"/>
  <c r="E164" i="126"/>
  <c r="H48" i="78"/>
  <c r="H216" i="78"/>
  <c r="H147" i="78"/>
  <c r="R249" i="122"/>
  <c r="H132" i="122"/>
  <c r="R48" i="122"/>
  <c r="G248" i="122"/>
  <c r="P248" i="122"/>
  <c r="G119" i="122"/>
  <c r="G117" i="122" s="1"/>
  <c r="G116" i="122" s="1"/>
  <c r="E14" i="122"/>
  <c r="H14" i="122" s="1"/>
  <c r="F119" i="74"/>
  <c r="R90" i="74"/>
  <c r="H81" i="74"/>
  <c r="E14" i="74"/>
  <c r="H14" i="74" s="1"/>
  <c r="R119" i="126"/>
  <c r="O164" i="126"/>
  <c r="Q35" i="126"/>
  <c r="Q80" i="126" s="1"/>
  <c r="Q164" i="126"/>
  <c r="K203" i="74"/>
  <c r="R100" i="74"/>
  <c r="O99" i="74"/>
  <c r="L119" i="74"/>
  <c r="L35" i="74"/>
  <c r="O80" i="126"/>
  <c r="R10" i="126"/>
  <c r="Q119" i="74"/>
  <c r="M139" i="74"/>
  <c r="L164" i="122"/>
  <c r="L35" i="122"/>
  <c r="L33" i="122" s="1"/>
  <c r="L32" i="122" s="1"/>
  <c r="L10" i="122" s="1"/>
  <c r="L80" i="122" s="1"/>
  <c r="G80" i="126"/>
  <c r="K94" i="74"/>
  <c r="K164" i="74" s="1"/>
  <c r="M100" i="122"/>
  <c r="K99" i="122"/>
  <c r="Q35" i="78"/>
  <c r="Q33" i="78" s="1"/>
  <c r="L33" i="74"/>
  <c r="L32" i="74" s="1"/>
  <c r="L10" i="74" s="1"/>
  <c r="L80" i="74" s="1"/>
  <c r="L116" i="74"/>
  <c r="L94" i="74" s="1"/>
  <c r="L164" i="74" s="1"/>
  <c r="H89" i="74"/>
  <c r="G116" i="74"/>
  <c r="G94" i="74" s="1"/>
  <c r="G164" i="74" s="1"/>
  <c r="G33" i="74"/>
  <c r="G32" i="74" s="1"/>
  <c r="G10" i="74" s="1"/>
  <c r="G80" i="74" s="1"/>
  <c r="M15" i="74"/>
  <c r="K14" i="74"/>
  <c r="M132" i="122"/>
  <c r="M182" i="126"/>
  <c r="K178" i="126"/>
  <c r="F248" i="126"/>
  <c r="H178" i="126"/>
  <c r="R98" i="126"/>
  <c r="P94" i="126"/>
  <c r="M120" i="74"/>
  <c r="R16" i="122"/>
  <c r="P15" i="122"/>
  <c r="Q116" i="74"/>
  <c r="Q94" i="74" s="1"/>
  <c r="Q164" i="74" s="1"/>
  <c r="Q33" i="74"/>
  <c r="Q32" i="74" s="1"/>
  <c r="Q10" i="74" s="1"/>
  <c r="Q80" i="74" s="1"/>
  <c r="H189" i="78"/>
  <c r="M32" i="78"/>
  <c r="G35" i="122"/>
  <c r="G33" i="122" s="1"/>
  <c r="H98" i="74"/>
  <c r="H119" i="126"/>
  <c r="P116" i="74"/>
  <c r="R116" i="74" s="1"/>
  <c r="P33" i="74"/>
  <c r="R183" i="74"/>
  <c r="P182" i="74"/>
  <c r="P178" i="74" s="1"/>
  <c r="P248" i="74" s="1"/>
  <c r="E36" i="78"/>
  <c r="H36" i="78" s="1"/>
  <c r="M81" i="78"/>
  <c r="M249" i="78"/>
  <c r="H32" i="78"/>
  <c r="K248" i="122"/>
  <c r="F94" i="122"/>
  <c r="F164" i="122" s="1"/>
  <c r="J36" i="122"/>
  <c r="H81" i="122"/>
  <c r="R117" i="74"/>
  <c r="R89" i="74"/>
  <c r="K48" i="74"/>
  <c r="K36" i="74" s="1"/>
  <c r="K35" i="74" s="1"/>
  <c r="F10" i="126"/>
  <c r="H14" i="126"/>
  <c r="M173" i="74"/>
  <c r="M99" i="74"/>
  <c r="J98" i="74"/>
  <c r="L94" i="78"/>
  <c r="L164" i="78" s="1"/>
  <c r="G248" i="74"/>
  <c r="K203" i="122"/>
  <c r="H203" i="126"/>
  <c r="E248" i="126"/>
  <c r="H248" i="126" s="1"/>
  <c r="G164" i="126"/>
  <c r="R233" i="74"/>
  <c r="R16" i="74"/>
  <c r="P15" i="74"/>
  <c r="K203" i="78"/>
  <c r="K248" i="78" s="1"/>
  <c r="R16" i="78"/>
  <c r="O15" i="78"/>
  <c r="M37" i="122"/>
  <c r="R99" i="78"/>
  <c r="P98" i="78"/>
  <c r="P94" i="78" s="1"/>
  <c r="M117" i="74"/>
  <c r="K33" i="74"/>
  <c r="K116" i="74"/>
  <c r="R132" i="74"/>
  <c r="O120" i="74"/>
  <c r="R120" i="74" s="1"/>
  <c r="G35" i="74"/>
  <c r="F33" i="122"/>
  <c r="F32" i="122"/>
  <c r="F10" i="122" s="1"/>
  <c r="F80" i="122" s="1"/>
  <c r="M15" i="122"/>
  <c r="K14" i="122"/>
  <c r="M14" i="122" s="1"/>
  <c r="H99" i="78"/>
  <c r="F98" i="78"/>
  <c r="O216" i="74"/>
  <c r="R217" i="74"/>
  <c r="E216" i="74"/>
  <c r="H217" i="74"/>
  <c r="J178" i="74"/>
  <c r="J149" i="74"/>
  <c r="M150" i="74"/>
  <c r="M66" i="74"/>
  <c r="J65" i="74"/>
  <c r="O10" i="74"/>
  <c r="H120" i="74"/>
  <c r="P48" i="74"/>
  <c r="R48" i="74" s="1"/>
  <c r="F48" i="74"/>
  <c r="H48" i="74" s="1"/>
  <c r="R49" i="74"/>
  <c r="H49" i="74"/>
  <c r="J216" i="74"/>
  <c r="M217" i="74"/>
  <c r="O178" i="74"/>
  <c r="H182" i="74"/>
  <c r="E178" i="74"/>
  <c r="O149" i="74"/>
  <c r="R150" i="74"/>
  <c r="E149" i="74"/>
  <c r="H150" i="74"/>
  <c r="R66" i="74"/>
  <c r="O65" i="74"/>
  <c r="H66" i="74"/>
  <c r="E65" i="74"/>
  <c r="M14" i="74"/>
  <c r="J10" i="74"/>
  <c r="F116" i="74"/>
  <c r="H117" i="74"/>
  <c r="F33" i="74"/>
  <c r="P36" i="74"/>
  <c r="M49" i="74"/>
  <c r="H37" i="74"/>
  <c r="M48" i="74"/>
  <c r="M36" i="74"/>
  <c r="Q32" i="122"/>
  <c r="Q10" i="122" s="1"/>
  <c r="Q80" i="122" s="1"/>
  <c r="Q116" i="122"/>
  <c r="R117" i="122"/>
  <c r="G32" i="122"/>
  <c r="J216" i="122"/>
  <c r="M217" i="122"/>
  <c r="R182" i="122"/>
  <c r="O178" i="122"/>
  <c r="E178" i="122"/>
  <c r="J149" i="122"/>
  <c r="M150" i="122"/>
  <c r="R98" i="122"/>
  <c r="O94" i="122"/>
  <c r="E94" i="122"/>
  <c r="J65" i="122"/>
  <c r="M66" i="122"/>
  <c r="M120" i="122"/>
  <c r="M105" i="122"/>
  <c r="J98" i="122"/>
  <c r="R36" i="122"/>
  <c r="H36" i="122"/>
  <c r="O10" i="122"/>
  <c r="R32" i="122"/>
  <c r="M189" i="122"/>
  <c r="J182" i="122"/>
  <c r="R120" i="122"/>
  <c r="H120" i="122"/>
  <c r="M36" i="122"/>
  <c r="J10" i="122"/>
  <c r="O216" i="122"/>
  <c r="R217" i="122"/>
  <c r="E216" i="122"/>
  <c r="H217" i="122"/>
  <c r="O149" i="122"/>
  <c r="R150" i="122"/>
  <c r="E149" i="122"/>
  <c r="H150" i="122"/>
  <c r="O65" i="122"/>
  <c r="R66" i="122"/>
  <c r="E65" i="122"/>
  <c r="H66" i="122"/>
  <c r="M204" i="78"/>
  <c r="H184" i="78"/>
  <c r="E183" i="78"/>
  <c r="H105" i="78"/>
  <c r="E98" i="78"/>
  <c r="M36" i="78"/>
  <c r="O233" i="78"/>
  <c r="R234" i="78"/>
  <c r="E233" i="78"/>
  <c r="H234" i="78"/>
  <c r="O132" i="78"/>
  <c r="R133" i="78"/>
  <c r="E132" i="78"/>
  <c r="H133" i="78"/>
  <c r="J65" i="78"/>
  <c r="M66" i="78"/>
  <c r="J233" i="78"/>
  <c r="M234" i="78"/>
  <c r="J132" i="78"/>
  <c r="M133" i="78"/>
  <c r="M98" i="78"/>
  <c r="J94" i="78"/>
  <c r="O65" i="78"/>
  <c r="R66" i="78"/>
  <c r="E65" i="78"/>
  <c r="H66" i="78"/>
  <c r="R204" i="78"/>
  <c r="H204" i="78"/>
  <c r="R184" i="78"/>
  <c r="O183" i="78"/>
  <c r="M183" i="78"/>
  <c r="J182" i="78"/>
  <c r="M149" i="78"/>
  <c r="J147" i="78"/>
  <c r="M147" i="78" s="1"/>
  <c r="R105" i="78"/>
  <c r="O98" i="78"/>
  <c r="R36" i="78"/>
  <c r="H10" i="78"/>
  <c r="Q120" i="78"/>
  <c r="Q119" i="78" s="1"/>
  <c r="Q117" i="78" s="1"/>
  <c r="K10" i="78"/>
  <c r="K80" i="78" s="1"/>
  <c r="P119" i="78"/>
  <c r="K119" i="78"/>
  <c r="K117" i="78" s="1"/>
  <c r="F119" i="78"/>
  <c r="F117" i="78" s="1"/>
  <c r="R121" i="78"/>
  <c r="H121" i="78"/>
  <c r="R149" i="78"/>
  <c r="H149" i="78"/>
  <c r="M33" i="78"/>
  <c r="H33" i="122" l="1"/>
  <c r="P164" i="126"/>
  <c r="R164" i="126" s="1"/>
  <c r="R94" i="126"/>
  <c r="E10" i="122"/>
  <c r="H10" i="122" s="1"/>
  <c r="M98" i="74"/>
  <c r="J94" i="74"/>
  <c r="M94" i="74" s="1"/>
  <c r="R80" i="126"/>
  <c r="M14" i="78"/>
  <c r="J10" i="78"/>
  <c r="M10" i="78" s="1"/>
  <c r="M183" i="74"/>
  <c r="K182" i="74"/>
  <c r="M32" i="122"/>
  <c r="P164" i="78"/>
  <c r="H117" i="122"/>
  <c r="R182" i="74"/>
  <c r="E10" i="74"/>
  <c r="M116" i="74"/>
  <c r="R35" i="126"/>
  <c r="P94" i="74"/>
  <c r="P164" i="74" s="1"/>
  <c r="Q32" i="78"/>
  <c r="R33" i="78"/>
  <c r="R15" i="78"/>
  <c r="O14" i="78"/>
  <c r="K248" i="126"/>
  <c r="M248" i="126" s="1"/>
  <c r="M178" i="126"/>
  <c r="R99" i="74"/>
  <c r="O98" i="74"/>
  <c r="M33" i="122"/>
  <c r="H10" i="126"/>
  <c r="F80" i="126"/>
  <c r="H80" i="126" s="1"/>
  <c r="R15" i="122"/>
  <c r="P14" i="122"/>
  <c r="K10" i="122"/>
  <c r="K80" i="122" s="1"/>
  <c r="M33" i="74"/>
  <c r="K32" i="74"/>
  <c r="M32" i="74" s="1"/>
  <c r="R15" i="74"/>
  <c r="P14" i="74"/>
  <c r="R33" i="74"/>
  <c r="P32" i="74"/>
  <c r="R32" i="74" s="1"/>
  <c r="M99" i="122"/>
  <c r="K98" i="122"/>
  <c r="K94" i="122" s="1"/>
  <c r="K164" i="122" s="1"/>
  <c r="H164" i="126"/>
  <c r="H183" i="122"/>
  <c r="F182" i="122"/>
  <c r="F32" i="74"/>
  <c r="H33" i="74"/>
  <c r="F94" i="74"/>
  <c r="H116" i="74"/>
  <c r="H149" i="74"/>
  <c r="E147" i="74"/>
  <c r="R149" i="74"/>
  <c r="O147" i="74"/>
  <c r="J204" i="74"/>
  <c r="M216" i="74"/>
  <c r="M149" i="74"/>
  <c r="J147" i="74"/>
  <c r="E204" i="74"/>
  <c r="H216" i="74"/>
  <c r="O204" i="74"/>
  <c r="R216" i="74"/>
  <c r="P35" i="74"/>
  <c r="R36" i="74"/>
  <c r="H65" i="74"/>
  <c r="E63" i="74"/>
  <c r="R65" i="74"/>
  <c r="O63" i="74"/>
  <c r="H178" i="74"/>
  <c r="R178" i="74"/>
  <c r="M65" i="74"/>
  <c r="J63" i="74"/>
  <c r="F36" i="74"/>
  <c r="M10" i="122"/>
  <c r="M182" i="122"/>
  <c r="J178" i="122"/>
  <c r="M65" i="122"/>
  <c r="J63" i="122"/>
  <c r="M149" i="122"/>
  <c r="J147" i="122"/>
  <c r="J204" i="122"/>
  <c r="M216" i="122"/>
  <c r="R116" i="122"/>
  <c r="Q94" i="122"/>
  <c r="Q164" i="122" s="1"/>
  <c r="H116" i="122"/>
  <c r="G94" i="122"/>
  <c r="G164" i="122" s="1"/>
  <c r="H65" i="122"/>
  <c r="E63" i="122"/>
  <c r="R65" i="122"/>
  <c r="O63" i="122"/>
  <c r="H149" i="122"/>
  <c r="E147" i="122"/>
  <c r="R149" i="122"/>
  <c r="O147" i="122"/>
  <c r="E204" i="122"/>
  <c r="H216" i="122"/>
  <c r="O204" i="122"/>
  <c r="R216" i="122"/>
  <c r="M98" i="122"/>
  <c r="J94" i="122"/>
  <c r="R94" i="122"/>
  <c r="R178" i="122"/>
  <c r="G10" i="122"/>
  <c r="G80" i="122" s="1"/>
  <c r="H32" i="122"/>
  <c r="H117" i="78"/>
  <c r="F116" i="78"/>
  <c r="Q116" i="78"/>
  <c r="R117" i="78"/>
  <c r="E63" i="78"/>
  <c r="H65" i="78"/>
  <c r="O63" i="78"/>
  <c r="R65" i="78"/>
  <c r="M132" i="78"/>
  <c r="J120" i="78"/>
  <c r="M233" i="78"/>
  <c r="J231" i="78"/>
  <c r="J63" i="78"/>
  <c r="M65" i="78"/>
  <c r="H132" i="78"/>
  <c r="E120" i="78"/>
  <c r="R132" i="78"/>
  <c r="O120" i="78"/>
  <c r="H233" i="78"/>
  <c r="E231" i="78"/>
  <c r="R233" i="78"/>
  <c r="O231" i="78"/>
  <c r="K116" i="78"/>
  <c r="M117" i="78"/>
  <c r="R98" i="78"/>
  <c r="O94" i="78"/>
  <c r="M182" i="78"/>
  <c r="J178" i="78"/>
  <c r="R183" i="78"/>
  <c r="O182" i="78"/>
  <c r="H98" i="78"/>
  <c r="E94" i="78"/>
  <c r="H183" i="78"/>
  <c r="E182" i="78"/>
  <c r="R14" i="78" l="1"/>
  <c r="O10" i="78"/>
  <c r="Q10" i="78"/>
  <c r="Q80" i="78" s="1"/>
  <c r="R32" i="78"/>
  <c r="H94" i="122"/>
  <c r="F178" i="122"/>
  <c r="H182" i="122"/>
  <c r="P10" i="74"/>
  <c r="R10" i="74" s="1"/>
  <c r="R14" i="74"/>
  <c r="K178" i="74"/>
  <c r="M182" i="74"/>
  <c r="O94" i="74"/>
  <c r="R94" i="74" s="1"/>
  <c r="R98" i="74"/>
  <c r="K10" i="74"/>
  <c r="P10" i="122"/>
  <c r="R14" i="122"/>
  <c r="F35" i="74"/>
  <c r="H36" i="74"/>
  <c r="O203" i="74"/>
  <c r="R204" i="74"/>
  <c r="E203" i="74"/>
  <c r="H204" i="74"/>
  <c r="J203" i="74"/>
  <c r="M204" i="74"/>
  <c r="F164" i="74"/>
  <c r="H94" i="74"/>
  <c r="H32" i="74"/>
  <c r="F10" i="74"/>
  <c r="J35" i="74"/>
  <c r="M63" i="74"/>
  <c r="O35" i="74"/>
  <c r="R63" i="74"/>
  <c r="E35" i="74"/>
  <c r="H63" i="74"/>
  <c r="M147" i="74"/>
  <c r="J119" i="74"/>
  <c r="R147" i="74"/>
  <c r="O119" i="74"/>
  <c r="H147" i="74"/>
  <c r="E119" i="74"/>
  <c r="M94" i="122"/>
  <c r="R147" i="122"/>
  <c r="O119" i="122"/>
  <c r="H147" i="122"/>
  <c r="E119" i="122"/>
  <c r="R63" i="122"/>
  <c r="O35" i="122"/>
  <c r="M147" i="122"/>
  <c r="J119" i="122"/>
  <c r="M119" i="122" s="1"/>
  <c r="M178" i="122"/>
  <c r="O203" i="122"/>
  <c r="R204" i="122"/>
  <c r="E203" i="122"/>
  <c r="H204" i="122"/>
  <c r="J203" i="122"/>
  <c r="M203" i="122" s="1"/>
  <c r="M204" i="122"/>
  <c r="H63" i="122"/>
  <c r="E35" i="122"/>
  <c r="M63" i="122"/>
  <c r="J35" i="122"/>
  <c r="M116" i="78"/>
  <c r="K94" i="78"/>
  <c r="M63" i="78"/>
  <c r="J35" i="78"/>
  <c r="R63" i="78"/>
  <c r="O35" i="78"/>
  <c r="H63" i="78"/>
  <c r="E35" i="78"/>
  <c r="R116" i="78"/>
  <c r="Q94" i="78"/>
  <c r="Q164" i="78" s="1"/>
  <c r="H182" i="78"/>
  <c r="E178" i="78"/>
  <c r="R182" i="78"/>
  <c r="O178" i="78"/>
  <c r="M178" i="78"/>
  <c r="R231" i="78"/>
  <c r="O203" i="78"/>
  <c r="R203" i="78" s="1"/>
  <c r="H231" i="78"/>
  <c r="E203" i="78"/>
  <c r="H203" i="78" s="1"/>
  <c r="R120" i="78"/>
  <c r="O119" i="78"/>
  <c r="R119" i="78" s="1"/>
  <c r="H120" i="78"/>
  <c r="E119" i="78"/>
  <c r="H119" i="78" s="1"/>
  <c r="M231" i="78"/>
  <c r="J203" i="78"/>
  <c r="M203" i="78" s="1"/>
  <c r="M120" i="78"/>
  <c r="J119" i="78"/>
  <c r="H116" i="78"/>
  <c r="F94" i="78"/>
  <c r="F164" i="78" s="1"/>
  <c r="J248" i="122" l="1"/>
  <c r="M248" i="122" s="1"/>
  <c r="M10" i="74"/>
  <c r="K80" i="74"/>
  <c r="K248" i="74"/>
  <c r="M178" i="74"/>
  <c r="F248" i="122"/>
  <c r="H178" i="122"/>
  <c r="R10" i="78"/>
  <c r="P80" i="122"/>
  <c r="R10" i="122"/>
  <c r="P80" i="74"/>
  <c r="H119" i="74"/>
  <c r="E164" i="74"/>
  <c r="H164" i="74" s="1"/>
  <c r="R119" i="74"/>
  <c r="O164" i="74"/>
  <c r="R164" i="74" s="1"/>
  <c r="M119" i="74"/>
  <c r="J164" i="74"/>
  <c r="M164" i="74" s="1"/>
  <c r="F80" i="74"/>
  <c r="H10" i="74"/>
  <c r="H35" i="74"/>
  <c r="E80" i="74"/>
  <c r="H80" i="74" s="1"/>
  <c r="R35" i="74"/>
  <c r="O80" i="74"/>
  <c r="R80" i="74" s="1"/>
  <c r="M35" i="74"/>
  <c r="J80" i="74"/>
  <c r="M80" i="74" s="1"/>
  <c r="M203" i="74"/>
  <c r="J248" i="74"/>
  <c r="H203" i="74"/>
  <c r="E248" i="74"/>
  <c r="H248" i="74" s="1"/>
  <c r="R203" i="74"/>
  <c r="O248" i="74"/>
  <c r="R248" i="74" s="1"/>
  <c r="M35" i="122"/>
  <c r="J80" i="122"/>
  <c r="M80" i="122" s="1"/>
  <c r="H35" i="122"/>
  <c r="E80" i="122"/>
  <c r="H80" i="122" s="1"/>
  <c r="R35" i="122"/>
  <c r="O80" i="122"/>
  <c r="R80" i="122" s="1"/>
  <c r="H119" i="122"/>
  <c r="E164" i="122"/>
  <c r="H164" i="122" s="1"/>
  <c r="R119" i="122"/>
  <c r="O164" i="122"/>
  <c r="R164" i="122" s="1"/>
  <c r="H203" i="122"/>
  <c r="E248" i="122"/>
  <c r="H248" i="122" s="1"/>
  <c r="R203" i="122"/>
  <c r="O248" i="122"/>
  <c r="R248" i="122" s="1"/>
  <c r="J164" i="122"/>
  <c r="M164" i="122" s="1"/>
  <c r="R94" i="78"/>
  <c r="J248" i="78"/>
  <c r="M248" i="78" s="1"/>
  <c r="H94" i="78"/>
  <c r="M119" i="78"/>
  <c r="J164" i="78"/>
  <c r="O248" i="78"/>
  <c r="R248" i="78" s="1"/>
  <c r="R178" i="78"/>
  <c r="E248" i="78"/>
  <c r="H248" i="78" s="1"/>
  <c r="H178" i="78"/>
  <c r="H35" i="78"/>
  <c r="E80" i="78"/>
  <c r="H80" i="78" s="1"/>
  <c r="R35" i="78"/>
  <c r="O80" i="78"/>
  <c r="R80" i="78" s="1"/>
  <c r="M35" i="78"/>
  <c r="J80" i="78"/>
  <c r="M80" i="78" s="1"/>
  <c r="K164" i="78"/>
  <c r="M94" i="78"/>
  <c r="O164" i="78"/>
  <c r="R164" i="78" s="1"/>
  <c r="E164" i="78"/>
  <c r="H164" i="78" s="1"/>
  <c r="M248" i="74" l="1"/>
  <c r="M164" i="78"/>
  <c r="E360" i="118" l="1"/>
  <c r="E359" i="118" s="1"/>
  <c r="E358" i="118" s="1"/>
  <c r="E356" i="118"/>
  <c r="O353" i="118"/>
  <c r="J353" i="118"/>
  <c r="J231" i="118" s="1"/>
  <c r="E353" i="118"/>
  <c r="O351" i="118"/>
  <c r="J351" i="118"/>
  <c r="E351" i="118"/>
  <c r="E210" i="118" s="1"/>
  <c r="O347" i="118"/>
  <c r="O346" i="118" s="1"/>
  <c r="J347" i="118"/>
  <c r="E347" i="118"/>
  <c r="J346" i="118"/>
  <c r="J345" i="118" s="1"/>
  <c r="J203" i="118" s="1"/>
  <c r="O343" i="118"/>
  <c r="J343" i="118"/>
  <c r="J342" i="118" s="1"/>
  <c r="J178" i="118" s="1"/>
  <c r="E343" i="118"/>
  <c r="E342" i="118" s="1"/>
  <c r="E178" i="118" s="1"/>
  <c r="O342" i="118"/>
  <c r="O178" i="118" s="1"/>
  <c r="G335" i="118"/>
  <c r="G334" i="118"/>
  <c r="G333" i="118" s="1"/>
  <c r="G331" i="118"/>
  <c r="G330" i="118" s="1"/>
  <c r="Q325" i="118"/>
  <c r="Q324" i="118" s="1"/>
  <c r="Q323" i="118" s="1"/>
  <c r="L325" i="118"/>
  <c r="G325" i="118"/>
  <c r="G324" i="118" s="1"/>
  <c r="G323" i="118" s="1"/>
  <c r="L324" i="118"/>
  <c r="L323" i="118" s="1"/>
  <c r="Q321" i="118"/>
  <c r="L321" i="118"/>
  <c r="L320" i="118" s="1"/>
  <c r="G321" i="118"/>
  <c r="G320" i="118" s="1"/>
  <c r="Q320" i="118"/>
  <c r="Q317" i="118"/>
  <c r="L317" i="118"/>
  <c r="L316" i="118" s="1"/>
  <c r="G317" i="118"/>
  <c r="G121" i="118" s="1"/>
  <c r="G37" i="118" s="1"/>
  <c r="Q316" i="118"/>
  <c r="Q315" i="118" s="1"/>
  <c r="Q313" i="118"/>
  <c r="Q312" i="118" s="1"/>
  <c r="L313" i="118"/>
  <c r="L312" i="118" s="1"/>
  <c r="G313" i="118"/>
  <c r="G312" i="118" s="1"/>
  <c r="Q307" i="118"/>
  <c r="Q306" i="118" s="1"/>
  <c r="L307" i="118"/>
  <c r="L306" i="118" s="1"/>
  <c r="L305" i="118" s="1"/>
  <c r="G307" i="118"/>
  <c r="G306" i="118" s="1"/>
  <c r="Q303" i="118"/>
  <c r="Q302" i="118" s="1"/>
  <c r="L303" i="118"/>
  <c r="L302" i="118" s="1"/>
  <c r="G303" i="118"/>
  <c r="G302" i="118"/>
  <c r="F299" i="118"/>
  <c r="P295" i="118"/>
  <c r="P294" i="118" s="1"/>
  <c r="P293" i="118" s="1"/>
  <c r="P292" i="118" s="1"/>
  <c r="K295" i="118"/>
  <c r="F295" i="118"/>
  <c r="F294" i="118" s="1"/>
  <c r="K294" i="118"/>
  <c r="K293" i="118" s="1"/>
  <c r="K292" i="118" s="1"/>
  <c r="P286" i="118"/>
  <c r="P285" i="118" s="1"/>
  <c r="K286" i="118"/>
  <c r="F286" i="118"/>
  <c r="F285" i="118" s="1"/>
  <c r="K285" i="118"/>
  <c r="K284" i="118" s="1"/>
  <c r="K119" i="118" s="1"/>
  <c r="P282" i="118"/>
  <c r="K282" i="118"/>
  <c r="K281" i="118" s="1"/>
  <c r="F282" i="118"/>
  <c r="F281" i="118" s="1"/>
  <c r="P281" i="118"/>
  <c r="F276" i="118"/>
  <c r="F275" i="118"/>
  <c r="F274" i="118" s="1"/>
  <c r="F272" i="118"/>
  <c r="F271" i="118" s="1"/>
  <c r="R260" i="118"/>
  <c r="M260" i="118"/>
  <c r="H260" i="118"/>
  <c r="R259" i="118"/>
  <c r="M259" i="118"/>
  <c r="H259" i="118"/>
  <c r="R258" i="118"/>
  <c r="M258" i="118"/>
  <c r="H258" i="118"/>
  <c r="Q257" i="118"/>
  <c r="P257" i="118"/>
  <c r="R257" i="118" s="1"/>
  <c r="L257" i="118"/>
  <c r="L89" i="118" s="1"/>
  <c r="K257" i="118"/>
  <c r="G257" i="118"/>
  <c r="F257" i="118"/>
  <c r="H257" i="118" s="1"/>
  <c r="R256" i="118"/>
  <c r="M256" i="118"/>
  <c r="H256" i="118"/>
  <c r="R255" i="118"/>
  <c r="M255" i="118"/>
  <c r="H255" i="118"/>
  <c r="R254" i="118"/>
  <c r="M254" i="118"/>
  <c r="H254" i="118"/>
  <c r="Q253" i="118"/>
  <c r="P253" i="118"/>
  <c r="L253" i="118"/>
  <c r="K253" i="118"/>
  <c r="M253" i="118" s="1"/>
  <c r="G253" i="118"/>
  <c r="F253" i="118"/>
  <c r="H253" i="118" s="1"/>
  <c r="R252" i="118"/>
  <c r="M252" i="118"/>
  <c r="H252" i="118"/>
  <c r="R251" i="118"/>
  <c r="M251" i="118"/>
  <c r="H251" i="118"/>
  <c r="Q250" i="118"/>
  <c r="P250" i="118"/>
  <c r="R250" i="118" s="1"/>
  <c r="L250" i="118"/>
  <c r="L249" i="118" s="1"/>
  <c r="L81" i="118" s="1"/>
  <c r="K250" i="118"/>
  <c r="M250" i="118" s="1"/>
  <c r="G250" i="118"/>
  <c r="F250" i="118"/>
  <c r="H250" i="118" s="1"/>
  <c r="Q249" i="118"/>
  <c r="Q81" i="118" s="1"/>
  <c r="P249" i="118"/>
  <c r="R249" i="118" s="1"/>
  <c r="G249" i="118"/>
  <c r="G81" i="118" s="1"/>
  <c r="F249" i="118"/>
  <c r="H249" i="118" s="1"/>
  <c r="R247" i="118"/>
  <c r="M247" i="118"/>
  <c r="H247" i="118"/>
  <c r="R246" i="118"/>
  <c r="M246" i="118"/>
  <c r="H246" i="118"/>
  <c r="R245" i="118"/>
  <c r="M245" i="118"/>
  <c r="H245" i="118"/>
  <c r="Q244" i="118"/>
  <c r="P244" i="118"/>
  <c r="R244" i="118" s="1"/>
  <c r="L244" i="118"/>
  <c r="K244" i="118"/>
  <c r="G244" i="118"/>
  <c r="F244" i="118"/>
  <c r="H244" i="118" s="1"/>
  <c r="R243" i="118"/>
  <c r="M243" i="118"/>
  <c r="H243" i="118"/>
  <c r="R242" i="118"/>
  <c r="M242" i="118"/>
  <c r="H242" i="118"/>
  <c r="R241" i="118"/>
  <c r="M241" i="118"/>
  <c r="H241" i="118"/>
  <c r="Q240" i="118"/>
  <c r="P240" i="118"/>
  <c r="R240" i="118" s="1"/>
  <c r="L240" i="118"/>
  <c r="L72" i="118" s="1"/>
  <c r="K240" i="118"/>
  <c r="M240" i="118" s="1"/>
  <c r="G240" i="118"/>
  <c r="F240" i="118"/>
  <c r="H240" i="118" s="1"/>
  <c r="R239" i="118"/>
  <c r="M239" i="118"/>
  <c r="H239" i="118"/>
  <c r="R238" i="118"/>
  <c r="M238" i="118"/>
  <c r="H238" i="118"/>
  <c r="R237" i="118"/>
  <c r="M237" i="118"/>
  <c r="H237" i="118"/>
  <c r="Q236" i="118"/>
  <c r="Q234" i="118" s="1"/>
  <c r="Q233" i="118" s="1"/>
  <c r="P236" i="118"/>
  <c r="L236" i="118"/>
  <c r="K236" i="118"/>
  <c r="M236" i="118" s="1"/>
  <c r="G236" i="118"/>
  <c r="G234" i="118" s="1"/>
  <c r="G233" i="118" s="1"/>
  <c r="F236" i="118"/>
  <c r="R235" i="118"/>
  <c r="M235" i="118"/>
  <c r="H235" i="118"/>
  <c r="P234" i="118"/>
  <c r="L234" i="118"/>
  <c r="K234" i="118"/>
  <c r="M234" i="118" s="1"/>
  <c r="F234" i="118"/>
  <c r="K233" i="118"/>
  <c r="O232" i="118"/>
  <c r="R232" i="118" s="1"/>
  <c r="M232" i="118"/>
  <c r="J232" i="118"/>
  <c r="E232" i="118"/>
  <c r="H232" i="118" s="1"/>
  <c r="O231" i="118"/>
  <c r="E231" i="118"/>
  <c r="R230" i="118"/>
  <c r="M230" i="118"/>
  <c r="H230" i="118"/>
  <c r="R229" i="118"/>
  <c r="M229" i="118"/>
  <c r="H229" i="118"/>
  <c r="R228" i="118"/>
  <c r="M228" i="118"/>
  <c r="H228" i="118"/>
  <c r="Q227" i="118"/>
  <c r="P227" i="118"/>
  <c r="R227" i="118" s="1"/>
  <c r="L227" i="118"/>
  <c r="K227" i="118"/>
  <c r="M227" i="118" s="1"/>
  <c r="G227" i="118"/>
  <c r="F227" i="118"/>
  <c r="H227" i="118" s="1"/>
  <c r="R226" i="118"/>
  <c r="M226" i="118"/>
  <c r="H226" i="118"/>
  <c r="R225" i="118"/>
  <c r="M225" i="118"/>
  <c r="H225" i="118"/>
  <c r="R224" i="118"/>
  <c r="M224" i="118"/>
  <c r="H224" i="118"/>
  <c r="Q223" i="118"/>
  <c r="Q55" i="118" s="1"/>
  <c r="P223" i="118"/>
  <c r="L223" i="118"/>
  <c r="K223" i="118"/>
  <c r="M223" i="118" s="1"/>
  <c r="G223" i="118"/>
  <c r="G55" i="118" s="1"/>
  <c r="F223" i="118"/>
  <c r="R222" i="118"/>
  <c r="M222" i="118"/>
  <c r="H222" i="118"/>
  <c r="R221" i="118"/>
  <c r="M221" i="118"/>
  <c r="H221" i="118"/>
  <c r="R220" i="118"/>
  <c r="M220" i="118"/>
  <c r="H220" i="118"/>
  <c r="Q219" i="118"/>
  <c r="P219" i="118"/>
  <c r="R219" i="118" s="1"/>
  <c r="L219" i="118"/>
  <c r="K219" i="118"/>
  <c r="M219" i="118" s="1"/>
  <c r="G219" i="118"/>
  <c r="F219" i="118"/>
  <c r="H219" i="118" s="1"/>
  <c r="R218" i="118"/>
  <c r="M218" i="118"/>
  <c r="H218" i="118"/>
  <c r="Q217" i="118"/>
  <c r="Q216" i="118" s="1"/>
  <c r="L217" i="118"/>
  <c r="K217" i="118"/>
  <c r="G217" i="118"/>
  <c r="G216" i="118" s="1"/>
  <c r="L216" i="118"/>
  <c r="L48" i="118" s="1"/>
  <c r="O215" i="118"/>
  <c r="R215" i="118" s="1"/>
  <c r="J215" i="118"/>
  <c r="M215" i="118" s="1"/>
  <c r="E215" i="118"/>
  <c r="H215" i="118" s="1"/>
  <c r="R214" i="118"/>
  <c r="M214" i="118"/>
  <c r="H214" i="118"/>
  <c r="Q213" i="118"/>
  <c r="Q45" i="118" s="1"/>
  <c r="P213" i="118"/>
  <c r="R213" i="118" s="1"/>
  <c r="O213" i="118"/>
  <c r="L213" i="118"/>
  <c r="K213" i="118"/>
  <c r="K45" i="118" s="1"/>
  <c r="J213" i="118"/>
  <c r="J45" i="118" s="1"/>
  <c r="G213" i="118"/>
  <c r="F213" i="118"/>
  <c r="E213" i="118"/>
  <c r="R212" i="118"/>
  <c r="M212" i="118"/>
  <c r="H212" i="118"/>
  <c r="O211" i="118"/>
  <c r="R211" i="118" s="1"/>
  <c r="J211" i="118"/>
  <c r="M211" i="118" s="1"/>
  <c r="E211" i="118"/>
  <c r="H211" i="118" s="1"/>
  <c r="Q210" i="118"/>
  <c r="P210" i="118"/>
  <c r="O210" i="118"/>
  <c r="R210" i="118" s="1"/>
  <c r="L210" i="118"/>
  <c r="K210" i="118"/>
  <c r="J210" i="118"/>
  <c r="M210" i="118" s="1"/>
  <c r="G210" i="118"/>
  <c r="G42" i="118" s="1"/>
  <c r="F210" i="118"/>
  <c r="R209" i="118"/>
  <c r="M209" i="118"/>
  <c r="H209" i="118"/>
  <c r="O208" i="118"/>
  <c r="O40" i="118" s="1"/>
  <c r="R40" i="118" s="1"/>
  <c r="M208" i="118"/>
  <c r="J208" i="118"/>
  <c r="E208" i="118"/>
  <c r="H208" i="118" s="1"/>
  <c r="R207" i="118"/>
  <c r="O207" i="118"/>
  <c r="J207" i="118"/>
  <c r="J39" i="118" s="1"/>
  <c r="M39" i="118" s="1"/>
  <c r="H207" i="118"/>
  <c r="E207" i="118"/>
  <c r="O206" i="118"/>
  <c r="R206" i="118" s="1"/>
  <c r="M206" i="118"/>
  <c r="J206" i="118"/>
  <c r="E206" i="118"/>
  <c r="E38" i="118" s="1"/>
  <c r="H38" i="118" s="1"/>
  <c r="Q205" i="118"/>
  <c r="P205" i="118"/>
  <c r="O205" i="118"/>
  <c r="L205" i="118"/>
  <c r="L204" i="118" s="1"/>
  <c r="K205" i="118"/>
  <c r="M205" i="118" s="1"/>
  <c r="J205" i="118"/>
  <c r="G205" i="118"/>
  <c r="F205" i="118"/>
  <c r="E205" i="118"/>
  <c r="R202" i="118"/>
  <c r="M202" i="118"/>
  <c r="H202" i="118"/>
  <c r="O201" i="118"/>
  <c r="R201" i="118" s="1"/>
  <c r="J201" i="118"/>
  <c r="M201" i="118" s="1"/>
  <c r="E201" i="118"/>
  <c r="H201" i="118" s="1"/>
  <c r="Q200" i="118"/>
  <c r="P200" i="118"/>
  <c r="O200" i="118"/>
  <c r="L200" i="118"/>
  <c r="K200" i="118"/>
  <c r="J200" i="118"/>
  <c r="M200" i="118" s="1"/>
  <c r="G200" i="118"/>
  <c r="F200" i="118"/>
  <c r="E200" i="118"/>
  <c r="H200" i="118" s="1"/>
  <c r="R199" i="118"/>
  <c r="M199" i="118"/>
  <c r="H199" i="118"/>
  <c r="R198" i="118"/>
  <c r="M198" i="118"/>
  <c r="H198" i="118"/>
  <c r="R197" i="118"/>
  <c r="M197" i="118"/>
  <c r="H197" i="118"/>
  <c r="R196" i="118"/>
  <c r="M196" i="118"/>
  <c r="H196" i="118"/>
  <c r="Q195" i="118"/>
  <c r="Q194" i="118" s="1"/>
  <c r="P195" i="118"/>
  <c r="L195" i="118"/>
  <c r="K195" i="118"/>
  <c r="M195" i="118" s="1"/>
  <c r="G195" i="118"/>
  <c r="G194" i="118" s="1"/>
  <c r="F195" i="118"/>
  <c r="C195" i="118"/>
  <c r="P194" i="118"/>
  <c r="L194" i="118"/>
  <c r="F194" i="118"/>
  <c r="C194" i="118"/>
  <c r="R193" i="118"/>
  <c r="M193" i="118"/>
  <c r="H193" i="118"/>
  <c r="R192" i="118"/>
  <c r="M192" i="118"/>
  <c r="H192" i="118"/>
  <c r="R191" i="118"/>
  <c r="M191" i="118"/>
  <c r="H191" i="118"/>
  <c r="Q190" i="118"/>
  <c r="Q189" i="118" s="1"/>
  <c r="P190" i="118"/>
  <c r="P189" i="118" s="1"/>
  <c r="L190" i="118"/>
  <c r="L189" i="118" s="1"/>
  <c r="K190" i="118"/>
  <c r="M190" i="118" s="1"/>
  <c r="G190" i="118"/>
  <c r="F190" i="118"/>
  <c r="F189" i="118" s="1"/>
  <c r="H189" i="118" s="1"/>
  <c r="K189" i="118"/>
  <c r="M189" i="118" s="1"/>
  <c r="G189" i="118"/>
  <c r="R188" i="118"/>
  <c r="M188" i="118"/>
  <c r="H188" i="118"/>
  <c r="R187" i="118"/>
  <c r="M187" i="118"/>
  <c r="H187" i="118"/>
  <c r="R186" i="118"/>
  <c r="M186" i="118"/>
  <c r="H186" i="118"/>
  <c r="Q185" i="118"/>
  <c r="Q184" i="118" s="1"/>
  <c r="Q183" i="118" s="1"/>
  <c r="P185" i="118"/>
  <c r="R185" i="118" s="1"/>
  <c r="L185" i="118"/>
  <c r="K185" i="118"/>
  <c r="K184" i="118" s="1"/>
  <c r="G185" i="118"/>
  <c r="G184" i="118" s="1"/>
  <c r="G183" i="118" s="1"/>
  <c r="F185" i="118"/>
  <c r="P184" i="118"/>
  <c r="P183" i="118" s="1"/>
  <c r="L184" i="118"/>
  <c r="L183" i="118" s="1"/>
  <c r="L182" i="118" s="1"/>
  <c r="L178" i="118" s="1"/>
  <c r="F184" i="118"/>
  <c r="F183" i="118" s="1"/>
  <c r="R181" i="118"/>
  <c r="M181" i="118"/>
  <c r="H181" i="118"/>
  <c r="R180" i="118"/>
  <c r="O180" i="118"/>
  <c r="J180" i="118"/>
  <c r="M180" i="118" s="1"/>
  <c r="H180" i="118"/>
  <c r="E180" i="118"/>
  <c r="R179" i="118"/>
  <c r="M179" i="118"/>
  <c r="H179" i="118"/>
  <c r="R177" i="118"/>
  <c r="M177" i="118"/>
  <c r="H177" i="118"/>
  <c r="R176" i="118"/>
  <c r="M176" i="118"/>
  <c r="H176" i="118"/>
  <c r="R175" i="118"/>
  <c r="M175" i="118"/>
  <c r="H175" i="118"/>
  <c r="R174" i="118"/>
  <c r="M174" i="118"/>
  <c r="H174" i="118"/>
  <c r="O173" i="118"/>
  <c r="R173" i="118" s="1"/>
  <c r="J173" i="118"/>
  <c r="M173" i="118" s="1"/>
  <c r="E173" i="118"/>
  <c r="H173" i="118" s="1"/>
  <c r="R172" i="118"/>
  <c r="M172" i="118"/>
  <c r="H172" i="118"/>
  <c r="R171" i="118"/>
  <c r="M171" i="118"/>
  <c r="H171" i="118"/>
  <c r="R170" i="118"/>
  <c r="M170" i="118"/>
  <c r="H170" i="118"/>
  <c r="R169" i="118"/>
  <c r="O169" i="118"/>
  <c r="J169" i="118"/>
  <c r="M169" i="118" s="1"/>
  <c r="H169" i="118"/>
  <c r="E169" i="118"/>
  <c r="R168" i="118"/>
  <c r="M168" i="118"/>
  <c r="H168" i="118"/>
  <c r="R167" i="118"/>
  <c r="M167" i="118"/>
  <c r="H167" i="118"/>
  <c r="R166" i="118"/>
  <c r="O166" i="118"/>
  <c r="J166" i="118"/>
  <c r="M166" i="118" s="1"/>
  <c r="H166" i="118"/>
  <c r="E166" i="118"/>
  <c r="R163" i="118"/>
  <c r="M163" i="118"/>
  <c r="H163" i="118"/>
  <c r="R162" i="118"/>
  <c r="M162" i="118"/>
  <c r="H162" i="118"/>
  <c r="R161" i="118"/>
  <c r="M161" i="118"/>
  <c r="H161" i="118"/>
  <c r="O160" i="118"/>
  <c r="R160" i="118" s="1"/>
  <c r="J160" i="118"/>
  <c r="M160" i="118" s="1"/>
  <c r="E160" i="118"/>
  <c r="H160" i="118" s="1"/>
  <c r="R159" i="118"/>
  <c r="M159" i="118"/>
  <c r="H159" i="118"/>
  <c r="R158" i="118"/>
  <c r="M158" i="118"/>
  <c r="H158" i="118"/>
  <c r="R157" i="118"/>
  <c r="M157" i="118"/>
  <c r="H157" i="118"/>
  <c r="O156" i="118"/>
  <c r="R156" i="118" s="1"/>
  <c r="M156" i="118"/>
  <c r="J156" i="118"/>
  <c r="E156" i="118"/>
  <c r="H156" i="118" s="1"/>
  <c r="R155" i="118"/>
  <c r="M155" i="118"/>
  <c r="H155" i="118"/>
  <c r="R154" i="118"/>
  <c r="M154" i="118"/>
  <c r="H154" i="118"/>
  <c r="R153" i="118"/>
  <c r="M153" i="118"/>
  <c r="H153" i="118"/>
  <c r="O152" i="118"/>
  <c r="R152" i="118" s="1"/>
  <c r="J152" i="118"/>
  <c r="M152" i="118" s="1"/>
  <c r="E152" i="118"/>
  <c r="H152" i="118" s="1"/>
  <c r="R151" i="118"/>
  <c r="M151" i="118"/>
  <c r="H151" i="118"/>
  <c r="R148" i="118"/>
  <c r="P148" i="118"/>
  <c r="K148" i="118"/>
  <c r="M148" i="118" s="1"/>
  <c r="H148" i="118"/>
  <c r="F148" i="118"/>
  <c r="P147" i="118"/>
  <c r="K147" i="118"/>
  <c r="F147" i="118"/>
  <c r="R146" i="118"/>
  <c r="M146" i="118"/>
  <c r="H146" i="118"/>
  <c r="R145" i="118"/>
  <c r="M145" i="118"/>
  <c r="H145" i="118"/>
  <c r="R144" i="118"/>
  <c r="M144" i="118"/>
  <c r="H144" i="118"/>
  <c r="O143" i="118"/>
  <c r="O132" i="118" s="1"/>
  <c r="M143" i="118"/>
  <c r="J143" i="118"/>
  <c r="E143" i="118"/>
  <c r="H143" i="118" s="1"/>
  <c r="R142" i="118"/>
  <c r="M142" i="118"/>
  <c r="H142" i="118"/>
  <c r="R141" i="118"/>
  <c r="M141" i="118"/>
  <c r="H141" i="118"/>
  <c r="R140" i="118"/>
  <c r="M140" i="118"/>
  <c r="H140" i="118"/>
  <c r="O139" i="118"/>
  <c r="R139" i="118" s="1"/>
  <c r="J139" i="118"/>
  <c r="M139" i="118" s="1"/>
  <c r="E139" i="118"/>
  <c r="H139" i="118" s="1"/>
  <c r="R138" i="118"/>
  <c r="M138" i="118"/>
  <c r="H138" i="118"/>
  <c r="R137" i="118"/>
  <c r="M137" i="118"/>
  <c r="H137" i="118"/>
  <c r="R136" i="118"/>
  <c r="M136" i="118"/>
  <c r="H136" i="118"/>
  <c r="R135" i="118"/>
  <c r="O135" i="118"/>
  <c r="J135" i="118"/>
  <c r="M135" i="118" s="1"/>
  <c r="H135" i="118"/>
  <c r="E135" i="118"/>
  <c r="R134" i="118"/>
  <c r="M134" i="118"/>
  <c r="H134" i="118"/>
  <c r="O133" i="118"/>
  <c r="R133" i="118" s="1"/>
  <c r="E133" i="118"/>
  <c r="H133" i="118" s="1"/>
  <c r="R131" i="118"/>
  <c r="M131" i="118"/>
  <c r="H131" i="118"/>
  <c r="R130" i="118"/>
  <c r="M130" i="118"/>
  <c r="H130" i="118"/>
  <c r="O129" i="118"/>
  <c r="R129" i="118" s="1"/>
  <c r="J129" i="118"/>
  <c r="M129" i="118" s="1"/>
  <c r="E129" i="118"/>
  <c r="H129" i="118" s="1"/>
  <c r="R128" i="118"/>
  <c r="M128" i="118"/>
  <c r="H128" i="118"/>
  <c r="R127" i="118"/>
  <c r="M127" i="118"/>
  <c r="H127" i="118"/>
  <c r="O126" i="118"/>
  <c r="R126" i="118" s="1"/>
  <c r="J126" i="118"/>
  <c r="M126" i="118" s="1"/>
  <c r="E126" i="118"/>
  <c r="H126" i="118" s="1"/>
  <c r="R125" i="118"/>
  <c r="M125" i="118"/>
  <c r="H125" i="118"/>
  <c r="Q124" i="118"/>
  <c r="P124" i="118"/>
  <c r="R124" i="118" s="1"/>
  <c r="L124" i="118"/>
  <c r="L40" i="118" s="1"/>
  <c r="K124" i="118"/>
  <c r="M124" i="118" s="1"/>
  <c r="G124" i="118"/>
  <c r="F124" i="118"/>
  <c r="H124" i="118" s="1"/>
  <c r="Q123" i="118"/>
  <c r="P123" i="118"/>
  <c r="R123" i="118" s="1"/>
  <c r="L123" i="118"/>
  <c r="K123" i="118"/>
  <c r="M123" i="118" s="1"/>
  <c r="G123" i="118"/>
  <c r="G39" i="118" s="1"/>
  <c r="F123" i="118"/>
  <c r="H123" i="118" s="1"/>
  <c r="Q122" i="118"/>
  <c r="P122" i="118"/>
  <c r="R122" i="118" s="1"/>
  <c r="L122" i="118"/>
  <c r="K122" i="118"/>
  <c r="M122" i="118" s="1"/>
  <c r="G122" i="118"/>
  <c r="F122" i="118"/>
  <c r="H122" i="118" s="1"/>
  <c r="Q121" i="118"/>
  <c r="Q37" i="118" s="1"/>
  <c r="P121" i="118"/>
  <c r="P37" i="118" s="1"/>
  <c r="O121" i="118"/>
  <c r="K121" i="118"/>
  <c r="K37" i="118" s="1"/>
  <c r="J121" i="118"/>
  <c r="E121" i="118"/>
  <c r="E37" i="118" s="1"/>
  <c r="R118" i="118"/>
  <c r="M118" i="118"/>
  <c r="H118" i="118"/>
  <c r="Q117" i="118"/>
  <c r="Q33" i="118" s="1"/>
  <c r="L117" i="118"/>
  <c r="L33" i="118" s="1"/>
  <c r="G117" i="118"/>
  <c r="O116" i="118"/>
  <c r="L116" i="118"/>
  <c r="L32" i="118" s="1"/>
  <c r="J116" i="118"/>
  <c r="E116" i="118"/>
  <c r="R115" i="118"/>
  <c r="M115" i="118"/>
  <c r="H115" i="118"/>
  <c r="R114" i="118"/>
  <c r="M114" i="118"/>
  <c r="H114" i="118"/>
  <c r="R113" i="118"/>
  <c r="M113" i="118"/>
  <c r="H113" i="118"/>
  <c r="R112" i="118"/>
  <c r="M112" i="118"/>
  <c r="H112" i="118"/>
  <c r="O111" i="118"/>
  <c r="R111" i="118" s="1"/>
  <c r="J111" i="118"/>
  <c r="M111" i="118" s="1"/>
  <c r="E111" i="118"/>
  <c r="H111" i="118" s="1"/>
  <c r="C111" i="118"/>
  <c r="C110" i="118"/>
  <c r="R109" i="118"/>
  <c r="M109" i="118"/>
  <c r="H109" i="118"/>
  <c r="R108" i="118"/>
  <c r="M108" i="118"/>
  <c r="H108" i="118"/>
  <c r="R107" i="118"/>
  <c r="M107" i="118"/>
  <c r="H107" i="118"/>
  <c r="O106" i="118"/>
  <c r="O105" i="118" s="1"/>
  <c r="R105" i="118" s="1"/>
  <c r="M106" i="118"/>
  <c r="J106" i="118"/>
  <c r="E106" i="118"/>
  <c r="E105" i="118" s="1"/>
  <c r="H105" i="118" s="1"/>
  <c r="J105" i="118"/>
  <c r="M105" i="118" s="1"/>
  <c r="R104" i="118"/>
  <c r="M104" i="118"/>
  <c r="H104" i="118"/>
  <c r="R103" i="118"/>
  <c r="M103" i="118"/>
  <c r="H103" i="118"/>
  <c r="R102" i="118"/>
  <c r="M102" i="118"/>
  <c r="H102" i="118"/>
  <c r="O101" i="118"/>
  <c r="R101" i="118" s="1"/>
  <c r="J101" i="118"/>
  <c r="M101" i="118" s="1"/>
  <c r="E101" i="118"/>
  <c r="H101" i="118" s="1"/>
  <c r="E100" i="118"/>
  <c r="H100" i="118" s="1"/>
  <c r="R97" i="118"/>
  <c r="M97" i="118"/>
  <c r="H97" i="118"/>
  <c r="R96" i="118"/>
  <c r="M96" i="118"/>
  <c r="H96" i="118"/>
  <c r="R95" i="118"/>
  <c r="M95" i="118"/>
  <c r="H95" i="118"/>
  <c r="R93" i="118"/>
  <c r="M93" i="118"/>
  <c r="H93" i="118"/>
  <c r="R92" i="118"/>
  <c r="M92" i="118"/>
  <c r="H92" i="118"/>
  <c r="Q91" i="118"/>
  <c r="P91" i="118"/>
  <c r="O91" i="118"/>
  <c r="L91" i="118"/>
  <c r="K91" i="118"/>
  <c r="J91" i="118"/>
  <c r="G91" i="118"/>
  <c r="F91" i="118"/>
  <c r="E91" i="118"/>
  <c r="Q90" i="118"/>
  <c r="P90" i="118"/>
  <c r="R90" i="118" s="1"/>
  <c r="O90" i="118"/>
  <c r="L90" i="118"/>
  <c r="K90" i="118"/>
  <c r="J90" i="118"/>
  <c r="G90" i="118"/>
  <c r="F90" i="118"/>
  <c r="E90" i="118"/>
  <c r="Q89" i="118"/>
  <c r="K89" i="118"/>
  <c r="J89" i="118"/>
  <c r="G89" i="118"/>
  <c r="F89" i="118"/>
  <c r="E89" i="118"/>
  <c r="R88" i="118"/>
  <c r="M88" i="118"/>
  <c r="H88" i="118"/>
  <c r="R87" i="118"/>
  <c r="M87" i="118"/>
  <c r="H87" i="118"/>
  <c r="R86" i="118"/>
  <c r="M86" i="118"/>
  <c r="H86" i="118"/>
  <c r="R85" i="118"/>
  <c r="M85" i="118"/>
  <c r="H85" i="118"/>
  <c r="R84" i="118"/>
  <c r="M84" i="118"/>
  <c r="H84" i="118"/>
  <c r="R83" i="118"/>
  <c r="M83" i="118"/>
  <c r="H83" i="118"/>
  <c r="R82" i="118"/>
  <c r="M82" i="118"/>
  <c r="H82" i="118"/>
  <c r="R79" i="118"/>
  <c r="M79" i="118"/>
  <c r="H79" i="118"/>
  <c r="R78" i="118"/>
  <c r="M78" i="118"/>
  <c r="H78" i="118"/>
  <c r="R77" i="118"/>
  <c r="M77" i="118"/>
  <c r="H77" i="118"/>
  <c r="R76" i="118"/>
  <c r="M76" i="118"/>
  <c r="H76" i="118"/>
  <c r="R75" i="118"/>
  <c r="M75" i="118"/>
  <c r="H75" i="118"/>
  <c r="Q74" i="118"/>
  <c r="P74" i="118"/>
  <c r="R74" i="118" s="1"/>
  <c r="O74" i="118"/>
  <c r="L74" i="118"/>
  <c r="K74" i="118"/>
  <c r="J74" i="118"/>
  <c r="G74" i="118"/>
  <c r="F74" i="118"/>
  <c r="E74" i="118"/>
  <c r="R73" i="118"/>
  <c r="M73" i="118"/>
  <c r="H73" i="118"/>
  <c r="Q72" i="118"/>
  <c r="P72" i="118"/>
  <c r="O72" i="118"/>
  <c r="J72" i="118"/>
  <c r="G72" i="118"/>
  <c r="F72" i="118"/>
  <c r="E72" i="118"/>
  <c r="H72" i="118" s="1"/>
  <c r="R71" i="118"/>
  <c r="M71" i="118"/>
  <c r="H71" i="118"/>
  <c r="R70" i="118"/>
  <c r="M70" i="118"/>
  <c r="H70" i="118"/>
  <c r="R69" i="118"/>
  <c r="M69" i="118"/>
  <c r="H69" i="118"/>
  <c r="R68" i="118"/>
  <c r="M68" i="118"/>
  <c r="H68" i="118"/>
  <c r="R67" i="118"/>
  <c r="M67" i="118"/>
  <c r="H67" i="118"/>
  <c r="R66" i="118"/>
  <c r="M66" i="118"/>
  <c r="H66" i="118"/>
  <c r="O65" i="118"/>
  <c r="K65" i="118"/>
  <c r="J65" i="118"/>
  <c r="E65" i="118"/>
  <c r="Q64" i="118"/>
  <c r="P64" i="118"/>
  <c r="L64" i="118"/>
  <c r="K64" i="118"/>
  <c r="J64" i="118"/>
  <c r="G64" i="118"/>
  <c r="F64" i="118"/>
  <c r="E64" i="118"/>
  <c r="H64" i="118" s="1"/>
  <c r="Q62" i="118"/>
  <c r="P62" i="118"/>
  <c r="O62" i="118"/>
  <c r="R62" i="118" s="1"/>
  <c r="L62" i="118"/>
  <c r="K62" i="118"/>
  <c r="J62" i="118"/>
  <c r="M62" i="118" s="1"/>
  <c r="G62" i="118"/>
  <c r="F62" i="118"/>
  <c r="E62" i="118"/>
  <c r="R61" i="118"/>
  <c r="M61" i="118"/>
  <c r="H61" i="118"/>
  <c r="R60" i="118"/>
  <c r="M60" i="118"/>
  <c r="H60" i="118"/>
  <c r="R59" i="118"/>
  <c r="M59" i="118"/>
  <c r="H59" i="118"/>
  <c r="Q58" i="118"/>
  <c r="P58" i="118"/>
  <c r="O58" i="118"/>
  <c r="L58" i="118"/>
  <c r="K58" i="118"/>
  <c r="M58" i="118" s="1"/>
  <c r="J58" i="118"/>
  <c r="G58" i="118"/>
  <c r="F58" i="118"/>
  <c r="E58" i="118"/>
  <c r="Q57" i="118"/>
  <c r="P57" i="118"/>
  <c r="O57" i="118"/>
  <c r="L57" i="118"/>
  <c r="K57" i="118"/>
  <c r="J57" i="118"/>
  <c r="G57" i="118"/>
  <c r="F57" i="118"/>
  <c r="H57" i="118" s="1"/>
  <c r="E57" i="118"/>
  <c r="R56" i="118"/>
  <c r="M56" i="118"/>
  <c r="H56" i="118"/>
  <c r="P55" i="118"/>
  <c r="O55" i="118"/>
  <c r="L55" i="118"/>
  <c r="J55" i="118"/>
  <c r="F55" i="118"/>
  <c r="E55" i="118"/>
  <c r="R54" i="118"/>
  <c r="M54" i="118"/>
  <c r="H54" i="118"/>
  <c r="R53" i="118"/>
  <c r="M53" i="118"/>
  <c r="H53" i="118"/>
  <c r="R52" i="118"/>
  <c r="M52" i="118"/>
  <c r="H52" i="118"/>
  <c r="R51" i="118"/>
  <c r="M51" i="118"/>
  <c r="H51" i="118"/>
  <c r="R50" i="118"/>
  <c r="M50" i="118"/>
  <c r="H50" i="118"/>
  <c r="R49" i="118"/>
  <c r="M49" i="118"/>
  <c r="H49" i="118"/>
  <c r="O48" i="118"/>
  <c r="J48" i="118"/>
  <c r="E48" i="118"/>
  <c r="Q47" i="118"/>
  <c r="P47" i="118"/>
  <c r="O47" i="118"/>
  <c r="R47" i="118" s="1"/>
  <c r="L47" i="118"/>
  <c r="K47" i="118"/>
  <c r="J47" i="118"/>
  <c r="M47" i="118" s="1"/>
  <c r="G47" i="118"/>
  <c r="F47" i="118"/>
  <c r="R46" i="118"/>
  <c r="M46" i="118"/>
  <c r="H46" i="118"/>
  <c r="O45" i="118"/>
  <c r="L45" i="118"/>
  <c r="G45" i="118"/>
  <c r="F45" i="118"/>
  <c r="R44" i="118"/>
  <c r="M44" i="118"/>
  <c r="H44" i="118"/>
  <c r="Q43" i="118"/>
  <c r="P43" i="118"/>
  <c r="O43" i="118"/>
  <c r="R43" i="118" s="1"/>
  <c r="L43" i="118"/>
  <c r="K43" i="118"/>
  <c r="G43" i="118"/>
  <c r="F43" i="118"/>
  <c r="E43" i="118"/>
  <c r="Q42" i="118"/>
  <c r="P42" i="118"/>
  <c r="L42" i="118"/>
  <c r="K42" i="118"/>
  <c r="J42" i="118"/>
  <c r="F42" i="118"/>
  <c r="R41" i="118"/>
  <c r="M41" i="118"/>
  <c r="H41" i="118"/>
  <c r="Q40" i="118"/>
  <c r="P40" i="118"/>
  <c r="J40" i="118"/>
  <c r="G40" i="118"/>
  <c r="F40" i="118"/>
  <c r="E40" i="118"/>
  <c r="H40" i="118" s="1"/>
  <c r="Q39" i="118"/>
  <c r="O39" i="118"/>
  <c r="L39" i="118"/>
  <c r="K39" i="118"/>
  <c r="E39" i="118"/>
  <c r="Q38" i="118"/>
  <c r="P38" i="118"/>
  <c r="O38" i="118"/>
  <c r="R38" i="118" s="1"/>
  <c r="L38" i="118"/>
  <c r="J38" i="118"/>
  <c r="G38" i="118"/>
  <c r="F38" i="118"/>
  <c r="O37" i="118"/>
  <c r="Q34" i="118"/>
  <c r="P34" i="118"/>
  <c r="O34" i="118"/>
  <c r="L34" i="118"/>
  <c r="K34" i="118"/>
  <c r="J34" i="118"/>
  <c r="G34" i="118"/>
  <c r="F34" i="118"/>
  <c r="E34" i="118"/>
  <c r="H34" i="118" s="1"/>
  <c r="J33" i="118"/>
  <c r="G33" i="118"/>
  <c r="E33" i="118"/>
  <c r="O32" i="118"/>
  <c r="E32" i="118"/>
  <c r="R31" i="118"/>
  <c r="M31" i="118"/>
  <c r="H31" i="118"/>
  <c r="R30" i="118"/>
  <c r="M30" i="118"/>
  <c r="H30" i="118"/>
  <c r="R29" i="118"/>
  <c r="M29" i="118"/>
  <c r="H29" i="118"/>
  <c r="R28" i="118"/>
  <c r="M28" i="118"/>
  <c r="H28" i="118"/>
  <c r="R27" i="118"/>
  <c r="M27" i="118"/>
  <c r="H27" i="118"/>
  <c r="C27" i="118"/>
  <c r="C26" i="118" s="1"/>
  <c r="R26" i="118"/>
  <c r="M26" i="118"/>
  <c r="H26" i="118"/>
  <c r="R25" i="118"/>
  <c r="M25" i="118"/>
  <c r="H25" i="118"/>
  <c r="R24" i="118"/>
  <c r="M24" i="118"/>
  <c r="H24" i="118"/>
  <c r="R23" i="118"/>
  <c r="M23" i="118"/>
  <c r="H23" i="118"/>
  <c r="R22" i="118"/>
  <c r="M22" i="118"/>
  <c r="H22" i="118"/>
  <c r="R21" i="118"/>
  <c r="M21" i="118"/>
  <c r="H21" i="118"/>
  <c r="R20" i="118"/>
  <c r="M20" i="118"/>
  <c r="H20" i="118"/>
  <c r="R19" i="118"/>
  <c r="M19" i="118"/>
  <c r="H19" i="118"/>
  <c r="R18" i="118"/>
  <c r="M18" i="118"/>
  <c r="H18" i="118"/>
  <c r="R17" i="118"/>
  <c r="M17" i="118"/>
  <c r="H17" i="118"/>
  <c r="R16" i="118"/>
  <c r="M16" i="118"/>
  <c r="H16" i="118"/>
  <c r="R15" i="118"/>
  <c r="M15" i="118"/>
  <c r="H15" i="118"/>
  <c r="R14" i="118"/>
  <c r="M14" i="118"/>
  <c r="H14" i="118"/>
  <c r="Q13" i="118"/>
  <c r="P13" i="118"/>
  <c r="O13" i="118"/>
  <c r="R13" i="118" s="1"/>
  <c r="L13" i="118"/>
  <c r="K13" i="118"/>
  <c r="J13" i="118"/>
  <c r="G13" i="118"/>
  <c r="F13" i="118"/>
  <c r="E13" i="118"/>
  <c r="Q12" i="118"/>
  <c r="P12" i="118"/>
  <c r="O12" i="118"/>
  <c r="R12" i="118" s="1"/>
  <c r="L12" i="118"/>
  <c r="K12" i="118"/>
  <c r="G12" i="118"/>
  <c r="F12" i="118"/>
  <c r="E12" i="118"/>
  <c r="Q11" i="118"/>
  <c r="P11" i="118"/>
  <c r="O11" i="118"/>
  <c r="L11" i="118"/>
  <c r="K11" i="118"/>
  <c r="J11" i="118"/>
  <c r="M11" i="118" s="1"/>
  <c r="G11" i="118"/>
  <c r="F11" i="118"/>
  <c r="E11" i="118"/>
  <c r="H11" i="118" s="1"/>
  <c r="H210" i="118" l="1"/>
  <c r="E42" i="118"/>
  <c r="G231" i="118"/>
  <c r="G63" i="118" s="1"/>
  <c r="G65" i="118"/>
  <c r="Q231" i="118"/>
  <c r="Q63" i="118" s="1"/>
  <c r="Q65" i="118"/>
  <c r="R65" i="118" s="1"/>
  <c r="M45" i="118"/>
  <c r="R132" i="118"/>
  <c r="O120" i="118"/>
  <c r="R120" i="118" s="1"/>
  <c r="R37" i="118"/>
  <c r="M72" i="118"/>
  <c r="R189" i="118"/>
  <c r="H194" i="118"/>
  <c r="M233" i="118"/>
  <c r="F39" i="118"/>
  <c r="H39" i="118" s="1"/>
  <c r="K72" i="118"/>
  <c r="M74" i="118"/>
  <c r="P81" i="118"/>
  <c r="H89" i="118"/>
  <c r="E99" i="118"/>
  <c r="J133" i="118"/>
  <c r="H205" i="118"/>
  <c r="L233" i="118"/>
  <c r="Q94" i="118"/>
  <c r="E346" i="118"/>
  <c r="E204" i="118" s="1"/>
  <c r="H12" i="118"/>
  <c r="M13" i="118"/>
  <c r="J32" i="118"/>
  <c r="O33" i="118"/>
  <c r="R34" i="118"/>
  <c r="H42" i="118"/>
  <c r="H43" i="118"/>
  <c r="E45" i="118"/>
  <c r="E47" i="118"/>
  <c r="H47" i="118" s="1"/>
  <c r="R57" i="118"/>
  <c r="H62" i="118"/>
  <c r="O64" i="118"/>
  <c r="R64" i="118" s="1"/>
  <c r="H74" i="118"/>
  <c r="O89" i="118"/>
  <c r="H90" i="118"/>
  <c r="M91" i="118"/>
  <c r="O100" i="118"/>
  <c r="H106" i="118"/>
  <c r="R106" i="118"/>
  <c r="G116" i="118"/>
  <c r="G32" i="118" s="1"/>
  <c r="Q116" i="118"/>
  <c r="Q32" i="118" s="1"/>
  <c r="F121" i="118"/>
  <c r="F37" i="118" s="1"/>
  <c r="H37" i="118" s="1"/>
  <c r="L121" i="118"/>
  <c r="L37" i="118" s="1"/>
  <c r="R143" i="118"/>
  <c r="H185" i="118"/>
  <c r="K194" i="118"/>
  <c r="M194" i="118" s="1"/>
  <c r="H206" i="118"/>
  <c r="M207" i="118"/>
  <c r="R208" i="118"/>
  <c r="H213" i="118"/>
  <c r="F233" i="118"/>
  <c r="P233" i="118"/>
  <c r="K249" i="118"/>
  <c r="R253" i="118"/>
  <c r="G316" i="118"/>
  <c r="G315" i="118" s="1"/>
  <c r="M89" i="118"/>
  <c r="M121" i="118"/>
  <c r="R194" i="118"/>
  <c r="L94" i="118"/>
  <c r="L10" i="118" s="1"/>
  <c r="J12" i="118"/>
  <c r="M12" i="118" s="1"/>
  <c r="J37" i="118"/>
  <c r="M37" i="118" s="1"/>
  <c r="K40" i="118"/>
  <c r="M40" i="118" s="1"/>
  <c r="J43" i="118"/>
  <c r="M43" i="118" s="1"/>
  <c r="P45" i="118"/>
  <c r="R45" i="118" s="1"/>
  <c r="R55" i="118"/>
  <c r="H58" i="118"/>
  <c r="F81" i="118"/>
  <c r="M90" i="118"/>
  <c r="R91" i="118"/>
  <c r="J100" i="118"/>
  <c r="E132" i="118"/>
  <c r="H132" i="118" s="1"/>
  <c r="J204" i="118"/>
  <c r="M213" i="118"/>
  <c r="K216" i="118"/>
  <c r="F293" i="118"/>
  <c r="F292" i="118" s="1"/>
  <c r="R11" i="118"/>
  <c r="H13" i="118"/>
  <c r="M34" i="118"/>
  <c r="K38" i="118"/>
  <c r="M38" i="118" s="1"/>
  <c r="P39" i="118"/>
  <c r="R39" i="118" s="1"/>
  <c r="O42" i="118"/>
  <c r="R42" i="118" s="1"/>
  <c r="H45" i="118"/>
  <c r="H55" i="118"/>
  <c r="K55" i="118"/>
  <c r="M55" i="118" s="1"/>
  <c r="M57" i="118"/>
  <c r="R58" i="118"/>
  <c r="M64" i="118"/>
  <c r="R72" i="118"/>
  <c r="P89" i="118"/>
  <c r="H91" i="118"/>
  <c r="K120" i="118"/>
  <c r="R121" i="118"/>
  <c r="G182" i="118"/>
  <c r="G178" i="118" s="1"/>
  <c r="Q182" i="118"/>
  <c r="Q178" i="118" s="1"/>
  <c r="H195" i="118"/>
  <c r="R195" i="118"/>
  <c r="R200" i="118"/>
  <c r="R205" i="118"/>
  <c r="F217" i="118"/>
  <c r="P217" i="118"/>
  <c r="H223" i="118"/>
  <c r="R223" i="118"/>
  <c r="K231" i="118"/>
  <c r="K63" i="118" s="1"/>
  <c r="H236" i="118"/>
  <c r="R236" i="118"/>
  <c r="M244" i="118"/>
  <c r="M257" i="118"/>
  <c r="M184" i="118"/>
  <c r="K183" i="118"/>
  <c r="G204" i="118"/>
  <c r="G48" i="118"/>
  <c r="Q204" i="118"/>
  <c r="Q203" i="118" s="1"/>
  <c r="Q248" i="118" s="1"/>
  <c r="Q48" i="118"/>
  <c r="H233" i="118"/>
  <c r="F65" i="118"/>
  <c r="F231" i="118"/>
  <c r="R233" i="118"/>
  <c r="P65" i="118"/>
  <c r="P231" i="118"/>
  <c r="K291" i="118"/>
  <c r="K117" i="118"/>
  <c r="H183" i="118"/>
  <c r="F182" i="118"/>
  <c r="R183" i="118"/>
  <c r="P182" i="118"/>
  <c r="M216" i="118"/>
  <c r="K48" i="118"/>
  <c r="M48" i="118" s="1"/>
  <c r="K204" i="118"/>
  <c r="L231" i="118"/>
  <c r="L65" i="118"/>
  <c r="F120" i="118"/>
  <c r="F284" i="118"/>
  <c r="F119" i="118" s="1"/>
  <c r="P120" i="118"/>
  <c r="P284" i="118"/>
  <c r="P119" i="118" s="1"/>
  <c r="F291" i="118"/>
  <c r="F117" i="118"/>
  <c r="P291" i="118"/>
  <c r="P117" i="118"/>
  <c r="G305" i="118"/>
  <c r="G119" i="118" s="1"/>
  <c r="G120" i="118"/>
  <c r="G36" i="118" s="1"/>
  <c r="Q305" i="118"/>
  <c r="Q119" i="118" s="1"/>
  <c r="Q120" i="118"/>
  <c r="L315" i="118"/>
  <c r="L120" i="118"/>
  <c r="L36" i="118" s="1"/>
  <c r="O204" i="118"/>
  <c r="O345" i="118"/>
  <c r="O203" i="118" s="1"/>
  <c r="L119" i="118"/>
  <c r="M42" i="118"/>
  <c r="H65" i="118"/>
  <c r="M65" i="118"/>
  <c r="G94" i="118"/>
  <c r="G10" i="118" s="1"/>
  <c r="H184" i="118"/>
  <c r="R184" i="118"/>
  <c r="M185" i="118"/>
  <c r="H190" i="118"/>
  <c r="R190" i="118"/>
  <c r="M217" i="118"/>
  <c r="H234" i="118"/>
  <c r="R234" i="118"/>
  <c r="E110" i="118"/>
  <c r="H110" i="118" s="1"/>
  <c r="J110" i="118"/>
  <c r="M110" i="118" s="1"/>
  <c r="O110" i="118"/>
  <c r="R110" i="118" s="1"/>
  <c r="E150" i="118"/>
  <c r="J150" i="118"/>
  <c r="O150" i="118"/>
  <c r="E165" i="118"/>
  <c r="J165" i="118"/>
  <c r="O165" i="118"/>
  <c r="R217" i="118" l="1"/>
  <c r="P216" i="118"/>
  <c r="G35" i="118"/>
  <c r="G80" i="118" s="1"/>
  <c r="H217" i="118"/>
  <c r="F216" i="118"/>
  <c r="R100" i="118"/>
  <c r="O99" i="118"/>
  <c r="M133" i="118"/>
  <c r="J132" i="118"/>
  <c r="M231" i="118"/>
  <c r="E345" i="118"/>
  <c r="E203" i="118" s="1"/>
  <c r="Q36" i="118"/>
  <c r="G203" i="118"/>
  <c r="G248" i="118" s="1"/>
  <c r="H121" i="118"/>
  <c r="Q10" i="118"/>
  <c r="E120" i="118"/>
  <c r="H120" i="118" s="1"/>
  <c r="M249" i="118"/>
  <c r="K81" i="118"/>
  <c r="Q35" i="118"/>
  <c r="R89" i="118"/>
  <c r="M100" i="118"/>
  <c r="J99" i="118"/>
  <c r="H99" i="118"/>
  <c r="E98" i="118"/>
  <c r="M165" i="118"/>
  <c r="J81" i="118"/>
  <c r="E149" i="118"/>
  <c r="H150" i="118"/>
  <c r="R165" i="118"/>
  <c r="O81" i="118"/>
  <c r="R81" i="118" s="1"/>
  <c r="H165" i="118"/>
  <c r="E81" i="118"/>
  <c r="H81" i="118" s="1"/>
  <c r="J149" i="118"/>
  <c r="M150" i="118"/>
  <c r="R117" i="118"/>
  <c r="P33" i="118"/>
  <c r="R33" i="118" s="1"/>
  <c r="H117" i="118"/>
  <c r="F33" i="118"/>
  <c r="H33" i="118" s="1"/>
  <c r="M204" i="118"/>
  <c r="K203" i="118"/>
  <c r="K36" i="118"/>
  <c r="K116" i="118"/>
  <c r="K290" i="118"/>
  <c r="K94" i="118" s="1"/>
  <c r="F63" i="118"/>
  <c r="H231" i="118"/>
  <c r="O149" i="118"/>
  <c r="R150" i="118"/>
  <c r="O36" i="118"/>
  <c r="P290" i="118"/>
  <c r="P94" i="118" s="1"/>
  <c r="P116" i="118"/>
  <c r="F290" i="118"/>
  <c r="F94" i="118" s="1"/>
  <c r="F116" i="118"/>
  <c r="L203" i="118"/>
  <c r="L248" i="118" s="1"/>
  <c r="L63" i="118"/>
  <c r="P178" i="118"/>
  <c r="R182" i="118"/>
  <c r="F178" i="118"/>
  <c r="H182" i="118"/>
  <c r="M117" i="118"/>
  <c r="K33" i="118"/>
  <c r="M33" i="118" s="1"/>
  <c r="P63" i="118"/>
  <c r="R231" i="118"/>
  <c r="K182" i="118"/>
  <c r="M183" i="118"/>
  <c r="H98" i="118" l="1"/>
  <c r="E94" i="118"/>
  <c r="E10" i="118" s="1"/>
  <c r="R99" i="118"/>
  <c r="O98" i="118"/>
  <c r="E36" i="118"/>
  <c r="R216" i="118"/>
  <c r="P48" i="118"/>
  <c r="R48" i="118" s="1"/>
  <c r="P204" i="118"/>
  <c r="L35" i="118"/>
  <c r="L80" i="118" s="1"/>
  <c r="M81" i="118"/>
  <c r="M99" i="118"/>
  <c r="J98" i="118"/>
  <c r="Q80" i="118"/>
  <c r="M132" i="118"/>
  <c r="J120" i="118"/>
  <c r="H216" i="118"/>
  <c r="F204" i="118"/>
  <c r="F48" i="118"/>
  <c r="H48" i="118" s="1"/>
  <c r="M182" i="118"/>
  <c r="K178" i="118"/>
  <c r="K10" i="118" s="1"/>
  <c r="F32" i="118"/>
  <c r="H32" i="118" s="1"/>
  <c r="H116" i="118"/>
  <c r="P32" i="118"/>
  <c r="R32" i="118" s="1"/>
  <c r="R116" i="118"/>
  <c r="H178" i="118"/>
  <c r="R178" i="118"/>
  <c r="R149" i="118"/>
  <c r="O147" i="118"/>
  <c r="K32" i="118"/>
  <c r="M32" i="118" s="1"/>
  <c r="M116" i="118"/>
  <c r="K35" i="118"/>
  <c r="M203" i="118"/>
  <c r="J147" i="118"/>
  <c r="M149" i="118"/>
  <c r="H149" i="118"/>
  <c r="E147" i="118"/>
  <c r="F10" i="118"/>
  <c r="H10" i="118" s="1"/>
  <c r="P10" i="118"/>
  <c r="H94" i="118"/>
  <c r="R98" i="118" l="1"/>
  <c r="O94" i="118"/>
  <c r="H204" i="118"/>
  <c r="F36" i="118"/>
  <c r="F203" i="118"/>
  <c r="M98" i="118"/>
  <c r="J94" i="118"/>
  <c r="P203" i="118"/>
  <c r="P36" i="118"/>
  <c r="R36" i="118" s="1"/>
  <c r="R204" i="118"/>
  <c r="J36" i="118"/>
  <c r="M36" i="118" s="1"/>
  <c r="M120" i="118"/>
  <c r="H36" i="118"/>
  <c r="K80" i="118"/>
  <c r="M147" i="118"/>
  <c r="J119" i="118"/>
  <c r="J63" i="118"/>
  <c r="M63" i="118" s="1"/>
  <c r="H147" i="118"/>
  <c r="E119" i="118"/>
  <c r="E63" i="118"/>
  <c r="H63" i="118" s="1"/>
  <c r="R147" i="118"/>
  <c r="O119" i="118"/>
  <c r="O63" i="118"/>
  <c r="R63" i="118" s="1"/>
  <c r="K248" i="118"/>
  <c r="M248" i="118" s="1"/>
  <c r="M178" i="118"/>
  <c r="J10" i="118" l="1"/>
  <c r="M10" i="118" s="1"/>
  <c r="M94" i="118"/>
  <c r="O10" i="118"/>
  <c r="R10" i="118" s="1"/>
  <c r="R94" i="118"/>
  <c r="H203" i="118"/>
  <c r="F35" i="118"/>
  <c r="F80" i="118" s="1"/>
  <c r="F248" i="118"/>
  <c r="H248" i="118" s="1"/>
  <c r="P35" i="118"/>
  <c r="P80" i="118" s="1"/>
  <c r="R203" i="118"/>
  <c r="P248" i="118"/>
  <c r="R248" i="118" s="1"/>
  <c r="H119" i="118"/>
  <c r="E35" i="118"/>
  <c r="E164" i="118"/>
  <c r="H164" i="118" s="1"/>
  <c r="R119" i="118"/>
  <c r="O35" i="118"/>
  <c r="O164" i="118"/>
  <c r="R164" i="118" s="1"/>
  <c r="M119" i="118"/>
  <c r="J35" i="118"/>
  <c r="J164" i="118"/>
  <c r="M164" i="118" s="1"/>
  <c r="R35" i="118" l="1"/>
  <c r="O80" i="118"/>
  <c r="R80" i="118" s="1"/>
  <c r="M35" i="118"/>
  <c r="J80" i="118"/>
  <c r="M80" i="118" s="1"/>
  <c r="H35" i="118"/>
  <c r="E80" i="118"/>
  <c r="H80" i="118" s="1"/>
  <c r="R260" i="231" l="1"/>
  <c r="M260" i="231"/>
  <c r="H260" i="231"/>
  <c r="R259" i="231"/>
  <c r="M259" i="231"/>
  <c r="H259" i="231"/>
  <c r="R258" i="231"/>
  <c r="M258" i="231"/>
  <c r="H258" i="231"/>
  <c r="Q257" i="231"/>
  <c r="P257" i="231"/>
  <c r="P249" i="231" s="1"/>
  <c r="O257" i="231"/>
  <c r="L257" i="231"/>
  <c r="K257" i="231"/>
  <c r="J257" i="231"/>
  <c r="G257" i="231"/>
  <c r="F257" i="231"/>
  <c r="E257" i="231"/>
  <c r="R256" i="231"/>
  <c r="M256" i="231"/>
  <c r="H256" i="231"/>
  <c r="R255" i="231"/>
  <c r="M255" i="231"/>
  <c r="H255" i="231"/>
  <c r="R254" i="231"/>
  <c r="M254" i="231"/>
  <c r="H254" i="231"/>
  <c r="Q253" i="231"/>
  <c r="P253" i="231"/>
  <c r="O253" i="231"/>
  <c r="L253" i="231"/>
  <c r="K253" i="231"/>
  <c r="J253" i="231"/>
  <c r="G253" i="231"/>
  <c r="F253" i="231"/>
  <c r="H253" i="231" s="1"/>
  <c r="E253" i="231"/>
  <c r="R252" i="231"/>
  <c r="M252" i="231"/>
  <c r="H252" i="231"/>
  <c r="R251" i="231"/>
  <c r="M251" i="231"/>
  <c r="H251" i="231"/>
  <c r="Q250" i="231"/>
  <c r="P250" i="231"/>
  <c r="O250" i="231"/>
  <c r="L250" i="231"/>
  <c r="K250" i="231"/>
  <c r="J250" i="231"/>
  <c r="G250" i="231"/>
  <c r="F250" i="231"/>
  <c r="F249" i="231" s="1"/>
  <c r="E250" i="231"/>
  <c r="R247" i="231"/>
  <c r="M247" i="231"/>
  <c r="H247" i="231"/>
  <c r="R246" i="231"/>
  <c r="M246" i="231"/>
  <c r="H246" i="231"/>
  <c r="R245" i="231"/>
  <c r="M245" i="231"/>
  <c r="H245" i="231"/>
  <c r="Q244" i="231"/>
  <c r="P244" i="231"/>
  <c r="O244" i="231"/>
  <c r="R244" i="231" s="1"/>
  <c r="L244" i="231"/>
  <c r="K244" i="231"/>
  <c r="J244" i="231"/>
  <c r="G244" i="231"/>
  <c r="F244" i="231"/>
  <c r="E244" i="231"/>
  <c r="R243" i="231"/>
  <c r="M243" i="231"/>
  <c r="H243" i="231"/>
  <c r="R242" i="231"/>
  <c r="M242" i="231"/>
  <c r="H242" i="231"/>
  <c r="R241" i="231"/>
  <c r="M241" i="231"/>
  <c r="H241" i="231"/>
  <c r="Q240" i="231"/>
  <c r="P240" i="231"/>
  <c r="O240" i="231"/>
  <c r="L240" i="231"/>
  <c r="K240" i="231"/>
  <c r="J240" i="231"/>
  <c r="G240" i="231"/>
  <c r="F240" i="231"/>
  <c r="E240" i="231"/>
  <c r="R239" i="231"/>
  <c r="M239" i="231"/>
  <c r="H239" i="231"/>
  <c r="R238" i="231"/>
  <c r="M238" i="231"/>
  <c r="H238" i="231"/>
  <c r="R237" i="231"/>
  <c r="M237" i="231"/>
  <c r="H237" i="231"/>
  <c r="Q236" i="231"/>
  <c r="Q234" i="231" s="1"/>
  <c r="P236" i="231"/>
  <c r="O236" i="231"/>
  <c r="L236" i="231"/>
  <c r="L234" i="231" s="1"/>
  <c r="L233" i="231" s="1"/>
  <c r="L231" i="231" s="1"/>
  <c r="K236" i="231"/>
  <c r="J236" i="231"/>
  <c r="G236" i="231"/>
  <c r="G234" i="231" s="1"/>
  <c r="F236" i="231"/>
  <c r="E236" i="231"/>
  <c r="R235" i="231"/>
  <c r="M235" i="231"/>
  <c r="H235" i="231"/>
  <c r="P234" i="231"/>
  <c r="K234" i="231"/>
  <c r="F234" i="231"/>
  <c r="F233" i="231" s="1"/>
  <c r="F231" i="231" s="1"/>
  <c r="P233" i="231"/>
  <c r="P231" i="231" s="1"/>
  <c r="R232" i="231"/>
  <c r="M232" i="231"/>
  <c r="H232" i="231"/>
  <c r="R230" i="231"/>
  <c r="M230" i="231"/>
  <c r="H230" i="231"/>
  <c r="R229" i="231"/>
  <c r="M229" i="231"/>
  <c r="H229" i="231"/>
  <c r="R228" i="231"/>
  <c r="M228" i="231"/>
  <c r="H228" i="231"/>
  <c r="Q227" i="231"/>
  <c r="P227" i="231"/>
  <c r="O227" i="231"/>
  <c r="L227" i="231"/>
  <c r="K227" i="231"/>
  <c r="M227" i="231" s="1"/>
  <c r="J227" i="231"/>
  <c r="G227" i="231"/>
  <c r="F227" i="231"/>
  <c r="E227" i="231"/>
  <c r="R226" i="231"/>
  <c r="M226" i="231"/>
  <c r="H226" i="231"/>
  <c r="R225" i="231"/>
  <c r="M225" i="231"/>
  <c r="H225" i="231"/>
  <c r="R224" i="231"/>
  <c r="M224" i="231"/>
  <c r="H224" i="231"/>
  <c r="Q223" i="231"/>
  <c r="P223" i="231"/>
  <c r="O223" i="231"/>
  <c r="L223" i="231"/>
  <c r="K223" i="231"/>
  <c r="J223" i="231"/>
  <c r="M223" i="231" s="1"/>
  <c r="G223" i="231"/>
  <c r="G216" i="231" s="1"/>
  <c r="G204" i="231" s="1"/>
  <c r="F223" i="231"/>
  <c r="E223" i="231"/>
  <c r="R222" i="231"/>
  <c r="M222" i="231"/>
  <c r="H222" i="231"/>
  <c r="R221" i="231"/>
  <c r="M221" i="231"/>
  <c r="H221" i="231"/>
  <c r="R220" i="231"/>
  <c r="M220" i="231"/>
  <c r="H220" i="231"/>
  <c r="Q219" i="231"/>
  <c r="P219" i="231"/>
  <c r="P217" i="231" s="1"/>
  <c r="O219" i="231"/>
  <c r="L219" i="231"/>
  <c r="L217" i="231" s="1"/>
  <c r="K219" i="231"/>
  <c r="K217" i="231" s="1"/>
  <c r="K216" i="231" s="1"/>
  <c r="J219" i="231"/>
  <c r="G219" i="231"/>
  <c r="F219" i="231"/>
  <c r="F217" i="231" s="1"/>
  <c r="F216" i="231" s="1"/>
  <c r="E219" i="231"/>
  <c r="E217" i="231" s="1"/>
  <c r="R218" i="231"/>
  <c r="M218" i="231"/>
  <c r="H218" i="231"/>
  <c r="Q217" i="231"/>
  <c r="O217" i="231"/>
  <c r="J217" i="231"/>
  <c r="G217" i="231"/>
  <c r="L216" i="231"/>
  <c r="J216" i="231"/>
  <c r="M216" i="231" s="1"/>
  <c r="R215" i="231"/>
  <c r="M215" i="231"/>
  <c r="H215" i="231"/>
  <c r="R214" i="231"/>
  <c r="M214" i="231"/>
  <c r="H214" i="231"/>
  <c r="Q213" i="231"/>
  <c r="P213" i="231"/>
  <c r="O213" i="231"/>
  <c r="L213" i="231"/>
  <c r="K213" i="231"/>
  <c r="J213" i="231"/>
  <c r="G213" i="231"/>
  <c r="F213" i="231"/>
  <c r="E213" i="231"/>
  <c r="H213" i="231" s="1"/>
  <c r="R212" i="231"/>
  <c r="M212" i="231"/>
  <c r="H212" i="231"/>
  <c r="R211" i="231"/>
  <c r="M211" i="231"/>
  <c r="H211" i="231"/>
  <c r="Q210" i="231"/>
  <c r="P210" i="231"/>
  <c r="O210" i="231"/>
  <c r="L210" i="231"/>
  <c r="K210" i="231"/>
  <c r="J210" i="231"/>
  <c r="M210" i="231" s="1"/>
  <c r="G210" i="231"/>
  <c r="F210" i="231"/>
  <c r="E210" i="231"/>
  <c r="H210" i="231" s="1"/>
  <c r="R209" i="231"/>
  <c r="M209" i="231"/>
  <c r="H209" i="231"/>
  <c r="R208" i="231"/>
  <c r="M208" i="231"/>
  <c r="H208" i="231"/>
  <c r="R207" i="231"/>
  <c r="M207" i="231"/>
  <c r="H207" i="231"/>
  <c r="R206" i="231"/>
  <c r="M206" i="231"/>
  <c r="H206" i="231"/>
  <c r="Q205" i="231"/>
  <c r="P205" i="231"/>
  <c r="O205" i="231"/>
  <c r="L205" i="231"/>
  <c r="K205" i="231"/>
  <c r="J205" i="231"/>
  <c r="G205" i="231"/>
  <c r="F205" i="231"/>
  <c r="E205" i="231"/>
  <c r="H205" i="231" s="1"/>
  <c r="R202" i="231"/>
  <c r="M202" i="231"/>
  <c r="H202" i="231"/>
  <c r="R201" i="231"/>
  <c r="M201" i="231"/>
  <c r="H201" i="231"/>
  <c r="Q200" i="231"/>
  <c r="P200" i="231"/>
  <c r="O200" i="231"/>
  <c r="R200" i="231" s="1"/>
  <c r="L200" i="231"/>
  <c r="K200" i="231"/>
  <c r="J200" i="231"/>
  <c r="G200" i="231"/>
  <c r="F200" i="231"/>
  <c r="E200" i="231"/>
  <c r="R199" i="231"/>
  <c r="M199" i="231"/>
  <c r="H199" i="231"/>
  <c r="R198" i="231"/>
  <c r="M198" i="231"/>
  <c r="H198" i="231"/>
  <c r="R197" i="231"/>
  <c r="M197" i="231"/>
  <c r="H197" i="231"/>
  <c r="R196" i="231"/>
  <c r="M196" i="231"/>
  <c r="H196" i="231"/>
  <c r="Q195" i="231"/>
  <c r="Q194" i="231" s="1"/>
  <c r="P195" i="231"/>
  <c r="P194" i="231" s="1"/>
  <c r="O195" i="231"/>
  <c r="L195" i="231"/>
  <c r="L194" i="231" s="1"/>
  <c r="K195" i="231"/>
  <c r="J195" i="231"/>
  <c r="G195" i="231"/>
  <c r="G194" i="231" s="1"/>
  <c r="F195" i="231"/>
  <c r="E195" i="231"/>
  <c r="C195" i="231"/>
  <c r="K194" i="231"/>
  <c r="F194" i="231"/>
  <c r="C194" i="231"/>
  <c r="R193" i="231"/>
  <c r="M193" i="231"/>
  <c r="H193" i="231"/>
  <c r="R192" i="231"/>
  <c r="M192" i="231"/>
  <c r="H192" i="231"/>
  <c r="R191" i="231"/>
  <c r="M191" i="231"/>
  <c r="H191" i="231"/>
  <c r="Q190" i="231"/>
  <c r="P190" i="231"/>
  <c r="O190" i="231"/>
  <c r="O189" i="231" s="1"/>
  <c r="L190" i="231"/>
  <c r="L189" i="231" s="1"/>
  <c r="K190" i="231"/>
  <c r="J190" i="231"/>
  <c r="G190" i="231"/>
  <c r="F190" i="231"/>
  <c r="E190" i="231"/>
  <c r="Q189" i="231"/>
  <c r="P189" i="231"/>
  <c r="P182" i="231" s="1"/>
  <c r="P178" i="231" s="1"/>
  <c r="K189" i="231"/>
  <c r="J189" i="231"/>
  <c r="G189" i="231"/>
  <c r="E189" i="231"/>
  <c r="R188" i="231"/>
  <c r="M188" i="231"/>
  <c r="H188" i="231"/>
  <c r="R187" i="231"/>
  <c r="M187" i="231"/>
  <c r="H187" i="231"/>
  <c r="R186" i="231"/>
  <c r="M186" i="231"/>
  <c r="H186" i="231"/>
  <c r="Q185" i="231"/>
  <c r="Q184" i="231" s="1"/>
  <c r="Q183" i="231" s="1"/>
  <c r="Q182" i="231" s="1"/>
  <c r="Q178" i="231" s="1"/>
  <c r="P185" i="231"/>
  <c r="O185" i="231"/>
  <c r="L185" i="231"/>
  <c r="L184" i="231" s="1"/>
  <c r="L183" i="231" s="1"/>
  <c r="L182" i="231" s="1"/>
  <c r="L178" i="231" s="1"/>
  <c r="K185" i="231"/>
  <c r="K184" i="231" s="1"/>
  <c r="K183" i="231" s="1"/>
  <c r="J185" i="231"/>
  <c r="G185" i="231"/>
  <c r="G184" i="231" s="1"/>
  <c r="G183" i="231" s="1"/>
  <c r="F185" i="231"/>
  <c r="F184" i="231" s="1"/>
  <c r="F183" i="231" s="1"/>
  <c r="E185" i="231"/>
  <c r="H185" i="231" s="1"/>
  <c r="P184" i="231"/>
  <c r="J184" i="231"/>
  <c r="P183" i="231"/>
  <c r="R181" i="231"/>
  <c r="M181" i="231"/>
  <c r="H181" i="231"/>
  <c r="R180" i="231"/>
  <c r="M180" i="231"/>
  <c r="H180" i="231"/>
  <c r="R179" i="231"/>
  <c r="M179" i="231"/>
  <c r="H179" i="231"/>
  <c r="R177" i="231"/>
  <c r="M177" i="231"/>
  <c r="H177" i="231"/>
  <c r="R176" i="231"/>
  <c r="M176" i="231"/>
  <c r="H176" i="231"/>
  <c r="R175" i="231"/>
  <c r="M175" i="231"/>
  <c r="H175" i="231"/>
  <c r="R174" i="231"/>
  <c r="M174" i="231"/>
  <c r="H174" i="231"/>
  <c r="Q173" i="231"/>
  <c r="P173" i="231"/>
  <c r="O173" i="231"/>
  <c r="L173" i="231"/>
  <c r="K173" i="231"/>
  <c r="J173" i="231"/>
  <c r="G173" i="231"/>
  <c r="F173" i="231"/>
  <c r="F165" i="231" s="1"/>
  <c r="E173" i="231"/>
  <c r="R172" i="231"/>
  <c r="M172" i="231"/>
  <c r="H172" i="231"/>
  <c r="R171" i="231"/>
  <c r="M171" i="231"/>
  <c r="H171" i="231"/>
  <c r="R170" i="231"/>
  <c r="M170" i="231"/>
  <c r="H170" i="231"/>
  <c r="Q169" i="231"/>
  <c r="P169" i="231"/>
  <c r="O169" i="231"/>
  <c r="L169" i="231"/>
  <c r="K169" i="231"/>
  <c r="J169" i="231"/>
  <c r="M169" i="231" s="1"/>
  <c r="G169" i="231"/>
  <c r="F169" i="231"/>
  <c r="E169" i="231"/>
  <c r="R168" i="231"/>
  <c r="M168" i="231"/>
  <c r="H168" i="231"/>
  <c r="R167" i="231"/>
  <c r="M167" i="231"/>
  <c r="H167" i="231"/>
  <c r="Q166" i="231"/>
  <c r="P166" i="231"/>
  <c r="O166" i="231"/>
  <c r="R166" i="231" s="1"/>
  <c r="L166" i="231"/>
  <c r="K166" i="231"/>
  <c r="J166" i="231"/>
  <c r="M166" i="231" s="1"/>
  <c r="G166" i="231"/>
  <c r="G165" i="231" s="1"/>
  <c r="F166" i="231"/>
  <c r="E166" i="231"/>
  <c r="J165" i="231"/>
  <c r="R163" i="231"/>
  <c r="M163" i="231"/>
  <c r="H163" i="231"/>
  <c r="R162" i="231"/>
  <c r="M162" i="231"/>
  <c r="H162" i="231"/>
  <c r="R161" i="231"/>
  <c r="M161" i="231"/>
  <c r="H161" i="231"/>
  <c r="Q160" i="231"/>
  <c r="P160" i="231"/>
  <c r="R160" i="231" s="1"/>
  <c r="O160" i="231"/>
  <c r="L160" i="231"/>
  <c r="K160" i="231"/>
  <c r="J160" i="231"/>
  <c r="G160" i="231"/>
  <c r="F160" i="231"/>
  <c r="E160" i="231"/>
  <c r="R159" i="231"/>
  <c r="M159" i="231"/>
  <c r="H159" i="231"/>
  <c r="R158" i="231"/>
  <c r="M158" i="231"/>
  <c r="H158" i="231"/>
  <c r="R157" i="231"/>
  <c r="M157" i="231"/>
  <c r="H157" i="231"/>
  <c r="Q156" i="231"/>
  <c r="P156" i="231"/>
  <c r="O156" i="231"/>
  <c r="R156" i="231" s="1"/>
  <c r="L156" i="231"/>
  <c r="K156" i="231"/>
  <c r="J156" i="231"/>
  <c r="G156" i="231"/>
  <c r="F156" i="231"/>
  <c r="E156" i="231"/>
  <c r="R155" i="231"/>
  <c r="M155" i="231"/>
  <c r="H155" i="231"/>
  <c r="R154" i="231"/>
  <c r="M154" i="231"/>
  <c r="H154" i="231"/>
  <c r="R153" i="231"/>
  <c r="M153" i="231"/>
  <c r="H153" i="231"/>
  <c r="Q152" i="231"/>
  <c r="P152" i="231"/>
  <c r="P150" i="231" s="1"/>
  <c r="O152" i="231"/>
  <c r="L152" i="231"/>
  <c r="K152" i="231"/>
  <c r="K150" i="231" s="1"/>
  <c r="J152" i="231"/>
  <c r="J150" i="231" s="1"/>
  <c r="G152" i="231"/>
  <c r="F152" i="231"/>
  <c r="F150" i="231" s="1"/>
  <c r="E152" i="231"/>
  <c r="R151" i="231"/>
  <c r="M151" i="231"/>
  <c r="H151" i="231"/>
  <c r="Q150" i="231"/>
  <c r="Q149" i="231" s="1"/>
  <c r="Q147" i="231" s="1"/>
  <c r="O150" i="231"/>
  <c r="O149" i="231" s="1"/>
  <c r="L150" i="231"/>
  <c r="G150" i="231"/>
  <c r="E150" i="231"/>
  <c r="E149" i="231" s="1"/>
  <c r="L149" i="231"/>
  <c r="L147" i="231" s="1"/>
  <c r="G149" i="231"/>
  <c r="G147" i="231" s="1"/>
  <c r="R148" i="231"/>
  <c r="M148" i="231"/>
  <c r="H148" i="231"/>
  <c r="R146" i="231"/>
  <c r="M146" i="231"/>
  <c r="H146" i="231"/>
  <c r="R145" i="231"/>
  <c r="M145" i="231"/>
  <c r="H145" i="231"/>
  <c r="R144" i="231"/>
  <c r="M144" i="231"/>
  <c r="H144" i="231"/>
  <c r="Q143" i="231"/>
  <c r="P143" i="231"/>
  <c r="O143" i="231"/>
  <c r="R143" i="231" s="1"/>
  <c r="L143" i="231"/>
  <c r="K143" i="231"/>
  <c r="J143" i="231"/>
  <c r="M143" i="231" s="1"/>
  <c r="G143" i="231"/>
  <c r="F143" i="231"/>
  <c r="E143" i="231"/>
  <c r="R142" i="231"/>
  <c r="M142" i="231"/>
  <c r="H142" i="231"/>
  <c r="R141" i="231"/>
  <c r="M141" i="231"/>
  <c r="H141" i="231"/>
  <c r="R140" i="231"/>
  <c r="M140" i="231"/>
  <c r="H140" i="231"/>
  <c r="Q139" i="231"/>
  <c r="P139" i="231"/>
  <c r="O139" i="231"/>
  <c r="L139" i="231"/>
  <c r="K139" i="231"/>
  <c r="M139" i="231" s="1"/>
  <c r="J139" i="231"/>
  <c r="G139" i="231"/>
  <c r="F139" i="231"/>
  <c r="E139" i="231"/>
  <c r="R138" i="231"/>
  <c r="M138" i="231"/>
  <c r="H138" i="231"/>
  <c r="R137" i="231"/>
  <c r="M137" i="231"/>
  <c r="H137" i="231"/>
  <c r="R136" i="231"/>
  <c r="M136" i="231"/>
  <c r="H136" i="231"/>
  <c r="Q135" i="231"/>
  <c r="Q133" i="231" s="1"/>
  <c r="P135" i="231"/>
  <c r="P133" i="231" s="1"/>
  <c r="P132" i="231" s="1"/>
  <c r="O135" i="231"/>
  <c r="L135" i="231"/>
  <c r="L133" i="231" s="1"/>
  <c r="K135" i="231"/>
  <c r="J135" i="231"/>
  <c r="G135" i="231"/>
  <c r="G133" i="231" s="1"/>
  <c r="F135" i="231"/>
  <c r="E135" i="231"/>
  <c r="R134" i="231"/>
  <c r="M134" i="231"/>
  <c r="H134" i="231"/>
  <c r="K133" i="231"/>
  <c r="F133" i="231"/>
  <c r="F132" i="231"/>
  <c r="R131" i="231"/>
  <c r="M131" i="231"/>
  <c r="H131" i="231"/>
  <c r="R130" i="231"/>
  <c r="M130" i="231"/>
  <c r="H130" i="231"/>
  <c r="Q129" i="231"/>
  <c r="P129" i="231"/>
  <c r="O129" i="231"/>
  <c r="L129" i="231"/>
  <c r="K129" i="231"/>
  <c r="J129" i="231"/>
  <c r="G129" i="231"/>
  <c r="F129" i="231"/>
  <c r="E129" i="231"/>
  <c r="R128" i="231"/>
  <c r="M128" i="231"/>
  <c r="H128" i="231"/>
  <c r="R127" i="231"/>
  <c r="M127" i="231"/>
  <c r="H127" i="231"/>
  <c r="Q126" i="231"/>
  <c r="P126" i="231"/>
  <c r="O126" i="231"/>
  <c r="L126" i="231"/>
  <c r="K126" i="231"/>
  <c r="J126" i="231"/>
  <c r="G126" i="231"/>
  <c r="F126" i="231"/>
  <c r="E126" i="231"/>
  <c r="R125" i="231"/>
  <c r="M125" i="231"/>
  <c r="H125" i="231"/>
  <c r="R124" i="231"/>
  <c r="M124" i="231"/>
  <c r="H124" i="231"/>
  <c r="R123" i="231"/>
  <c r="M123" i="231"/>
  <c r="H123" i="231"/>
  <c r="R122" i="231"/>
  <c r="M122" i="231"/>
  <c r="H122" i="231"/>
  <c r="Q121" i="231"/>
  <c r="P121" i="231"/>
  <c r="O121" i="231"/>
  <c r="L121" i="231"/>
  <c r="K121" i="231"/>
  <c r="J121" i="231"/>
  <c r="G121" i="231"/>
  <c r="F121" i="231"/>
  <c r="E121" i="231"/>
  <c r="P120" i="231"/>
  <c r="R118" i="231"/>
  <c r="M118" i="231"/>
  <c r="H118" i="231"/>
  <c r="R117" i="231"/>
  <c r="M117" i="231"/>
  <c r="H117" i="231"/>
  <c r="Q116" i="231"/>
  <c r="P116" i="231"/>
  <c r="O116" i="231"/>
  <c r="L116" i="231"/>
  <c r="K116" i="231"/>
  <c r="M116" i="231" s="1"/>
  <c r="J116" i="231"/>
  <c r="G116" i="231"/>
  <c r="F116" i="231"/>
  <c r="E116" i="231"/>
  <c r="R115" i="231"/>
  <c r="M115" i="231"/>
  <c r="H115" i="231"/>
  <c r="R114" i="231"/>
  <c r="M114" i="231"/>
  <c r="H114" i="231"/>
  <c r="R113" i="231"/>
  <c r="M113" i="231"/>
  <c r="H113" i="231"/>
  <c r="R112" i="231"/>
  <c r="M112" i="231"/>
  <c r="H112" i="231"/>
  <c r="Q111" i="231"/>
  <c r="P111" i="231"/>
  <c r="P110" i="231" s="1"/>
  <c r="O111" i="231"/>
  <c r="L111" i="231"/>
  <c r="L110" i="231" s="1"/>
  <c r="K111" i="231"/>
  <c r="K110" i="231" s="1"/>
  <c r="J111" i="231"/>
  <c r="G111" i="231"/>
  <c r="G110" i="231" s="1"/>
  <c r="F111" i="231"/>
  <c r="F110" i="231" s="1"/>
  <c r="E111" i="231"/>
  <c r="C111" i="231"/>
  <c r="C110" i="231" s="1"/>
  <c r="Q110" i="231"/>
  <c r="O110" i="231"/>
  <c r="J110" i="231"/>
  <c r="E110" i="231"/>
  <c r="R109" i="231"/>
  <c r="M109" i="231"/>
  <c r="H109" i="231"/>
  <c r="R108" i="231"/>
  <c r="M108" i="231"/>
  <c r="H108" i="231"/>
  <c r="R107" i="231"/>
  <c r="M107" i="231"/>
  <c r="H107" i="231"/>
  <c r="Q106" i="231"/>
  <c r="P106" i="231"/>
  <c r="O106" i="231"/>
  <c r="L106" i="231"/>
  <c r="L105" i="231" s="1"/>
  <c r="K106" i="231"/>
  <c r="J106" i="231"/>
  <c r="M106" i="231" s="1"/>
  <c r="G106" i="231"/>
  <c r="F106" i="231"/>
  <c r="E106" i="231"/>
  <c r="Q105" i="231"/>
  <c r="P105" i="231"/>
  <c r="K105" i="231"/>
  <c r="G105" i="231"/>
  <c r="G98" i="231" s="1"/>
  <c r="G94" i="231" s="1"/>
  <c r="F105" i="231"/>
  <c r="E105" i="231"/>
  <c r="R104" i="231"/>
  <c r="M104" i="231"/>
  <c r="H104" i="231"/>
  <c r="R103" i="231"/>
  <c r="M103" i="231"/>
  <c r="H103" i="231"/>
  <c r="R102" i="231"/>
  <c r="M102" i="231"/>
  <c r="H102" i="231"/>
  <c r="Q101" i="231"/>
  <c r="Q100" i="231" s="1"/>
  <c r="Q99" i="231" s="1"/>
  <c r="P101" i="231"/>
  <c r="O101" i="231"/>
  <c r="L101" i="231"/>
  <c r="K101" i="231"/>
  <c r="M101" i="231" s="1"/>
  <c r="J101" i="231"/>
  <c r="J100" i="231" s="1"/>
  <c r="J99" i="231" s="1"/>
  <c r="G101" i="231"/>
  <c r="F101" i="231"/>
  <c r="E101" i="231"/>
  <c r="E100" i="231" s="1"/>
  <c r="E99" i="231" s="1"/>
  <c r="O100" i="231"/>
  <c r="L100" i="231"/>
  <c r="L99" i="231" s="1"/>
  <c r="K100" i="231"/>
  <c r="G100" i="231"/>
  <c r="F100" i="231"/>
  <c r="O99" i="231"/>
  <c r="G99" i="231"/>
  <c r="F99" i="231"/>
  <c r="F98" i="231" s="1"/>
  <c r="F94" i="231" s="1"/>
  <c r="R97" i="231"/>
  <c r="M97" i="231"/>
  <c r="H97" i="231"/>
  <c r="R96" i="231"/>
  <c r="M96" i="231"/>
  <c r="H96" i="231"/>
  <c r="R95" i="231"/>
  <c r="M95" i="231"/>
  <c r="H95" i="231"/>
  <c r="R93" i="231"/>
  <c r="M93" i="231"/>
  <c r="H93" i="231"/>
  <c r="R92" i="231"/>
  <c r="M92" i="231"/>
  <c r="H92" i="231"/>
  <c r="R91" i="231"/>
  <c r="M91" i="231"/>
  <c r="H91" i="231"/>
  <c r="R90" i="231"/>
  <c r="M90" i="231"/>
  <c r="H90" i="231"/>
  <c r="Q89" i="231"/>
  <c r="P89" i="231"/>
  <c r="P81" i="231" s="1"/>
  <c r="O89" i="231"/>
  <c r="L89" i="231"/>
  <c r="K89" i="231"/>
  <c r="J89" i="231"/>
  <c r="G89" i="231"/>
  <c r="F89" i="231"/>
  <c r="E89" i="231"/>
  <c r="R88" i="231"/>
  <c r="M88" i="231"/>
  <c r="H88" i="231"/>
  <c r="R87" i="231"/>
  <c r="M87" i="231"/>
  <c r="H87" i="231"/>
  <c r="R86" i="231"/>
  <c r="M86" i="231"/>
  <c r="H86" i="231"/>
  <c r="Q85" i="231"/>
  <c r="P85" i="231"/>
  <c r="O85" i="231"/>
  <c r="L85" i="231"/>
  <c r="K85" i="231"/>
  <c r="J85" i="231"/>
  <c r="G85" i="231"/>
  <c r="F85" i="231"/>
  <c r="H85" i="231" s="1"/>
  <c r="E85" i="231"/>
  <c r="R84" i="231"/>
  <c r="M84" i="231"/>
  <c r="H84" i="231"/>
  <c r="R83" i="231"/>
  <c r="M83" i="231"/>
  <c r="H83" i="231"/>
  <c r="Q82" i="231"/>
  <c r="P82" i="231"/>
  <c r="O82" i="231"/>
  <c r="L82" i="231"/>
  <c r="K82" i="231"/>
  <c r="J82" i="231"/>
  <c r="G82" i="231"/>
  <c r="F82" i="231"/>
  <c r="E82" i="231"/>
  <c r="F81" i="231"/>
  <c r="R79" i="231"/>
  <c r="M79" i="231"/>
  <c r="H79" i="231"/>
  <c r="R78" i="231"/>
  <c r="M78" i="231"/>
  <c r="H78" i="231"/>
  <c r="R77" i="231"/>
  <c r="M77" i="231"/>
  <c r="H77" i="231"/>
  <c r="Q76" i="231"/>
  <c r="P76" i="231"/>
  <c r="O76" i="231"/>
  <c r="R76" i="231" s="1"/>
  <c r="L76" i="231"/>
  <c r="K76" i="231"/>
  <c r="J76" i="231"/>
  <c r="G76" i="231"/>
  <c r="F76" i="231"/>
  <c r="E76" i="231"/>
  <c r="R75" i="231"/>
  <c r="M75" i="231"/>
  <c r="H75" i="231"/>
  <c r="R74" i="231"/>
  <c r="M74" i="231"/>
  <c r="H74" i="231"/>
  <c r="R73" i="231"/>
  <c r="M73" i="231"/>
  <c r="H73" i="231"/>
  <c r="Q72" i="231"/>
  <c r="P72" i="231"/>
  <c r="R72" i="231" s="1"/>
  <c r="O72" i="231"/>
  <c r="L72" i="231"/>
  <c r="K72" i="231"/>
  <c r="J72" i="231"/>
  <c r="G72" i="231"/>
  <c r="F72" i="231"/>
  <c r="E72" i="231"/>
  <c r="R71" i="231"/>
  <c r="M71" i="231"/>
  <c r="H71" i="231"/>
  <c r="R70" i="231"/>
  <c r="M70" i="231"/>
  <c r="H70" i="231"/>
  <c r="R69" i="231"/>
  <c r="M69" i="231"/>
  <c r="H69" i="231"/>
  <c r="Q68" i="231"/>
  <c r="Q66" i="231" s="1"/>
  <c r="P68" i="231"/>
  <c r="O68" i="231"/>
  <c r="L68" i="231"/>
  <c r="L66" i="231" s="1"/>
  <c r="L65" i="231" s="1"/>
  <c r="L63" i="231" s="1"/>
  <c r="K68" i="231"/>
  <c r="J68" i="231"/>
  <c r="G68" i="231"/>
  <c r="G66" i="231" s="1"/>
  <c r="F68" i="231"/>
  <c r="F66" i="231" s="1"/>
  <c r="F65" i="231" s="1"/>
  <c r="F63" i="231" s="1"/>
  <c r="E68" i="231"/>
  <c r="R67" i="231"/>
  <c r="M67" i="231"/>
  <c r="H67" i="231"/>
  <c r="P66" i="231"/>
  <c r="K66" i="231"/>
  <c r="P65" i="231"/>
  <c r="P63" i="231" s="1"/>
  <c r="R64" i="231"/>
  <c r="M64" i="231"/>
  <c r="H64" i="231"/>
  <c r="R62" i="231"/>
  <c r="M62" i="231"/>
  <c r="H62" i="231"/>
  <c r="R61" i="231"/>
  <c r="M61" i="231"/>
  <c r="H61" i="231"/>
  <c r="R60" i="231"/>
  <c r="M60" i="231"/>
  <c r="H60" i="231"/>
  <c r="Q59" i="231"/>
  <c r="P59" i="231"/>
  <c r="O59" i="231"/>
  <c r="L59" i="231"/>
  <c r="K59" i="231"/>
  <c r="J59" i="231"/>
  <c r="G59" i="231"/>
  <c r="F59" i="231"/>
  <c r="H59" i="231" s="1"/>
  <c r="E59" i="231"/>
  <c r="R58" i="231"/>
  <c r="M58" i="231"/>
  <c r="H58" i="231"/>
  <c r="R57" i="231"/>
  <c r="M57" i="231"/>
  <c r="H57" i="231"/>
  <c r="R56" i="231"/>
  <c r="M56" i="231"/>
  <c r="H56" i="231"/>
  <c r="Q55" i="231"/>
  <c r="P55" i="231"/>
  <c r="O55" i="231"/>
  <c r="L55" i="231"/>
  <c r="K55" i="231"/>
  <c r="J55" i="231"/>
  <c r="M55" i="231" s="1"/>
  <c r="G55" i="231"/>
  <c r="F55" i="231"/>
  <c r="E55" i="231"/>
  <c r="R54" i="231"/>
  <c r="M54" i="231"/>
  <c r="H54" i="231"/>
  <c r="R53" i="231"/>
  <c r="M53" i="231"/>
  <c r="H53" i="231"/>
  <c r="R52" i="231"/>
  <c r="M52" i="231"/>
  <c r="H52" i="231"/>
  <c r="Q51" i="231"/>
  <c r="P51" i="231"/>
  <c r="P49" i="231" s="1"/>
  <c r="O51" i="231"/>
  <c r="O49" i="231" s="1"/>
  <c r="L51" i="231"/>
  <c r="L49" i="231" s="1"/>
  <c r="K51" i="231"/>
  <c r="K49" i="231" s="1"/>
  <c r="K48" i="231" s="1"/>
  <c r="J51" i="231"/>
  <c r="G51" i="231"/>
  <c r="F51" i="231"/>
  <c r="F49" i="231" s="1"/>
  <c r="F48" i="231" s="1"/>
  <c r="F36" i="231" s="1"/>
  <c r="E51" i="231"/>
  <c r="E49" i="231" s="1"/>
  <c r="R50" i="231"/>
  <c r="M50" i="231"/>
  <c r="H50" i="231"/>
  <c r="Q49" i="231"/>
  <c r="J49" i="231"/>
  <c r="J48" i="231" s="1"/>
  <c r="M48" i="231" s="1"/>
  <c r="G49" i="231"/>
  <c r="L48" i="231"/>
  <c r="R47" i="231"/>
  <c r="M47" i="231"/>
  <c r="H47" i="231"/>
  <c r="R46" i="231"/>
  <c r="M46" i="231"/>
  <c r="H46" i="231"/>
  <c r="Q45" i="231"/>
  <c r="P45" i="231"/>
  <c r="O45" i="231"/>
  <c r="L45" i="231"/>
  <c r="K45" i="231"/>
  <c r="J45" i="231"/>
  <c r="G45" i="231"/>
  <c r="F45" i="231"/>
  <c r="E45" i="231"/>
  <c r="H45" i="231" s="1"/>
  <c r="R44" i="231"/>
  <c r="M44" i="231"/>
  <c r="H44" i="231"/>
  <c r="R43" i="231"/>
  <c r="M43" i="231"/>
  <c r="H43" i="231"/>
  <c r="Q42" i="231"/>
  <c r="P42" i="231"/>
  <c r="O42" i="231"/>
  <c r="L42" i="231"/>
  <c r="K42" i="231"/>
  <c r="J42" i="231"/>
  <c r="M42" i="231" s="1"/>
  <c r="G42" i="231"/>
  <c r="F42" i="231"/>
  <c r="E42" i="231"/>
  <c r="H42" i="231" s="1"/>
  <c r="R41" i="231"/>
  <c r="M41" i="231"/>
  <c r="H41" i="231"/>
  <c r="R40" i="231"/>
  <c r="M40" i="231"/>
  <c r="H40" i="231"/>
  <c r="R39" i="231"/>
  <c r="M39" i="231"/>
  <c r="H39" i="231"/>
  <c r="R38" i="231"/>
  <c r="M38" i="231"/>
  <c r="H38" i="231"/>
  <c r="Q37" i="231"/>
  <c r="P37" i="231"/>
  <c r="O37" i="231"/>
  <c r="L37" i="231"/>
  <c r="K37" i="231"/>
  <c r="J37" i="231"/>
  <c r="G37" i="231"/>
  <c r="F37" i="231"/>
  <c r="E37" i="231"/>
  <c r="H37" i="231" s="1"/>
  <c r="R34" i="231"/>
  <c r="M34" i="231"/>
  <c r="H34" i="231"/>
  <c r="R33" i="231"/>
  <c r="M33" i="231"/>
  <c r="H33" i="231"/>
  <c r="Q32" i="231"/>
  <c r="P32" i="231"/>
  <c r="O32" i="231"/>
  <c r="L32" i="231"/>
  <c r="K32" i="231"/>
  <c r="J32" i="231"/>
  <c r="G32" i="231"/>
  <c r="F32" i="231"/>
  <c r="E32" i="231"/>
  <c r="R31" i="231"/>
  <c r="M31" i="231"/>
  <c r="H31" i="231"/>
  <c r="R30" i="231"/>
  <c r="M30" i="231"/>
  <c r="H30" i="231"/>
  <c r="R29" i="231"/>
  <c r="M29" i="231"/>
  <c r="H29" i="231"/>
  <c r="R28" i="231"/>
  <c r="M28" i="231"/>
  <c r="H28" i="231"/>
  <c r="Q27" i="231"/>
  <c r="Q26" i="231" s="1"/>
  <c r="P27" i="231"/>
  <c r="O27" i="231"/>
  <c r="R27" i="231" s="1"/>
  <c r="L27" i="231"/>
  <c r="L26" i="231" s="1"/>
  <c r="K27" i="231"/>
  <c r="J27" i="231"/>
  <c r="G27" i="231"/>
  <c r="G26" i="231" s="1"/>
  <c r="F27" i="231"/>
  <c r="F26" i="231" s="1"/>
  <c r="E27" i="231"/>
  <c r="C27" i="231"/>
  <c r="P26" i="231"/>
  <c r="K26" i="231"/>
  <c r="C26" i="231"/>
  <c r="R25" i="231"/>
  <c r="M25" i="231"/>
  <c r="H25" i="231"/>
  <c r="R24" i="231"/>
  <c r="M24" i="231"/>
  <c r="H24" i="231"/>
  <c r="R23" i="231"/>
  <c r="M23" i="231"/>
  <c r="H23" i="231"/>
  <c r="Q22" i="231"/>
  <c r="Q21" i="231" s="1"/>
  <c r="P22" i="231"/>
  <c r="O22" i="231"/>
  <c r="L22" i="231"/>
  <c r="K22" i="231"/>
  <c r="J22" i="231"/>
  <c r="G22" i="231"/>
  <c r="F22" i="231"/>
  <c r="E22" i="231"/>
  <c r="E21" i="231" s="1"/>
  <c r="P21" i="231"/>
  <c r="O21" i="231"/>
  <c r="L21" i="231"/>
  <c r="J21" i="231"/>
  <c r="G21" i="231"/>
  <c r="R20" i="231"/>
  <c r="M20" i="231"/>
  <c r="H20" i="231"/>
  <c r="R19" i="231"/>
  <c r="M19" i="231"/>
  <c r="H19" i="231"/>
  <c r="R18" i="231"/>
  <c r="M18" i="231"/>
  <c r="H18" i="231"/>
  <c r="Q17" i="231"/>
  <c r="Q16" i="231" s="1"/>
  <c r="Q15" i="231" s="1"/>
  <c r="Q14" i="231" s="1"/>
  <c r="Q10" i="231" s="1"/>
  <c r="P17" i="231"/>
  <c r="P16" i="231" s="1"/>
  <c r="P15" i="231" s="1"/>
  <c r="O17" i="231"/>
  <c r="L17" i="231"/>
  <c r="K17" i="231"/>
  <c r="J17" i="231"/>
  <c r="G17" i="231"/>
  <c r="F17" i="231"/>
  <c r="E17" i="231"/>
  <c r="H17" i="231" s="1"/>
  <c r="O16" i="231"/>
  <c r="L16" i="231"/>
  <c r="L15" i="231" s="1"/>
  <c r="L14" i="231" s="1"/>
  <c r="L10" i="231" s="1"/>
  <c r="K16" i="231"/>
  <c r="K15" i="231" s="1"/>
  <c r="G16" i="231"/>
  <c r="F16" i="231"/>
  <c r="O15" i="231"/>
  <c r="G15" i="231"/>
  <c r="G14" i="231" s="1"/>
  <c r="G10" i="231" s="1"/>
  <c r="F15" i="231"/>
  <c r="R13" i="231"/>
  <c r="M13" i="231"/>
  <c r="H13" i="231"/>
  <c r="R12" i="231"/>
  <c r="M12" i="231"/>
  <c r="H12" i="231"/>
  <c r="R11" i="231"/>
  <c r="M11" i="231"/>
  <c r="H11" i="231"/>
  <c r="R260" i="233"/>
  <c r="M260" i="233"/>
  <c r="H260" i="233"/>
  <c r="R259" i="233"/>
  <c r="M259" i="233"/>
  <c r="H259" i="233"/>
  <c r="R258" i="233"/>
  <c r="M258" i="233"/>
  <c r="H258" i="233"/>
  <c r="Q257" i="233"/>
  <c r="P257" i="233"/>
  <c r="O257" i="233"/>
  <c r="L257" i="233"/>
  <c r="K257" i="233"/>
  <c r="J257" i="233"/>
  <c r="G257" i="233"/>
  <c r="G249" i="233" s="1"/>
  <c r="F257" i="233"/>
  <c r="E257" i="233"/>
  <c r="R256" i="233"/>
  <c r="M256" i="233"/>
  <c r="H256" i="233"/>
  <c r="R255" i="233"/>
  <c r="M255" i="233"/>
  <c r="H255" i="233"/>
  <c r="R254" i="233"/>
  <c r="M254" i="233"/>
  <c r="H254" i="233"/>
  <c r="Q253" i="233"/>
  <c r="P253" i="233"/>
  <c r="O253" i="233"/>
  <c r="L253" i="233"/>
  <c r="K253" i="233"/>
  <c r="J253" i="233"/>
  <c r="G253" i="233"/>
  <c r="F253" i="233"/>
  <c r="E253" i="233"/>
  <c r="H253" i="233" s="1"/>
  <c r="R252" i="233"/>
  <c r="M252" i="233"/>
  <c r="H252" i="233"/>
  <c r="R251" i="233"/>
  <c r="M251" i="233"/>
  <c r="H251" i="233"/>
  <c r="Q250" i="233"/>
  <c r="P250" i="233"/>
  <c r="P249" i="233" s="1"/>
  <c r="O250" i="233"/>
  <c r="L250" i="233"/>
  <c r="K250" i="233"/>
  <c r="K249" i="233" s="1"/>
  <c r="J250" i="233"/>
  <c r="G250" i="233"/>
  <c r="F250" i="233"/>
  <c r="E250" i="233"/>
  <c r="H250" i="233" s="1"/>
  <c r="Q249" i="233"/>
  <c r="L249" i="233"/>
  <c r="F249" i="233"/>
  <c r="E249" i="233"/>
  <c r="H249" i="233" s="1"/>
  <c r="R247" i="233"/>
  <c r="M247" i="233"/>
  <c r="H247" i="233"/>
  <c r="R246" i="233"/>
  <c r="M246" i="233"/>
  <c r="H246" i="233"/>
  <c r="R245" i="233"/>
  <c r="M245" i="233"/>
  <c r="H245" i="233"/>
  <c r="Q244" i="233"/>
  <c r="P244" i="233"/>
  <c r="O244" i="233"/>
  <c r="L244" i="233"/>
  <c r="K244" i="233"/>
  <c r="J244" i="233"/>
  <c r="G244" i="233"/>
  <c r="F244" i="233"/>
  <c r="E244" i="233"/>
  <c r="R243" i="233"/>
  <c r="M243" i="233"/>
  <c r="H243" i="233"/>
  <c r="R242" i="233"/>
  <c r="M242" i="233"/>
  <c r="H242" i="233"/>
  <c r="R241" i="233"/>
  <c r="M241" i="233"/>
  <c r="H241" i="233"/>
  <c r="Q240" i="233"/>
  <c r="Q233" i="233" s="1"/>
  <c r="Q231" i="233" s="1"/>
  <c r="Q203" i="233" s="1"/>
  <c r="P240" i="233"/>
  <c r="O240" i="233"/>
  <c r="L240" i="233"/>
  <c r="L233" i="233" s="1"/>
  <c r="L231" i="233" s="1"/>
  <c r="K240" i="233"/>
  <c r="J240" i="233"/>
  <c r="G240" i="233"/>
  <c r="F240" i="233"/>
  <c r="F233" i="233" s="1"/>
  <c r="F231" i="233" s="1"/>
  <c r="E240" i="233"/>
  <c r="H240" i="233" s="1"/>
  <c r="R239" i="233"/>
  <c r="M239" i="233"/>
  <c r="H239" i="233"/>
  <c r="R238" i="233"/>
  <c r="M238" i="233"/>
  <c r="H238" i="233"/>
  <c r="R237" i="233"/>
  <c r="M237" i="233"/>
  <c r="H237" i="233"/>
  <c r="Q236" i="233"/>
  <c r="P236" i="233"/>
  <c r="O236" i="233"/>
  <c r="L236" i="233"/>
  <c r="K236" i="233"/>
  <c r="J236" i="233"/>
  <c r="G236" i="233"/>
  <c r="F236" i="233"/>
  <c r="E236" i="233"/>
  <c r="R235" i="233"/>
  <c r="M235" i="233"/>
  <c r="H235" i="233"/>
  <c r="Q234" i="233"/>
  <c r="P234" i="233"/>
  <c r="O234" i="233"/>
  <c r="L234" i="233"/>
  <c r="K234" i="233"/>
  <c r="J234" i="233"/>
  <c r="M234" i="233" s="1"/>
  <c r="G234" i="233"/>
  <c r="G233" i="233" s="1"/>
  <c r="G231" i="233" s="1"/>
  <c r="F234" i="233"/>
  <c r="E234" i="233"/>
  <c r="P233" i="233"/>
  <c r="K233" i="233"/>
  <c r="R232" i="233"/>
  <c r="M232" i="233"/>
  <c r="H232" i="233"/>
  <c r="P231" i="233"/>
  <c r="K231" i="233"/>
  <c r="R230" i="233"/>
  <c r="M230" i="233"/>
  <c r="H230" i="233"/>
  <c r="R229" i="233"/>
  <c r="M229" i="233"/>
  <c r="H229" i="233"/>
  <c r="R228" i="233"/>
  <c r="M228" i="233"/>
  <c r="H228" i="233"/>
  <c r="Q227" i="233"/>
  <c r="P227" i="233"/>
  <c r="O227" i="233"/>
  <c r="R227" i="233" s="1"/>
  <c r="L227" i="233"/>
  <c r="K227" i="233"/>
  <c r="J227" i="233"/>
  <c r="G227" i="233"/>
  <c r="F227" i="233"/>
  <c r="E227" i="233"/>
  <c r="R226" i="233"/>
  <c r="M226" i="233"/>
  <c r="H226" i="233"/>
  <c r="R225" i="233"/>
  <c r="M225" i="233"/>
  <c r="H225" i="233"/>
  <c r="R224" i="233"/>
  <c r="M224" i="233"/>
  <c r="H224" i="233"/>
  <c r="Q223" i="233"/>
  <c r="Q216" i="233" s="1"/>
  <c r="P223" i="233"/>
  <c r="R223" i="233" s="1"/>
  <c r="O223" i="233"/>
  <c r="L223" i="233"/>
  <c r="K223" i="233"/>
  <c r="J223" i="233"/>
  <c r="G223" i="233"/>
  <c r="F223" i="233"/>
  <c r="E223" i="233"/>
  <c r="E216" i="233" s="1"/>
  <c r="R222" i="233"/>
  <c r="M222" i="233"/>
  <c r="H222" i="233"/>
  <c r="R221" i="233"/>
  <c r="M221" i="233"/>
  <c r="H221" i="233"/>
  <c r="R220" i="233"/>
  <c r="M220" i="233"/>
  <c r="H220" i="233"/>
  <c r="Q219" i="233"/>
  <c r="P219" i="233"/>
  <c r="O219" i="233"/>
  <c r="R219" i="233" s="1"/>
  <c r="L219" i="233"/>
  <c r="K219" i="233"/>
  <c r="J219" i="233"/>
  <c r="G219" i="233"/>
  <c r="F219" i="233"/>
  <c r="E219" i="233"/>
  <c r="R218" i="233"/>
  <c r="M218" i="233"/>
  <c r="H218" i="233"/>
  <c r="Q217" i="233"/>
  <c r="P217" i="233"/>
  <c r="O217" i="233"/>
  <c r="L217" i="233"/>
  <c r="L216" i="233" s="1"/>
  <c r="K217" i="233"/>
  <c r="J217" i="233"/>
  <c r="G217" i="233"/>
  <c r="F217" i="233"/>
  <c r="E217" i="233"/>
  <c r="O216" i="233"/>
  <c r="O204" i="233" s="1"/>
  <c r="J216" i="233"/>
  <c r="G216" i="233"/>
  <c r="G204" i="233" s="1"/>
  <c r="G203" i="233" s="1"/>
  <c r="R215" i="233"/>
  <c r="M215" i="233"/>
  <c r="H215" i="233"/>
  <c r="R214" i="233"/>
  <c r="M214" i="233"/>
  <c r="H214" i="233"/>
  <c r="Q213" i="233"/>
  <c r="P213" i="233"/>
  <c r="O213" i="233"/>
  <c r="L213" i="233"/>
  <c r="K213" i="233"/>
  <c r="J213" i="233"/>
  <c r="G213" i="233"/>
  <c r="F213" i="233"/>
  <c r="H213" i="233" s="1"/>
  <c r="E213" i="233"/>
  <c r="R212" i="233"/>
  <c r="M212" i="233"/>
  <c r="H212" i="233"/>
  <c r="R211" i="233"/>
  <c r="M211" i="233"/>
  <c r="H211" i="233"/>
  <c r="Q210" i="233"/>
  <c r="Q204" i="233" s="1"/>
  <c r="P210" i="233"/>
  <c r="O210" i="233"/>
  <c r="L210" i="233"/>
  <c r="K210" i="233"/>
  <c r="J210" i="233"/>
  <c r="G210" i="233"/>
  <c r="F210" i="233"/>
  <c r="E210" i="233"/>
  <c r="E204" i="233" s="1"/>
  <c r="R209" i="233"/>
  <c r="M209" i="233"/>
  <c r="H209" i="233"/>
  <c r="R208" i="233"/>
  <c r="M208" i="233"/>
  <c r="H208" i="233"/>
  <c r="R207" i="233"/>
  <c r="M207" i="233"/>
  <c r="H207" i="233"/>
  <c r="R206" i="233"/>
  <c r="M206" i="233"/>
  <c r="H206" i="233"/>
  <c r="Q205" i="233"/>
  <c r="P205" i="233"/>
  <c r="O205" i="233"/>
  <c r="L205" i="233"/>
  <c r="K205" i="233"/>
  <c r="J205" i="233"/>
  <c r="G205" i="233"/>
  <c r="F205" i="233"/>
  <c r="E205" i="233"/>
  <c r="R202" i="233"/>
  <c r="M202" i="233"/>
  <c r="H202" i="233"/>
  <c r="R201" i="233"/>
  <c r="M201" i="233"/>
  <c r="H201" i="233"/>
  <c r="Q200" i="233"/>
  <c r="P200" i="233"/>
  <c r="R200" i="233" s="1"/>
  <c r="O200" i="233"/>
  <c r="L200" i="233"/>
  <c r="K200" i="233"/>
  <c r="J200" i="233"/>
  <c r="G200" i="233"/>
  <c r="F200" i="233"/>
  <c r="E200" i="233"/>
  <c r="R199" i="233"/>
  <c r="M199" i="233"/>
  <c r="H199" i="233"/>
  <c r="R198" i="233"/>
  <c r="M198" i="233"/>
  <c r="H198" i="233"/>
  <c r="R197" i="233"/>
  <c r="M197" i="233"/>
  <c r="H197" i="233"/>
  <c r="R196" i="233"/>
  <c r="M196" i="233"/>
  <c r="H196" i="233"/>
  <c r="Q195" i="233"/>
  <c r="Q194" i="233" s="1"/>
  <c r="P195" i="233"/>
  <c r="O195" i="233"/>
  <c r="L195" i="233"/>
  <c r="K195" i="233"/>
  <c r="M195" i="233" s="1"/>
  <c r="J195" i="233"/>
  <c r="G195" i="233"/>
  <c r="F195" i="233"/>
  <c r="E195" i="233"/>
  <c r="E194" i="233" s="1"/>
  <c r="C195" i="233"/>
  <c r="C194" i="233" s="1"/>
  <c r="O194" i="233"/>
  <c r="L194" i="233"/>
  <c r="J194" i="233"/>
  <c r="G194" i="233"/>
  <c r="R193" i="233"/>
  <c r="M193" i="233"/>
  <c r="H193" i="233"/>
  <c r="R192" i="233"/>
  <c r="M192" i="233"/>
  <c r="H192" i="233"/>
  <c r="R191" i="233"/>
  <c r="M191" i="233"/>
  <c r="H191" i="233"/>
  <c r="Q190" i="233"/>
  <c r="Q189" i="233" s="1"/>
  <c r="P190" i="233"/>
  <c r="O190" i="233"/>
  <c r="L190" i="233"/>
  <c r="K190" i="233"/>
  <c r="K189" i="233" s="1"/>
  <c r="J190" i="233"/>
  <c r="G190" i="233"/>
  <c r="F190" i="233"/>
  <c r="F189" i="233" s="1"/>
  <c r="E190" i="233"/>
  <c r="P189" i="233"/>
  <c r="O189" i="233"/>
  <c r="L189" i="233"/>
  <c r="J189" i="233"/>
  <c r="G189" i="233"/>
  <c r="G182" i="233" s="1"/>
  <c r="G178" i="233" s="1"/>
  <c r="R188" i="233"/>
  <c r="M188" i="233"/>
  <c r="H188" i="233"/>
  <c r="R187" i="233"/>
  <c r="M187" i="233"/>
  <c r="H187" i="233"/>
  <c r="R186" i="233"/>
  <c r="M186" i="233"/>
  <c r="H186" i="233"/>
  <c r="Q185" i="233"/>
  <c r="P185" i="233"/>
  <c r="O185" i="233"/>
  <c r="L185" i="233"/>
  <c r="K185" i="233"/>
  <c r="J185" i="233"/>
  <c r="J184" i="233" s="1"/>
  <c r="J183" i="233" s="1"/>
  <c r="J182" i="233" s="1"/>
  <c r="J178" i="233" s="1"/>
  <c r="G185" i="233"/>
  <c r="F185" i="233"/>
  <c r="E185" i="233"/>
  <c r="E184" i="233" s="1"/>
  <c r="E183" i="233" s="1"/>
  <c r="Q184" i="233"/>
  <c r="Q183" i="233" s="1"/>
  <c r="Q182" i="233" s="1"/>
  <c r="O184" i="233"/>
  <c r="L184" i="233"/>
  <c r="K184" i="233"/>
  <c r="G184" i="233"/>
  <c r="F184" i="233"/>
  <c r="O183" i="233"/>
  <c r="L183" i="233"/>
  <c r="L182" i="233" s="1"/>
  <c r="L178" i="233" s="1"/>
  <c r="G183" i="233"/>
  <c r="F183" i="233"/>
  <c r="O182" i="233"/>
  <c r="O178" i="233" s="1"/>
  <c r="R181" i="233"/>
  <c r="M181" i="233"/>
  <c r="H181" i="233"/>
  <c r="R180" i="233"/>
  <c r="M180" i="233"/>
  <c r="H180" i="233"/>
  <c r="R179" i="233"/>
  <c r="M179" i="233"/>
  <c r="H179" i="233"/>
  <c r="Q178" i="233"/>
  <c r="R177" i="233"/>
  <c r="M177" i="233"/>
  <c r="H177" i="233"/>
  <c r="R176" i="233"/>
  <c r="M176" i="233"/>
  <c r="H176" i="233"/>
  <c r="R175" i="233"/>
  <c r="M175" i="233"/>
  <c r="H175" i="233"/>
  <c r="R174" i="233"/>
  <c r="M174" i="233"/>
  <c r="H174" i="233"/>
  <c r="Q173" i="233"/>
  <c r="P173" i="233"/>
  <c r="O173" i="233"/>
  <c r="L173" i="233"/>
  <c r="K173" i="233"/>
  <c r="J173" i="233"/>
  <c r="M173" i="233" s="1"/>
  <c r="G173" i="233"/>
  <c r="G165" i="233" s="1"/>
  <c r="F173" i="233"/>
  <c r="E173" i="233"/>
  <c r="R172" i="233"/>
  <c r="M172" i="233"/>
  <c r="H172" i="233"/>
  <c r="R171" i="233"/>
  <c r="M171" i="233"/>
  <c r="H171" i="233"/>
  <c r="R170" i="233"/>
  <c r="M170" i="233"/>
  <c r="H170" i="233"/>
  <c r="Q169" i="233"/>
  <c r="P169" i="233"/>
  <c r="O169" i="233"/>
  <c r="L169" i="233"/>
  <c r="L165" i="233" s="1"/>
  <c r="K169" i="233"/>
  <c r="J169" i="233"/>
  <c r="G169" i="233"/>
  <c r="F169" i="233"/>
  <c r="H169" i="233" s="1"/>
  <c r="E169" i="233"/>
  <c r="R168" i="233"/>
  <c r="M168" i="233"/>
  <c r="H168" i="233"/>
  <c r="R167" i="233"/>
  <c r="M167" i="233"/>
  <c r="H167" i="233"/>
  <c r="Q166" i="233"/>
  <c r="Q165" i="233" s="1"/>
  <c r="P166" i="233"/>
  <c r="O166" i="233"/>
  <c r="L166" i="233"/>
  <c r="K166" i="233"/>
  <c r="M166" i="233" s="1"/>
  <c r="J166" i="233"/>
  <c r="G166" i="233"/>
  <c r="F166" i="233"/>
  <c r="E166" i="233"/>
  <c r="E165" i="233" s="1"/>
  <c r="F165" i="233"/>
  <c r="R163" i="233"/>
  <c r="M163" i="233"/>
  <c r="H163" i="233"/>
  <c r="R162" i="233"/>
  <c r="M162" i="233"/>
  <c r="H162" i="233"/>
  <c r="R161" i="233"/>
  <c r="M161" i="233"/>
  <c r="H161" i="233"/>
  <c r="Q160" i="233"/>
  <c r="P160" i="233"/>
  <c r="O160" i="233"/>
  <c r="L160" i="233"/>
  <c r="K160" i="233"/>
  <c r="J160" i="233"/>
  <c r="M160" i="233" s="1"/>
  <c r="G160" i="233"/>
  <c r="F160" i="233"/>
  <c r="E160" i="233"/>
  <c r="R159" i="233"/>
  <c r="M159" i="233"/>
  <c r="H159" i="233"/>
  <c r="R158" i="233"/>
  <c r="M158" i="233"/>
  <c r="H158" i="233"/>
  <c r="R157" i="233"/>
  <c r="M157" i="233"/>
  <c r="H157" i="233"/>
  <c r="Q156" i="233"/>
  <c r="P156" i="233"/>
  <c r="O156" i="233"/>
  <c r="L156" i="233"/>
  <c r="K156" i="233"/>
  <c r="J156" i="233"/>
  <c r="G156" i="233"/>
  <c r="F156" i="233"/>
  <c r="H156" i="233" s="1"/>
  <c r="E156" i="233"/>
  <c r="R155" i="233"/>
  <c r="M155" i="233"/>
  <c r="H155" i="233"/>
  <c r="R154" i="233"/>
  <c r="M154" i="233"/>
  <c r="H154" i="233"/>
  <c r="R153" i="233"/>
  <c r="M153" i="233"/>
  <c r="H153" i="233"/>
  <c r="Q152" i="233"/>
  <c r="Q150" i="233" s="1"/>
  <c r="P152" i="233"/>
  <c r="P150" i="233" s="1"/>
  <c r="P149" i="233" s="1"/>
  <c r="P147" i="233" s="1"/>
  <c r="O152" i="233"/>
  <c r="L152" i="233"/>
  <c r="L150" i="233" s="1"/>
  <c r="K152" i="233"/>
  <c r="J152" i="233"/>
  <c r="M152" i="233" s="1"/>
  <c r="G152" i="233"/>
  <c r="G150" i="233" s="1"/>
  <c r="G149" i="233" s="1"/>
  <c r="G147" i="233" s="1"/>
  <c r="F152" i="233"/>
  <c r="E152" i="233"/>
  <c r="R151" i="233"/>
  <c r="M151" i="233"/>
  <c r="H151" i="233"/>
  <c r="K150" i="233"/>
  <c r="K149" i="233" s="1"/>
  <c r="K147" i="233" s="1"/>
  <c r="F150" i="233"/>
  <c r="F149" i="233" s="1"/>
  <c r="F147" i="233" s="1"/>
  <c r="R148" i="233"/>
  <c r="M148" i="233"/>
  <c r="H148" i="233"/>
  <c r="R146" i="233"/>
  <c r="M146" i="233"/>
  <c r="H146" i="233"/>
  <c r="R145" i="233"/>
  <c r="M145" i="233"/>
  <c r="H145" i="233"/>
  <c r="R144" i="233"/>
  <c r="M144" i="233"/>
  <c r="H144" i="233"/>
  <c r="Q143" i="233"/>
  <c r="P143" i="233"/>
  <c r="O143" i="233"/>
  <c r="L143" i="233"/>
  <c r="K143" i="233"/>
  <c r="M143" i="233" s="1"/>
  <c r="J143" i="233"/>
  <c r="G143" i="233"/>
  <c r="F143" i="233"/>
  <c r="E143" i="233"/>
  <c r="R142" i="233"/>
  <c r="M142" i="233"/>
  <c r="H142" i="233"/>
  <c r="R141" i="233"/>
  <c r="M141" i="233"/>
  <c r="H141" i="233"/>
  <c r="R140" i="233"/>
  <c r="M140" i="233"/>
  <c r="H140" i="233"/>
  <c r="Q139" i="233"/>
  <c r="P139" i="233"/>
  <c r="O139" i="233"/>
  <c r="R139" i="233" s="1"/>
  <c r="L139" i="233"/>
  <c r="K139" i="233"/>
  <c r="J139" i="233"/>
  <c r="M139" i="233" s="1"/>
  <c r="G139" i="233"/>
  <c r="F139" i="233"/>
  <c r="E139" i="233"/>
  <c r="R138" i="233"/>
  <c r="M138" i="233"/>
  <c r="H138" i="233"/>
  <c r="R137" i="233"/>
  <c r="M137" i="233"/>
  <c r="H137" i="233"/>
  <c r="R136" i="233"/>
  <c r="M136" i="233"/>
  <c r="H136" i="233"/>
  <c r="Q135" i="233"/>
  <c r="P135" i="233"/>
  <c r="O135" i="233"/>
  <c r="L135" i="233"/>
  <c r="L133" i="233" s="1"/>
  <c r="K135" i="233"/>
  <c r="M135" i="233" s="1"/>
  <c r="J135" i="233"/>
  <c r="G135" i="233"/>
  <c r="F135" i="233"/>
  <c r="E135" i="233"/>
  <c r="E133" i="233" s="1"/>
  <c r="R134" i="233"/>
  <c r="M134" i="233"/>
  <c r="H134" i="233"/>
  <c r="Q133" i="233"/>
  <c r="Q132" i="233" s="1"/>
  <c r="O133" i="233"/>
  <c r="J133" i="233"/>
  <c r="J132" i="233" s="1"/>
  <c r="G133" i="233"/>
  <c r="O132" i="233"/>
  <c r="L132" i="233"/>
  <c r="E132" i="233"/>
  <c r="E120" i="233" s="1"/>
  <c r="R131" i="233"/>
  <c r="M131" i="233"/>
  <c r="H131" i="233"/>
  <c r="R130" i="233"/>
  <c r="M130" i="233"/>
  <c r="H130" i="233"/>
  <c r="Q129" i="233"/>
  <c r="P129" i="233"/>
  <c r="O129" i="233"/>
  <c r="L129" i="233"/>
  <c r="K129" i="233"/>
  <c r="J129" i="233"/>
  <c r="M129" i="233" s="1"/>
  <c r="G129" i="233"/>
  <c r="F129" i="233"/>
  <c r="E129" i="233"/>
  <c r="R128" i="233"/>
  <c r="M128" i="233"/>
  <c r="H128" i="233"/>
  <c r="R127" i="233"/>
  <c r="M127" i="233"/>
  <c r="H127" i="233"/>
  <c r="Q126" i="233"/>
  <c r="P126" i="233"/>
  <c r="O126" i="233"/>
  <c r="R126" i="233" s="1"/>
  <c r="L126" i="233"/>
  <c r="K126" i="233"/>
  <c r="J126" i="233"/>
  <c r="G126" i="233"/>
  <c r="F126" i="233"/>
  <c r="E126" i="233"/>
  <c r="R125" i="233"/>
  <c r="M125" i="233"/>
  <c r="H125" i="233"/>
  <c r="R124" i="233"/>
  <c r="M124" i="233"/>
  <c r="H124" i="233"/>
  <c r="R123" i="233"/>
  <c r="M123" i="233"/>
  <c r="H123" i="233"/>
  <c r="R122" i="233"/>
  <c r="M122" i="233"/>
  <c r="H122" i="233"/>
  <c r="Q121" i="233"/>
  <c r="P121" i="233"/>
  <c r="O121" i="233"/>
  <c r="L121" i="233"/>
  <c r="K121" i="233"/>
  <c r="J121" i="233"/>
  <c r="G121" i="233"/>
  <c r="F121" i="233"/>
  <c r="E121" i="233"/>
  <c r="Q120" i="233"/>
  <c r="R118" i="233"/>
  <c r="M118" i="233"/>
  <c r="H118" i="233"/>
  <c r="R117" i="233"/>
  <c r="M117" i="233"/>
  <c r="H117" i="233"/>
  <c r="Q116" i="233"/>
  <c r="P116" i="233"/>
  <c r="O116" i="233"/>
  <c r="L116" i="233"/>
  <c r="K116" i="233"/>
  <c r="J116" i="233"/>
  <c r="M116" i="233" s="1"/>
  <c r="G116" i="233"/>
  <c r="F116" i="233"/>
  <c r="E116" i="233"/>
  <c r="H116" i="233" s="1"/>
  <c r="R115" i="233"/>
  <c r="M115" i="233"/>
  <c r="H115" i="233"/>
  <c r="R114" i="233"/>
  <c r="M114" i="233"/>
  <c r="H114" i="233"/>
  <c r="R113" i="233"/>
  <c r="M113" i="233"/>
  <c r="H113" i="233"/>
  <c r="R112" i="233"/>
  <c r="M112" i="233"/>
  <c r="H112" i="233"/>
  <c r="Q111" i="233"/>
  <c r="Q110" i="233" s="1"/>
  <c r="P111" i="233"/>
  <c r="O111" i="233"/>
  <c r="L111" i="233"/>
  <c r="L110" i="233" s="1"/>
  <c r="K111" i="233"/>
  <c r="K110" i="233" s="1"/>
  <c r="J111" i="233"/>
  <c r="G111" i="233"/>
  <c r="G110" i="233" s="1"/>
  <c r="F111" i="233"/>
  <c r="E111" i="233"/>
  <c r="H111" i="233" s="1"/>
  <c r="C111" i="233"/>
  <c r="P110" i="233"/>
  <c r="F110" i="233"/>
  <c r="C110" i="233"/>
  <c r="R109" i="233"/>
  <c r="M109" i="233"/>
  <c r="H109" i="233"/>
  <c r="R108" i="233"/>
  <c r="M108" i="233"/>
  <c r="H108" i="233"/>
  <c r="R107" i="233"/>
  <c r="M107" i="233"/>
  <c r="H107" i="233"/>
  <c r="Q106" i="233"/>
  <c r="P106" i="233"/>
  <c r="O106" i="233"/>
  <c r="L106" i="233"/>
  <c r="K106" i="233"/>
  <c r="J106" i="233"/>
  <c r="J105" i="233" s="1"/>
  <c r="G106" i="233"/>
  <c r="F106" i="233"/>
  <c r="E106" i="233"/>
  <c r="E105" i="233" s="1"/>
  <c r="Q105" i="233"/>
  <c r="O105" i="233"/>
  <c r="L105" i="233"/>
  <c r="K105" i="233"/>
  <c r="G105" i="233"/>
  <c r="F105" i="233"/>
  <c r="R104" i="233"/>
  <c r="M104" i="233"/>
  <c r="H104" i="233"/>
  <c r="R103" i="233"/>
  <c r="M103" i="233"/>
  <c r="H103" i="233"/>
  <c r="R102" i="233"/>
  <c r="M102" i="233"/>
  <c r="H102" i="233"/>
  <c r="Q101" i="233"/>
  <c r="P101" i="233"/>
  <c r="P100" i="233" s="1"/>
  <c r="P99" i="233" s="1"/>
  <c r="O101" i="233"/>
  <c r="L101" i="233"/>
  <c r="K101" i="233"/>
  <c r="J101" i="233"/>
  <c r="M101" i="233" s="1"/>
  <c r="G101" i="233"/>
  <c r="G100" i="233" s="1"/>
  <c r="G99" i="233" s="1"/>
  <c r="G98" i="233" s="1"/>
  <c r="G94" i="233" s="1"/>
  <c r="F101" i="233"/>
  <c r="E101" i="233"/>
  <c r="Q100" i="233"/>
  <c r="Q99" i="233" s="1"/>
  <c r="Q98" i="233" s="1"/>
  <c r="Q94" i="233" s="1"/>
  <c r="L100" i="233"/>
  <c r="K100" i="233"/>
  <c r="K99" i="233" s="1"/>
  <c r="J100" i="233"/>
  <c r="F100" i="233"/>
  <c r="E100" i="233"/>
  <c r="H100" i="233" s="1"/>
  <c r="L99" i="233"/>
  <c r="L98" i="233" s="1"/>
  <c r="L94" i="233" s="1"/>
  <c r="F99" i="233"/>
  <c r="E99" i="233"/>
  <c r="R97" i="233"/>
  <c r="M97" i="233"/>
  <c r="H97" i="233"/>
  <c r="R96" i="233"/>
  <c r="M96" i="233"/>
  <c r="H96" i="233"/>
  <c r="R95" i="233"/>
  <c r="M95" i="233"/>
  <c r="H95" i="233"/>
  <c r="R93" i="233"/>
  <c r="M93" i="233"/>
  <c r="H93" i="233"/>
  <c r="R92" i="233"/>
  <c r="M92" i="233"/>
  <c r="H92" i="233"/>
  <c r="R91" i="233"/>
  <c r="M91" i="233"/>
  <c r="H91" i="233"/>
  <c r="R90" i="233"/>
  <c r="M90" i="233"/>
  <c r="H90" i="233"/>
  <c r="Q89" i="233"/>
  <c r="Q81" i="233" s="1"/>
  <c r="P89" i="233"/>
  <c r="O89" i="233"/>
  <c r="L89" i="233"/>
  <c r="K89" i="233"/>
  <c r="J89" i="233"/>
  <c r="G89" i="233"/>
  <c r="F89" i="233"/>
  <c r="E89" i="233"/>
  <c r="E81" i="233" s="1"/>
  <c r="R88" i="233"/>
  <c r="M88" i="233"/>
  <c r="H88" i="233"/>
  <c r="R87" i="233"/>
  <c r="M87" i="233"/>
  <c r="H87" i="233"/>
  <c r="R86" i="233"/>
  <c r="M86" i="233"/>
  <c r="H86" i="233"/>
  <c r="Q85" i="233"/>
  <c r="P85" i="233"/>
  <c r="P81" i="233" s="1"/>
  <c r="O85" i="233"/>
  <c r="R85" i="233" s="1"/>
  <c r="L85" i="233"/>
  <c r="K85" i="233"/>
  <c r="J85" i="233"/>
  <c r="M85" i="233" s="1"/>
  <c r="G85" i="233"/>
  <c r="F85" i="233"/>
  <c r="E85" i="233"/>
  <c r="R84" i="233"/>
  <c r="M84" i="233"/>
  <c r="H84" i="233"/>
  <c r="R83" i="233"/>
  <c r="M83" i="233"/>
  <c r="H83" i="233"/>
  <c r="Q82" i="233"/>
  <c r="P82" i="233"/>
  <c r="O82" i="233"/>
  <c r="R82" i="233" s="1"/>
  <c r="L82" i="233"/>
  <c r="L81" i="233" s="1"/>
  <c r="K82" i="233"/>
  <c r="J82" i="233"/>
  <c r="G82" i="233"/>
  <c r="F82" i="233"/>
  <c r="F81" i="233" s="1"/>
  <c r="E82" i="233"/>
  <c r="J81" i="233"/>
  <c r="G81" i="233"/>
  <c r="R79" i="233"/>
  <c r="M79" i="233"/>
  <c r="H79" i="233"/>
  <c r="R78" i="233"/>
  <c r="M78" i="233"/>
  <c r="H78" i="233"/>
  <c r="R77" i="233"/>
  <c r="M77" i="233"/>
  <c r="H77" i="233"/>
  <c r="Q76" i="233"/>
  <c r="P76" i="233"/>
  <c r="O76" i="233"/>
  <c r="L76" i="233"/>
  <c r="K76" i="233"/>
  <c r="M76" i="233" s="1"/>
  <c r="J76" i="233"/>
  <c r="G76" i="233"/>
  <c r="F76" i="233"/>
  <c r="E76" i="233"/>
  <c r="R75" i="233"/>
  <c r="M75" i="233"/>
  <c r="H75" i="233"/>
  <c r="R74" i="233"/>
  <c r="M74" i="233"/>
  <c r="H74" i="233"/>
  <c r="R73" i="233"/>
  <c r="M73" i="233"/>
  <c r="H73" i="233"/>
  <c r="Q72" i="233"/>
  <c r="P72" i="233"/>
  <c r="O72" i="233"/>
  <c r="R72" i="233" s="1"/>
  <c r="L72" i="233"/>
  <c r="K72" i="233"/>
  <c r="J72" i="233"/>
  <c r="M72" i="233" s="1"/>
  <c r="G72" i="233"/>
  <c r="F72" i="233"/>
  <c r="E72" i="233"/>
  <c r="R71" i="233"/>
  <c r="M71" i="233"/>
  <c r="H71" i="233"/>
  <c r="R70" i="233"/>
  <c r="M70" i="233"/>
  <c r="H70" i="233"/>
  <c r="R69" i="233"/>
  <c r="M69" i="233"/>
  <c r="H69" i="233"/>
  <c r="Q68" i="233"/>
  <c r="P68" i="233"/>
  <c r="O68" i="233"/>
  <c r="L68" i="233"/>
  <c r="L66" i="233" s="1"/>
  <c r="K68" i="233"/>
  <c r="M68" i="233" s="1"/>
  <c r="J68" i="233"/>
  <c r="G68" i="233"/>
  <c r="F68" i="233"/>
  <c r="E68" i="233"/>
  <c r="E66" i="233" s="1"/>
  <c r="R67" i="233"/>
  <c r="M67" i="233"/>
  <c r="H67" i="233"/>
  <c r="Q66" i="233"/>
  <c r="Q65" i="233" s="1"/>
  <c r="Q63" i="233" s="1"/>
  <c r="O66" i="233"/>
  <c r="J66" i="233"/>
  <c r="J65" i="233" s="1"/>
  <c r="G66" i="233"/>
  <c r="O65" i="233"/>
  <c r="L65" i="233"/>
  <c r="L63" i="233" s="1"/>
  <c r="E65" i="233"/>
  <c r="R64" i="233"/>
  <c r="M64" i="233"/>
  <c r="H64" i="233"/>
  <c r="R62" i="233"/>
  <c r="M62" i="233"/>
  <c r="H62" i="233"/>
  <c r="R61" i="233"/>
  <c r="M61" i="233"/>
  <c r="H61" i="233"/>
  <c r="R60" i="233"/>
  <c r="M60" i="233"/>
  <c r="H60" i="233"/>
  <c r="Q59" i="233"/>
  <c r="P59" i="233"/>
  <c r="O59" i="233"/>
  <c r="L59" i="233"/>
  <c r="K59" i="233"/>
  <c r="J59" i="233"/>
  <c r="G59" i="233"/>
  <c r="F59" i="233"/>
  <c r="E59" i="233"/>
  <c r="R58" i="233"/>
  <c r="M58" i="233"/>
  <c r="H58" i="233"/>
  <c r="R57" i="233"/>
  <c r="M57" i="233"/>
  <c r="H57" i="233"/>
  <c r="R56" i="233"/>
  <c r="M56" i="233"/>
  <c r="H56" i="233"/>
  <c r="Q55" i="233"/>
  <c r="P55" i="233"/>
  <c r="R55" i="233" s="1"/>
  <c r="O55" i="233"/>
  <c r="L55" i="233"/>
  <c r="K55" i="233"/>
  <c r="J55" i="233"/>
  <c r="G55" i="233"/>
  <c r="F55" i="233"/>
  <c r="E55" i="233"/>
  <c r="R54" i="233"/>
  <c r="M54" i="233"/>
  <c r="H54" i="233"/>
  <c r="R53" i="233"/>
  <c r="M53" i="233"/>
  <c r="H53" i="233"/>
  <c r="R52" i="233"/>
  <c r="M52" i="233"/>
  <c r="H52" i="233"/>
  <c r="Q51" i="233"/>
  <c r="Q49" i="233" s="1"/>
  <c r="Q48" i="233" s="1"/>
  <c r="P51" i="233"/>
  <c r="O51" i="233"/>
  <c r="L51" i="233"/>
  <c r="L49" i="233" s="1"/>
  <c r="L48" i="233" s="1"/>
  <c r="L36" i="233" s="1"/>
  <c r="K51" i="233"/>
  <c r="K49" i="233" s="1"/>
  <c r="J51" i="233"/>
  <c r="G51" i="233"/>
  <c r="G49" i="233" s="1"/>
  <c r="F51" i="233"/>
  <c r="F49" i="233" s="1"/>
  <c r="F48" i="233" s="1"/>
  <c r="E51" i="233"/>
  <c r="R50" i="233"/>
  <c r="M50" i="233"/>
  <c r="H50" i="233"/>
  <c r="P49" i="233"/>
  <c r="K48" i="233"/>
  <c r="R47" i="233"/>
  <c r="M47" i="233"/>
  <c r="H47" i="233"/>
  <c r="R46" i="233"/>
  <c r="M46" i="233"/>
  <c r="H46" i="233"/>
  <c r="Q45" i="233"/>
  <c r="P45" i="233"/>
  <c r="O45" i="233"/>
  <c r="L45" i="233"/>
  <c r="K45" i="233"/>
  <c r="M45" i="233" s="1"/>
  <c r="J45" i="233"/>
  <c r="G45" i="233"/>
  <c r="F45" i="233"/>
  <c r="E45" i="233"/>
  <c r="R44" i="233"/>
  <c r="M44" i="233"/>
  <c r="H44" i="233"/>
  <c r="R43" i="233"/>
  <c r="M43" i="233"/>
  <c r="H43" i="233"/>
  <c r="Q42" i="233"/>
  <c r="P42" i="233"/>
  <c r="R42" i="233" s="1"/>
  <c r="O42" i="233"/>
  <c r="L42" i="233"/>
  <c r="K42" i="233"/>
  <c r="J42" i="233"/>
  <c r="G42" i="233"/>
  <c r="F42" i="233"/>
  <c r="E42" i="233"/>
  <c r="R41" i="233"/>
  <c r="M41" i="233"/>
  <c r="H41" i="233"/>
  <c r="R40" i="233"/>
  <c r="M40" i="233"/>
  <c r="G40" i="233"/>
  <c r="H40" i="233" s="1"/>
  <c r="R39" i="233"/>
  <c r="M39" i="233"/>
  <c r="H39" i="233"/>
  <c r="R38" i="233"/>
  <c r="M38" i="233"/>
  <c r="H38" i="233"/>
  <c r="Q37" i="233"/>
  <c r="P37" i="233"/>
  <c r="O37" i="233"/>
  <c r="L37" i="233"/>
  <c r="K37" i="233"/>
  <c r="J37" i="233"/>
  <c r="G37" i="233"/>
  <c r="F37" i="233"/>
  <c r="E37" i="233"/>
  <c r="H37" i="233" s="1"/>
  <c r="R34" i="233"/>
  <c r="M34" i="233"/>
  <c r="H34" i="233"/>
  <c r="R33" i="233"/>
  <c r="M33" i="233"/>
  <c r="H33" i="233"/>
  <c r="Q32" i="233"/>
  <c r="P32" i="233"/>
  <c r="O32" i="233"/>
  <c r="L32" i="233"/>
  <c r="K32" i="233"/>
  <c r="J32" i="233"/>
  <c r="M32" i="233" s="1"/>
  <c r="G32" i="233"/>
  <c r="F32" i="233"/>
  <c r="E32" i="233"/>
  <c r="H32" i="233" s="1"/>
  <c r="R31" i="233"/>
  <c r="M31" i="233"/>
  <c r="H31" i="233"/>
  <c r="R30" i="233"/>
  <c r="M30" i="233"/>
  <c r="H30" i="233"/>
  <c r="R29" i="233"/>
  <c r="M29" i="233"/>
  <c r="H29" i="233"/>
  <c r="R28" i="233"/>
  <c r="M28" i="233"/>
  <c r="H28" i="233"/>
  <c r="Q27" i="233"/>
  <c r="Q26" i="233" s="1"/>
  <c r="P27" i="233"/>
  <c r="O27" i="233"/>
  <c r="L27" i="233"/>
  <c r="L26" i="233" s="1"/>
  <c r="K27" i="233"/>
  <c r="K26" i="233" s="1"/>
  <c r="J27" i="233"/>
  <c r="G27" i="233"/>
  <c r="G26" i="233" s="1"/>
  <c r="F27" i="233"/>
  <c r="E27" i="233"/>
  <c r="H27" i="233" s="1"/>
  <c r="C27" i="233"/>
  <c r="P26" i="233"/>
  <c r="F26" i="233"/>
  <c r="C26" i="233"/>
  <c r="R25" i="233"/>
  <c r="M25" i="233"/>
  <c r="H25" i="233"/>
  <c r="R24" i="233"/>
  <c r="M24" i="233"/>
  <c r="H24" i="233"/>
  <c r="R23" i="233"/>
  <c r="M23" i="233"/>
  <c r="H23" i="233"/>
  <c r="Q22" i="233"/>
  <c r="P22" i="233"/>
  <c r="O22" i="233"/>
  <c r="L22" i="233"/>
  <c r="K22" i="233"/>
  <c r="J22" i="233"/>
  <c r="J21" i="233" s="1"/>
  <c r="G22" i="233"/>
  <c r="F22" i="233"/>
  <c r="E22" i="233"/>
  <c r="Q21" i="233"/>
  <c r="O21" i="233"/>
  <c r="L21" i="233"/>
  <c r="K21" i="233"/>
  <c r="G21" i="233"/>
  <c r="F21" i="233"/>
  <c r="E21" i="233"/>
  <c r="R20" i="233"/>
  <c r="M20" i="233"/>
  <c r="H20" i="233"/>
  <c r="R19" i="233"/>
  <c r="M19" i="233"/>
  <c r="H19" i="233"/>
  <c r="R18" i="233"/>
  <c r="M18" i="233"/>
  <c r="H18" i="233"/>
  <c r="Q17" i="233"/>
  <c r="P17" i="233"/>
  <c r="O17" i="233"/>
  <c r="L17" i="233"/>
  <c r="K17" i="233"/>
  <c r="J17" i="233"/>
  <c r="M17" i="233" s="1"/>
  <c r="G17" i="233"/>
  <c r="G16" i="233" s="1"/>
  <c r="G15" i="233" s="1"/>
  <c r="G14" i="233" s="1"/>
  <c r="G10" i="233" s="1"/>
  <c r="F17" i="233"/>
  <c r="E17" i="233"/>
  <c r="Q16" i="233"/>
  <c r="Q15" i="233" s="1"/>
  <c r="Q14" i="233" s="1"/>
  <c r="Q10" i="233" s="1"/>
  <c r="P16" i="233"/>
  <c r="P15" i="233" s="1"/>
  <c r="L16" i="233"/>
  <c r="K16" i="233"/>
  <c r="J16" i="233"/>
  <c r="F16" i="233"/>
  <c r="E16" i="233"/>
  <c r="L15" i="233"/>
  <c r="L14" i="233" s="1"/>
  <c r="L10" i="233" s="1"/>
  <c r="K15" i="233"/>
  <c r="F15" i="233"/>
  <c r="E15" i="233"/>
  <c r="R13" i="233"/>
  <c r="M13" i="233"/>
  <c r="H13" i="233"/>
  <c r="R12" i="233"/>
  <c r="M12" i="233"/>
  <c r="H12" i="233"/>
  <c r="R11" i="233"/>
  <c r="M11" i="233"/>
  <c r="H11" i="233"/>
  <c r="R260" i="34"/>
  <c r="M260" i="34"/>
  <c r="H260" i="34"/>
  <c r="R259" i="34"/>
  <c r="M259" i="34"/>
  <c r="H259" i="34"/>
  <c r="R258" i="34"/>
  <c r="M258" i="34"/>
  <c r="H258" i="34"/>
  <c r="Q257" i="34"/>
  <c r="P257" i="34"/>
  <c r="O257" i="34"/>
  <c r="L257" i="34"/>
  <c r="L249" i="34" s="1"/>
  <c r="K257" i="34"/>
  <c r="J257" i="34"/>
  <c r="G257" i="34"/>
  <c r="F257" i="34"/>
  <c r="E257" i="34"/>
  <c r="R256" i="34"/>
  <c r="M256" i="34"/>
  <c r="H256" i="34"/>
  <c r="R255" i="34"/>
  <c r="M255" i="34"/>
  <c r="H255" i="34"/>
  <c r="R254" i="34"/>
  <c r="M254" i="34"/>
  <c r="H254" i="34"/>
  <c r="Q253" i="34"/>
  <c r="P253" i="34"/>
  <c r="O253" i="34"/>
  <c r="L253" i="34"/>
  <c r="K253" i="34"/>
  <c r="J253" i="34"/>
  <c r="M253" i="34" s="1"/>
  <c r="G253" i="34"/>
  <c r="F253" i="34"/>
  <c r="E253" i="34"/>
  <c r="H253" i="34" s="1"/>
  <c r="R252" i="34"/>
  <c r="M252" i="34"/>
  <c r="H252" i="34"/>
  <c r="R251" i="34"/>
  <c r="M251" i="34"/>
  <c r="H251" i="34"/>
  <c r="Q250" i="34"/>
  <c r="P250" i="34"/>
  <c r="O250" i="34"/>
  <c r="L250" i="34"/>
  <c r="K250" i="34"/>
  <c r="J250" i="34"/>
  <c r="M250" i="34" s="1"/>
  <c r="G250" i="34"/>
  <c r="G249" i="34" s="1"/>
  <c r="F250" i="34"/>
  <c r="E250" i="34"/>
  <c r="Q249" i="34"/>
  <c r="P249" i="34"/>
  <c r="K249" i="34"/>
  <c r="J249" i="34"/>
  <c r="M249" i="34" s="1"/>
  <c r="E249" i="34"/>
  <c r="R247" i="34"/>
  <c r="M247" i="34"/>
  <c r="H247" i="34"/>
  <c r="R246" i="34"/>
  <c r="M246" i="34"/>
  <c r="H246" i="34"/>
  <c r="R245" i="34"/>
  <c r="M245" i="34"/>
  <c r="H245" i="34"/>
  <c r="Q244" i="34"/>
  <c r="P244" i="34"/>
  <c r="O244" i="34"/>
  <c r="L244" i="34"/>
  <c r="K244" i="34"/>
  <c r="J244" i="34"/>
  <c r="G244" i="34"/>
  <c r="F244" i="34"/>
  <c r="H244" i="34" s="1"/>
  <c r="E244" i="34"/>
  <c r="R243" i="34"/>
  <c r="M243" i="34"/>
  <c r="H243" i="34"/>
  <c r="R242" i="34"/>
  <c r="M242" i="34"/>
  <c r="H242" i="34"/>
  <c r="R241" i="34"/>
  <c r="M241" i="34"/>
  <c r="H241" i="34"/>
  <c r="Q240" i="34"/>
  <c r="P240" i="34"/>
  <c r="O240" i="34"/>
  <c r="L240" i="34"/>
  <c r="K240" i="34"/>
  <c r="J240" i="34"/>
  <c r="M240" i="34" s="1"/>
  <c r="G240" i="34"/>
  <c r="F240" i="34"/>
  <c r="E240" i="34"/>
  <c r="H240" i="34" s="1"/>
  <c r="R239" i="34"/>
  <c r="M239" i="34"/>
  <c r="H239" i="34"/>
  <c r="R238" i="34"/>
  <c r="M238" i="34"/>
  <c r="H238" i="34"/>
  <c r="R237" i="34"/>
  <c r="M237" i="34"/>
  <c r="H237" i="34"/>
  <c r="Q236" i="34"/>
  <c r="P236" i="34"/>
  <c r="O236" i="34"/>
  <c r="O234" i="34" s="1"/>
  <c r="L236" i="34"/>
  <c r="K236" i="34"/>
  <c r="J236" i="34"/>
  <c r="G236" i="34"/>
  <c r="G234" i="34" s="1"/>
  <c r="F236" i="34"/>
  <c r="H236" i="34" s="1"/>
  <c r="E236" i="34"/>
  <c r="R235" i="34"/>
  <c r="M235" i="34"/>
  <c r="H235" i="34"/>
  <c r="Q234" i="34"/>
  <c r="L234" i="34"/>
  <c r="L233" i="34" s="1"/>
  <c r="L231" i="34" s="1"/>
  <c r="J234" i="34"/>
  <c r="E234" i="34"/>
  <c r="Q233" i="34"/>
  <c r="Q231" i="34" s="1"/>
  <c r="O233" i="34"/>
  <c r="G233" i="34"/>
  <c r="G231" i="34" s="1"/>
  <c r="E233" i="34"/>
  <c r="R232" i="34"/>
  <c r="M232" i="34"/>
  <c r="H232" i="34"/>
  <c r="R230" i="34"/>
  <c r="M230" i="34"/>
  <c r="H230" i="34"/>
  <c r="R229" i="34"/>
  <c r="M229" i="34"/>
  <c r="H229" i="34"/>
  <c r="R228" i="34"/>
  <c r="M228" i="34"/>
  <c r="H228" i="34"/>
  <c r="Q227" i="34"/>
  <c r="P227" i="34"/>
  <c r="O227" i="34"/>
  <c r="R227" i="34" s="1"/>
  <c r="L227" i="34"/>
  <c r="K227" i="34"/>
  <c r="J227" i="34"/>
  <c r="G227" i="34"/>
  <c r="F227" i="34"/>
  <c r="E227" i="34"/>
  <c r="R226" i="34"/>
  <c r="M226" i="34"/>
  <c r="H226" i="34"/>
  <c r="R225" i="34"/>
  <c r="M225" i="34"/>
  <c r="H225" i="34"/>
  <c r="R224" i="34"/>
  <c r="M224" i="34"/>
  <c r="H224" i="34"/>
  <c r="Q223" i="34"/>
  <c r="P223" i="34"/>
  <c r="R223" i="34" s="1"/>
  <c r="O223" i="34"/>
  <c r="L223" i="34"/>
  <c r="K223" i="34"/>
  <c r="J223" i="34"/>
  <c r="G223" i="34"/>
  <c r="F223" i="34"/>
  <c r="E223" i="34"/>
  <c r="R222" i="34"/>
  <c r="M222" i="34"/>
  <c r="H222" i="34"/>
  <c r="R221" i="34"/>
  <c r="M221" i="34"/>
  <c r="H221" i="34"/>
  <c r="R220" i="34"/>
  <c r="M220" i="34"/>
  <c r="H220" i="34"/>
  <c r="Q219" i="34"/>
  <c r="Q217" i="34" s="1"/>
  <c r="P219" i="34"/>
  <c r="O219" i="34"/>
  <c r="R219" i="34" s="1"/>
  <c r="L219" i="34"/>
  <c r="L217" i="34" s="1"/>
  <c r="L216" i="34" s="1"/>
  <c r="K219" i="34"/>
  <c r="J219" i="34"/>
  <c r="G219" i="34"/>
  <c r="G217" i="34" s="1"/>
  <c r="G216" i="34" s="1"/>
  <c r="F219" i="34"/>
  <c r="F217" i="34" s="1"/>
  <c r="F216" i="34" s="1"/>
  <c r="E219" i="34"/>
  <c r="R218" i="34"/>
  <c r="M218" i="34"/>
  <c r="H218" i="34"/>
  <c r="P217" i="34"/>
  <c r="K217" i="34"/>
  <c r="P216" i="34"/>
  <c r="P204" i="34" s="1"/>
  <c r="R215" i="34"/>
  <c r="M215" i="34"/>
  <c r="H215" i="34"/>
  <c r="R214" i="34"/>
  <c r="M214" i="34"/>
  <c r="H214" i="34"/>
  <c r="Q213" i="34"/>
  <c r="P213" i="34"/>
  <c r="O213" i="34"/>
  <c r="L213" i="34"/>
  <c r="K213" i="34"/>
  <c r="J213" i="34"/>
  <c r="G213" i="34"/>
  <c r="F213" i="34"/>
  <c r="H213" i="34" s="1"/>
  <c r="E213" i="34"/>
  <c r="R212" i="34"/>
  <c r="M212" i="34"/>
  <c r="H212" i="34"/>
  <c r="R211" i="34"/>
  <c r="M211" i="34"/>
  <c r="H211" i="34"/>
  <c r="Q210" i="34"/>
  <c r="P210" i="34"/>
  <c r="O210" i="34"/>
  <c r="L210" i="34"/>
  <c r="K210" i="34"/>
  <c r="M210" i="34" s="1"/>
  <c r="J210" i="34"/>
  <c r="G210" i="34"/>
  <c r="F210" i="34"/>
  <c r="E210" i="34"/>
  <c r="R209" i="34"/>
  <c r="M209" i="34"/>
  <c r="H209" i="34"/>
  <c r="R208" i="34"/>
  <c r="M208" i="34"/>
  <c r="H208" i="34"/>
  <c r="R207" i="34"/>
  <c r="M207" i="34"/>
  <c r="H207" i="34"/>
  <c r="R206" i="34"/>
  <c r="M206" i="34"/>
  <c r="H206" i="34"/>
  <c r="Q205" i="34"/>
  <c r="P205" i="34"/>
  <c r="O205" i="34"/>
  <c r="L205" i="34"/>
  <c r="K205" i="34"/>
  <c r="J205" i="34"/>
  <c r="G205" i="34"/>
  <c r="F205" i="34"/>
  <c r="H205" i="34" s="1"/>
  <c r="E205" i="34"/>
  <c r="R202" i="34"/>
  <c r="M202" i="34"/>
  <c r="H202" i="34"/>
  <c r="R201" i="34"/>
  <c r="M201" i="34"/>
  <c r="H201" i="34"/>
  <c r="Q200" i="34"/>
  <c r="P200" i="34"/>
  <c r="R200" i="34" s="1"/>
  <c r="O200" i="34"/>
  <c r="L200" i="34"/>
  <c r="K200" i="34"/>
  <c r="J200" i="34"/>
  <c r="G200" i="34"/>
  <c r="F200" i="34"/>
  <c r="E200" i="34"/>
  <c r="R199" i="34"/>
  <c r="M199" i="34"/>
  <c r="H199" i="34"/>
  <c r="R198" i="34"/>
  <c r="M198" i="34"/>
  <c r="H198" i="34"/>
  <c r="R197" i="34"/>
  <c r="M197" i="34"/>
  <c r="H197" i="34"/>
  <c r="R196" i="34"/>
  <c r="M196" i="34"/>
  <c r="H196" i="34"/>
  <c r="Q195" i="34"/>
  <c r="Q194" i="34" s="1"/>
  <c r="P195" i="34"/>
  <c r="O195" i="34"/>
  <c r="L195" i="34"/>
  <c r="K195" i="34"/>
  <c r="M195" i="34" s="1"/>
  <c r="J195" i="34"/>
  <c r="G195" i="34"/>
  <c r="F195" i="34"/>
  <c r="E195" i="34"/>
  <c r="E194" i="34" s="1"/>
  <c r="C195" i="34"/>
  <c r="C194" i="34" s="1"/>
  <c r="O194" i="34"/>
  <c r="L194" i="34"/>
  <c r="J194" i="34"/>
  <c r="G194" i="34"/>
  <c r="R193" i="34"/>
  <c r="M193" i="34"/>
  <c r="H193" i="34"/>
  <c r="R192" i="34"/>
  <c r="M192" i="34"/>
  <c r="H192" i="34"/>
  <c r="R191" i="34"/>
  <c r="M191" i="34"/>
  <c r="H191" i="34"/>
  <c r="Q190" i="34"/>
  <c r="P190" i="34"/>
  <c r="O190" i="34"/>
  <c r="R190" i="34" s="1"/>
  <c r="L190" i="34"/>
  <c r="L189" i="34" s="1"/>
  <c r="K190" i="34"/>
  <c r="J190" i="34"/>
  <c r="G190" i="34"/>
  <c r="F190" i="34"/>
  <c r="F189" i="34" s="1"/>
  <c r="E190" i="34"/>
  <c r="Q189" i="34"/>
  <c r="P189" i="34"/>
  <c r="O189" i="34"/>
  <c r="R189" i="34" s="1"/>
  <c r="K189" i="34"/>
  <c r="J189" i="34"/>
  <c r="M189" i="34" s="1"/>
  <c r="G189" i="34"/>
  <c r="E189" i="34"/>
  <c r="R188" i="34"/>
  <c r="M188" i="34"/>
  <c r="H188" i="34"/>
  <c r="R187" i="34"/>
  <c r="M187" i="34"/>
  <c r="H187" i="34"/>
  <c r="R186" i="34"/>
  <c r="M186" i="34"/>
  <c r="H186" i="34"/>
  <c r="Q185" i="34"/>
  <c r="Q184" i="34" s="1"/>
  <c r="Q183" i="34" s="1"/>
  <c r="Q182" i="34" s="1"/>
  <c r="Q178" i="34" s="1"/>
  <c r="P185" i="34"/>
  <c r="O185" i="34"/>
  <c r="L185" i="34"/>
  <c r="K185" i="34"/>
  <c r="J185" i="34"/>
  <c r="G185" i="34"/>
  <c r="F185" i="34"/>
  <c r="E185" i="34"/>
  <c r="E184" i="34" s="1"/>
  <c r="E183" i="34" s="1"/>
  <c r="E182" i="34" s="1"/>
  <c r="E178" i="34" s="1"/>
  <c r="P184" i="34"/>
  <c r="O184" i="34"/>
  <c r="L184" i="34"/>
  <c r="L183" i="34" s="1"/>
  <c r="L182" i="34" s="1"/>
  <c r="L178" i="34" s="1"/>
  <c r="J184" i="34"/>
  <c r="G184" i="34"/>
  <c r="P183" i="34"/>
  <c r="O183" i="34"/>
  <c r="O182" i="34" s="1"/>
  <c r="O178" i="34" s="1"/>
  <c r="J183" i="34"/>
  <c r="G183" i="34"/>
  <c r="G182" i="34" s="1"/>
  <c r="G178" i="34" s="1"/>
  <c r="P182" i="34"/>
  <c r="R181" i="34"/>
  <c r="M181" i="34"/>
  <c r="H181" i="34"/>
  <c r="R180" i="34"/>
  <c r="M180" i="34"/>
  <c r="H180" i="34"/>
  <c r="R179" i="34"/>
  <c r="M179" i="34"/>
  <c r="H179" i="34"/>
  <c r="R177" i="34"/>
  <c r="M177" i="34"/>
  <c r="H177" i="34"/>
  <c r="R176" i="34"/>
  <c r="M176" i="34"/>
  <c r="H176" i="34"/>
  <c r="R175" i="34"/>
  <c r="M175" i="34"/>
  <c r="H175" i="34"/>
  <c r="R174" i="34"/>
  <c r="M174" i="34"/>
  <c r="H174" i="34"/>
  <c r="Q173" i="34"/>
  <c r="P173" i="34"/>
  <c r="P165" i="34" s="1"/>
  <c r="O173" i="34"/>
  <c r="L173" i="34"/>
  <c r="K173" i="34"/>
  <c r="J173" i="34"/>
  <c r="M173" i="34" s="1"/>
  <c r="G173" i="34"/>
  <c r="F173" i="34"/>
  <c r="E173" i="34"/>
  <c r="H173" i="34" s="1"/>
  <c r="R172" i="34"/>
  <c r="M172" i="34"/>
  <c r="H172" i="34"/>
  <c r="R171" i="34"/>
  <c r="M171" i="34"/>
  <c r="H171" i="34"/>
  <c r="R170" i="34"/>
  <c r="M170" i="34"/>
  <c r="H170" i="34"/>
  <c r="Q169" i="34"/>
  <c r="P169" i="34"/>
  <c r="O169" i="34"/>
  <c r="L169" i="34"/>
  <c r="K169" i="34"/>
  <c r="J169" i="34"/>
  <c r="G169" i="34"/>
  <c r="F169" i="34"/>
  <c r="H169" i="34" s="1"/>
  <c r="E169" i="34"/>
  <c r="R168" i="34"/>
  <c r="M168" i="34"/>
  <c r="H168" i="34"/>
  <c r="R167" i="34"/>
  <c r="M167" i="34"/>
  <c r="H167" i="34"/>
  <c r="Q166" i="34"/>
  <c r="P166" i="34"/>
  <c r="O166" i="34"/>
  <c r="L166" i="34"/>
  <c r="K166" i="34"/>
  <c r="J166" i="34"/>
  <c r="G166" i="34"/>
  <c r="F166" i="34"/>
  <c r="E166" i="34"/>
  <c r="R163" i="34"/>
  <c r="M163" i="34"/>
  <c r="H163" i="34"/>
  <c r="R162" i="34"/>
  <c r="M162" i="34"/>
  <c r="H162" i="34"/>
  <c r="R161" i="34"/>
  <c r="M161" i="34"/>
  <c r="H161" i="34"/>
  <c r="Q160" i="34"/>
  <c r="P160" i="34"/>
  <c r="O160" i="34"/>
  <c r="R160" i="34" s="1"/>
  <c r="L160" i="34"/>
  <c r="K160" i="34"/>
  <c r="J160" i="34"/>
  <c r="G160" i="34"/>
  <c r="F160" i="34"/>
  <c r="E160" i="34"/>
  <c r="R159" i="34"/>
  <c r="M159" i="34"/>
  <c r="H159" i="34"/>
  <c r="R158" i="34"/>
  <c r="M158" i="34"/>
  <c r="H158" i="34"/>
  <c r="R157" i="34"/>
  <c r="M157" i="34"/>
  <c r="H157" i="34"/>
  <c r="Q156" i="34"/>
  <c r="P156" i="34"/>
  <c r="R156" i="34" s="1"/>
  <c r="O156" i="34"/>
  <c r="L156" i="34"/>
  <c r="K156" i="34"/>
  <c r="J156" i="34"/>
  <c r="G156" i="34"/>
  <c r="F156" i="34"/>
  <c r="E156" i="34"/>
  <c r="R155" i="34"/>
  <c r="M155" i="34"/>
  <c r="H155" i="34"/>
  <c r="R154" i="34"/>
  <c r="M154" i="34"/>
  <c r="H154" i="34"/>
  <c r="R153" i="34"/>
  <c r="M153" i="34"/>
  <c r="H153" i="34"/>
  <c r="Q152" i="34"/>
  <c r="Q150" i="34" s="1"/>
  <c r="P152" i="34"/>
  <c r="O152" i="34"/>
  <c r="R152" i="34" s="1"/>
  <c r="L152" i="34"/>
  <c r="L150" i="34" s="1"/>
  <c r="L149" i="34" s="1"/>
  <c r="L147" i="34" s="1"/>
  <c r="K152" i="34"/>
  <c r="J152" i="34"/>
  <c r="G152" i="34"/>
  <c r="G150" i="34" s="1"/>
  <c r="G149" i="34" s="1"/>
  <c r="G147" i="34" s="1"/>
  <c r="F152" i="34"/>
  <c r="F150" i="34" s="1"/>
  <c r="F149" i="34" s="1"/>
  <c r="F147" i="34" s="1"/>
  <c r="E152" i="34"/>
  <c r="R151" i="34"/>
  <c r="M151" i="34"/>
  <c r="H151" i="34"/>
  <c r="P150" i="34"/>
  <c r="K150" i="34"/>
  <c r="P149" i="34"/>
  <c r="R148" i="34"/>
  <c r="M148" i="34"/>
  <c r="H148" i="34"/>
  <c r="F148" i="34"/>
  <c r="P147" i="34"/>
  <c r="R146" i="34"/>
  <c r="M146" i="34"/>
  <c r="H146" i="34"/>
  <c r="R145" i="34"/>
  <c r="M145" i="34"/>
  <c r="H145" i="34"/>
  <c r="R144" i="34"/>
  <c r="M144" i="34"/>
  <c r="H144" i="34"/>
  <c r="Q143" i="34"/>
  <c r="P143" i="34"/>
  <c r="O143" i="34"/>
  <c r="L143" i="34"/>
  <c r="K143" i="34"/>
  <c r="J143" i="34"/>
  <c r="M143" i="34" s="1"/>
  <c r="G143" i="34"/>
  <c r="F143" i="34"/>
  <c r="E143" i="34"/>
  <c r="H143" i="34" s="1"/>
  <c r="R142" i="34"/>
  <c r="M142" i="34"/>
  <c r="H142" i="34"/>
  <c r="R141" i="34"/>
  <c r="M141" i="34"/>
  <c r="H141" i="34"/>
  <c r="R140" i="34"/>
  <c r="M140" i="34"/>
  <c r="H140" i="34"/>
  <c r="Q139" i="34"/>
  <c r="P139" i="34"/>
  <c r="O139" i="34"/>
  <c r="L139" i="34"/>
  <c r="K139" i="34"/>
  <c r="J139" i="34"/>
  <c r="G139" i="34"/>
  <c r="F139" i="34"/>
  <c r="H139" i="34" s="1"/>
  <c r="E139" i="34"/>
  <c r="R138" i="34"/>
  <c r="M138" i="34"/>
  <c r="H138" i="34"/>
  <c r="R137" i="34"/>
  <c r="M137" i="34"/>
  <c r="H137" i="34"/>
  <c r="R136" i="34"/>
  <c r="M136" i="34"/>
  <c r="H136" i="34"/>
  <c r="Q135" i="34"/>
  <c r="Q133" i="34" s="1"/>
  <c r="Q132" i="34" s="1"/>
  <c r="P135" i="34"/>
  <c r="P133" i="34" s="1"/>
  <c r="P132" i="34" s="1"/>
  <c r="O135" i="34"/>
  <c r="L135" i="34"/>
  <c r="L133" i="34" s="1"/>
  <c r="K135" i="34"/>
  <c r="J135" i="34"/>
  <c r="M135" i="34" s="1"/>
  <c r="G135" i="34"/>
  <c r="G133" i="34" s="1"/>
  <c r="F135" i="34"/>
  <c r="E135" i="34"/>
  <c r="H135" i="34" s="1"/>
  <c r="R134" i="34"/>
  <c r="M134" i="34"/>
  <c r="H134" i="34"/>
  <c r="K133" i="34"/>
  <c r="K132" i="34" s="1"/>
  <c r="F133" i="34"/>
  <c r="R131" i="34"/>
  <c r="M131" i="34"/>
  <c r="H131" i="34"/>
  <c r="R130" i="34"/>
  <c r="M130" i="34"/>
  <c r="H130" i="34"/>
  <c r="Q129" i="34"/>
  <c r="P129" i="34"/>
  <c r="R129" i="34" s="1"/>
  <c r="O129" i="34"/>
  <c r="L129" i="34"/>
  <c r="K129" i="34"/>
  <c r="J129" i="34"/>
  <c r="G129" i="34"/>
  <c r="F129" i="34"/>
  <c r="E129" i="34"/>
  <c r="R128" i="34"/>
  <c r="M128" i="34"/>
  <c r="H128" i="34"/>
  <c r="R127" i="34"/>
  <c r="M127" i="34"/>
  <c r="H127" i="34"/>
  <c r="Q126" i="34"/>
  <c r="P126" i="34"/>
  <c r="O126" i="34"/>
  <c r="L126" i="34"/>
  <c r="K126" i="34"/>
  <c r="J126" i="34"/>
  <c r="G126" i="34"/>
  <c r="F126" i="34"/>
  <c r="E126" i="34"/>
  <c r="R125" i="34"/>
  <c r="M125" i="34"/>
  <c r="H125" i="34"/>
  <c r="R124" i="34"/>
  <c r="K124" i="34"/>
  <c r="M124" i="34" s="1"/>
  <c r="F124" i="34"/>
  <c r="H124" i="34" s="1"/>
  <c r="R123" i="34"/>
  <c r="K123" i="34"/>
  <c r="F123" i="34"/>
  <c r="H123" i="34" s="1"/>
  <c r="R122" i="34"/>
  <c r="M122" i="34"/>
  <c r="K122" i="34"/>
  <c r="H122" i="34"/>
  <c r="F122" i="34"/>
  <c r="Q121" i="34"/>
  <c r="P121" i="34"/>
  <c r="O121" i="34"/>
  <c r="L121" i="34"/>
  <c r="K121" i="34"/>
  <c r="J121" i="34"/>
  <c r="G121" i="34"/>
  <c r="F121" i="34"/>
  <c r="E121" i="34"/>
  <c r="R118" i="34"/>
  <c r="M118" i="34"/>
  <c r="H118" i="34"/>
  <c r="O116" i="34"/>
  <c r="J116" i="34"/>
  <c r="E116" i="34"/>
  <c r="R115" i="34"/>
  <c r="M115" i="34"/>
  <c r="H115" i="34"/>
  <c r="R114" i="34"/>
  <c r="M114" i="34"/>
  <c r="H114" i="34"/>
  <c r="R113" i="34"/>
  <c r="M113" i="34"/>
  <c r="H113" i="34"/>
  <c r="R112" i="34"/>
  <c r="M112" i="34"/>
  <c r="H112" i="34"/>
  <c r="Q111" i="34"/>
  <c r="P111" i="34"/>
  <c r="R111" i="34" s="1"/>
  <c r="O111" i="34"/>
  <c r="O110" i="34" s="1"/>
  <c r="L111" i="34"/>
  <c r="K111" i="34"/>
  <c r="J111" i="34"/>
  <c r="J110" i="34" s="1"/>
  <c r="G111" i="34"/>
  <c r="F111" i="34"/>
  <c r="E111" i="34"/>
  <c r="C111" i="34"/>
  <c r="C110" i="34" s="1"/>
  <c r="Q110" i="34"/>
  <c r="L110" i="34"/>
  <c r="G110" i="34"/>
  <c r="E110" i="34"/>
  <c r="R109" i="34"/>
  <c r="M109" i="34"/>
  <c r="H109" i="34"/>
  <c r="R108" i="34"/>
  <c r="M108" i="34"/>
  <c r="H108" i="34"/>
  <c r="R107" i="34"/>
  <c r="M107" i="34"/>
  <c r="H107" i="34"/>
  <c r="Q106" i="34"/>
  <c r="P106" i="34"/>
  <c r="P105" i="34" s="1"/>
  <c r="O106" i="34"/>
  <c r="L106" i="34"/>
  <c r="K106" i="34"/>
  <c r="J106" i="34"/>
  <c r="G106" i="34"/>
  <c r="F106" i="34"/>
  <c r="E106" i="34"/>
  <c r="H106" i="34" s="1"/>
  <c r="Q105" i="34"/>
  <c r="O105" i="34"/>
  <c r="L105" i="34"/>
  <c r="L98" i="34" s="1"/>
  <c r="K105" i="34"/>
  <c r="G105" i="34"/>
  <c r="F105" i="34"/>
  <c r="R104" i="34"/>
  <c r="M104" i="34"/>
  <c r="H104" i="34"/>
  <c r="R103" i="34"/>
  <c r="M103" i="34"/>
  <c r="H103" i="34"/>
  <c r="R102" i="34"/>
  <c r="M102" i="34"/>
  <c r="H102" i="34"/>
  <c r="Q101" i="34"/>
  <c r="P101" i="34"/>
  <c r="O101" i="34"/>
  <c r="O100" i="34" s="1"/>
  <c r="O99" i="34" s="1"/>
  <c r="L101" i="34"/>
  <c r="K101" i="34"/>
  <c r="J101" i="34"/>
  <c r="G101" i="34"/>
  <c r="G100" i="34" s="1"/>
  <c r="G99" i="34" s="1"/>
  <c r="F101" i="34"/>
  <c r="E101" i="34"/>
  <c r="Q100" i="34"/>
  <c r="P100" i="34"/>
  <c r="L100" i="34"/>
  <c r="K100" i="34"/>
  <c r="M100" i="34" s="1"/>
  <c r="J100" i="34"/>
  <c r="J99" i="34" s="1"/>
  <c r="F100" i="34"/>
  <c r="E100" i="34"/>
  <c r="Q99" i="34"/>
  <c r="L99" i="34"/>
  <c r="F99" i="34"/>
  <c r="E99" i="34"/>
  <c r="R97" i="34"/>
  <c r="M97" i="34"/>
  <c r="H97" i="34"/>
  <c r="R96" i="34"/>
  <c r="M96" i="34"/>
  <c r="H96" i="34"/>
  <c r="R95" i="34"/>
  <c r="M95" i="34"/>
  <c r="H95" i="34"/>
  <c r="R93" i="34"/>
  <c r="M93" i="34"/>
  <c r="H93" i="34"/>
  <c r="R92" i="34"/>
  <c r="M92" i="34"/>
  <c r="H92" i="34"/>
  <c r="R91" i="34"/>
  <c r="M91" i="34"/>
  <c r="H91" i="34"/>
  <c r="R90" i="34"/>
  <c r="M90" i="34"/>
  <c r="H90" i="34"/>
  <c r="Q89" i="34"/>
  <c r="P89" i="34"/>
  <c r="O89" i="34"/>
  <c r="R89" i="34" s="1"/>
  <c r="L89" i="34"/>
  <c r="L81" i="34" s="1"/>
  <c r="K89" i="34"/>
  <c r="J89" i="34"/>
  <c r="G89" i="34"/>
  <c r="F89" i="34"/>
  <c r="F81" i="34" s="1"/>
  <c r="E89" i="34"/>
  <c r="R88" i="34"/>
  <c r="M88" i="34"/>
  <c r="H88" i="34"/>
  <c r="R87" i="34"/>
  <c r="M87" i="34"/>
  <c r="H87" i="34"/>
  <c r="R86" i="34"/>
  <c r="M86" i="34"/>
  <c r="H86" i="34"/>
  <c r="Q85" i="34"/>
  <c r="P85" i="34"/>
  <c r="R85" i="34" s="1"/>
  <c r="O85" i="34"/>
  <c r="L85" i="34"/>
  <c r="K85" i="34"/>
  <c r="J85" i="34"/>
  <c r="G85" i="34"/>
  <c r="F85" i="34"/>
  <c r="E85" i="34"/>
  <c r="R84" i="34"/>
  <c r="M84" i="34"/>
  <c r="H84" i="34"/>
  <c r="R83" i="34"/>
  <c r="M83" i="34"/>
  <c r="H83" i="34"/>
  <c r="Q82" i="34"/>
  <c r="P82" i="34"/>
  <c r="O82" i="34"/>
  <c r="L82" i="34"/>
  <c r="K82" i="34"/>
  <c r="J82" i="34"/>
  <c r="G82" i="34"/>
  <c r="F82" i="34"/>
  <c r="E82" i="34"/>
  <c r="K81" i="34"/>
  <c r="R79" i="34"/>
  <c r="M79" i="34"/>
  <c r="H79" i="34"/>
  <c r="R78" i="34"/>
  <c r="M78" i="34"/>
  <c r="H78" i="34"/>
  <c r="R77" i="34"/>
  <c r="M77" i="34"/>
  <c r="H77" i="34"/>
  <c r="Q76" i="34"/>
  <c r="P76" i="34"/>
  <c r="O76" i="34"/>
  <c r="L76" i="34"/>
  <c r="K76" i="34"/>
  <c r="J76" i="34"/>
  <c r="G76" i="34"/>
  <c r="F76" i="34"/>
  <c r="E76" i="34"/>
  <c r="H76" i="34" s="1"/>
  <c r="R75" i="34"/>
  <c r="M75" i="34"/>
  <c r="H75" i="34"/>
  <c r="R74" i="34"/>
  <c r="M74" i="34"/>
  <c r="H74" i="34"/>
  <c r="R73" i="34"/>
  <c r="M73" i="34"/>
  <c r="H73" i="34"/>
  <c r="Q72" i="34"/>
  <c r="P72" i="34"/>
  <c r="O72" i="34"/>
  <c r="L72" i="34"/>
  <c r="K72" i="34"/>
  <c r="J72" i="34"/>
  <c r="G72" i="34"/>
  <c r="F72" i="34"/>
  <c r="E72" i="34"/>
  <c r="R71" i="34"/>
  <c r="M71" i="34"/>
  <c r="H71" i="34"/>
  <c r="R70" i="34"/>
  <c r="M70" i="34"/>
  <c r="H70" i="34"/>
  <c r="R69" i="34"/>
  <c r="M69" i="34"/>
  <c r="H69" i="34"/>
  <c r="Q68" i="34"/>
  <c r="Q66" i="34" s="1"/>
  <c r="Q65" i="34" s="1"/>
  <c r="Q63" i="34" s="1"/>
  <c r="P68" i="34"/>
  <c r="O68" i="34"/>
  <c r="L68" i="34"/>
  <c r="L66" i="34" s="1"/>
  <c r="K68" i="34"/>
  <c r="K66" i="34" s="1"/>
  <c r="K65" i="34" s="1"/>
  <c r="K63" i="34" s="1"/>
  <c r="J68" i="34"/>
  <c r="G68" i="34"/>
  <c r="G66" i="34" s="1"/>
  <c r="F68" i="34"/>
  <c r="E68" i="34"/>
  <c r="H68" i="34" s="1"/>
  <c r="R67" i="34"/>
  <c r="M67" i="34"/>
  <c r="H67" i="34"/>
  <c r="P66" i="34"/>
  <c r="P65" i="34" s="1"/>
  <c r="P63" i="34" s="1"/>
  <c r="F66" i="34"/>
  <c r="F65" i="34"/>
  <c r="R64" i="34"/>
  <c r="M64" i="34"/>
  <c r="G64" i="34"/>
  <c r="F64" i="34"/>
  <c r="H64" i="34" s="1"/>
  <c r="R62" i="34"/>
  <c r="M62" i="34"/>
  <c r="H62" i="34"/>
  <c r="R61" i="34"/>
  <c r="M61" i="34"/>
  <c r="H61" i="34"/>
  <c r="R60" i="34"/>
  <c r="M60" i="34"/>
  <c r="H60" i="34"/>
  <c r="Q59" i="34"/>
  <c r="P59" i="34"/>
  <c r="O59" i="34"/>
  <c r="L59" i="34"/>
  <c r="K59" i="34"/>
  <c r="J59" i="34"/>
  <c r="G59" i="34"/>
  <c r="F59" i="34"/>
  <c r="E59" i="34"/>
  <c r="R58" i="34"/>
  <c r="M58" i="34"/>
  <c r="H58" i="34"/>
  <c r="R57" i="34"/>
  <c r="M57" i="34"/>
  <c r="H57" i="34"/>
  <c r="R56" i="34"/>
  <c r="M56" i="34"/>
  <c r="H56" i="34"/>
  <c r="Q55" i="34"/>
  <c r="Q48" i="34" s="1"/>
  <c r="P55" i="34"/>
  <c r="O55" i="34"/>
  <c r="L55" i="34"/>
  <c r="K55" i="34"/>
  <c r="J55" i="34"/>
  <c r="G55" i="34"/>
  <c r="F55" i="34"/>
  <c r="E55" i="34"/>
  <c r="H55" i="34" s="1"/>
  <c r="R54" i="34"/>
  <c r="M54" i="34"/>
  <c r="H54" i="34"/>
  <c r="R53" i="34"/>
  <c r="M53" i="34"/>
  <c r="H53" i="34"/>
  <c r="R52" i="34"/>
  <c r="M52" i="34"/>
  <c r="H52" i="34"/>
  <c r="Q51" i="34"/>
  <c r="P51" i="34"/>
  <c r="P49" i="34" s="1"/>
  <c r="P48" i="34" s="1"/>
  <c r="O51" i="34"/>
  <c r="O49" i="34" s="1"/>
  <c r="L51" i="34"/>
  <c r="K51" i="34"/>
  <c r="K49" i="34" s="1"/>
  <c r="J51" i="34"/>
  <c r="J49" i="34" s="1"/>
  <c r="G51" i="34"/>
  <c r="G49" i="34" s="1"/>
  <c r="F51" i="34"/>
  <c r="F49" i="34" s="1"/>
  <c r="E51" i="34"/>
  <c r="R50" i="34"/>
  <c r="M50" i="34"/>
  <c r="H50" i="34"/>
  <c r="Q49" i="34"/>
  <c r="L49" i="34"/>
  <c r="L48" i="34" s="1"/>
  <c r="E49" i="34"/>
  <c r="Q47" i="34"/>
  <c r="L47" i="34"/>
  <c r="M47" i="34" s="1"/>
  <c r="G47" i="34"/>
  <c r="H47" i="34" s="1"/>
  <c r="R46" i="34"/>
  <c r="M46" i="34"/>
  <c r="G46" i="34"/>
  <c r="H46" i="34" s="1"/>
  <c r="P45" i="34"/>
  <c r="O45" i="34"/>
  <c r="L45" i="34"/>
  <c r="K45" i="34"/>
  <c r="J45" i="34"/>
  <c r="M45" i="34" s="1"/>
  <c r="G45" i="34"/>
  <c r="F45" i="34"/>
  <c r="E45" i="34"/>
  <c r="R44" i="34"/>
  <c r="M44" i="34"/>
  <c r="G44" i="34"/>
  <c r="H44" i="34" s="1"/>
  <c r="R43" i="34"/>
  <c r="M43" i="34"/>
  <c r="G43" i="34"/>
  <c r="H43" i="34" s="1"/>
  <c r="Q42" i="34"/>
  <c r="P42" i="34"/>
  <c r="O42" i="34"/>
  <c r="R42" i="34" s="1"/>
  <c r="L42" i="34"/>
  <c r="K42" i="34"/>
  <c r="J42" i="34"/>
  <c r="G42" i="34"/>
  <c r="F42" i="34"/>
  <c r="E42" i="34"/>
  <c r="R41" i="34"/>
  <c r="M41" i="34"/>
  <c r="G41" i="34"/>
  <c r="H41" i="34" s="1"/>
  <c r="R40" i="34"/>
  <c r="L40" i="34"/>
  <c r="K40" i="34"/>
  <c r="M40" i="34" s="1"/>
  <c r="G40" i="34"/>
  <c r="F40" i="34"/>
  <c r="Q39" i="34"/>
  <c r="P39" i="34"/>
  <c r="R39" i="34" s="1"/>
  <c r="L39" i="34"/>
  <c r="G39" i="34"/>
  <c r="F39" i="34"/>
  <c r="H39" i="34" s="1"/>
  <c r="Q38" i="34"/>
  <c r="Q37" i="34" s="1"/>
  <c r="P38" i="34"/>
  <c r="L38" i="34"/>
  <c r="K38" i="34"/>
  <c r="G38" i="34"/>
  <c r="F38" i="34"/>
  <c r="O37" i="34"/>
  <c r="L37" i="34"/>
  <c r="J37" i="34"/>
  <c r="G37" i="34"/>
  <c r="E37" i="34"/>
  <c r="R34" i="34"/>
  <c r="M34" i="34"/>
  <c r="H34" i="34"/>
  <c r="O32" i="34"/>
  <c r="J32" i="34"/>
  <c r="E32" i="34"/>
  <c r="R31" i="34"/>
  <c r="M31" i="34"/>
  <c r="H31" i="34"/>
  <c r="R30" i="34"/>
  <c r="M30" i="34"/>
  <c r="H30" i="34"/>
  <c r="R29" i="34"/>
  <c r="M29" i="34"/>
  <c r="H29" i="34"/>
  <c r="R28" i="34"/>
  <c r="M28" i="34"/>
  <c r="H28" i="34"/>
  <c r="Q27" i="34"/>
  <c r="Q26" i="34" s="1"/>
  <c r="P27" i="34"/>
  <c r="O27" i="34"/>
  <c r="R27" i="34" s="1"/>
  <c r="L27" i="34"/>
  <c r="L26" i="34" s="1"/>
  <c r="K27" i="34"/>
  <c r="J27" i="34"/>
  <c r="M27" i="34" s="1"/>
  <c r="G27" i="34"/>
  <c r="G26" i="34" s="1"/>
  <c r="F27" i="34"/>
  <c r="E27" i="34"/>
  <c r="C27" i="34"/>
  <c r="P26" i="34"/>
  <c r="K26" i="34"/>
  <c r="F26" i="34"/>
  <c r="C26" i="34"/>
  <c r="R25" i="34"/>
  <c r="M25" i="34"/>
  <c r="H25" i="34"/>
  <c r="R24" i="34"/>
  <c r="M24" i="34"/>
  <c r="H24" i="34"/>
  <c r="R23" i="34"/>
  <c r="M23" i="34"/>
  <c r="H23" i="34"/>
  <c r="Q22" i="34"/>
  <c r="P22" i="34"/>
  <c r="O22" i="34"/>
  <c r="L22" i="34"/>
  <c r="L21" i="34" s="1"/>
  <c r="K22" i="34"/>
  <c r="J22" i="34"/>
  <c r="G22" i="34"/>
  <c r="F22" i="34"/>
  <c r="E22" i="34"/>
  <c r="Q21" i="34"/>
  <c r="P21" i="34"/>
  <c r="O21" i="34"/>
  <c r="K21" i="34"/>
  <c r="J21" i="34"/>
  <c r="G21" i="34"/>
  <c r="E21" i="34"/>
  <c r="R20" i="34"/>
  <c r="M20" i="34"/>
  <c r="H20" i="34"/>
  <c r="R19" i="34"/>
  <c r="M19" i="34"/>
  <c r="H19" i="34"/>
  <c r="R18" i="34"/>
  <c r="M18" i="34"/>
  <c r="H18" i="34"/>
  <c r="Q17" i="34"/>
  <c r="Q16" i="34" s="1"/>
  <c r="Q15" i="34" s="1"/>
  <c r="P17" i="34"/>
  <c r="O17" i="34"/>
  <c r="L17" i="34"/>
  <c r="K17" i="34"/>
  <c r="K16" i="34" s="1"/>
  <c r="K15" i="34" s="1"/>
  <c r="J17" i="34"/>
  <c r="G17" i="34"/>
  <c r="F17" i="34"/>
  <c r="F16" i="34" s="1"/>
  <c r="F15" i="34" s="1"/>
  <c r="E17" i="34"/>
  <c r="P16" i="34"/>
  <c r="O16" i="34"/>
  <c r="R16" i="34" s="1"/>
  <c r="L16" i="34"/>
  <c r="L15" i="34" s="1"/>
  <c r="L14" i="34" s="1"/>
  <c r="J16" i="34"/>
  <c r="G16" i="34"/>
  <c r="P15" i="34"/>
  <c r="J15" i="34"/>
  <c r="G15" i="34"/>
  <c r="G14" i="34" s="1"/>
  <c r="Q14" i="34"/>
  <c r="R13" i="34"/>
  <c r="M13" i="34"/>
  <c r="H13" i="34"/>
  <c r="R12" i="34"/>
  <c r="M12" i="34"/>
  <c r="H12" i="34"/>
  <c r="R11" i="34"/>
  <c r="M11" i="34"/>
  <c r="H11" i="34"/>
  <c r="R260" i="232"/>
  <c r="M260" i="232"/>
  <c r="H260" i="232"/>
  <c r="R259" i="232"/>
  <c r="M259" i="232"/>
  <c r="H259" i="232"/>
  <c r="R258" i="232"/>
  <c r="M258" i="232"/>
  <c r="H258" i="232"/>
  <c r="Q257" i="232"/>
  <c r="P257" i="232"/>
  <c r="P249" i="232" s="1"/>
  <c r="O257" i="232"/>
  <c r="L257" i="232"/>
  <c r="K257" i="232"/>
  <c r="J257" i="232"/>
  <c r="G257" i="232"/>
  <c r="F257" i="232"/>
  <c r="E257" i="232"/>
  <c r="H257" i="232" s="1"/>
  <c r="R256" i="232"/>
  <c r="M256" i="232"/>
  <c r="H256" i="232"/>
  <c r="R255" i="232"/>
  <c r="M255" i="232"/>
  <c r="H255" i="232"/>
  <c r="R254" i="232"/>
  <c r="M254" i="232"/>
  <c r="H254" i="232"/>
  <c r="Q253" i="232"/>
  <c r="P253" i="232"/>
  <c r="O253" i="232"/>
  <c r="R253" i="232" s="1"/>
  <c r="L253" i="232"/>
  <c r="K253" i="232"/>
  <c r="J253" i="232"/>
  <c r="G253" i="232"/>
  <c r="F253" i="232"/>
  <c r="E253" i="232"/>
  <c r="R252" i="232"/>
  <c r="M252" i="232"/>
  <c r="H252" i="232"/>
  <c r="R251" i="232"/>
  <c r="M251" i="232"/>
  <c r="H251" i="232"/>
  <c r="Q250" i="232"/>
  <c r="Q249" i="232" s="1"/>
  <c r="P250" i="232"/>
  <c r="O250" i="232"/>
  <c r="L250" i="232"/>
  <c r="L249" i="232" s="1"/>
  <c r="K250" i="232"/>
  <c r="K249" i="232" s="1"/>
  <c r="J250" i="232"/>
  <c r="G250" i="232"/>
  <c r="F250" i="232"/>
  <c r="E250" i="232"/>
  <c r="O249" i="232"/>
  <c r="R249" i="232" s="1"/>
  <c r="G249" i="232"/>
  <c r="F249" i="232"/>
  <c r="R247" i="232"/>
  <c r="M247" i="232"/>
  <c r="H247" i="232"/>
  <c r="R246" i="232"/>
  <c r="M246" i="232"/>
  <c r="H246" i="232"/>
  <c r="R245" i="232"/>
  <c r="M245" i="232"/>
  <c r="H245" i="232"/>
  <c r="Q244" i="232"/>
  <c r="P244" i="232"/>
  <c r="R244" i="232" s="1"/>
  <c r="O244" i="232"/>
  <c r="L244" i="232"/>
  <c r="K244" i="232"/>
  <c r="J244" i="232"/>
  <c r="G244" i="232"/>
  <c r="F244" i="232"/>
  <c r="E244" i="232"/>
  <c r="R243" i="232"/>
  <c r="M243" i="232"/>
  <c r="H243" i="232"/>
  <c r="R242" i="232"/>
  <c r="M242" i="232"/>
  <c r="H242" i="232"/>
  <c r="R241" i="232"/>
  <c r="M241" i="232"/>
  <c r="H241" i="232"/>
  <c r="Q240" i="232"/>
  <c r="P240" i="232"/>
  <c r="O240" i="232"/>
  <c r="L240" i="232"/>
  <c r="K240" i="232"/>
  <c r="J240" i="232"/>
  <c r="G240" i="232"/>
  <c r="G233" i="232" s="1"/>
  <c r="G231" i="232" s="1"/>
  <c r="F240" i="232"/>
  <c r="F233" i="232" s="1"/>
  <c r="F231" i="232" s="1"/>
  <c r="H231" i="232" s="1"/>
  <c r="E240" i="232"/>
  <c r="R239" i="232"/>
  <c r="M239" i="232"/>
  <c r="H239" i="232"/>
  <c r="R238" i="232"/>
  <c r="M238" i="232"/>
  <c r="H238" i="232"/>
  <c r="R237" i="232"/>
  <c r="M237" i="232"/>
  <c r="H237" i="232"/>
  <c r="Q236" i="232"/>
  <c r="P236" i="232"/>
  <c r="R236" i="232" s="1"/>
  <c r="O236" i="232"/>
  <c r="L236" i="232"/>
  <c r="K236" i="232"/>
  <c r="J236" i="232"/>
  <c r="G236" i="232"/>
  <c r="F236" i="232"/>
  <c r="E236" i="232"/>
  <c r="R235" i="232"/>
  <c r="M235" i="232"/>
  <c r="H235" i="232"/>
  <c r="Q234" i="232"/>
  <c r="P234" i="232"/>
  <c r="P233" i="232" s="1"/>
  <c r="P231" i="232" s="1"/>
  <c r="O234" i="232"/>
  <c r="L234" i="232"/>
  <c r="K234" i="232"/>
  <c r="J234" i="232"/>
  <c r="G234" i="232"/>
  <c r="F234" i="232"/>
  <c r="E234" i="232"/>
  <c r="H234" i="232" s="1"/>
  <c r="Q233" i="232"/>
  <c r="L233" i="232"/>
  <c r="L231" i="232" s="1"/>
  <c r="L203" i="232" s="1"/>
  <c r="K233" i="232"/>
  <c r="E233" i="232"/>
  <c r="R232" i="232"/>
  <c r="M232" i="232"/>
  <c r="H232" i="232"/>
  <c r="Q231" i="232"/>
  <c r="K231" i="232"/>
  <c r="E231" i="232"/>
  <c r="R230" i="232"/>
  <c r="M230" i="232"/>
  <c r="H230" i="232"/>
  <c r="R229" i="232"/>
  <c r="M229" i="232"/>
  <c r="H229" i="232"/>
  <c r="R228" i="232"/>
  <c r="M228" i="232"/>
  <c r="H228" i="232"/>
  <c r="Q227" i="232"/>
  <c r="P227" i="232"/>
  <c r="O227" i="232"/>
  <c r="R227" i="232" s="1"/>
  <c r="L227" i="232"/>
  <c r="K227" i="232"/>
  <c r="J227" i="232"/>
  <c r="M227" i="232" s="1"/>
  <c r="G227" i="232"/>
  <c r="F227" i="232"/>
  <c r="E227" i="232"/>
  <c r="R226" i="232"/>
  <c r="M226" i="232"/>
  <c r="H226" i="232"/>
  <c r="R225" i="232"/>
  <c r="M225" i="232"/>
  <c r="H225" i="232"/>
  <c r="R224" i="232"/>
  <c r="M224" i="232"/>
  <c r="H224" i="232"/>
  <c r="Q223" i="232"/>
  <c r="Q216" i="232" s="1"/>
  <c r="Q204" i="232" s="1"/>
  <c r="Q203" i="232" s="1"/>
  <c r="P223" i="232"/>
  <c r="O223" i="232"/>
  <c r="L223" i="232"/>
  <c r="L216" i="232" s="1"/>
  <c r="K223" i="232"/>
  <c r="M223" i="232" s="1"/>
  <c r="J223" i="232"/>
  <c r="G223" i="232"/>
  <c r="F223" i="232"/>
  <c r="E223" i="232"/>
  <c r="E216" i="232" s="1"/>
  <c r="R222" i="232"/>
  <c r="M222" i="232"/>
  <c r="H222" i="232"/>
  <c r="R221" i="232"/>
  <c r="M221" i="232"/>
  <c r="H221" i="232"/>
  <c r="R220" i="232"/>
  <c r="M220" i="232"/>
  <c r="H220" i="232"/>
  <c r="Q219" i="232"/>
  <c r="P219" i="232"/>
  <c r="O219" i="232"/>
  <c r="R219" i="232" s="1"/>
  <c r="L219" i="232"/>
  <c r="K219" i="232"/>
  <c r="J219" i="232"/>
  <c r="M219" i="232" s="1"/>
  <c r="G219" i="232"/>
  <c r="F219" i="232"/>
  <c r="E219" i="232"/>
  <c r="R218" i="232"/>
  <c r="M218" i="232"/>
  <c r="H218" i="232"/>
  <c r="Q217" i="232"/>
  <c r="P217" i="232"/>
  <c r="O217" i="232"/>
  <c r="O216" i="232" s="1"/>
  <c r="L217" i="232"/>
  <c r="K217" i="232"/>
  <c r="J217" i="232"/>
  <c r="G217" i="232"/>
  <c r="G216" i="232" s="1"/>
  <c r="F217" i="232"/>
  <c r="E217" i="232"/>
  <c r="P216" i="232"/>
  <c r="K216" i="232"/>
  <c r="J216" i="232"/>
  <c r="M216" i="232" s="1"/>
  <c r="R215" i="232"/>
  <c r="M215" i="232"/>
  <c r="H215" i="232"/>
  <c r="R214" i="232"/>
  <c r="M214" i="232"/>
  <c r="H214" i="232"/>
  <c r="Q213" i="232"/>
  <c r="P213" i="232"/>
  <c r="O213" i="232"/>
  <c r="L213" i="232"/>
  <c r="K213" i="232"/>
  <c r="J213" i="232"/>
  <c r="G213" i="232"/>
  <c r="F213" i="232"/>
  <c r="E213" i="232"/>
  <c r="R212" i="232"/>
  <c r="M212" i="232"/>
  <c r="H212" i="232"/>
  <c r="R211" i="232"/>
  <c r="M211" i="232"/>
  <c r="H211" i="232"/>
  <c r="Q210" i="232"/>
  <c r="P210" i="232"/>
  <c r="O210" i="232"/>
  <c r="L210" i="232"/>
  <c r="L204" i="232" s="1"/>
  <c r="K210" i="232"/>
  <c r="J210" i="232"/>
  <c r="G210" i="232"/>
  <c r="F210" i="232"/>
  <c r="E210" i="232"/>
  <c r="R209" i="232"/>
  <c r="M209" i="232"/>
  <c r="H209" i="232"/>
  <c r="R208" i="232"/>
  <c r="M208" i="232"/>
  <c r="H208" i="232"/>
  <c r="R207" i="232"/>
  <c r="M207" i="232"/>
  <c r="H207" i="232"/>
  <c r="R206" i="232"/>
  <c r="M206" i="232"/>
  <c r="H206" i="232"/>
  <c r="Q205" i="232"/>
  <c r="P205" i="232"/>
  <c r="O205" i="232"/>
  <c r="O204" i="232" s="1"/>
  <c r="L205" i="232"/>
  <c r="K205" i="232"/>
  <c r="J205" i="232"/>
  <c r="G205" i="232"/>
  <c r="G204" i="232" s="1"/>
  <c r="G203" i="232" s="1"/>
  <c r="F205" i="232"/>
  <c r="E205" i="232"/>
  <c r="P204" i="232"/>
  <c r="K204" i="232"/>
  <c r="J204" i="232"/>
  <c r="K203" i="232"/>
  <c r="R202" i="232"/>
  <c r="M202" i="232"/>
  <c r="H202" i="232"/>
  <c r="R201" i="232"/>
  <c r="M201" i="232"/>
  <c r="H201" i="232"/>
  <c r="Q200" i="232"/>
  <c r="P200" i="232"/>
  <c r="R200" i="232" s="1"/>
  <c r="O200" i="232"/>
  <c r="L200" i="232"/>
  <c r="K200" i="232"/>
  <c r="J200" i="232"/>
  <c r="G200" i="232"/>
  <c r="F200" i="232"/>
  <c r="E200" i="232"/>
  <c r="R199" i="232"/>
  <c r="M199" i="232"/>
  <c r="H199" i="232"/>
  <c r="R198" i="232"/>
  <c r="M198" i="232"/>
  <c r="H198" i="232"/>
  <c r="R197" i="232"/>
  <c r="M197" i="232"/>
  <c r="H197" i="232"/>
  <c r="R196" i="232"/>
  <c r="M196" i="232"/>
  <c r="H196" i="232"/>
  <c r="Q195" i="232"/>
  <c r="Q194" i="232" s="1"/>
  <c r="P195" i="232"/>
  <c r="O195" i="232"/>
  <c r="L195" i="232"/>
  <c r="K195" i="232"/>
  <c r="M195" i="232" s="1"/>
  <c r="J195" i="232"/>
  <c r="G195" i="232"/>
  <c r="F195" i="232"/>
  <c r="E195" i="232"/>
  <c r="C195" i="232"/>
  <c r="C194" i="232" s="1"/>
  <c r="O194" i="232"/>
  <c r="L194" i="232"/>
  <c r="J194" i="232"/>
  <c r="G194" i="232"/>
  <c r="E194" i="232"/>
  <c r="R193" i="232"/>
  <c r="M193" i="232"/>
  <c r="H193" i="232"/>
  <c r="R192" i="232"/>
  <c r="M192" i="232"/>
  <c r="H192" i="232"/>
  <c r="R191" i="232"/>
  <c r="M191" i="232"/>
  <c r="H191" i="232"/>
  <c r="Q190" i="232"/>
  <c r="P190" i="232"/>
  <c r="O190" i="232"/>
  <c r="R190" i="232" s="1"/>
  <c r="L190" i="232"/>
  <c r="L189" i="232" s="1"/>
  <c r="K190" i="232"/>
  <c r="J190" i="232"/>
  <c r="G190" i="232"/>
  <c r="F190" i="232"/>
  <c r="F189" i="232" s="1"/>
  <c r="E190" i="232"/>
  <c r="Q189" i="232"/>
  <c r="P189" i="232"/>
  <c r="P182" i="232" s="1"/>
  <c r="K189" i="232"/>
  <c r="J189" i="232"/>
  <c r="M189" i="232" s="1"/>
  <c r="G189" i="232"/>
  <c r="E189" i="232"/>
  <c r="R188" i="232"/>
  <c r="M188" i="232"/>
  <c r="H188" i="232"/>
  <c r="R187" i="232"/>
  <c r="M187" i="232"/>
  <c r="H187" i="232"/>
  <c r="R186" i="232"/>
  <c r="M186" i="232"/>
  <c r="H186" i="232"/>
  <c r="Q185" i="232"/>
  <c r="Q184" i="232" s="1"/>
  <c r="Q183" i="232" s="1"/>
  <c r="Q182" i="232" s="1"/>
  <c r="Q178" i="232" s="1"/>
  <c r="Q248" i="232" s="1"/>
  <c r="P185" i="232"/>
  <c r="O185" i="232"/>
  <c r="L185" i="232"/>
  <c r="K185" i="232"/>
  <c r="J185" i="232"/>
  <c r="G185" i="232"/>
  <c r="F185" i="232"/>
  <c r="F184" i="232" s="1"/>
  <c r="E185" i="232"/>
  <c r="E184" i="232" s="1"/>
  <c r="E183" i="232" s="1"/>
  <c r="E182" i="232" s="1"/>
  <c r="E178" i="232" s="1"/>
  <c r="P184" i="232"/>
  <c r="O184" i="232"/>
  <c r="L184" i="232"/>
  <c r="L183" i="232" s="1"/>
  <c r="L182" i="232" s="1"/>
  <c r="J184" i="232"/>
  <c r="G184" i="232"/>
  <c r="G183" i="232" s="1"/>
  <c r="G182" i="232" s="1"/>
  <c r="G178" i="232" s="1"/>
  <c r="G248" i="232" s="1"/>
  <c r="P183" i="232"/>
  <c r="O183" i="232"/>
  <c r="J183" i="232"/>
  <c r="J182" i="232" s="1"/>
  <c r="J178" i="232" s="1"/>
  <c r="R181" i="232"/>
  <c r="M181" i="232"/>
  <c r="H181" i="232"/>
  <c r="R180" i="232"/>
  <c r="M180" i="232"/>
  <c r="H180" i="232"/>
  <c r="R179" i="232"/>
  <c r="M179" i="232"/>
  <c r="H179" i="232"/>
  <c r="L178" i="232"/>
  <c r="R177" i="232"/>
  <c r="M177" i="232"/>
  <c r="H177" i="232"/>
  <c r="R176" i="232"/>
  <c r="M176" i="232"/>
  <c r="H176" i="232"/>
  <c r="R175" i="232"/>
  <c r="M175" i="232"/>
  <c r="H175" i="232"/>
  <c r="R174" i="232"/>
  <c r="M174" i="232"/>
  <c r="H174" i="232"/>
  <c r="Q173" i="232"/>
  <c r="P173" i="232"/>
  <c r="P165" i="232" s="1"/>
  <c r="O173" i="232"/>
  <c r="L173" i="232"/>
  <c r="K173" i="232"/>
  <c r="J173" i="232"/>
  <c r="G173" i="232"/>
  <c r="F173" i="232"/>
  <c r="E173" i="232"/>
  <c r="H173" i="232" s="1"/>
  <c r="R172" i="232"/>
  <c r="M172" i="232"/>
  <c r="H172" i="232"/>
  <c r="R171" i="232"/>
  <c r="M171" i="232"/>
  <c r="H171" i="232"/>
  <c r="R170" i="232"/>
  <c r="M170" i="232"/>
  <c r="H170" i="232"/>
  <c r="Q169" i="232"/>
  <c r="P169" i="232"/>
  <c r="O169" i="232"/>
  <c r="L169" i="232"/>
  <c r="K169" i="232"/>
  <c r="J169" i="232"/>
  <c r="G169" i="232"/>
  <c r="F169" i="232"/>
  <c r="H169" i="232" s="1"/>
  <c r="E169" i="232"/>
  <c r="R168" i="232"/>
  <c r="M168" i="232"/>
  <c r="H168" i="232"/>
  <c r="R167" i="232"/>
  <c r="M167" i="232"/>
  <c r="H167" i="232"/>
  <c r="Q166" i="232"/>
  <c r="Q165" i="232" s="1"/>
  <c r="P166" i="232"/>
  <c r="O166" i="232"/>
  <c r="L166" i="232"/>
  <c r="L165" i="232" s="1"/>
  <c r="K166" i="232"/>
  <c r="J166" i="232"/>
  <c r="G166" i="232"/>
  <c r="F166" i="232"/>
  <c r="E166" i="232"/>
  <c r="E165" i="232" s="1"/>
  <c r="O165" i="232"/>
  <c r="G165" i="232"/>
  <c r="F165" i="232"/>
  <c r="H165" i="232" s="1"/>
  <c r="R163" i="232"/>
  <c r="M163" i="232"/>
  <c r="H163" i="232"/>
  <c r="R162" i="232"/>
  <c r="M162" i="232"/>
  <c r="H162" i="232"/>
  <c r="R161" i="232"/>
  <c r="M161" i="232"/>
  <c r="H161" i="232"/>
  <c r="Q160" i="232"/>
  <c r="P160" i="232"/>
  <c r="O160" i="232"/>
  <c r="L160" i="232"/>
  <c r="K160" i="232"/>
  <c r="J160" i="232"/>
  <c r="M160" i="232" s="1"/>
  <c r="G160" i="232"/>
  <c r="F160" i="232"/>
  <c r="E160" i="232"/>
  <c r="H160" i="232" s="1"/>
  <c r="R159" i="232"/>
  <c r="M159" i="232"/>
  <c r="H159" i="232"/>
  <c r="R158" i="232"/>
  <c r="M158" i="232"/>
  <c r="H158" i="232"/>
  <c r="R157" i="232"/>
  <c r="M157" i="232"/>
  <c r="H157" i="232"/>
  <c r="Q156" i="232"/>
  <c r="P156" i="232"/>
  <c r="O156" i="232"/>
  <c r="L156" i="232"/>
  <c r="K156" i="232"/>
  <c r="J156" i="232"/>
  <c r="G156" i="232"/>
  <c r="F156" i="232"/>
  <c r="H156" i="232" s="1"/>
  <c r="E156" i="232"/>
  <c r="R155" i="232"/>
  <c r="M155" i="232"/>
  <c r="H155" i="232"/>
  <c r="R154" i="232"/>
  <c r="M154" i="232"/>
  <c r="H154" i="232"/>
  <c r="R153" i="232"/>
  <c r="M153" i="232"/>
  <c r="H153" i="232"/>
  <c r="Q152" i="232"/>
  <c r="Q150" i="232" s="1"/>
  <c r="Q149" i="232" s="1"/>
  <c r="Q147" i="232" s="1"/>
  <c r="P152" i="232"/>
  <c r="P150" i="232" s="1"/>
  <c r="P149" i="232" s="1"/>
  <c r="P147" i="232" s="1"/>
  <c r="O152" i="232"/>
  <c r="L152" i="232"/>
  <c r="L150" i="232" s="1"/>
  <c r="K152" i="232"/>
  <c r="J152" i="232"/>
  <c r="M152" i="232" s="1"/>
  <c r="G152" i="232"/>
  <c r="G150" i="232" s="1"/>
  <c r="F152" i="232"/>
  <c r="E152" i="232"/>
  <c r="H152" i="232" s="1"/>
  <c r="R151" i="232"/>
  <c r="M151" i="232"/>
  <c r="H151" i="232"/>
  <c r="K150" i="232"/>
  <c r="F150" i="232"/>
  <c r="K149" i="232"/>
  <c r="K147" i="232" s="1"/>
  <c r="R148" i="232"/>
  <c r="M148" i="232"/>
  <c r="H148" i="232"/>
  <c r="R146" i="232"/>
  <c r="M146" i="232"/>
  <c r="H146" i="232"/>
  <c r="R145" i="232"/>
  <c r="M145" i="232"/>
  <c r="H145" i="232"/>
  <c r="R144" i="232"/>
  <c r="M144" i="232"/>
  <c r="H144" i="232"/>
  <c r="Q143" i="232"/>
  <c r="P143" i="232"/>
  <c r="O143" i="232"/>
  <c r="L143" i="232"/>
  <c r="K143" i="232"/>
  <c r="J143" i="232"/>
  <c r="G143" i="232"/>
  <c r="F143" i="232"/>
  <c r="E143" i="232"/>
  <c r="R142" i="232"/>
  <c r="M142" i="232"/>
  <c r="H142" i="232"/>
  <c r="R141" i="232"/>
  <c r="M141" i="232"/>
  <c r="H141" i="232"/>
  <c r="R140" i="232"/>
  <c r="M140" i="232"/>
  <c r="H140" i="232"/>
  <c r="Q139" i="232"/>
  <c r="Q132" i="232" s="1"/>
  <c r="P139" i="232"/>
  <c r="O139" i="232"/>
  <c r="L139" i="232"/>
  <c r="K139" i="232"/>
  <c r="J139" i="232"/>
  <c r="G139" i="232"/>
  <c r="F139" i="232"/>
  <c r="E139" i="232"/>
  <c r="H139" i="232" s="1"/>
  <c r="R138" i="232"/>
  <c r="M138" i="232"/>
  <c r="H138" i="232"/>
  <c r="R137" i="232"/>
  <c r="M137" i="232"/>
  <c r="H137" i="232"/>
  <c r="R136" i="232"/>
  <c r="M136" i="232"/>
  <c r="H136" i="232"/>
  <c r="Q135" i="232"/>
  <c r="P135" i="232"/>
  <c r="O135" i="232"/>
  <c r="O133" i="232" s="1"/>
  <c r="O132" i="232" s="1"/>
  <c r="L135" i="232"/>
  <c r="K135" i="232"/>
  <c r="J135" i="232"/>
  <c r="G135" i="232"/>
  <c r="G133" i="232" s="1"/>
  <c r="G132" i="232" s="1"/>
  <c r="F135" i="232"/>
  <c r="E135" i="232"/>
  <c r="E133" i="232" s="1"/>
  <c r="R134" i="232"/>
  <c r="M134" i="232"/>
  <c r="H134" i="232"/>
  <c r="Q133" i="232"/>
  <c r="L133" i="232"/>
  <c r="L132" i="232" s="1"/>
  <c r="J133" i="232"/>
  <c r="J132" i="232" s="1"/>
  <c r="E132" i="232"/>
  <c r="R131" i="232"/>
  <c r="M131" i="232"/>
  <c r="H131" i="232"/>
  <c r="R130" i="232"/>
  <c r="M130" i="232"/>
  <c r="H130" i="232"/>
  <c r="Q129" i="232"/>
  <c r="P129" i="232"/>
  <c r="O129" i="232"/>
  <c r="L129" i="232"/>
  <c r="K129" i="232"/>
  <c r="J129" i="232"/>
  <c r="M129" i="232" s="1"/>
  <c r="G129" i="232"/>
  <c r="F129" i="232"/>
  <c r="E129" i="232"/>
  <c r="H129" i="232" s="1"/>
  <c r="R128" i="232"/>
  <c r="M128" i="232"/>
  <c r="H128" i="232"/>
  <c r="R127" i="232"/>
  <c r="M127" i="232"/>
  <c r="H127" i="232"/>
  <c r="Q126" i="232"/>
  <c r="P126" i="232"/>
  <c r="O126" i="232"/>
  <c r="R126" i="232" s="1"/>
  <c r="L126" i="232"/>
  <c r="K126" i="232"/>
  <c r="J126" i="232"/>
  <c r="M126" i="232" s="1"/>
  <c r="G126" i="232"/>
  <c r="F126" i="232"/>
  <c r="E126" i="232"/>
  <c r="R125" i="232"/>
  <c r="M125" i="232"/>
  <c r="H125" i="232"/>
  <c r="R124" i="232"/>
  <c r="M124" i="232"/>
  <c r="H124" i="232"/>
  <c r="E124" i="232"/>
  <c r="R123" i="232"/>
  <c r="M123" i="232"/>
  <c r="H123" i="232"/>
  <c r="E123" i="232"/>
  <c r="R122" i="232"/>
  <c r="M122" i="232"/>
  <c r="H122" i="232"/>
  <c r="E122" i="232"/>
  <c r="Q121" i="232"/>
  <c r="P121" i="232"/>
  <c r="O121" i="232"/>
  <c r="L121" i="232"/>
  <c r="K121" i="232"/>
  <c r="J121" i="232"/>
  <c r="G121" i="232"/>
  <c r="F121" i="232"/>
  <c r="E121" i="232"/>
  <c r="R118" i="232"/>
  <c r="M118" i="232"/>
  <c r="H118" i="232"/>
  <c r="R117" i="232"/>
  <c r="M117" i="232"/>
  <c r="H117" i="232"/>
  <c r="Q116" i="232"/>
  <c r="P116" i="232"/>
  <c r="O116" i="232"/>
  <c r="L116" i="232"/>
  <c r="K116" i="232"/>
  <c r="J116" i="232"/>
  <c r="G116" i="232"/>
  <c r="F116" i="232"/>
  <c r="H116" i="232" s="1"/>
  <c r="E116" i="232"/>
  <c r="R115" i="232"/>
  <c r="M115" i="232"/>
  <c r="H115" i="232"/>
  <c r="R114" i="232"/>
  <c r="M114" i="232"/>
  <c r="H114" i="232"/>
  <c r="R113" i="232"/>
  <c r="M113" i="232"/>
  <c r="H113" i="232"/>
  <c r="R112" i="232"/>
  <c r="M112" i="232"/>
  <c r="H112" i="232"/>
  <c r="Q111" i="232"/>
  <c r="P111" i="232"/>
  <c r="O111" i="232"/>
  <c r="O110" i="232" s="1"/>
  <c r="L111" i="232"/>
  <c r="K111" i="232"/>
  <c r="J111" i="232"/>
  <c r="J110" i="232" s="1"/>
  <c r="G111" i="232"/>
  <c r="G110" i="232" s="1"/>
  <c r="F111" i="232"/>
  <c r="E111" i="232"/>
  <c r="C111" i="232"/>
  <c r="C110" i="232" s="1"/>
  <c r="Q110" i="232"/>
  <c r="L110" i="232"/>
  <c r="E110" i="232"/>
  <c r="R109" i="232"/>
  <c r="M109" i="232"/>
  <c r="H109" i="232"/>
  <c r="R108" i="232"/>
  <c r="M108" i="232"/>
  <c r="H108" i="232"/>
  <c r="R107" i="232"/>
  <c r="M107" i="232"/>
  <c r="H107" i="232"/>
  <c r="Q106" i="232"/>
  <c r="P106" i="232"/>
  <c r="P105" i="232" s="1"/>
  <c r="O106" i="232"/>
  <c r="L106" i="232"/>
  <c r="K106" i="232"/>
  <c r="J106" i="232"/>
  <c r="G106" i="232"/>
  <c r="F106" i="232"/>
  <c r="E106" i="232"/>
  <c r="H106" i="232" s="1"/>
  <c r="Q105" i="232"/>
  <c r="O105" i="232"/>
  <c r="L105" i="232"/>
  <c r="K105" i="232"/>
  <c r="G105" i="232"/>
  <c r="F105" i="232"/>
  <c r="R104" i="232"/>
  <c r="M104" i="232"/>
  <c r="H104" i="232"/>
  <c r="R103" i="232"/>
  <c r="M103" i="232"/>
  <c r="H103" i="232"/>
  <c r="R102" i="232"/>
  <c r="M102" i="232"/>
  <c r="H102" i="232"/>
  <c r="Q101" i="232"/>
  <c r="P101" i="232"/>
  <c r="R101" i="232" s="1"/>
  <c r="O101" i="232"/>
  <c r="O100" i="232" s="1"/>
  <c r="O99" i="232" s="1"/>
  <c r="L101" i="232"/>
  <c r="K101" i="232"/>
  <c r="J101" i="232"/>
  <c r="G101" i="232"/>
  <c r="G100" i="232" s="1"/>
  <c r="G99" i="232" s="1"/>
  <c r="F101" i="232"/>
  <c r="E101" i="232"/>
  <c r="Q100" i="232"/>
  <c r="Q99" i="232" s="1"/>
  <c r="L100" i="232"/>
  <c r="K100" i="232"/>
  <c r="K99" i="232" s="1"/>
  <c r="J100" i="232"/>
  <c r="J99" i="232" s="1"/>
  <c r="F100" i="232"/>
  <c r="E100" i="232"/>
  <c r="L99" i="232"/>
  <c r="F99" i="232"/>
  <c r="E99" i="232"/>
  <c r="F98" i="232"/>
  <c r="F94" i="232" s="1"/>
  <c r="R97" i="232"/>
  <c r="M97" i="232"/>
  <c r="H97" i="232"/>
  <c r="R96" i="232"/>
  <c r="M96" i="232"/>
  <c r="H96" i="232"/>
  <c r="R95" i="232"/>
  <c r="M95" i="232"/>
  <c r="H95" i="232"/>
  <c r="R93" i="232"/>
  <c r="M93" i="232"/>
  <c r="H93" i="232"/>
  <c r="R92" i="232"/>
  <c r="M92" i="232"/>
  <c r="H92" i="232"/>
  <c r="R91" i="232"/>
  <c r="M91" i="232"/>
  <c r="H91" i="232"/>
  <c r="R90" i="232"/>
  <c r="M90" i="232"/>
  <c r="H90" i="232"/>
  <c r="Q89" i="232"/>
  <c r="P89" i="232"/>
  <c r="O89" i="232"/>
  <c r="R89" i="232" s="1"/>
  <c r="L89" i="232"/>
  <c r="L81" i="232" s="1"/>
  <c r="K89" i="232"/>
  <c r="J89" i="232"/>
  <c r="G89" i="232"/>
  <c r="G81" i="232" s="1"/>
  <c r="F89" i="232"/>
  <c r="F81" i="232" s="1"/>
  <c r="E89" i="232"/>
  <c r="R88" i="232"/>
  <c r="M88" i="232"/>
  <c r="H88" i="232"/>
  <c r="R87" i="232"/>
  <c r="M87" i="232"/>
  <c r="H87" i="232"/>
  <c r="R86" i="232"/>
  <c r="M86" i="232"/>
  <c r="H86" i="232"/>
  <c r="Q85" i="232"/>
  <c r="P85" i="232"/>
  <c r="O85" i="232"/>
  <c r="L85" i="232"/>
  <c r="K85" i="232"/>
  <c r="M85" i="232" s="1"/>
  <c r="J85" i="232"/>
  <c r="G85" i="232"/>
  <c r="F85" i="232"/>
  <c r="E85" i="232"/>
  <c r="R84" i="232"/>
  <c r="M84" i="232"/>
  <c r="H84" i="232"/>
  <c r="R83" i="232"/>
  <c r="M83" i="232"/>
  <c r="H83" i="232"/>
  <c r="Q82" i="232"/>
  <c r="P82" i="232"/>
  <c r="R82" i="232" s="1"/>
  <c r="O82" i="232"/>
  <c r="L82" i="232"/>
  <c r="K82" i="232"/>
  <c r="J82" i="232"/>
  <c r="G82" i="232"/>
  <c r="F82" i="232"/>
  <c r="E82" i="232"/>
  <c r="P81" i="232"/>
  <c r="R79" i="232"/>
  <c r="M79" i="232"/>
  <c r="H79" i="232"/>
  <c r="R78" i="232"/>
  <c r="M78" i="232"/>
  <c r="H78" i="232"/>
  <c r="R77" i="232"/>
  <c r="M77" i="232"/>
  <c r="H77" i="232"/>
  <c r="Q76" i="232"/>
  <c r="P76" i="232"/>
  <c r="O76" i="232"/>
  <c r="L76" i="232"/>
  <c r="K76" i="232"/>
  <c r="J76" i="232"/>
  <c r="M76" i="232" s="1"/>
  <c r="G76" i="232"/>
  <c r="F76" i="232"/>
  <c r="E76" i="232"/>
  <c r="H76" i="232" s="1"/>
  <c r="R75" i="232"/>
  <c r="M75" i="232"/>
  <c r="H75" i="232"/>
  <c r="R74" i="232"/>
  <c r="M74" i="232"/>
  <c r="H74" i="232"/>
  <c r="R73" i="232"/>
  <c r="M73" i="232"/>
  <c r="H73" i="232"/>
  <c r="Q72" i="232"/>
  <c r="P72" i="232"/>
  <c r="O72" i="232"/>
  <c r="L72" i="232"/>
  <c r="K72" i="232"/>
  <c r="J72" i="232"/>
  <c r="G72" i="232"/>
  <c r="F72" i="232"/>
  <c r="H72" i="232" s="1"/>
  <c r="E72" i="232"/>
  <c r="R71" i="232"/>
  <c r="M71" i="232"/>
  <c r="H71" i="232"/>
  <c r="R70" i="232"/>
  <c r="M70" i="232"/>
  <c r="H70" i="232"/>
  <c r="R69" i="232"/>
  <c r="M69" i="232"/>
  <c r="H69" i="232"/>
  <c r="Q68" i="232"/>
  <c r="Q66" i="232" s="1"/>
  <c r="Q65" i="232" s="1"/>
  <c r="Q63" i="232" s="1"/>
  <c r="P68" i="232"/>
  <c r="P66" i="232" s="1"/>
  <c r="P65" i="232" s="1"/>
  <c r="P63" i="232" s="1"/>
  <c r="O68" i="232"/>
  <c r="L68" i="232"/>
  <c r="L66" i="232" s="1"/>
  <c r="K68" i="232"/>
  <c r="J68" i="232"/>
  <c r="M68" i="232" s="1"/>
  <c r="G68" i="232"/>
  <c r="G66" i="232" s="1"/>
  <c r="F68" i="232"/>
  <c r="E68" i="232"/>
  <c r="H68" i="232" s="1"/>
  <c r="R67" i="232"/>
  <c r="M67" i="232"/>
  <c r="H67" i="232"/>
  <c r="K66" i="232"/>
  <c r="K65" i="232" s="1"/>
  <c r="K63" i="232" s="1"/>
  <c r="F66" i="232"/>
  <c r="R64" i="232"/>
  <c r="M64" i="232"/>
  <c r="H64" i="232"/>
  <c r="R62" i="232"/>
  <c r="M62" i="232"/>
  <c r="H62" i="232"/>
  <c r="R61" i="232"/>
  <c r="M61" i="232"/>
  <c r="H61" i="232"/>
  <c r="R60" i="232"/>
  <c r="M60" i="232"/>
  <c r="H60" i="232"/>
  <c r="Q59" i="232"/>
  <c r="P59" i="232"/>
  <c r="O59" i="232"/>
  <c r="L59" i="232"/>
  <c r="K59" i="232"/>
  <c r="J59" i="232"/>
  <c r="G59" i="232"/>
  <c r="F59" i="232"/>
  <c r="H59" i="232" s="1"/>
  <c r="E59" i="232"/>
  <c r="R58" i="232"/>
  <c r="M58" i="232"/>
  <c r="H58" i="232"/>
  <c r="R57" i="232"/>
  <c r="M57" i="232"/>
  <c r="H57" i="232"/>
  <c r="R56" i="232"/>
  <c r="M56" i="232"/>
  <c r="H56" i="232"/>
  <c r="Q55" i="232"/>
  <c r="P55" i="232"/>
  <c r="O55" i="232"/>
  <c r="L55" i="232"/>
  <c r="K55" i="232"/>
  <c r="J55" i="232"/>
  <c r="M55" i="232" s="1"/>
  <c r="G55" i="232"/>
  <c r="F55" i="232"/>
  <c r="E55" i="232"/>
  <c r="H55" i="232" s="1"/>
  <c r="R54" i="232"/>
  <c r="M54" i="232"/>
  <c r="H54" i="232"/>
  <c r="R53" i="232"/>
  <c r="M53" i="232"/>
  <c r="H53" i="232"/>
  <c r="R52" i="232"/>
  <c r="M52" i="232"/>
  <c r="H52" i="232"/>
  <c r="Q51" i="232"/>
  <c r="P51" i="232"/>
  <c r="O51" i="232"/>
  <c r="O49" i="232" s="1"/>
  <c r="O48" i="232" s="1"/>
  <c r="L51" i="232"/>
  <c r="L49" i="232" s="1"/>
  <c r="L48" i="232" s="1"/>
  <c r="K51" i="232"/>
  <c r="J51" i="232"/>
  <c r="G51" i="232"/>
  <c r="G49" i="232" s="1"/>
  <c r="F51" i="232"/>
  <c r="H51" i="232" s="1"/>
  <c r="E51" i="232"/>
  <c r="R50" i="232"/>
  <c r="M50" i="232"/>
  <c r="H50" i="232"/>
  <c r="Q49" i="232"/>
  <c r="J49" i="232"/>
  <c r="E49" i="232"/>
  <c r="Q48" i="232"/>
  <c r="G48" i="232"/>
  <c r="E48" i="232"/>
  <c r="R47" i="232"/>
  <c r="M47" i="232"/>
  <c r="H47" i="232"/>
  <c r="R46" i="232"/>
  <c r="M46" i="232"/>
  <c r="H46" i="232"/>
  <c r="Q45" i="232"/>
  <c r="P45" i="232"/>
  <c r="O45" i="232"/>
  <c r="L45" i="232"/>
  <c r="K45" i="232"/>
  <c r="J45" i="232"/>
  <c r="M45" i="232" s="1"/>
  <c r="G45" i="232"/>
  <c r="F45" i="232"/>
  <c r="E45" i="232"/>
  <c r="H45" i="232" s="1"/>
  <c r="R44" i="232"/>
  <c r="M44" i="232"/>
  <c r="H44" i="232"/>
  <c r="R43" i="232"/>
  <c r="M43" i="232"/>
  <c r="H43" i="232"/>
  <c r="Q42" i="232"/>
  <c r="P42" i="232"/>
  <c r="O42" i="232"/>
  <c r="R42" i="232" s="1"/>
  <c r="L42" i="232"/>
  <c r="K42" i="232"/>
  <c r="J42" i="232"/>
  <c r="M42" i="232" s="1"/>
  <c r="G42" i="232"/>
  <c r="F42" i="232"/>
  <c r="E42" i="232"/>
  <c r="R41" i="232"/>
  <c r="M41" i="232"/>
  <c r="H41" i="232"/>
  <c r="R40" i="232"/>
  <c r="M40" i="232"/>
  <c r="H40" i="232"/>
  <c r="E40" i="232"/>
  <c r="R39" i="232"/>
  <c r="M39" i="232"/>
  <c r="H39" i="232"/>
  <c r="E39" i="232"/>
  <c r="R38" i="232"/>
  <c r="M38" i="232"/>
  <c r="H38" i="232"/>
  <c r="E38" i="232"/>
  <c r="Q37" i="232"/>
  <c r="P37" i="232"/>
  <c r="O37" i="232"/>
  <c r="L37" i="232"/>
  <c r="K37" i="232"/>
  <c r="J37" i="232"/>
  <c r="G37" i="232"/>
  <c r="F37" i="232"/>
  <c r="E37" i="232"/>
  <c r="R34" i="232"/>
  <c r="M34" i="232"/>
  <c r="H34" i="232"/>
  <c r="R33" i="232"/>
  <c r="M33" i="232"/>
  <c r="H33" i="232"/>
  <c r="Q32" i="232"/>
  <c r="P32" i="232"/>
  <c r="O32" i="232"/>
  <c r="L32" i="232"/>
  <c r="K32" i="232"/>
  <c r="J32" i="232"/>
  <c r="G32" i="232"/>
  <c r="F32" i="232"/>
  <c r="H32" i="232" s="1"/>
  <c r="E32" i="232"/>
  <c r="R31" i="232"/>
  <c r="M31" i="232"/>
  <c r="H31" i="232"/>
  <c r="R30" i="232"/>
  <c r="M30" i="232"/>
  <c r="H30" i="232"/>
  <c r="R29" i="232"/>
  <c r="M29" i="232"/>
  <c r="H29" i="232"/>
  <c r="R28" i="232"/>
  <c r="M28" i="232"/>
  <c r="H28" i="232"/>
  <c r="Q27" i="232"/>
  <c r="P27" i="232"/>
  <c r="O27" i="232"/>
  <c r="O26" i="232" s="1"/>
  <c r="L27" i="232"/>
  <c r="K27" i="232"/>
  <c r="J27" i="232"/>
  <c r="J26" i="232" s="1"/>
  <c r="G27" i="232"/>
  <c r="G26" i="232" s="1"/>
  <c r="F27" i="232"/>
  <c r="E27" i="232"/>
  <c r="E26" i="232" s="1"/>
  <c r="C27" i="232"/>
  <c r="C26" i="232" s="1"/>
  <c r="Q26" i="232"/>
  <c r="L26" i="232"/>
  <c r="R25" i="232"/>
  <c r="M25" i="232"/>
  <c r="H25" i="232"/>
  <c r="R24" i="232"/>
  <c r="M24" i="232"/>
  <c r="H24" i="232"/>
  <c r="R23" i="232"/>
  <c r="M23" i="232"/>
  <c r="H23" i="232"/>
  <c r="Q22" i="232"/>
  <c r="Q21" i="232" s="1"/>
  <c r="Q14" i="232" s="1"/>
  <c r="Q10" i="232" s="1"/>
  <c r="P22" i="232"/>
  <c r="P21" i="232" s="1"/>
  <c r="O22" i="232"/>
  <c r="L22" i="232"/>
  <c r="K22" i="232"/>
  <c r="J22" i="232"/>
  <c r="G22" i="232"/>
  <c r="F22" i="232"/>
  <c r="E22" i="232"/>
  <c r="H22" i="232" s="1"/>
  <c r="O21" i="232"/>
  <c r="L21" i="232"/>
  <c r="L14" i="232" s="1"/>
  <c r="L10" i="232" s="1"/>
  <c r="K21" i="232"/>
  <c r="G21" i="232"/>
  <c r="F21" i="232"/>
  <c r="R20" i="232"/>
  <c r="M20" i="232"/>
  <c r="H20" i="232"/>
  <c r="R19" i="232"/>
  <c r="M19" i="232"/>
  <c r="H19" i="232"/>
  <c r="R18" i="232"/>
  <c r="M18" i="232"/>
  <c r="H18" i="232"/>
  <c r="Q17" i="232"/>
  <c r="P17" i="232"/>
  <c r="O17" i="232"/>
  <c r="L17" i="232"/>
  <c r="K17" i="232"/>
  <c r="J17" i="232"/>
  <c r="G17" i="232"/>
  <c r="F17" i="232"/>
  <c r="E17" i="232"/>
  <c r="Q16" i="232"/>
  <c r="P16" i="232"/>
  <c r="O16" i="232"/>
  <c r="O15" i="232" s="1"/>
  <c r="L16" i="232"/>
  <c r="K16" i="232"/>
  <c r="J16" i="232"/>
  <c r="G16" i="232"/>
  <c r="G15" i="232" s="1"/>
  <c r="F16" i="232"/>
  <c r="E16" i="232"/>
  <c r="Q15" i="232"/>
  <c r="P15" i="232"/>
  <c r="L15" i="232"/>
  <c r="K15" i="232"/>
  <c r="J15" i="232"/>
  <c r="F15" i="232"/>
  <c r="E15" i="232"/>
  <c r="P14" i="232"/>
  <c r="P10" i="232" s="1"/>
  <c r="F14" i="232"/>
  <c r="R13" i="232"/>
  <c r="M13" i="232"/>
  <c r="H13" i="232"/>
  <c r="R12" i="232"/>
  <c r="M12" i="232"/>
  <c r="H12" i="232"/>
  <c r="R11" i="232"/>
  <c r="M11" i="232"/>
  <c r="H11" i="232"/>
  <c r="R260" i="102"/>
  <c r="M260" i="102"/>
  <c r="H260" i="102"/>
  <c r="R259" i="102"/>
  <c r="M259" i="102"/>
  <c r="H259" i="102"/>
  <c r="R258" i="102"/>
  <c r="M258" i="102"/>
  <c r="H258" i="102"/>
  <c r="Q257" i="102"/>
  <c r="P257" i="102"/>
  <c r="O257" i="102"/>
  <c r="L257" i="102"/>
  <c r="K257" i="102"/>
  <c r="J257" i="102"/>
  <c r="G257" i="102"/>
  <c r="F257" i="102"/>
  <c r="H257" i="102" s="1"/>
  <c r="E257" i="102"/>
  <c r="R256" i="102"/>
  <c r="M256" i="102"/>
  <c r="H256" i="102"/>
  <c r="R255" i="102"/>
  <c r="M255" i="102"/>
  <c r="H255" i="102"/>
  <c r="R254" i="102"/>
  <c r="M254" i="102"/>
  <c r="H254" i="102"/>
  <c r="Q253" i="102"/>
  <c r="P253" i="102"/>
  <c r="O253" i="102"/>
  <c r="L253" i="102"/>
  <c r="L249" i="102" s="1"/>
  <c r="K253" i="102"/>
  <c r="J253" i="102"/>
  <c r="M253" i="102" s="1"/>
  <c r="G253" i="102"/>
  <c r="F253" i="102"/>
  <c r="E253" i="102"/>
  <c r="H253" i="102" s="1"/>
  <c r="R252" i="102"/>
  <c r="M252" i="102"/>
  <c r="H252" i="102"/>
  <c r="R251" i="102"/>
  <c r="M251" i="102"/>
  <c r="H251" i="102"/>
  <c r="Q250" i="102"/>
  <c r="P250" i="102"/>
  <c r="O250" i="102"/>
  <c r="R250" i="102" s="1"/>
  <c r="L250" i="102"/>
  <c r="K250" i="102"/>
  <c r="J250" i="102"/>
  <c r="M250" i="102" s="1"/>
  <c r="G250" i="102"/>
  <c r="G249" i="102" s="1"/>
  <c r="F250" i="102"/>
  <c r="E250" i="102"/>
  <c r="Q249" i="102"/>
  <c r="O249" i="102"/>
  <c r="E249" i="102"/>
  <c r="R247" i="102"/>
  <c r="M247" i="102"/>
  <c r="H247" i="102"/>
  <c r="R246" i="102"/>
  <c r="M246" i="102"/>
  <c r="H246" i="102"/>
  <c r="R245" i="102"/>
  <c r="M245" i="102"/>
  <c r="H245" i="102"/>
  <c r="Q244" i="102"/>
  <c r="P244" i="102"/>
  <c r="O244" i="102"/>
  <c r="L244" i="102"/>
  <c r="K244" i="102"/>
  <c r="J244" i="102"/>
  <c r="G244" i="102"/>
  <c r="F244" i="102"/>
  <c r="E244" i="102"/>
  <c r="R243" i="102"/>
  <c r="M243" i="102"/>
  <c r="H243" i="102"/>
  <c r="R242" i="102"/>
  <c r="M242" i="102"/>
  <c r="H242" i="102"/>
  <c r="R241" i="102"/>
  <c r="M241" i="102"/>
  <c r="H241" i="102"/>
  <c r="Q240" i="102"/>
  <c r="P240" i="102"/>
  <c r="O240" i="102"/>
  <c r="L240" i="102"/>
  <c r="K240" i="102"/>
  <c r="J240" i="102"/>
  <c r="G240" i="102"/>
  <c r="F240" i="102"/>
  <c r="E240" i="102"/>
  <c r="H240" i="102" s="1"/>
  <c r="R239" i="102"/>
  <c r="M239" i="102"/>
  <c r="H239" i="102"/>
  <c r="R238" i="102"/>
  <c r="M238" i="102"/>
  <c r="H238" i="102"/>
  <c r="R237" i="102"/>
  <c r="M237" i="102"/>
  <c r="H237" i="102"/>
  <c r="Q236" i="102"/>
  <c r="P236" i="102"/>
  <c r="O236" i="102"/>
  <c r="O234" i="102" s="1"/>
  <c r="O233" i="102" s="1"/>
  <c r="L236" i="102"/>
  <c r="K236" i="102"/>
  <c r="J236" i="102"/>
  <c r="J234" i="102" s="1"/>
  <c r="J233" i="102" s="1"/>
  <c r="G236" i="102"/>
  <c r="G234" i="102" s="1"/>
  <c r="G233" i="102" s="1"/>
  <c r="G231" i="102" s="1"/>
  <c r="F236" i="102"/>
  <c r="E236" i="102"/>
  <c r="R235" i="102"/>
  <c r="M235" i="102"/>
  <c r="H235" i="102"/>
  <c r="Q234" i="102"/>
  <c r="L234" i="102"/>
  <c r="L233" i="102" s="1"/>
  <c r="L231" i="102" s="1"/>
  <c r="E234" i="102"/>
  <c r="E233" i="102" s="1"/>
  <c r="Q233" i="102"/>
  <c r="Q231" i="102" s="1"/>
  <c r="R232" i="102"/>
  <c r="M232" i="102"/>
  <c r="H232" i="102"/>
  <c r="R230" i="102"/>
  <c r="M230" i="102"/>
  <c r="H230" i="102"/>
  <c r="R229" i="102"/>
  <c r="M229" i="102"/>
  <c r="H229" i="102"/>
  <c r="R228" i="102"/>
  <c r="M228" i="102"/>
  <c r="H228" i="102"/>
  <c r="Q227" i="102"/>
  <c r="P227" i="102"/>
  <c r="O227" i="102"/>
  <c r="R227" i="102" s="1"/>
  <c r="L227" i="102"/>
  <c r="K227" i="102"/>
  <c r="J227" i="102"/>
  <c r="M227" i="102" s="1"/>
  <c r="G227" i="102"/>
  <c r="F227" i="102"/>
  <c r="E227" i="102"/>
  <c r="R226" i="102"/>
  <c r="M226" i="102"/>
  <c r="H226" i="102"/>
  <c r="R225" i="102"/>
  <c r="M225" i="102"/>
  <c r="H225" i="102"/>
  <c r="R224" i="102"/>
  <c r="M224" i="102"/>
  <c r="H224" i="102"/>
  <c r="Q223" i="102"/>
  <c r="P223" i="102"/>
  <c r="O223" i="102"/>
  <c r="L223" i="102"/>
  <c r="K223" i="102"/>
  <c r="M223" i="102" s="1"/>
  <c r="J223" i="102"/>
  <c r="G223" i="102"/>
  <c r="F223" i="102"/>
  <c r="E223" i="102"/>
  <c r="R222" i="102"/>
  <c r="M222" i="102"/>
  <c r="H222" i="102"/>
  <c r="R221" i="102"/>
  <c r="M221" i="102"/>
  <c r="H221" i="102"/>
  <c r="R220" i="102"/>
  <c r="M220" i="102"/>
  <c r="H220" i="102"/>
  <c r="Q219" i="102"/>
  <c r="Q217" i="102" s="1"/>
  <c r="P219" i="102"/>
  <c r="P217" i="102" s="1"/>
  <c r="P216" i="102" s="1"/>
  <c r="P204" i="102" s="1"/>
  <c r="O219" i="102"/>
  <c r="R219" i="102" s="1"/>
  <c r="L219" i="102"/>
  <c r="L217" i="102" s="1"/>
  <c r="K219" i="102"/>
  <c r="J219" i="102"/>
  <c r="M219" i="102" s="1"/>
  <c r="G219" i="102"/>
  <c r="G217" i="102" s="1"/>
  <c r="G216" i="102" s="1"/>
  <c r="F219" i="102"/>
  <c r="E219" i="102"/>
  <c r="R218" i="102"/>
  <c r="M218" i="102"/>
  <c r="H218" i="102"/>
  <c r="K217" i="102"/>
  <c r="K216" i="102" s="1"/>
  <c r="K204" i="102" s="1"/>
  <c r="F217" i="102"/>
  <c r="F216" i="102" s="1"/>
  <c r="R215" i="102"/>
  <c r="M215" i="102"/>
  <c r="H215" i="102"/>
  <c r="R214" i="102"/>
  <c r="M214" i="102"/>
  <c r="H214" i="102"/>
  <c r="Q213" i="102"/>
  <c r="P213" i="102"/>
  <c r="O213" i="102"/>
  <c r="L213" i="102"/>
  <c r="K213" i="102"/>
  <c r="J213" i="102"/>
  <c r="G213" i="102"/>
  <c r="F213" i="102"/>
  <c r="E213" i="102"/>
  <c r="R212" i="102"/>
  <c r="M212" i="102"/>
  <c r="H212" i="102"/>
  <c r="R211" i="102"/>
  <c r="M211" i="102"/>
  <c r="H211" i="102"/>
  <c r="Q210" i="102"/>
  <c r="P210" i="102"/>
  <c r="O210" i="102"/>
  <c r="L210" i="102"/>
  <c r="K210" i="102"/>
  <c r="J210" i="102"/>
  <c r="G210" i="102"/>
  <c r="F210" i="102"/>
  <c r="H210" i="102" s="1"/>
  <c r="E210" i="102"/>
  <c r="R209" i="102"/>
  <c r="M209" i="102"/>
  <c r="H209" i="102"/>
  <c r="R208" i="102"/>
  <c r="M208" i="102"/>
  <c r="H208" i="102"/>
  <c r="R207" i="102"/>
  <c r="M207" i="102"/>
  <c r="H207" i="102"/>
  <c r="R206" i="102"/>
  <c r="M206" i="102"/>
  <c r="H206" i="102"/>
  <c r="Q205" i="102"/>
  <c r="P205" i="102"/>
  <c r="O205" i="102"/>
  <c r="L205" i="102"/>
  <c r="K205" i="102"/>
  <c r="J205" i="102"/>
  <c r="G205" i="102"/>
  <c r="F205" i="102"/>
  <c r="E205" i="102"/>
  <c r="R202" i="102"/>
  <c r="M202" i="102"/>
  <c r="H202" i="102"/>
  <c r="R201" i="102"/>
  <c r="M201" i="102"/>
  <c r="H201" i="102"/>
  <c r="Q200" i="102"/>
  <c r="P200" i="102"/>
  <c r="O200" i="102"/>
  <c r="L200" i="102"/>
  <c r="K200" i="102"/>
  <c r="M200" i="102" s="1"/>
  <c r="J200" i="102"/>
  <c r="G200" i="102"/>
  <c r="F200" i="102"/>
  <c r="E200" i="102"/>
  <c r="R199" i="102"/>
  <c r="M199" i="102"/>
  <c r="H199" i="102"/>
  <c r="R198" i="102"/>
  <c r="M198" i="102"/>
  <c r="H198" i="102"/>
  <c r="R197" i="102"/>
  <c r="M197" i="102"/>
  <c r="H197" i="102"/>
  <c r="R196" i="102"/>
  <c r="M196" i="102"/>
  <c r="H196" i="102"/>
  <c r="Q195" i="102"/>
  <c r="P195" i="102"/>
  <c r="O195" i="102"/>
  <c r="L195" i="102"/>
  <c r="L194" i="102" s="1"/>
  <c r="K195" i="102"/>
  <c r="J195" i="102"/>
  <c r="G195" i="102"/>
  <c r="F195" i="102"/>
  <c r="H195" i="102" s="1"/>
  <c r="E195" i="102"/>
  <c r="Q194" i="102"/>
  <c r="P194" i="102"/>
  <c r="O194" i="102"/>
  <c r="K194" i="102"/>
  <c r="J194" i="102"/>
  <c r="G194" i="102"/>
  <c r="E194" i="102"/>
  <c r="R193" i="102"/>
  <c r="M193" i="102"/>
  <c r="H193" i="102"/>
  <c r="R192" i="102"/>
  <c r="M192" i="102"/>
  <c r="H192" i="102"/>
  <c r="R191" i="102"/>
  <c r="M191" i="102"/>
  <c r="H191" i="102"/>
  <c r="Q190" i="102"/>
  <c r="Q189" i="102" s="1"/>
  <c r="Q182" i="102" s="1"/>
  <c r="Q178" i="102" s="1"/>
  <c r="P190" i="102"/>
  <c r="O190" i="102"/>
  <c r="L190" i="102"/>
  <c r="L189" i="102" s="1"/>
  <c r="K190" i="102"/>
  <c r="J190" i="102"/>
  <c r="G190" i="102"/>
  <c r="G189" i="102" s="1"/>
  <c r="F190" i="102"/>
  <c r="F189" i="102" s="1"/>
  <c r="E190" i="102"/>
  <c r="H190" i="102" s="1"/>
  <c r="P189" i="102"/>
  <c r="O189" i="102"/>
  <c r="K189" i="102"/>
  <c r="R188" i="102"/>
  <c r="M188" i="102"/>
  <c r="H188" i="102"/>
  <c r="R187" i="102"/>
  <c r="M187" i="102"/>
  <c r="H187" i="102"/>
  <c r="R186" i="102"/>
  <c r="M186" i="102"/>
  <c r="H186" i="102"/>
  <c r="Q185" i="102"/>
  <c r="P185" i="102"/>
  <c r="O185" i="102"/>
  <c r="L185" i="102"/>
  <c r="L184" i="102" s="1"/>
  <c r="L183" i="102" s="1"/>
  <c r="K185" i="102"/>
  <c r="J185" i="102"/>
  <c r="G185" i="102"/>
  <c r="F185" i="102"/>
  <c r="H185" i="102" s="1"/>
  <c r="E185" i="102"/>
  <c r="Q184" i="102"/>
  <c r="P184" i="102"/>
  <c r="O184" i="102"/>
  <c r="O183" i="102" s="1"/>
  <c r="K184" i="102"/>
  <c r="J184" i="102"/>
  <c r="G184" i="102"/>
  <c r="G183" i="102" s="1"/>
  <c r="E184" i="102"/>
  <c r="Q183" i="102"/>
  <c r="P183" i="102"/>
  <c r="P182" i="102" s="1"/>
  <c r="P178" i="102" s="1"/>
  <c r="K183" i="102"/>
  <c r="J183" i="102"/>
  <c r="E183" i="102"/>
  <c r="R181" i="102"/>
  <c r="M181" i="102"/>
  <c r="H181" i="102"/>
  <c r="R180" i="102"/>
  <c r="M180" i="102"/>
  <c r="H180" i="102"/>
  <c r="R179" i="102"/>
  <c r="M179" i="102"/>
  <c r="H179" i="102"/>
  <c r="R177" i="102"/>
  <c r="M177" i="102"/>
  <c r="H177" i="102"/>
  <c r="R176" i="102"/>
  <c r="M176" i="102"/>
  <c r="H176" i="102"/>
  <c r="R175" i="102"/>
  <c r="M175" i="102"/>
  <c r="H175" i="102"/>
  <c r="R174" i="102"/>
  <c r="M174" i="102"/>
  <c r="H174" i="102"/>
  <c r="Q173" i="102"/>
  <c r="P173" i="102"/>
  <c r="O173" i="102"/>
  <c r="L173" i="102"/>
  <c r="L165" i="102" s="1"/>
  <c r="K173" i="102"/>
  <c r="J173" i="102"/>
  <c r="G173" i="102"/>
  <c r="F173" i="102"/>
  <c r="E173" i="102"/>
  <c r="R172" i="102"/>
  <c r="M172" i="102"/>
  <c r="H172" i="102"/>
  <c r="R171" i="102"/>
  <c r="M171" i="102"/>
  <c r="H171" i="102"/>
  <c r="R170" i="102"/>
  <c r="M170" i="102"/>
  <c r="H170" i="102"/>
  <c r="Q169" i="102"/>
  <c r="P169" i="102"/>
  <c r="R169" i="102" s="1"/>
  <c r="O169" i="102"/>
  <c r="L169" i="102"/>
  <c r="K169" i="102"/>
  <c r="J169" i="102"/>
  <c r="G169" i="102"/>
  <c r="F169" i="102"/>
  <c r="F165" i="102" s="1"/>
  <c r="E169" i="102"/>
  <c r="R168" i="102"/>
  <c r="M168" i="102"/>
  <c r="H168" i="102"/>
  <c r="R167" i="102"/>
  <c r="M167" i="102"/>
  <c r="H167" i="102"/>
  <c r="Q166" i="102"/>
  <c r="P166" i="102"/>
  <c r="O166" i="102"/>
  <c r="L166" i="102"/>
  <c r="K166" i="102"/>
  <c r="J166" i="102"/>
  <c r="G166" i="102"/>
  <c r="F166" i="102"/>
  <c r="E166" i="102"/>
  <c r="K165" i="102"/>
  <c r="R163" i="102"/>
  <c r="M163" i="102"/>
  <c r="H163" i="102"/>
  <c r="R162" i="102"/>
  <c r="M162" i="102"/>
  <c r="H162" i="102"/>
  <c r="R161" i="102"/>
  <c r="M161" i="102"/>
  <c r="H161" i="102"/>
  <c r="Q160" i="102"/>
  <c r="P160" i="102"/>
  <c r="O160" i="102"/>
  <c r="L160" i="102"/>
  <c r="K160" i="102"/>
  <c r="J160" i="102"/>
  <c r="M160" i="102" s="1"/>
  <c r="G160" i="102"/>
  <c r="F160" i="102"/>
  <c r="E160" i="102"/>
  <c r="H160" i="102" s="1"/>
  <c r="R159" i="102"/>
  <c r="M159" i="102"/>
  <c r="H159" i="102"/>
  <c r="R158" i="102"/>
  <c r="M158" i="102"/>
  <c r="H158" i="102"/>
  <c r="R157" i="102"/>
  <c r="M157" i="102"/>
  <c r="H157" i="102"/>
  <c r="Q156" i="102"/>
  <c r="P156" i="102"/>
  <c r="O156" i="102"/>
  <c r="L156" i="102"/>
  <c r="K156" i="102"/>
  <c r="J156" i="102"/>
  <c r="G156" i="102"/>
  <c r="F156" i="102"/>
  <c r="H156" i="102" s="1"/>
  <c r="E156" i="102"/>
  <c r="R155" i="102"/>
  <c r="M155" i="102"/>
  <c r="H155" i="102"/>
  <c r="R154" i="102"/>
  <c r="M154" i="102"/>
  <c r="H154" i="102"/>
  <c r="R153" i="102"/>
  <c r="M153" i="102"/>
  <c r="H153" i="102"/>
  <c r="Q152" i="102"/>
  <c r="Q150" i="102" s="1"/>
  <c r="P152" i="102"/>
  <c r="P150" i="102" s="1"/>
  <c r="P149" i="102" s="1"/>
  <c r="P147" i="102" s="1"/>
  <c r="O152" i="102"/>
  <c r="L152" i="102"/>
  <c r="L150" i="102" s="1"/>
  <c r="K152" i="102"/>
  <c r="J152" i="102"/>
  <c r="G152" i="102"/>
  <c r="G150" i="102" s="1"/>
  <c r="F152" i="102"/>
  <c r="F150" i="102" s="1"/>
  <c r="F149" i="102" s="1"/>
  <c r="F147" i="102" s="1"/>
  <c r="E152" i="102"/>
  <c r="R151" i="102"/>
  <c r="M151" i="102"/>
  <c r="H151" i="102"/>
  <c r="K150" i="102"/>
  <c r="K149" i="102" s="1"/>
  <c r="K147" i="102" s="1"/>
  <c r="R148" i="102"/>
  <c r="M148" i="102"/>
  <c r="H148" i="102"/>
  <c r="R146" i="102"/>
  <c r="M146" i="102"/>
  <c r="H146" i="102"/>
  <c r="R145" i="102"/>
  <c r="M145" i="102"/>
  <c r="H145" i="102"/>
  <c r="R144" i="102"/>
  <c r="M144" i="102"/>
  <c r="H144" i="102"/>
  <c r="Q143" i="102"/>
  <c r="P143" i="102"/>
  <c r="O143" i="102"/>
  <c r="L143" i="102"/>
  <c r="K143" i="102"/>
  <c r="J143" i="102"/>
  <c r="G143" i="102"/>
  <c r="F143" i="102"/>
  <c r="E143" i="102"/>
  <c r="R142" i="102"/>
  <c r="M142" i="102"/>
  <c r="H142" i="102"/>
  <c r="R141" i="102"/>
  <c r="M141" i="102"/>
  <c r="H141" i="102"/>
  <c r="R140" i="102"/>
  <c r="M140" i="102"/>
  <c r="H140" i="102"/>
  <c r="Q139" i="102"/>
  <c r="Q132" i="102" s="1"/>
  <c r="Q120" i="102" s="1"/>
  <c r="P139" i="102"/>
  <c r="O139" i="102"/>
  <c r="L139" i="102"/>
  <c r="K139" i="102"/>
  <c r="J139" i="102"/>
  <c r="G139" i="102"/>
  <c r="F139" i="102"/>
  <c r="E139" i="102"/>
  <c r="H139" i="102" s="1"/>
  <c r="R138" i="102"/>
  <c r="M138" i="102"/>
  <c r="H138" i="102"/>
  <c r="R137" i="102"/>
  <c r="M137" i="102"/>
  <c r="H137" i="102"/>
  <c r="R136" i="102"/>
  <c r="M136" i="102"/>
  <c r="H136" i="102"/>
  <c r="Q135" i="102"/>
  <c r="P135" i="102"/>
  <c r="P133" i="102" s="1"/>
  <c r="P132" i="102" s="1"/>
  <c r="O135" i="102"/>
  <c r="O133" i="102" s="1"/>
  <c r="L135" i="102"/>
  <c r="K135" i="102"/>
  <c r="K133" i="102" s="1"/>
  <c r="J135" i="102"/>
  <c r="J133" i="102" s="1"/>
  <c r="G135" i="102"/>
  <c r="G133" i="102" s="1"/>
  <c r="F135" i="102"/>
  <c r="F133" i="102" s="1"/>
  <c r="E135" i="102"/>
  <c r="R134" i="102"/>
  <c r="M134" i="102"/>
  <c r="H134" i="102"/>
  <c r="Q133" i="102"/>
  <c r="L133" i="102"/>
  <c r="L132" i="102" s="1"/>
  <c r="E133" i="102"/>
  <c r="R131" i="102"/>
  <c r="M131" i="102"/>
  <c r="H131" i="102"/>
  <c r="R130" i="102"/>
  <c r="M130" i="102"/>
  <c r="H130" i="102"/>
  <c r="Q129" i="102"/>
  <c r="P129" i="102"/>
  <c r="O129" i="102"/>
  <c r="R129" i="102" s="1"/>
  <c r="L129" i="102"/>
  <c r="K129" i="102"/>
  <c r="J129" i="102"/>
  <c r="M129" i="102" s="1"/>
  <c r="G129" i="102"/>
  <c r="F129" i="102"/>
  <c r="E129" i="102"/>
  <c r="R128" i="102"/>
  <c r="M128" i="102"/>
  <c r="H128" i="102"/>
  <c r="R127" i="102"/>
  <c r="M127" i="102"/>
  <c r="H127" i="102"/>
  <c r="Q126" i="102"/>
  <c r="P126" i="102"/>
  <c r="O126" i="102"/>
  <c r="R126" i="102" s="1"/>
  <c r="L126" i="102"/>
  <c r="L120" i="102" s="1"/>
  <c r="K126" i="102"/>
  <c r="J126" i="102"/>
  <c r="G126" i="102"/>
  <c r="F126" i="102"/>
  <c r="E126" i="102"/>
  <c r="R125" i="102"/>
  <c r="M125" i="102"/>
  <c r="H125" i="102"/>
  <c r="R124" i="102"/>
  <c r="M124" i="102"/>
  <c r="H124" i="102"/>
  <c r="R123" i="102"/>
  <c r="M123" i="102"/>
  <c r="H123" i="102"/>
  <c r="R122" i="102"/>
  <c r="M122" i="102"/>
  <c r="H122" i="102"/>
  <c r="Q121" i="102"/>
  <c r="P121" i="102"/>
  <c r="O121" i="102"/>
  <c r="R121" i="102" s="1"/>
  <c r="L121" i="102"/>
  <c r="K121" i="102"/>
  <c r="J121" i="102"/>
  <c r="M121" i="102" s="1"/>
  <c r="G121" i="102"/>
  <c r="F121" i="102"/>
  <c r="E121" i="102"/>
  <c r="R118" i="102"/>
  <c r="M118" i="102"/>
  <c r="H118" i="102"/>
  <c r="R117" i="102"/>
  <c r="M117" i="102"/>
  <c r="H117" i="102"/>
  <c r="Q116" i="102"/>
  <c r="P116" i="102"/>
  <c r="O116" i="102"/>
  <c r="L116" i="102"/>
  <c r="K116" i="102"/>
  <c r="J116" i="102"/>
  <c r="M116" i="102" s="1"/>
  <c r="G116" i="102"/>
  <c r="F116" i="102"/>
  <c r="E116" i="102"/>
  <c r="H116" i="102" s="1"/>
  <c r="R115" i="102"/>
  <c r="M115" i="102"/>
  <c r="H115" i="102"/>
  <c r="R114" i="102"/>
  <c r="M114" i="102"/>
  <c r="H114" i="102"/>
  <c r="R113" i="102"/>
  <c r="M113" i="102"/>
  <c r="H113" i="102"/>
  <c r="R112" i="102"/>
  <c r="M112" i="102"/>
  <c r="H112" i="102"/>
  <c r="Q111" i="102"/>
  <c r="Q110" i="102" s="1"/>
  <c r="P111" i="102"/>
  <c r="O111" i="102"/>
  <c r="L111" i="102"/>
  <c r="L110" i="102" s="1"/>
  <c r="K111" i="102"/>
  <c r="J111" i="102"/>
  <c r="G111" i="102"/>
  <c r="G110" i="102" s="1"/>
  <c r="F111" i="102"/>
  <c r="F110" i="102" s="1"/>
  <c r="E111" i="102"/>
  <c r="H111" i="102" s="1"/>
  <c r="P110" i="102"/>
  <c r="O110" i="102"/>
  <c r="K110" i="102"/>
  <c r="R109" i="102"/>
  <c r="M109" i="102"/>
  <c r="H109" i="102"/>
  <c r="R108" i="102"/>
  <c r="M108" i="102"/>
  <c r="H108" i="102"/>
  <c r="R107" i="102"/>
  <c r="M107" i="102"/>
  <c r="H107" i="102"/>
  <c r="Q106" i="102"/>
  <c r="P106" i="102"/>
  <c r="O106" i="102"/>
  <c r="L106" i="102"/>
  <c r="L105" i="102" s="1"/>
  <c r="K106" i="102"/>
  <c r="J106" i="102"/>
  <c r="G106" i="102"/>
  <c r="F106" i="102"/>
  <c r="H106" i="102" s="1"/>
  <c r="E106" i="102"/>
  <c r="Q105" i="102"/>
  <c r="P105" i="102"/>
  <c r="O105" i="102"/>
  <c r="K105" i="102"/>
  <c r="J105" i="102"/>
  <c r="G105" i="102"/>
  <c r="E105" i="102"/>
  <c r="R104" i="102"/>
  <c r="M104" i="102"/>
  <c r="H104" i="102"/>
  <c r="R103" i="102"/>
  <c r="M103" i="102"/>
  <c r="H103" i="102"/>
  <c r="R102" i="102"/>
  <c r="M102" i="102"/>
  <c r="H102" i="102"/>
  <c r="Q101" i="102"/>
  <c r="Q100" i="102" s="1"/>
  <c r="Q99" i="102" s="1"/>
  <c r="Q98" i="102" s="1"/>
  <c r="Q94" i="102" s="1"/>
  <c r="P101" i="102"/>
  <c r="O101" i="102"/>
  <c r="L101" i="102"/>
  <c r="L100" i="102" s="1"/>
  <c r="L99" i="102" s="1"/>
  <c r="K101" i="102"/>
  <c r="J101" i="102"/>
  <c r="G101" i="102"/>
  <c r="G100" i="102" s="1"/>
  <c r="G99" i="102" s="1"/>
  <c r="G98" i="102" s="1"/>
  <c r="G94" i="102" s="1"/>
  <c r="F101" i="102"/>
  <c r="F100" i="102" s="1"/>
  <c r="F99" i="102" s="1"/>
  <c r="E101" i="102"/>
  <c r="H101" i="102" s="1"/>
  <c r="P100" i="102"/>
  <c r="O100" i="102"/>
  <c r="K100" i="102"/>
  <c r="K99" i="102" s="1"/>
  <c r="P99" i="102"/>
  <c r="R97" i="102"/>
  <c r="M97" i="102"/>
  <c r="H97" i="102"/>
  <c r="R96" i="102"/>
  <c r="M96" i="102"/>
  <c r="H96" i="102"/>
  <c r="R95" i="102"/>
  <c r="M95" i="102"/>
  <c r="H95" i="102"/>
  <c r="R93" i="102"/>
  <c r="M93" i="102"/>
  <c r="H93" i="102"/>
  <c r="R92" i="102"/>
  <c r="M92" i="102"/>
  <c r="H92" i="102"/>
  <c r="R91" i="102"/>
  <c r="M91" i="102"/>
  <c r="H91" i="102"/>
  <c r="R90" i="102"/>
  <c r="M90" i="102"/>
  <c r="H90" i="102"/>
  <c r="Q89" i="102"/>
  <c r="P89" i="102"/>
  <c r="P81" i="102" s="1"/>
  <c r="O89" i="102"/>
  <c r="L89" i="102"/>
  <c r="K89" i="102"/>
  <c r="J89" i="102"/>
  <c r="G89" i="102"/>
  <c r="F89" i="102"/>
  <c r="E89" i="102"/>
  <c r="R88" i="102"/>
  <c r="M88" i="102"/>
  <c r="H88" i="102"/>
  <c r="R87" i="102"/>
  <c r="M87" i="102"/>
  <c r="H87" i="102"/>
  <c r="R86" i="102"/>
  <c r="M86" i="102"/>
  <c r="H86" i="102"/>
  <c r="Q85" i="102"/>
  <c r="P85" i="102"/>
  <c r="O85" i="102"/>
  <c r="R85" i="102" s="1"/>
  <c r="L85" i="102"/>
  <c r="K85" i="102"/>
  <c r="J85" i="102"/>
  <c r="G85" i="102"/>
  <c r="F85" i="102"/>
  <c r="E85" i="102"/>
  <c r="R84" i="102"/>
  <c r="M84" i="102"/>
  <c r="H84" i="102"/>
  <c r="R83" i="102"/>
  <c r="M83" i="102"/>
  <c r="H83" i="102"/>
  <c r="Q82" i="102"/>
  <c r="Q81" i="102" s="1"/>
  <c r="P82" i="102"/>
  <c r="O82" i="102"/>
  <c r="L82" i="102"/>
  <c r="L81" i="102" s="1"/>
  <c r="K82" i="102"/>
  <c r="J82" i="102"/>
  <c r="G82" i="102"/>
  <c r="F82" i="102"/>
  <c r="E82" i="102"/>
  <c r="H82" i="102" s="1"/>
  <c r="G81" i="102"/>
  <c r="R79" i="102"/>
  <c r="M79" i="102"/>
  <c r="H79" i="102"/>
  <c r="R78" i="102"/>
  <c r="M78" i="102"/>
  <c r="H78" i="102"/>
  <c r="R77" i="102"/>
  <c r="M77" i="102"/>
  <c r="H77" i="102"/>
  <c r="Q76" i="102"/>
  <c r="P76" i="102"/>
  <c r="O76" i="102"/>
  <c r="L76" i="102"/>
  <c r="K76" i="102"/>
  <c r="J76" i="102"/>
  <c r="G76" i="102"/>
  <c r="F76" i="102"/>
  <c r="H76" i="102" s="1"/>
  <c r="E76" i="102"/>
  <c r="R75" i="102"/>
  <c r="M75" i="102"/>
  <c r="H75" i="102"/>
  <c r="R74" i="102"/>
  <c r="M74" i="102"/>
  <c r="H74" i="102"/>
  <c r="R73" i="102"/>
  <c r="M73" i="102"/>
  <c r="H73" i="102"/>
  <c r="Q72" i="102"/>
  <c r="Q65" i="102" s="1"/>
  <c r="Q63" i="102" s="1"/>
  <c r="P72" i="102"/>
  <c r="O72" i="102"/>
  <c r="L72" i="102"/>
  <c r="K72" i="102"/>
  <c r="J72" i="102"/>
  <c r="M72" i="102" s="1"/>
  <c r="G72" i="102"/>
  <c r="F72" i="102"/>
  <c r="E72" i="102"/>
  <c r="H72" i="102" s="1"/>
  <c r="R71" i="102"/>
  <c r="M71" i="102"/>
  <c r="H71" i="102"/>
  <c r="R70" i="102"/>
  <c r="M70" i="102"/>
  <c r="H70" i="102"/>
  <c r="R69" i="102"/>
  <c r="M69" i="102"/>
  <c r="H69" i="102"/>
  <c r="Q68" i="102"/>
  <c r="P68" i="102"/>
  <c r="P66" i="102" s="1"/>
  <c r="O68" i="102"/>
  <c r="O66" i="102" s="1"/>
  <c r="L68" i="102"/>
  <c r="L66" i="102" s="1"/>
  <c r="L65" i="102" s="1"/>
  <c r="L63" i="102" s="1"/>
  <c r="K68" i="102"/>
  <c r="K66" i="102" s="1"/>
  <c r="J68" i="102"/>
  <c r="G68" i="102"/>
  <c r="G66" i="102" s="1"/>
  <c r="F68" i="102"/>
  <c r="F66" i="102" s="1"/>
  <c r="F65" i="102" s="1"/>
  <c r="F63" i="102" s="1"/>
  <c r="E68" i="102"/>
  <c r="R67" i="102"/>
  <c r="M67" i="102"/>
  <c r="H67" i="102"/>
  <c r="Q66" i="102"/>
  <c r="J66" i="102"/>
  <c r="E66" i="102"/>
  <c r="R64" i="102"/>
  <c r="M64" i="102"/>
  <c r="H64" i="102"/>
  <c r="R62" i="102"/>
  <c r="M62" i="102"/>
  <c r="H62" i="102"/>
  <c r="R61" i="102"/>
  <c r="M61" i="102"/>
  <c r="H61" i="102"/>
  <c r="R60" i="102"/>
  <c r="M60" i="102"/>
  <c r="H60" i="102"/>
  <c r="Q59" i="102"/>
  <c r="P59" i="102"/>
  <c r="O59" i="102"/>
  <c r="L59" i="102"/>
  <c r="K59" i="102"/>
  <c r="J59" i="102"/>
  <c r="M59" i="102" s="1"/>
  <c r="G59" i="102"/>
  <c r="F59" i="102"/>
  <c r="E59" i="102"/>
  <c r="H59" i="102" s="1"/>
  <c r="R58" i="102"/>
  <c r="M58" i="102"/>
  <c r="H58" i="102"/>
  <c r="R57" i="102"/>
  <c r="M57" i="102"/>
  <c r="H57" i="102"/>
  <c r="R56" i="102"/>
  <c r="M56" i="102"/>
  <c r="H56" i="102"/>
  <c r="Q55" i="102"/>
  <c r="P55" i="102"/>
  <c r="O55" i="102"/>
  <c r="L55" i="102"/>
  <c r="K55" i="102"/>
  <c r="J55" i="102"/>
  <c r="G55" i="102"/>
  <c r="F55" i="102"/>
  <c r="H55" i="102" s="1"/>
  <c r="E55" i="102"/>
  <c r="R54" i="102"/>
  <c r="M54" i="102"/>
  <c r="H54" i="102"/>
  <c r="R53" i="102"/>
  <c r="M53" i="102"/>
  <c r="H53" i="102"/>
  <c r="R52" i="102"/>
  <c r="M52" i="102"/>
  <c r="H52" i="102"/>
  <c r="Q51" i="102"/>
  <c r="Q49" i="102" s="1"/>
  <c r="Q48" i="102" s="1"/>
  <c r="P51" i="102"/>
  <c r="P49" i="102" s="1"/>
  <c r="P48" i="102" s="1"/>
  <c r="O51" i="102"/>
  <c r="L51" i="102"/>
  <c r="L49" i="102" s="1"/>
  <c r="K51" i="102"/>
  <c r="J51" i="102"/>
  <c r="G51" i="102"/>
  <c r="G49" i="102" s="1"/>
  <c r="F51" i="102"/>
  <c r="F49" i="102" s="1"/>
  <c r="F48" i="102" s="1"/>
  <c r="E51" i="102"/>
  <c r="R50" i="102"/>
  <c r="M50" i="102"/>
  <c r="H50" i="102"/>
  <c r="K49" i="102"/>
  <c r="K48" i="102" s="1"/>
  <c r="R47" i="102"/>
  <c r="M47" i="102"/>
  <c r="H47" i="102"/>
  <c r="R46" i="102"/>
  <c r="M46" i="102"/>
  <c r="H46" i="102"/>
  <c r="Q45" i="102"/>
  <c r="P45" i="102"/>
  <c r="R45" i="102" s="1"/>
  <c r="O45" i="102"/>
  <c r="L45" i="102"/>
  <c r="K45" i="102"/>
  <c r="J45" i="102"/>
  <c r="G45" i="102"/>
  <c r="F45" i="102"/>
  <c r="E45" i="102"/>
  <c r="R44" i="102"/>
  <c r="M44" i="102"/>
  <c r="H44" i="102"/>
  <c r="R43" i="102"/>
  <c r="M43" i="102"/>
  <c r="H43" i="102"/>
  <c r="Q42" i="102"/>
  <c r="P42" i="102"/>
  <c r="O42" i="102"/>
  <c r="L42" i="102"/>
  <c r="K42" i="102"/>
  <c r="J42" i="102"/>
  <c r="H42" i="102"/>
  <c r="G42" i="102"/>
  <c r="F42" i="102"/>
  <c r="E42" i="102"/>
  <c r="R41" i="102"/>
  <c r="M41" i="102"/>
  <c r="H41" i="102"/>
  <c r="R40" i="102"/>
  <c r="M40" i="102"/>
  <c r="H40" i="102"/>
  <c r="R39" i="102"/>
  <c r="M39" i="102"/>
  <c r="H39" i="102"/>
  <c r="R38" i="102"/>
  <c r="M38" i="102"/>
  <c r="H38" i="102"/>
  <c r="Q37" i="102"/>
  <c r="P37" i="102"/>
  <c r="O37" i="102"/>
  <c r="L37" i="102"/>
  <c r="K37" i="102"/>
  <c r="J37" i="102"/>
  <c r="G37" i="102"/>
  <c r="F37" i="102"/>
  <c r="E37" i="102"/>
  <c r="R34" i="102"/>
  <c r="M34" i="102"/>
  <c r="H34" i="102"/>
  <c r="R33" i="102"/>
  <c r="M33" i="102"/>
  <c r="H33" i="102"/>
  <c r="Q32" i="102"/>
  <c r="P32" i="102"/>
  <c r="O32" i="102"/>
  <c r="L32" i="102"/>
  <c r="K32" i="102"/>
  <c r="J32" i="102"/>
  <c r="G32" i="102"/>
  <c r="F32" i="102"/>
  <c r="E32" i="102"/>
  <c r="H32" i="102" s="1"/>
  <c r="R31" i="102"/>
  <c r="M31" i="102"/>
  <c r="H31" i="102"/>
  <c r="R30" i="102"/>
  <c r="M30" i="102"/>
  <c r="H30" i="102"/>
  <c r="R29" i="102"/>
  <c r="M29" i="102"/>
  <c r="H29" i="102"/>
  <c r="R28" i="102"/>
  <c r="M28" i="102"/>
  <c r="H28" i="102"/>
  <c r="Q27" i="102"/>
  <c r="P27" i="102"/>
  <c r="O27" i="102"/>
  <c r="R27" i="102" s="1"/>
  <c r="L27" i="102"/>
  <c r="L26" i="102" s="1"/>
  <c r="K27" i="102"/>
  <c r="J27" i="102"/>
  <c r="G27" i="102"/>
  <c r="F27" i="102"/>
  <c r="F26" i="102" s="1"/>
  <c r="E27" i="102"/>
  <c r="Q26" i="102"/>
  <c r="P26" i="102"/>
  <c r="O26" i="102"/>
  <c r="R26" i="102" s="1"/>
  <c r="K26" i="102"/>
  <c r="J26" i="102"/>
  <c r="G26" i="102"/>
  <c r="E26" i="102"/>
  <c r="R25" i="102"/>
  <c r="M25" i="102"/>
  <c r="H25" i="102"/>
  <c r="R24" i="102"/>
  <c r="M24" i="102"/>
  <c r="H24" i="102"/>
  <c r="R23" i="102"/>
  <c r="M23" i="102"/>
  <c r="H23" i="102"/>
  <c r="Q22" i="102"/>
  <c r="Q21" i="102" s="1"/>
  <c r="P22" i="102"/>
  <c r="O22" i="102"/>
  <c r="L22" i="102"/>
  <c r="L21" i="102" s="1"/>
  <c r="K22" i="102"/>
  <c r="M22" i="102" s="1"/>
  <c r="J22" i="102"/>
  <c r="G22" i="102"/>
  <c r="F22" i="102"/>
  <c r="F21" i="102" s="1"/>
  <c r="F14" i="102" s="1"/>
  <c r="F10" i="102" s="1"/>
  <c r="E22" i="102"/>
  <c r="E21" i="102" s="1"/>
  <c r="P21" i="102"/>
  <c r="O21" i="102"/>
  <c r="J21" i="102"/>
  <c r="G21" i="102"/>
  <c r="R20" i="102"/>
  <c r="M20" i="102"/>
  <c r="H20" i="102"/>
  <c r="R19" i="102"/>
  <c r="M19" i="102"/>
  <c r="H19" i="102"/>
  <c r="R18" i="102"/>
  <c r="M18" i="102"/>
  <c r="H18" i="102"/>
  <c r="Q17" i="102"/>
  <c r="Q16" i="102" s="1"/>
  <c r="Q15" i="102" s="1"/>
  <c r="Q14" i="102" s="1"/>
  <c r="Q10" i="102" s="1"/>
  <c r="P17" i="102"/>
  <c r="O17" i="102"/>
  <c r="L17" i="102"/>
  <c r="K17" i="102"/>
  <c r="K16" i="102" s="1"/>
  <c r="K15" i="102" s="1"/>
  <c r="J17" i="102"/>
  <c r="G17" i="102"/>
  <c r="F17" i="102"/>
  <c r="E17" i="102"/>
  <c r="H17" i="102" s="1"/>
  <c r="P16" i="102"/>
  <c r="O16" i="102"/>
  <c r="L16" i="102"/>
  <c r="L15" i="102" s="1"/>
  <c r="J16" i="102"/>
  <c r="G16" i="102"/>
  <c r="F16" i="102"/>
  <c r="F15" i="102" s="1"/>
  <c r="P15" i="102"/>
  <c r="O15" i="102"/>
  <c r="J15" i="102"/>
  <c r="G15" i="102"/>
  <c r="G14" i="102" s="1"/>
  <c r="G10" i="102" s="1"/>
  <c r="O14" i="102"/>
  <c r="R13" i="102"/>
  <c r="M13" i="102"/>
  <c r="H13" i="102"/>
  <c r="R12" i="102"/>
  <c r="M12" i="102"/>
  <c r="H12" i="102"/>
  <c r="R11" i="102"/>
  <c r="M11" i="102"/>
  <c r="H11" i="102"/>
  <c r="E204" i="232" l="1"/>
  <c r="E203" i="232" s="1"/>
  <c r="L248" i="34"/>
  <c r="H184" i="232"/>
  <c r="F183" i="232"/>
  <c r="M133" i="102"/>
  <c r="J132" i="102"/>
  <c r="E248" i="232"/>
  <c r="R49" i="34"/>
  <c r="O48" i="34"/>
  <c r="R48" i="34" s="1"/>
  <c r="E182" i="233"/>
  <c r="E178" i="233" s="1"/>
  <c r="R66" i="102"/>
  <c r="O65" i="102"/>
  <c r="L119" i="102"/>
  <c r="Q80" i="233"/>
  <c r="L14" i="102"/>
  <c r="L10" i="102" s="1"/>
  <c r="R133" i="102"/>
  <c r="O132" i="102"/>
  <c r="G182" i="102"/>
  <c r="G178" i="102" s="1"/>
  <c r="M99" i="232"/>
  <c r="K98" i="232"/>
  <c r="K94" i="232" s="1"/>
  <c r="G248" i="233"/>
  <c r="R14" i="102"/>
  <c r="F36" i="102"/>
  <c r="F35" i="102" s="1"/>
  <c r="F80" i="102" s="1"/>
  <c r="M66" i="102"/>
  <c r="G204" i="102"/>
  <c r="G203" i="102" s="1"/>
  <c r="R15" i="232"/>
  <c r="O36" i="34"/>
  <c r="R47" i="34"/>
  <c r="Q45" i="34"/>
  <c r="Q36" i="34" s="1"/>
  <c r="Q35" i="34" s="1"/>
  <c r="Q33" i="34" s="1"/>
  <c r="Q32" i="34" s="1"/>
  <c r="Q10" i="34" s="1"/>
  <c r="Q80" i="34" s="1"/>
  <c r="M106" i="34"/>
  <c r="J105" i="34"/>
  <c r="M105" i="34" s="1"/>
  <c r="M121" i="34"/>
  <c r="K120" i="34"/>
  <c r="M100" i="233"/>
  <c r="J99" i="233"/>
  <c r="H105" i="233"/>
  <c r="M121" i="233"/>
  <c r="J120" i="233"/>
  <c r="H165" i="233"/>
  <c r="R185" i="233"/>
  <c r="P184" i="233"/>
  <c r="R15" i="231"/>
  <c r="F35" i="231"/>
  <c r="M100" i="231"/>
  <c r="K99" i="231"/>
  <c r="K98" i="231" s="1"/>
  <c r="K94" i="231" s="1"/>
  <c r="H126" i="231"/>
  <c r="F120" i="231"/>
  <c r="M250" i="231"/>
  <c r="K249" i="231"/>
  <c r="M15" i="102"/>
  <c r="R42" i="102"/>
  <c r="M45" i="102"/>
  <c r="R100" i="102"/>
  <c r="R110" i="102"/>
  <c r="H133" i="102"/>
  <c r="R143" i="102"/>
  <c r="P165" i="102"/>
  <c r="M169" i="102"/>
  <c r="G165" i="102"/>
  <c r="E189" i="102"/>
  <c r="H189" i="102" s="1"/>
  <c r="H200" i="102"/>
  <c r="H223" i="102"/>
  <c r="R244" i="102"/>
  <c r="M15" i="232"/>
  <c r="R16" i="232"/>
  <c r="E21" i="232"/>
  <c r="H21" i="232" s="1"/>
  <c r="R111" i="232"/>
  <c r="R121" i="232"/>
  <c r="M166" i="232"/>
  <c r="K165" i="232"/>
  <c r="M173" i="232"/>
  <c r="J165" i="232"/>
  <c r="O182" i="232"/>
  <c r="O178" i="232" s="1"/>
  <c r="M257" i="232"/>
  <c r="J249" i="232"/>
  <c r="M249" i="232" s="1"/>
  <c r="M49" i="34"/>
  <c r="J48" i="34"/>
  <c r="H99" i="34"/>
  <c r="H166" i="34"/>
  <c r="R106" i="233"/>
  <c r="P105" i="233"/>
  <c r="R105" i="233" s="1"/>
  <c r="K165" i="233"/>
  <c r="H190" i="233"/>
  <c r="E189" i="233"/>
  <c r="H189" i="233" s="1"/>
  <c r="R257" i="233"/>
  <c r="O249" i="233"/>
  <c r="R249" i="233" s="1"/>
  <c r="M72" i="231"/>
  <c r="K65" i="231"/>
  <c r="K63" i="231" s="1"/>
  <c r="R129" i="231"/>
  <c r="O165" i="231"/>
  <c r="H169" i="231"/>
  <c r="E165" i="231"/>
  <c r="H217" i="231"/>
  <c r="E216" i="231"/>
  <c r="J14" i="102"/>
  <c r="M16" i="102"/>
  <c r="R17" i="102"/>
  <c r="K21" i="102"/>
  <c r="H26" i="102"/>
  <c r="M27" i="102"/>
  <c r="R32" i="102"/>
  <c r="R55" i="102"/>
  <c r="H66" i="102"/>
  <c r="E16" i="102"/>
  <c r="M17" i="102"/>
  <c r="R22" i="102"/>
  <c r="H27" i="102"/>
  <c r="M32" i="102"/>
  <c r="P36" i="102"/>
  <c r="P35" i="102" s="1"/>
  <c r="G48" i="102"/>
  <c r="G36" i="102" s="1"/>
  <c r="M55" i="102"/>
  <c r="R59" i="102"/>
  <c r="J65" i="102"/>
  <c r="M65" i="102" s="1"/>
  <c r="K65" i="102"/>
  <c r="K63" i="102" s="1"/>
  <c r="G65" i="102"/>
  <c r="G63" i="102" s="1"/>
  <c r="R72" i="102"/>
  <c r="M76" i="102"/>
  <c r="M82" i="102"/>
  <c r="H85" i="102"/>
  <c r="M101" i="102"/>
  <c r="F105" i="102"/>
  <c r="F98" i="102" s="1"/>
  <c r="F94" i="102" s="1"/>
  <c r="F164" i="102" s="1"/>
  <c r="M106" i="102"/>
  <c r="M111" i="102"/>
  <c r="R116" i="102"/>
  <c r="H126" i="102"/>
  <c r="F132" i="102"/>
  <c r="F120" i="102" s="1"/>
  <c r="F119" i="102" s="1"/>
  <c r="M139" i="102"/>
  <c r="H143" i="102"/>
  <c r="M156" i="102"/>
  <c r="R160" i="102"/>
  <c r="H166" i="102"/>
  <c r="Q165" i="102"/>
  <c r="F184" i="102"/>
  <c r="M185" i="102"/>
  <c r="M190" i="102"/>
  <c r="F194" i="102"/>
  <c r="H194" i="102" s="1"/>
  <c r="M195" i="102"/>
  <c r="R200" i="102"/>
  <c r="F204" i="102"/>
  <c r="H205" i="102"/>
  <c r="M210" i="102"/>
  <c r="H213" i="102"/>
  <c r="L216" i="102"/>
  <c r="L204" i="102" s="1"/>
  <c r="L203" i="102" s="1"/>
  <c r="R223" i="102"/>
  <c r="H236" i="102"/>
  <c r="M240" i="102"/>
  <c r="H244" i="102"/>
  <c r="R253" i="102"/>
  <c r="M257" i="102"/>
  <c r="K14" i="232"/>
  <c r="K10" i="232" s="1"/>
  <c r="H16" i="232"/>
  <c r="M22" i="232"/>
  <c r="J21" i="232"/>
  <c r="M21" i="232" s="1"/>
  <c r="K81" i="232"/>
  <c r="R85" i="232"/>
  <c r="P100" i="232"/>
  <c r="E105" i="232"/>
  <c r="H105" i="232" s="1"/>
  <c r="L98" i="232"/>
  <c r="L94" i="232" s="1"/>
  <c r="H135" i="232"/>
  <c r="M139" i="232"/>
  <c r="H143" i="232"/>
  <c r="F149" i="232"/>
  <c r="F147" i="232" s="1"/>
  <c r="O189" i="232"/>
  <c r="R189" i="232" s="1"/>
  <c r="H195" i="232"/>
  <c r="M200" i="232"/>
  <c r="R205" i="232"/>
  <c r="R213" i="232"/>
  <c r="R217" i="232"/>
  <c r="H223" i="232"/>
  <c r="F216" i="232"/>
  <c r="H216" i="232" s="1"/>
  <c r="M236" i="232"/>
  <c r="R240" i="232"/>
  <c r="O233" i="232"/>
  <c r="M244" i="232"/>
  <c r="O15" i="34"/>
  <c r="H17" i="34"/>
  <c r="E16" i="34"/>
  <c r="L36" i="34"/>
  <c r="M38" i="34"/>
  <c r="K37" i="34"/>
  <c r="H49" i="34"/>
  <c r="M68" i="34"/>
  <c r="H72" i="34"/>
  <c r="M76" i="34"/>
  <c r="P81" i="34"/>
  <c r="R82" i="34"/>
  <c r="M85" i="34"/>
  <c r="G81" i="34"/>
  <c r="F98" i="34"/>
  <c r="R101" i="34"/>
  <c r="P120" i="34"/>
  <c r="P119" i="34" s="1"/>
  <c r="P117" i="34" s="1"/>
  <c r="R121" i="34"/>
  <c r="M123" i="34"/>
  <c r="K39" i="34"/>
  <c r="M39" i="34" s="1"/>
  <c r="R126" i="34"/>
  <c r="M129" i="34"/>
  <c r="M156" i="34"/>
  <c r="K149" i="34"/>
  <c r="K147" i="34" s="1"/>
  <c r="F165" i="34"/>
  <c r="G204" i="34"/>
  <c r="G203" i="34" s="1"/>
  <c r="G248" i="34" s="1"/>
  <c r="M223" i="34"/>
  <c r="K216" i="34"/>
  <c r="J233" i="34"/>
  <c r="H16" i="233"/>
  <c r="M21" i="233"/>
  <c r="M22" i="233"/>
  <c r="M42" i="233"/>
  <c r="H45" i="233"/>
  <c r="H51" i="233"/>
  <c r="Q36" i="233"/>
  <c r="Q35" i="233" s="1"/>
  <c r="H59" i="233"/>
  <c r="G65" i="233"/>
  <c r="G63" i="233" s="1"/>
  <c r="H68" i="233"/>
  <c r="H76" i="233"/>
  <c r="R101" i="233"/>
  <c r="O100" i="233"/>
  <c r="O120" i="233"/>
  <c r="R121" i="233"/>
  <c r="L120" i="233"/>
  <c r="R129" i="233"/>
  <c r="G132" i="233"/>
  <c r="G120" i="233" s="1"/>
  <c r="G119" i="233" s="1"/>
  <c r="G164" i="233" s="1"/>
  <c r="H135" i="233"/>
  <c r="H143" i="233"/>
  <c r="R152" i="233"/>
  <c r="M156" i="233"/>
  <c r="R160" i="233"/>
  <c r="J165" i="233"/>
  <c r="R166" i="233"/>
  <c r="P165" i="233"/>
  <c r="R165" i="233" s="1"/>
  <c r="M169" i="233"/>
  <c r="R173" i="233"/>
  <c r="O165" i="233"/>
  <c r="H184" i="233"/>
  <c r="R189" i="233"/>
  <c r="R195" i="233"/>
  <c r="H210" i="233"/>
  <c r="P216" i="233"/>
  <c r="P204" i="233" s="1"/>
  <c r="J233" i="233"/>
  <c r="M17" i="231"/>
  <c r="J16" i="231"/>
  <c r="H32" i="231"/>
  <c r="J36" i="231"/>
  <c r="H49" i="231"/>
  <c r="E48" i="231"/>
  <c r="K36" i="231"/>
  <c r="K35" i="231" s="1"/>
  <c r="G48" i="231"/>
  <c r="G36" i="231" s="1"/>
  <c r="R55" i="231"/>
  <c r="M59" i="231"/>
  <c r="H82" i="231"/>
  <c r="Q81" i="231"/>
  <c r="R101" i="231"/>
  <c r="P100" i="231"/>
  <c r="Q98" i="231"/>
  <c r="Q94" i="231" s="1"/>
  <c r="K132" i="231"/>
  <c r="K120" i="231" s="1"/>
  <c r="H190" i="231"/>
  <c r="F189" i="231"/>
  <c r="F182" i="231" s="1"/>
  <c r="F178" i="231" s="1"/>
  <c r="M217" i="231"/>
  <c r="M240" i="231"/>
  <c r="K233" i="231"/>
  <c r="K231" i="231" s="1"/>
  <c r="R15" i="102"/>
  <c r="K36" i="102"/>
  <c r="K35" i="102" s="1"/>
  <c r="G120" i="232"/>
  <c r="G119" i="232" s="1"/>
  <c r="G164" i="232" s="1"/>
  <c r="L248" i="232"/>
  <c r="E36" i="34"/>
  <c r="Q98" i="34"/>
  <c r="M166" i="34"/>
  <c r="K165" i="34"/>
  <c r="R182" i="34"/>
  <c r="M185" i="34"/>
  <c r="K184" i="34"/>
  <c r="R17" i="233"/>
  <c r="O16" i="233"/>
  <c r="Q248" i="233"/>
  <c r="O14" i="231"/>
  <c r="R14" i="231" s="1"/>
  <c r="M22" i="231"/>
  <c r="K21" i="231"/>
  <c r="K14" i="231" s="1"/>
  <c r="K10" i="231" s="1"/>
  <c r="R16" i="102"/>
  <c r="H22" i="102"/>
  <c r="M26" i="102"/>
  <c r="Q36" i="102"/>
  <c r="K81" i="102"/>
  <c r="E100" i="102"/>
  <c r="H100" i="102" s="1"/>
  <c r="L98" i="102"/>
  <c r="L94" i="102" s="1"/>
  <c r="P98" i="102"/>
  <c r="P94" i="102" s="1"/>
  <c r="E110" i="102"/>
  <c r="H110" i="102" s="1"/>
  <c r="E132" i="102"/>
  <c r="H132" i="102" s="1"/>
  <c r="P120" i="102"/>
  <c r="P119" i="102" s="1"/>
  <c r="R166" i="102"/>
  <c r="K182" i="102"/>
  <c r="K178" i="102" s="1"/>
  <c r="R184" i="102"/>
  <c r="L182" i="102"/>
  <c r="L178" i="102" s="1"/>
  <c r="L248" i="102" s="1"/>
  <c r="R194" i="102"/>
  <c r="R205" i="102"/>
  <c r="R213" i="102"/>
  <c r="R236" i="102"/>
  <c r="G36" i="232"/>
  <c r="F65" i="232"/>
  <c r="F63" i="232" s="1"/>
  <c r="M100" i="232"/>
  <c r="Q98" i="232"/>
  <c r="Q94" i="232" s="1"/>
  <c r="M106" i="232"/>
  <c r="J105" i="232"/>
  <c r="M105" i="232" s="1"/>
  <c r="R165" i="232"/>
  <c r="M185" i="232"/>
  <c r="K184" i="232"/>
  <c r="M204" i="232"/>
  <c r="H250" i="232"/>
  <c r="E249" i="232"/>
  <c r="H249" i="232" s="1"/>
  <c r="H22" i="34"/>
  <c r="F21" i="34"/>
  <c r="H21" i="34" s="1"/>
  <c r="R45" i="34"/>
  <c r="E48" i="34"/>
  <c r="R59" i="34"/>
  <c r="Q165" i="34"/>
  <c r="R183" i="34"/>
  <c r="H185" i="34"/>
  <c r="F204" i="34"/>
  <c r="H210" i="34"/>
  <c r="M16" i="233"/>
  <c r="J15" i="233"/>
  <c r="H21" i="233"/>
  <c r="H81" i="233"/>
  <c r="M89" i="233"/>
  <c r="K81" i="233"/>
  <c r="M81" i="233" s="1"/>
  <c r="H99" i="233"/>
  <c r="E98" i="233"/>
  <c r="M184" i="233"/>
  <c r="K183" i="233"/>
  <c r="M185" i="233"/>
  <c r="H217" i="233"/>
  <c r="F216" i="233"/>
  <c r="F204" i="233" s="1"/>
  <c r="R234" i="233"/>
  <c r="O233" i="233"/>
  <c r="M250" i="233"/>
  <c r="J249" i="233"/>
  <c r="M249" i="233" s="1"/>
  <c r="E16" i="231"/>
  <c r="H22" i="231"/>
  <c r="L36" i="231"/>
  <c r="L35" i="231" s="1"/>
  <c r="L80" i="231" s="1"/>
  <c r="R49" i="231"/>
  <c r="O48" i="231"/>
  <c r="O36" i="231" s="1"/>
  <c r="R121" i="231"/>
  <c r="K204" i="231"/>
  <c r="K203" i="231" s="1"/>
  <c r="K248" i="231" s="1"/>
  <c r="R223" i="231"/>
  <c r="O216" i="231"/>
  <c r="H250" i="231"/>
  <c r="Q249" i="231"/>
  <c r="P14" i="102"/>
  <c r="P10" i="102" s="1"/>
  <c r="H37" i="102"/>
  <c r="M42" i="102"/>
  <c r="H45" i="102"/>
  <c r="E65" i="102"/>
  <c r="P65" i="102"/>
  <c r="P63" i="102" s="1"/>
  <c r="R76" i="102"/>
  <c r="R82" i="102"/>
  <c r="M85" i="102"/>
  <c r="F81" i="102"/>
  <c r="R101" i="102"/>
  <c r="K98" i="102"/>
  <c r="K94" i="102" s="1"/>
  <c r="K164" i="102" s="1"/>
  <c r="R106" i="102"/>
  <c r="R111" i="102"/>
  <c r="H121" i="102"/>
  <c r="M126" i="102"/>
  <c r="H129" i="102"/>
  <c r="K132" i="102"/>
  <c r="K120" i="102" s="1"/>
  <c r="K119" i="102" s="1"/>
  <c r="G132" i="102"/>
  <c r="G120" i="102" s="1"/>
  <c r="R139" i="102"/>
  <c r="M143" i="102"/>
  <c r="L149" i="102"/>
  <c r="L147" i="102" s="1"/>
  <c r="R156" i="102"/>
  <c r="M166" i="102"/>
  <c r="H169" i="102"/>
  <c r="M184" i="102"/>
  <c r="R185" i="102"/>
  <c r="R190" i="102"/>
  <c r="M194" i="102"/>
  <c r="R195" i="102"/>
  <c r="M205" i="102"/>
  <c r="R210" i="102"/>
  <c r="M213" i="102"/>
  <c r="H219" i="102"/>
  <c r="Q216" i="102"/>
  <c r="Q204" i="102" s="1"/>
  <c r="Q203" i="102" s="1"/>
  <c r="Q248" i="102" s="1"/>
  <c r="H227" i="102"/>
  <c r="M236" i="102"/>
  <c r="R240" i="102"/>
  <c r="M244" i="102"/>
  <c r="J249" i="102"/>
  <c r="H250" i="102"/>
  <c r="R257" i="102"/>
  <c r="F10" i="232"/>
  <c r="H15" i="232"/>
  <c r="M16" i="232"/>
  <c r="R17" i="232"/>
  <c r="R27" i="232"/>
  <c r="R37" i="232"/>
  <c r="J48" i="232"/>
  <c r="H99" i="232"/>
  <c r="H166" i="232"/>
  <c r="R183" i="232"/>
  <c r="H185" i="232"/>
  <c r="R204" i="232"/>
  <c r="P203" i="232"/>
  <c r="H210" i="232"/>
  <c r="F204" i="232"/>
  <c r="R216" i="232"/>
  <c r="H233" i="232"/>
  <c r="M234" i="232"/>
  <c r="J233" i="232"/>
  <c r="M15" i="34"/>
  <c r="J14" i="34"/>
  <c r="J10" i="34" s="1"/>
  <c r="R21" i="34"/>
  <c r="K99" i="34"/>
  <c r="R100" i="34"/>
  <c r="P99" i="34"/>
  <c r="E105" i="34"/>
  <c r="H105" i="34" s="1"/>
  <c r="F132" i="34"/>
  <c r="F120" i="34" s="1"/>
  <c r="F119" i="34" s="1"/>
  <c r="F117" i="34" s="1"/>
  <c r="H117" i="34" s="1"/>
  <c r="Q120" i="34"/>
  <c r="Q119" i="34" s="1"/>
  <c r="Q117" i="34" s="1"/>
  <c r="Q116" i="34" s="1"/>
  <c r="J182" i="34"/>
  <c r="J178" i="34" s="1"/>
  <c r="F184" i="34"/>
  <c r="H195" i="34"/>
  <c r="M200" i="34"/>
  <c r="K204" i="34"/>
  <c r="L204" i="34"/>
  <c r="L203" i="34" s="1"/>
  <c r="R250" i="34"/>
  <c r="O249" i="34"/>
  <c r="R249" i="34" s="1"/>
  <c r="H257" i="34"/>
  <c r="F249" i="34"/>
  <c r="H249" i="34" s="1"/>
  <c r="H15" i="233"/>
  <c r="E14" i="233"/>
  <c r="R22" i="233"/>
  <c r="P21" i="233"/>
  <c r="R21" i="233" s="1"/>
  <c r="P48" i="233"/>
  <c r="O81" i="233"/>
  <c r="R81" i="233" s="1"/>
  <c r="H89" i="233"/>
  <c r="M105" i="233"/>
  <c r="M106" i="233"/>
  <c r="H183" i="233"/>
  <c r="F182" i="233"/>
  <c r="J204" i="233"/>
  <c r="H205" i="233"/>
  <c r="L204" i="233"/>
  <c r="L203" i="233" s="1"/>
  <c r="L248" i="233" s="1"/>
  <c r="M210" i="233"/>
  <c r="M223" i="233"/>
  <c r="K216" i="233"/>
  <c r="K204" i="233" s="1"/>
  <c r="E233" i="233"/>
  <c r="R236" i="233"/>
  <c r="R244" i="233"/>
  <c r="F21" i="231"/>
  <c r="F14" i="231" s="1"/>
  <c r="F10" i="231" s="1"/>
  <c r="F80" i="231" s="1"/>
  <c r="E36" i="231"/>
  <c r="M49" i="231"/>
  <c r="M82" i="231"/>
  <c r="K81" i="231"/>
  <c r="H100" i="231"/>
  <c r="R106" i="231"/>
  <c r="O105" i="231"/>
  <c r="O98" i="231" s="1"/>
  <c r="H116" i="231"/>
  <c r="H139" i="231"/>
  <c r="M160" i="231"/>
  <c r="M184" i="231"/>
  <c r="L248" i="231"/>
  <c r="L204" i="231"/>
  <c r="L203" i="231" s="1"/>
  <c r="F204" i="231"/>
  <c r="F203" i="231" s="1"/>
  <c r="F248" i="231" s="1"/>
  <c r="H227" i="231"/>
  <c r="R240" i="231"/>
  <c r="H17" i="232"/>
  <c r="R22" i="232"/>
  <c r="H27" i="232"/>
  <c r="M32" i="232"/>
  <c r="H37" i="232"/>
  <c r="L36" i="232"/>
  <c r="L35" i="232" s="1"/>
  <c r="L80" i="232" s="1"/>
  <c r="R45" i="232"/>
  <c r="M51" i="232"/>
  <c r="R55" i="232"/>
  <c r="M59" i="232"/>
  <c r="G65" i="232"/>
  <c r="G63" i="232" s="1"/>
  <c r="R68" i="232"/>
  <c r="M72" i="232"/>
  <c r="R76" i="232"/>
  <c r="H82" i="232"/>
  <c r="H89" i="232"/>
  <c r="Q81" i="232"/>
  <c r="H101" i="232"/>
  <c r="R106" i="232"/>
  <c r="H111" i="232"/>
  <c r="M116" i="232"/>
  <c r="H121" i="232"/>
  <c r="L120" i="232"/>
  <c r="L119" i="232" s="1"/>
  <c r="R129" i="232"/>
  <c r="M135" i="232"/>
  <c r="R139" i="232"/>
  <c r="M143" i="232"/>
  <c r="G149" i="232"/>
  <c r="G147" i="232" s="1"/>
  <c r="R152" i="232"/>
  <c r="M156" i="232"/>
  <c r="R160" i="232"/>
  <c r="R166" i="232"/>
  <c r="M169" i="232"/>
  <c r="R173" i="232"/>
  <c r="R185" i="232"/>
  <c r="H190" i="232"/>
  <c r="R195" i="232"/>
  <c r="H205" i="232"/>
  <c r="M210" i="232"/>
  <c r="H213" i="232"/>
  <c r="H217" i="232"/>
  <c r="R223" i="232"/>
  <c r="R234" i="232"/>
  <c r="H240" i="232"/>
  <c r="M250" i="232"/>
  <c r="H253" i="232"/>
  <c r="R257" i="232"/>
  <c r="M17" i="34"/>
  <c r="M22" i="34"/>
  <c r="H38" i="34"/>
  <c r="R38" i="34"/>
  <c r="H40" i="34"/>
  <c r="H42" i="34"/>
  <c r="F48" i="34"/>
  <c r="M55" i="34"/>
  <c r="H59" i="34"/>
  <c r="G65" i="34"/>
  <c r="G63" i="34" s="1"/>
  <c r="R68" i="34"/>
  <c r="M72" i="34"/>
  <c r="R76" i="34"/>
  <c r="H82" i="34"/>
  <c r="H89" i="34"/>
  <c r="Q81" i="34"/>
  <c r="H101" i="34"/>
  <c r="R106" i="34"/>
  <c r="H111" i="34"/>
  <c r="H126" i="34"/>
  <c r="G132" i="34"/>
  <c r="G120" i="34" s="1"/>
  <c r="G119" i="34" s="1"/>
  <c r="G117" i="34" s="1"/>
  <c r="G116" i="34" s="1"/>
  <c r="R135" i="34"/>
  <c r="M139" i="34"/>
  <c r="R143" i="34"/>
  <c r="H152" i="34"/>
  <c r="Q149" i="34"/>
  <c r="Q147" i="34" s="1"/>
  <c r="H160" i="34"/>
  <c r="R166" i="34"/>
  <c r="M169" i="34"/>
  <c r="G165" i="34"/>
  <c r="R173" i="34"/>
  <c r="R185" i="34"/>
  <c r="H190" i="34"/>
  <c r="R195" i="34"/>
  <c r="M205" i="34"/>
  <c r="R210" i="34"/>
  <c r="M213" i="34"/>
  <c r="H219" i="34"/>
  <c r="Q216" i="34"/>
  <c r="Q204" i="34" s="1"/>
  <c r="Q203" i="34" s="1"/>
  <c r="Q248" i="34" s="1"/>
  <c r="H227" i="34"/>
  <c r="M236" i="34"/>
  <c r="R240" i="34"/>
  <c r="M244" i="34"/>
  <c r="R253" i="34"/>
  <c r="M257" i="34"/>
  <c r="M27" i="233"/>
  <c r="R32" i="233"/>
  <c r="M37" i="233"/>
  <c r="R45" i="233"/>
  <c r="M51" i="233"/>
  <c r="H55" i="233"/>
  <c r="M59" i="233"/>
  <c r="R68" i="233"/>
  <c r="R76" i="233"/>
  <c r="H82" i="233"/>
  <c r="R89" i="233"/>
  <c r="M111" i="233"/>
  <c r="R116" i="233"/>
  <c r="H126" i="233"/>
  <c r="R135" i="233"/>
  <c r="R143" i="233"/>
  <c r="L149" i="233"/>
  <c r="L147" i="233" s="1"/>
  <c r="R156" i="233"/>
  <c r="R169" i="233"/>
  <c r="M190" i="233"/>
  <c r="H200" i="233"/>
  <c r="M205" i="233"/>
  <c r="R210" i="233"/>
  <c r="M213" i="233"/>
  <c r="M217" i="233"/>
  <c r="H219" i="233"/>
  <c r="H227" i="233"/>
  <c r="H236" i="233"/>
  <c r="M240" i="233"/>
  <c r="H244" i="233"/>
  <c r="R250" i="233"/>
  <c r="M253" i="233"/>
  <c r="H257" i="233"/>
  <c r="R17" i="231"/>
  <c r="R22" i="231"/>
  <c r="H27" i="231"/>
  <c r="M32" i="231"/>
  <c r="M37" i="231"/>
  <c r="R42" i="231"/>
  <c r="M45" i="231"/>
  <c r="P48" i="231"/>
  <c r="P36" i="231" s="1"/>
  <c r="P35" i="231" s="1"/>
  <c r="R59" i="231"/>
  <c r="H76" i="231"/>
  <c r="R82" i="231"/>
  <c r="M85" i="231"/>
  <c r="G81" i="231"/>
  <c r="L98" i="231"/>
  <c r="L94" i="231" s="1"/>
  <c r="L164" i="231" s="1"/>
  <c r="R116" i="231"/>
  <c r="H121" i="231"/>
  <c r="M126" i="231"/>
  <c r="H129" i="231"/>
  <c r="L132" i="231"/>
  <c r="L120" i="231" s="1"/>
  <c r="L119" i="231" s="1"/>
  <c r="R139" i="231"/>
  <c r="H156" i="231"/>
  <c r="R169" i="231"/>
  <c r="K165" i="231"/>
  <c r="M185" i="231"/>
  <c r="M190" i="231"/>
  <c r="H200" i="231"/>
  <c r="M205" i="231"/>
  <c r="R210" i="231"/>
  <c r="M213" i="231"/>
  <c r="R217" i="231"/>
  <c r="P216" i="231"/>
  <c r="P204" i="231" s="1"/>
  <c r="P203" i="231" s="1"/>
  <c r="P248" i="231" s="1"/>
  <c r="R227" i="231"/>
  <c r="H244" i="231"/>
  <c r="R250" i="231"/>
  <c r="M253" i="231"/>
  <c r="G249" i="231"/>
  <c r="M17" i="232"/>
  <c r="G14" i="232"/>
  <c r="G10" i="232" s="1"/>
  <c r="R21" i="232"/>
  <c r="M27" i="232"/>
  <c r="R32" i="232"/>
  <c r="M37" i="232"/>
  <c r="H42" i="232"/>
  <c r="Q36" i="232"/>
  <c r="R51" i="232"/>
  <c r="R59" i="232"/>
  <c r="L65" i="232"/>
  <c r="L63" i="232" s="1"/>
  <c r="R72" i="232"/>
  <c r="M82" i="232"/>
  <c r="H85" i="232"/>
  <c r="M89" i="232"/>
  <c r="H100" i="232"/>
  <c r="M101" i="232"/>
  <c r="G98" i="232"/>
  <c r="G94" i="232" s="1"/>
  <c r="R105" i="232"/>
  <c r="M111" i="232"/>
  <c r="R116" i="232"/>
  <c r="M121" i="232"/>
  <c r="H126" i="232"/>
  <c r="Q120" i="232"/>
  <c r="R135" i="232"/>
  <c r="R143" i="232"/>
  <c r="L149" i="232"/>
  <c r="L147" i="232" s="1"/>
  <c r="R156" i="232"/>
  <c r="R169" i="232"/>
  <c r="R184" i="232"/>
  <c r="H189" i="232"/>
  <c r="M190" i="232"/>
  <c r="H200" i="232"/>
  <c r="M205" i="232"/>
  <c r="R210" i="232"/>
  <c r="M213" i="232"/>
  <c r="M217" i="232"/>
  <c r="H219" i="232"/>
  <c r="H227" i="232"/>
  <c r="H236" i="232"/>
  <c r="M240" i="232"/>
  <c r="H244" i="232"/>
  <c r="R250" i="232"/>
  <c r="M253" i="232"/>
  <c r="M16" i="34"/>
  <c r="R17" i="34"/>
  <c r="M21" i="34"/>
  <c r="R22" i="34"/>
  <c r="H27" i="34"/>
  <c r="M37" i="34"/>
  <c r="M42" i="34"/>
  <c r="H45" i="34"/>
  <c r="K48" i="34"/>
  <c r="G48" i="34"/>
  <c r="G36" i="34" s="1"/>
  <c r="G35" i="34" s="1"/>
  <c r="G33" i="34" s="1"/>
  <c r="G32" i="34" s="1"/>
  <c r="G10" i="34" s="1"/>
  <c r="G80" i="34" s="1"/>
  <c r="R55" i="34"/>
  <c r="M59" i="34"/>
  <c r="L65" i="34"/>
  <c r="L63" i="34" s="1"/>
  <c r="R72" i="34"/>
  <c r="M82" i="34"/>
  <c r="H85" i="34"/>
  <c r="M89" i="34"/>
  <c r="H100" i="34"/>
  <c r="M101" i="34"/>
  <c r="G98" i="34"/>
  <c r="G94" i="34" s="1"/>
  <c r="G164" i="34" s="1"/>
  <c r="R105" i="34"/>
  <c r="M111" i="34"/>
  <c r="H121" i="34"/>
  <c r="M126" i="34"/>
  <c r="H129" i="34"/>
  <c r="L132" i="34"/>
  <c r="L120" i="34" s="1"/>
  <c r="L119" i="34" s="1"/>
  <c r="L117" i="34" s="1"/>
  <c r="L116" i="34" s="1"/>
  <c r="L94" i="34" s="1"/>
  <c r="L164" i="34" s="1"/>
  <c r="R139" i="34"/>
  <c r="M152" i="34"/>
  <c r="H156" i="34"/>
  <c r="M160" i="34"/>
  <c r="R169" i="34"/>
  <c r="L165" i="34"/>
  <c r="R184" i="34"/>
  <c r="H189" i="34"/>
  <c r="M190" i="34"/>
  <c r="H200" i="34"/>
  <c r="R205" i="34"/>
  <c r="R213" i="34"/>
  <c r="M219" i="34"/>
  <c r="H223" i="34"/>
  <c r="M227" i="34"/>
  <c r="R236" i="34"/>
  <c r="R244" i="34"/>
  <c r="H250" i="34"/>
  <c r="R257" i="34"/>
  <c r="H17" i="233"/>
  <c r="H22" i="233"/>
  <c r="R27" i="233"/>
  <c r="R37" i="233"/>
  <c r="H42" i="233"/>
  <c r="G48" i="233"/>
  <c r="G36" i="233" s="1"/>
  <c r="R51" i="233"/>
  <c r="M55" i="233"/>
  <c r="R59" i="233"/>
  <c r="H72" i="233"/>
  <c r="M82" i="233"/>
  <c r="H85" i="233"/>
  <c r="H101" i="233"/>
  <c r="H106" i="233"/>
  <c r="R111" i="233"/>
  <c r="H121" i="233"/>
  <c r="M126" i="233"/>
  <c r="H129" i="233"/>
  <c r="H139" i="233"/>
  <c r="H152" i="233"/>
  <c r="Q149" i="233"/>
  <c r="Q147" i="233" s="1"/>
  <c r="Q119" i="233" s="1"/>
  <c r="Q164" i="233" s="1"/>
  <c r="H160" i="233"/>
  <c r="H166" i="233"/>
  <c r="H173" i="233"/>
  <c r="H185" i="233"/>
  <c r="M189" i="233"/>
  <c r="R190" i="233"/>
  <c r="H195" i="233"/>
  <c r="M200" i="233"/>
  <c r="R205" i="233"/>
  <c r="R213" i="233"/>
  <c r="R217" i="233"/>
  <c r="M219" i="233"/>
  <c r="H223" i="233"/>
  <c r="M227" i="233"/>
  <c r="H234" i="233"/>
  <c r="M236" i="233"/>
  <c r="R240" i="233"/>
  <c r="M244" i="233"/>
  <c r="R253" i="233"/>
  <c r="M257" i="233"/>
  <c r="R16" i="231"/>
  <c r="P14" i="231"/>
  <c r="P10" i="231" s="1"/>
  <c r="P80" i="231" s="1"/>
  <c r="M27" i="231"/>
  <c r="R32" i="231"/>
  <c r="R37" i="231"/>
  <c r="R45" i="231"/>
  <c r="H55" i="231"/>
  <c r="Q48" i="231"/>
  <c r="Q36" i="231" s="1"/>
  <c r="H72" i="231"/>
  <c r="M76" i="231"/>
  <c r="R85" i="231"/>
  <c r="L81" i="231"/>
  <c r="H101" i="231"/>
  <c r="H106" i="231"/>
  <c r="M121" i="231"/>
  <c r="R126" i="231"/>
  <c r="M129" i="231"/>
  <c r="H143" i="231"/>
  <c r="M156" i="231"/>
  <c r="H160" i="231"/>
  <c r="H166" i="231"/>
  <c r="Q165" i="231"/>
  <c r="L165" i="231"/>
  <c r="P165" i="231"/>
  <c r="R165" i="231" s="1"/>
  <c r="G182" i="231"/>
  <c r="G178" i="231" s="1"/>
  <c r="R185" i="231"/>
  <c r="K182" i="231"/>
  <c r="K178" i="231" s="1"/>
  <c r="R190" i="231"/>
  <c r="M200" i="231"/>
  <c r="R205" i="231"/>
  <c r="R213" i="231"/>
  <c r="H223" i="231"/>
  <c r="Q216" i="231"/>
  <c r="Q204" i="231" s="1"/>
  <c r="H240" i="231"/>
  <c r="M244" i="231"/>
  <c r="R253" i="231"/>
  <c r="L249" i="231"/>
  <c r="M68" i="231"/>
  <c r="J66" i="231"/>
  <c r="M89" i="231"/>
  <c r="J81" i="231"/>
  <c r="H105" i="231"/>
  <c r="E98" i="231"/>
  <c r="R105" i="231"/>
  <c r="M135" i="231"/>
  <c r="J133" i="231"/>
  <c r="M195" i="231"/>
  <c r="J194" i="231"/>
  <c r="M194" i="231" s="1"/>
  <c r="M236" i="231"/>
  <c r="J234" i="231"/>
  <c r="M257" i="231"/>
  <c r="J249" i="231"/>
  <c r="H68" i="231"/>
  <c r="E66" i="231"/>
  <c r="R68" i="231"/>
  <c r="O66" i="231"/>
  <c r="H89" i="231"/>
  <c r="E81" i="231"/>
  <c r="H81" i="231" s="1"/>
  <c r="R89" i="231"/>
  <c r="O81" i="231"/>
  <c r="H135" i="231"/>
  <c r="E133" i="231"/>
  <c r="R135" i="231"/>
  <c r="O133" i="231"/>
  <c r="E147" i="231"/>
  <c r="O147" i="231"/>
  <c r="H195" i="231"/>
  <c r="E194" i="231"/>
  <c r="H194" i="231" s="1"/>
  <c r="R195" i="231"/>
  <c r="O194" i="231"/>
  <c r="R194" i="231" s="1"/>
  <c r="H236" i="231"/>
  <c r="E234" i="231"/>
  <c r="R236" i="231"/>
  <c r="O234" i="231"/>
  <c r="H257" i="231"/>
  <c r="E249" i="231"/>
  <c r="H249" i="231" s="1"/>
  <c r="R257" i="231"/>
  <c r="O249" i="231"/>
  <c r="H21" i="231"/>
  <c r="M21" i="231"/>
  <c r="R21" i="231"/>
  <c r="R48" i="231"/>
  <c r="H51" i="231"/>
  <c r="M51" i="231"/>
  <c r="R51" i="231"/>
  <c r="H99" i="231"/>
  <c r="H165" i="231"/>
  <c r="M165" i="231"/>
  <c r="H173" i="231"/>
  <c r="M173" i="231"/>
  <c r="R173" i="231"/>
  <c r="H216" i="231"/>
  <c r="H219" i="231"/>
  <c r="M219" i="231"/>
  <c r="R219" i="231"/>
  <c r="O10" i="231"/>
  <c r="E26" i="231"/>
  <c r="H26" i="231" s="1"/>
  <c r="J26" i="231"/>
  <c r="M26" i="231" s="1"/>
  <c r="O26" i="231"/>
  <c r="R26" i="231" s="1"/>
  <c r="G65" i="231"/>
  <c r="G63" i="231" s="1"/>
  <c r="G35" i="231" s="1"/>
  <c r="G80" i="231" s="1"/>
  <c r="Q65" i="231"/>
  <c r="Q63" i="231" s="1"/>
  <c r="J105" i="231"/>
  <c r="H110" i="231"/>
  <c r="M110" i="231"/>
  <c r="R110" i="231"/>
  <c r="H111" i="231"/>
  <c r="M111" i="231"/>
  <c r="R111" i="231"/>
  <c r="G132" i="231"/>
  <c r="G120" i="231" s="1"/>
  <c r="G119" i="231" s="1"/>
  <c r="G164" i="231" s="1"/>
  <c r="Q132" i="231"/>
  <c r="Q120" i="231" s="1"/>
  <c r="Q119" i="231" s="1"/>
  <c r="J149" i="231"/>
  <c r="H150" i="231"/>
  <c r="M150" i="231"/>
  <c r="R150" i="231"/>
  <c r="F149" i="231"/>
  <c r="F147" i="231" s="1"/>
  <c r="F119" i="231" s="1"/>
  <c r="F164" i="231" s="1"/>
  <c r="H152" i="231"/>
  <c r="K149" i="231"/>
  <c r="K147" i="231" s="1"/>
  <c r="M152" i="231"/>
  <c r="P149" i="231"/>
  <c r="P147" i="231" s="1"/>
  <c r="P119" i="231" s="1"/>
  <c r="R152" i="231"/>
  <c r="J183" i="231"/>
  <c r="E184" i="231"/>
  <c r="O184" i="231"/>
  <c r="H189" i="231"/>
  <c r="M189" i="231"/>
  <c r="R189" i="231"/>
  <c r="E204" i="231"/>
  <c r="J204" i="231"/>
  <c r="O204" i="231"/>
  <c r="G233" i="231"/>
  <c r="G231" i="231" s="1"/>
  <c r="G203" i="231" s="1"/>
  <c r="G248" i="231" s="1"/>
  <c r="Q233" i="231"/>
  <c r="Q231" i="231" s="1"/>
  <c r="Q203" i="231" s="1"/>
  <c r="Q248" i="231" s="1"/>
  <c r="L35" i="233"/>
  <c r="L80" i="233" s="1"/>
  <c r="E10" i="233"/>
  <c r="F14" i="233"/>
  <c r="F10" i="233" s="1"/>
  <c r="K14" i="233"/>
  <c r="K10" i="233" s="1"/>
  <c r="E26" i="233"/>
  <c r="H26" i="233" s="1"/>
  <c r="J26" i="233"/>
  <c r="M26" i="233" s="1"/>
  <c r="O26" i="233"/>
  <c r="R26" i="233" s="1"/>
  <c r="F36" i="233"/>
  <c r="K36" i="233"/>
  <c r="P36" i="233"/>
  <c r="E49" i="233"/>
  <c r="J49" i="233"/>
  <c r="O49" i="233"/>
  <c r="E63" i="233"/>
  <c r="J63" i="233"/>
  <c r="O63" i="233"/>
  <c r="F66" i="233"/>
  <c r="F65" i="233" s="1"/>
  <c r="F63" i="233" s="1"/>
  <c r="K66" i="233"/>
  <c r="K65" i="233" s="1"/>
  <c r="K63" i="233" s="1"/>
  <c r="P66" i="233"/>
  <c r="P65" i="233" s="1"/>
  <c r="P63" i="233" s="1"/>
  <c r="E94" i="233"/>
  <c r="F98" i="233"/>
  <c r="F94" i="233" s="1"/>
  <c r="K98" i="233"/>
  <c r="K94" i="233" s="1"/>
  <c r="E110" i="233"/>
  <c r="H110" i="233" s="1"/>
  <c r="J110" i="233"/>
  <c r="M110" i="233" s="1"/>
  <c r="O110" i="233"/>
  <c r="R110" i="233" s="1"/>
  <c r="F133" i="233"/>
  <c r="F132" i="233" s="1"/>
  <c r="F120" i="233" s="1"/>
  <c r="F119" i="233" s="1"/>
  <c r="K133" i="233"/>
  <c r="K132" i="233" s="1"/>
  <c r="K120" i="233" s="1"/>
  <c r="K119" i="233" s="1"/>
  <c r="P133" i="233"/>
  <c r="P132" i="233" s="1"/>
  <c r="P120" i="233" s="1"/>
  <c r="P119" i="233" s="1"/>
  <c r="E150" i="233"/>
  <c r="J150" i="233"/>
  <c r="O150" i="233"/>
  <c r="F178" i="233"/>
  <c r="F194" i="233"/>
  <c r="H194" i="233" s="1"/>
  <c r="K194" i="233"/>
  <c r="M194" i="233" s="1"/>
  <c r="P194" i="233"/>
  <c r="R194" i="233" s="1"/>
  <c r="H37" i="34"/>
  <c r="K14" i="34"/>
  <c r="P14" i="34"/>
  <c r="E26" i="34"/>
  <c r="H26" i="34" s="1"/>
  <c r="J26" i="34"/>
  <c r="M26" i="34" s="1"/>
  <c r="O26" i="34"/>
  <c r="R26" i="34" s="1"/>
  <c r="F37" i="34"/>
  <c r="P37" i="34"/>
  <c r="P36" i="34" s="1"/>
  <c r="P35" i="34" s="1"/>
  <c r="P33" i="34" s="1"/>
  <c r="M234" i="34"/>
  <c r="F116" i="34"/>
  <c r="H116" i="34" s="1"/>
  <c r="P116" i="34"/>
  <c r="H48" i="34"/>
  <c r="H51" i="34"/>
  <c r="M51" i="34"/>
  <c r="R51" i="34"/>
  <c r="R194" i="34"/>
  <c r="F63" i="34"/>
  <c r="E66" i="34"/>
  <c r="J66" i="34"/>
  <c r="O66" i="34"/>
  <c r="E81" i="34"/>
  <c r="H81" i="34" s="1"/>
  <c r="J81" i="34"/>
  <c r="M81" i="34" s="1"/>
  <c r="O81" i="34"/>
  <c r="E98" i="34"/>
  <c r="J98" i="34"/>
  <c r="O98" i="34"/>
  <c r="F110" i="34"/>
  <c r="H110" i="34" s="1"/>
  <c r="K110" i="34"/>
  <c r="M110" i="34" s="1"/>
  <c r="P110" i="34"/>
  <c r="R110" i="34" s="1"/>
  <c r="E133" i="34"/>
  <c r="J133" i="34"/>
  <c r="O133" i="34"/>
  <c r="E150" i="34"/>
  <c r="J150" i="34"/>
  <c r="O150" i="34"/>
  <c r="E165" i="34"/>
  <c r="H165" i="34" s="1"/>
  <c r="J165" i="34"/>
  <c r="M165" i="34" s="1"/>
  <c r="O165" i="34"/>
  <c r="R165" i="34" s="1"/>
  <c r="P178" i="34"/>
  <c r="R178" i="34"/>
  <c r="F194" i="34"/>
  <c r="H194" i="34" s="1"/>
  <c r="K194" i="34"/>
  <c r="M194" i="34" s="1"/>
  <c r="P194" i="34"/>
  <c r="E217" i="34"/>
  <c r="J217" i="34"/>
  <c r="O217" i="34"/>
  <c r="E231" i="34"/>
  <c r="J231" i="34"/>
  <c r="M231" i="34" s="1"/>
  <c r="O231" i="34"/>
  <c r="F234" i="34"/>
  <c r="F233" i="34" s="1"/>
  <c r="F231" i="34" s="1"/>
  <c r="K234" i="34"/>
  <c r="K233" i="34" s="1"/>
  <c r="K231" i="34" s="1"/>
  <c r="K203" i="34" s="1"/>
  <c r="P234" i="34"/>
  <c r="P233" i="34" s="1"/>
  <c r="P231" i="34" s="1"/>
  <c r="P203" i="34" s="1"/>
  <c r="G35" i="232"/>
  <c r="G80" i="232" s="1"/>
  <c r="Q35" i="232"/>
  <c r="Q80" i="232" s="1"/>
  <c r="Q119" i="232"/>
  <c r="Q164" i="232" s="1"/>
  <c r="E14" i="232"/>
  <c r="O14" i="232"/>
  <c r="F26" i="232"/>
  <c r="H26" i="232" s="1"/>
  <c r="K26" i="232"/>
  <c r="M26" i="232" s="1"/>
  <c r="P26" i="232"/>
  <c r="R26" i="232" s="1"/>
  <c r="E36" i="232"/>
  <c r="J36" i="232"/>
  <c r="O36" i="232"/>
  <c r="F49" i="232"/>
  <c r="F48" i="232" s="1"/>
  <c r="F36" i="232" s="1"/>
  <c r="K49" i="232"/>
  <c r="K48" i="232" s="1"/>
  <c r="K36" i="232" s="1"/>
  <c r="K35" i="232" s="1"/>
  <c r="K80" i="232" s="1"/>
  <c r="P49" i="232"/>
  <c r="P48" i="232" s="1"/>
  <c r="P36" i="232" s="1"/>
  <c r="P35" i="232" s="1"/>
  <c r="P80" i="232" s="1"/>
  <c r="E66" i="232"/>
  <c r="J66" i="232"/>
  <c r="O66" i="232"/>
  <c r="E81" i="232"/>
  <c r="H81" i="232" s="1"/>
  <c r="J81" i="232"/>
  <c r="M81" i="232" s="1"/>
  <c r="O81" i="232"/>
  <c r="R81" i="232" s="1"/>
  <c r="O98" i="232"/>
  <c r="F110" i="232"/>
  <c r="H110" i="232" s="1"/>
  <c r="K110" i="232"/>
  <c r="M110" i="232" s="1"/>
  <c r="P110" i="232"/>
  <c r="R110" i="232" s="1"/>
  <c r="E120" i="232"/>
  <c r="J120" i="232"/>
  <c r="O120" i="232"/>
  <c r="F133" i="232"/>
  <c r="F132" i="232" s="1"/>
  <c r="F120" i="232" s="1"/>
  <c r="F119" i="232" s="1"/>
  <c r="F164" i="232" s="1"/>
  <c r="K133" i="232"/>
  <c r="K132" i="232" s="1"/>
  <c r="K120" i="232" s="1"/>
  <c r="K119" i="232" s="1"/>
  <c r="K164" i="232" s="1"/>
  <c r="P133" i="232"/>
  <c r="P132" i="232" s="1"/>
  <c r="P120" i="232" s="1"/>
  <c r="P119" i="232" s="1"/>
  <c r="E150" i="232"/>
  <c r="J150" i="232"/>
  <c r="O150" i="232"/>
  <c r="P178" i="232"/>
  <c r="P248" i="232" s="1"/>
  <c r="F194" i="232"/>
  <c r="H194" i="232" s="1"/>
  <c r="K194" i="232"/>
  <c r="M194" i="232" s="1"/>
  <c r="P194" i="232"/>
  <c r="R194" i="232" s="1"/>
  <c r="H51" i="102"/>
  <c r="E49" i="102"/>
  <c r="R51" i="102"/>
  <c r="O49" i="102"/>
  <c r="H65" i="102"/>
  <c r="E63" i="102"/>
  <c r="H63" i="102" s="1"/>
  <c r="R65" i="102"/>
  <c r="O63" i="102"/>
  <c r="R63" i="102" s="1"/>
  <c r="M152" i="102"/>
  <c r="J150" i="102"/>
  <c r="M173" i="102"/>
  <c r="J165" i="102"/>
  <c r="M165" i="102" s="1"/>
  <c r="R189" i="102"/>
  <c r="O182" i="102"/>
  <c r="R37" i="102"/>
  <c r="Q35" i="102"/>
  <c r="Q80" i="102" s="1"/>
  <c r="H68" i="102"/>
  <c r="M68" i="102"/>
  <c r="R68" i="102"/>
  <c r="M105" i="102"/>
  <c r="R105" i="102"/>
  <c r="R132" i="102"/>
  <c r="H135" i="102"/>
  <c r="M135" i="102"/>
  <c r="R135" i="102"/>
  <c r="M183" i="102"/>
  <c r="R183" i="102"/>
  <c r="M51" i="102"/>
  <c r="J49" i="102"/>
  <c r="H152" i="102"/>
  <c r="E150" i="102"/>
  <c r="R152" i="102"/>
  <c r="O150" i="102"/>
  <c r="H173" i="102"/>
  <c r="E165" i="102"/>
  <c r="H165" i="102" s="1"/>
  <c r="R173" i="102"/>
  <c r="O165" i="102"/>
  <c r="H21" i="102"/>
  <c r="R21" i="102"/>
  <c r="M37" i="102"/>
  <c r="J10" i="102"/>
  <c r="O10" i="102"/>
  <c r="L48" i="102"/>
  <c r="L36" i="102" s="1"/>
  <c r="L35" i="102" s="1"/>
  <c r="E81" i="102"/>
  <c r="H81" i="102" s="1"/>
  <c r="J81" i="102"/>
  <c r="M81" i="102" s="1"/>
  <c r="O81" i="102"/>
  <c r="R81" i="102" s="1"/>
  <c r="H89" i="102"/>
  <c r="M89" i="102"/>
  <c r="R89" i="102"/>
  <c r="E99" i="102"/>
  <c r="O99" i="102"/>
  <c r="J100" i="102"/>
  <c r="J110" i="102"/>
  <c r="M110" i="102" s="1"/>
  <c r="E120" i="102"/>
  <c r="J120" i="102"/>
  <c r="O120" i="102"/>
  <c r="G149" i="102"/>
  <c r="G147" i="102" s="1"/>
  <c r="G119" i="102" s="1"/>
  <c r="G164" i="102" s="1"/>
  <c r="Q149" i="102"/>
  <c r="Q147" i="102" s="1"/>
  <c r="Q119" i="102" s="1"/>
  <c r="Q164" i="102" s="1"/>
  <c r="J189" i="102"/>
  <c r="E217" i="102"/>
  <c r="J217" i="102"/>
  <c r="O217" i="102"/>
  <c r="E231" i="102"/>
  <c r="J231" i="102"/>
  <c r="M231" i="102" s="1"/>
  <c r="O231" i="102"/>
  <c r="F234" i="102"/>
  <c r="F233" i="102" s="1"/>
  <c r="F231" i="102" s="1"/>
  <c r="F203" i="102" s="1"/>
  <c r="K234" i="102"/>
  <c r="K233" i="102" s="1"/>
  <c r="K231" i="102" s="1"/>
  <c r="K203" i="102" s="1"/>
  <c r="P234" i="102"/>
  <c r="P233" i="102" s="1"/>
  <c r="P231" i="102" s="1"/>
  <c r="P203" i="102" s="1"/>
  <c r="P248" i="102" s="1"/>
  <c r="F249" i="102"/>
  <c r="H249" i="102" s="1"/>
  <c r="K249" i="102"/>
  <c r="P249" i="102"/>
  <c r="R249" i="102" s="1"/>
  <c r="M204" i="233" l="1"/>
  <c r="K203" i="233"/>
  <c r="H204" i="233"/>
  <c r="F203" i="233"/>
  <c r="R99" i="34"/>
  <c r="P98" i="34"/>
  <c r="P94" i="34" s="1"/>
  <c r="P164" i="34" s="1"/>
  <c r="M183" i="233"/>
  <c r="K182" i="233"/>
  <c r="M36" i="231"/>
  <c r="H16" i="34"/>
  <c r="E15" i="34"/>
  <c r="P98" i="233"/>
  <c r="P94" i="233" s="1"/>
  <c r="H48" i="231"/>
  <c r="H184" i="34"/>
  <c r="F183" i="34"/>
  <c r="R233" i="233"/>
  <c r="O231" i="233"/>
  <c r="M15" i="233"/>
  <c r="J14" i="233"/>
  <c r="J10" i="233" s="1"/>
  <c r="R204" i="233"/>
  <c r="P203" i="233"/>
  <c r="H16" i="102"/>
  <c r="E15" i="102"/>
  <c r="K248" i="102"/>
  <c r="M234" i="102"/>
  <c r="R165" i="102"/>
  <c r="H105" i="102"/>
  <c r="E182" i="102"/>
  <c r="J63" i="102"/>
  <c r="M63" i="102" s="1"/>
  <c r="E98" i="232"/>
  <c r="E94" i="232" s="1"/>
  <c r="R81" i="34"/>
  <c r="R116" i="34"/>
  <c r="P14" i="233"/>
  <c r="P10" i="233" s="1"/>
  <c r="Q164" i="231"/>
  <c r="R216" i="231"/>
  <c r="L119" i="233"/>
  <c r="L164" i="233" s="1"/>
  <c r="H36" i="231"/>
  <c r="H216" i="233"/>
  <c r="H182" i="233"/>
  <c r="M99" i="34"/>
  <c r="K98" i="34"/>
  <c r="M233" i="232"/>
  <c r="J231" i="232"/>
  <c r="H204" i="232"/>
  <c r="F203" i="232"/>
  <c r="H203" i="232" s="1"/>
  <c r="R36" i="231"/>
  <c r="H16" i="231"/>
  <c r="E15" i="231"/>
  <c r="M216" i="233"/>
  <c r="P164" i="102"/>
  <c r="K80" i="231"/>
  <c r="M184" i="34"/>
  <c r="K183" i="34"/>
  <c r="R100" i="231"/>
  <c r="P99" i="231"/>
  <c r="M16" i="231"/>
  <c r="J15" i="231"/>
  <c r="R15" i="34"/>
  <c r="O14" i="34"/>
  <c r="O10" i="34" s="1"/>
  <c r="G35" i="102"/>
  <c r="G80" i="102" s="1"/>
  <c r="K119" i="34"/>
  <c r="K117" i="34" s="1"/>
  <c r="G248" i="102"/>
  <c r="H183" i="232"/>
  <c r="F182" i="232"/>
  <c r="R16" i="233"/>
  <c r="O15" i="233"/>
  <c r="M233" i="233"/>
  <c r="J231" i="233"/>
  <c r="M231" i="233" s="1"/>
  <c r="R233" i="232"/>
  <c r="O231" i="232"/>
  <c r="H184" i="102"/>
  <c r="F183" i="102"/>
  <c r="M48" i="34"/>
  <c r="J36" i="34"/>
  <c r="R184" i="233"/>
  <c r="P183" i="233"/>
  <c r="J98" i="232"/>
  <c r="R117" i="34"/>
  <c r="F14" i="34"/>
  <c r="R249" i="231"/>
  <c r="M184" i="232"/>
  <c r="K183" i="232"/>
  <c r="K36" i="34"/>
  <c r="K35" i="34" s="1"/>
  <c r="K33" i="34" s="1"/>
  <c r="R100" i="232"/>
  <c r="P99" i="232"/>
  <c r="M249" i="102"/>
  <c r="L80" i="102"/>
  <c r="F35" i="232"/>
  <c r="F80" i="232" s="1"/>
  <c r="J14" i="232"/>
  <c r="F203" i="34"/>
  <c r="F36" i="34"/>
  <c r="K119" i="231"/>
  <c r="K164" i="231" s="1"/>
  <c r="Q35" i="231"/>
  <c r="Q80" i="231" s="1"/>
  <c r="M99" i="231"/>
  <c r="R81" i="231"/>
  <c r="M249" i="231"/>
  <c r="M81" i="231"/>
  <c r="G35" i="233"/>
  <c r="G80" i="233" s="1"/>
  <c r="H233" i="233"/>
  <c r="E231" i="233"/>
  <c r="R216" i="233"/>
  <c r="P80" i="102"/>
  <c r="L164" i="102"/>
  <c r="Q94" i="34"/>
  <c r="Q164" i="34" s="1"/>
  <c r="R100" i="233"/>
  <c r="O99" i="233"/>
  <c r="L35" i="34"/>
  <c r="L33" i="34" s="1"/>
  <c r="L32" i="34" s="1"/>
  <c r="L10" i="34" s="1"/>
  <c r="L80" i="34" s="1"/>
  <c r="L164" i="232"/>
  <c r="K14" i="102"/>
  <c r="K10" i="102" s="1"/>
  <c r="K80" i="102" s="1"/>
  <c r="M21" i="102"/>
  <c r="M165" i="233"/>
  <c r="M165" i="232"/>
  <c r="M99" i="233"/>
  <c r="J98" i="233"/>
  <c r="J94" i="233" s="1"/>
  <c r="R182" i="232"/>
  <c r="M132" i="102"/>
  <c r="R204" i="231"/>
  <c r="H204" i="231"/>
  <c r="R184" i="231"/>
  <c r="O183" i="231"/>
  <c r="M183" i="231"/>
  <c r="J182" i="231"/>
  <c r="M149" i="231"/>
  <c r="J147" i="231"/>
  <c r="M147" i="231" s="1"/>
  <c r="O233" i="231"/>
  <c r="R234" i="231"/>
  <c r="E233" i="231"/>
  <c r="H234" i="231"/>
  <c r="O132" i="231"/>
  <c r="R133" i="231"/>
  <c r="E132" i="231"/>
  <c r="H133" i="231"/>
  <c r="O65" i="231"/>
  <c r="R66" i="231"/>
  <c r="E65" i="231"/>
  <c r="H66" i="231"/>
  <c r="J233" i="231"/>
  <c r="M234" i="231"/>
  <c r="J132" i="231"/>
  <c r="M133" i="231"/>
  <c r="O94" i="231"/>
  <c r="H98" i="231"/>
  <c r="E94" i="231"/>
  <c r="J65" i="231"/>
  <c r="M66" i="231"/>
  <c r="R147" i="231"/>
  <c r="H147" i="231"/>
  <c r="M204" i="231"/>
  <c r="H184" i="231"/>
  <c r="E183" i="231"/>
  <c r="M105" i="231"/>
  <c r="J98" i="231"/>
  <c r="R10" i="231"/>
  <c r="R149" i="231"/>
  <c r="H149" i="231"/>
  <c r="R150" i="233"/>
  <c r="O149" i="233"/>
  <c r="H150" i="233"/>
  <c r="E149" i="233"/>
  <c r="H94" i="233"/>
  <c r="M49" i="233"/>
  <c r="J48" i="233"/>
  <c r="M10" i="233"/>
  <c r="H178" i="233"/>
  <c r="K164" i="233"/>
  <c r="R63" i="233"/>
  <c r="H63" i="233"/>
  <c r="P35" i="233"/>
  <c r="F35" i="233"/>
  <c r="P80" i="233"/>
  <c r="F80" i="233"/>
  <c r="M120" i="233"/>
  <c r="H98" i="233"/>
  <c r="M14" i="233"/>
  <c r="M133" i="233"/>
  <c r="R132" i="233"/>
  <c r="H132" i="233"/>
  <c r="M66" i="233"/>
  <c r="R65" i="233"/>
  <c r="H65" i="233"/>
  <c r="M150" i="233"/>
  <c r="J149" i="233"/>
  <c r="M94" i="233"/>
  <c r="R49" i="233"/>
  <c r="O48" i="233"/>
  <c r="H49" i="233"/>
  <c r="E48" i="233"/>
  <c r="H10" i="233"/>
  <c r="P164" i="233"/>
  <c r="F164" i="233"/>
  <c r="M63" i="233"/>
  <c r="K35" i="233"/>
  <c r="K80" i="233" s="1"/>
  <c r="R120" i="233"/>
  <c r="H120" i="233"/>
  <c r="M98" i="233"/>
  <c r="H14" i="233"/>
  <c r="R133" i="233"/>
  <c r="H133" i="233"/>
  <c r="M132" i="233"/>
  <c r="R66" i="233"/>
  <c r="H66" i="233"/>
  <c r="M65" i="233"/>
  <c r="R217" i="34"/>
  <c r="O216" i="34"/>
  <c r="H217" i="34"/>
  <c r="E216" i="34"/>
  <c r="M150" i="34"/>
  <c r="J149" i="34"/>
  <c r="R133" i="34"/>
  <c r="O132" i="34"/>
  <c r="H133" i="34"/>
  <c r="E132" i="34"/>
  <c r="R98" i="34"/>
  <c r="O94" i="34"/>
  <c r="H98" i="34"/>
  <c r="E94" i="34"/>
  <c r="R66" i="34"/>
  <c r="O65" i="34"/>
  <c r="H66" i="34"/>
  <c r="E65" i="34"/>
  <c r="R33" i="34"/>
  <c r="P32" i="34"/>
  <c r="R32" i="34" s="1"/>
  <c r="M217" i="34"/>
  <c r="J216" i="34"/>
  <c r="R150" i="34"/>
  <c r="O149" i="34"/>
  <c r="H150" i="34"/>
  <c r="E149" i="34"/>
  <c r="M133" i="34"/>
  <c r="J132" i="34"/>
  <c r="M98" i="34"/>
  <c r="J94" i="34"/>
  <c r="M66" i="34"/>
  <c r="J65" i="34"/>
  <c r="R233" i="34"/>
  <c r="H233" i="34"/>
  <c r="R36" i="34"/>
  <c r="M14" i="34"/>
  <c r="R231" i="34"/>
  <c r="H231" i="34"/>
  <c r="P248" i="34"/>
  <c r="F94" i="34"/>
  <c r="F164" i="34" s="1"/>
  <c r="R234" i="34"/>
  <c r="H234" i="34"/>
  <c r="M233" i="34"/>
  <c r="F35" i="34"/>
  <c r="F33" i="34" s="1"/>
  <c r="R37" i="34"/>
  <c r="H36" i="34"/>
  <c r="R14" i="34"/>
  <c r="M150" i="232"/>
  <c r="J149" i="232"/>
  <c r="R150" i="232"/>
  <c r="O149" i="232"/>
  <c r="H150" i="232"/>
  <c r="E149" i="232"/>
  <c r="R120" i="232"/>
  <c r="H120" i="232"/>
  <c r="O94" i="232"/>
  <c r="H98" i="232"/>
  <c r="R66" i="232"/>
  <c r="O65" i="232"/>
  <c r="H66" i="232"/>
  <c r="E65" i="232"/>
  <c r="R36" i="232"/>
  <c r="H36" i="232"/>
  <c r="R14" i="232"/>
  <c r="O10" i="232"/>
  <c r="H14" i="232"/>
  <c r="E10" i="232"/>
  <c r="R178" i="232"/>
  <c r="M133" i="232"/>
  <c r="R132" i="232"/>
  <c r="H132" i="232"/>
  <c r="R49" i="232"/>
  <c r="H49" i="232"/>
  <c r="M48" i="232"/>
  <c r="M120" i="232"/>
  <c r="M98" i="232"/>
  <c r="J94" i="232"/>
  <c r="M66" i="232"/>
  <c r="J65" i="232"/>
  <c r="M36" i="232"/>
  <c r="M14" i="232"/>
  <c r="J10" i="232"/>
  <c r="R133" i="232"/>
  <c r="H133" i="232"/>
  <c r="M132" i="232"/>
  <c r="M49" i="232"/>
  <c r="R48" i="232"/>
  <c r="H48" i="232"/>
  <c r="M217" i="102"/>
  <c r="J216" i="102"/>
  <c r="M189" i="102"/>
  <c r="J182" i="102"/>
  <c r="M120" i="102"/>
  <c r="R99" i="102"/>
  <c r="O98" i="102"/>
  <c r="R182" i="102"/>
  <c r="O178" i="102"/>
  <c r="E178" i="102"/>
  <c r="J149" i="102"/>
  <c r="M150" i="102"/>
  <c r="O48" i="102"/>
  <c r="R49" i="102"/>
  <c r="E48" i="102"/>
  <c r="H49" i="102"/>
  <c r="R231" i="102"/>
  <c r="H231" i="102"/>
  <c r="R234" i="102"/>
  <c r="H234" i="102"/>
  <c r="M233" i="102"/>
  <c r="R217" i="102"/>
  <c r="O216" i="102"/>
  <c r="H217" i="102"/>
  <c r="E216" i="102"/>
  <c r="R120" i="102"/>
  <c r="H120" i="102"/>
  <c r="M100" i="102"/>
  <c r="J99" i="102"/>
  <c r="H99" i="102"/>
  <c r="E98" i="102"/>
  <c r="R10" i="102"/>
  <c r="O149" i="102"/>
  <c r="R150" i="102"/>
  <c r="E149" i="102"/>
  <c r="H150" i="102"/>
  <c r="J48" i="102"/>
  <c r="M49" i="102"/>
  <c r="R233" i="102"/>
  <c r="H233" i="102"/>
  <c r="M117" i="34" l="1"/>
  <c r="K116" i="34"/>
  <c r="M116" i="34" s="1"/>
  <c r="E203" i="233"/>
  <c r="E248" i="233" s="1"/>
  <c r="H231" i="233"/>
  <c r="J203" i="233"/>
  <c r="J248" i="233" s="1"/>
  <c r="H182" i="232"/>
  <c r="F178" i="232"/>
  <c r="M14" i="102"/>
  <c r="M15" i="231"/>
  <c r="J14" i="231"/>
  <c r="M183" i="34"/>
  <c r="K182" i="34"/>
  <c r="K94" i="34"/>
  <c r="K164" i="34" s="1"/>
  <c r="O203" i="233"/>
  <c r="O248" i="233" s="1"/>
  <c r="R231" i="233"/>
  <c r="H15" i="34"/>
  <c r="E14" i="34"/>
  <c r="M10" i="102"/>
  <c r="F248" i="233"/>
  <c r="M183" i="232"/>
  <c r="K182" i="232"/>
  <c r="M36" i="34"/>
  <c r="R231" i="232"/>
  <c r="O203" i="232"/>
  <c r="R15" i="233"/>
  <c r="O14" i="233"/>
  <c r="H15" i="231"/>
  <c r="E14" i="231"/>
  <c r="M203" i="233"/>
  <c r="R183" i="233"/>
  <c r="P182" i="233"/>
  <c r="F182" i="102"/>
  <c r="H183" i="102"/>
  <c r="M182" i="233"/>
  <c r="K178" i="233"/>
  <c r="M33" i="34"/>
  <c r="K32" i="34"/>
  <c r="R99" i="233"/>
  <c r="O98" i="233"/>
  <c r="R99" i="232"/>
  <c r="P98" i="232"/>
  <c r="P98" i="231"/>
  <c r="R99" i="231"/>
  <c r="M231" i="232"/>
  <c r="J203" i="232"/>
  <c r="H15" i="102"/>
  <c r="E14" i="102"/>
  <c r="H183" i="34"/>
  <c r="F182" i="34"/>
  <c r="M65" i="231"/>
  <c r="J63" i="231"/>
  <c r="J120" i="231"/>
  <c r="M132" i="231"/>
  <c r="M233" i="231"/>
  <c r="J231" i="231"/>
  <c r="H65" i="231"/>
  <c r="E63" i="231"/>
  <c r="R65" i="231"/>
  <c r="O63" i="231"/>
  <c r="E120" i="231"/>
  <c r="H132" i="231"/>
  <c r="O120" i="231"/>
  <c r="R132" i="231"/>
  <c r="H233" i="231"/>
  <c r="E231" i="231"/>
  <c r="R233" i="231"/>
  <c r="O231" i="231"/>
  <c r="M98" i="231"/>
  <c r="J94" i="231"/>
  <c r="H183" i="231"/>
  <c r="E182" i="231"/>
  <c r="H94" i="231"/>
  <c r="M182" i="231"/>
  <c r="J178" i="231"/>
  <c r="R183" i="231"/>
  <c r="O182" i="231"/>
  <c r="H48" i="233"/>
  <c r="E36" i="233"/>
  <c r="M149" i="233"/>
  <c r="J147" i="233"/>
  <c r="R48" i="233"/>
  <c r="O36" i="233"/>
  <c r="M48" i="233"/>
  <c r="J36" i="233"/>
  <c r="H149" i="233"/>
  <c r="E147" i="233"/>
  <c r="R149" i="233"/>
  <c r="O147" i="233"/>
  <c r="H33" i="34"/>
  <c r="F32" i="34"/>
  <c r="M65" i="34"/>
  <c r="J63" i="34"/>
  <c r="M94" i="34"/>
  <c r="M132" i="34"/>
  <c r="J120" i="34"/>
  <c r="H149" i="34"/>
  <c r="E147" i="34"/>
  <c r="H147" i="34" s="1"/>
  <c r="R149" i="34"/>
  <c r="O147" i="34"/>
  <c r="R147" i="34" s="1"/>
  <c r="M216" i="34"/>
  <c r="J204" i="34"/>
  <c r="H65" i="34"/>
  <c r="E63" i="34"/>
  <c r="R65" i="34"/>
  <c r="O63" i="34"/>
  <c r="H94" i="34"/>
  <c r="R94" i="34"/>
  <c r="H132" i="34"/>
  <c r="E120" i="34"/>
  <c r="R132" i="34"/>
  <c r="O120" i="34"/>
  <c r="M149" i="34"/>
  <c r="J147" i="34"/>
  <c r="M147" i="34" s="1"/>
  <c r="H216" i="34"/>
  <c r="E204" i="34"/>
  <c r="R216" i="34"/>
  <c r="O204" i="34"/>
  <c r="P10" i="34"/>
  <c r="H10" i="232"/>
  <c r="R10" i="232"/>
  <c r="H65" i="232"/>
  <c r="E63" i="232"/>
  <c r="R65" i="232"/>
  <c r="O63" i="232"/>
  <c r="H94" i="232"/>
  <c r="H149" i="232"/>
  <c r="E147" i="232"/>
  <c r="R149" i="232"/>
  <c r="O147" i="232"/>
  <c r="M149" i="232"/>
  <c r="J147" i="232"/>
  <c r="M10" i="232"/>
  <c r="M65" i="232"/>
  <c r="J63" i="232"/>
  <c r="M94" i="232"/>
  <c r="H98" i="102"/>
  <c r="E94" i="102"/>
  <c r="M99" i="102"/>
  <c r="J98" i="102"/>
  <c r="H216" i="102"/>
  <c r="E204" i="102"/>
  <c r="R216" i="102"/>
  <c r="O204" i="102"/>
  <c r="E36" i="102"/>
  <c r="H48" i="102"/>
  <c r="O36" i="102"/>
  <c r="R48" i="102"/>
  <c r="M149" i="102"/>
  <c r="J147" i="102"/>
  <c r="J36" i="102"/>
  <c r="M48" i="102"/>
  <c r="H149" i="102"/>
  <c r="E147" i="102"/>
  <c r="R149" i="102"/>
  <c r="O147" i="102"/>
  <c r="R178" i="102"/>
  <c r="R98" i="102"/>
  <c r="O94" i="102"/>
  <c r="M182" i="102"/>
  <c r="J178" i="102"/>
  <c r="M216" i="102"/>
  <c r="J204" i="102"/>
  <c r="F248" i="232" l="1"/>
  <c r="H248" i="232" s="1"/>
  <c r="H178" i="232"/>
  <c r="H182" i="34"/>
  <c r="F178" i="34"/>
  <c r="M203" i="232"/>
  <c r="J248" i="232"/>
  <c r="P94" i="232"/>
  <c r="R98" i="232"/>
  <c r="M32" i="34"/>
  <c r="K10" i="34"/>
  <c r="M182" i="232"/>
  <c r="K178" i="232"/>
  <c r="E10" i="34"/>
  <c r="H14" i="34"/>
  <c r="R203" i="233"/>
  <c r="M14" i="231"/>
  <c r="J10" i="231"/>
  <c r="M10" i="231" s="1"/>
  <c r="H203" i="233"/>
  <c r="F178" i="102"/>
  <c r="H182" i="102"/>
  <c r="H14" i="231"/>
  <c r="E10" i="231"/>
  <c r="H10" i="231" s="1"/>
  <c r="R203" i="232"/>
  <c r="O248" i="232"/>
  <c r="R248" i="232" s="1"/>
  <c r="P94" i="231"/>
  <c r="R98" i="231"/>
  <c r="O10" i="233"/>
  <c r="R10" i="233" s="1"/>
  <c r="R14" i="233"/>
  <c r="H14" i="102"/>
  <c r="E10" i="102"/>
  <c r="H10" i="102" s="1"/>
  <c r="O94" i="233"/>
  <c r="R94" i="233" s="1"/>
  <c r="R98" i="233"/>
  <c r="K248" i="233"/>
  <c r="M248" i="233" s="1"/>
  <c r="M178" i="233"/>
  <c r="R182" i="233"/>
  <c r="P178" i="233"/>
  <c r="H248" i="233"/>
  <c r="M182" i="34"/>
  <c r="K178" i="34"/>
  <c r="O119" i="231"/>
  <c r="R120" i="231"/>
  <c r="E119" i="231"/>
  <c r="H120" i="231"/>
  <c r="J119" i="231"/>
  <c r="M119" i="231" s="1"/>
  <c r="M120" i="231"/>
  <c r="R182" i="231"/>
  <c r="O178" i="231"/>
  <c r="M178" i="231"/>
  <c r="H182" i="231"/>
  <c r="E178" i="231"/>
  <c r="M94" i="231"/>
  <c r="J164" i="231"/>
  <c r="M164" i="231" s="1"/>
  <c r="R231" i="231"/>
  <c r="O203" i="231"/>
  <c r="R203" i="231" s="1"/>
  <c r="H231" i="231"/>
  <c r="E203" i="231"/>
  <c r="H203" i="231" s="1"/>
  <c r="R63" i="231"/>
  <c r="O35" i="231"/>
  <c r="H63" i="231"/>
  <c r="E35" i="231"/>
  <c r="M231" i="231"/>
  <c r="J203" i="231"/>
  <c r="M203" i="231" s="1"/>
  <c r="M63" i="231"/>
  <c r="J35" i="231"/>
  <c r="O119" i="233"/>
  <c r="R147" i="233"/>
  <c r="E119" i="233"/>
  <c r="H147" i="233"/>
  <c r="O35" i="233"/>
  <c r="R36" i="233"/>
  <c r="J119" i="233"/>
  <c r="M147" i="233"/>
  <c r="E35" i="233"/>
  <c r="H36" i="233"/>
  <c r="J35" i="233"/>
  <c r="M36" i="233"/>
  <c r="R204" i="34"/>
  <c r="O203" i="34"/>
  <c r="H204" i="34"/>
  <c r="E203" i="34"/>
  <c r="R120" i="34"/>
  <c r="O119" i="34"/>
  <c r="H120" i="34"/>
  <c r="E119" i="34"/>
  <c r="R63" i="34"/>
  <c r="O35" i="34"/>
  <c r="H63" i="34"/>
  <c r="E35" i="34"/>
  <c r="M204" i="34"/>
  <c r="J203" i="34"/>
  <c r="M120" i="34"/>
  <c r="J119" i="34"/>
  <c r="M63" i="34"/>
  <c r="J35" i="34"/>
  <c r="H32" i="34"/>
  <c r="F10" i="34"/>
  <c r="P80" i="34"/>
  <c r="R10" i="34"/>
  <c r="M63" i="232"/>
  <c r="J35" i="232"/>
  <c r="M147" i="232"/>
  <c r="J119" i="232"/>
  <c r="R147" i="232"/>
  <c r="O119" i="232"/>
  <c r="H147" i="232"/>
  <c r="E119" i="232"/>
  <c r="R63" i="232"/>
  <c r="O35" i="232"/>
  <c r="H63" i="232"/>
  <c r="E35" i="232"/>
  <c r="J203" i="102"/>
  <c r="M203" i="102" s="1"/>
  <c r="M204" i="102"/>
  <c r="M178" i="102"/>
  <c r="R94" i="102"/>
  <c r="H147" i="102"/>
  <c r="E119" i="102"/>
  <c r="H119" i="102" s="1"/>
  <c r="M147" i="102"/>
  <c r="J119" i="102"/>
  <c r="M119" i="102" s="1"/>
  <c r="O203" i="102"/>
  <c r="R204" i="102"/>
  <c r="E203" i="102"/>
  <c r="H204" i="102"/>
  <c r="M98" i="102"/>
  <c r="J94" i="102"/>
  <c r="H94" i="102"/>
  <c r="M36" i="102"/>
  <c r="J35" i="102"/>
  <c r="O35" i="102"/>
  <c r="R36" i="102"/>
  <c r="H36" i="102"/>
  <c r="E35" i="102"/>
  <c r="R147" i="102"/>
  <c r="O119" i="102"/>
  <c r="R119" i="102" s="1"/>
  <c r="K248" i="232" l="1"/>
  <c r="M248" i="232" s="1"/>
  <c r="M178" i="232"/>
  <c r="H178" i="34"/>
  <c r="F248" i="34"/>
  <c r="M178" i="34"/>
  <c r="K248" i="34"/>
  <c r="F248" i="102"/>
  <c r="H178" i="102"/>
  <c r="P164" i="232"/>
  <c r="R94" i="232"/>
  <c r="K80" i="34"/>
  <c r="M10" i="34"/>
  <c r="P248" i="233"/>
  <c r="R248" i="233" s="1"/>
  <c r="R178" i="233"/>
  <c r="J248" i="102"/>
  <c r="M248" i="102" s="1"/>
  <c r="P164" i="231"/>
  <c r="R94" i="231"/>
  <c r="M35" i="231"/>
  <c r="J80" i="231"/>
  <c r="M80" i="231" s="1"/>
  <c r="H35" i="231"/>
  <c r="E80" i="231"/>
  <c r="H80" i="231" s="1"/>
  <c r="R35" i="231"/>
  <c r="O80" i="231"/>
  <c r="R80" i="231" s="1"/>
  <c r="E248" i="231"/>
  <c r="H248" i="231" s="1"/>
  <c r="H178" i="231"/>
  <c r="O248" i="231"/>
  <c r="R248" i="231" s="1"/>
  <c r="R178" i="231"/>
  <c r="H119" i="231"/>
  <c r="E164" i="231"/>
  <c r="H164" i="231" s="1"/>
  <c r="R119" i="231"/>
  <c r="O164" i="231"/>
  <c r="J248" i="231"/>
  <c r="M248" i="231" s="1"/>
  <c r="M35" i="233"/>
  <c r="J80" i="233"/>
  <c r="M80" i="233" s="1"/>
  <c r="H35" i="233"/>
  <c r="E80" i="233"/>
  <c r="H80" i="233" s="1"/>
  <c r="M119" i="233"/>
  <c r="J164" i="233"/>
  <c r="M164" i="233" s="1"/>
  <c r="R35" i="233"/>
  <c r="O80" i="233"/>
  <c r="R80" i="233" s="1"/>
  <c r="H119" i="233"/>
  <c r="E164" i="233"/>
  <c r="H164" i="233" s="1"/>
  <c r="R119" i="233"/>
  <c r="O164" i="233"/>
  <c r="R164" i="233" s="1"/>
  <c r="F80" i="34"/>
  <c r="H10" i="34"/>
  <c r="M35" i="34"/>
  <c r="J80" i="34"/>
  <c r="M80" i="34" s="1"/>
  <c r="M119" i="34"/>
  <c r="J164" i="34"/>
  <c r="M164" i="34" s="1"/>
  <c r="M203" i="34"/>
  <c r="J248" i="34"/>
  <c r="M248" i="34" s="1"/>
  <c r="H35" i="34"/>
  <c r="E80" i="34"/>
  <c r="R35" i="34"/>
  <c r="O80" i="34"/>
  <c r="R80" i="34" s="1"/>
  <c r="H119" i="34"/>
  <c r="E164" i="34"/>
  <c r="H164" i="34" s="1"/>
  <c r="R119" i="34"/>
  <c r="O164" i="34"/>
  <c r="R164" i="34" s="1"/>
  <c r="H203" i="34"/>
  <c r="E248" i="34"/>
  <c r="R203" i="34"/>
  <c r="O248" i="34"/>
  <c r="R248" i="34" s="1"/>
  <c r="H35" i="232"/>
  <c r="E80" i="232"/>
  <c r="H80" i="232" s="1"/>
  <c r="R35" i="232"/>
  <c r="O80" i="232"/>
  <c r="R80" i="232" s="1"/>
  <c r="H119" i="232"/>
  <c r="E164" i="232"/>
  <c r="H164" i="232" s="1"/>
  <c r="R119" i="232"/>
  <c r="O164" i="232"/>
  <c r="R164" i="232" s="1"/>
  <c r="M119" i="232"/>
  <c r="J164" i="232"/>
  <c r="M164" i="232" s="1"/>
  <c r="M35" i="232"/>
  <c r="J80" i="232"/>
  <c r="M80" i="232" s="1"/>
  <c r="H35" i="102"/>
  <c r="E80" i="102"/>
  <c r="H80" i="102" s="1"/>
  <c r="M35" i="102"/>
  <c r="J80" i="102"/>
  <c r="M80" i="102" s="1"/>
  <c r="J164" i="102"/>
  <c r="M164" i="102" s="1"/>
  <c r="M94" i="102"/>
  <c r="R35" i="102"/>
  <c r="O80" i="102"/>
  <c r="R80" i="102" s="1"/>
  <c r="H203" i="102"/>
  <c r="E248" i="102"/>
  <c r="R203" i="102"/>
  <c r="O248" i="102"/>
  <c r="R248" i="102" s="1"/>
  <c r="E164" i="102"/>
  <c r="H164" i="102" s="1"/>
  <c r="O164" i="102"/>
  <c r="R164" i="102" s="1"/>
  <c r="R164" i="231" l="1"/>
  <c r="H248" i="102"/>
  <c r="H248" i="34"/>
  <c r="H80" i="34"/>
  <c r="R453" i="50"/>
  <c r="M453" i="50"/>
  <c r="F453" i="50"/>
  <c r="H453" i="50" s="1"/>
  <c r="H452" i="50" s="1"/>
  <c r="R452" i="50"/>
  <c r="N452" i="50"/>
  <c r="M452" i="50"/>
  <c r="K452" i="50"/>
  <c r="F452" i="50"/>
  <c r="R451" i="50"/>
  <c r="K451" i="50"/>
  <c r="M451" i="50" s="1"/>
  <c r="F451" i="50"/>
  <c r="F124" i="50" s="1"/>
  <c r="F40" i="50" s="1"/>
  <c r="R450" i="50"/>
  <c r="K450" i="50"/>
  <c r="M450" i="50" s="1"/>
  <c r="F450" i="50"/>
  <c r="H450" i="50" s="1"/>
  <c r="R449" i="50"/>
  <c r="K449" i="50"/>
  <c r="M449" i="50" s="1"/>
  <c r="F449" i="50"/>
  <c r="H449" i="50" s="1"/>
  <c r="R448" i="50"/>
  <c r="R447" i="50" s="1"/>
  <c r="R446" i="50" s="1"/>
  <c r="P448" i="50"/>
  <c r="N448" i="50"/>
  <c r="K448" i="50"/>
  <c r="K447" i="50" s="1"/>
  <c r="P447" i="50"/>
  <c r="P446" i="50" s="1"/>
  <c r="N447" i="50"/>
  <c r="N446" i="50"/>
  <c r="R445" i="50"/>
  <c r="M445" i="50"/>
  <c r="H445" i="50"/>
  <c r="R444" i="50"/>
  <c r="M444" i="50"/>
  <c r="H444" i="50"/>
  <c r="P443" i="50"/>
  <c r="R443" i="50" s="1"/>
  <c r="K443" i="50"/>
  <c r="M443" i="50" s="1"/>
  <c r="F443" i="50"/>
  <c r="H443" i="50" s="1"/>
  <c r="R441" i="50"/>
  <c r="M441" i="50"/>
  <c r="H441" i="50"/>
  <c r="Q440" i="50"/>
  <c r="Q439" i="50" s="1"/>
  <c r="Q438" i="50" s="1"/>
  <c r="N440" i="50"/>
  <c r="L440" i="50"/>
  <c r="I440" i="50"/>
  <c r="M440" i="50" s="1"/>
  <c r="G440" i="50"/>
  <c r="G439" i="50" s="1"/>
  <c r="G438" i="50" s="1"/>
  <c r="D440" i="50"/>
  <c r="C440" i="50"/>
  <c r="N439" i="50"/>
  <c r="L439" i="50"/>
  <c r="D439" i="50"/>
  <c r="C439" i="50"/>
  <c r="L438" i="50"/>
  <c r="C438" i="50"/>
  <c r="R437" i="50"/>
  <c r="M437" i="50"/>
  <c r="H437" i="50"/>
  <c r="R436" i="50"/>
  <c r="M436" i="50"/>
  <c r="H436" i="50"/>
  <c r="Q435" i="50"/>
  <c r="R435" i="50" s="1"/>
  <c r="L435" i="50"/>
  <c r="M435" i="50" s="1"/>
  <c r="G435" i="50"/>
  <c r="H435" i="50" s="1"/>
  <c r="R433" i="50"/>
  <c r="M433" i="50"/>
  <c r="H433" i="50"/>
  <c r="R432" i="50"/>
  <c r="Q432" i="50"/>
  <c r="L432" i="50"/>
  <c r="M432" i="50" s="1"/>
  <c r="H432" i="50"/>
  <c r="G432" i="50"/>
  <c r="R431" i="50"/>
  <c r="R430" i="50" s="1"/>
  <c r="Q431" i="50"/>
  <c r="Q430" i="50" s="1"/>
  <c r="G431" i="50"/>
  <c r="H431" i="50" s="1"/>
  <c r="H430" i="50" s="1"/>
  <c r="R429" i="50"/>
  <c r="M429" i="50"/>
  <c r="H429" i="50"/>
  <c r="R428" i="50"/>
  <c r="M428" i="50"/>
  <c r="H428" i="50"/>
  <c r="R427" i="50"/>
  <c r="Q427" i="50"/>
  <c r="L427" i="50"/>
  <c r="M427" i="50" s="1"/>
  <c r="H427" i="50"/>
  <c r="G427" i="50"/>
  <c r="R425" i="50"/>
  <c r="R424" i="50" s="1"/>
  <c r="M425" i="50"/>
  <c r="M424" i="50" s="1"/>
  <c r="H425" i="50"/>
  <c r="Q424" i="50"/>
  <c r="N424" i="50"/>
  <c r="L424" i="50"/>
  <c r="I424" i="50"/>
  <c r="H424" i="50"/>
  <c r="G424" i="50"/>
  <c r="R423" i="50"/>
  <c r="M423" i="50"/>
  <c r="H423" i="50"/>
  <c r="H420" i="50" s="1"/>
  <c r="H419" i="50" s="1"/>
  <c r="H418" i="50" s="1"/>
  <c r="R422" i="50"/>
  <c r="M422" i="50"/>
  <c r="H422" i="50"/>
  <c r="R421" i="50"/>
  <c r="M421" i="50"/>
  <c r="H421" i="50"/>
  <c r="Q420" i="50"/>
  <c r="N420" i="50"/>
  <c r="R420" i="50" s="1"/>
  <c r="L420" i="50"/>
  <c r="L419" i="50" s="1"/>
  <c r="L418" i="50" s="1"/>
  <c r="I420" i="50"/>
  <c r="G420" i="50"/>
  <c r="G419" i="50" s="1"/>
  <c r="G418" i="50" s="1"/>
  <c r="Q419" i="50"/>
  <c r="Q418" i="50" s="1"/>
  <c r="I419" i="50"/>
  <c r="R417" i="50"/>
  <c r="M417" i="50"/>
  <c r="H417" i="50"/>
  <c r="R416" i="50"/>
  <c r="M416" i="50"/>
  <c r="H416" i="50"/>
  <c r="Q415" i="50"/>
  <c r="R415" i="50" s="1"/>
  <c r="M415" i="50"/>
  <c r="L415" i="50"/>
  <c r="G415" i="50"/>
  <c r="H415" i="50" s="1"/>
  <c r="R413" i="50"/>
  <c r="M413" i="50"/>
  <c r="H413" i="50"/>
  <c r="Q412" i="50"/>
  <c r="Q411" i="50" s="1"/>
  <c r="Q410" i="50" s="1"/>
  <c r="N412" i="50"/>
  <c r="R412" i="50" s="1"/>
  <c r="L412" i="50"/>
  <c r="I412" i="50"/>
  <c r="M412" i="50" s="1"/>
  <c r="G412" i="50"/>
  <c r="G411" i="50" s="1"/>
  <c r="G410" i="50" s="1"/>
  <c r="D412" i="50"/>
  <c r="H412" i="50" s="1"/>
  <c r="C412" i="50"/>
  <c r="L411" i="50"/>
  <c r="L410" i="50" s="1"/>
  <c r="I411" i="50"/>
  <c r="C411" i="50"/>
  <c r="C410" i="50" s="1"/>
  <c r="I410" i="50"/>
  <c r="R409" i="50"/>
  <c r="M409" i="50"/>
  <c r="H409" i="50"/>
  <c r="R408" i="50"/>
  <c r="M408" i="50"/>
  <c r="H408" i="50"/>
  <c r="Q407" i="50"/>
  <c r="R407" i="50" s="1"/>
  <c r="L407" i="50"/>
  <c r="M407" i="50" s="1"/>
  <c r="G407" i="50"/>
  <c r="H407" i="50" s="1"/>
  <c r="R405" i="50"/>
  <c r="M405" i="50"/>
  <c r="H405" i="50"/>
  <c r="R404" i="50"/>
  <c r="Q404" i="50"/>
  <c r="L404" i="50"/>
  <c r="M404" i="50" s="1"/>
  <c r="H404" i="50"/>
  <c r="G404" i="50"/>
  <c r="Q403" i="50"/>
  <c r="N403" i="50"/>
  <c r="R403" i="50" s="1"/>
  <c r="L403" i="50"/>
  <c r="I403" i="50"/>
  <c r="G403" i="50"/>
  <c r="D403" i="50"/>
  <c r="H403" i="50" s="1"/>
  <c r="C403" i="50"/>
  <c r="R402" i="50"/>
  <c r="M402" i="50"/>
  <c r="H402" i="50"/>
  <c r="R401" i="50"/>
  <c r="M401" i="50"/>
  <c r="H401" i="50"/>
  <c r="Q400" i="50"/>
  <c r="R400" i="50" s="1"/>
  <c r="L400" i="50"/>
  <c r="M400" i="50" s="1"/>
  <c r="G400" i="50"/>
  <c r="H400" i="50" s="1"/>
  <c r="R398" i="50"/>
  <c r="M398" i="50"/>
  <c r="H398" i="50"/>
  <c r="Q397" i="50"/>
  <c r="Q396" i="50" s="1"/>
  <c r="Q395" i="50" s="1"/>
  <c r="N397" i="50"/>
  <c r="L397" i="50"/>
  <c r="I397" i="50"/>
  <c r="M397" i="50" s="1"/>
  <c r="G397" i="50"/>
  <c r="G396" i="50" s="1"/>
  <c r="G395" i="50" s="1"/>
  <c r="D397" i="50"/>
  <c r="C397" i="50"/>
  <c r="N396" i="50"/>
  <c r="N395" i="50" s="1"/>
  <c r="R395" i="50" s="1"/>
  <c r="L396" i="50"/>
  <c r="D396" i="50"/>
  <c r="C396" i="50"/>
  <c r="L395" i="50"/>
  <c r="C395" i="50"/>
  <c r="R394" i="50"/>
  <c r="M394" i="50"/>
  <c r="H394" i="50"/>
  <c r="R393" i="50"/>
  <c r="M393" i="50"/>
  <c r="H393" i="50"/>
  <c r="Q392" i="50"/>
  <c r="R392" i="50" s="1"/>
  <c r="L392" i="50"/>
  <c r="M392" i="50" s="1"/>
  <c r="G392" i="50"/>
  <c r="H392" i="50" s="1"/>
  <c r="R390" i="50"/>
  <c r="M390" i="50"/>
  <c r="H390" i="50"/>
  <c r="Q389" i="50"/>
  <c r="N389" i="50"/>
  <c r="L389" i="50"/>
  <c r="L388" i="50" s="1"/>
  <c r="L387" i="50" s="1"/>
  <c r="I389" i="50"/>
  <c r="M389" i="50" s="1"/>
  <c r="G389" i="50"/>
  <c r="D389" i="50"/>
  <c r="C389" i="50"/>
  <c r="C388" i="50" s="1"/>
  <c r="C387" i="50" s="1"/>
  <c r="Q388" i="50"/>
  <c r="Q387" i="50" s="1"/>
  <c r="N388" i="50"/>
  <c r="G388" i="50"/>
  <c r="G387" i="50" s="1"/>
  <c r="D388" i="50"/>
  <c r="N387" i="50"/>
  <c r="D387" i="50"/>
  <c r="R386" i="50"/>
  <c r="M386" i="50"/>
  <c r="H386" i="50"/>
  <c r="R385" i="50"/>
  <c r="M385" i="50"/>
  <c r="H385" i="50"/>
  <c r="R384" i="50"/>
  <c r="Q384" i="50"/>
  <c r="L384" i="50"/>
  <c r="M384" i="50" s="1"/>
  <c r="H384" i="50"/>
  <c r="G384" i="50"/>
  <c r="R382" i="50"/>
  <c r="M382" i="50"/>
  <c r="H382" i="50"/>
  <c r="Q381" i="50"/>
  <c r="N381" i="50"/>
  <c r="L381" i="50"/>
  <c r="L380" i="50" s="1"/>
  <c r="L379" i="50" s="1"/>
  <c r="I381" i="50"/>
  <c r="M381" i="50" s="1"/>
  <c r="G381" i="50"/>
  <c r="D381" i="50"/>
  <c r="H381" i="50" s="1"/>
  <c r="C381" i="50"/>
  <c r="C380" i="50" s="1"/>
  <c r="C379" i="50" s="1"/>
  <c r="Q380" i="50"/>
  <c r="Q379" i="50" s="1"/>
  <c r="N380" i="50"/>
  <c r="G380" i="50"/>
  <c r="G379" i="50" s="1"/>
  <c r="D380" i="50"/>
  <c r="N379" i="50"/>
  <c r="D379" i="50"/>
  <c r="R378" i="50"/>
  <c r="M378" i="50"/>
  <c r="H378" i="50"/>
  <c r="R377" i="50"/>
  <c r="M377" i="50"/>
  <c r="H377" i="50"/>
  <c r="Q376" i="50"/>
  <c r="R376" i="50" s="1"/>
  <c r="L376" i="50"/>
  <c r="M376" i="50" s="1"/>
  <c r="G376" i="50"/>
  <c r="H376" i="50" s="1"/>
  <c r="R374" i="50"/>
  <c r="M374" i="50"/>
  <c r="F374" i="50"/>
  <c r="H374" i="50" s="1"/>
  <c r="R373" i="50"/>
  <c r="M373" i="50"/>
  <c r="H373" i="50"/>
  <c r="R372" i="50"/>
  <c r="M372" i="50"/>
  <c r="H372" i="50"/>
  <c r="P371" i="50"/>
  <c r="R371" i="50" s="1"/>
  <c r="K371" i="50"/>
  <c r="M371" i="50" s="1"/>
  <c r="G371" i="50"/>
  <c r="F371" i="50"/>
  <c r="H371" i="50" s="1"/>
  <c r="P370" i="50"/>
  <c r="R370" i="50" s="1"/>
  <c r="G370" i="50"/>
  <c r="F370" i="50"/>
  <c r="H370" i="50" s="1"/>
  <c r="G369" i="50"/>
  <c r="R368" i="50"/>
  <c r="M368" i="50"/>
  <c r="F368" i="50"/>
  <c r="H368" i="50" s="1"/>
  <c r="P367" i="50"/>
  <c r="R367" i="50" s="1"/>
  <c r="M367" i="50"/>
  <c r="K367" i="50"/>
  <c r="F367" i="50"/>
  <c r="F366" i="50" s="1"/>
  <c r="H366" i="50" s="1"/>
  <c r="K366" i="50"/>
  <c r="M366" i="50" s="1"/>
  <c r="G366" i="50"/>
  <c r="R364" i="50"/>
  <c r="M364" i="50"/>
  <c r="P363" i="50"/>
  <c r="R363" i="50" s="1"/>
  <c r="K363" i="50"/>
  <c r="M363" i="50" s="1"/>
  <c r="F363" i="50"/>
  <c r="R362" i="50"/>
  <c r="M362" i="50"/>
  <c r="H362" i="50"/>
  <c r="R361" i="50"/>
  <c r="M361" i="50"/>
  <c r="H361" i="50"/>
  <c r="R360" i="50"/>
  <c r="M360" i="50"/>
  <c r="H360" i="50"/>
  <c r="P359" i="50"/>
  <c r="N359" i="50"/>
  <c r="K359" i="50"/>
  <c r="K358" i="50" s="1"/>
  <c r="K357" i="50" s="1"/>
  <c r="I359" i="50"/>
  <c r="M359" i="50" s="1"/>
  <c r="F359" i="50"/>
  <c r="D359" i="50"/>
  <c r="C359" i="50"/>
  <c r="C358" i="50" s="1"/>
  <c r="C357" i="50" s="1"/>
  <c r="P358" i="50"/>
  <c r="P357" i="50" s="1"/>
  <c r="N358" i="50"/>
  <c r="F358" i="50"/>
  <c r="F357" i="50" s="1"/>
  <c r="D358" i="50"/>
  <c r="N357" i="50"/>
  <c r="D357" i="50"/>
  <c r="R356" i="50"/>
  <c r="M356" i="50"/>
  <c r="H356" i="50"/>
  <c r="P355" i="50"/>
  <c r="R355" i="50" s="1"/>
  <c r="K355" i="50"/>
  <c r="M355" i="50" s="1"/>
  <c r="F355" i="50"/>
  <c r="H355" i="50" s="1"/>
  <c r="P354" i="50"/>
  <c r="R354" i="50" s="1"/>
  <c r="K354" i="50"/>
  <c r="M354" i="50" s="1"/>
  <c r="P352" i="50"/>
  <c r="R352" i="50" s="1"/>
  <c r="R351" i="50" s="1"/>
  <c r="R350" i="50" s="1"/>
  <c r="R349" i="50" s="1"/>
  <c r="M352" i="50"/>
  <c r="M351" i="50" s="1"/>
  <c r="M350" i="50" s="1"/>
  <c r="M349" i="50" s="1"/>
  <c r="H352" i="50"/>
  <c r="N351" i="50"/>
  <c r="K351" i="50"/>
  <c r="K350" i="50" s="1"/>
  <c r="K349" i="50" s="1"/>
  <c r="I351" i="50"/>
  <c r="H351" i="50"/>
  <c r="F351" i="50"/>
  <c r="F350" i="50" s="1"/>
  <c r="F349" i="50" s="1"/>
  <c r="D351" i="50"/>
  <c r="D350" i="50" s="1"/>
  <c r="D349" i="50" s="1"/>
  <c r="C351" i="50"/>
  <c r="N350" i="50"/>
  <c r="N349" i="50" s="1"/>
  <c r="I350" i="50"/>
  <c r="H350" i="50"/>
  <c r="H349" i="50" s="1"/>
  <c r="C350" i="50"/>
  <c r="I349" i="50"/>
  <c r="C349" i="50"/>
  <c r="R348" i="50"/>
  <c r="M348" i="50"/>
  <c r="H348" i="50"/>
  <c r="R347" i="50"/>
  <c r="P347" i="50"/>
  <c r="K347" i="50"/>
  <c r="K346" i="50" s="1"/>
  <c r="M346" i="50" s="1"/>
  <c r="H347" i="50"/>
  <c r="F347" i="50"/>
  <c r="P346" i="50"/>
  <c r="R346" i="50" s="1"/>
  <c r="F346" i="50"/>
  <c r="H346" i="50" s="1"/>
  <c r="R344" i="50"/>
  <c r="R343" i="50" s="1"/>
  <c r="M344" i="50"/>
  <c r="H344" i="50"/>
  <c r="H343" i="50" s="1"/>
  <c r="P343" i="50"/>
  <c r="N343" i="50"/>
  <c r="M343" i="50"/>
  <c r="K343" i="50"/>
  <c r="I343" i="50"/>
  <c r="F343" i="50"/>
  <c r="D343" i="50"/>
  <c r="C343" i="50"/>
  <c r="R342" i="50"/>
  <c r="R341" i="50" s="1"/>
  <c r="R340" i="50" s="1"/>
  <c r="H342" i="50"/>
  <c r="H341" i="50" s="1"/>
  <c r="H340" i="50" s="1"/>
  <c r="H339" i="50" s="1"/>
  <c r="P341" i="50"/>
  <c r="N341" i="50"/>
  <c r="N340" i="50" s="1"/>
  <c r="N339" i="50" s="1"/>
  <c r="I341" i="50"/>
  <c r="I340" i="50" s="1"/>
  <c r="I339" i="50" s="1"/>
  <c r="F341" i="50"/>
  <c r="D341" i="50"/>
  <c r="C341" i="50"/>
  <c r="C340" i="50" s="1"/>
  <c r="C339" i="50" s="1"/>
  <c r="P340" i="50"/>
  <c r="F340" i="50"/>
  <c r="D340" i="50"/>
  <c r="P339" i="50"/>
  <c r="M339" i="50"/>
  <c r="K339" i="50"/>
  <c r="F339" i="50"/>
  <c r="D339" i="50"/>
  <c r="R338" i="50"/>
  <c r="M338" i="50"/>
  <c r="H338" i="50"/>
  <c r="P337" i="50"/>
  <c r="P336" i="50" s="1"/>
  <c r="R336" i="50" s="1"/>
  <c r="M337" i="50"/>
  <c r="K337" i="50"/>
  <c r="F337" i="50"/>
  <c r="F336" i="50" s="1"/>
  <c r="H336" i="50" s="1"/>
  <c r="K336" i="50"/>
  <c r="M336" i="50" s="1"/>
  <c r="R334" i="50"/>
  <c r="R333" i="50" s="1"/>
  <c r="M334" i="50"/>
  <c r="M333" i="50" s="1"/>
  <c r="H334" i="50"/>
  <c r="H333" i="50" s="1"/>
  <c r="P333" i="50"/>
  <c r="N333" i="50"/>
  <c r="K333" i="50"/>
  <c r="K332" i="50" s="1"/>
  <c r="I333" i="50"/>
  <c r="F333" i="50"/>
  <c r="D333" i="50"/>
  <c r="C333" i="50"/>
  <c r="P332" i="50"/>
  <c r="R332" i="50" s="1"/>
  <c r="F332" i="50"/>
  <c r="H332" i="50" s="1"/>
  <c r="R330" i="50"/>
  <c r="M330" i="50"/>
  <c r="H330" i="50"/>
  <c r="P329" i="50"/>
  <c r="P328" i="50" s="1"/>
  <c r="R328" i="50" s="1"/>
  <c r="K329" i="50"/>
  <c r="M329" i="50" s="1"/>
  <c r="F329" i="50"/>
  <c r="H329" i="50" s="1"/>
  <c r="K328" i="50"/>
  <c r="M328" i="50" s="1"/>
  <c r="R326" i="50"/>
  <c r="R325" i="50" s="1"/>
  <c r="M326" i="50"/>
  <c r="M325" i="50" s="1"/>
  <c r="H326" i="50"/>
  <c r="H325" i="50" s="1"/>
  <c r="P325" i="50"/>
  <c r="N325" i="50"/>
  <c r="K325" i="50"/>
  <c r="I325" i="50"/>
  <c r="F325" i="50"/>
  <c r="D325" i="50"/>
  <c r="C325" i="50"/>
  <c r="P324" i="50"/>
  <c r="R324" i="50" s="1"/>
  <c r="K324" i="50"/>
  <c r="M324" i="50" s="1"/>
  <c r="F324" i="50"/>
  <c r="H324" i="50" s="1"/>
  <c r="R322" i="50"/>
  <c r="M322" i="50"/>
  <c r="H322" i="50"/>
  <c r="P321" i="50"/>
  <c r="R321" i="50" s="1"/>
  <c r="K321" i="50"/>
  <c r="M321" i="50" s="1"/>
  <c r="F321" i="50"/>
  <c r="F320" i="50" s="1"/>
  <c r="H320" i="50" s="1"/>
  <c r="K320" i="50"/>
  <c r="M320" i="50" s="1"/>
  <c r="R318" i="50"/>
  <c r="R317" i="50" s="1"/>
  <c r="M318" i="50"/>
  <c r="M317" i="50" s="1"/>
  <c r="H318" i="50"/>
  <c r="H317" i="50" s="1"/>
  <c r="P317" i="50"/>
  <c r="N317" i="50"/>
  <c r="K317" i="50"/>
  <c r="I317" i="50"/>
  <c r="F317" i="50"/>
  <c r="D317" i="50"/>
  <c r="C317" i="50"/>
  <c r="P316" i="50"/>
  <c r="R316" i="50" s="1"/>
  <c r="K316" i="50"/>
  <c r="M316" i="50" s="1"/>
  <c r="F316" i="50"/>
  <c r="H316" i="50" s="1"/>
  <c r="P315" i="50"/>
  <c r="R315" i="50" s="1"/>
  <c r="R314" i="50"/>
  <c r="M314" i="50"/>
  <c r="H314" i="50"/>
  <c r="P313" i="50"/>
  <c r="P312" i="50" s="1"/>
  <c r="R312" i="50" s="1"/>
  <c r="M313" i="50"/>
  <c r="K313" i="50"/>
  <c r="F313" i="50"/>
  <c r="H313" i="50" s="1"/>
  <c r="K312" i="50"/>
  <c r="M312" i="50" s="1"/>
  <c r="R310" i="50"/>
  <c r="R309" i="50" s="1"/>
  <c r="M310" i="50"/>
  <c r="M309" i="50" s="1"/>
  <c r="H310" i="50"/>
  <c r="H309" i="50" s="1"/>
  <c r="P309" i="50"/>
  <c r="N309" i="50"/>
  <c r="K309" i="50"/>
  <c r="I309" i="50"/>
  <c r="F309" i="50"/>
  <c r="D309" i="50"/>
  <c r="C309" i="50"/>
  <c r="P308" i="50"/>
  <c r="R308" i="50" s="1"/>
  <c r="K308" i="50"/>
  <c r="M308" i="50" s="1"/>
  <c r="F308" i="50"/>
  <c r="H308" i="50" s="1"/>
  <c r="P307" i="50"/>
  <c r="R307" i="50" s="1"/>
  <c r="R306" i="50"/>
  <c r="M306" i="50"/>
  <c r="H306" i="50"/>
  <c r="P305" i="50"/>
  <c r="R305" i="50" s="1"/>
  <c r="M305" i="50"/>
  <c r="K305" i="50"/>
  <c r="F305" i="50"/>
  <c r="F304" i="50" s="1"/>
  <c r="H304" i="50" s="1"/>
  <c r="K304" i="50"/>
  <c r="M304" i="50" s="1"/>
  <c r="R302" i="50"/>
  <c r="R301" i="50" s="1"/>
  <c r="M302" i="50"/>
  <c r="H302" i="50"/>
  <c r="H301" i="50" s="1"/>
  <c r="P301" i="50"/>
  <c r="N301" i="50"/>
  <c r="M301" i="50"/>
  <c r="K301" i="50"/>
  <c r="I301" i="50"/>
  <c r="F301" i="50"/>
  <c r="D301" i="50"/>
  <c r="C301" i="50"/>
  <c r="P300" i="50"/>
  <c r="R300" i="50" s="1"/>
  <c r="K300" i="50"/>
  <c r="M300" i="50" s="1"/>
  <c r="F300" i="50"/>
  <c r="H300" i="50" s="1"/>
  <c r="P299" i="50"/>
  <c r="R299" i="50" s="1"/>
  <c r="R298" i="50"/>
  <c r="M298" i="50"/>
  <c r="H298" i="50"/>
  <c r="P297" i="50"/>
  <c r="R297" i="50" s="1"/>
  <c r="M297" i="50"/>
  <c r="K297" i="50"/>
  <c r="F297" i="50"/>
  <c r="F296" i="50" s="1"/>
  <c r="H296" i="50" s="1"/>
  <c r="K296" i="50"/>
  <c r="M296" i="50" s="1"/>
  <c r="R294" i="50"/>
  <c r="M294" i="50"/>
  <c r="H294" i="50"/>
  <c r="P293" i="50"/>
  <c r="R293" i="50" s="1"/>
  <c r="K293" i="50"/>
  <c r="M293" i="50" s="1"/>
  <c r="F293" i="50"/>
  <c r="H293" i="50" s="1"/>
  <c r="C293" i="50"/>
  <c r="C292" i="50" s="1"/>
  <c r="C291" i="50" s="1"/>
  <c r="R290" i="50"/>
  <c r="M290" i="50"/>
  <c r="H290" i="50"/>
  <c r="P289" i="50"/>
  <c r="R289" i="50" s="1"/>
  <c r="K289" i="50"/>
  <c r="M289" i="50" s="1"/>
  <c r="F289" i="50"/>
  <c r="H289" i="50" s="1"/>
  <c r="C289" i="50"/>
  <c r="C288" i="50" s="1"/>
  <c r="R286" i="50"/>
  <c r="M286" i="50"/>
  <c r="H286" i="50"/>
  <c r="P285" i="50"/>
  <c r="P284" i="50" s="1"/>
  <c r="M285" i="50"/>
  <c r="K285" i="50"/>
  <c r="F285" i="50"/>
  <c r="F284" i="50" s="1"/>
  <c r="K284" i="50"/>
  <c r="K283" i="50" s="1"/>
  <c r="R281" i="50"/>
  <c r="M281" i="50"/>
  <c r="H281" i="50"/>
  <c r="P280" i="50"/>
  <c r="R280" i="50" s="1"/>
  <c r="K280" i="50"/>
  <c r="M280" i="50" s="1"/>
  <c r="F280" i="50"/>
  <c r="H280" i="50" s="1"/>
  <c r="P279" i="50"/>
  <c r="R279" i="50" s="1"/>
  <c r="K279" i="50"/>
  <c r="M279" i="50" s="1"/>
  <c r="R277" i="50"/>
  <c r="M277" i="50"/>
  <c r="H277" i="50"/>
  <c r="P276" i="50"/>
  <c r="P275" i="50" s="1"/>
  <c r="M276" i="50"/>
  <c r="K276" i="50"/>
  <c r="F276" i="50"/>
  <c r="F275" i="50" s="1"/>
  <c r="K275" i="50"/>
  <c r="K274" i="50" s="1"/>
  <c r="R272" i="50"/>
  <c r="M272" i="50"/>
  <c r="H272" i="50"/>
  <c r="P271" i="50"/>
  <c r="R271" i="50" s="1"/>
  <c r="K271" i="50"/>
  <c r="M271" i="50" s="1"/>
  <c r="F271" i="50"/>
  <c r="H271" i="50" s="1"/>
  <c r="P270" i="50"/>
  <c r="R270" i="50" s="1"/>
  <c r="R260" i="50"/>
  <c r="M260" i="50"/>
  <c r="H260" i="50"/>
  <c r="R259" i="50"/>
  <c r="M259" i="50"/>
  <c r="H259" i="50"/>
  <c r="R258" i="50"/>
  <c r="M258" i="50"/>
  <c r="H258" i="50"/>
  <c r="Q257" i="50"/>
  <c r="Q249" i="50" s="1"/>
  <c r="P257" i="50"/>
  <c r="O257" i="50"/>
  <c r="L257" i="50"/>
  <c r="K257" i="50"/>
  <c r="M257" i="50" s="1"/>
  <c r="J257" i="50"/>
  <c r="G257" i="50"/>
  <c r="F257" i="50"/>
  <c r="E257" i="50"/>
  <c r="E249" i="50" s="1"/>
  <c r="R256" i="50"/>
  <c r="M256" i="50"/>
  <c r="H256" i="50"/>
  <c r="R255" i="50"/>
  <c r="M255" i="50"/>
  <c r="H255" i="50"/>
  <c r="R254" i="50"/>
  <c r="M254" i="50"/>
  <c r="H254" i="50"/>
  <c r="Q253" i="50"/>
  <c r="P253" i="50"/>
  <c r="O253" i="50"/>
  <c r="R253" i="50" s="1"/>
  <c r="L253" i="50"/>
  <c r="K253" i="50"/>
  <c r="J253" i="50"/>
  <c r="M253" i="50" s="1"/>
  <c r="G253" i="50"/>
  <c r="F253" i="50"/>
  <c r="E253" i="50"/>
  <c r="R252" i="50"/>
  <c r="M252" i="50"/>
  <c r="H252" i="50"/>
  <c r="R251" i="50"/>
  <c r="M251" i="50"/>
  <c r="H251" i="50"/>
  <c r="Q250" i="50"/>
  <c r="P250" i="50"/>
  <c r="O250" i="50"/>
  <c r="R250" i="50" s="1"/>
  <c r="L250" i="50"/>
  <c r="L249" i="50" s="1"/>
  <c r="K250" i="50"/>
  <c r="J250" i="50"/>
  <c r="G250" i="50"/>
  <c r="F250" i="50"/>
  <c r="F249" i="50" s="1"/>
  <c r="E250" i="50"/>
  <c r="P249" i="50"/>
  <c r="O249" i="50"/>
  <c r="J249" i="50"/>
  <c r="G249" i="50"/>
  <c r="R247" i="50"/>
  <c r="M247" i="50"/>
  <c r="H247" i="50"/>
  <c r="R246" i="50"/>
  <c r="M246" i="50"/>
  <c r="H246" i="50"/>
  <c r="R245" i="50"/>
  <c r="M245" i="50"/>
  <c r="H245" i="50"/>
  <c r="Q244" i="50"/>
  <c r="P244" i="50"/>
  <c r="O244" i="50"/>
  <c r="L244" i="50"/>
  <c r="K244" i="50"/>
  <c r="M244" i="50" s="1"/>
  <c r="J244" i="50"/>
  <c r="G244" i="50"/>
  <c r="F244" i="50"/>
  <c r="E244" i="50"/>
  <c r="R243" i="50"/>
  <c r="M243" i="50"/>
  <c r="H243" i="50"/>
  <c r="R242" i="50"/>
  <c r="M242" i="50"/>
  <c r="H242" i="50"/>
  <c r="R241" i="50"/>
  <c r="M241" i="50"/>
  <c r="H241" i="50"/>
  <c r="Q240" i="50"/>
  <c r="P240" i="50"/>
  <c r="O240" i="50"/>
  <c r="R240" i="50" s="1"/>
  <c r="L240" i="50"/>
  <c r="K240" i="50"/>
  <c r="J240" i="50"/>
  <c r="M240" i="50" s="1"/>
  <c r="G240" i="50"/>
  <c r="F240" i="50"/>
  <c r="E240" i="50"/>
  <c r="R239" i="50"/>
  <c r="M239" i="50"/>
  <c r="H239" i="50"/>
  <c r="R238" i="50"/>
  <c r="M238" i="50"/>
  <c r="H238" i="50"/>
  <c r="R237" i="50"/>
  <c r="M237" i="50"/>
  <c r="H237" i="50"/>
  <c r="Q236" i="50"/>
  <c r="P236" i="50"/>
  <c r="O236" i="50"/>
  <c r="L236" i="50"/>
  <c r="L234" i="50" s="1"/>
  <c r="L233" i="50" s="1"/>
  <c r="L231" i="50" s="1"/>
  <c r="K236" i="50"/>
  <c r="M236" i="50" s="1"/>
  <c r="J236" i="50"/>
  <c r="G236" i="50"/>
  <c r="F236" i="50"/>
  <c r="E236" i="50"/>
  <c r="E234" i="50" s="1"/>
  <c r="E233" i="50" s="1"/>
  <c r="R235" i="50"/>
  <c r="M235" i="50"/>
  <c r="H235" i="50"/>
  <c r="Q234" i="50"/>
  <c r="Q233" i="50" s="1"/>
  <c r="Q231" i="50" s="1"/>
  <c r="O234" i="50"/>
  <c r="J234" i="50"/>
  <c r="J233" i="50" s="1"/>
  <c r="G234" i="50"/>
  <c r="G233" i="50" s="1"/>
  <c r="G231" i="50" s="1"/>
  <c r="R232" i="50"/>
  <c r="M232" i="50"/>
  <c r="H232" i="50"/>
  <c r="R230" i="50"/>
  <c r="M230" i="50"/>
  <c r="H230" i="50"/>
  <c r="R229" i="50"/>
  <c r="M229" i="50"/>
  <c r="H229" i="50"/>
  <c r="R228" i="50"/>
  <c r="M228" i="50"/>
  <c r="H228" i="50"/>
  <c r="Q227" i="50"/>
  <c r="P227" i="50"/>
  <c r="O227" i="50"/>
  <c r="L227" i="50"/>
  <c r="K227" i="50"/>
  <c r="J227" i="50"/>
  <c r="G227" i="50"/>
  <c r="F227" i="50"/>
  <c r="E227" i="50"/>
  <c r="H227" i="50" s="1"/>
  <c r="R226" i="50"/>
  <c r="M226" i="50"/>
  <c r="H226" i="50"/>
  <c r="R225" i="50"/>
  <c r="M225" i="50"/>
  <c r="H225" i="50"/>
  <c r="R224" i="50"/>
  <c r="M224" i="50"/>
  <c r="H224" i="50"/>
  <c r="Q223" i="50"/>
  <c r="P223" i="50"/>
  <c r="O223" i="50"/>
  <c r="L223" i="50"/>
  <c r="K223" i="50"/>
  <c r="J223" i="50"/>
  <c r="G223" i="50"/>
  <c r="F223" i="50"/>
  <c r="E223" i="50"/>
  <c r="R222" i="50"/>
  <c r="M222" i="50"/>
  <c r="H222" i="50"/>
  <c r="R221" i="50"/>
  <c r="M221" i="50"/>
  <c r="H221" i="50"/>
  <c r="R220" i="50"/>
  <c r="M220" i="50"/>
  <c r="H220" i="50"/>
  <c r="Q219" i="50"/>
  <c r="Q217" i="50" s="1"/>
  <c r="Q216" i="50" s="1"/>
  <c r="P219" i="50"/>
  <c r="O219" i="50"/>
  <c r="L219" i="50"/>
  <c r="L217" i="50" s="1"/>
  <c r="L216" i="50" s="1"/>
  <c r="K219" i="50"/>
  <c r="K217" i="50" s="1"/>
  <c r="K216" i="50" s="1"/>
  <c r="J219" i="50"/>
  <c r="G219" i="50"/>
  <c r="G217" i="50" s="1"/>
  <c r="F219" i="50"/>
  <c r="F217" i="50" s="1"/>
  <c r="F216" i="50" s="1"/>
  <c r="F204" i="50" s="1"/>
  <c r="E219" i="50"/>
  <c r="H219" i="50" s="1"/>
  <c r="R218" i="50"/>
  <c r="M218" i="50"/>
  <c r="H218" i="50"/>
  <c r="P217" i="50"/>
  <c r="P216" i="50" s="1"/>
  <c r="R215" i="50"/>
  <c r="M215" i="50"/>
  <c r="H215" i="50"/>
  <c r="R214" i="50"/>
  <c r="M214" i="50"/>
  <c r="H214" i="50"/>
  <c r="Q213" i="50"/>
  <c r="P213" i="50"/>
  <c r="O213" i="50"/>
  <c r="L213" i="50"/>
  <c r="K213" i="50"/>
  <c r="M213" i="50" s="1"/>
  <c r="J213" i="50"/>
  <c r="G213" i="50"/>
  <c r="F213" i="50"/>
  <c r="E213" i="50"/>
  <c r="R212" i="50"/>
  <c r="M212" i="50"/>
  <c r="H212" i="50"/>
  <c r="R211" i="50"/>
  <c r="M211" i="50"/>
  <c r="H211" i="50"/>
  <c r="Q210" i="50"/>
  <c r="P210" i="50"/>
  <c r="R210" i="50" s="1"/>
  <c r="O210" i="50"/>
  <c r="L210" i="50"/>
  <c r="K210" i="50"/>
  <c r="J210" i="50"/>
  <c r="G210" i="50"/>
  <c r="F210" i="50"/>
  <c r="E210" i="50"/>
  <c r="R209" i="50"/>
  <c r="M209" i="50"/>
  <c r="H209" i="50"/>
  <c r="R208" i="50"/>
  <c r="M208" i="50"/>
  <c r="H208" i="50"/>
  <c r="R207" i="50"/>
  <c r="M207" i="50"/>
  <c r="H207" i="50"/>
  <c r="R206" i="50"/>
  <c r="M206" i="50"/>
  <c r="H206" i="50"/>
  <c r="Q205" i="50"/>
  <c r="P205" i="50"/>
  <c r="O205" i="50"/>
  <c r="L205" i="50"/>
  <c r="K205" i="50"/>
  <c r="M205" i="50" s="1"/>
  <c r="J205" i="50"/>
  <c r="G205" i="50"/>
  <c r="F205" i="50"/>
  <c r="E205" i="50"/>
  <c r="R202" i="50"/>
  <c r="M202" i="50"/>
  <c r="H202" i="50"/>
  <c r="R201" i="50"/>
  <c r="M201" i="50"/>
  <c r="H201" i="50"/>
  <c r="Q200" i="50"/>
  <c r="P200" i="50"/>
  <c r="O200" i="50"/>
  <c r="L200" i="50"/>
  <c r="K200" i="50"/>
  <c r="J200" i="50"/>
  <c r="G200" i="50"/>
  <c r="F200" i="50"/>
  <c r="E200" i="50"/>
  <c r="R199" i="50"/>
  <c r="M199" i="50"/>
  <c r="H199" i="50"/>
  <c r="R198" i="50"/>
  <c r="M198" i="50"/>
  <c r="H198" i="50"/>
  <c r="R197" i="50"/>
  <c r="M197" i="50"/>
  <c r="H197" i="50"/>
  <c r="R196" i="50"/>
  <c r="M196" i="50"/>
  <c r="H196" i="50"/>
  <c r="Q195" i="50"/>
  <c r="P195" i="50"/>
  <c r="R195" i="50" s="1"/>
  <c r="O195" i="50"/>
  <c r="L195" i="50"/>
  <c r="K195" i="50"/>
  <c r="J195" i="50"/>
  <c r="J194" i="50" s="1"/>
  <c r="G195" i="50"/>
  <c r="F195" i="50"/>
  <c r="E195" i="50"/>
  <c r="Q194" i="50"/>
  <c r="O194" i="50"/>
  <c r="L194" i="50"/>
  <c r="K194" i="50"/>
  <c r="G194" i="50"/>
  <c r="F194" i="50"/>
  <c r="E194" i="50"/>
  <c r="R193" i="50"/>
  <c r="M193" i="50"/>
  <c r="H193" i="50"/>
  <c r="R192" i="50"/>
  <c r="M192" i="50"/>
  <c r="H192" i="50"/>
  <c r="R191" i="50"/>
  <c r="M191" i="50"/>
  <c r="H191" i="50"/>
  <c r="Q190" i="50"/>
  <c r="P190" i="50"/>
  <c r="O190" i="50"/>
  <c r="R190" i="50" s="1"/>
  <c r="L190" i="50"/>
  <c r="K190" i="50"/>
  <c r="J190" i="50"/>
  <c r="M190" i="50" s="1"/>
  <c r="G190" i="50"/>
  <c r="G189" i="50" s="1"/>
  <c r="F190" i="50"/>
  <c r="E190" i="50"/>
  <c r="Q189" i="50"/>
  <c r="P189" i="50"/>
  <c r="L189" i="50"/>
  <c r="K189" i="50"/>
  <c r="J189" i="50"/>
  <c r="M189" i="50" s="1"/>
  <c r="F189" i="50"/>
  <c r="E189" i="50"/>
  <c r="R188" i="50"/>
  <c r="M188" i="50"/>
  <c r="H188" i="50"/>
  <c r="R187" i="50"/>
  <c r="M187" i="50"/>
  <c r="H187" i="50"/>
  <c r="R186" i="50"/>
  <c r="M186" i="50"/>
  <c r="H186" i="50"/>
  <c r="Q185" i="50"/>
  <c r="P185" i="50"/>
  <c r="O185" i="50"/>
  <c r="L185" i="50"/>
  <c r="L184" i="50" s="1"/>
  <c r="L183" i="50" s="1"/>
  <c r="K185" i="50"/>
  <c r="J185" i="50"/>
  <c r="G185" i="50"/>
  <c r="F185" i="50"/>
  <c r="H185" i="50" s="1"/>
  <c r="E185" i="50"/>
  <c r="Q184" i="50"/>
  <c r="P184" i="50"/>
  <c r="O184" i="50"/>
  <c r="O183" i="50" s="1"/>
  <c r="K184" i="50"/>
  <c r="J184" i="50"/>
  <c r="G184" i="50"/>
  <c r="G183" i="50" s="1"/>
  <c r="E184" i="50"/>
  <c r="Q183" i="50"/>
  <c r="P183" i="50"/>
  <c r="K183" i="50"/>
  <c r="J183" i="50"/>
  <c r="E183" i="50"/>
  <c r="P182" i="50"/>
  <c r="P178" i="50" s="1"/>
  <c r="R181" i="50"/>
  <c r="M181" i="50"/>
  <c r="H181" i="50"/>
  <c r="R180" i="50"/>
  <c r="M180" i="50"/>
  <c r="H180" i="50"/>
  <c r="R179" i="50"/>
  <c r="M179" i="50"/>
  <c r="H179" i="50"/>
  <c r="R176" i="50"/>
  <c r="M176" i="50"/>
  <c r="H176" i="50"/>
  <c r="R175" i="50"/>
  <c r="M175" i="50"/>
  <c r="H175" i="50"/>
  <c r="R174" i="50"/>
  <c r="M174" i="50"/>
  <c r="H174" i="50"/>
  <c r="Q173" i="50"/>
  <c r="P173" i="50"/>
  <c r="O173" i="50"/>
  <c r="L173" i="50"/>
  <c r="L165" i="50" s="1"/>
  <c r="K173" i="50"/>
  <c r="J173" i="50"/>
  <c r="G173" i="50"/>
  <c r="F173" i="50"/>
  <c r="H173" i="50" s="1"/>
  <c r="E173" i="50"/>
  <c r="R172" i="50"/>
  <c r="M172" i="50"/>
  <c r="H172" i="50"/>
  <c r="R171" i="50"/>
  <c r="M171" i="50"/>
  <c r="H171" i="50"/>
  <c r="R170" i="50"/>
  <c r="M170" i="50"/>
  <c r="H170" i="50"/>
  <c r="Q169" i="50"/>
  <c r="P169" i="50"/>
  <c r="O169" i="50"/>
  <c r="L169" i="50"/>
  <c r="K169" i="50"/>
  <c r="J169" i="50"/>
  <c r="M169" i="50" s="1"/>
  <c r="G169" i="50"/>
  <c r="F169" i="50"/>
  <c r="E169" i="50"/>
  <c r="H169" i="50" s="1"/>
  <c r="R168" i="50"/>
  <c r="M168" i="50"/>
  <c r="H168" i="50"/>
  <c r="R167" i="50"/>
  <c r="M167" i="50"/>
  <c r="H167" i="50"/>
  <c r="Q166" i="50"/>
  <c r="P166" i="50"/>
  <c r="O166" i="50"/>
  <c r="R166" i="50" s="1"/>
  <c r="L166" i="50"/>
  <c r="K166" i="50"/>
  <c r="J166" i="50"/>
  <c r="M166" i="50" s="1"/>
  <c r="G166" i="50"/>
  <c r="G165" i="50" s="1"/>
  <c r="F166" i="50"/>
  <c r="E166" i="50"/>
  <c r="Q165" i="50"/>
  <c r="P165" i="50"/>
  <c r="K165" i="50"/>
  <c r="J165" i="50"/>
  <c r="E165" i="50"/>
  <c r="R163" i="50"/>
  <c r="M163" i="50"/>
  <c r="H163" i="50"/>
  <c r="R162" i="50"/>
  <c r="M162" i="50"/>
  <c r="H162" i="50"/>
  <c r="R161" i="50"/>
  <c r="M161" i="50"/>
  <c r="H161" i="50"/>
  <c r="Q160" i="50"/>
  <c r="P160" i="50"/>
  <c r="O160" i="50"/>
  <c r="L160" i="50"/>
  <c r="K160" i="50"/>
  <c r="J160" i="50"/>
  <c r="G160" i="50"/>
  <c r="F160" i="50"/>
  <c r="H160" i="50" s="1"/>
  <c r="E160" i="50"/>
  <c r="R159" i="50"/>
  <c r="M159" i="50"/>
  <c r="H159" i="50"/>
  <c r="R158" i="50"/>
  <c r="M158" i="50"/>
  <c r="H158" i="50"/>
  <c r="R157" i="50"/>
  <c r="M157" i="50"/>
  <c r="H157" i="50"/>
  <c r="Q156" i="50"/>
  <c r="P156" i="50"/>
  <c r="O156" i="50"/>
  <c r="L156" i="50"/>
  <c r="K156" i="50"/>
  <c r="J156" i="50"/>
  <c r="M156" i="50" s="1"/>
  <c r="G156" i="50"/>
  <c r="F156" i="50"/>
  <c r="E156" i="50"/>
  <c r="H156" i="50" s="1"/>
  <c r="R155" i="50"/>
  <c r="M155" i="50"/>
  <c r="H155" i="50"/>
  <c r="R154" i="50"/>
  <c r="M154" i="50"/>
  <c r="H154" i="50"/>
  <c r="R153" i="50"/>
  <c r="M153" i="50"/>
  <c r="H153" i="50"/>
  <c r="Q152" i="50"/>
  <c r="P152" i="50"/>
  <c r="O152" i="50"/>
  <c r="O150" i="50" s="1"/>
  <c r="O149" i="50" s="1"/>
  <c r="O147" i="50" s="1"/>
  <c r="L152" i="50"/>
  <c r="L150" i="50" s="1"/>
  <c r="L149" i="50" s="1"/>
  <c r="L147" i="50" s="1"/>
  <c r="K152" i="50"/>
  <c r="J152" i="50"/>
  <c r="G152" i="50"/>
  <c r="G150" i="50" s="1"/>
  <c r="G149" i="50" s="1"/>
  <c r="F152" i="50"/>
  <c r="H152" i="50" s="1"/>
  <c r="E152" i="50"/>
  <c r="E150" i="50" s="1"/>
  <c r="E149" i="50" s="1"/>
  <c r="E147" i="50" s="1"/>
  <c r="R151" i="50"/>
  <c r="M151" i="50"/>
  <c r="H151" i="50"/>
  <c r="Q150" i="50"/>
  <c r="J150" i="50"/>
  <c r="J149" i="50" s="1"/>
  <c r="J147" i="50" s="1"/>
  <c r="Q149" i="50"/>
  <c r="Q147" i="50" s="1"/>
  <c r="Q148" i="50"/>
  <c r="P148" i="50"/>
  <c r="O148" i="50"/>
  <c r="R148" i="50" s="1"/>
  <c r="L148" i="50"/>
  <c r="L64" i="50" s="1"/>
  <c r="L63" i="50" s="1"/>
  <c r="K148" i="50"/>
  <c r="J148" i="50"/>
  <c r="G148" i="50"/>
  <c r="F148" i="50"/>
  <c r="F64" i="50" s="1"/>
  <c r="E148" i="50"/>
  <c r="R146" i="50"/>
  <c r="M146" i="50"/>
  <c r="H146" i="50"/>
  <c r="Q145" i="50"/>
  <c r="P145" i="50"/>
  <c r="R145" i="50" s="1"/>
  <c r="L145" i="50"/>
  <c r="L143" i="50" s="1"/>
  <c r="K145" i="50"/>
  <c r="G145" i="50"/>
  <c r="G143" i="50" s="1"/>
  <c r="F145" i="50"/>
  <c r="H145" i="50" s="1"/>
  <c r="R144" i="50"/>
  <c r="M144" i="50"/>
  <c r="H144" i="50"/>
  <c r="Q143" i="50"/>
  <c r="O143" i="50"/>
  <c r="K143" i="50"/>
  <c r="J143" i="50"/>
  <c r="E143" i="50"/>
  <c r="R142" i="50"/>
  <c r="M142" i="50"/>
  <c r="H142" i="50"/>
  <c r="R141" i="50"/>
  <c r="M141" i="50"/>
  <c r="H141" i="50"/>
  <c r="R140" i="50"/>
  <c r="M140" i="50"/>
  <c r="H140" i="50"/>
  <c r="Q139" i="50"/>
  <c r="P139" i="50"/>
  <c r="O139" i="50"/>
  <c r="R139" i="50" s="1"/>
  <c r="L139" i="50"/>
  <c r="K139" i="50"/>
  <c r="J139" i="50"/>
  <c r="G139" i="50"/>
  <c r="F139" i="50"/>
  <c r="E139" i="50"/>
  <c r="R138" i="50"/>
  <c r="M138" i="50"/>
  <c r="H138" i="50"/>
  <c r="R137" i="50"/>
  <c r="M137" i="50"/>
  <c r="H137" i="50"/>
  <c r="R136" i="50"/>
  <c r="M136" i="50"/>
  <c r="H136" i="50"/>
  <c r="Q135" i="50"/>
  <c r="P135" i="50"/>
  <c r="P133" i="50" s="1"/>
  <c r="O135" i="50"/>
  <c r="L135" i="50"/>
  <c r="K135" i="50"/>
  <c r="K133" i="50" s="1"/>
  <c r="J135" i="50"/>
  <c r="J133" i="50" s="1"/>
  <c r="J132" i="50" s="1"/>
  <c r="G135" i="50"/>
  <c r="F135" i="50"/>
  <c r="F133" i="50" s="1"/>
  <c r="E135" i="50"/>
  <c r="R134" i="50"/>
  <c r="M134" i="50"/>
  <c r="H134" i="50"/>
  <c r="Q133" i="50"/>
  <c r="Q132" i="50" s="1"/>
  <c r="O133" i="50"/>
  <c r="O132" i="50" s="1"/>
  <c r="L133" i="50"/>
  <c r="G133" i="50"/>
  <c r="G132" i="50" s="1"/>
  <c r="E133" i="50"/>
  <c r="E132" i="50" s="1"/>
  <c r="L132" i="50"/>
  <c r="R131" i="50"/>
  <c r="M131" i="50"/>
  <c r="H131" i="50"/>
  <c r="R130" i="50"/>
  <c r="M130" i="50"/>
  <c r="H130" i="50"/>
  <c r="Q129" i="50"/>
  <c r="P129" i="50"/>
  <c r="O129" i="50"/>
  <c r="R129" i="50" s="1"/>
  <c r="L129" i="50"/>
  <c r="K129" i="50"/>
  <c r="J129" i="50"/>
  <c r="M129" i="50" s="1"/>
  <c r="G129" i="50"/>
  <c r="F129" i="50"/>
  <c r="E129" i="50"/>
  <c r="R128" i="50"/>
  <c r="M128" i="50"/>
  <c r="H128" i="50"/>
  <c r="Q127" i="50"/>
  <c r="P127" i="50"/>
  <c r="O127" i="50"/>
  <c r="O126" i="50" s="1"/>
  <c r="L127" i="50"/>
  <c r="K127" i="50"/>
  <c r="J127" i="50"/>
  <c r="G127" i="50"/>
  <c r="G126" i="50" s="1"/>
  <c r="G120" i="50" s="1"/>
  <c r="F127" i="50"/>
  <c r="E127" i="50"/>
  <c r="Q126" i="50"/>
  <c r="P126" i="50"/>
  <c r="L126" i="50"/>
  <c r="K126" i="50"/>
  <c r="J126" i="50"/>
  <c r="F126" i="50"/>
  <c r="E126" i="50"/>
  <c r="R125" i="50"/>
  <c r="M125" i="50"/>
  <c r="H125" i="50"/>
  <c r="Q124" i="50"/>
  <c r="Q40" i="50" s="1"/>
  <c r="Q37" i="50" s="1"/>
  <c r="P124" i="50"/>
  <c r="P121" i="50" s="1"/>
  <c r="O124" i="50"/>
  <c r="L124" i="50"/>
  <c r="K124" i="50"/>
  <c r="K40" i="50" s="1"/>
  <c r="K37" i="50" s="1"/>
  <c r="J124" i="50"/>
  <c r="M124" i="50" s="1"/>
  <c r="G124" i="50"/>
  <c r="E124" i="50"/>
  <c r="Q123" i="50"/>
  <c r="Q39" i="50" s="1"/>
  <c r="P123" i="50"/>
  <c r="O123" i="50"/>
  <c r="L123" i="50"/>
  <c r="L39" i="50" s="1"/>
  <c r="K123" i="50"/>
  <c r="K39" i="50" s="1"/>
  <c r="J123" i="50"/>
  <c r="G123" i="50"/>
  <c r="E123" i="50"/>
  <c r="Q122" i="50"/>
  <c r="P122" i="50"/>
  <c r="O122" i="50"/>
  <c r="R122" i="50" s="1"/>
  <c r="L122" i="50"/>
  <c r="L121" i="50" s="1"/>
  <c r="L120" i="50" s="1"/>
  <c r="L119" i="50" s="1"/>
  <c r="K122" i="50"/>
  <c r="J122" i="50"/>
  <c r="G122" i="50"/>
  <c r="G38" i="50" s="1"/>
  <c r="G37" i="50" s="1"/>
  <c r="F122" i="50"/>
  <c r="F121" i="50" s="1"/>
  <c r="E122" i="50"/>
  <c r="E121" i="50" s="1"/>
  <c r="O121" i="50"/>
  <c r="G121" i="50"/>
  <c r="R118" i="50"/>
  <c r="M118" i="50"/>
  <c r="H118" i="50"/>
  <c r="Q117" i="50"/>
  <c r="Q33" i="50" s="1"/>
  <c r="Q32" i="50" s="1"/>
  <c r="P117" i="50"/>
  <c r="R117" i="50" s="1"/>
  <c r="O117" i="50"/>
  <c r="L117" i="50"/>
  <c r="K117" i="50"/>
  <c r="K33" i="50" s="1"/>
  <c r="J117" i="50"/>
  <c r="J116" i="50" s="1"/>
  <c r="G117" i="50"/>
  <c r="G116" i="50" s="1"/>
  <c r="E117" i="50"/>
  <c r="E33" i="50" s="1"/>
  <c r="E32" i="50" s="1"/>
  <c r="Q116" i="50"/>
  <c r="O116" i="50"/>
  <c r="L116" i="50"/>
  <c r="K116" i="50"/>
  <c r="E116" i="50"/>
  <c r="R115" i="50"/>
  <c r="M115" i="50"/>
  <c r="H115" i="50"/>
  <c r="R114" i="50"/>
  <c r="M114" i="50"/>
  <c r="H114" i="50"/>
  <c r="R113" i="50"/>
  <c r="M113" i="50"/>
  <c r="H113" i="50"/>
  <c r="R112" i="50"/>
  <c r="M112" i="50"/>
  <c r="H112" i="50"/>
  <c r="Q111" i="50"/>
  <c r="P111" i="50"/>
  <c r="O111" i="50"/>
  <c r="L111" i="50"/>
  <c r="L110" i="50" s="1"/>
  <c r="K111" i="50"/>
  <c r="J111" i="50"/>
  <c r="G111" i="50"/>
  <c r="F111" i="50"/>
  <c r="H111" i="50" s="1"/>
  <c r="E111" i="50"/>
  <c r="Q110" i="50"/>
  <c r="P110" i="50"/>
  <c r="O110" i="50"/>
  <c r="K110" i="50"/>
  <c r="J110" i="50"/>
  <c r="G110" i="50"/>
  <c r="E110" i="50"/>
  <c r="R109" i="50"/>
  <c r="M109" i="50"/>
  <c r="H109" i="50"/>
  <c r="R108" i="50"/>
  <c r="M108" i="50"/>
  <c r="H108" i="50"/>
  <c r="R107" i="50"/>
  <c r="M107" i="50"/>
  <c r="H107" i="50"/>
  <c r="Q106" i="50"/>
  <c r="Q105" i="50" s="1"/>
  <c r="Q98" i="50" s="1"/>
  <c r="Q94" i="50" s="1"/>
  <c r="P106" i="50"/>
  <c r="O106" i="50"/>
  <c r="L106" i="50"/>
  <c r="K106" i="50"/>
  <c r="K105" i="50" s="1"/>
  <c r="J106" i="50"/>
  <c r="G106" i="50"/>
  <c r="F106" i="50"/>
  <c r="E106" i="50"/>
  <c r="H106" i="50" s="1"/>
  <c r="P105" i="50"/>
  <c r="O105" i="50"/>
  <c r="L105" i="50"/>
  <c r="J105" i="50"/>
  <c r="G105" i="50"/>
  <c r="F105" i="50"/>
  <c r="R104" i="50"/>
  <c r="M104" i="50"/>
  <c r="H104" i="50"/>
  <c r="R103" i="50"/>
  <c r="M103" i="50"/>
  <c r="H103" i="50"/>
  <c r="R102" i="50"/>
  <c r="M102" i="50"/>
  <c r="H102" i="50"/>
  <c r="Q101" i="50"/>
  <c r="P101" i="50"/>
  <c r="R101" i="50" s="1"/>
  <c r="O101" i="50"/>
  <c r="L101" i="50"/>
  <c r="K101" i="50"/>
  <c r="J101" i="50"/>
  <c r="J100" i="50" s="1"/>
  <c r="J99" i="50" s="1"/>
  <c r="G101" i="50"/>
  <c r="F101" i="50"/>
  <c r="E101" i="50"/>
  <c r="Q100" i="50"/>
  <c r="Q99" i="50" s="1"/>
  <c r="O100" i="50"/>
  <c r="L100" i="50"/>
  <c r="K100" i="50"/>
  <c r="G100" i="50"/>
  <c r="F100" i="50"/>
  <c r="E100" i="50"/>
  <c r="E99" i="50" s="1"/>
  <c r="O99" i="50"/>
  <c r="L99" i="50"/>
  <c r="G99" i="50"/>
  <c r="F99" i="50"/>
  <c r="F98" i="50"/>
  <c r="R97" i="50"/>
  <c r="M97" i="50"/>
  <c r="H97" i="50"/>
  <c r="R96" i="50"/>
  <c r="M96" i="50"/>
  <c r="H96" i="50"/>
  <c r="R95" i="50"/>
  <c r="M95" i="50"/>
  <c r="H95" i="50"/>
  <c r="R92" i="50"/>
  <c r="M92" i="50"/>
  <c r="H92" i="50"/>
  <c r="R91" i="50"/>
  <c r="M91" i="50"/>
  <c r="H91" i="50"/>
  <c r="R90" i="50"/>
  <c r="M90" i="50"/>
  <c r="H90" i="50"/>
  <c r="Q89" i="50"/>
  <c r="P89" i="50"/>
  <c r="R89" i="50" s="1"/>
  <c r="O89" i="50"/>
  <c r="L89" i="50"/>
  <c r="K89" i="50"/>
  <c r="J89" i="50"/>
  <c r="G89" i="50"/>
  <c r="F89" i="50"/>
  <c r="E89" i="50"/>
  <c r="R88" i="50"/>
  <c r="M88" i="50"/>
  <c r="H88" i="50"/>
  <c r="R87" i="50"/>
  <c r="M87" i="50"/>
  <c r="H87" i="50"/>
  <c r="R86" i="50"/>
  <c r="M86" i="50"/>
  <c r="H86" i="50"/>
  <c r="Q85" i="50"/>
  <c r="P85" i="50"/>
  <c r="O85" i="50"/>
  <c r="R85" i="50" s="1"/>
  <c r="L85" i="50"/>
  <c r="L81" i="50" s="1"/>
  <c r="K85" i="50"/>
  <c r="J85" i="50"/>
  <c r="G85" i="50"/>
  <c r="F85" i="50"/>
  <c r="E85" i="50"/>
  <c r="R84" i="50"/>
  <c r="M84" i="50"/>
  <c r="H84" i="50"/>
  <c r="R83" i="50"/>
  <c r="M83" i="50"/>
  <c r="H83" i="50"/>
  <c r="Q82" i="50"/>
  <c r="Q81" i="50" s="1"/>
  <c r="P82" i="50"/>
  <c r="O82" i="50"/>
  <c r="L82" i="50"/>
  <c r="K82" i="50"/>
  <c r="J82" i="50"/>
  <c r="G82" i="50"/>
  <c r="G81" i="50" s="1"/>
  <c r="F82" i="50"/>
  <c r="E82" i="50"/>
  <c r="H82" i="50" s="1"/>
  <c r="J81" i="50"/>
  <c r="R79" i="50"/>
  <c r="M79" i="50"/>
  <c r="H79" i="50"/>
  <c r="R78" i="50"/>
  <c r="M78" i="50"/>
  <c r="H78" i="50"/>
  <c r="R77" i="50"/>
  <c r="M77" i="50"/>
  <c r="H77" i="50"/>
  <c r="Q76" i="50"/>
  <c r="P76" i="50"/>
  <c r="O76" i="50"/>
  <c r="L76" i="50"/>
  <c r="K76" i="50"/>
  <c r="M76" i="50" s="1"/>
  <c r="J76" i="50"/>
  <c r="G76" i="50"/>
  <c r="F76" i="50"/>
  <c r="E76" i="50"/>
  <c r="R75" i="50"/>
  <c r="M75" i="50"/>
  <c r="H75" i="50"/>
  <c r="R74" i="50"/>
  <c r="M74" i="50"/>
  <c r="H74" i="50"/>
  <c r="R73" i="50"/>
  <c r="M73" i="50"/>
  <c r="H73" i="50"/>
  <c r="Q72" i="50"/>
  <c r="P72" i="50"/>
  <c r="O72" i="50"/>
  <c r="R72" i="50" s="1"/>
  <c r="L72" i="50"/>
  <c r="K72" i="50"/>
  <c r="J72" i="50"/>
  <c r="M72" i="50" s="1"/>
  <c r="G72" i="50"/>
  <c r="F72" i="50"/>
  <c r="E72" i="50"/>
  <c r="R71" i="50"/>
  <c r="M71" i="50"/>
  <c r="H71" i="50"/>
  <c r="R70" i="50"/>
  <c r="M70" i="50"/>
  <c r="H70" i="50"/>
  <c r="R69" i="50"/>
  <c r="M69" i="50"/>
  <c r="H69" i="50"/>
  <c r="Q68" i="50"/>
  <c r="P68" i="50"/>
  <c r="O68" i="50"/>
  <c r="L68" i="50"/>
  <c r="L66" i="50" s="1"/>
  <c r="L65" i="50" s="1"/>
  <c r="K68" i="50"/>
  <c r="M68" i="50" s="1"/>
  <c r="J68" i="50"/>
  <c r="G68" i="50"/>
  <c r="F68" i="50"/>
  <c r="E68" i="50"/>
  <c r="E66" i="50" s="1"/>
  <c r="E65" i="50" s="1"/>
  <c r="R67" i="50"/>
  <c r="M67" i="50"/>
  <c r="H67" i="50"/>
  <c r="Q66" i="50"/>
  <c r="Q65" i="50" s="1"/>
  <c r="O66" i="50"/>
  <c r="J66" i="50"/>
  <c r="J65" i="50" s="1"/>
  <c r="J63" i="50" s="1"/>
  <c r="G66" i="50"/>
  <c r="G65" i="50" s="1"/>
  <c r="Q64" i="50"/>
  <c r="Q63" i="50" s="1"/>
  <c r="P64" i="50"/>
  <c r="K64" i="50"/>
  <c r="J64" i="50"/>
  <c r="E64" i="50"/>
  <c r="R62" i="50"/>
  <c r="M62" i="50"/>
  <c r="H62" i="50"/>
  <c r="Q61" i="50"/>
  <c r="P61" i="50"/>
  <c r="R61" i="50" s="1"/>
  <c r="L61" i="50"/>
  <c r="L59" i="50" s="1"/>
  <c r="K61" i="50"/>
  <c r="R60" i="50"/>
  <c r="M60" i="50"/>
  <c r="H60" i="50"/>
  <c r="Q59" i="50"/>
  <c r="P59" i="50"/>
  <c r="R59" i="50" s="1"/>
  <c r="O59" i="50"/>
  <c r="K59" i="50"/>
  <c r="J59" i="50"/>
  <c r="E59" i="50"/>
  <c r="R58" i="50"/>
  <c r="M58" i="50"/>
  <c r="H58" i="50"/>
  <c r="R57" i="50"/>
  <c r="M57" i="50"/>
  <c r="H57" i="50"/>
  <c r="R56" i="50"/>
  <c r="M56" i="50"/>
  <c r="H56" i="50"/>
  <c r="Q55" i="50"/>
  <c r="P55" i="50"/>
  <c r="O55" i="50"/>
  <c r="L55" i="50"/>
  <c r="K55" i="50"/>
  <c r="J55" i="50"/>
  <c r="G55" i="50"/>
  <c r="F55" i="50"/>
  <c r="E55" i="50"/>
  <c r="H55" i="50" s="1"/>
  <c r="R54" i="50"/>
  <c r="M54" i="50"/>
  <c r="H54" i="50"/>
  <c r="R53" i="50"/>
  <c r="M53" i="50"/>
  <c r="H53" i="50"/>
  <c r="R52" i="50"/>
  <c r="M52" i="50"/>
  <c r="H52" i="50"/>
  <c r="Q51" i="50"/>
  <c r="P51" i="50"/>
  <c r="O51" i="50"/>
  <c r="O49" i="50" s="1"/>
  <c r="O48" i="50" s="1"/>
  <c r="L51" i="50"/>
  <c r="K51" i="50"/>
  <c r="J51" i="50"/>
  <c r="J49" i="50" s="1"/>
  <c r="J48" i="50" s="1"/>
  <c r="G51" i="50"/>
  <c r="G49" i="50" s="1"/>
  <c r="F51" i="50"/>
  <c r="E51" i="50"/>
  <c r="R50" i="50"/>
  <c r="M50" i="50"/>
  <c r="H50" i="50"/>
  <c r="Q49" i="50"/>
  <c r="L49" i="50"/>
  <c r="E49" i="50"/>
  <c r="Q48" i="50"/>
  <c r="E48" i="50"/>
  <c r="R47" i="50"/>
  <c r="M47" i="50"/>
  <c r="H47" i="50"/>
  <c r="R46" i="50"/>
  <c r="M46" i="50"/>
  <c r="H46" i="50"/>
  <c r="Q45" i="50"/>
  <c r="P45" i="50"/>
  <c r="O45" i="50"/>
  <c r="L45" i="50"/>
  <c r="K45" i="50"/>
  <c r="J45" i="50"/>
  <c r="M45" i="50" s="1"/>
  <c r="G45" i="50"/>
  <c r="F45" i="50"/>
  <c r="E45" i="50"/>
  <c r="H45" i="50" s="1"/>
  <c r="R44" i="50"/>
  <c r="M44" i="50"/>
  <c r="H44" i="50"/>
  <c r="Q43" i="50"/>
  <c r="Q42" i="50" s="1"/>
  <c r="M43" i="50"/>
  <c r="L43" i="50"/>
  <c r="G43" i="50"/>
  <c r="H43" i="50" s="1"/>
  <c r="P42" i="50"/>
  <c r="O42" i="50"/>
  <c r="L42" i="50"/>
  <c r="K42" i="50"/>
  <c r="J42" i="50"/>
  <c r="F42" i="50"/>
  <c r="E42" i="50"/>
  <c r="R41" i="50"/>
  <c r="M41" i="50"/>
  <c r="H41" i="50"/>
  <c r="O40" i="50"/>
  <c r="L40" i="50"/>
  <c r="G40" i="50"/>
  <c r="P39" i="50"/>
  <c r="O39" i="50"/>
  <c r="J39" i="50"/>
  <c r="G39" i="50"/>
  <c r="Q38" i="50"/>
  <c r="P38" i="50"/>
  <c r="K38" i="50"/>
  <c r="J38" i="50"/>
  <c r="E38" i="50"/>
  <c r="R34" i="50"/>
  <c r="M34" i="50"/>
  <c r="H34" i="50"/>
  <c r="O33" i="50"/>
  <c r="O32" i="50" s="1"/>
  <c r="L33" i="50"/>
  <c r="G33" i="50"/>
  <c r="G32" i="50" s="1"/>
  <c r="L32" i="50"/>
  <c r="R31" i="50"/>
  <c r="M31" i="50"/>
  <c r="H31" i="50"/>
  <c r="R30" i="50"/>
  <c r="M30" i="50"/>
  <c r="H30" i="50"/>
  <c r="R29" i="50"/>
  <c r="M29" i="50"/>
  <c r="H29" i="50"/>
  <c r="R28" i="50"/>
  <c r="M28" i="50"/>
  <c r="H28" i="50"/>
  <c r="Q27" i="50"/>
  <c r="Q26" i="50" s="1"/>
  <c r="P27" i="50"/>
  <c r="O27" i="50"/>
  <c r="L27" i="50"/>
  <c r="K27" i="50"/>
  <c r="M27" i="50" s="1"/>
  <c r="J27" i="50"/>
  <c r="G27" i="50"/>
  <c r="F27" i="50"/>
  <c r="E27" i="50"/>
  <c r="E26" i="50" s="1"/>
  <c r="P26" i="50"/>
  <c r="O26" i="50"/>
  <c r="L26" i="50"/>
  <c r="J26" i="50"/>
  <c r="G26" i="50"/>
  <c r="F26" i="50"/>
  <c r="R25" i="50"/>
  <c r="M25" i="50"/>
  <c r="H25" i="50"/>
  <c r="R24" i="50"/>
  <c r="M24" i="50"/>
  <c r="H24" i="50"/>
  <c r="R23" i="50"/>
  <c r="M23" i="50"/>
  <c r="H23" i="50"/>
  <c r="Q22" i="50"/>
  <c r="P22" i="50"/>
  <c r="P21" i="50" s="1"/>
  <c r="O22" i="50"/>
  <c r="L22" i="50"/>
  <c r="K22" i="50"/>
  <c r="J22" i="50"/>
  <c r="M22" i="50" s="1"/>
  <c r="G22" i="50"/>
  <c r="F22" i="50"/>
  <c r="E22" i="50"/>
  <c r="H22" i="50" s="1"/>
  <c r="Q21" i="50"/>
  <c r="O21" i="50"/>
  <c r="L21" i="50"/>
  <c r="K21" i="50"/>
  <c r="G21" i="50"/>
  <c r="F21" i="50"/>
  <c r="E21" i="50"/>
  <c r="H21" i="50" s="1"/>
  <c r="R20" i="50"/>
  <c r="M20" i="50"/>
  <c r="H20" i="50"/>
  <c r="R19" i="50"/>
  <c r="M19" i="50"/>
  <c r="H19" i="50"/>
  <c r="R18" i="50"/>
  <c r="M18" i="50"/>
  <c r="H18" i="50"/>
  <c r="Q17" i="50"/>
  <c r="P17" i="50"/>
  <c r="O17" i="50"/>
  <c r="O16" i="50" s="1"/>
  <c r="O15" i="50" s="1"/>
  <c r="O14" i="50" s="1"/>
  <c r="L17" i="50"/>
  <c r="K17" i="50"/>
  <c r="J17" i="50"/>
  <c r="G17" i="50"/>
  <c r="G16" i="50" s="1"/>
  <c r="G15" i="50" s="1"/>
  <c r="G14" i="50" s="1"/>
  <c r="G10" i="50" s="1"/>
  <c r="F17" i="50"/>
  <c r="E17" i="50"/>
  <c r="Q16" i="50"/>
  <c r="P16" i="50"/>
  <c r="L16" i="50"/>
  <c r="K16" i="50"/>
  <c r="J16" i="50"/>
  <c r="J15" i="50" s="1"/>
  <c r="F16" i="50"/>
  <c r="E16" i="50"/>
  <c r="Q15" i="50"/>
  <c r="Q14" i="50" s="1"/>
  <c r="Q10" i="50" s="1"/>
  <c r="L15" i="50"/>
  <c r="K15" i="50"/>
  <c r="F15" i="50"/>
  <c r="E15" i="50"/>
  <c r="E14" i="50" s="1"/>
  <c r="E10" i="50" s="1"/>
  <c r="L14" i="50"/>
  <c r="L10" i="50" s="1"/>
  <c r="F14" i="50"/>
  <c r="R13" i="50"/>
  <c r="M13" i="50"/>
  <c r="H13" i="50"/>
  <c r="R12" i="50"/>
  <c r="M12" i="50"/>
  <c r="H12" i="50"/>
  <c r="R11" i="50"/>
  <c r="M11" i="50"/>
  <c r="H11" i="50"/>
  <c r="H275" i="50" l="1"/>
  <c r="F274" i="50"/>
  <c r="F283" i="50"/>
  <c r="H284" i="50"/>
  <c r="O10" i="50"/>
  <c r="K32" i="50"/>
  <c r="M32" i="50" s="1"/>
  <c r="G147" i="50"/>
  <c r="G119" i="50" s="1"/>
  <c r="G182" i="50"/>
  <c r="G178" i="50" s="1"/>
  <c r="M332" i="50"/>
  <c r="K331" i="50"/>
  <c r="M331" i="50" s="1"/>
  <c r="L80" i="50"/>
  <c r="H249" i="50"/>
  <c r="H121" i="50"/>
  <c r="E120" i="50"/>
  <c r="E119" i="50" s="1"/>
  <c r="Q36" i="50"/>
  <c r="Q35" i="50" s="1"/>
  <c r="Q80" i="50" s="1"/>
  <c r="K273" i="50"/>
  <c r="M273" i="50" s="1"/>
  <c r="M274" i="50"/>
  <c r="P274" i="50"/>
  <c r="R275" i="50"/>
  <c r="K282" i="50"/>
  <c r="M282" i="50" s="1"/>
  <c r="M283" i="50"/>
  <c r="P283" i="50"/>
  <c r="R284" i="50"/>
  <c r="M447" i="50"/>
  <c r="M446" i="50" s="1"/>
  <c r="K446" i="50"/>
  <c r="M15" i="50"/>
  <c r="R16" i="50"/>
  <c r="M100" i="50"/>
  <c r="R126" i="50"/>
  <c r="M194" i="50"/>
  <c r="Q204" i="50"/>
  <c r="Q203" i="50" s="1"/>
  <c r="R249" i="50"/>
  <c r="R339" i="50"/>
  <c r="H357" i="50"/>
  <c r="H379" i="50"/>
  <c r="H387" i="50"/>
  <c r="H396" i="50"/>
  <c r="H439" i="50"/>
  <c r="M16" i="50"/>
  <c r="R17" i="50"/>
  <c r="G42" i="50"/>
  <c r="G36" i="50" s="1"/>
  <c r="G35" i="50" s="1"/>
  <c r="G80" i="50" s="1"/>
  <c r="R43" i="50"/>
  <c r="F61" i="50"/>
  <c r="H76" i="50"/>
  <c r="M89" i="50"/>
  <c r="H100" i="50"/>
  <c r="M101" i="50"/>
  <c r="G98" i="50"/>
  <c r="G94" i="50" s="1"/>
  <c r="R110" i="50"/>
  <c r="J121" i="50"/>
  <c r="F123" i="50"/>
  <c r="F39" i="50" s="1"/>
  <c r="M126" i="50"/>
  <c r="H165" i="50"/>
  <c r="M183" i="50"/>
  <c r="R184" i="50"/>
  <c r="H189" i="50"/>
  <c r="R200" i="50"/>
  <c r="H213" i="50"/>
  <c r="O233" i="50"/>
  <c r="H236" i="50"/>
  <c r="H244" i="50"/>
  <c r="H297" i="50"/>
  <c r="H305" i="50"/>
  <c r="R313" i="50"/>
  <c r="F315" i="50"/>
  <c r="H315" i="50" s="1"/>
  <c r="H321" i="50"/>
  <c r="R329" i="50"/>
  <c r="F331" i="50"/>
  <c r="H331" i="50" s="1"/>
  <c r="I358" i="50"/>
  <c r="H367" i="50"/>
  <c r="I380" i="50"/>
  <c r="I388" i="50"/>
  <c r="D411" i="50"/>
  <c r="M419" i="50"/>
  <c r="M418" i="50" s="1"/>
  <c r="D438" i="50"/>
  <c r="H438" i="50" s="1"/>
  <c r="M448" i="50"/>
  <c r="H451" i="50"/>
  <c r="H16" i="50"/>
  <c r="M17" i="50"/>
  <c r="R21" i="50"/>
  <c r="R26" i="50"/>
  <c r="F38" i="50"/>
  <c r="F37" i="50" s="1"/>
  <c r="L38" i="50"/>
  <c r="L37" i="50" s="1"/>
  <c r="E39" i="50"/>
  <c r="H39" i="50" s="1"/>
  <c r="J40" i="50"/>
  <c r="M40" i="50" s="1"/>
  <c r="P40" i="50"/>
  <c r="P37" i="50" s="1"/>
  <c r="R42" i="50"/>
  <c r="M51" i="50"/>
  <c r="R55" i="50"/>
  <c r="M59" i="50"/>
  <c r="G61" i="50"/>
  <c r="G59" i="50" s="1"/>
  <c r="G48" i="50" s="1"/>
  <c r="E63" i="50"/>
  <c r="G64" i="50"/>
  <c r="G63" i="50" s="1"/>
  <c r="O64" i="50"/>
  <c r="H72" i="50"/>
  <c r="E81" i="50"/>
  <c r="O81" i="50"/>
  <c r="R82" i="50"/>
  <c r="M85" i="50"/>
  <c r="H89" i="50"/>
  <c r="H101" i="50"/>
  <c r="M105" i="50"/>
  <c r="R106" i="50"/>
  <c r="M110" i="50"/>
  <c r="R111" i="50"/>
  <c r="F117" i="50"/>
  <c r="K121" i="50"/>
  <c r="Q121" i="50"/>
  <c r="Q120" i="50" s="1"/>
  <c r="Q119" i="50" s="1"/>
  <c r="Q164" i="50" s="1"/>
  <c r="M122" i="50"/>
  <c r="R123" i="50"/>
  <c r="H126" i="50"/>
  <c r="M127" i="50"/>
  <c r="H129" i="50"/>
  <c r="M139" i="50"/>
  <c r="F143" i="50"/>
  <c r="H143" i="50" s="1"/>
  <c r="M145" i="50"/>
  <c r="M148" i="50"/>
  <c r="R152" i="50"/>
  <c r="R160" i="50"/>
  <c r="F165" i="50"/>
  <c r="H166" i="50"/>
  <c r="R173" i="50"/>
  <c r="M184" i="50"/>
  <c r="R185" i="50"/>
  <c r="L182" i="50"/>
  <c r="L178" i="50" s="1"/>
  <c r="H190" i="50"/>
  <c r="H195" i="50"/>
  <c r="M200" i="50"/>
  <c r="K204" i="50"/>
  <c r="H210" i="50"/>
  <c r="G216" i="50"/>
  <c r="G204" i="50" s="1"/>
  <c r="G203" i="50" s="1"/>
  <c r="R219" i="50"/>
  <c r="M223" i="50"/>
  <c r="R227" i="50"/>
  <c r="H240" i="50"/>
  <c r="K249" i="50"/>
  <c r="M250" i="50"/>
  <c r="H253" i="50"/>
  <c r="F270" i="50"/>
  <c r="H270" i="50" s="1"/>
  <c r="M275" i="50"/>
  <c r="H276" i="50"/>
  <c r="R276" i="50"/>
  <c r="F279" i="50"/>
  <c r="H279" i="50" s="1"/>
  <c r="M284" i="50"/>
  <c r="H285" i="50"/>
  <c r="R285" i="50"/>
  <c r="P296" i="50"/>
  <c r="R296" i="50" s="1"/>
  <c r="K299" i="50"/>
  <c r="M299" i="50" s="1"/>
  <c r="P304" i="50"/>
  <c r="R304" i="50" s="1"/>
  <c r="K307" i="50"/>
  <c r="M307" i="50" s="1"/>
  <c r="F312" i="50"/>
  <c r="H312" i="50" s="1"/>
  <c r="K315" i="50"/>
  <c r="M315" i="50" s="1"/>
  <c r="P320" i="50"/>
  <c r="R320" i="50" s="1"/>
  <c r="K323" i="50"/>
  <c r="M323" i="50" s="1"/>
  <c r="F328" i="50"/>
  <c r="H328" i="50" s="1"/>
  <c r="H337" i="50"/>
  <c r="R337" i="50"/>
  <c r="M347" i="50"/>
  <c r="P351" i="50"/>
  <c r="P350" i="50" s="1"/>
  <c r="P349" i="50" s="1"/>
  <c r="F354" i="50"/>
  <c r="H354" i="50" s="1"/>
  <c r="H359" i="50"/>
  <c r="R359" i="50"/>
  <c r="P366" i="50"/>
  <c r="R366" i="50" s="1"/>
  <c r="K370" i="50"/>
  <c r="R381" i="50"/>
  <c r="H389" i="50"/>
  <c r="R389" i="50"/>
  <c r="I396" i="50"/>
  <c r="G430" i="50"/>
  <c r="L431" i="50"/>
  <c r="I439" i="50"/>
  <c r="F448" i="50"/>
  <c r="H14" i="50"/>
  <c r="H26" i="50"/>
  <c r="R39" i="50"/>
  <c r="L48" i="50"/>
  <c r="L36" i="50" s="1"/>
  <c r="L35" i="50" s="1"/>
  <c r="H99" i="50"/>
  <c r="L98" i="50"/>
  <c r="L94" i="50" s="1"/>
  <c r="L164" i="50" s="1"/>
  <c r="M116" i="50"/>
  <c r="R121" i="50"/>
  <c r="M165" i="50"/>
  <c r="R183" i="50"/>
  <c r="R357" i="50"/>
  <c r="F369" i="50"/>
  <c r="H369" i="50" s="1"/>
  <c r="R379" i="50"/>
  <c r="R387" i="50"/>
  <c r="R396" i="50"/>
  <c r="M410" i="50"/>
  <c r="R439" i="50"/>
  <c r="H15" i="50"/>
  <c r="H27" i="50"/>
  <c r="J33" i="50"/>
  <c r="J32" i="50" s="1"/>
  <c r="P33" i="50"/>
  <c r="M39" i="50"/>
  <c r="R51" i="50"/>
  <c r="O65" i="50"/>
  <c r="R65" i="50" s="1"/>
  <c r="H68" i="50"/>
  <c r="R105" i="50"/>
  <c r="M117" i="50"/>
  <c r="H124" i="50"/>
  <c r="R127" i="50"/>
  <c r="M143" i="50"/>
  <c r="Q182" i="50"/>
  <c r="Q178" i="50" s="1"/>
  <c r="Q248" i="50" s="1"/>
  <c r="H194" i="50"/>
  <c r="M195" i="50"/>
  <c r="H205" i="50"/>
  <c r="M210" i="50"/>
  <c r="L204" i="50"/>
  <c r="L203" i="50" s="1"/>
  <c r="L248" i="50" s="1"/>
  <c r="R223" i="50"/>
  <c r="M249" i="50"/>
  <c r="H257" i="50"/>
  <c r="F299" i="50"/>
  <c r="H299" i="50" s="1"/>
  <c r="F307" i="50"/>
  <c r="H307" i="50" s="1"/>
  <c r="F323" i="50"/>
  <c r="H323" i="50" s="1"/>
  <c r="D395" i="50"/>
  <c r="H395" i="50" s="1"/>
  <c r="N411" i="50"/>
  <c r="N438" i="50"/>
  <c r="R438" i="50" s="1"/>
  <c r="K14" i="50"/>
  <c r="P15" i="50"/>
  <c r="H17" i="50"/>
  <c r="J21" i="50"/>
  <c r="M21" i="50" s="1"/>
  <c r="R22" i="50"/>
  <c r="K26" i="50"/>
  <c r="M26" i="50" s="1"/>
  <c r="R27" i="50"/>
  <c r="O38" i="50"/>
  <c r="E40" i="50"/>
  <c r="M42" i="50"/>
  <c r="R45" i="50"/>
  <c r="H51" i="50"/>
  <c r="M55" i="50"/>
  <c r="M61" i="50"/>
  <c r="M64" i="50"/>
  <c r="R68" i="50"/>
  <c r="R76" i="50"/>
  <c r="M82" i="50"/>
  <c r="H85" i="50"/>
  <c r="K99" i="50"/>
  <c r="P100" i="50"/>
  <c r="E105" i="50"/>
  <c r="H105" i="50" s="1"/>
  <c r="M106" i="50"/>
  <c r="F110" i="50"/>
  <c r="H110" i="50" s="1"/>
  <c r="M111" i="50"/>
  <c r="P116" i="50"/>
  <c r="R116" i="50" s="1"/>
  <c r="O120" i="50"/>
  <c r="H122" i="50"/>
  <c r="M123" i="50"/>
  <c r="R124" i="50"/>
  <c r="H127" i="50"/>
  <c r="H139" i="50"/>
  <c r="P143" i="50"/>
  <c r="R143" i="50" s="1"/>
  <c r="H148" i="50"/>
  <c r="M152" i="50"/>
  <c r="R156" i="50"/>
  <c r="M160" i="50"/>
  <c r="O165" i="50"/>
  <c r="R165" i="50" s="1"/>
  <c r="R169" i="50"/>
  <c r="M173" i="50"/>
  <c r="K182" i="50"/>
  <c r="K178" i="50" s="1"/>
  <c r="F184" i="50"/>
  <c r="M185" i="50"/>
  <c r="O189" i="50"/>
  <c r="R189" i="50" s="1"/>
  <c r="P194" i="50"/>
  <c r="R194" i="50" s="1"/>
  <c r="H200" i="50"/>
  <c r="P204" i="50"/>
  <c r="R205" i="50"/>
  <c r="R213" i="50"/>
  <c r="M219" i="50"/>
  <c r="H223" i="50"/>
  <c r="M227" i="50"/>
  <c r="R236" i="50"/>
  <c r="R244" i="50"/>
  <c r="H250" i="50"/>
  <c r="R257" i="50"/>
  <c r="K270" i="50"/>
  <c r="M270" i="50" s="1"/>
  <c r="P323" i="50"/>
  <c r="R323" i="50" s="1"/>
  <c r="P331" i="50"/>
  <c r="R331" i="50" s="1"/>
  <c r="H358" i="50"/>
  <c r="R358" i="50"/>
  <c r="P369" i="50"/>
  <c r="R369" i="50" s="1"/>
  <c r="H380" i="50"/>
  <c r="R380" i="50"/>
  <c r="H388" i="50"/>
  <c r="R388" i="50"/>
  <c r="H397" i="50"/>
  <c r="R397" i="50"/>
  <c r="M403" i="50"/>
  <c r="M411" i="50"/>
  <c r="I418" i="50"/>
  <c r="N419" i="50"/>
  <c r="M420" i="50"/>
  <c r="H440" i="50"/>
  <c r="R440" i="50"/>
  <c r="M49" i="50"/>
  <c r="H65" i="50"/>
  <c r="M81" i="50"/>
  <c r="F49" i="50"/>
  <c r="K49" i="50"/>
  <c r="K48" i="50" s="1"/>
  <c r="K36" i="50" s="1"/>
  <c r="P49" i="50"/>
  <c r="P48" i="50" s="1"/>
  <c r="F66" i="50"/>
  <c r="F65" i="50" s="1"/>
  <c r="F63" i="50" s="1"/>
  <c r="H63" i="50" s="1"/>
  <c r="K66" i="50"/>
  <c r="K65" i="50" s="1"/>
  <c r="K63" i="50" s="1"/>
  <c r="M63" i="50" s="1"/>
  <c r="P66" i="50"/>
  <c r="P65" i="50" s="1"/>
  <c r="P63" i="50" s="1"/>
  <c r="F81" i="50"/>
  <c r="H81" i="50" s="1"/>
  <c r="K81" i="50"/>
  <c r="P81" i="50"/>
  <c r="R81" i="50" s="1"/>
  <c r="E98" i="50"/>
  <c r="J98" i="50"/>
  <c r="O98" i="50"/>
  <c r="F132" i="50"/>
  <c r="F120" i="50" s="1"/>
  <c r="K132" i="50"/>
  <c r="K120" i="50" s="1"/>
  <c r="H133" i="50"/>
  <c r="M133" i="50"/>
  <c r="R133" i="50"/>
  <c r="H135" i="50"/>
  <c r="M135" i="50"/>
  <c r="R135" i="50"/>
  <c r="G248" i="50"/>
  <c r="M233" i="50"/>
  <c r="M149" i="50"/>
  <c r="F150" i="50"/>
  <c r="F149" i="50" s="1"/>
  <c r="F147" i="50" s="1"/>
  <c r="K150" i="50"/>
  <c r="K149" i="50" s="1"/>
  <c r="K147" i="50" s="1"/>
  <c r="M147" i="50" s="1"/>
  <c r="P150" i="50"/>
  <c r="P149" i="50" s="1"/>
  <c r="P147" i="50" s="1"/>
  <c r="E182" i="50"/>
  <c r="J182" i="50"/>
  <c r="E217" i="50"/>
  <c r="J217" i="50"/>
  <c r="O217" i="50"/>
  <c r="E231" i="50"/>
  <c r="J231" i="50"/>
  <c r="M231" i="50" s="1"/>
  <c r="O231" i="50"/>
  <c r="F234" i="50"/>
  <c r="F233" i="50" s="1"/>
  <c r="F231" i="50" s="1"/>
  <c r="F203" i="50" s="1"/>
  <c r="K234" i="50"/>
  <c r="K233" i="50" s="1"/>
  <c r="K231" i="50" s="1"/>
  <c r="P234" i="50"/>
  <c r="P233" i="50" s="1"/>
  <c r="P231" i="50" s="1"/>
  <c r="P203" i="50" s="1"/>
  <c r="P248" i="50" s="1"/>
  <c r="F288" i="50"/>
  <c r="H288" i="50" s="1"/>
  <c r="K288" i="50"/>
  <c r="M288" i="50" s="1"/>
  <c r="P288" i="50"/>
  <c r="R288" i="50" s="1"/>
  <c r="F292" i="50"/>
  <c r="K292" i="50"/>
  <c r="P292" i="50"/>
  <c r="R411" i="50" l="1"/>
  <c r="N410" i="50"/>
  <c r="R410" i="50" s="1"/>
  <c r="M121" i="50"/>
  <c r="J120" i="50"/>
  <c r="J119" i="50" s="1"/>
  <c r="R38" i="50"/>
  <c r="O37" i="50"/>
  <c r="H411" i="50"/>
  <c r="D410" i="50"/>
  <c r="H410" i="50" s="1"/>
  <c r="M358" i="50"/>
  <c r="I357" i="50"/>
  <c r="M357" i="50" s="1"/>
  <c r="P282" i="50"/>
  <c r="R282" i="50" s="1"/>
  <c r="R283" i="50"/>
  <c r="P273" i="50"/>
  <c r="R273" i="50" s="1"/>
  <c r="R274" i="50"/>
  <c r="P132" i="50"/>
  <c r="M33" i="50"/>
  <c r="F282" i="50"/>
  <c r="H282" i="50" s="1"/>
  <c r="H283" i="50"/>
  <c r="K203" i="50"/>
  <c r="K248" i="50" s="1"/>
  <c r="O182" i="50"/>
  <c r="P36" i="50"/>
  <c r="P35" i="50" s="1"/>
  <c r="K10" i="50"/>
  <c r="O119" i="50"/>
  <c r="J37" i="50"/>
  <c r="R40" i="50"/>
  <c r="H42" i="50"/>
  <c r="H448" i="50"/>
  <c r="F447" i="50"/>
  <c r="M396" i="50"/>
  <c r="I395" i="50"/>
  <c r="M395" i="50" s="1"/>
  <c r="M370" i="50"/>
  <c r="K369" i="50"/>
  <c r="M369" i="50" s="1"/>
  <c r="M388" i="50"/>
  <c r="I387" i="50"/>
  <c r="M387" i="50" s="1"/>
  <c r="G164" i="50"/>
  <c r="H38" i="50"/>
  <c r="H64" i="50"/>
  <c r="F273" i="50"/>
  <c r="H273" i="50" s="1"/>
  <c r="H274" i="50"/>
  <c r="R100" i="50"/>
  <c r="P99" i="50"/>
  <c r="H40" i="50"/>
  <c r="E37" i="50"/>
  <c r="R15" i="50"/>
  <c r="P14" i="50"/>
  <c r="R33" i="50"/>
  <c r="P32" i="50"/>
  <c r="R32" i="50" s="1"/>
  <c r="M431" i="50"/>
  <c r="M430" i="50" s="1"/>
  <c r="L430" i="50"/>
  <c r="H117" i="50"/>
  <c r="F33" i="50"/>
  <c r="F116" i="50"/>
  <c r="R64" i="50"/>
  <c r="O63" i="50"/>
  <c r="R63" i="50" s="1"/>
  <c r="R419" i="50"/>
  <c r="R418" i="50" s="1"/>
  <c r="N418" i="50"/>
  <c r="M99" i="50"/>
  <c r="K98" i="50"/>
  <c r="K94" i="50" s="1"/>
  <c r="H147" i="50"/>
  <c r="H184" i="50"/>
  <c r="F183" i="50"/>
  <c r="M439" i="50"/>
  <c r="I438" i="50"/>
  <c r="M438" i="50" s="1"/>
  <c r="M380" i="50"/>
  <c r="I379" i="50"/>
  <c r="M379" i="50" s="1"/>
  <c r="H61" i="50"/>
  <c r="F59" i="50"/>
  <c r="H59" i="50" s="1"/>
  <c r="H123" i="50"/>
  <c r="M38" i="50"/>
  <c r="J14" i="50"/>
  <c r="J10" i="50" s="1"/>
  <c r="M10" i="50" s="1"/>
  <c r="R292" i="50"/>
  <c r="P291" i="50"/>
  <c r="R291" i="50" s="1"/>
  <c r="H292" i="50"/>
  <c r="F291" i="50"/>
  <c r="H291" i="50" s="1"/>
  <c r="R217" i="50"/>
  <c r="O216" i="50"/>
  <c r="H217" i="50"/>
  <c r="E216" i="50"/>
  <c r="M182" i="50"/>
  <c r="J178" i="50"/>
  <c r="M98" i="50"/>
  <c r="J94" i="50"/>
  <c r="M292" i="50"/>
  <c r="K291" i="50"/>
  <c r="M291" i="50" s="1"/>
  <c r="M217" i="50"/>
  <c r="J216" i="50"/>
  <c r="R182" i="50"/>
  <c r="O178" i="50"/>
  <c r="E178" i="50"/>
  <c r="O94" i="50"/>
  <c r="H98" i="50"/>
  <c r="E94" i="50"/>
  <c r="R150" i="50"/>
  <c r="H150" i="50"/>
  <c r="R234" i="50"/>
  <c r="H234" i="50"/>
  <c r="R147" i="50"/>
  <c r="F119" i="50"/>
  <c r="K80" i="50"/>
  <c r="H132" i="50"/>
  <c r="H120" i="50"/>
  <c r="M66" i="50"/>
  <c r="R48" i="50"/>
  <c r="R231" i="50"/>
  <c r="H231" i="50"/>
  <c r="M150" i="50"/>
  <c r="R149" i="50"/>
  <c r="H149" i="50"/>
  <c r="M234" i="50"/>
  <c r="R233" i="50"/>
  <c r="H233" i="50"/>
  <c r="K119" i="50"/>
  <c r="K35" i="50"/>
  <c r="M48" i="50"/>
  <c r="M132" i="50"/>
  <c r="M120" i="50"/>
  <c r="R66" i="50"/>
  <c r="H66" i="50"/>
  <c r="M65" i="50"/>
  <c r="R49" i="50"/>
  <c r="H49" i="50"/>
  <c r="H183" i="50" l="1"/>
  <c r="F182" i="50"/>
  <c r="H33" i="50"/>
  <c r="F32" i="50"/>
  <c r="H37" i="50"/>
  <c r="E36" i="50"/>
  <c r="F446" i="50"/>
  <c r="H447" i="50"/>
  <c r="H446" i="50" s="1"/>
  <c r="M37" i="50"/>
  <c r="J36" i="50"/>
  <c r="R37" i="50"/>
  <c r="O36" i="50"/>
  <c r="H116" i="50"/>
  <c r="F94" i="50"/>
  <c r="M14" i="50"/>
  <c r="R14" i="50"/>
  <c r="P10" i="50"/>
  <c r="R99" i="50"/>
  <c r="P98" i="50"/>
  <c r="R132" i="50"/>
  <c r="P120" i="50"/>
  <c r="F48" i="50"/>
  <c r="K164" i="50"/>
  <c r="M119" i="50"/>
  <c r="H119" i="50"/>
  <c r="F164" i="50"/>
  <c r="E164" i="50"/>
  <c r="H94" i="50"/>
  <c r="O164" i="50"/>
  <c r="R178" i="50"/>
  <c r="M216" i="50"/>
  <c r="J204" i="50"/>
  <c r="J164" i="50"/>
  <c r="M164" i="50" s="1"/>
  <c r="M94" i="50"/>
  <c r="M178" i="50"/>
  <c r="H216" i="50"/>
  <c r="E204" i="50"/>
  <c r="R216" i="50"/>
  <c r="O204" i="50"/>
  <c r="H32" i="50" l="1"/>
  <c r="F10" i="50"/>
  <c r="P94" i="50"/>
  <c r="R98" i="50"/>
  <c r="F36" i="50"/>
  <c r="F35" i="50" s="1"/>
  <c r="H48" i="50"/>
  <c r="J35" i="50"/>
  <c r="M36" i="50"/>
  <c r="E35" i="50"/>
  <c r="E80" i="50" s="1"/>
  <c r="H36" i="50"/>
  <c r="F178" i="50"/>
  <c r="H182" i="50"/>
  <c r="R120" i="50"/>
  <c r="P119" i="50"/>
  <c r="R119" i="50" s="1"/>
  <c r="P80" i="50"/>
  <c r="R10" i="50"/>
  <c r="O35" i="50"/>
  <c r="R36" i="50"/>
  <c r="R204" i="50"/>
  <c r="O203" i="50"/>
  <c r="H204" i="50"/>
  <c r="E203" i="50"/>
  <c r="M204" i="50"/>
  <c r="J203" i="50"/>
  <c r="H164" i="50"/>
  <c r="P164" i="50" l="1"/>
  <c r="R164" i="50" s="1"/>
  <c r="R94" i="50"/>
  <c r="F248" i="50"/>
  <c r="H178" i="50"/>
  <c r="M35" i="50"/>
  <c r="J80" i="50"/>
  <c r="M80" i="50" s="1"/>
  <c r="O80" i="50"/>
  <c r="R80" i="50" s="1"/>
  <c r="R35" i="50"/>
  <c r="F80" i="50"/>
  <c r="H80" i="50" s="1"/>
  <c r="H10" i="50"/>
  <c r="H35" i="50"/>
  <c r="M203" i="50"/>
  <c r="J248" i="50"/>
  <c r="M248" i="50" s="1"/>
  <c r="H203" i="50"/>
  <c r="E248" i="50"/>
  <c r="H248" i="50" s="1"/>
  <c r="R203" i="50"/>
  <c r="O248" i="50"/>
  <c r="R248" i="50" s="1"/>
  <c r="R260" i="114" l="1"/>
  <c r="M260" i="114"/>
  <c r="H260" i="114"/>
  <c r="R259" i="114"/>
  <c r="M259" i="114"/>
  <c r="H259" i="114"/>
  <c r="R258" i="114"/>
  <c r="M258" i="114"/>
  <c r="H258" i="114"/>
  <c r="Q257" i="114"/>
  <c r="P257" i="114"/>
  <c r="O257" i="114"/>
  <c r="R257" i="114" s="1"/>
  <c r="L257" i="114"/>
  <c r="K257" i="114"/>
  <c r="J257" i="114"/>
  <c r="M257" i="114" s="1"/>
  <c r="G257" i="114"/>
  <c r="G249" i="114" s="1"/>
  <c r="F257" i="114"/>
  <c r="E257" i="114"/>
  <c r="R256" i="114"/>
  <c r="M256" i="114"/>
  <c r="H256" i="114"/>
  <c r="R255" i="114"/>
  <c r="M255" i="114"/>
  <c r="H255" i="114"/>
  <c r="R254" i="114"/>
  <c r="M254" i="114"/>
  <c r="H254" i="114"/>
  <c r="Q253" i="114"/>
  <c r="P253" i="114"/>
  <c r="O253" i="114"/>
  <c r="L253" i="114"/>
  <c r="K253" i="114"/>
  <c r="M253" i="114" s="1"/>
  <c r="J253" i="114"/>
  <c r="G253" i="114"/>
  <c r="F253" i="114"/>
  <c r="E253" i="114"/>
  <c r="R252" i="114"/>
  <c r="M252" i="114"/>
  <c r="H252" i="114"/>
  <c r="R251" i="114"/>
  <c r="M251" i="114"/>
  <c r="H251" i="114"/>
  <c r="Q250" i="114"/>
  <c r="P250" i="114"/>
  <c r="R250" i="114" s="1"/>
  <c r="O250" i="114"/>
  <c r="L250" i="114"/>
  <c r="K250" i="114"/>
  <c r="J250" i="114"/>
  <c r="J249" i="114" s="1"/>
  <c r="G250" i="114"/>
  <c r="F250" i="114"/>
  <c r="E250" i="114"/>
  <c r="Q249" i="114"/>
  <c r="L249" i="114"/>
  <c r="K249" i="114"/>
  <c r="F249" i="114"/>
  <c r="E249" i="114"/>
  <c r="R247" i="114"/>
  <c r="M247" i="114"/>
  <c r="H247" i="114"/>
  <c r="R246" i="114"/>
  <c r="M246" i="114"/>
  <c r="H246" i="114"/>
  <c r="R245" i="114"/>
  <c r="M245" i="114"/>
  <c r="H245" i="114"/>
  <c r="Q244" i="114"/>
  <c r="P244" i="114"/>
  <c r="O244" i="114"/>
  <c r="R244" i="114" s="1"/>
  <c r="L244" i="114"/>
  <c r="K244" i="114"/>
  <c r="J244" i="114"/>
  <c r="M244" i="114" s="1"/>
  <c r="G244" i="114"/>
  <c r="F244" i="114"/>
  <c r="E244" i="114"/>
  <c r="R243" i="114"/>
  <c r="M243" i="114"/>
  <c r="H243" i="114"/>
  <c r="R242" i="114"/>
  <c r="M242" i="114"/>
  <c r="H242" i="114"/>
  <c r="R241" i="114"/>
  <c r="M241" i="114"/>
  <c r="H241" i="114"/>
  <c r="Q240" i="114"/>
  <c r="Q233" i="114" s="1"/>
  <c r="Q231" i="114" s="1"/>
  <c r="P240" i="114"/>
  <c r="O240" i="114"/>
  <c r="L240" i="114"/>
  <c r="L233" i="114" s="1"/>
  <c r="L231" i="114" s="1"/>
  <c r="K240" i="114"/>
  <c r="M240" i="114" s="1"/>
  <c r="J240" i="114"/>
  <c r="G240" i="114"/>
  <c r="F240" i="114"/>
  <c r="E240" i="114"/>
  <c r="E233" i="114" s="1"/>
  <c r="R239" i="114"/>
  <c r="M239" i="114"/>
  <c r="H239" i="114"/>
  <c r="R238" i="114"/>
  <c r="M238" i="114"/>
  <c r="H238" i="114"/>
  <c r="R237" i="114"/>
  <c r="M237" i="114"/>
  <c r="H237" i="114"/>
  <c r="Q236" i="114"/>
  <c r="P236" i="114"/>
  <c r="O236" i="114"/>
  <c r="R236" i="114" s="1"/>
  <c r="L236" i="114"/>
  <c r="K236" i="114"/>
  <c r="J236" i="114"/>
  <c r="M236" i="114" s="1"/>
  <c r="G236" i="114"/>
  <c r="F236" i="114"/>
  <c r="E236" i="114"/>
  <c r="R235" i="114"/>
  <c r="M235" i="114"/>
  <c r="H235" i="114"/>
  <c r="Q234" i="114"/>
  <c r="P234" i="114"/>
  <c r="O234" i="114"/>
  <c r="R234" i="114" s="1"/>
  <c r="L234" i="114"/>
  <c r="K234" i="114"/>
  <c r="J234" i="114"/>
  <c r="G234" i="114"/>
  <c r="G233" i="114" s="1"/>
  <c r="G231" i="114" s="1"/>
  <c r="F234" i="114"/>
  <c r="E234" i="114"/>
  <c r="P233" i="114"/>
  <c r="J233" i="114"/>
  <c r="R232" i="114"/>
  <c r="M232" i="114"/>
  <c r="H232" i="114"/>
  <c r="P231" i="114"/>
  <c r="J231" i="114"/>
  <c r="R230" i="114"/>
  <c r="M230" i="114"/>
  <c r="H230" i="114"/>
  <c r="R229" i="114"/>
  <c r="M229" i="114"/>
  <c r="H229" i="114"/>
  <c r="R228" i="114"/>
  <c r="M228" i="114"/>
  <c r="H228" i="114"/>
  <c r="Q227" i="114"/>
  <c r="P227" i="114"/>
  <c r="O227" i="114"/>
  <c r="R227" i="114" s="1"/>
  <c r="L227" i="114"/>
  <c r="K227" i="114"/>
  <c r="J227" i="114"/>
  <c r="G227" i="114"/>
  <c r="F227" i="114"/>
  <c r="E227" i="114"/>
  <c r="R226" i="114"/>
  <c r="M226" i="114"/>
  <c r="H226" i="114"/>
  <c r="R225" i="114"/>
  <c r="M225" i="114"/>
  <c r="H225" i="114"/>
  <c r="R224" i="114"/>
  <c r="M224" i="114"/>
  <c r="H224" i="114"/>
  <c r="Q223" i="114"/>
  <c r="Q216" i="114" s="1"/>
  <c r="P223" i="114"/>
  <c r="R223" i="114" s="1"/>
  <c r="O223" i="114"/>
  <c r="L223" i="114"/>
  <c r="K223" i="114"/>
  <c r="J223" i="114"/>
  <c r="J216" i="114" s="1"/>
  <c r="G223" i="114"/>
  <c r="F223" i="114"/>
  <c r="E223" i="114"/>
  <c r="E216" i="114" s="1"/>
  <c r="R222" i="114"/>
  <c r="M222" i="114"/>
  <c r="H222" i="114"/>
  <c r="R221" i="114"/>
  <c r="M221" i="114"/>
  <c r="H221" i="114"/>
  <c r="R220" i="114"/>
  <c r="M220" i="114"/>
  <c r="H220" i="114"/>
  <c r="Q219" i="114"/>
  <c r="P219" i="114"/>
  <c r="O219" i="114"/>
  <c r="R219" i="114" s="1"/>
  <c r="L219" i="114"/>
  <c r="K219" i="114"/>
  <c r="J219" i="114"/>
  <c r="G219" i="114"/>
  <c r="F219" i="114"/>
  <c r="E219" i="114"/>
  <c r="R218" i="114"/>
  <c r="M218" i="114"/>
  <c r="H218" i="114"/>
  <c r="Q217" i="114"/>
  <c r="P217" i="114"/>
  <c r="O217" i="114"/>
  <c r="L217" i="114"/>
  <c r="L216" i="114" s="1"/>
  <c r="K217" i="114"/>
  <c r="J217" i="114"/>
  <c r="G217" i="114"/>
  <c r="F217" i="114"/>
  <c r="H217" i="114" s="1"/>
  <c r="E217" i="114"/>
  <c r="O216" i="114"/>
  <c r="G216" i="114"/>
  <c r="R215" i="114"/>
  <c r="M215" i="114"/>
  <c r="H215" i="114"/>
  <c r="R214" i="114"/>
  <c r="M214" i="114"/>
  <c r="H214" i="114"/>
  <c r="Q213" i="114"/>
  <c r="P213" i="114"/>
  <c r="O213" i="114"/>
  <c r="R213" i="114" s="1"/>
  <c r="L213" i="114"/>
  <c r="K213" i="114"/>
  <c r="J213" i="114"/>
  <c r="G213" i="114"/>
  <c r="F213" i="114"/>
  <c r="E213" i="114"/>
  <c r="R212" i="114"/>
  <c r="M212" i="114"/>
  <c r="H212" i="114"/>
  <c r="R211" i="114"/>
  <c r="M211" i="114"/>
  <c r="H211" i="114"/>
  <c r="Q210" i="114"/>
  <c r="P210" i="114"/>
  <c r="O210" i="114"/>
  <c r="L210" i="114"/>
  <c r="K210" i="114"/>
  <c r="J210" i="114"/>
  <c r="G210" i="114"/>
  <c r="F210" i="114"/>
  <c r="E210" i="114"/>
  <c r="H210" i="114" s="1"/>
  <c r="R209" i="114"/>
  <c r="M209" i="114"/>
  <c r="H209" i="114"/>
  <c r="R208" i="114"/>
  <c r="M208" i="114"/>
  <c r="H208" i="114"/>
  <c r="R207" i="114"/>
  <c r="M207" i="114"/>
  <c r="H207" i="114"/>
  <c r="R206" i="114"/>
  <c r="M206" i="114"/>
  <c r="H206" i="114"/>
  <c r="Q205" i="114"/>
  <c r="P205" i="114"/>
  <c r="O205" i="114"/>
  <c r="L205" i="114"/>
  <c r="L204" i="114" s="1"/>
  <c r="L203" i="114" s="1"/>
  <c r="K205" i="114"/>
  <c r="J205" i="114"/>
  <c r="G205" i="114"/>
  <c r="F205" i="114"/>
  <c r="H205" i="114" s="1"/>
  <c r="E205" i="114"/>
  <c r="O204" i="114"/>
  <c r="G204" i="114"/>
  <c r="R202" i="114"/>
  <c r="M202" i="114"/>
  <c r="H202" i="114"/>
  <c r="R201" i="114"/>
  <c r="M201" i="114"/>
  <c r="H201" i="114"/>
  <c r="Q200" i="114"/>
  <c r="P200" i="114"/>
  <c r="O200" i="114"/>
  <c r="R200" i="114" s="1"/>
  <c r="L200" i="114"/>
  <c r="K200" i="114"/>
  <c r="J200" i="114"/>
  <c r="M200" i="114" s="1"/>
  <c r="G200" i="114"/>
  <c r="F200" i="114"/>
  <c r="E200" i="114"/>
  <c r="R199" i="114"/>
  <c r="M199" i="114"/>
  <c r="H199" i="114"/>
  <c r="R198" i="114"/>
  <c r="M198" i="114"/>
  <c r="H198" i="114"/>
  <c r="R197" i="114"/>
  <c r="M197" i="114"/>
  <c r="H197" i="114"/>
  <c r="R196" i="114"/>
  <c r="M196" i="114"/>
  <c r="H196" i="114"/>
  <c r="Q195" i="114"/>
  <c r="Q194" i="114" s="1"/>
  <c r="P195" i="114"/>
  <c r="P194" i="114" s="1"/>
  <c r="O195" i="114"/>
  <c r="L195" i="114"/>
  <c r="K195" i="114"/>
  <c r="K194" i="114" s="1"/>
  <c r="J195" i="114"/>
  <c r="M195" i="114" s="1"/>
  <c r="G195" i="114"/>
  <c r="F195" i="114"/>
  <c r="E195" i="114"/>
  <c r="H195" i="114" s="1"/>
  <c r="C195" i="114"/>
  <c r="C194" i="114" s="1"/>
  <c r="O194" i="114"/>
  <c r="L194" i="114"/>
  <c r="G194" i="114"/>
  <c r="F194" i="114"/>
  <c r="R193" i="114"/>
  <c r="M193" i="114"/>
  <c r="H193" i="114"/>
  <c r="R192" i="114"/>
  <c r="M192" i="114"/>
  <c r="H192" i="114"/>
  <c r="R191" i="114"/>
  <c r="M191" i="114"/>
  <c r="H191" i="114"/>
  <c r="Q190" i="114"/>
  <c r="Q189" i="114" s="1"/>
  <c r="P190" i="114"/>
  <c r="O190" i="114"/>
  <c r="L190" i="114"/>
  <c r="K190" i="114"/>
  <c r="M190" i="114" s="1"/>
  <c r="J190" i="114"/>
  <c r="G190" i="114"/>
  <c r="F190" i="114"/>
  <c r="E190" i="114"/>
  <c r="E189" i="114" s="1"/>
  <c r="P189" i="114"/>
  <c r="O189" i="114"/>
  <c r="L189" i="114"/>
  <c r="J189" i="114"/>
  <c r="G189" i="114"/>
  <c r="F189" i="114"/>
  <c r="R188" i="114"/>
  <c r="M188" i="114"/>
  <c r="H188" i="114"/>
  <c r="R187" i="114"/>
  <c r="M187" i="114"/>
  <c r="H187" i="114"/>
  <c r="R186" i="114"/>
  <c r="M186" i="114"/>
  <c r="H186" i="114"/>
  <c r="Q185" i="114"/>
  <c r="P185" i="114"/>
  <c r="P184" i="114" s="1"/>
  <c r="P183" i="114" s="1"/>
  <c r="P182" i="114" s="1"/>
  <c r="P178" i="114" s="1"/>
  <c r="O185" i="114"/>
  <c r="L185" i="114"/>
  <c r="K185" i="114"/>
  <c r="J185" i="114"/>
  <c r="M185" i="114" s="1"/>
  <c r="G185" i="114"/>
  <c r="F185" i="114"/>
  <c r="E185" i="114"/>
  <c r="H185" i="114" s="1"/>
  <c r="Q184" i="114"/>
  <c r="Q183" i="114" s="1"/>
  <c r="O184" i="114"/>
  <c r="L184" i="114"/>
  <c r="K184" i="114"/>
  <c r="K183" i="114" s="1"/>
  <c r="G184" i="114"/>
  <c r="F184" i="114"/>
  <c r="E184" i="114"/>
  <c r="H184" i="114" s="1"/>
  <c r="O183" i="114"/>
  <c r="L183" i="114"/>
  <c r="L182" i="114" s="1"/>
  <c r="L178" i="114" s="1"/>
  <c r="G183" i="114"/>
  <c r="F183" i="114"/>
  <c r="F182" i="114" s="1"/>
  <c r="F178" i="114" s="1"/>
  <c r="O182" i="114"/>
  <c r="G182" i="114"/>
  <c r="G178" i="114" s="1"/>
  <c r="R181" i="114"/>
  <c r="M181" i="114"/>
  <c r="H181" i="114"/>
  <c r="R180" i="114"/>
  <c r="M180" i="114"/>
  <c r="H180" i="114"/>
  <c r="R179" i="114"/>
  <c r="M179" i="114"/>
  <c r="H179" i="114"/>
  <c r="R177" i="114"/>
  <c r="M177" i="114"/>
  <c r="H177" i="114"/>
  <c r="R176" i="114"/>
  <c r="M176" i="114"/>
  <c r="H176" i="114"/>
  <c r="R175" i="114"/>
  <c r="M175" i="114"/>
  <c r="H175" i="114"/>
  <c r="R174" i="114"/>
  <c r="M174" i="114"/>
  <c r="H174" i="114"/>
  <c r="Q173" i="114"/>
  <c r="P173" i="114"/>
  <c r="O173" i="114"/>
  <c r="L173" i="114"/>
  <c r="L165" i="114" s="1"/>
  <c r="K173" i="114"/>
  <c r="J173" i="114"/>
  <c r="G173" i="114"/>
  <c r="F173" i="114"/>
  <c r="H173" i="114" s="1"/>
  <c r="E173" i="114"/>
  <c r="R172" i="114"/>
  <c r="M172" i="114"/>
  <c r="H172" i="114"/>
  <c r="R171" i="114"/>
  <c r="M171" i="114"/>
  <c r="H171" i="114"/>
  <c r="R170" i="114"/>
  <c r="M170" i="114"/>
  <c r="H170" i="114"/>
  <c r="Q169" i="114"/>
  <c r="P169" i="114"/>
  <c r="O169" i="114"/>
  <c r="L169" i="114"/>
  <c r="K169" i="114"/>
  <c r="J169" i="114"/>
  <c r="M169" i="114" s="1"/>
  <c r="G169" i="114"/>
  <c r="F169" i="114"/>
  <c r="E169" i="114"/>
  <c r="H169" i="114" s="1"/>
  <c r="R168" i="114"/>
  <c r="M168" i="114"/>
  <c r="H168" i="114"/>
  <c r="R167" i="114"/>
  <c r="M167" i="114"/>
  <c r="H167" i="114"/>
  <c r="Q166" i="114"/>
  <c r="P166" i="114"/>
  <c r="O166" i="114"/>
  <c r="R166" i="114" s="1"/>
  <c r="L166" i="114"/>
  <c r="K166" i="114"/>
  <c r="J166" i="114"/>
  <c r="M166" i="114" s="1"/>
  <c r="G166" i="114"/>
  <c r="G165" i="114" s="1"/>
  <c r="F166" i="114"/>
  <c r="E166" i="114"/>
  <c r="Q165" i="114"/>
  <c r="P165" i="114"/>
  <c r="K165" i="114"/>
  <c r="J165" i="114"/>
  <c r="E165" i="114"/>
  <c r="R163" i="114"/>
  <c r="M163" i="114"/>
  <c r="H163" i="114"/>
  <c r="R162" i="114"/>
  <c r="M162" i="114"/>
  <c r="H162" i="114"/>
  <c r="R161" i="114"/>
  <c r="M161" i="114"/>
  <c r="H161" i="114"/>
  <c r="Q160" i="114"/>
  <c r="P160" i="114"/>
  <c r="O160" i="114"/>
  <c r="L160" i="114"/>
  <c r="K160" i="114"/>
  <c r="J160" i="114"/>
  <c r="G160" i="114"/>
  <c r="F160" i="114"/>
  <c r="H160" i="114" s="1"/>
  <c r="E160" i="114"/>
  <c r="R159" i="114"/>
  <c r="M159" i="114"/>
  <c r="H159" i="114"/>
  <c r="R158" i="114"/>
  <c r="M158" i="114"/>
  <c r="H158" i="114"/>
  <c r="R157" i="114"/>
  <c r="M157" i="114"/>
  <c r="H157" i="114"/>
  <c r="Q156" i="114"/>
  <c r="Q149" i="114" s="1"/>
  <c r="Q147" i="114" s="1"/>
  <c r="P156" i="114"/>
  <c r="P149" i="114" s="1"/>
  <c r="P147" i="114" s="1"/>
  <c r="O156" i="114"/>
  <c r="L156" i="114"/>
  <c r="K156" i="114"/>
  <c r="K149" i="114" s="1"/>
  <c r="K147" i="114" s="1"/>
  <c r="J156" i="114"/>
  <c r="M156" i="114" s="1"/>
  <c r="G156" i="114"/>
  <c r="F156" i="114"/>
  <c r="E156" i="114"/>
  <c r="H156" i="114" s="1"/>
  <c r="R155" i="114"/>
  <c r="M155" i="114"/>
  <c r="H155" i="114"/>
  <c r="R154" i="114"/>
  <c r="M154" i="114"/>
  <c r="H154" i="114"/>
  <c r="R153" i="114"/>
  <c r="M153" i="114"/>
  <c r="H153" i="114"/>
  <c r="Q152" i="114"/>
  <c r="P152" i="114"/>
  <c r="O152" i="114"/>
  <c r="L152" i="114"/>
  <c r="K152" i="114"/>
  <c r="J152" i="114"/>
  <c r="G152" i="114"/>
  <c r="F152" i="114"/>
  <c r="H152" i="114" s="1"/>
  <c r="E152" i="114"/>
  <c r="R151" i="114"/>
  <c r="M151" i="114"/>
  <c r="H151" i="114"/>
  <c r="Q150" i="114"/>
  <c r="P150" i="114"/>
  <c r="O150" i="114"/>
  <c r="R150" i="114" s="1"/>
  <c r="L150" i="114"/>
  <c r="L149" i="114" s="1"/>
  <c r="L147" i="114" s="1"/>
  <c r="K150" i="114"/>
  <c r="J150" i="114"/>
  <c r="G150" i="114"/>
  <c r="F150" i="114"/>
  <c r="F149" i="114" s="1"/>
  <c r="F147" i="114" s="1"/>
  <c r="E150" i="114"/>
  <c r="O149" i="114"/>
  <c r="G149" i="114"/>
  <c r="R148" i="114"/>
  <c r="M148" i="114"/>
  <c r="H148" i="114"/>
  <c r="O147" i="114"/>
  <c r="G147" i="114"/>
  <c r="R146" i="114"/>
  <c r="M146" i="114"/>
  <c r="H146" i="114"/>
  <c r="R145" i="114"/>
  <c r="M145" i="114"/>
  <c r="H145" i="114"/>
  <c r="R144" i="114"/>
  <c r="M144" i="114"/>
  <c r="H144" i="114"/>
  <c r="Q143" i="114"/>
  <c r="P143" i="114"/>
  <c r="O143" i="114"/>
  <c r="L143" i="114"/>
  <c r="K143" i="114"/>
  <c r="J143" i="114"/>
  <c r="G143" i="114"/>
  <c r="F143" i="114"/>
  <c r="E143" i="114"/>
  <c r="H143" i="114" s="1"/>
  <c r="R142" i="114"/>
  <c r="M142" i="114"/>
  <c r="H142" i="114"/>
  <c r="R141" i="114"/>
  <c r="M141" i="114"/>
  <c r="H141" i="114"/>
  <c r="R140" i="114"/>
  <c r="M140" i="114"/>
  <c r="H140" i="114"/>
  <c r="Q139" i="114"/>
  <c r="P139" i="114"/>
  <c r="P132" i="114" s="1"/>
  <c r="O139" i="114"/>
  <c r="O132" i="114" s="1"/>
  <c r="L139" i="114"/>
  <c r="K139" i="114"/>
  <c r="J139" i="114"/>
  <c r="J132" i="114" s="1"/>
  <c r="G139" i="114"/>
  <c r="G132" i="114" s="1"/>
  <c r="G120" i="114" s="1"/>
  <c r="G119" i="114" s="1"/>
  <c r="F139" i="114"/>
  <c r="E139" i="114"/>
  <c r="R138" i="114"/>
  <c r="M138" i="114"/>
  <c r="H138" i="114"/>
  <c r="R137" i="114"/>
  <c r="M137" i="114"/>
  <c r="H137" i="114"/>
  <c r="R136" i="114"/>
  <c r="M136" i="114"/>
  <c r="H136" i="114"/>
  <c r="Q135" i="114"/>
  <c r="P135" i="114"/>
  <c r="O135" i="114"/>
  <c r="L135" i="114"/>
  <c r="K135" i="114"/>
  <c r="J135" i="114"/>
  <c r="G135" i="114"/>
  <c r="F135" i="114"/>
  <c r="E135" i="114"/>
  <c r="H135" i="114" s="1"/>
  <c r="R134" i="114"/>
  <c r="M134" i="114"/>
  <c r="H134" i="114"/>
  <c r="Q133" i="114"/>
  <c r="Q132" i="114" s="1"/>
  <c r="P133" i="114"/>
  <c r="O133" i="114"/>
  <c r="L133" i="114"/>
  <c r="K133" i="114"/>
  <c r="M133" i="114" s="1"/>
  <c r="J133" i="114"/>
  <c r="G133" i="114"/>
  <c r="F133" i="114"/>
  <c r="E133" i="114"/>
  <c r="E132" i="114" s="1"/>
  <c r="H132" i="114" s="1"/>
  <c r="L132" i="114"/>
  <c r="F132" i="114"/>
  <c r="R131" i="114"/>
  <c r="M131" i="114"/>
  <c r="H131" i="114"/>
  <c r="R130" i="114"/>
  <c r="M130" i="114"/>
  <c r="H130" i="114"/>
  <c r="Q129" i="114"/>
  <c r="P129" i="114"/>
  <c r="O129" i="114"/>
  <c r="L129" i="114"/>
  <c r="K129" i="114"/>
  <c r="J129" i="114"/>
  <c r="G129" i="114"/>
  <c r="F129" i="114"/>
  <c r="E129" i="114"/>
  <c r="H129" i="114" s="1"/>
  <c r="R128" i="114"/>
  <c r="M128" i="114"/>
  <c r="H128" i="114"/>
  <c r="R127" i="114"/>
  <c r="M127" i="114"/>
  <c r="H127" i="114"/>
  <c r="Q126" i="114"/>
  <c r="P126" i="114"/>
  <c r="O126" i="114"/>
  <c r="L126" i="114"/>
  <c r="K126" i="114"/>
  <c r="J126" i="114"/>
  <c r="M126" i="114" s="1"/>
  <c r="G126" i="114"/>
  <c r="F126" i="114"/>
  <c r="E126" i="114"/>
  <c r="H126" i="114" s="1"/>
  <c r="R125" i="114"/>
  <c r="M125" i="114"/>
  <c r="H125" i="114"/>
  <c r="R124" i="114"/>
  <c r="M124" i="114"/>
  <c r="H124" i="114"/>
  <c r="R123" i="114"/>
  <c r="M123" i="114"/>
  <c r="H123" i="114"/>
  <c r="R122" i="114"/>
  <c r="M122" i="114"/>
  <c r="H122" i="114"/>
  <c r="Q121" i="114"/>
  <c r="P121" i="114"/>
  <c r="O121" i="114"/>
  <c r="L121" i="114"/>
  <c r="K121" i="114"/>
  <c r="J121" i="114"/>
  <c r="G121" i="114"/>
  <c r="F121" i="114"/>
  <c r="E121" i="114"/>
  <c r="H121" i="114" s="1"/>
  <c r="L120" i="114"/>
  <c r="L119" i="114" s="1"/>
  <c r="F120" i="114"/>
  <c r="F119" i="114" s="1"/>
  <c r="R118" i="114"/>
  <c r="M118" i="114"/>
  <c r="H118" i="114"/>
  <c r="R117" i="114"/>
  <c r="M117" i="114"/>
  <c r="H117" i="114"/>
  <c r="Q116" i="114"/>
  <c r="P116" i="114"/>
  <c r="O116" i="114"/>
  <c r="L116" i="114"/>
  <c r="K116" i="114"/>
  <c r="J116" i="114"/>
  <c r="G116" i="114"/>
  <c r="F116" i="114"/>
  <c r="H116" i="114" s="1"/>
  <c r="E116" i="114"/>
  <c r="R115" i="114"/>
  <c r="M115" i="114"/>
  <c r="H115" i="114"/>
  <c r="R114" i="114"/>
  <c r="M114" i="114"/>
  <c r="H114" i="114"/>
  <c r="R113" i="114"/>
  <c r="M113" i="114"/>
  <c r="H113" i="114"/>
  <c r="R112" i="114"/>
  <c r="M112" i="114"/>
  <c r="H112" i="114"/>
  <c r="Q111" i="114"/>
  <c r="P111" i="114"/>
  <c r="P110" i="114" s="1"/>
  <c r="O111" i="114"/>
  <c r="R111" i="114" s="1"/>
  <c r="L111" i="114"/>
  <c r="K111" i="114"/>
  <c r="J111" i="114"/>
  <c r="J110" i="114" s="1"/>
  <c r="M110" i="114" s="1"/>
  <c r="G111" i="114"/>
  <c r="G110" i="114" s="1"/>
  <c r="F111" i="114"/>
  <c r="E111" i="114"/>
  <c r="C111" i="114"/>
  <c r="C110" i="114" s="1"/>
  <c r="Q110" i="114"/>
  <c r="L110" i="114"/>
  <c r="K110" i="114"/>
  <c r="F110" i="114"/>
  <c r="E110" i="114"/>
  <c r="R109" i="114"/>
  <c r="M109" i="114"/>
  <c r="H109" i="114"/>
  <c r="R108" i="114"/>
  <c r="M108" i="114"/>
  <c r="H108" i="114"/>
  <c r="R107" i="114"/>
  <c r="M107" i="114"/>
  <c r="H107" i="114"/>
  <c r="Q106" i="114"/>
  <c r="P106" i="114"/>
  <c r="P105" i="114" s="1"/>
  <c r="O106" i="114"/>
  <c r="L106" i="114"/>
  <c r="K106" i="114"/>
  <c r="J106" i="114"/>
  <c r="M106" i="114" s="1"/>
  <c r="G106" i="114"/>
  <c r="F106" i="114"/>
  <c r="E106" i="114"/>
  <c r="H106" i="114" s="1"/>
  <c r="Q105" i="114"/>
  <c r="O105" i="114"/>
  <c r="L105" i="114"/>
  <c r="K105" i="114"/>
  <c r="G105" i="114"/>
  <c r="F105" i="114"/>
  <c r="E105" i="114"/>
  <c r="H105" i="114" s="1"/>
  <c r="R104" i="114"/>
  <c r="M104" i="114"/>
  <c r="H104" i="114"/>
  <c r="R103" i="114"/>
  <c r="M103" i="114"/>
  <c r="H103" i="114"/>
  <c r="R102" i="114"/>
  <c r="M102" i="114"/>
  <c r="H102" i="114"/>
  <c r="Q101" i="114"/>
  <c r="P101" i="114"/>
  <c r="O101" i="114"/>
  <c r="O100" i="114" s="1"/>
  <c r="O99" i="114" s="1"/>
  <c r="O98" i="114" s="1"/>
  <c r="O94" i="114" s="1"/>
  <c r="L101" i="114"/>
  <c r="K101" i="114"/>
  <c r="J101" i="114"/>
  <c r="G101" i="114"/>
  <c r="G100" i="114" s="1"/>
  <c r="G99" i="114" s="1"/>
  <c r="G98" i="114" s="1"/>
  <c r="G94" i="114" s="1"/>
  <c r="G164" i="114" s="1"/>
  <c r="F101" i="114"/>
  <c r="E101" i="114"/>
  <c r="Q100" i="114"/>
  <c r="P100" i="114"/>
  <c r="L100" i="114"/>
  <c r="K100" i="114"/>
  <c r="J100" i="114"/>
  <c r="J99" i="114" s="1"/>
  <c r="F100" i="114"/>
  <c r="E100" i="114"/>
  <c r="Q99" i="114"/>
  <c r="Q98" i="114" s="1"/>
  <c r="Q94" i="114" s="1"/>
  <c r="L99" i="114"/>
  <c r="K99" i="114"/>
  <c r="F99" i="114"/>
  <c r="E99" i="114"/>
  <c r="E98" i="114" s="1"/>
  <c r="L98" i="114"/>
  <c r="L94" i="114" s="1"/>
  <c r="F98" i="114"/>
  <c r="F94" i="114" s="1"/>
  <c r="R97" i="114"/>
  <c r="M97" i="114"/>
  <c r="H97" i="114"/>
  <c r="R96" i="114"/>
  <c r="M96" i="114"/>
  <c r="H96" i="114"/>
  <c r="R95" i="114"/>
  <c r="M95" i="114"/>
  <c r="H95" i="114"/>
  <c r="R93" i="114"/>
  <c r="M93" i="114"/>
  <c r="H93" i="114"/>
  <c r="R92" i="114"/>
  <c r="M92" i="114"/>
  <c r="H92" i="114"/>
  <c r="R91" i="114"/>
  <c r="M91" i="114"/>
  <c r="H91" i="114"/>
  <c r="R90" i="114"/>
  <c r="M90" i="114"/>
  <c r="H90" i="114"/>
  <c r="Q89" i="114"/>
  <c r="Q81" i="114" s="1"/>
  <c r="P89" i="114"/>
  <c r="O89" i="114"/>
  <c r="L89" i="114"/>
  <c r="K89" i="114"/>
  <c r="K81" i="114" s="1"/>
  <c r="J89" i="114"/>
  <c r="G89" i="114"/>
  <c r="F89" i="114"/>
  <c r="E89" i="114"/>
  <c r="H89" i="114" s="1"/>
  <c r="R88" i="114"/>
  <c r="M88" i="114"/>
  <c r="H88" i="114"/>
  <c r="R87" i="114"/>
  <c r="M87" i="114"/>
  <c r="H87" i="114"/>
  <c r="R86" i="114"/>
  <c r="M86" i="114"/>
  <c r="H86" i="114"/>
  <c r="Q85" i="114"/>
  <c r="P85" i="114"/>
  <c r="O85" i="114"/>
  <c r="L85" i="114"/>
  <c r="K85" i="114"/>
  <c r="J85" i="114"/>
  <c r="G85" i="114"/>
  <c r="F85" i="114"/>
  <c r="E85" i="114"/>
  <c r="R84" i="114"/>
  <c r="M84" i="114"/>
  <c r="H84" i="114"/>
  <c r="R83" i="114"/>
  <c r="M83" i="114"/>
  <c r="H83" i="114"/>
  <c r="Q82" i="114"/>
  <c r="P82" i="114"/>
  <c r="O82" i="114"/>
  <c r="L82" i="114"/>
  <c r="L81" i="114" s="1"/>
  <c r="K82" i="114"/>
  <c r="J82" i="114"/>
  <c r="G82" i="114"/>
  <c r="F82" i="114"/>
  <c r="H82" i="114" s="1"/>
  <c r="E82" i="114"/>
  <c r="P81" i="114"/>
  <c r="O81" i="114"/>
  <c r="J81" i="114"/>
  <c r="G81" i="114"/>
  <c r="R79" i="114"/>
  <c r="M79" i="114"/>
  <c r="H79" i="114"/>
  <c r="R78" i="114"/>
  <c r="M78" i="114"/>
  <c r="H78" i="114"/>
  <c r="R77" i="114"/>
  <c r="M77" i="114"/>
  <c r="H77" i="114"/>
  <c r="Q76" i="114"/>
  <c r="P76" i="114"/>
  <c r="O76" i="114"/>
  <c r="L76" i="114"/>
  <c r="K76" i="114"/>
  <c r="J76" i="114"/>
  <c r="G76" i="114"/>
  <c r="F76" i="114"/>
  <c r="E76" i="114"/>
  <c r="H76" i="114" s="1"/>
  <c r="R75" i="114"/>
  <c r="M75" i="114"/>
  <c r="H75" i="114"/>
  <c r="R74" i="114"/>
  <c r="M74" i="114"/>
  <c r="H74" i="114"/>
  <c r="R73" i="114"/>
  <c r="M73" i="114"/>
  <c r="H73" i="114"/>
  <c r="Q72" i="114"/>
  <c r="P72" i="114"/>
  <c r="P65" i="114" s="1"/>
  <c r="P63" i="114" s="1"/>
  <c r="O72" i="114"/>
  <c r="O65" i="114" s="1"/>
  <c r="L72" i="114"/>
  <c r="K72" i="114"/>
  <c r="J72" i="114"/>
  <c r="J65" i="114" s="1"/>
  <c r="G72" i="114"/>
  <c r="G65" i="114" s="1"/>
  <c r="G63" i="114" s="1"/>
  <c r="F72" i="114"/>
  <c r="E72" i="114"/>
  <c r="R71" i="114"/>
  <c r="M71" i="114"/>
  <c r="H71" i="114"/>
  <c r="R70" i="114"/>
  <c r="M70" i="114"/>
  <c r="H70" i="114"/>
  <c r="R69" i="114"/>
  <c r="M69" i="114"/>
  <c r="H69" i="114"/>
  <c r="Q68" i="114"/>
  <c r="P68" i="114"/>
  <c r="O68" i="114"/>
  <c r="L68" i="114"/>
  <c r="K68" i="114"/>
  <c r="J68" i="114"/>
  <c r="G68" i="114"/>
  <c r="F68" i="114"/>
  <c r="E68" i="114"/>
  <c r="H68" i="114" s="1"/>
  <c r="R67" i="114"/>
  <c r="M67" i="114"/>
  <c r="H67" i="114"/>
  <c r="Q66" i="114"/>
  <c r="Q65" i="114" s="1"/>
  <c r="Q63" i="114" s="1"/>
  <c r="P66" i="114"/>
  <c r="O66" i="114"/>
  <c r="L66" i="114"/>
  <c r="K66" i="114"/>
  <c r="M66" i="114" s="1"/>
  <c r="J66" i="114"/>
  <c r="G66" i="114"/>
  <c r="F66" i="114"/>
  <c r="E66" i="114"/>
  <c r="E65" i="114" s="1"/>
  <c r="L65" i="114"/>
  <c r="F65" i="114"/>
  <c r="R64" i="114"/>
  <c r="M64" i="114"/>
  <c r="H64" i="114"/>
  <c r="L63" i="114"/>
  <c r="F63" i="114"/>
  <c r="R62" i="114"/>
  <c r="M62" i="114"/>
  <c r="H62" i="114"/>
  <c r="R61" i="114"/>
  <c r="M61" i="114"/>
  <c r="H61" i="114"/>
  <c r="R60" i="114"/>
  <c r="M60" i="114"/>
  <c r="H60" i="114"/>
  <c r="Q59" i="114"/>
  <c r="P59" i="114"/>
  <c r="O59" i="114"/>
  <c r="L59" i="114"/>
  <c r="K59" i="114"/>
  <c r="J59" i="114"/>
  <c r="M59" i="114" s="1"/>
  <c r="G59" i="114"/>
  <c r="F59" i="114"/>
  <c r="E59" i="114"/>
  <c r="H59" i="114" s="1"/>
  <c r="R58" i="114"/>
  <c r="M58" i="114"/>
  <c r="H58" i="114"/>
  <c r="R57" i="114"/>
  <c r="M57" i="114"/>
  <c r="H57" i="114"/>
  <c r="R56" i="114"/>
  <c r="M56" i="114"/>
  <c r="H56" i="114"/>
  <c r="Q55" i="114"/>
  <c r="P55" i="114"/>
  <c r="O55" i="114"/>
  <c r="L55" i="114"/>
  <c r="L48" i="114" s="1"/>
  <c r="L36" i="114" s="1"/>
  <c r="L35" i="114" s="1"/>
  <c r="K55" i="114"/>
  <c r="J55" i="114"/>
  <c r="G55" i="114"/>
  <c r="F55" i="114"/>
  <c r="H55" i="114" s="1"/>
  <c r="E55" i="114"/>
  <c r="R54" i="114"/>
  <c r="M54" i="114"/>
  <c r="H54" i="114"/>
  <c r="R53" i="114"/>
  <c r="M53" i="114"/>
  <c r="H53" i="114"/>
  <c r="R52" i="114"/>
  <c r="M52" i="114"/>
  <c r="H52" i="114"/>
  <c r="Q51" i="114"/>
  <c r="P51" i="114"/>
  <c r="O51" i="114"/>
  <c r="L51" i="114"/>
  <c r="K51" i="114"/>
  <c r="J51" i="114"/>
  <c r="M51" i="114" s="1"/>
  <c r="G51" i="114"/>
  <c r="F51" i="114"/>
  <c r="E51" i="114"/>
  <c r="H51" i="114" s="1"/>
  <c r="R50" i="114"/>
  <c r="M50" i="114"/>
  <c r="H50" i="114"/>
  <c r="Q49" i="114"/>
  <c r="P49" i="114"/>
  <c r="R49" i="114" s="1"/>
  <c r="O49" i="114"/>
  <c r="O48" i="114" s="1"/>
  <c r="L49" i="114"/>
  <c r="K49" i="114"/>
  <c r="J49" i="114"/>
  <c r="J48" i="114" s="1"/>
  <c r="M48" i="114" s="1"/>
  <c r="G49" i="114"/>
  <c r="G48" i="114" s="1"/>
  <c r="F49" i="114"/>
  <c r="E49" i="114"/>
  <c r="Q48" i="114"/>
  <c r="K48" i="114"/>
  <c r="E48" i="114"/>
  <c r="R47" i="114"/>
  <c r="M47" i="114"/>
  <c r="H47" i="114"/>
  <c r="R46" i="114"/>
  <c r="M46" i="114"/>
  <c r="H46" i="114"/>
  <c r="Q45" i="114"/>
  <c r="P45" i="114"/>
  <c r="R45" i="114" s="1"/>
  <c r="O45" i="114"/>
  <c r="L45" i="114"/>
  <c r="K45" i="114"/>
  <c r="J45" i="114"/>
  <c r="G45" i="114"/>
  <c r="F45" i="114"/>
  <c r="E45" i="114"/>
  <c r="R44" i="114"/>
  <c r="M44" i="114"/>
  <c r="H44" i="114"/>
  <c r="R43" i="114"/>
  <c r="M43" i="114"/>
  <c r="H43" i="114"/>
  <c r="Q42" i="114"/>
  <c r="P42" i="114"/>
  <c r="O42" i="114"/>
  <c r="O36" i="114" s="1"/>
  <c r="L42" i="114"/>
  <c r="K42" i="114"/>
  <c r="J42" i="114"/>
  <c r="G42" i="114"/>
  <c r="G36" i="114" s="1"/>
  <c r="G35" i="114" s="1"/>
  <c r="F42" i="114"/>
  <c r="E42" i="114"/>
  <c r="R41" i="114"/>
  <c r="M41" i="114"/>
  <c r="H41" i="114"/>
  <c r="R40" i="114"/>
  <c r="M40" i="114"/>
  <c r="H40" i="114"/>
  <c r="R39" i="114"/>
  <c r="M39" i="114"/>
  <c r="H39" i="114"/>
  <c r="R38" i="114"/>
  <c r="M38" i="114"/>
  <c r="H38" i="114"/>
  <c r="Q37" i="114"/>
  <c r="P37" i="114"/>
  <c r="R37" i="114" s="1"/>
  <c r="O37" i="114"/>
  <c r="L37" i="114"/>
  <c r="K37" i="114"/>
  <c r="J37" i="114"/>
  <c r="J36" i="114" s="1"/>
  <c r="G37" i="114"/>
  <c r="F37" i="114"/>
  <c r="E37" i="114"/>
  <c r="Q36" i="114"/>
  <c r="Q35" i="114" s="1"/>
  <c r="K36" i="114"/>
  <c r="E36" i="114"/>
  <c r="R34" i="114"/>
  <c r="M34" i="114"/>
  <c r="H34" i="114"/>
  <c r="R33" i="114"/>
  <c r="M33" i="114"/>
  <c r="H33" i="114"/>
  <c r="Q32" i="114"/>
  <c r="P32" i="114"/>
  <c r="O32" i="114"/>
  <c r="L32" i="114"/>
  <c r="K32" i="114"/>
  <c r="J32" i="114"/>
  <c r="G32" i="114"/>
  <c r="F32" i="114"/>
  <c r="E32" i="114"/>
  <c r="H32" i="114" s="1"/>
  <c r="R31" i="114"/>
  <c r="M31" i="114"/>
  <c r="H31" i="114"/>
  <c r="R30" i="114"/>
  <c r="M30" i="114"/>
  <c r="H30" i="114"/>
  <c r="R29" i="114"/>
  <c r="M29" i="114"/>
  <c r="H29" i="114"/>
  <c r="R28" i="114"/>
  <c r="M28" i="114"/>
  <c r="H28" i="114"/>
  <c r="Q27" i="114"/>
  <c r="P27" i="114"/>
  <c r="O27" i="114"/>
  <c r="R27" i="114" s="1"/>
  <c r="L27" i="114"/>
  <c r="L26" i="114" s="1"/>
  <c r="K27" i="114"/>
  <c r="J27" i="114"/>
  <c r="G27" i="114"/>
  <c r="G26" i="114" s="1"/>
  <c r="F27" i="114"/>
  <c r="F26" i="114" s="1"/>
  <c r="E27" i="114"/>
  <c r="C27" i="114"/>
  <c r="Q26" i="114"/>
  <c r="P26" i="114"/>
  <c r="K26" i="114"/>
  <c r="J26" i="114"/>
  <c r="E26" i="114"/>
  <c r="C26" i="114"/>
  <c r="R25" i="114"/>
  <c r="M25" i="114"/>
  <c r="H25" i="114"/>
  <c r="R24" i="114"/>
  <c r="M24" i="114"/>
  <c r="H24" i="114"/>
  <c r="R23" i="114"/>
  <c r="M23" i="114"/>
  <c r="H23" i="114"/>
  <c r="Q22" i="114"/>
  <c r="P22" i="114"/>
  <c r="O22" i="114"/>
  <c r="O21" i="114" s="1"/>
  <c r="L22" i="114"/>
  <c r="K22" i="114"/>
  <c r="J22" i="114"/>
  <c r="G22" i="114"/>
  <c r="G21" i="114" s="1"/>
  <c r="F22" i="114"/>
  <c r="E22" i="114"/>
  <c r="Q21" i="114"/>
  <c r="P21" i="114"/>
  <c r="L21" i="114"/>
  <c r="K21" i="114"/>
  <c r="J21" i="114"/>
  <c r="F21" i="114"/>
  <c r="E21" i="114"/>
  <c r="R20" i="114"/>
  <c r="M20" i="114"/>
  <c r="H20" i="114"/>
  <c r="R19" i="114"/>
  <c r="M19" i="114"/>
  <c r="H19" i="114"/>
  <c r="R18" i="114"/>
  <c r="M18" i="114"/>
  <c r="H18" i="114"/>
  <c r="Q17" i="114"/>
  <c r="P17" i="114"/>
  <c r="O17" i="114"/>
  <c r="R17" i="114" s="1"/>
  <c r="L17" i="114"/>
  <c r="L16" i="114" s="1"/>
  <c r="L15" i="114" s="1"/>
  <c r="L14" i="114" s="1"/>
  <c r="L10" i="114" s="1"/>
  <c r="L80" i="114" s="1"/>
  <c r="K17" i="114"/>
  <c r="J17" i="114"/>
  <c r="G17" i="114"/>
  <c r="F17" i="114"/>
  <c r="F16" i="114" s="1"/>
  <c r="F15" i="114" s="1"/>
  <c r="F14" i="114" s="1"/>
  <c r="F10" i="114" s="1"/>
  <c r="E17" i="114"/>
  <c r="Q16" i="114"/>
  <c r="P16" i="114"/>
  <c r="O16" i="114"/>
  <c r="R16" i="114" s="1"/>
  <c r="K16" i="114"/>
  <c r="J16" i="114"/>
  <c r="G16" i="114"/>
  <c r="G15" i="114" s="1"/>
  <c r="E16" i="114"/>
  <c r="Q15" i="114"/>
  <c r="P15" i="114"/>
  <c r="P14" i="114" s="1"/>
  <c r="P10" i="114" s="1"/>
  <c r="K15" i="114"/>
  <c r="J15" i="114"/>
  <c r="E15" i="114"/>
  <c r="Q14" i="114"/>
  <c r="Q10" i="114" s="1"/>
  <c r="K14" i="114"/>
  <c r="K10" i="114" s="1"/>
  <c r="E14" i="114"/>
  <c r="R13" i="114"/>
  <c r="M13" i="114"/>
  <c r="H13" i="114"/>
  <c r="R12" i="114"/>
  <c r="M12" i="114"/>
  <c r="H12" i="114"/>
  <c r="R11" i="114"/>
  <c r="M11" i="114"/>
  <c r="H11" i="114"/>
  <c r="R65" i="114" l="1"/>
  <c r="O63" i="114"/>
  <c r="R63" i="114" s="1"/>
  <c r="H233" i="114"/>
  <c r="E231" i="114"/>
  <c r="J63" i="114"/>
  <c r="J35" i="114" s="1"/>
  <c r="M35" i="114" s="1"/>
  <c r="F164" i="114"/>
  <c r="Q204" i="114"/>
  <c r="Q203" i="114" s="1"/>
  <c r="G14" i="114"/>
  <c r="G10" i="114" s="1"/>
  <c r="G80" i="114" s="1"/>
  <c r="L164" i="114"/>
  <c r="Q120" i="114"/>
  <c r="Q119" i="114" s="1"/>
  <c r="P120" i="114"/>
  <c r="P119" i="114" s="1"/>
  <c r="L248" i="114"/>
  <c r="Q182" i="114"/>
  <c r="Q178" i="114" s="1"/>
  <c r="Q248" i="114" s="1"/>
  <c r="G203" i="114"/>
  <c r="G248" i="114" s="1"/>
  <c r="J204" i="114"/>
  <c r="M36" i="114"/>
  <c r="O35" i="114"/>
  <c r="H65" i="114"/>
  <c r="E63" i="114"/>
  <c r="M132" i="114"/>
  <c r="Q80" i="114"/>
  <c r="H26" i="114"/>
  <c r="K35" i="114"/>
  <c r="K80" i="114" s="1"/>
  <c r="H98" i="114"/>
  <c r="E94" i="114"/>
  <c r="H94" i="114" s="1"/>
  <c r="Q164" i="114"/>
  <c r="R132" i="114"/>
  <c r="O120" i="114"/>
  <c r="H14" i="114"/>
  <c r="R21" i="114"/>
  <c r="R81" i="114"/>
  <c r="R100" i="114"/>
  <c r="H110" i="114"/>
  <c r="R147" i="114"/>
  <c r="R149" i="114"/>
  <c r="M165" i="114"/>
  <c r="H189" i="114"/>
  <c r="M16" i="114"/>
  <c r="R22" i="114"/>
  <c r="M45" i="114"/>
  <c r="H66" i="114"/>
  <c r="M100" i="114"/>
  <c r="J149" i="114"/>
  <c r="R183" i="114"/>
  <c r="M223" i="114"/>
  <c r="K233" i="114"/>
  <c r="K231" i="114" s="1"/>
  <c r="M231" i="114" s="1"/>
  <c r="H240" i="114"/>
  <c r="H249" i="114"/>
  <c r="M250" i="114"/>
  <c r="H253" i="114"/>
  <c r="E10" i="114"/>
  <c r="H16" i="114"/>
  <c r="M17" i="114"/>
  <c r="H21" i="114"/>
  <c r="M22" i="114"/>
  <c r="M27" i="114"/>
  <c r="R32" i="114"/>
  <c r="H37" i="114"/>
  <c r="M42" i="114"/>
  <c r="H45" i="114"/>
  <c r="H49" i="114"/>
  <c r="R55" i="114"/>
  <c r="R68" i="114"/>
  <c r="M72" i="114"/>
  <c r="R76" i="114"/>
  <c r="E81" i="114"/>
  <c r="R82" i="114"/>
  <c r="M85" i="114"/>
  <c r="R89" i="114"/>
  <c r="H100" i="114"/>
  <c r="M101" i="114"/>
  <c r="R105" i="114"/>
  <c r="O110" i="114"/>
  <c r="R110" i="114" s="1"/>
  <c r="M111" i="114"/>
  <c r="R116" i="114"/>
  <c r="J120" i="114"/>
  <c r="R121" i="114"/>
  <c r="R129" i="114"/>
  <c r="R135" i="114"/>
  <c r="M139" i="114"/>
  <c r="R143" i="114"/>
  <c r="E149" i="114"/>
  <c r="M150" i="114"/>
  <c r="R152" i="114"/>
  <c r="R160" i="114"/>
  <c r="F165" i="114"/>
  <c r="H165" i="114" s="1"/>
  <c r="H166" i="114"/>
  <c r="R173" i="114"/>
  <c r="O178" i="114"/>
  <c r="R184" i="114"/>
  <c r="R189" i="114"/>
  <c r="J194" i="114"/>
  <c r="M194" i="114" s="1"/>
  <c r="H200" i="114"/>
  <c r="E204" i="114"/>
  <c r="R205" i="114"/>
  <c r="R210" i="114"/>
  <c r="M213" i="114"/>
  <c r="K216" i="114"/>
  <c r="K204" i="114" s="1"/>
  <c r="K203" i="114" s="1"/>
  <c r="R217" i="114"/>
  <c r="M219" i="114"/>
  <c r="H223" i="114"/>
  <c r="M227" i="114"/>
  <c r="F233" i="114"/>
  <c r="F231" i="114" s="1"/>
  <c r="H231" i="114" s="1"/>
  <c r="M234" i="114"/>
  <c r="H236" i="114"/>
  <c r="H244" i="114"/>
  <c r="O249" i="114"/>
  <c r="H250" i="114"/>
  <c r="R253" i="114"/>
  <c r="H257" i="114"/>
  <c r="M15" i="114"/>
  <c r="H63" i="114"/>
  <c r="M99" i="114"/>
  <c r="M249" i="114"/>
  <c r="H15" i="114"/>
  <c r="M21" i="114"/>
  <c r="M26" i="114"/>
  <c r="M37" i="114"/>
  <c r="R42" i="114"/>
  <c r="F48" i="114"/>
  <c r="F36" i="114" s="1"/>
  <c r="F35" i="114" s="1"/>
  <c r="F80" i="114" s="1"/>
  <c r="M49" i="114"/>
  <c r="R72" i="114"/>
  <c r="M81" i="114"/>
  <c r="R85" i="114"/>
  <c r="H99" i="114"/>
  <c r="R101" i="114"/>
  <c r="H133" i="114"/>
  <c r="R139" i="114"/>
  <c r="H190" i="114"/>
  <c r="R194" i="114"/>
  <c r="P216" i="114"/>
  <c r="P204" i="114" s="1"/>
  <c r="P203" i="114" s="1"/>
  <c r="P248" i="114" s="1"/>
  <c r="J14" i="114"/>
  <c r="O15" i="114"/>
  <c r="H17" i="114"/>
  <c r="H22" i="114"/>
  <c r="O26" i="114"/>
  <c r="R26" i="114" s="1"/>
  <c r="H27" i="114"/>
  <c r="M32" i="114"/>
  <c r="E35" i="114"/>
  <c r="H35" i="114" s="1"/>
  <c r="H42" i="114"/>
  <c r="P48" i="114"/>
  <c r="R48" i="114" s="1"/>
  <c r="R51" i="114"/>
  <c r="M55" i="114"/>
  <c r="R59" i="114"/>
  <c r="K65" i="114"/>
  <c r="K63" i="114" s="1"/>
  <c r="R66" i="114"/>
  <c r="M68" i="114"/>
  <c r="H72" i="114"/>
  <c r="M76" i="114"/>
  <c r="F81" i="114"/>
  <c r="M82" i="114"/>
  <c r="H85" i="114"/>
  <c r="M89" i="114"/>
  <c r="K98" i="114"/>
  <c r="P99" i="114"/>
  <c r="H101" i="114"/>
  <c r="J105" i="114"/>
  <c r="M105" i="114" s="1"/>
  <c r="R106" i="114"/>
  <c r="H111" i="114"/>
  <c r="M116" i="114"/>
  <c r="E120" i="114"/>
  <c r="M121" i="114"/>
  <c r="R126" i="114"/>
  <c r="M129" i="114"/>
  <c r="K132" i="114"/>
  <c r="K120" i="114" s="1"/>
  <c r="K119" i="114" s="1"/>
  <c r="R133" i="114"/>
  <c r="M135" i="114"/>
  <c r="H139" i="114"/>
  <c r="M143" i="114"/>
  <c r="H150" i="114"/>
  <c r="M152" i="114"/>
  <c r="R156" i="114"/>
  <c r="M160" i="114"/>
  <c r="O165" i="114"/>
  <c r="R165" i="114" s="1"/>
  <c r="R169" i="114"/>
  <c r="M173" i="114"/>
  <c r="E183" i="114"/>
  <c r="J184" i="114"/>
  <c r="R185" i="114"/>
  <c r="K189" i="114"/>
  <c r="M189" i="114" s="1"/>
  <c r="R190" i="114"/>
  <c r="E194" i="114"/>
  <c r="H194" i="114" s="1"/>
  <c r="R195" i="114"/>
  <c r="M205" i="114"/>
  <c r="M210" i="114"/>
  <c r="H213" i="114"/>
  <c r="F216" i="114"/>
  <c r="F204" i="114" s="1"/>
  <c r="F203" i="114" s="1"/>
  <c r="F248" i="114" s="1"/>
  <c r="M217" i="114"/>
  <c r="H219" i="114"/>
  <c r="H227" i="114"/>
  <c r="O233" i="114"/>
  <c r="H234" i="114"/>
  <c r="R240" i="114"/>
  <c r="P249" i="114"/>
  <c r="H10" i="114"/>
  <c r="H204" i="114" l="1"/>
  <c r="E203" i="114"/>
  <c r="H203" i="114" s="1"/>
  <c r="H149" i="114"/>
  <c r="E147" i="114"/>
  <c r="H147" i="114" s="1"/>
  <c r="M216" i="114"/>
  <c r="H120" i="114"/>
  <c r="H48" i="114"/>
  <c r="M233" i="114"/>
  <c r="H216" i="114"/>
  <c r="M65" i="114"/>
  <c r="R249" i="114"/>
  <c r="R15" i="114"/>
  <c r="O14" i="114"/>
  <c r="H36" i="114"/>
  <c r="M120" i="114"/>
  <c r="K182" i="114"/>
  <c r="K178" i="114" s="1"/>
  <c r="K248" i="114" s="1"/>
  <c r="M184" i="114"/>
  <c r="J183" i="114"/>
  <c r="K94" i="114"/>
  <c r="K164" i="114" s="1"/>
  <c r="R216" i="114"/>
  <c r="H81" i="114"/>
  <c r="R233" i="114"/>
  <c r="O231" i="114"/>
  <c r="H183" i="114"/>
  <c r="E182" i="114"/>
  <c r="M63" i="114"/>
  <c r="R204" i="114"/>
  <c r="R178" i="114"/>
  <c r="R99" i="114"/>
  <c r="P98" i="114"/>
  <c r="P36" i="114"/>
  <c r="M14" i="114"/>
  <c r="J10" i="114"/>
  <c r="E80" i="114"/>
  <c r="H80" i="114" s="1"/>
  <c r="M149" i="114"/>
  <c r="J147" i="114"/>
  <c r="M147" i="114" s="1"/>
  <c r="R182" i="114"/>
  <c r="R120" i="114"/>
  <c r="O119" i="114"/>
  <c r="M204" i="114"/>
  <c r="J203" i="114"/>
  <c r="M203" i="114" s="1"/>
  <c r="J98" i="114"/>
  <c r="J94" i="114" s="1"/>
  <c r="Q377" i="106"/>
  <c r="L377" i="106"/>
  <c r="G377" i="106"/>
  <c r="Q375" i="106"/>
  <c r="L375" i="106"/>
  <c r="L370" i="106" s="1"/>
  <c r="L369" i="106" s="1"/>
  <c r="G375" i="106"/>
  <c r="Q371" i="106"/>
  <c r="L371" i="106"/>
  <c r="G371" i="106"/>
  <c r="G370" i="106" s="1"/>
  <c r="G369" i="106" s="1"/>
  <c r="Q367" i="106"/>
  <c r="L367" i="106"/>
  <c r="L366" i="106" s="1"/>
  <c r="G367" i="106"/>
  <c r="G366" i="106" s="1"/>
  <c r="Q366" i="106"/>
  <c r="Q362" i="106"/>
  <c r="L362" i="106"/>
  <c r="G362" i="106"/>
  <c r="Q360" i="106"/>
  <c r="L360" i="106"/>
  <c r="G360" i="106"/>
  <c r="G355" i="106" s="1"/>
  <c r="G354" i="106" s="1"/>
  <c r="Q356" i="106"/>
  <c r="L356" i="106"/>
  <c r="G356" i="106"/>
  <c r="Q355" i="106"/>
  <c r="Q354" i="106" s="1"/>
  <c r="Q352" i="106"/>
  <c r="Q351" i="106" s="1"/>
  <c r="L352" i="106"/>
  <c r="L351" i="106" s="1"/>
  <c r="G352" i="106"/>
  <c r="G351" i="106" s="1"/>
  <c r="Q347" i="106"/>
  <c r="L347" i="106"/>
  <c r="G347" i="106"/>
  <c r="Q345" i="106"/>
  <c r="L345" i="106"/>
  <c r="G345" i="106"/>
  <c r="Q341" i="106"/>
  <c r="Q340" i="106" s="1"/>
  <c r="Q339" i="106" s="1"/>
  <c r="L341" i="106"/>
  <c r="G341" i="106"/>
  <c r="L340" i="106"/>
  <c r="L339" i="106" s="1"/>
  <c r="Q337" i="106"/>
  <c r="L337" i="106"/>
  <c r="L336" i="106" s="1"/>
  <c r="G337" i="106"/>
  <c r="G336" i="106" s="1"/>
  <c r="Q336" i="106"/>
  <c r="Q332" i="106"/>
  <c r="L332" i="106"/>
  <c r="G332" i="106"/>
  <c r="Q330" i="106"/>
  <c r="L330" i="106"/>
  <c r="G330" i="106"/>
  <c r="Q326" i="106"/>
  <c r="L326" i="106"/>
  <c r="G326" i="106"/>
  <c r="G325" i="106" s="1"/>
  <c r="G324" i="106" s="1"/>
  <c r="Q325" i="106"/>
  <c r="Q324" i="106" s="1"/>
  <c r="Q322" i="106"/>
  <c r="L322" i="106"/>
  <c r="L321" i="106" s="1"/>
  <c r="G322" i="106"/>
  <c r="Q317" i="106"/>
  <c r="L317" i="106"/>
  <c r="G317" i="106"/>
  <c r="Q315" i="106"/>
  <c r="L315" i="106"/>
  <c r="L310" i="106" s="1"/>
  <c r="G315" i="106"/>
  <c r="Q311" i="106"/>
  <c r="Q310" i="106" s="1"/>
  <c r="L311" i="106"/>
  <c r="G311" i="106"/>
  <c r="Q309" i="106"/>
  <c r="Q307" i="106"/>
  <c r="L307" i="106"/>
  <c r="L306" i="106" s="1"/>
  <c r="G307" i="106"/>
  <c r="G306" i="106" s="1"/>
  <c r="Q306" i="106"/>
  <c r="P302" i="106"/>
  <c r="K302" i="106"/>
  <c r="F302" i="106"/>
  <c r="P298" i="106"/>
  <c r="P297" i="106" s="1"/>
  <c r="K298" i="106"/>
  <c r="F298" i="106"/>
  <c r="F297" i="106" s="1"/>
  <c r="K297" i="106"/>
  <c r="P296" i="106"/>
  <c r="P294" i="106"/>
  <c r="K294" i="106"/>
  <c r="K293" i="106" s="1"/>
  <c r="F294" i="106"/>
  <c r="F293" i="106" s="1"/>
  <c r="P293" i="106"/>
  <c r="F290" i="106"/>
  <c r="F289" i="106" s="1"/>
  <c r="P289" i="106"/>
  <c r="K289" i="106"/>
  <c r="P288" i="106"/>
  <c r="K288" i="106"/>
  <c r="K124" i="106" s="1"/>
  <c r="K40" i="106" s="1"/>
  <c r="M40" i="106" s="1"/>
  <c r="F288" i="106"/>
  <c r="P287" i="106"/>
  <c r="P123" i="106" s="1"/>
  <c r="K287" i="106"/>
  <c r="K123" i="106" s="1"/>
  <c r="F287" i="106"/>
  <c r="F123" i="106" s="1"/>
  <c r="F39" i="106" s="1"/>
  <c r="H39" i="106" s="1"/>
  <c r="P286" i="106"/>
  <c r="K286" i="106"/>
  <c r="F286" i="106"/>
  <c r="F285" i="106" s="1"/>
  <c r="F284" i="106" s="1"/>
  <c r="F283" i="106" s="1"/>
  <c r="P285" i="106"/>
  <c r="P284" i="106" s="1"/>
  <c r="P283" i="106" s="1"/>
  <c r="P281" i="106"/>
  <c r="P280" i="106" s="1"/>
  <c r="K281" i="106"/>
  <c r="K280" i="106" s="1"/>
  <c r="F281" i="106"/>
  <c r="F280" i="106"/>
  <c r="P276" i="106"/>
  <c r="P275" i="106" s="1"/>
  <c r="P274" i="106" s="1"/>
  <c r="K276" i="106"/>
  <c r="K275" i="106" s="1"/>
  <c r="F276" i="106"/>
  <c r="F275" i="106"/>
  <c r="F274" i="106" s="1"/>
  <c r="K274" i="106"/>
  <c r="P272" i="106"/>
  <c r="P271" i="106" s="1"/>
  <c r="K272" i="106"/>
  <c r="K271" i="106" s="1"/>
  <c r="F272" i="106"/>
  <c r="F271" i="106" s="1"/>
  <c r="R260" i="106"/>
  <c r="M260" i="106"/>
  <c r="H260" i="106"/>
  <c r="R259" i="106"/>
  <c r="M259" i="106"/>
  <c r="H259" i="106"/>
  <c r="R258" i="106"/>
  <c r="M258" i="106"/>
  <c r="H258" i="106"/>
  <c r="Q257" i="106"/>
  <c r="P257" i="106"/>
  <c r="O257" i="106"/>
  <c r="L257" i="106"/>
  <c r="K257" i="106"/>
  <c r="J257" i="106"/>
  <c r="G257" i="106"/>
  <c r="F257" i="106"/>
  <c r="E257" i="106"/>
  <c r="R256" i="106"/>
  <c r="M256" i="106"/>
  <c r="H256" i="106"/>
  <c r="R255" i="106"/>
  <c r="M255" i="106"/>
  <c r="H255" i="106"/>
  <c r="R254" i="106"/>
  <c r="M254" i="106"/>
  <c r="H254" i="106"/>
  <c r="Q253" i="106"/>
  <c r="P253" i="106"/>
  <c r="O253" i="106"/>
  <c r="L253" i="106"/>
  <c r="K253" i="106"/>
  <c r="J253" i="106"/>
  <c r="G253" i="106"/>
  <c r="F253" i="106"/>
  <c r="H253" i="106" s="1"/>
  <c r="E253" i="106"/>
  <c r="R252" i="106"/>
  <c r="M252" i="106"/>
  <c r="H252" i="106"/>
  <c r="R251" i="106"/>
  <c r="M251" i="106"/>
  <c r="H251" i="106"/>
  <c r="Q250" i="106"/>
  <c r="P250" i="106"/>
  <c r="O250" i="106"/>
  <c r="L250" i="106"/>
  <c r="K250" i="106"/>
  <c r="K249" i="106" s="1"/>
  <c r="J250" i="106"/>
  <c r="G250" i="106"/>
  <c r="F250" i="106"/>
  <c r="E250" i="106"/>
  <c r="R247" i="106"/>
  <c r="M247" i="106"/>
  <c r="H247" i="106"/>
  <c r="R246" i="106"/>
  <c r="M246" i="106"/>
  <c r="H246" i="106"/>
  <c r="R245" i="106"/>
  <c r="M245" i="106"/>
  <c r="H245" i="106"/>
  <c r="Q244" i="106"/>
  <c r="P244" i="106"/>
  <c r="O244" i="106"/>
  <c r="R244" i="106" s="1"/>
  <c r="L244" i="106"/>
  <c r="K244" i="106"/>
  <c r="J244" i="106"/>
  <c r="M244" i="106" s="1"/>
  <c r="G244" i="106"/>
  <c r="F244" i="106"/>
  <c r="E244" i="106"/>
  <c r="R243" i="106"/>
  <c r="M243" i="106"/>
  <c r="H243" i="106"/>
  <c r="R242" i="106"/>
  <c r="M242" i="106"/>
  <c r="H242" i="106"/>
  <c r="R241" i="106"/>
  <c r="M241" i="106"/>
  <c r="H241" i="106"/>
  <c r="Q240" i="106"/>
  <c r="P240" i="106"/>
  <c r="O240" i="106"/>
  <c r="L240" i="106"/>
  <c r="K240" i="106"/>
  <c r="M240" i="106" s="1"/>
  <c r="J240" i="106"/>
  <c r="G240" i="106"/>
  <c r="F240" i="106"/>
  <c r="E240" i="106"/>
  <c r="R239" i="106"/>
  <c r="M239" i="106"/>
  <c r="H239" i="106"/>
  <c r="R238" i="106"/>
  <c r="M238" i="106"/>
  <c r="H238" i="106"/>
  <c r="R237" i="106"/>
  <c r="M237" i="106"/>
  <c r="H237" i="106"/>
  <c r="Q236" i="106"/>
  <c r="Q234" i="106" s="1"/>
  <c r="P236" i="106"/>
  <c r="P234" i="106" s="1"/>
  <c r="P233" i="106" s="1"/>
  <c r="P231" i="106" s="1"/>
  <c r="O236" i="106"/>
  <c r="L236" i="106"/>
  <c r="L234" i="106" s="1"/>
  <c r="K236" i="106"/>
  <c r="J236" i="106"/>
  <c r="G236" i="106"/>
  <c r="G234" i="106" s="1"/>
  <c r="G233" i="106" s="1"/>
  <c r="G231" i="106" s="1"/>
  <c r="F236" i="106"/>
  <c r="E236" i="106"/>
  <c r="R235" i="106"/>
  <c r="M235" i="106"/>
  <c r="H235" i="106"/>
  <c r="K234" i="106"/>
  <c r="K233" i="106" s="1"/>
  <c r="K231" i="106" s="1"/>
  <c r="F234" i="106"/>
  <c r="F233" i="106" s="1"/>
  <c r="F231" i="106" s="1"/>
  <c r="R232" i="106"/>
  <c r="M232" i="106"/>
  <c r="H232" i="106"/>
  <c r="R230" i="106"/>
  <c r="M230" i="106"/>
  <c r="H230" i="106"/>
  <c r="R229" i="106"/>
  <c r="M229" i="106"/>
  <c r="H229" i="106"/>
  <c r="R228" i="106"/>
  <c r="M228" i="106"/>
  <c r="H228" i="106"/>
  <c r="Q227" i="106"/>
  <c r="P227" i="106"/>
  <c r="O227" i="106"/>
  <c r="L227" i="106"/>
  <c r="K227" i="106"/>
  <c r="M227" i="106" s="1"/>
  <c r="J227" i="106"/>
  <c r="G227" i="106"/>
  <c r="F227" i="106"/>
  <c r="E227" i="106"/>
  <c r="R226" i="106"/>
  <c r="M226" i="106"/>
  <c r="H226" i="106"/>
  <c r="R225" i="106"/>
  <c r="M225" i="106"/>
  <c r="H225" i="106"/>
  <c r="R224" i="106"/>
  <c r="M224" i="106"/>
  <c r="H224" i="106"/>
  <c r="Q223" i="106"/>
  <c r="P223" i="106"/>
  <c r="O223" i="106"/>
  <c r="R223" i="106" s="1"/>
  <c r="L223" i="106"/>
  <c r="K223" i="106"/>
  <c r="J223" i="106"/>
  <c r="M223" i="106" s="1"/>
  <c r="G223" i="106"/>
  <c r="F223" i="106"/>
  <c r="E223" i="106"/>
  <c r="R222" i="106"/>
  <c r="M222" i="106"/>
  <c r="H222" i="106"/>
  <c r="R221" i="106"/>
  <c r="M221" i="106"/>
  <c r="H221" i="106"/>
  <c r="R220" i="106"/>
  <c r="M220" i="106"/>
  <c r="H220" i="106"/>
  <c r="Q219" i="106"/>
  <c r="P219" i="106"/>
  <c r="P217" i="106" s="1"/>
  <c r="O219" i="106"/>
  <c r="L219" i="106"/>
  <c r="L217" i="106" s="1"/>
  <c r="L216" i="106" s="1"/>
  <c r="K219" i="106"/>
  <c r="K217" i="106" s="1"/>
  <c r="J219" i="106"/>
  <c r="G219" i="106"/>
  <c r="F219" i="106"/>
  <c r="F217" i="106" s="1"/>
  <c r="E219" i="106"/>
  <c r="E217" i="106" s="1"/>
  <c r="E216" i="106" s="1"/>
  <c r="R218" i="106"/>
  <c r="M218" i="106"/>
  <c r="H218" i="106"/>
  <c r="Q217" i="106"/>
  <c r="Q216" i="106" s="1"/>
  <c r="O217" i="106"/>
  <c r="J217" i="106"/>
  <c r="G217" i="106"/>
  <c r="G216" i="106" s="1"/>
  <c r="R215" i="106"/>
  <c r="M215" i="106"/>
  <c r="H215" i="106"/>
  <c r="R214" i="106"/>
  <c r="M214" i="106"/>
  <c r="H214" i="106"/>
  <c r="Q213" i="106"/>
  <c r="P213" i="106"/>
  <c r="O213" i="106"/>
  <c r="R213" i="106" s="1"/>
  <c r="L213" i="106"/>
  <c r="K213" i="106"/>
  <c r="J213" i="106"/>
  <c r="G213" i="106"/>
  <c r="F213" i="106"/>
  <c r="E213" i="106"/>
  <c r="R212" i="106"/>
  <c r="M212" i="106"/>
  <c r="H212" i="106"/>
  <c r="R211" i="106"/>
  <c r="M211" i="106"/>
  <c r="H211" i="106"/>
  <c r="Q210" i="106"/>
  <c r="P210" i="106"/>
  <c r="O210" i="106"/>
  <c r="L210" i="106"/>
  <c r="K210" i="106"/>
  <c r="J210" i="106"/>
  <c r="G210" i="106"/>
  <c r="F210" i="106"/>
  <c r="E210" i="106"/>
  <c r="H210" i="106" s="1"/>
  <c r="R209" i="106"/>
  <c r="M209" i="106"/>
  <c r="H209" i="106"/>
  <c r="R208" i="106"/>
  <c r="M208" i="106"/>
  <c r="H208" i="106"/>
  <c r="R207" i="106"/>
  <c r="M207" i="106"/>
  <c r="H207" i="106"/>
  <c r="R206" i="106"/>
  <c r="M206" i="106"/>
  <c r="H206" i="106"/>
  <c r="Q205" i="106"/>
  <c r="P205" i="106"/>
  <c r="O205" i="106"/>
  <c r="R205" i="106" s="1"/>
  <c r="L205" i="106"/>
  <c r="K205" i="106"/>
  <c r="J205" i="106"/>
  <c r="G205" i="106"/>
  <c r="F205" i="106"/>
  <c r="E205" i="106"/>
  <c r="R202" i="106"/>
  <c r="M202" i="106"/>
  <c r="H202" i="106"/>
  <c r="R201" i="106"/>
  <c r="M201" i="106"/>
  <c r="H201" i="106"/>
  <c r="Q200" i="106"/>
  <c r="P200" i="106"/>
  <c r="O200" i="106"/>
  <c r="R200" i="106" s="1"/>
  <c r="L200" i="106"/>
  <c r="K200" i="106"/>
  <c r="J200" i="106"/>
  <c r="M200" i="106" s="1"/>
  <c r="G200" i="106"/>
  <c r="F200" i="106"/>
  <c r="E200" i="106"/>
  <c r="R199" i="106"/>
  <c r="M199" i="106"/>
  <c r="H199" i="106"/>
  <c r="R198" i="106"/>
  <c r="M198" i="106"/>
  <c r="H198" i="106"/>
  <c r="R197" i="106"/>
  <c r="M197" i="106"/>
  <c r="H197" i="106"/>
  <c r="R196" i="106"/>
  <c r="M196" i="106"/>
  <c r="H196" i="106"/>
  <c r="Q195" i="106"/>
  <c r="Q194" i="106" s="1"/>
  <c r="P195" i="106"/>
  <c r="O195" i="106"/>
  <c r="L195" i="106"/>
  <c r="K195" i="106"/>
  <c r="K194" i="106" s="1"/>
  <c r="J195" i="106"/>
  <c r="M195" i="106" s="1"/>
  <c r="G195" i="106"/>
  <c r="G194" i="106" s="1"/>
  <c r="F195" i="106"/>
  <c r="E195" i="106"/>
  <c r="H195" i="106" s="1"/>
  <c r="P194" i="106"/>
  <c r="L194" i="106"/>
  <c r="F194" i="106"/>
  <c r="R193" i="106"/>
  <c r="M193" i="106"/>
  <c r="H193" i="106"/>
  <c r="R192" i="106"/>
  <c r="M192" i="106"/>
  <c r="H192" i="106"/>
  <c r="R191" i="106"/>
  <c r="M191" i="106"/>
  <c r="H191" i="106"/>
  <c r="Q190" i="106"/>
  <c r="P190" i="106"/>
  <c r="O190" i="106"/>
  <c r="O189" i="106" s="1"/>
  <c r="L190" i="106"/>
  <c r="K190" i="106"/>
  <c r="J190" i="106"/>
  <c r="G190" i="106"/>
  <c r="G189" i="106" s="1"/>
  <c r="F190" i="106"/>
  <c r="E190" i="106"/>
  <c r="Q189" i="106"/>
  <c r="P189" i="106"/>
  <c r="P182" i="106" s="1"/>
  <c r="P178" i="106" s="1"/>
  <c r="L189" i="106"/>
  <c r="K189" i="106"/>
  <c r="J189" i="106"/>
  <c r="F189" i="106"/>
  <c r="E189" i="106"/>
  <c r="R188" i="106"/>
  <c r="M188" i="106"/>
  <c r="H188" i="106"/>
  <c r="R187" i="106"/>
  <c r="M187" i="106"/>
  <c r="H187" i="106"/>
  <c r="R186" i="106"/>
  <c r="M186" i="106"/>
  <c r="H186" i="106"/>
  <c r="Q185" i="106"/>
  <c r="Q184" i="106" s="1"/>
  <c r="Q183" i="106" s="1"/>
  <c r="P185" i="106"/>
  <c r="O185" i="106"/>
  <c r="R185" i="106" s="1"/>
  <c r="L185" i="106"/>
  <c r="L184" i="106" s="1"/>
  <c r="L183" i="106" s="1"/>
  <c r="L182" i="106" s="1"/>
  <c r="L178" i="106" s="1"/>
  <c r="K185" i="106"/>
  <c r="J185" i="106"/>
  <c r="G185" i="106"/>
  <c r="G184" i="106" s="1"/>
  <c r="G183" i="106" s="1"/>
  <c r="F185" i="106"/>
  <c r="F184" i="106" s="1"/>
  <c r="F183" i="106" s="1"/>
  <c r="E185" i="106"/>
  <c r="P184" i="106"/>
  <c r="K184" i="106"/>
  <c r="J184" i="106"/>
  <c r="P183" i="106"/>
  <c r="K183" i="106"/>
  <c r="R181" i="106"/>
  <c r="M181" i="106"/>
  <c r="H181" i="106"/>
  <c r="R180" i="106"/>
  <c r="M180" i="106"/>
  <c r="H180" i="106"/>
  <c r="R179" i="106"/>
  <c r="M179" i="106"/>
  <c r="H179" i="106"/>
  <c r="R177" i="106"/>
  <c r="M177" i="106"/>
  <c r="H177" i="106"/>
  <c r="R176" i="106"/>
  <c r="M176" i="106"/>
  <c r="H176" i="106"/>
  <c r="R175" i="106"/>
  <c r="M175" i="106"/>
  <c r="H175" i="106"/>
  <c r="R174" i="106"/>
  <c r="M174" i="106"/>
  <c r="H174" i="106"/>
  <c r="Q173" i="106"/>
  <c r="P173" i="106"/>
  <c r="O173" i="106"/>
  <c r="L173" i="106"/>
  <c r="K173" i="106"/>
  <c r="J173" i="106"/>
  <c r="G173" i="106"/>
  <c r="F173" i="106"/>
  <c r="E173" i="106"/>
  <c r="R172" i="106"/>
  <c r="M172" i="106"/>
  <c r="H172" i="106"/>
  <c r="R171" i="106"/>
  <c r="M171" i="106"/>
  <c r="H171" i="106"/>
  <c r="R170" i="106"/>
  <c r="M170" i="106"/>
  <c r="H170" i="106"/>
  <c r="Q169" i="106"/>
  <c r="P169" i="106"/>
  <c r="O169" i="106"/>
  <c r="L169" i="106"/>
  <c r="L165" i="106" s="1"/>
  <c r="K169" i="106"/>
  <c r="J169" i="106"/>
  <c r="G169" i="106"/>
  <c r="F169" i="106"/>
  <c r="E169" i="106"/>
  <c r="H169" i="106" s="1"/>
  <c r="R168" i="106"/>
  <c r="M168" i="106"/>
  <c r="H168" i="106"/>
  <c r="R167" i="106"/>
  <c r="M167" i="106"/>
  <c r="H167" i="106"/>
  <c r="Q166" i="106"/>
  <c r="P166" i="106"/>
  <c r="O166" i="106"/>
  <c r="L166" i="106"/>
  <c r="K166" i="106"/>
  <c r="J166" i="106"/>
  <c r="M166" i="106" s="1"/>
  <c r="G166" i="106"/>
  <c r="F166" i="106"/>
  <c r="E166" i="106"/>
  <c r="H166" i="106" s="1"/>
  <c r="O165" i="106"/>
  <c r="R163" i="106"/>
  <c r="M163" i="106"/>
  <c r="H163" i="106"/>
  <c r="R162" i="106"/>
  <c r="M162" i="106"/>
  <c r="H162" i="106"/>
  <c r="R161" i="106"/>
  <c r="M161" i="106"/>
  <c r="H161" i="106"/>
  <c r="Q160" i="106"/>
  <c r="P160" i="106"/>
  <c r="O160" i="106"/>
  <c r="L160" i="106"/>
  <c r="K160" i="106"/>
  <c r="M160" i="106" s="1"/>
  <c r="J160" i="106"/>
  <c r="G160" i="106"/>
  <c r="F160" i="106"/>
  <c r="E160" i="106"/>
  <c r="R159" i="106"/>
  <c r="M159" i="106"/>
  <c r="H159" i="106"/>
  <c r="R158" i="106"/>
  <c r="M158" i="106"/>
  <c r="H158" i="106"/>
  <c r="R157" i="106"/>
  <c r="M157" i="106"/>
  <c r="H157" i="106"/>
  <c r="Q156" i="106"/>
  <c r="P156" i="106"/>
  <c r="O156" i="106"/>
  <c r="R156" i="106" s="1"/>
  <c r="L156" i="106"/>
  <c r="K156" i="106"/>
  <c r="J156" i="106"/>
  <c r="M156" i="106" s="1"/>
  <c r="G156" i="106"/>
  <c r="F156" i="106"/>
  <c r="E156" i="106"/>
  <c r="R155" i="106"/>
  <c r="M155" i="106"/>
  <c r="H155" i="106"/>
  <c r="R154" i="106"/>
  <c r="M154" i="106"/>
  <c r="H154" i="106"/>
  <c r="R153" i="106"/>
  <c r="M153" i="106"/>
  <c r="H153" i="106"/>
  <c r="Q152" i="106"/>
  <c r="P152" i="106"/>
  <c r="P150" i="106" s="1"/>
  <c r="O152" i="106"/>
  <c r="L152" i="106"/>
  <c r="L150" i="106" s="1"/>
  <c r="L149" i="106" s="1"/>
  <c r="L147" i="106" s="1"/>
  <c r="K152" i="106"/>
  <c r="K150" i="106" s="1"/>
  <c r="J152" i="106"/>
  <c r="G152" i="106"/>
  <c r="F152" i="106"/>
  <c r="F150" i="106" s="1"/>
  <c r="E152" i="106"/>
  <c r="E150" i="106" s="1"/>
  <c r="E149" i="106" s="1"/>
  <c r="R151" i="106"/>
  <c r="M151" i="106"/>
  <c r="H151" i="106"/>
  <c r="Q150" i="106"/>
  <c r="Q149" i="106" s="1"/>
  <c r="O150" i="106"/>
  <c r="J150" i="106"/>
  <c r="G150" i="106"/>
  <c r="G149" i="106" s="1"/>
  <c r="Q148" i="106"/>
  <c r="P148" i="106"/>
  <c r="L148" i="106"/>
  <c r="K148" i="106"/>
  <c r="G148" i="106"/>
  <c r="F148" i="106"/>
  <c r="H148" i="106" s="1"/>
  <c r="R146" i="106"/>
  <c r="M146" i="106"/>
  <c r="H146" i="106"/>
  <c r="R145" i="106"/>
  <c r="M145" i="106"/>
  <c r="H145" i="106"/>
  <c r="R144" i="106"/>
  <c r="M144" i="106"/>
  <c r="H144" i="106"/>
  <c r="Q143" i="106"/>
  <c r="P143" i="106"/>
  <c r="O143" i="106"/>
  <c r="R143" i="106" s="1"/>
  <c r="L143" i="106"/>
  <c r="K143" i="106"/>
  <c r="J143" i="106"/>
  <c r="M143" i="106" s="1"/>
  <c r="G143" i="106"/>
  <c r="F143" i="106"/>
  <c r="E143" i="106"/>
  <c r="R142" i="106"/>
  <c r="M142" i="106"/>
  <c r="H142" i="106"/>
  <c r="R141" i="106"/>
  <c r="M141" i="106"/>
  <c r="H141" i="106"/>
  <c r="R140" i="106"/>
  <c r="M140" i="106"/>
  <c r="H140" i="106"/>
  <c r="Q139" i="106"/>
  <c r="P139" i="106"/>
  <c r="O139" i="106"/>
  <c r="L139" i="106"/>
  <c r="K139" i="106"/>
  <c r="M139" i="106" s="1"/>
  <c r="J139" i="106"/>
  <c r="G139" i="106"/>
  <c r="F139" i="106"/>
  <c r="E139" i="106"/>
  <c r="R138" i="106"/>
  <c r="M138" i="106"/>
  <c r="H138" i="106"/>
  <c r="R137" i="106"/>
  <c r="M137" i="106"/>
  <c r="H137" i="106"/>
  <c r="R136" i="106"/>
  <c r="M136" i="106"/>
  <c r="H136" i="106"/>
  <c r="Q135" i="106"/>
  <c r="Q133" i="106" s="1"/>
  <c r="P135" i="106"/>
  <c r="P133" i="106" s="1"/>
  <c r="P132" i="106" s="1"/>
  <c r="O135" i="106"/>
  <c r="L135" i="106"/>
  <c r="L133" i="106" s="1"/>
  <c r="K135" i="106"/>
  <c r="J135" i="106"/>
  <c r="G135" i="106"/>
  <c r="G133" i="106" s="1"/>
  <c r="F135" i="106"/>
  <c r="E135" i="106"/>
  <c r="R134" i="106"/>
  <c r="M134" i="106"/>
  <c r="H134" i="106"/>
  <c r="K133" i="106"/>
  <c r="K132" i="106" s="1"/>
  <c r="F133" i="106"/>
  <c r="F132" i="106" s="1"/>
  <c r="R131" i="106"/>
  <c r="M131" i="106"/>
  <c r="H131" i="106"/>
  <c r="R130" i="106"/>
  <c r="M130" i="106"/>
  <c r="H130" i="106"/>
  <c r="Q129" i="106"/>
  <c r="P129" i="106"/>
  <c r="O129" i="106"/>
  <c r="L129" i="106"/>
  <c r="K129" i="106"/>
  <c r="J129" i="106"/>
  <c r="G129" i="106"/>
  <c r="F129" i="106"/>
  <c r="E129" i="106"/>
  <c r="R128" i="106"/>
  <c r="M128" i="106"/>
  <c r="H128" i="106"/>
  <c r="Q127" i="106"/>
  <c r="R127" i="106" s="1"/>
  <c r="L127" i="106"/>
  <c r="M127" i="106" s="1"/>
  <c r="G127" i="106"/>
  <c r="H127" i="106" s="1"/>
  <c r="P126" i="106"/>
  <c r="O126" i="106"/>
  <c r="K126" i="106"/>
  <c r="J126" i="106"/>
  <c r="F126" i="106"/>
  <c r="E126" i="106"/>
  <c r="R125" i="106"/>
  <c r="M125" i="106"/>
  <c r="H125" i="106"/>
  <c r="Q124" i="106"/>
  <c r="P124" i="106"/>
  <c r="R124" i="106" s="1"/>
  <c r="L124" i="106"/>
  <c r="L40" i="106" s="1"/>
  <c r="G124" i="106"/>
  <c r="F124" i="106"/>
  <c r="H124" i="106" s="1"/>
  <c r="Q123" i="106"/>
  <c r="Q39" i="106" s="1"/>
  <c r="L123" i="106"/>
  <c r="G123" i="106"/>
  <c r="G39" i="106" s="1"/>
  <c r="Q122" i="106"/>
  <c r="Q121" i="106" s="1"/>
  <c r="P122" i="106"/>
  <c r="L122" i="106"/>
  <c r="L38" i="106" s="1"/>
  <c r="G122" i="106"/>
  <c r="G121" i="106" s="1"/>
  <c r="F122" i="106"/>
  <c r="F121" i="106" s="1"/>
  <c r="O121" i="106"/>
  <c r="L121" i="106"/>
  <c r="J121" i="106"/>
  <c r="E121" i="106"/>
  <c r="R118" i="106"/>
  <c r="M118" i="106"/>
  <c r="H118" i="106"/>
  <c r="P117" i="106"/>
  <c r="P116" i="106" s="1"/>
  <c r="K117" i="106"/>
  <c r="F117" i="106"/>
  <c r="F116" i="106" s="1"/>
  <c r="O116" i="106"/>
  <c r="K116" i="106"/>
  <c r="J116" i="106"/>
  <c r="E116" i="106"/>
  <c r="R115" i="106"/>
  <c r="M115" i="106"/>
  <c r="H115" i="106"/>
  <c r="R114" i="106"/>
  <c r="M114" i="106"/>
  <c r="H114" i="106"/>
  <c r="R113" i="106"/>
  <c r="M113" i="106"/>
  <c r="H113" i="106"/>
  <c r="R112" i="106"/>
  <c r="M112" i="106"/>
  <c r="H112" i="106"/>
  <c r="Q111" i="106"/>
  <c r="Q110" i="106" s="1"/>
  <c r="P111" i="106"/>
  <c r="O111" i="106"/>
  <c r="L111" i="106"/>
  <c r="K111" i="106"/>
  <c r="K110" i="106" s="1"/>
  <c r="J111" i="106"/>
  <c r="M111" i="106" s="1"/>
  <c r="G111" i="106"/>
  <c r="G110" i="106" s="1"/>
  <c r="F111" i="106"/>
  <c r="E111" i="106"/>
  <c r="H111" i="106" s="1"/>
  <c r="P110" i="106"/>
  <c r="L110" i="106"/>
  <c r="F110" i="106"/>
  <c r="R109" i="106"/>
  <c r="M109" i="106"/>
  <c r="H109" i="106"/>
  <c r="R108" i="106"/>
  <c r="M108" i="106"/>
  <c r="H108" i="106"/>
  <c r="R107" i="106"/>
  <c r="M107" i="106"/>
  <c r="H107" i="106"/>
  <c r="Q106" i="106"/>
  <c r="P106" i="106"/>
  <c r="O106" i="106"/>
  <c r="O105" i="106" s="1"/>
  <c r="L106" i="106"/>
  <c r="K106" i="106"/>
  <c r="J106" i="106"/>
  <c r="G106" i="106"/>
  <c r="G105" i="106" s="1"/>
  <c r="F106" i="106"/>
  <c r="E106" i="106"/>
  <c r="Q105" i="106"/>
  <c r="P105" i="106"/>
  <c r="L105" i="106"/>
  <c r="K105" i="106"/>
  <c r="J105" i="106"/>
  <c r="F105" i="106"/>
  <c r="E105" i="106"/>
  <c r="R104" i="106"/>
  <c r="M104" i="106"/>
  <c r="H104" i="106"/>
  <c r="R103" i="106"/>
  <c r="M103" i="106"/>
  <c r="H103" i="106"/>
  <c r="R102" i="106"/>
  <c r="M102" i="106"/>
  <c r="H102" i="106"/>
  <c r="Q101" i="106"/>
  <c r="Q100" i="106" s="1"/>
  <c r="Q99" i="106" s="1"/>
  <c r="P101" i="106"/>
  <c r="O101" i="106"/>
  <c r="R101" i="106" s="1"/>
  <c r="L101" i="106"/>
  <c r="L100" i="106" s="1"/>
  <c r="L99" i="106" s="1"/>
  <c r="L98" i="106" s="1"/>
  <c r="K101" i="106"/>
  <c r="J101" i="106"/>
  <c r="G101" i="106"/>
  <c r="G100" i="106" s="1"/>
  <c r="G99" i="106" s="1"/>
  <c r="F101" i="106"/>
  <c r="F100" i="106" s="1"/>
  <c r="F99" i="106" s="1"/>
  <c r="F98" i="106" s="1"/>
  <c r="F94" i="106" s="1"/>
  <c r="E101" i="106"/>
  <c r="P100" i="106"/>
  <c r="K100" i="106"/>
  <c r="K99" i="106" s="1"/>
  <c r="K98" i="106" s="1"/>
  <c r="K94" i="106" s="1"/>
  <c r="J100" i="106"/>
  <c r="J99" i="106" s="1"/>
  <c r="P99" i="106"/>
  <c r="P98" i="106"/>
  <c r="P94" i="106" s="1"/>
  <c r="R97" i="106"/>
  <c r="M97" i="106"/>
  <c r="H97" i="106"/>
  <c r="R96" i="106"/>
  <c r="M96" i="106"/>
  <c r="H96" i="106"/>
  <c r="R95" i="106"/>
  <c r="M95" i="106"/>
  <c r="H95" i="106"/>
  <c r="R93" i="106"/>
  <c r="M93" i="106"/>
  <c r="H93" i="106"/>
  <c r="R92" i="106"/>
  <c r="M92" i="106"/>
  <c r="H92" i="106"/>
  <c r="R91" i="106"/>
  <c r="M91" i="106"/>
  <c r="H91" i="106"/>
  <c r="R90" i="106"/>
  <c r="M90" i="106"/>
  <c r="H90" i="106"/>
  <c r="Q89" i="106"/>
  <c r="P89" i="106"/>
  <c r="O89" i="106"/>
  <c r="L89" i="106"/>
  <c r="L81" i="106" s="1"/>
  <c r="K89" i="106"/>
  <c r="J89" i="106"/>
  <c r="G89" i="106"/>
  <c r="F89" i="106"/>
  <c r="F81" i="106" s="1"/>
  <c r="E89" i="106"/>
  <c r="R88" i="106"/>
  <c r="M88" i="106"/>
  <c r="H88" i="106"/>
  <c r="R87" i="106"/>
  <c r="M87" i="106"/>
  <c r="H87" i="106"/>
  <c r="R86" i="106"/>
  <c r="M86" i="106"/>
  <c r="H86" i="106"/>
  <c r="Q85" i="106"/>
  <c r="P85" i="106"/>
  <c r="O85" i="106"/>
  <c r="L85" i="106"/>
  <c r="K85" i="106"/>
  <c r="J85" i="106"/>
  <c r="M85" i="106" s="1"/>
  <c r="G85" i="106"/>
  <c r="F85" i="106"/>
  <c r="E85" i="106"/>
  <c r="H85" i="106" s="1"/>
  <c r="R84" i="106"/>
  <c r="M84" i="106"/>
  <c r="H84" i="106"/>
  <c r="R83" i="106"/>
  <c r="M83" i="106"/>
  <c r="H83" i="106"/>
  <c r="Q82" i="106"/>
  <c r="P82" i="106"/>
  <c r="O82" i="106"/>
  <c r="R82" i="106" s="1"/>
  <c r="L82" i="106"/>
  <c r="K82" i="106"/>
  <c r="J82" i="106"/>
  <c r="M82" i="106" s="1"/>
  <c r="G82" i="106"/>
  <c r="G81" i="106" s="1"/>
  <c r="F82" i="106"/>
  <c r="E82" i="106"/>
  <c r="Q81" i="106"/>
  <c r="O81" i="106"/>
  <c r="E81" i="106"/>
  <c r="R79" i="106"/>
  <c r="M79" i="106"/>
  <c r="H79" i="106"/>
  <c r="R78" i="106"/>
  <c r="M78" i="106"/>
  <c r="H78" i="106"/>
  <c r="R77" i="106"/>
  <c r="M77" i="106"/>
  <c r="H77" i="106"/>
  <c r="Q76" i="106"/>
  <c r="P76" i="106"/>
  <c r="O76" i="106"/>
  <c r="L76" i="106"/>
  <c r="K76" i="106"/>
  <c r="J76" i="106"/>
  <c r="G76" i="106"/>
  <c r="F76" i="106"/>
  <c r="E76" i="106"/>
  <c r="R75" i="106"/>
  <c r="M75" i="106"/>
  <c r="H75" i="106"/>
  <c r="R74" i="106"/>
  <c r="M74" i="106"/>
  <c r="H74" i="106"/>
  <c r="R73" i="106"/>
  <c r="M73" i="106"/>
  <c r="H73" i="106"/>
  <c r="Q72" i="106"/>
  <c r="P72" i="106"/>
  <c r="O72" i="106"/>
  <c r="L72" i="106"/>
  <c r="K72" i="106"/>
  <c r="J72" i="106"/>
  <c r="G72" i="106"/>
  <c r="F72" i="106"/>
  <c r="E72" i="106"/>
  <c r="H72" i="106" s="1"/>
  <c r="R71" i="106"/>
  <c r="M71" i="106"/>
  <c r="H71" i="106"/>
  <c r="R70" i="106"/>
  <c r="M70" i="106"/>
  <c r="H70" i="106"/>
  <c r="R69" i="106"/>
  <c r="M69" i="106"/>
  <c r="H69" i="106"/>
  <c r="Q68" i="106"/>
  <c r="P68" i="106"/>
  <c r="P66" i="106" s="1"/>
  <c r="P65" i="106" s="1"/>
  <c r="P63" i="106" s="1"/>
  <c r="O68" i="106"/>
  <c r="O66" i="106" s="1"/>
  <c r="L68" i="106"/>
  <c r="K68" i="106"/>
  <c r="K66" i="106" s="1"/>
  <c r="J68" i="106"/>
  <c r="J66" i="106" s="1"/>
  <c r="G68" i="106"/>
  <c r="G66" i="106" s="1"/>
  <c r="G65" i="106" s="1"/>
  <c r="F68" i="106"/>
  <c r="F66" i="106" s="1"/>
  <c r="E68" i="106"/>
  <c r="R67" i="106"/>
  <c r="M67" i="106"/>
  <c r="H67" i="106"/>
  <c r="Q66" i="106"/>
  <c r="L66" i="106"/>
  <c r="L65" i="106" s="1"/>
  <c r="L63" i="106" s="1"/>
  <c r="E66" i="106"/>
  <c r="Q65" i="106"/>
  <c r="Q63" i="106" s="1"/>
  <c r="R64" i="106"/>
  <c r="M64" i="106"/>
  <c r="G64" i="106"/>
  <c r="R62" i="106"/>
  <c r="M62" i="106"/>
  <c r="H62" i="106"/>
  <c r="R61" i="106"/>
  <c r="M61" i="106"/>
  <c r="H61" i="106"/>
  <c r="R60" i="106"/>
  <c r="M60" i="106"/>
  <c r="H60" i="106"/>
  <c r="Q59" i="106"/>
  <c r="P59" i="106"/>
  <c r="O59" i="106"/>
  <c r="L59" i="106"/>
  <c r="K59" i="106"/>
  <c r="J59" i="106"/>
  <c r="M59" i="106" s="1"/>
  <c r="G59" i="106"/>
  <c r="F59" i="106"/>
  <c r="E59" i="106"/>
  <c r="H59" i="106" s="1"/>
  <c r="R58" i="106"/>
  <c r="M58" i="106"/>
  <c r="H58" i="106"/>
  <c r="R57" i="106"/>
  <c r="M57" i="106"/>
  <c r="H57" i="106"/>
  <c r="R56" i="106"/>
  <c r="M56" i="106"/>
  <c r="H56" i="106"/>
  <c r="Q55" i="106"/>
  <c r="P55" i="106"/>
  <c r="O55" i="106"/>
  <c r="L55" i="106"/>
  <c r="K55" i="106"/>
  <c r="J55" i="106"/>
  <c r="G55" i="106"/>
  <c r="F55" i="106"/>
  <c r="H55" i="106" s="1"/>
  <c r="E55" i="106"/>
  <c r="R54" i="106"/>
  <c r="M54" i="106"/>
  <c r="H54" i="106"/>
  <c r="R53" i="106"/>
  <c r="M53" i="106"/>
  <c r="H53" i="106"/>
  <c r="R52" i="106"/>
  <c r="M52" i="106"/>
  <c r="H52" i="106"/>
  <c r="Q51" i="106"/>
  <c r="Q49" i="106" s="1"/>
  <c r="Q48" i="106" s="1"/>
  <c r="P51" i="106"/>
  <c r="P49" i="106" s="1"/>
  <c r="P48" i="106" s="1"/>
  <c r="O51" i="106"/>
  <c r="L51" i="106"/>
  <c r="L49" i="106" s="1"/>
  <c r="K51" i="106"/>
  <c r="J51" i="106"/>
  <c r="M51" i="106" s="1"/>
  <c r="G51" i="106"/>
  <c r="G49" i="106" s="1"/>
  <c r="F51" i="106"/>
  <c r="E51" i="106"/>
  <c r="H51" i="106" s="1"/>
  <c r="R50" i="106"/>
  <c r="M50" i="106"/>
  <c r="H50" i="106"/>
  <c r="K49" i="106"/>
  <c r="K48" i="106" s="1"/>
  <c r="F49" i="106"/>
  <c r="F48" i="106"/>
  <c r="R47" i="106"/>
  <c r="M47" i="106"/>
  <c r="H47" i="106"/>
  <c r="R46" i="106"/>
  <c r="M46" i="106"/>
  <c r="H46" i="106"/>
  <c r="Q45" i="106"/>
  <c r="P45" i="106"/>
  <c r="R45" i="106" s="1"/>
  <c r="O45" i="106"/>
  <c r="L45" i="106"/>
  <c r="K45" i="106"/>
  <c r="J45" i="106"/>
  <c r="G45" i="106"/>
  <c r="F45" i="106"/>
  <c r="E45" i="106"/>
  <c r="R44" i="106"/>
  <c r="M44" i="106"/>
  <c r="H44" i="106"/>
  <c r="Q43" i="106"/>
  <c r="Q42" i="106" s="1"/>
  <c r="P43" i="106"/>
  <c r="R43" i="106" s="1"/>
  <c r="K43" i="106"/>
  <c r="F43" i="106"/>
  <c r="F42" i="106" s="1"/>
  <c r="O42" i="106"/>
  <c r="K42" i="106"/>
  <c r="J42" i="106"/>
  <c r="E42" i="106"/>
  <c r="R41" i="106"/>
  <c r="M41" i="106"/>
  <c r="H41" i="106"/>
  <c r="Q40" i="106"/>
  <c r="P40" i="106"/>
  <c r="R40" i="106" s="1"/>
  <c r="G40" i="106"/>
  <c r="F40" i="106"/>
  <c r="H40" i="106" s="1"/>
  <c r="P39" i="106"/>
  <c r="R39" i="106" s="1"/>
  <c r="L39" i="106"/>
  <c r="Q38" i="106"/>
  <c r="Q37" i="106" s="1"/>
  <c r="P38" i="106"/>
  <c r="P37" i="106"/>
  <c r="R37" i="106" s="1"/>
  <c r="O37" i="106"/>
  <c r="J37" i="106"/>
  <c r="E37" i="106"/>
  <c r="R34" i="106"/>
  <c r="M34" i="106"/>
  <c r="H34" i="106"/>
  <c r="K33" i="106"/>
  <c r="O32" i="106"/>
  <c r="K32" i="106"/>
  <c r="J32" i="106"/>
  <c r="E32" i="106"/>
  <c r="R31" i="106"/>
  <c r="M31" i="106"/>
  <c r="H31" i="106"/>
  <c r="R30" i="106"/>
  <c r="M30" i="106"/>
  <c r="H30" i="106"/>
  <c r="R29" i="106"/>
  <c r="M29" i="106"/>
  <c r="H29" i="106"/>
  <c r="R28" i="106"/>
  <c r="M28" i="106"/>
  <c r="H28" i="106"/>
  <c r="Q27" i="106"/>
  <c r="P27" i="106"/>
  <c r="R27" i="106" s="1"/>
  <c r="O27" i="106"/>
  <c r="L27" i="106"/>
  <c r="K27" i="106"/>
  <c r="J27" i="106"/>
  <c r="J26" i="106" s="1"/>
  <c r="G27" i="106"/>
  <c r="F27" i="106"/>
  <c r="E27" i="106"/>
  <c r="Q26" i="106"/>
  <c r="O26" i="106"/>
  <c r="L26" i="106"/>
  <c r="K26" i="106"/>
  <c r="G26" i="106"/>
  <c r="F26" i="106"/>
  <c r="E26" i="106"/>
  <c r="R25" i="106"/>
  <c r="M25" i="106"/>
  <c r="H25" i="106"/>
  <c r="R24" i="106"/>
  <c r="M24" i="106"/>
  <c r="H24" i="106"/>
  <c r="R23" i="106"/>
  <c r="M23" i="106"/>
  <c r="H23" i="106"/>
  <c r="Q22" i="106"/>
  <c r="P22" i="106"/>
  <c r="O22" i="106"/>
  <c r="R22" i="106" s="1"/>
  <c r="L22" i="106"/>
  <c r="K22" i="106"/>
  <c r="J22" i="106"/>
  <c r="M22" i="106" s="1"/>
  <c r="G22" i="106"/>
  <c r="G21" i="106" s="1"/>
  <c r="G14" i="106" s="1"/>
  <c r="F22" i="106"/>
  <c r="E22" i="106"/>
  <c r="Q21" i="106"/>
  <c r="P21" i="106"/>
  <c r="L21" i="106"/>
  <c r="K21" i="106"/>
  <c r="J21" i="106"/>
  <c r="M21" i="106" s="1"/>
  <c r="F21" i="106"/>
  <c r="E21" i="106"/>
  <c r="R20" i="106"/>
  <c r="M20" i="106"/>
  <c r="H20" i="106"/>
  <c r="R19" i="106"/>
  <c r="M19" i="106"/>
  <c r="H19" i="106"/>
  <c r="R18" i="106"/>
  <c r="M18" i="106"/>
  <c r="H18" i="106"/>
  <c r="Q17" i="106"/>
  <c r="P17" i="106"/>
  <c r="O17" i="106"/>
  <c r="L17" i="106"/>
  <c r="L16" i="106" s="1"/>
  <c r="L15" i="106" s="1"/>
  <c r="K17" i="106"/>
  <c r="J17" i="106"/>
  <c r="G17" i="106"/>
  <c r="F17" i="106"/>
  <c r="H17" i="106" s="1"/>
  <c r="E17" i="106"/>
  <c r="Q16" i="106"/>
  <c r="P16" i="106"/>
  <c r="O16" i="106"/>
  <c r="O15" i="106" s="1"/>
  <c r="K16" i="106"/>
  <c r="J16" i="106"/>
  <c r="G16" i="106"/>
  <c r="G15" i="106" s="1"/>
  <c r="E16" i="106"/>
  <c r="Q15" i="106"/>
  <c r="P15" i="106"/>
  <c r="K15" i="106"/>
  <c r="J15" i="106"/>
  <c r="E15" i="106"/>
  <c r="P14" i="106"/>
  <c r="R13" i="106"/>
  <c r="M13" i="106"/>
  <c r="H13" i="106"/>
  <c r="R12" i="106"/>
  <c r="M12" i="106"/>
  <c r="H12" i="106"/>
  <c r="R11" i="106"/>
  <c r="M11" i="106"/>
  <c r="H11" i="106"/>
  <c r="R66" i="106" l="1"/>
  <c r="O65" i="106"/>
  <c r="R65" i="106" s="1"/>
  <c r="M99" i="106"/>
  <c r="J98" i="106"/>
  <c r="M98" i="106" s="1"/>
  <c r="M66" i="106"/>
  <c r="J65" i="106"/>
  <c r="L120" i="106"/>
  <c r="L119" i="106" s="1"/>
  <c r="M123" i="106"/>
  <c r="K39" i="106"/>
  <c r="M39" i="106" s="1"/>
  <c r="R15" i="106"/>
  <c r="M26" i="106"/>
  <c r="M42" i="106"/>
  <c r="H81" i="106"/>
  <c r="Q14" i="106"/>
  <c r="F38" i="106"/>
  <c r="G43" i="106"/>
  <c r="G42" i="106" s="1"/>
  <c r="G36" i="106" s="1"/>
  <c r="G35" i="106" s="1"/>
  <c r="M45" i="106"/>
  <c r="H66" i="106"/>
  <c r="G98" i="106"/>
  <c r="J110" i="106"/>
  <c r="M110" i="106" s="1"/>
  <c r="R129" i="106"/>
  <c r="Q147" i="106"/>
  <c r="P165" i="106"/>
  <c r="G204" i="106"/>
  <c r="G203" i="106" s="1"/>
  <c r="L204" i="106"/>
  <c r="O216" i="106"/>
  <c r="H227" i="106"/>
  <c r="H240" i="106"/>
  <c r="F249" i="106"/>
  <c r="Q249" i="106"/>
  <c r="F296" i="106"/>
  <c r="G310" i="106"/>
  <c r="G309" i="106" s="1"/>
  <c r="L309" i="106"/>
  <c r="M94" i="114"/>
  <c r="P35" i="114"/>
  <c r="R36" i="114"/>
  <c r="R231" i="114"/>
  <c r="O203" i="114"/>
  <c r="E119" i="114"/>
  <c r="M16" i="106"/>
  <c r="R17" i="106"/>
  <c r="L14" i="106"/>
  <c r="H22" i="106"/>
  <c r="H27" i="106"/>
  <c r="G38" i="106"/>
  <c r="G37" i="106" s="1"/>
  <c r="M43" i="106"/>
  <c r="H45" i="106"/>
  <c r="L48" i="106"/>
  <c r="R55" i="106"/>
  <c r="K65" i="106"/>
  <c r="K63" i="106" s="1"/>
  <c r="R72" i="106"/>
  <c r="M76" i="106"/>
  <c r="J81" i="106"/>
  <c r="H82" i="106"/>
  <c r="P81" i="106"/>
  <c r="R81" i="106" s="1"/>
  <c r="M101" i="106"/>
  <c r="H105" i="106"/>
  <c r="M106" i="106"/>
  <c r="M129" i="106"/>
  <c r="H143" i="106"/>
  <c r="M148" i="106"/>
  <c r="H156" i="106"/>
  <c r="E165" i="106"/>
  <c r="H165" i="106" s="1"/>
  <c r="R169" i="106"/>
  <c r="K165" i="106"/>
  <c r="M185" i="106"/>
  <c r="F182" i="106"/>
  <c r="F178" i="106" s="1"/>
  <c r="M190" i="106"/>
  <c r="H200" i="106"/>
  <c r="O204" i="106"/>
  <c r="M205" i="106"/>
  <c r="R210" i="106"/>
  <c r="M213" i="106"/>
  <c r="H223" i="106"/>
  <c r="Q233" i="106"/>
  <c r="Q231" i="106" s="1"/>
  <c r="H244" i="106"/>
  <c r="R253" i="106"/>
  <c r="L249" i="106"/>
  <c r="L325" i="106"/>
  <c r="L324" i="106" s="1"/>
  <c r="G340" i="106"/>
  <c r="G339" i="106" s="1"/>
  <c r="L355" i="106"/>
  <c r="L354" i="106" s="1"/>
  <c r="Q370" i="106"/>
  <c r="Q369" i="106" s="1"/>
  <c r="R98" i="114"/>
  <c r="P94" i="114"/>
  <c r="M98" i="114"/>
  <c r="J119" i="114"/>
  <c r="M119" i="114" s="1"/>
  <c r="H43" i="106"/>
  <c r="G63" i="106"/>
  <c r="R105" i="106"/>
  <c r="K269" i="106"/>
  <c r="M15" i="106"/>
  <c r="R16" i="106"/>
  <c r="H21" i="106"/>
  <c r="H26" i="106"/>
  <c r="M27" i="106"/>
  <c r="R76" i="106"/>
  <c r="M105" i="106"/>
  <c r="R106" i="106"/>
  <c r="L126" i="106"/>
  <c r="H139" i="106"/>
  <c r="O149" i="106"/>
  <c r="O147" i="106" s="1"/>
  <c r="H160" i="106"/>
  <c r="Q165" i="106"/>
  <c r="G182" i="106"/>
  <c r="G178" i="106" s="1"/>
  <c r="K182" i="106"/>
  <c r="K178" i="106" s="1"/>
  <c r="R190" i="106"/>
  <c r="J194" i="106"/>
  <c r="M194" i="106" s="1"/>
  <c r="E204" i="106"/>
  <c r="L269" i="106"/>
  <c r="R119" i="114"/>
  <c r="O164" i="114"/>
  <c r="R14" i="114"/>
  <c r="O10" i="114"/>
  <c r="K14" i="106"/>
  <c r="K10" i="106" s="1"/>
  <c r="F16" i="106"/>
  <c r="M17" i="106"/>
  <c r="O21" i="106"/>
  <c r="R21" i="106" s="1"/>
  <c r="P26" i="106"/>
  <c r="R26" i="106" s="1"/>
  <c r="R38" i="106"/>
  <c r="P42" i="106"/>
  <c r="R42" i="106" s="1"/>
  <c r="L43" i="106"/>
  <c r="L42" i="106" s="1"/>
  <c r="G48" i="106"/>
  <c r="R51" i="106"/>
  <c r="M55" i="106"/>
  <c r="R59" i="106"/>
  <c r="F64" i="106"/>
  <c r="H64" i="106" s="1"/>
  <c r="E65" i="106"/>
  <c r="F65" i="106"/>
  <c r="F63" i="106" s="1"/>
  <c r="M72" i="106"/>
  <c r="H76" i="106"/>
  <c r="R85" i="106"/>
  <c r="K81" i="106"/>
  <c r="M100" i="106"/>
  <c r="H101" i="106"/>
  <c r="Q98" i="106"/>
  <c r="H106" i="106"/>
  <c r="R111" i="106"/>
  <c r="P121" i="106"/>
  <c r="M126" i="106"/>
  <c r="H129" i="106"/>
  <c r="L132" i="106"/>
  <c r="R139" i="106"/>
  <c r="R160" i="106"/>
  <c r="J165" i="106"/>
  <c r="M165" i="106" s="1"/>
  <c r="G165" i="106"/>
  <c r="R166" i="106"/>
  <c r="M169" i="106"/>
  <c r="F165" i="106"/>
  <c r="M184" i="106"/>
  <c r="H185" i="106"/>
  <c r="Q182" i="106"/>
  <c r="Q178" i="106" s="1"/>
  <c r="H190" i="106"/>
  <c r="R195" i="106"/>
  <c r="H205" i="106"/>
  <c r="Q204" i="106"/>
  <c r="M210" i="106"/>
  <c r="H213" i="106"/>
  <c r="R227" i="106"/>
  <c r="R240" i="106"/>
  <c r="P249" i="106"/>
  <c r="M253" i="106"/>
  <c r="G249" i="106"/>
  <c r="J80" i="114"/>
  <c r="M80" i="114" s="1"/>
  <c r="M10" i="114"/>
  <c r="H182" i="114"/>
  <c r="E178" i="114"/>
  <c r="M183" i="114"/>
  <c r="J182" i="114"/>
  <c r="Q36" i="106"/>
  <c r="Q35" i="106" s="1"/>
  <c r="M81" i="106"/>
  <c r="L37" i="106"/>
  <c r="L36" i="106" s="1"/>
  <c r="L35" i="106" s="1"/>
  <c r="M135" i="106"/>
  <c r="J133" i="106"/>
  <c r="H236" i="106"/>
  <c r="E234" i="106"/>
  <c r="R236" i="106"/>
  <c r="O234" i="106"/>
  <c r="H257" i="106"/>
  <c r="E249" i="106"/>
  <c r="H249" i="106" s="1"/>
  <c r="R257" i="106"/>
  <c r="O249" i="106"/>
  <c r="K285" i="106"/>
  <c r="K284" i="106" s="1"/>
  <c r="K283" i="106" s="1"/>
  <c r="K122" i="106"/>
  <c r="G321" i="106"/>
  <c r="G269" i="106" s="1"/>
  <c r="G117" i="106"/>
  <c r="Q321" i="106"/>
  <c r="Q269" i="106" s="1"/>
  <c r="Q117" i="106"/>
  <c r="H135" i="106"/>
  <c r="E133" i="106"/>
  <c r="R135" i="106"/>
  <c r="O133" i="106"/>
  <c r="E147" i="106"/>
  <c r="M236" i="106"/>
  <c r="J234" i="106"/>
  <c r="M257" i="106"/>
  <c r="J249" i="106"/>
  <c r="M249" i="106" s="1"/>
  <c r="H68" i="106"/>
  <c r="M68" i="106"/>
  <c r="R68" i="106"/>
  <c r="H89" i="106"/>
  <c r="M89" i="106"/>
  <c r="R89" i="106"/>
  <c r="R165" i="106"/>
  <c r="H173" i="106"/>
  <c r="M173" i="106"/>
  <c r="R173" i="106"/>
  <c r="H250" i="106"/>
  <c r="M250" i="106"/>
  <c r="R250" i="106"/>
  <c r="P269" i="106"/>
  <c r="H123" i="106"/>
  <c r="R123" i="106"/>
  <c r="M124" i="106"/>
  <c r="E14" i="106"/>
  <c r="J14" i="106"/>
  <c r="F33" i="106"/>
  <c r="P33" i="106"/>
  <c r="E49" i="106"/>
  <c r="J49" i="106"/>
  <c r="O49" i="106"/>
  <c r="E63" i="106"/>
  <c r="J63" i="106"/>
  <c r="M63" i="106" s="1"/>
  <c r="O63" i="106"/>
  <c r="R63" i="106" s="1"/>
  <c r="E100" i="106"/>
  <c r="O100" i="106"/>
  <c r="E110" i="106"/>
  <c r="H110" i="106" s="1"/>
  <c r="O110" i="106"/>
  <c r="R110" i="106" s="1"/>
  <c r="H117" i="106"/>
  <c r="L117" i="106"/>
  <c r="R117" i="106"/>
  <c r="H121" i="106"/>
  <c r="R121" i="106"/>
  <c r="F120" i="106"/>
  <c r="H122" i="106"/>
  <c r="P120" i="106"/>
  <c r="R122" i="106"/>
  <c r="H126" i="106"/>
  <c r="G126" i="106"/>
  <c r="Q126" i="106"/>
  <c r="R126" i="106" s="1"/>
  <c r="G132" i="106"/>
  <c r="Q132" i="106"/>
  <c r="G147" i="106"/>
  <c r="R148" i="106"/>
  <c r="J149" i="106"/>
  <c r="H150" i="106"/>
  <c r="M150" i="106"/>
  <c r="R150" i="106"/>
  <c r="F149" i="106"/>
  <c r="F147" i="106" s="1"/>
  <c r="H152" i="106"/>
  <c r="K149" i="106"/>
  <c r="K147" i="106" s="1"/>
  <c r="M152" i="106"/>
  <c r="P149" i="106"/>
  <c r="P147" i="106" s="1"/>
  <c r="R152" i="106"/>
  <c r="J183" i="106"/>
  <c r="E184" i="106"/>
  <c r="O184" i="106"/>
  <c r="H189" i="106"/>
  <c r="M189" i="106"/>
  <c r="R189" i="106"/>
  <c r="E194" i="106"/>
  <c r="H194" i="106" s="1"/>
  <c r="O194" i="106"/>
  <c r="R194" i="106" s="1"/>
  <c r="J216" i="106"/>
  <c r="H217" i="106"/>
  <c r="M217" i="106"/>
  <c r="R217" i="106"/>
  <c r="F216" i="106"/>
  <c r="F204" i="106" s="1"/>
  <c r="F203" i="106" s="1"/>
  <c r="H219" i="106"/>
  <c r="K216" i="106"/>
  <c r="K204" i="106" s="1"/>
  <c r="K203" i="106" s="1"/>
  <c r="K248" i="106" s="1"/>
  <c r="M219" i="106"/>
  <c r="P216" i="106"/>
  <c r="P204" i="106" s="1"/>
  <c r="P203" i="106" s="1"/>
  <c r="P248" i="106" s="1"/>
  <c r="R219" i="106"/>
  <c r="L233" i="106"/>
  <c r="L231" i="106" s="1"/>
  <c r="L203" i="106" s="1"/>
  <c r="L248" i="106" s="1"/>
  <c r="F269" i="106"/>
  <c r="K296" i="106"/>
  <c r="M182" i="114" l="1"/>
  <c r="J178" i="114"/>
  <c r="P80" i="114"/>
  <c r="R35" i="114"/>
  <c r="H65" i="106"/>
  <c r="G248" i="106"/>
  <c r="R203" i="114"/>
  <c r="O248" i="114"/>
  <c r="R248" i="114" s="1"/>
  <c r="J164" i="114"/>
  <c r="M164" i="114" s="1"/>
  <c r="H38" i="106"/>
  <c r="F37" i="106"/>
  <c r="F248" i="106"/>
  <c r="J94" i="106"/>
  <c r="E248" i="114"/>
  <c r="H248" i="114" s="1"/>
  <c r="H178" i="114"/>
  <c r="P36" i="106"/>
  <c r="P35" i="106" s="1"/>
  <c r="H16" i="106"/>
  <c r="F15" i="106"/>
  <c r="M65" i="106"/>
  <c r="O80" i="114"/>
  <c r="R10" i="114"/>
  <c r="H119" i="114"/>
  <c r="E164" i="114"/>
  <c r="H164" i="114" s="1"/>
  <c r="H63" i="106"/>
  <c r="R249" i="106"/>
  <c r="H42" i="106"/>
  <c r="Q203" i="106"/>
  <c r="Q248" i="106" s="1"/>
  <c r="O14" i="106"/>
  <c r="R14" i="106" s="1"/>
  <c r="P164" i="114"/>
  <c r="R164" i="114" s="1"/>
  <c r="R94" i="114"/>
  <c r="R184" i="106"/>
  <c r="O183" i="106"/>
  <c r="M183" i="106"/>
  <c r="J182" i="106"/>
  <c r="M149" i="106"/>
  <c r="J147" i="106"/>
  <c r="M147" i="106" s="1"/>
  <c r="L116" i="106"/>
  <c r="L33" i="106"/>
  <c r="R100" i="106"/>
  <c r="O99" i="106"/>
  <c r="O48" i="106"/>
  <c r="R49" i="106"/>
  <c r="E48" i="106"/>
  <c r="H49" i="106"/>
  <c r="F32" i="106"/>
  <c r="M14" i="106"/>
  <c r="J10" i="106"/>
  <c r="J233" i="106"/>
  <c r="M234" i="106"/>
  <c r="O132" i="106"/>
  <c r="R133" i="106"/>
  <c r="E132" i="106"/>
  <c r="H133" i="106"/>
  <c r="Q116" i="106"/>
  <c r="Q33" i="106"/>
  <c r="Q32" i="106" s="1"/>
  <c r="Q10" i="106" s="1"/>
  <c r="Q80" i="106" s="1"/>
  <c r="G116" i="106"/>
  <c r="G33" i="106"/>
  <c r="G32" i="106" s="1"/>
  <c r="G10" i="106" s="1"/>
  <c r="G80" i="106" s="1"/>
  <c r="M122" i="106"/>
  <c r="K121" i="106"/>
  <c r="K38" i="106"/>
  <c r="O233" i="106"/>
  <c r="R234" i="106"/>
  <c r="E233" i="106"/>
  <c r="H234" i="106"/>
  <c r="J132" i="106"/>
  <c r="M133" i="106"/>
  <c r="R216" i="106"/>
  <c r="H216" i="106"/>
  <c r="P119" i="106"/>
  <c r="P164" i="106" s="1"/>
  <c r="F119" i="106"/>
  <c r="F164" i="106" s="1"/>
  <c r="H204" i="106"/>
  <c r="R147" i="106"/>
  <c r="H147" i="106"/>
  <c r="M216" i="106"/>
  <c r="J204" i="106"/>
  <c r="H184" i="106"/>
  <c r="E183" i="106"/>
  <c r="H100" i="106"/>
  <c r="E99" i="106"/>
  <c r="J48" i="106"/>
  <c r="M49" i="106"/>
  <c r="P32" i="106"/>
  <c r="O10" i="106"/>
  <c r="E10" i="106"/>
  <c r="Q120" i="106"/>
  <c r="Q119" i="106" s="1"/>
  <c r="G120" i="106"/>
  <c r="G119" i="106" s="1"/>
  <c r="R204" i="106"/>
  <c r="M117" i="106"/>
  <c r="R149" i="106"/>
  <c r="H149" i="106"/>
  <c r="H15" i="106" l="1"/>
  <c r="F14" i="106"/>
  <c r="H14" i="106" s="1"/>
  <c r="J248" i="114"/>
  <c r="M248" i="114" s="1"/>
  <c r="M178" i="114"/>
  <c r="R80" i="114"/>
  <c r="H37" i="106"/>
  <c r="F36" i="106"/>
  <c r="F35" i="106" s="1"/>
  <c r="J36" i="106"/>
  <c r="M48" i="106"/>
  <c r="M38" i="106"/>
  <c r="K37" i="106"/>
  <c r="G94" i="106"/>
  <c r="G164" i="106" s="1"/>
  <c r="H116" i="106"/>
  <c r="Q94" i="106"/>
  <c r="Q164" i="106" s="1"/>
  <c r="R116" i="106"/>
  <c r="H132" i="106"/>
  <c r="E120" i="106"/>
  <c r="R132" i="106"/>
  <c r="O120" i="106"/>
  <c r="M233" i="106"/>
  <c r="J231" i="106"/>
  <c r="M231" i="106" s="1"/>
  <c r="E36" i="106"/>
  <c r="H48" i="106"/>
  <c r="O36" i="106"/>
  <c r="R48" i="106"/>
  <c r="L94" i="106"/>
  <c r="M116" i="106"/>
  <c r="R33" i="106"/>
  <c r="H33" i="106"/>
  <c r="R32" i="106"/>
  <c r="P10" i="106"/>
  <c r="P80" i="106" s="1"/>
  <c r="H99" i="106"/>
  <c r="E98" i="106"/>
  <c r="H183" i="106"/>
  <c r="E182" i="106"/>
  <c r="M204" i="106"/>
  <c r="M132" i="106"/>
  <c r="J120" i="106"/>
  <c r="H233" i="106"/>
  <c r="E231" i="106"/>
  <c r="R233" i="106"/>
  <c r="O231" i="106"/>
  <c r="K120" i="106"/>
  <c r="K119" i="106" s="1"/>
  <c r="K164" i="106" s="1"/>
  <c r="M121" i="106"/>
  <c r="H32" i="106"/>
  <c r="F10" i="106"/>
  <c r="F80" i="106" s="1"/>
  <c r="R99" i="106"/>
  <c r="O98" i="106"/>
  <c r="L32" i="106"/>
  <c r="M33" i="106"/>
  <c r="M182" i="106"/>
  <c r="J178" i="106"/>
  <c r="R183" i="106"/>
  <c r="O182" i="106"/>
  <c r="J203" i="106" l="1"/>
  <c r="M203" i="106" s="1"/>
  <c r="R10" i="106"/>
  <c r="M32" i="106"/>
  <c r="L10" i="106"/>
  <c r="L164" i="106"/>
  <c r="M94" i="106"/>
  <c r="O35" i="106"/>
  <c r="R36" i="106"/>
  <c r="E35" i="106"/>
  <c r="H36" i="106"/>
  <c r="J35" i="106"/>
  <c r="H10" i="106"/>
  <c r="R182" i="106"/>
  <c r="O178" i="106"/>
  <c r="J248" i="106"/>
  <c r="M248" i="106" s="1"/>
  <c r="M178" i="106"/>
  <c r="R98" i="106"/>
  <c r="O94" i="106"/>
  <c r="R231" i="106"/>
  <c r="O203" i="106"/>
  <c r="R203" i="106" s="1"/>
  <c r="H231" i="106"/>
  <c r="E203" i="106"/>
  <c r="H203" i="106" s="1"/>
  <c r="M120" i="106"/>
  <c r="J119" i="106"/>
  <c r="H182" i="106"/>
  <c r="E178" i="106"/>
  <c r="H98" i="106"/>
  <c r="E94" i="106"/>
  <c r="R120" i="106"/>
  <c r="O119" i="106"/>
  <c r="R119" i="106" s="1"/>
  <c r="H120" i="106"/>
  <c r="E119" i="106"/>
  <c r="H119" i="106" s="1"/>
  <c r="M37" i="106"/>
  <c r="K36" i="106"/>
  <c r="K35" i="106" s="1"/>
  <c r="K80" i="106" s="1"/>
  <c r="E164" i="106" l="1"/>
  <c r="H164" i="106" s="1"/>
  <c r="H94" i="106"/>
  <c r="E248" i="106"/>
  <c r="H248" i="106" s="1"/>
  <c r="H178" i="106"/>
  <c r="M119" i="106"/>
  <c r="J164" i="106"/>
  <c r="M164" i="106" s="1"/>
  <c r="O164" i="106"/>
  <c r="R164" i="106" s="1"/>
  <c r="R94" i="106"/>
  <c r="O248" i="106"/>
  <c r="R248" i="106" s="1"/>
  <c r="R178" i="106"/>
  <c r="M35" i="106"/>
  <c r="J80" i="106"/>
  <c r="H35" i="106"/>
  <c r="E80" i="106"/>
  <c r="H80" i="106" s="1"/>
  <c r="R35" i="106"/>
  <c r="O80" i="106"/>
  <c r="R80" i="106" s="1"/>
  <c r="L80" i="106"/>
  <c r="M10" i="106"/>
  <c r="M36" i="106"/>
  <c r="M80" i="106" l="1"/>
  <c r="G381" i="146" l="1"/>
  <c r="P245" i="170"/>
  <c r="P239" i="170"/>
  <c r="P238" i="170" s="1"/>
  <c r="P231" i="170"/>
  <c r="P228" i="170"/>
  <c r="P227" i="170" s="1"/>
  <c r="P215" i="170"/>
  <c r="P162" i="170" s="1"/>
  <c r="P209" i="170"/>
  <c r="P194" i="170"/>
  <c r="P161" i="170"/>
  <c r="P134" i="170"/>
  <c r="P133" i="170"/>
  <c r="P119" i="170"/>
  <c r="P118" i="170" s="1"/>
  <c r="P117" i="170"/>
  <c r="P116" i="170" s="1"/>
  <c r="P115" i="170"/>
  <c r="P114" i="170" s="1"/>
  <c r="P113" i="170"/>
  <c r="P112" i="170" s="1"/>
  <c r="P111" i="170"/>
  <c r="P110" i="170" s="1"/>
  <c r="P107" i="170"/>
  <c r="P106" i="170"/>
  <c r="P104" i="170"/>
  <c r="P103" i="170" s="1"/>
  <c r="P102" i="170"/>
  <c r="P101" i="170" s="1"/>
  <c r="P98" i="170"/>
  <c r="P94" i="170"/>
  <c r="P89" i="170"/>
  <c r="P88" i="170"/>
  <c r="P87" i="170"/>
  <c r="P85" i="170"/>
  <c r="P20" i="170" s="1"/>
  <c r="P84" i="170"/>
  <c r="P83" i="170"/>
  <c r="P82" i="170"/>
  <c r="P81" i="170"/>
  <c r="P79" i="170"/>
  <c r="P78" i="170"/>
  <c r="P77" i="170"/>
  <c r="P74" i="170"/>
  <c r="P73" i="170"/>
  <c r="P71" i="170"/>
  <c r="P68" i="170"/>
  <c r="P66" i="170"/>
  <c r="P63" i="170"/>
  <c r="P62" i="170"/>
  <c r="P61" i="170"/>
  <c r="P58" i="170"/>
  <c r="P57" i="170"/>
  <c r="P54" i="170"/>
  <c r="P51" i="170"/>
  <c r="P50" i="170"/>
  <c r="P49" i="170"/>
  <c r="P47" i="170"/>
  <c r="P45" i="170"/>
  <c r="P42" i="170"/>
  <c r="P41" i="170"/>
  <c r="P40" i="170"/>
  <c r="P38" i="170"/>
  <c r="P37" i="170" s="1"/>
  <c r="P36" i="170"/>
  <c r="P35" i="170"/>
  <c r="P34" i="170"/>
  <c r="P29" i="170"/>
  <c r="P28" i="170" s="1"/>
  <c r="P27" i="170"/>
  <c r="P26" i="170"/>
  <c r="K245" i="170"/>
  <c r="K239" i="170"/>
  <c r="K238" i="170" s="1"/>
  <c r="K231" i="170"/>
  <c r="K228" i="170"/>
  <c r="K227" i="170" s="1"/>
  <c r="K215" i="170"/>
  <c r="K209" i="170"/>
  <c r="K208" i="170"/>
  <c r="K194" i="170"/>
  <c r="K161" i="170"/>
  <c r="K134" i="170"/>
  <c r="K133" i="170"/>
  <c r="K119" i="170"/>
  <c r="K118" i="170" s="1"/>
  <c r="K117" i="170"/>
  <c r="K116" i="170" s="1"/>
  <c r="K115" i="170"/>
  <c r="K114" i="170" s="1"/>
  <c r="K113" i="170"/>
  <c r="K112" i="170" s="1"/>
  <c r="K111" i="170"/>
  <c r="K110" i="170" s="1"/>
  <c r="K107" i="170"/>
  <c r="K106" i="170"/>
  <c r="K104" i="170"/>
  <c r="K103" i="170" s="1"/>
  <c r="K102" i="170"/>
  <c r="K101" i="170" s="1"/>
  <c r="K98" i="170"/>
  <c r="K94" i="170"/>
  <c r="K89" i="170"/>
  <c r="K88" i="170"/>
  <c r="K87" i="170"/>
  <c r="K85" i="170"/>
  <c r="K20" i="170" s="1"/>
  <c r="K84" i="170"/>
  <c r="K83" i="170"/>
  <c r="K82" i="170"/>
  <c r="K81" i="170"/>
  <c r="K79" i="170"/>
  <c r="K78" i="170"/>
  <c r="K77" i="170"/>
  <c r="K74" i="170"/>
  <c r="K73" i="170"/>
  <c r="K71" i="170"/>
  <c r="K68" i="170"/>
  <c r="K66" i="170"/>
  <c r="K63" i="170"/>
  <c r="K62" i="170"/>
  <c r="K61" i="170"/>
  <c r="K58" i="170"/>
  <c r="K57" i="170"/>
  <c r="K54" i="170"/>
  <c r="K51" i="170"/>
  <c r="K50" i="170"/>
  <c r="K49" i="170"/>
  <c r="K47" i="170"/>
  <c r="K45" i="170"/>
  <c r="K42" i="170"/>
  <c r="K41" i="170"/>
  <c r="K40" i="170"/>
  <c r="K38" i="170"/>
  <c r="K37" i="170" s="1"/>
  <c r="K36" i="170"/>
  <c r="K35" i="170"/>
  <c r="K34" i="170"/>
  <c r="K29" i="170"/>
  <c r="K28" i="170" s="1"/>
  <c r="K27" i="170"/>
  <c r="K26" i="170"/>
  <c r="F245" i="170"/>
  <c r="F239" i="170"/>
  <c r="F238" i="170" s="1"/>
  <c r="F231" i="170"/>
  <c r="F228" i="170"/>
  <c r="F227" i="170" s="1"/>
  <c r="F215" i="170"/>
  <c r="F209" i="170"/>
  <c r="F208" i="170"/>
  <c r="F194" i="170"/>
  <c r="F193" i="170"/>
  <c r="F181" i="170"/>
  <c r="F161" i="170"/>
  <c r="F134" i="170"/>
  <c r="F133" i="170"/>
  <c r="F119" i="170"/>
  <c r="F118" i="170" s="1"/>
  <c r="F117" i="170"/>
  <c r="F116" i="170" s="1"/>
  <c r="F115" i="170"/>
  <c r="F114" i="170" s="1"/>
  <c r="F113" i="170"/>
  <c r="F112" i="170" s="1"/>
  <c r="F111" i="170"/>
  <c r="F110" i="170" s="1"/>
  <c r="F107" i="170"/>
  <c r="F106" i="170"/>
  <c r="F104" i="170"/>
  <c r="F103" i="170" s="1"/>
  <c r="F102" i="170"/>
  <c r="F101" i="170" s="1"/>
  <c r="F98" i="170"/>
  <c r="F94" i="170"/>
  <c r="F89" i="170"/>
  <c r="F88" i="170"/>
  <c r="F87" i="170"/>
  <c r="F85" i="170"/>
  <c r="F20" i="170" s="1"/>
  <c r="F84" i="170"/>
  <c r="F83" i="170"/>
  <c r="F82" i="170"/>
  <c r="F81" i="170"/>
  <c r="F79" i="170"/>
  <c r="F78" i="170"/>
  <c r="F77" i="170"/>
  <c r="F74" i="170"/>
  <c r="F73" i="170"/>
  <c r="F71" i="170"/>
  <c r="F68" i="170"/>
  <c r="F66" i="170"/>
  <c r="F63" i="170"/>
  <c r="F62" i="170"/>
  <c r="F61" i="170"/>
  <c r="F58" i="170"/>
  <c r="F57" i="170"/>
  <c r="F54" i="170"/>
  <c r="F51" i="170"/>
  <c r="F50" i="170"/>
  <c r="F49" i="170"/>
  <c r="F47" i="170"/>
  <c r="F45" i="170"/>
  <c r="F42" i="170"/>
  <c r="F41" i="170"/>
  <c r="F40" i="170"/>
  <c r="F38" i="170"/>
  <c r="F37" i="170" s="1"/>
  <c r="F36" i="170"/>
  <c r="F35" i="170"/>
  <c r="F34" i="170"/>
  <c r="F29" i="170"/>
  <c r="F28" i="170" s="1"/>
  <c r="F27" i="170"/>
  <c r="F26" i="170"/>
  <c r="F514" i="146"/>
  <c r="F260" i="146" s="1"/>
  <c r="F513" i="146"/>
  <c r="F259" i="146" s="1"/>
  <c r="F512" i="146"/>
  <c r="F258" i="146" s="1"/>
  <c r="F510" i="146"/>
  <c r="F256" i="146" s="1"/>
  <c r="F509" i="146"/>
  <c r="F255" i="146" s="1"/>
  <c r="F508" i="146"/>
  <c r="F254" i="146" s="1"/>
  <c r="F506" i="146"/>
  <c r="F252" i="146" s="1"/>
  <c r="F505" i="146"/>
  <c r="F251" i="146" s="1"/>
  <c r="F501" i="146"/>
  <c r="F500" i="146"/>
  <c r="F246" i="146" s="1"/>
  <c r="F499" i="146"/>
  <c r="F245" i="146" s="1"/>
  <c r="F497" i="146"/>
  <c r="F243" i="146" s="1"/>
  <c r="F496" i="146"/>
  <c r="F242" i="146" s="1"/>
  <c r="F495" i="146"/>
  <c r="F241" i="146" s="1"/>
  <c r="F493" i="146"/>
  <c r="F492" i="146"/>
  <c r="F491" i="146"/>
  <c r="F489" i="146"/>
  <c r="F235" i="146" s="1"/>
  <c r="F486" i="146"/>
  <c r="F232" i="146" s="1"/>
  <c r="F484" i="146"/>
  <c r="F483" i="146"/>
  <c r="F229" i="146" s="1"/>
  <c r="F482" i="146"/>
  <c r="F228" i="146" s="1"/>
  <c r="F480" i="146"/>
  <c r="F226" i="146" s="1"/>
  <c r="F479" i="146"/>
  <c r="F225" i="146" s="1"/>
  <c r="F478" i="146"/>
  <c r="F224" i="146" s="1"/>
  <c r="F476" i="146"/>
  <c r="F475" i="146"/>
  <c r="F474" i="146"/>
  <c r="F472" i="146"/>
  <c r="F218" i="146" s="1"/>
  <c r="F217" i="146" s="1"/>
  <c r="F469" i="146"/>
  <c r="F215" i="146" s="1"/>
  <c r="F468" i="146"/>
  <c r="F214" i="146" s="1"/>
  <c r="F466" i="146"/>
  <c r="F212" i="146" s="1"/>
  <c r="F465" i="146"/>
  <c r="F211" i="146" s="1"/>
  <c r="F463" i="146"/>
  <c r="F209" i="146" s="1"/>
  <c r="F462" i="146"/>
  <c r="F208" i="146" s="1"/>
  <c r="F461" i="146"/>
  <c r="F207" i="146" s="1"/>
  <c r="F460" i="146"/>
  <c r="F206" i="146" s="1"/>
  <c r="F456" i="146"/>
  <c r="F455" i="146"/>
  <c r="F201" i="146" s="1"/>
  <c r="F200" i="146" s="1"/>
  <c r="F453" i="146"/>
  <c r="F199" i="146" s="1"/>
  <c r="F452" i="146"/>
  <c r="F198" i="146" s="1"/>
  <c r="F451" i="146"/>
  <c r="F197" i="146" s="1"/>
  <c r="F450" i="146"/>
  <c r="F196" i="146" s="1"/>
  <c r="F447" i="146"/>
  <c r="F193" i="146" s="1"/>
  <c r="F446" i="146"/>
  <c r="F192" i="146" s="1"/>
  <c r="F445" i="146"/>
  <c r="F191" i="146" s="1"/>
  <c r="F442" i="146"/>
  <c r="F441" i="146"/>
  <c r="F440" i="146"/>
  <c r="F435" i="146"/>
  <c r="F434" i="146"/>
  <c r="F433" i="146"/>
  <c r="F179" i="146" s="1"/>
  <c r="F431" i="146"/>
  <c r="F430" i="146"/>
  <c r="F176" i="146" s="1"/>
  <c r="F429" i="146"/>
  <c r="F175" i="146" s="1"/>
  <c r="F428" i="146"/>
  <c r="F174" i="146" s="1"/>
  <c r="F426" i="146"/>
  <c r="F172" i="146" s="1"/>
  <c r="F425" i="146"/>
  <c r="F171" i="146" s="1"/>
  <c r="F424" i="146"/>
  <c r="F170" i="146" s="1"/>
  <c r="F422" i="146"/>
  <c r="F168" i="146" s="1"/>
  <c r="F421" i="146"/>
  <c r="F167" i="146" s="1"/>
  <c r="F417" i="146"/>
  <c r="F416" i="146"/>
  <c r="F162" i="146" s="1"/>
  <c r="F415" i="146"/>
  <c r="F161" i="146" s="1"/>
  <c r="F413" i="146"/>
  <c r="F159" i="146" s="1"/>
  <c r="F412" i="146"/>
  <c r="F158" i="146" s="1"/>
  <c r="F411" i="146"/>
  <c r="F157" i="146" s="1"/>
  <c r="F409" i="146"/>
  <c r="F408" i="146"/>
  <c r="F407" i="146"/>
  <c r="F405" i="146"/>
  <c r="F151" i="146" s="1"/>
  <c r="F400" i="146"/>
  <c r="F399" i="146"/>
  <c r="F145" i="146" s="1"/>
  <c r="F398" i="146"/>
  <c r="F144" i="146" s="1"/>
  <c r="F396" i="146"/>
  <c r="F142" i="146" s="1"/>
  <c r="F58" i="146" s="1"/>
  <c r="F395" i="146"/>
  <c r="F141" i="146" s="1"/>
  <c r="F392" i="146"/>
  <c r="F391" i="146"/>
  <c r="F390" i="146"/>
  <c r="F388" i="146"/>
  <c r="F134" i="146" s="1"/>
  <c r="F133" i="146" s="1"/>
  <c r="F385" i="146"/>
  <c r="F131" i="146" s="1"/>
  <c r="F384" i="146"/>
  <c r="F130" i="146" s="1"/>
  <c r="F382" i="146"/>
  <c r="F128" i="146" s="1"/>
  <c r="F379" i="146"/>
  <c r="F125" i="146" s="1"/>
  <c r="F378" i="146"/>
  <c r="F124" i="146" s="1"/>
  <c r="F372" i="146"/>
  <c r="F369" i="146"/>
  <c r="F115" i="146" s="1"/>
  <c r="F368" i="146"/>
  <c r="F114" i="146" s="1"/>
  <c r="F367" i="146"/>
  <c r="F113" i="146" s="1"/>
  <c r="F366" i="146"/>
  <c r="F112" i="146" s="1"/>
  <c r="F363" i="146"/>
  <c r="F109" i="146" s="1"/>
  <c r="F362" i="146"/>
  <c r="F108" i="146" s="1"/>
  <c r="F361" i="146"/>
  <c r="F107" i="146" s="1"/>
  <c r="F358" i="146"/>
  <c r="F357" i="146"/>
  <c r="F356" i="146"/>
  <c r="F351" i="146"/>
  <c r="F350" i="146"/>
  <c r="F96" i="146" s="1"/>
  <c r="F349" i="146"/>
  <c r="F95" i="146" s="1"/>
  <c r="F347" i="146"/>
  <c r="F346" i="146"/>
  <c r="F345" i="146"/>
  <c r="F344" i="146"/>
  <c r="F342" i="146"/>
  <c r="F341" i="146"/>
  <c r="F340" i="146"/>
  <c r="F338" i="146"/>
  <c r="F337" i="146"/>
  <c r="F333" i="146"/>
  <c r="F332" i="146"/>
  <c r="F331" i="146"/>
  <c r="F329" i="146"/>
  <c r="F328" i="146"/>
  <c r="F327" i="146"/>
  <c r="F325" i="146"/>
  <c r="F324" i="146"/>
  <c r="F323" i="146"/>
  <c r="F321" i="146"/>
  <c r="F316" i="146"/>
  <c r="F315" i="146"/>
  <c r="F314" i="146"/>
  <c r="F312" i="146"/>
  <c r="F311" i="146"/>
  <c r="F308" i="146"/>
  <c r="F307" i="146"/>
  <c r="F306" i="146"/>
  <c r="F304" i="146"/>
  <c r="F301" i="146"/>
  <c r="F300" i="146"/>
  <c r="F298" i="146"/>
  <c r="F295" i="146"/>
  <c r="F294" i="146"/>
  <c r="F288" i="146"/>
  <c r="F285" i="146"/>
  <c r="F284" i="146"/>
  <c r="F283" i="146"/>
  <c r="F282" i="146"/>
  <c r="F279" i="146"/>
  <c r="F278" i="146"/>
  <c r="F277" i="146"/>
  <c r="F274" i="146"/>
  <c r="F273" i="146"/>
  <c r="F272" i="146"/>
  <c r="F267" i="146"/>
  <c r="F266" i="146"/>
  <c r="F265" i="146"/>
  <c r="F236" i="146"/>
  <c r="F219" i="146"/>
  <c r="F185" i="146"/>
  <c r="F184" i="146"/>
  <c r="F183" i="146" s="1"/>
  <c r="F152" i="146"/>
  <c r="F135" i="146"/>
  <c r="F101" i="146"/>
  <c r="F100" i="146"/>
  <c r="F99" i="146"/>
  <c r="F79" i="146"/>
  <c r="F71" i="146"/>
  <c r="F70" i="146"/>
  <c r="F69" i="146"/>
  <c r="F68" i="146" s="1"/>
  <c r="F62" i="146"/>
  <c r="F54" i="146"/>
  <c r="F53" i="146"/>
  <c r="F52" i="146"/>
  <c r="F34" i="146"/>
  <c r="F20" i="146"/>
  <c r="F17" i="146" s="1"/>
  <c r="F16" i="146" s="1"/>
  <c r="F15" i="146" s="1"/>
  <c r="F19" i="146"/>
  <c r="F18" i="146"/>
  <c r="F13" i="146"/>
  <c r="K514" i="146"/>
  <c r="K260" i="146" s="1"/>
  <c r="K513" i="146"/>
  <c r="K259" i="146" s="1"/>
  <c r="K512" i="146"/>
  <c r="K258" i="146" s="1"/>
  <c r="K510" i="146"/>
  <c r="K256" i="146" s="1"/>
  <c r="K509" i="146"/>
  <c r="K255" i="146" s="1"/>
  <c r="K508" i="146"/>
  <c r="K254" i="146" s="1"/>
  <c r="K506" i="146"/>
  <c r="K252" i="146" s="1"/>
  <c r="K505" i="146"/>
  <c r="K251" i="146" s="1"/>
  <c r="K501" i="146"/>
  <c r="K500" i="146"/>
  <c r="K246" i="146" s="1"/>
  <c r="K499" i="146"/>
  <c r="K245" i="146" s="1"/>
  <c r="K497" i="146"/>
  <c r="K243" i="146" s="1"/>
  <c r="K496" i="146"/>
  <c r="K242" i="146" s="1"/>
  <c r="K495" i="146"/>
  <c r="K241" i="146" s="1"/>
  <c r="K493" i="146"/>
  <c r="K492" i="146"/>
  <c r="K491" i="146"/>
  <c r="K489" i="146"/>
  <c r="K235" i="146" s="1"/>
  <c r="K486" i="146"/>
  <c r="K232" i="146" s="1"/>
  <c r="K484" i="146"/>
  <c r="K483" i="146"/>
  <c r="K229" i="146" s="1"/>
  <c r="K482" i="146"/>
  <c r="K228" i="146" s="1"/>
  <c r="K480" i="146"/>
  <c r="K226" i="146" s="1"/>
  <c r="K479" i="146"/>
  <c r="K225" i="146" s="1"/>
  <c r="K478" i="146"/>
  <c r="K224" i="146" s="1"/>
  <c r="K476" i="146"/>
  <c r="K475" i="146"/>
  <c r="K474" i="146"/>
  <c r="K472" i="146"/>
  <c r="K218" i="146" s="1"/>
  <c r="K217" i="146" s="1"/>
  <c r="K469" i="146"/>
  <c r="K215" i="146" s="1"/>
  <c r="K468" i="146"/>
  <c r="K214" i="146" s="1"/>
  <c r="K466" i="146"/>
  <c r="K212" i="146" s="1"/>
  <c r="K465" i="146"/>
  <c r="K211" i="146" s="1"/>
  <c r="K463" i="146"/>
  <c r="K209" i="146" s="1"/>
  <c r="K462" i="146"/>
  <c r="K208" i="146" s="1"/>
  <c r="K461" i="146"/>
  <c r="K207" i="146" s="1"/>
  <c r="K460" i="146"/>
  <c r="K206" i="146" s="1"/>
  <c r="K456" i="146"/>
  <c r="K455" i="146"/>
  <c r="K201" i="146" s="1"/>
  <c r="K200" i="146" s="1"/>
  <c r="K453" i="146"/>
  <c r="K199" i="146" s="1"/>
  <c r="K452" i="146"/>
  <c r="K198" i="146" s="1"/>
  <c r="K451" i="146"/>
  <c r="K197" i="146" s="1"/>
  <c r="K450" i="146"/>
  <c r="K196" i="146" s="1"/>
  <c r="K447" i="146"/>
  <c r="K193" i="146" s="1"/>
  <c r="K446" i="146"/>
  <c r="K192" i="146" s="1"/>
  <c r="K445" i="146"/>
  <c r="K191" i="146" s="1"/>
  <c r="K442" i="146"/>
  <c r="K441" i="146"/>
  <c r="K440" i="146"/>
  <c r="K435" i="146"/>
  <c r="K434" i="146"/>
  <c r="K433" i="146"/>
  <c r="K179" i="146" s="1"/>
  <c r="K431" i="146"/>
  <c r="K430" i="146"/>
  <c r="K176" i="146" s="1"/>
  <c r="K429" i="146"/>
  <c r="K175" i="146" s="1"/>
  <c r="K428" i="146"/>
  <c r="K174" i="146" s="1"/>
  <c r="K426" i="146"/>
  <c r="K172" i="146" s="1"/>
  <c r="K425" i="146"/>
  <c r="K171" i="146" s="1"/>
  <c r="K424" i="146"/>
  <c r="K170" i="146" s="1"/>
  <c r="K422" i="146"/>
  <c r="K168" i="146" s="1"/>
  <c r="K421" i="146"/>
  <c r="K167" i="146" s="1"/>
  <c r="K417" i="146"/>
  <c r="K416" i="146"/>
  <c r="K162" i="146" s="1"/>
  <c r="K415" i="146"/>
  <c r="K161" i="146" s="1"/>
  <c r="K413" i="146"/>
  <c r="K159" i="146" s="1"/>
  <c r="K412" i="146"/>
  <c r="K158" i="146" s="1"/>
  <c r="K411" i="146"/>
  <c r="K157" i="146" s="1"/>
  <c r="K409" i="146"/>
  <c r="K408" i="146"/>
  <c r="K407" i="146"/>
  <c r="K405" i="146"/>
  <c r="K151" i="146" s="1"/>
  <c r="K402" i="146"/>
  <c r="K148" i="146" s="1"/>
  <c r="K400" i="146"/>
  <c r="K399" i="146"/>
  <c r="K145" i="146" s="1"/>
  <c r="K398" i="146"/>
  <c r="K144" i="146" s="1"/>
  <c r="K396" i="146"/>
  <c r="K142" i="146" s="1"/>
  <c r="K395" i="146"/>
  <c r="K141" i="146" s="1"/>
  <c r="K394" i="146"/>
  <c r="K140" i="146" s="1"/>
  <c r="K392" i="146"/>
  <c r="K391" i="146"/>
  <c r="K390" i="146"/>
  <c r="K388" i="146"/>
  <c r="K134" i="146" s="1"/>
  <c r="K385" i="146"/>
  <c r="K131" i="146" s="1"/>
  <c r="K384" i="146"/>
  <c r="K130" i="146" s="1"/>
  <c r="K382" i="146"/>
  <c r="K128" i="146" s="1"/>
  <c r="K381" i="146"/>
  <c r="K127" i="146" s="1"/>
  <c r="K379" i="146"/>
  <c r="K125" i="146" s="1"/>
  <c r="K376" i="146"/>
  <c r="K122" i="146" s="1"/>
  <c r="K372" i="146"/>
  <c r="K369" i="146"/>
  <c r="K115" i="146" s="1"/>
  <c r="K368" i="146"/>
  <c r="K114" i="146" s="1"/>
  <c r="K367" i="146"/>
  <c r="K113" i="146" s="1"/>
  <c r="K366" i="146"/>
  <c r="K112" i="146" s="1"/>
  <c r="K363" i="146"/>
  <c r="K109" i="146" s="1"/>
  <c r="K362" i="146"/>
  <c r="K108" i="146" s="1"/>
  <c r="K361" i="146"/>
  <c r="K107" i="146" s="1"/>
  <c r="K358" i="146"/>
  <c r="K357" i="146"/>
  <c r="K356" i="146"/>
  <c r="K351" i="146"/>
  <c r="K350" i="146"/>
  <c r="K96" i="146" s="1"/>
  <c r="K349" i="146"/>
  <c r="K95" i="146" s="1"/>
  <c r="K347" i="146"/>
  <c r="K346" i="146"/>
  <c r="K345" i="146"/>
  <c r="K344" i="146"/>
  <c r="K342" i="146"/>
  <c r="K341" i="146"/>
  <c r="K340" i="146"/>
  <c r="K338" i="146"/>
  <c r="K337" i="146"/>
  <c r="K333" i="146"/>
  <c r="K332" i="146"/>
  <c r="K331" i="146"/>
  <c r="K329" i="146"/>
  <c r="K328" i="146"/>
  <c r="K327" i="146"/>
  <c r="K325" i="146"/>
  <c r="K324" i="146"/>
  <c r="K323" i="146"/>
  <c r="K321" i="146"/>
  <c r="K318" i="146"/>
  <c r="K316" i="146"/>
  <c r="K315" i="146"/>
  <c r="K314" i="146"/>
  <c r="K312" i="146"/>
  <c r="K311" i="146"/>
  <c r="K310" i="146"/>
  <c r="K308" i="146"/>
  <c r="K307" i="146"/>
  <c r="K306" i="146"/>
  <c r="K304" i="146"/>
  <c r="K301" i="146"/>
  <c r="K300" i="146"/>
  <c r="K298" i="146"/>
  <c r="K295" i="146"/>
  <c r="K292" i="146"/>
  <c r="K285" i="146"/>
  <c r="K284" i="146"/>
  <c r="K283" i="146"/>
  <c r="K282" i="146"/>
  <c r="K279" i="146"/>
  <c r="K278" i="146"/>
  <c r="K277" i="146"/>
  <c r="K274" i="146"/>
  <c r="K273" i="146"/>
  <c r="K272" i="146"/>
  <c r="K267" i="146"/>
  <c r="K266" i="146"/>
  <c r="K265" i="146"/>
  <c r="K236" i="146"/>
  <c r="K219" i="146"/>
  <c r="K185" i="146"/>
  <c r="K184" i="146" s="1"/>
  <c r="K183" i="146" s="1"/>
  <c r="K152" i="146"/>
  <c r="K135" i="146"/>
  <c r="K101" i="146"/>
  <c r="K100" i="146" s="1"/>
  <c r="K99" i="146" s="1"/>
  <c r="K79" i="146"/>
  <c r="K71" i="146"/>
  <c r="K70" i="146"/>
  <c r="K68" i="146" s="1"/>
  <c r="K69" i="146"/>
  <c r="K62" i="146"/>
  <c r="K54" i="146"/>
  <c r="K53" i="146"/>
  <c r="K52" i="146"/>
  <c r="K34" i="146"/>
  <c r="K20" i="146"/>
  <c r="K19" i="146"/>
  <c r="K18" i="146"/>
  <c r="K13" i="146"/>
  <c r="P514" i="146"/>
  <c r="P260" i="146" s="1"/>
  <c r="P513" i="146"/>
  <c r="P259" i="146" s="1"/>
  <c r="P512" i="146"/>
  <c r="P258" i="146" s="1"/>
  <c r="P510" i="146"/>
  <c r="P256" i="146" s="1"/>
  <c r="P509" i="146"/>
  <c r="P255" i="146" s="1"/>
  <c r="P508" i="146"/>
  <c r="P254" i="146" s="1"/>
  <c r="P506" i="146"/>
  <c r="P252" i="146" s="1"/>
  <c r="P505" i="146"/>
  <c r="P251" i="146" s="1"/>
  <c r="P501" i="146"/>
  <c r="P500" i="146"/>
  <c r="P246" i="146" s="1"/>
  <c r="P499" i="146"/>
  <c r="P245" i="146" s="1"/>
  <c r="P497" i="146"/>
  <c r="P243" i="146" s="1"/>
  <c r="P496" i="146"/>
  <c r="P242" i="146" s="1"/>
  <c r="P495" i="146"/>
  <c r="P241" i="146" s="1"/>
  <c r="P493" i="146"/>
  <c r="P492" i="146"/>
  <c r="P491" i="146"/>
  <c r="P489" i="146"/>
  <c r="P235" i="146" s="1"/>
  <c r="P486" i="146"/>
  <c r="P232" i="146" s="1"/>
  <c r="P484" i="146"/>
  <c r="P483" i="146"/>
  <c r="P229" i="146" s="1"/>
  <c r="P482" i="146"/>
  <c r="P228" i="146" s="1"/>
  <c r="P480" i="146"/>
  <c r="P226" i="146" s="1"/>
  <c r="P479" i="146"/>
  <c r="P225" i="146" s="1"/>
  <c r="P478" i="146"/>
  <c r="P224" i="146" s="1"/>
  <c r="P476" i="146"/>
  <c r="P475" i="146"/>
  <c r="P474" i="146"/>
  <c r="P472" i="146"/>
  <c r="P218" i="146" s="1"/>
  <c r="P469" i="146"/>
  <c r="P215" i="146" s="1"/>
  <c r="P468" i="146"/>
  <c r="P214" i="146" s="1"/>
  <c r="P466" i="146"/>
  <c r="P212" i="146" s="1"/>
  <c r="P465" i="146"/>
  <c r="P211" i="146" s="1"/>
  <c r="P463" i="146"/>
  <c r="P209" i="146" s="1"/>
  <c r="P462" i="146"/>
  <c r="P208" i="146" s="1"/>
  <c r="P461" i="146"/>
  <c r="P207" i="146" s="1"/>
  <c r="P460" i="146"/>
  <c r="P206" i="146" s="1"/>
  <c r="P456" i="146"/>
  <c r="P455" i="146"/>
  <c r="P201" i="146" s="1"/>
  <c r="P200" i="146" s="1"/>
  <c r="P453" i="146"/>
  <c r="P199" i="146" s="1"/>
  <c r="P452" i="146"/>
  <c r="P198" i="146" s="1"/>
  <c r="P451" i="146"/>
  <c r="P197" i="146" s="1"/>
  <c r="P450" i="146"/>
  <c r="P196" i="146" s="1"/>
  <c r="P447" i="146"/>
  <c r="P193" i="146" s="1"/>
  <c r="P446" i="146"/>
  <c r="P192" i="146" s="1"/>
  <c r="P445" i="146"/>
  <c r="P191" i="146" s="1"/>
  <c r="P442" i="146"/>
  <c r="P441" i="146"/>
  <c r="P440" i="146"/>
  <c r="P435" i="146"/>
  <c r="P434" i="146"/>
  <c r="P433" i="146"/>
  <c r="P179" i="146" s="1"/>
  <c r="P431" i="146"/>
  <c r="P430" i="146"/>
  <c r="P176" i="146" s="1"/>
  <c r="P429" i="146"/>
  <c r="P175" i="146" s="1"/>
  <c r="P428" i="146"/>
  <c r="P174" i="146" s="1"/>
  <c r="P426" i="146"/>
  <c r="P172" i="146" s="1"/>
  <c r="P425" i="146"/>
  <c r="P171" i="146" s="1"/>
  <c r="P424" i="146"/>
  <c r="P170" i="146" s="1"/>
  <c r="P422" i="146"/>
  <c r="P168" i="146" s="1"/>
  <c r="P421" i="146"/>
  <c r="P167" i="146" s="1"/>
  <c r="P417" i="146"/>
  <c r="P416" i="146"/>
  <c r="P162" i="146" s="1"/>
  <c r="P415" i="146"/>
  <c r="P161" i="146" s="1"/>
  <c r="P413" i="146"/>
  <c r="P159" i="146" s="1"/>
  <c r="P412" i="146"/>
  <c r="P158" i="146" s="1"/>
  <c r="P411" i="146"/>
  <c r="P157" i="146" s="1"/>
  <c r="P409" i="146"/>
  <c r="P408" i="146"/>
  <c r="P407" i="146"/>
  <c r="P405" i="146"/>
  <c r="P151" i="146" s="1"/>
  <c r="P402" i="146"/>
  <c r="P148" i="146" s="1"/>
  <c r="P400" i="146"/>
  <c r="P399" i="146"/>
  <c r="P145" i="146" s="1"/>
  <c r="P398" i="146"/>
  <c r="P144" i="146" s="1"/>
  <c r="P396" i="146"/>
  <c r="P142" i="146" s="1"/>
  <c r="P395" i="146"/>
  <c r="P392" i="146"/>
  <c r="P391" i="146"/>
  <c r="P390" i="146"/>
  <c r="P388" i="146"/>
  <c r="P134" i="146" s="1"/>
  <c r="P385" i="146"/>
  <c r="P131" i="146" s="1"/>
  <c r="P384" i="146"/>
  <c r="P130" i="146" s="1"/>
  <c r="P382" i="146"/>
  <c r="P128" i="146" s="1"/>
  <c r="P379" i="146"/>
  <c r="P125" i="146" s="1"/>
  <c r="P378" i="146"/>
  <c r="P124" i="146" s="1"/>
  <c r="P372" i="146"/>
  <c r="P369" i="146"/>
  <c r="P115" i="146" s="1"/>
  <c r="P31" i="146" s="1"/>
  <c r="P368" i="146"/>
  <c r="P114" i="146" s="1"/>
  <c r="P30" i="146" s="1"/>
  <c r="P367" i="146"/>
  <c r="P113" i="146" s="1"/>
  <c r="P29" i="146" s="1"/>
  <c r="P366" i="146"/>
  <c r="P112" i="146" s="1"/>
  <c r="P363" i="146"/>
  <c r="P109" i="146" s="1"/>
  <c r="P25" i="146" s="1"/>
  <c r="P362" i="146"/>
  <c r="P108" i="146" s="1"/>
  <c r="P24" i="146" s="1"/>
  <c r="P361" i="146"/>
  <c r="P107" i="146" s="1"/>
  <c r="P23" i="146" s="1"/>
  <c r="P358" i="146"/>
  <c r="P357" i="146"/>
  <c r="P356" i="146"/>
  <c r="P351" i="146"/>
  <c r="P350" i="146"/>
  <c r="P96" i="146" s="1"/>
  <c r="P349" i="146"/>
  <c r="P95" i="146" s="1"/>
  <c r="P347" i="146"/>
  <c r="P346" i="146"/>
  <c r="P345" i="146"/>
  <c r="P344" i="146"/>
  <c r="P342" i="146"/>
  <c r="P341" i="146"/>
  <c r="P340" i="146"/>
  <c r="P338" i="146"/>
  <c r="P337" i="146"/>
  <c r="P333" i="146"/>
  <c r="P332" i="146"/>
  <c r="P331" i="146"/>
  <c r="P329" i="146"/>
  <c r="P328" i="146"/>
  <c r="P327" i="146"/>
  <c r="P325" i="146"/>
  <c r="P324" i="146"/>
  <c r="P323" i="146"/>
  <c r="P321" i="146"/>
  <c r="P318" i="146"/>
  <c r="P316" i="146"/>
  <c r="P315" i="146"/>
  <c r="P314" i="146"/>
  <c r="P312" i="146"/>
  <c r="P311" i="146"/>
  <c r="P308" i="146"/>
  <c r="P307" i="146"/>
  <c r="P306" i="146"/>
  <c r="P304" i="146"/>
  <c r="P301" i="146"/>
  <c r="P300" i="146"/>
  <c r="P298" i="146"/>
  <c r="P295" i="146"/>
  <c r="P288" i="146"/>
  <c r="P285" i="146"/>
  <c r="P284" i="146"/>
  <c r="P283" i="146"/>
  <c r="P282" i="146"/>
  <c r="P279" i="146"/>
  <c r="P278" i="146"/>
  <c r="P277" i="146"/>
  <c r="P274" i="146"/>
  <c r="P273" i="146"/>
  <c r="P272" i="146"/>
  <c r="P267" i="146"/>
  <c r="P266" i="146"/>
  <c r="P265" i="146"/>
  <c r="P236" i="146"/>
  <c r="P219" i="146"/>
  <c r="P185" i="146"/>
  <c r="P184" i="146"/>
  <c r="P183" i="146" s="1"/>
  <c r="P152" i="146"/>
  <c r="P141" i="146"/>
  <c r="P135" i="146"/>
  <c r="P101" i="146"/>
  <c r="P100" i="146"/>
  <c r="P99" i="146" s="1"/>
  <c r="P79" i="146"/>
  <c r="P71" i="146"/>
  <c r="P70" i="146"/>
  <c r="P69" i="146"/>
  <c r="P62" i="146"/>
  <c r="P54" i="146"/>
  <c r="P53" i="146"/>
  <c r="P52" i="146"/>
  <c r="P51" i="146" s="1"/>
  <c r="P34" i="146"/>
  <c r="P20" i="146"/>
  <c r="P19" i="146"/>
  <c r="P18" i="146"/>
  <c r="P17" i="146" s="1"/>
  <c r="P16" i="146" s="1"/>
  <c r="P15" i="146" s="1"/>
  <c r="P13" i="146"/>
  <c r="F257" i="150"/>
  <c r="F253" i="150"/>
  <c r="F250" i="150"/>
  <c r="F244" i="150"/>
  <c r="F240" i="150"/>
  <c r="F236" i="150"/>
  <c r="F234" i="150" s="1"/>
  <c r="F227" i="150"/>
  <c r="F223" i="150"/>
  <c r="F219" i="150"/>
  <c r="F217" i="150" s="1"/>
  <c r="F213" i="150"/>
  <c r="F210" i="150"/>
  <c r="F205" i="150"/>
  <c r="F200" i="150"/>
  <c r="F195" i="150"/>
  <c r="F194" i="150" s="1"/>
  <c r="F190" i="150"/>
  <c r="F189" i="150"/>
  <c r="F185" i="150"/>
  <c r="F184" i="150" s="1"/>
  <c r="F183" i="150" s="1"/>
  <c r="F182" i="150" s="1"/>
  <c r="F178" i="150" s="1"/>
  <c r="F173" i="150"/>
  <c r="F169" i="150"/>
  <c r="F166" i="150"/>
  <c r="F160" i="150"/>
  <c r="F156" i="150"/>
  <c r="F152" i="150"/>
  <c r="F150" i="150" s="1"/>
  <c r="F143" i="150"/>
  <c r="F139" i="150"/>
  <c r="F135" i="150"/>
  <c r="F133" i="150" s="1"/>
  <c r="F129" i="150"/>
  <c r="F126" i="150"/>
  <c r="F121" i="150"/>
  <c r="F116" i="150"/>
  <c r="F111" i="150"/>
  <c r="F110" i="150" s="1"/>
  <c r="F106" i="150"/>
  <c r="F105" i="150" s="1"/>
  <c r="F101" i="150"/>
  <c r="F100" i="150" s="1"/>
  <c r="F99" i="150" s="1"/>
  <c r="F89" i="150"/>
  <c r="F85" i="150"/>
  <c r="F82" i="150"/>
  <c r="F76" i="150"/>
  <c r="F72" i="150"/>
  <c r="F68" i="150"/>
  <c r="F66" i="150" s="1"/>
  <c r="F59" i="150"/>
  <c r="F55" i="150"/>
  <c r="F51" i="150"/>
  <c r="F49" i="150" s="1"/>
  <c r="F45" i="150"/>
  <c r="F42" i="150"/>
  <c r="F37" i="150"/>
  <c r="F27" i="150"/>
  <c r="F26" i="150" s="1"/>
  <c r="F22" i="150"/>
  <c r="F21" i="150" s="1"/>
  <c r="F17" i="150"/>
  <c r="F16" i="150" s="1"/>
  <c r="F15" i="150" s="1"/>
  <c r="K269" i="150"/>
  <c r="K257" i="150"/>
  <c r="K253" i="150"/>
  <c r="K250" i="150"/>
  <c r="K244" i="150"/>
  <c r="K240" i="150"/>
  <c r="K236" i="150"/>
  <c r="K234" i="150" s="1"/>
  <c r="K227" i="150"/>
  <c r="K223" i="150"/>
  <c r="K219" i="150"/>
  <c r="K217" i="150" s="1"/>
  <c r="K213" i="150"/>
  <c r="K210" i="150"/>
  <c r="K205" i="150"/>
  <c r="K200" i="150"/>
  <c r="K195" i="150"/>
  <c r="K194" i="150" s="1"/>
  <c r="K190" i="150"/>
  <c r="K189" i="150" s="1"/>
  <c r="K185" i="150"/>
  <c r="K184" i="150" s="1"/>
  <c r="K183" i="150" s="1"/>
  <c r="K182" i="150" s="1"/>
  <c r="K178" i="150" s="1"/>
  <c r="K173" i="150"/>
  <c r="K169" i="150"/>
  <c r="K166" i="150"/>
  <c r="K160" i="150"/>
  <c r="K156" i="150"/>
  <c r="K152" i="150"/>
  <c r="K150" i="150" s="1"/>
  <c r="K143" i="150"/>
  <c r="K139" i="150"/>
  <c r="K135" i="150"/>
  <c r="K133" i="150" s="1"/>
  <c r="K129" i="150"/>
  <c r="K127" i="150"/>
  <c r="K126" i="150" s="1"/>
  <c r="K121" i="150"/>
  <c r="K111" i="150"/>
  <c r="K110" i="150" s="1"/>
  <c r="K106" i="150"/>
  <c r="K105" i="150"/>
  <c r="K101" i="150"/>
  <c r="K100" i="150" s="1"/>
  <c r="K99" i="150" s="1"/>
  <c r="K89" i="150"/>
  <c r="K85" i="150"/>
  <c r="K82" i="150"/>
  <c r="K76" i="150"/>
  <c r="K72" i="150"/>
  <c r="K68" i="150"/>
  <c r="K66" i="150" s="1"/>
  <c r="K65" i="150" s="1"/>
  <c r="K63" i="150" s="1"/>
  <c r="K59" i="150"/>
  <c r="K55" i="150"/>
  <c r="K51" i="150"/>
  <c r="K49" i="150" s="1"/>
  <c r="K45" i="150"/>
  <c r="K37" i="150"/>
  <c r="K27" i="150"/>
  <c r="K26" i="150" s="1"/>
  <c r="K22" i="150"/>
  <c r="K21" i="150" s="1"/>
  <c r="K17" i="150"/>
  <c r="K16" i="150" s="1"/>
  <c r="K15" i="150" s="1"/>
  <c r="P269" i="150"/>
  <c r="P257" i="150"/>
  <c r="P253" i="150"/>
  <c r="P250" i="150"/>
  <c r="P244" i="150"/>
  <c r="P240" i="150"/>
  <c r="P236" i="150"/>
  <c r="P234" i="150" s="1"/>
  <c r="P227" i="150"/>
  <c r="P223" i="150"/>
  <c r="P219" i="150"/>
  <c r="P217" i="150" s="1"/>
  <c r="P213" i="150"/>
  <c r="P210" i="150"/>
  <c r="P205" i="150"/>
  <c r="P200" i="150"/>
  <c r="P195" i="150"/>
  <c r="P194" i="150" s="1"/>
  <c r="P190" i="150"/>
  <c r="P189" i="150"/>
  <c r="P185" i="150"/>
  <c r="P184" i="150" s="1"/>
  <c r="P183" i="150" s="1"/>
  <c r="P173" i="150"/>
  <c r="P169" i="150"/>
  <c r="P166" i="150"/>
  <c r="P165" i="150" s="1"/>
  <c r="P160" i="150"/>
  <c r="P156" i="150"/>
  <c r="P152" i="150"/>
  <c r="P150" i="150" s="1"/>
  <c r="P149" i="150" s="1"/>
  <c r="P147" i="150" s="1"/>
  <c r="P143" i="150"/>
  <c r="P139" i="150"/>
  <c r="P135" i="150"/>
  <c r="P133" i="150"/>
  <c r="P129" i="150"/>
  <c r="P127" i="150"/>
  <c r="P126" i="150"/>
  <c r="P121" i="150"/>
  <c r="P111" i="150"/>
  <c r="P110" i="150" s="1"/>
  <c r="P106" i="150"/>
  <c r="P105" i="150"/>
  <c r="P101" i="150"/>
  <c r="P100" i="150" s="1"/>
  <c r="P99" i="150" s="1"/>
  <c r="P98" i="150" s="1"/>
  <c r="P89" i="150"/>
  <c r="P85" i="150"/>
  <c r="P82" i="150"/>
  <c r="P76" i="150"/>
  <c r="P72" i="150"/>
  <c r="P68" i="150"/>
  <c r="P66" i="150" s="1"/>
  <c r="P59" i="150"/>
  <c r="P55" i="150"/>
  <c r="P51" i="150"/>
  <c r="P49" i="150" s="1"/>
  <c r="P45" i="150"/>
  <c r="P43" i="150"/>
  <c r="P42" i="150" s="1"/>
  <c r="P37" i="150"/>
  <c r="P27" i="150"/>
  <c r="P26" i="150"/>
  <c r="P22" i="150"/>
  <c r="P21" i="150" s="1"/>
  <c r="P17" i="150"/>
  <c r="P16" i="150" s="1"/>
  <c r="P15" i="150" s="1"/>
  <c r="P14" i="150" s="1"/>
  <c r="F257" i="94"/>
  <c r="F253" i="94"/>
  <c r="F250" i="94"/>
  <c r="F244" i="94"/>
  <c r="F240" i="94"/>
  <c r="F236" i="94"/>
  <c r="F234" i="94" s="1"/>
  <c r="F227" i="94"/>
  <c r="F223" i="94"/>
  <c r="F219" i="94"/>
  <c r="F217" i="94" s="1"/>
  <c r="F213" i="94"/>
  <c r="F210" i="94"/>
  <c r="F205" i="94"/>
  <c r="F200" i="94"/>
  <c r="F195" i="94"/>
  <c r="F194" i="94"/>
  <c r="F190" i="94"/>
  <c r="F185" i="94"/>
  <c r="F184" i="94"/>
  <c r="F183" i="94" s="1"/>
  <c r="F173" i="94"/>
  <c r="F169" i="94"/>
  <c r="F166" i="94"/>
  <c r="F160" i="94"/>
  <c r="F156" i="94"/>
  <c r="F152" i="94"/>
  <c r="F150" i="94"/>
  <c r="F143" i="94"/>
  <c r="F139" i="94"/>
  <c r="F135" i="94"/>
  <c r="F133" i="94"/>
  <c r="F129" i="94"/>
  <c r="F126" i="94"/>
  <c r="F121" i="94"/>
  <c r="F116" i="94"/>
  <c r="F111" i="94"/>
  <c r="F110" i="94" s="1"/>
  <c r="F106" i="94"/>
  <c r="F105" i="94" s="1"/>
  <c r="F101" i="94"/>
  <c r="F100" i="94" s="1"/>
  <c r="F99" i="94" s="1"/>
  <c r="F89" i="94"/>
  <c r="F85" i="94"/>
  <c r="F82" i="94"/>
  <c r="F81" i="94" s="1"/>
  <c r="F76" i="94"/>
  <c r="F72" i="94"/>
  <c r="F68" i="94"/>
  <c r="F66" i="94" s="1"/>
  <c r="F65" i="94" s="1"/>
  <c r="F63" i="94" s="1"/>
  <c r="F59" i="94"/>
  <c r="F55" i="94"/>
  <c r="F51" i="94"/>
  <c r="F49" i="94" s="1"/>
  <c r="F48" i="94" s="1"/>
  <c r="F45" i="94"/>
  <c r="F42" i="94"/>
  <c r="F37" i="94"/>
  <c r="F32" i="94"/>
  <c r="F27" i="94"/>
  <c r="F26" i="94" s="1"/>
  <c r="F22" i="94"/>
  <c r="F21" i="94"/>
  <c r="F17" i="94"/>
  <c r="F16" i="94" s="1"/>
  <c r="F15" i="94" s="1"/>
  <c r="F14" i="94" s="1"/>
  <c r="F10" i="94" s="1"/>
  <c r="K257" i="94"/>
  <c r="K253" i="94"/>
  <c r="K250" i="94"/>
  <c r="K244" i="94"/>
  <c r="K240" i="94"/>
  <c r="K236" i="94"/>
  <c r="K234" i="94" s="1"/>
  <c r="K233" i="94" s="1"/>
  <c r="K231" i="94" s="1"/>
  <c r="K227" i="94"/>
  <c r="K223" i="94"/>
  <c r="K219" i="94"/>
  <c r="K217" i="94" s="1"/>
  <c r="K213" i="94"/>
  <c r="K210" i="94"/>
  <c r="K205" i="94"/>
  <c r="K200" i="94"/>
  <c r="K195" i="94"/>
  <c r="K194" i="94"/>
  <c r="K190" i="94"/>
  <c r="K189" i="94"/>
  <c r="K185" i="94"/>
  <c r="K184" i="94"/>
  <c r="K183" i="94" s="1"/>
  <c r="K182" i="94" s="1"/>
  <c r="K178" i="94" s="1"/>
  <c r="K173" i="94"/>
  <c r="K169" i="94"/>
  <c r="K166" i="94"/>
  <c r="K165" i="94" s="1"/>
  <c r="K160" i="94"/>
  <c r="K156" i="94"/>
  <c r="K152" i="94"/>
  <c r="K150" i="94"/>
  <c r="K143" i="94"/>
  <c r="K139" i="94"/>
  <c r="K135" i="94"/>
  <c r="K133" i="94"/>
  <c r="K129" i="94"/>
  <c r="K126" i="94"/>
  <c r="K121" i="94"/>
  <c r="K116" i="94"/>
  <c r="K111" i="94"/>
  <c r="K110" i="94" s="1"/>
  <c r="K106" i="94"/>
  <c r="K105" i="94" s="1"/>
  <c r="K101" i="94"/>
  <c r="K100" i="94" s="1"/>
  <c r="K99" i="94" s="1"/>
  <c r="K89" i="94"/>
  <c r="K85" i="94"/>
  <c r="K81" i="94" s="1"/>
  <c r="K82" i="94"/>
  <c r="K76" i="94"/>
  <c r="K72" i="94"/>
  <c r="K68" i="94"/>
  <c r="K66" i="94" s="1"/>
  <c r="K59" i="94"/>
  <c r="K55" i="94"/>
  <c r="K51" i="94"/>
  <c r="K49" i="94" s="1"/>
  <c r="K48" i="94" s="1"/>
  <c r="K36" i="94" s="1"/>
  <c r="K45" i="94"/>
  <c r="K42" i="94"/>
  <c r="K37" i="94"/>
  <c r="K32" i="94"/>
  <c r="K27" i="94"/>
  <c r="K26" i="94" s="1"/>
  <c r="K22" i="94"/>
  <c r="K21" i="94"/>
  <c r="K17" i="94"/>
  <c r="K16" i="94" s="1"/>
  <c r="K15" i="94" s="1"/>
  <c r="K14" i="94" s="1"/>
  <c r="K10" i="94" s="1"/>
  <c r="P257" i="94"/>
  <c r="P253" i="94"/>
  <c r="P250" i="94"/>
  <c r="P249" i="94" s="1"/>
  <c r="P244" i="94"/>
  <c r="P240" i="94"/>
  <c r="P236" i="94"/>
  <c r="P234" i="94" s="1"/>
  <c r="P227" i="94"/>
  <c r="P223" i="94"/>
  <c r="P219" i="94"/>
  <c r="P217" i="94" s="1"/>
  <c r="P216" i="94" s="1"/>
  <c r="P204" i="94" s="1"/>
  <c r="P213" i="94"/>
  <c r="P210" i="94"/>
  <c r="P205" i="94"/>
  <c r="P200" i="94"/>
  <c r="P195" i="94"/>
  <c r="P194" i="94"/>
  <c r="P190" i="94"/>
  <c r="P189" i="94" s="1"/>
  <c r="P185" i="94"/>
  <c r="P184" i="94"/>
  <c r="P183" i="94" s="1"/>
  <c r="P182" i="94" s="1"/>
  <c r="P178" i="94" s="1"/>
  <c r="P173" i="94"/>
  <c r="P165" i="94" s="1"/>
  <c r="P169" i="94"/>
  <c r="P166" i="94"/>
  <c r="P160" i="94"/>
  <c r="P156" i="94"/>
  <c r="P152" i="94"/>
  <c r="P150" i="94" s="1"/>
  <c r="P149" i="94" s="1"/>
  <c r="P147" i="94" s="1"/>
  <c r="P143" i="94"/>
  <c r="P139" i="94"/>
  <c r="P135" i="94"/>
  <c r="P133" i="94" s="1"/>
  <c r="P129" i="94"/>
  <c r="P126" i="94"/>
  <c r="P121" i="94"/>
  <c r="P116" i="94"/>
  <c r="P111" i="94"/>
  <c r="P110" i="94"/>
  <c r="P106" i="94"/>
  <c r="P105" i="94" s="1"/>
  <c r="P101" i="94"/>
  <c r="P100" i="94" s="1"/>
  <c r="P99" i="94" s="1"/>
  <c r="P89" i="94"/>
  <c r="P85" i="94"/>
  <c r="P82" i="94"/>
  <c r="P76" i="94"/>
  <c r="P72" i="94"/>
  <c r="P65" i="94" s="1"/>
  <c r="P63" i="94" s="1"/>
  <c r="P68" i="94"/>
  <c r="P66" i="94"/>
  <c r="P59" i="94"/>
  <c r="P55" i="94"/>
  <c r="P51" i="94"/>
  <c r="P49" i="94" s="1"/>
  <c r="P45" i="94"/>
  <c r="P42" i="94"/>
  <c r="P37" i="94"/>
  <c r="P32" i="94"/>
  <c r="P27" i="94"/>
  <c r="P26" i="94" s="1"/>
  <c r="P22" i="94"/>
  <c r="P21" i="94" s="1"/>
  <c r="P17" i="94"/>
  <c r="P16" i="94" s="1"/>
  <c r="P15" i="94" s="1"/>
  <c r="F257" i="17"/>
  <c r="F253" i="17"/>
  <c r="F250" i="17"/>
  <c r="F249" i="17"/>
  <c r="F244" i="17"/>
  <c r="F240" i="17"/>
  <c r="F236" i="17"/>
  <c r="F234" i="17" s="1"/>
  <c r="F233" i="17" s="1"/>
  <c r="F231" i="17" s="1"/>
  <c r="F227" i="17"/>
  <c r="F223" i="17"/>
  <c r="F219" i="17"/>
  <c r="F217" i="17"/>
  <c r="F216" i="17"/>
  <c r="F204" i="17" s="1"/>
  <c r="F203" i="17" s="1"/>
  <c r="F213" i="17"/>
  <c r="F210" i="17"/>
  <c r="F205" i="17"/>
  <c r="F200" i="17"/>
  <c r="F195" i="17"/>
  <c r="F194" i="17" s="1"/>
  <c r="F190" i="17"/>
  <c r="F189" i="17" s="1"/>
  <c r="F185" i="17"/>
  <c r="F184" i="17" s="1"/>
  <c r="F183" i="17" s="1"/>
  <c r="F173" i="17"/>
  <c r="F169" i="17"/>
  <c r="F166" i="17"/>
  <c r="F160" i="17"/>
  <c r="F156" i="17"/>
  <c r="F152" i="17"/>
  <c r="F150" i="17"/>
  <c r="F149" i="17" s="1"/>
  <c r="F147" i="17" s="1"/>
  <c r="F143" i="17"/>
  <c r="F139" i="17"/>
  <c r="F135" i="17"/>
  <c r="F133" i="17" s="1"/>
  <c r="F132" i="17" s="1"/>
  <c r="F129" i="17"/>
  <c r="F120" i="17" s="1"/>
  <c r="F119" i="17" s="1"/>
  <c r="F100" i="170" s="1"/>
  <c r="F99" i="170" s="1"/>
  <c r="F126" i="17"/>
  <c r="F121" i="17"/>
  <c r="F116" i="17"/>
  <c r="F111" i="17"/>
  <c r="F110" i="17" s="1"/>
  <c r="F106" i="17"/>
  <c r="F105" i="17" s="1"/>
  <c r="F101" i="17"/>
  <c r="F100" i="17"/>
  <c r="F99" i="17" s="1"/>
  <c r="F98" i="17" s="1"/>
  <c r="F94" i="17" s="1"/>
  <c r="F89" i="17"/>
  <c r="F85" i="17"/>
  <c r="F82" i="17"/>
  <c r="F81" i="17" s="1"/>
  <c r="F76" i="17"/>
  <c r="F72" i="17"/>
  <c r="F68" i="17"/>
  <c r="F66" i="17"/>
  <c r="F65" i="17" s="1"/>
  <c r="F63" i="17" s="1"/>
  <c r="F59" i="17"/>
  <c r="F55" i="17"/>
  <c r="F51" i="17"/>
  <c r="F49" i="17" s="1"/>
  <c r="F48" i="17" s="1"/>
  <c r="F45" i="17"/>
  <c r="F42" i="17"/>
  <c r="F37" i="17"/>
  <c r="F32" i="17"/>
  <c r="F27" i="17"/>
  <c r="F26" i="17" s="1"/>
  <c r="F22" i="17"/>
  <c r="F21" i="17"/>
  <c r="F17" i="17"/>
  <c r="F16" i="17" s="1"/>
  <c r="F15" i="17" s="1"/>
  <c r="F14" i="17" s="1"/>
  <c r="F10" i="17" s="1"/>
  <c r="K257" i="17"/>
  <c r="K253" i="17"/>
  <c r="K250" i="17"/>
  <c r="K244" i="17"/>
  <c r="K240" i="17"/>
  <c r="K236" i="17"/>
  <c r="K234" i="17" s="1"/>
  <c r="K227" i="17"/>
  <c r="K223" i="17"/>
  <c r="K219" i="17"/>
  <c r="K217" i="17" s="1"/>
  <c r="K213" i="17"/>
  <c r="K210" i="17"/>
  <c r="K205" i="17"/>
  <c r="K200" i="17"/>
  <c r="K195" i="17"/>
  <c r="K194" i="17"/>
  <c r="K190" i="17"/>
  <c r="K189" i="17" s="1"/>
  <c r="K185" i="17"/>
  <c r="K184" i="17"/>
  <c r="K183" i="17" s="1"/>
  <c r="K173" i="17"/>
  <c r="K169" i="17"/>
  <c r="K166" i="17"/>
  <c r="K160" i="17"/>
  <c r="K156" i="17"/>
  <c r="K152" i="17"/>
  <c r="K150" i="17"/>
  <c r="K143" i="17"/>
  <c r="K139" i="17"/>
  <c r="K135" i="17"/>
  <c r="K133" i="17"/>
  <c r="K129" i="17"/>
  <c r="K126" i="17"/>
  <c r="K121" i="17"/>
  <c r="K116" i="17"/>
  <c r="K111" i="17"/>
  <c r="K110" i="17" s="1"/>
  <c r="K106" i="17"/>
  <c r="K105" i="17" s="1"/>
  <c r="K101" i="17"/>
  <c r="K100" i="17" s="1"/>
  <c r="K99" i="17" s="1"/>
  <c r="K89" i="17"/>
  <c r="K85" i="17"/>
  <c r="K82" i="17"/>
  <c r="K76" i="17"/>
  <c r="K72" i="17"/>
  <c r="K68" i="17"/>
  <c r="K66" i="17" s="1"/>
  <c r="K65" i="17" s="1"/>
  <c r="K63" i="17" s="1"/>
  <c r="K59" i="17"/>
  <c r="K55" i="17"/>
  <c r="K51" i="17"/>
  <c r="K49" i="17" s="1"/>
  <c r="K45" i="17"/>
  <c r="K42" i="17"/>
  <c r="K37" i="17"/>
  <c r="K32" i="17"/>
  <c r="K27" i="17"/>
  <c r="K26" i="17"/>
  <c r="K22" i="17"/>
  <c r="K21" i="17"/>
  <c r="K17" i="17"/>
  <c r="K16" i="17"/>
  <c r="K15" i="17" s="1"/>
  <c r="K14" i="17" s="1"/>
  <c r="K10" i="17" s="1"/>
  <c r="P257" i="17"/>
  <c r="P253" i="17"/>
  <c r="P250" i="17"/>
  <c r="P244" i="17"/>
  <c r="P240" i="17"/>
  <c r="P236" i="17"/>
  <c r="P234" i="17" s="1"/>
  <c r="P227" i="17"/>
  <c r="P223" i="17"/>
  <c r="P219" i="17"/>
  <c r="P217" i="17" s="1"/>
  <c r="P213" i="17"/>
  <c r="P210" i="17"/>
  <c r="P205" i="17"/>
  <c r="P200" i="17"/>
  <c r="P195" i="17"/>
  <c r="P194" i="17"/>
  <c r="P190" i="17"/>
  <c r="P189" i="17" s="1"/>
  <c r="P185" i="17"/>
  <c r="P184" i="17"/>
  <c r="P183" i="17" s="1"/>
  <c r="P173" i="17"/>
  <c r="P169" i="17"/>
  <c r="P166" i="17"/>
  <c r="P160" i="17"/>
  <c r="P156" i="17"/>
  <c r="P152" i="17"/>
  <c r="P150" i="17"/>
  <c r="P143" i="17"/>
  <c r="P139" i="17"/>
  <c r="P135" i="17"/>
  <c r="P133" i="17"/>
  <c r="P129" i="17"/>
  <c r="P126" i="17"/>
  <c r="P121" i="17"/>
  <c r="P116" i="17"/>
  <c r="P111" i="17"/>
  <c r="P110" i="17" s="1"/>
  <c r="P106" i="17"/>
  <c r="P105" i="17" s="1"/>
  <c r="P101" i="17"/>
  <c r="P100" i="17" s="1"/>
  <c r="P99" i="17" s="1"/>
  <c r="P89" i="17"/>
  <c r="P85" i="17"/>
  <c r="P82" i="17"/>
  <c r="P81" i="17" s="1"/>
  <c r="P76" i="17"/>
  <c r="P72" i="17"/>
  <c r="P68" i="17"/>
  <c r="P66" i="17" s="1"/>
  <c r="P65" i="17" s="1"/>
  <c r="P63" i="17" s="1"/>
  <c r="P59" i="17"/>
  <c r="P55" i="17"/>
  <c r="P51" i="17"/>
  <c r="P49" i="17" s="1"/>
  <c r="P48" i="17" s="1"/>
  <c r="P45" i="17"/>
  <c r="P42" i="17"/>
  <c r="P37" i="17"/>
  <c r="P32" i="17"/>
  <c r="P27" i="17"/>
  <c r="P26" i="17" s="1"/>
  <c r="P22" i="17"/>
  <c r="P21" i="17"/>
  <c r="P17" i="17"/>
  <c r="P16" i="17" s="1"/>
  <c r="P15" i="17" s="1"/>
  <c r="P14" i="17" s="1"/>
  <c r="P10" i="17" s="1"/>
  <c r="F381" i="146"/>
  <c r="F127" i="146" s="1"/>
  <c r="F313" i="146"/>
  <c r="P381" i="146"/>
  <c r="P127" i="146" s="1"/>
  <c r="F377" i="146"/>
  <c r="F123" i="146" s="1"/>
  <c r="F376" i="146"/>
  <c r="F122" i="146" s="1"/>
  <c r="F359" i="146"/>
  <c r="F293" i="146"/>
  <c r="K92" i="170"/>
  <c r="K293" i="146"/>
  <c r="P92" i="170"/>
  <c r="P377" i="146"/>
  <c r="P123" i="146" s="1"/>
  <c r="P376" i="146"/>
  <c r="P122" i="146" s="1"/>
  <c r="F394" i="146"/>
  <c r="F140" i="146" s="1"/>
  <c r="F310" i="146"/>
  <c r="K288" i="146"/>
  <c r="P310" i="146"/>
  <c r="F257" i="54"/>
  <c r="F253" i="54"/>
  <c r="F250" i="54"/>
  <c r="F244" i="54"/>
  <c r="F240" i="54"/>
  <c r="F236" i="54"/>
  <c r="F234" i="54" s="1"/>
  <c r="F233" i="54" s="1"/>
  <c r="F231" i="54" s="1"/>
  <c r="F227" i="54"/>
  <c r="F223" i="54"/>
  <c r="F219" i="54"/>
  <c r="F217" i="54" s="1"/>
  <c r="F213" i="54"/>
  <c r="F210" i="54"/>
  <c r="F205" i="54"/>
  <c r="F200" i="54"/>
  <c r="F195" i="54"/>
  <c r="F194" i="54"/>
  <c r="F190" i="54"/>
  <c r="F189" i="54"/>
  <c r="F185" i="54"/>
  <c r="F184" i="54"/>
  <c r="F183" i="54" s="1"/>
  <c r="F182" i="54" s="1"/>
  <c r="F178" i="54" s="1"/>
  <c r="F173" i="54"/>
  <c r="F169" i="54"/>
  <c r="F166" i="54"/>
  <c r="F165" i="54" s="1"/>
  <c r="F160" i="54"/>
  <c r="F156" i="54"/>
  <c r="F152" i="54"/>
  <c r="F150" i="54"/>
  <c r="F143" i="54"/>
  <c r="F139" i="54"/>
  <c r="F135" i="54"/>
  <c r="F133" i="54"/>
  <c r="F129" i="54"/>
  <c r="F126" i="54"/>
  <c r="F121" i="54"/>
  <c r="F116" i="54"/>
  <c r="F111" i="54"/>
  <c r="F110" i="54" s="1"/>
  <c r="F106" i="54"/>
  <c r="F105" i="54" s="1"/>
  <c r="F101" i="54"/>
  <c r="F100" i="54" s="1"/>
  <c r="F99" i="54" s="1"/>
  <c r="F98" i="54" s="1"/>
  <c r="F89" i="54"/>
  <c r="F85" i="54"/>
  <c r="F81" i="54" s="1"/>
  <c r="F82" i="54"/>
  <c r="F76" i="54"/>
  <c r="F72" i="54"/>
  <c r="F68" i="54"/>
  <c r="F66" i="54" s="1"/>
  <c r="F59" i="54"/>
  <c r="F55" i="54"/>
  <c r="F51" i="54"/>
  <c r="F49" i="54" s="1"/>
  <c r="F48" i="54" s="1"/>
  <c r="F36" i="54" s="1"/>
  <c r="F45" i="54"/>
  <c r="F42" i="54"/>
  <c r="F37" i="54"/>
  <c r="F32" i="54"/>
  <c r="F27" i="54"/>
  <c r="F26" i="54"/>
  <c r="F22" i="54"/>
  <c r="F21" i="54"/>
  <c r="F17" i="54"/>
  <c r="F16" i="54"/>
  <c r="F15" i="54" s="1"/>
  <c r="K257" i="54"/>
  <c r="K253" i="54"/>
  <c r="K249" i="54" s="1"/>
  <c r="K250" i="54"/>
  <c r="K244" i="54"/>
  <c r="K240" i="54"/>
  <c r="K236" i="54"/>
  <c r="K234" i="54" s="1"/>
  <c r="K227" i="54"/>
  <c r="K223" i="54"/>
  <c r="K219" i="54"/>
  <c r="K217" i="54" s="1"/>
  <c r="K213" i="54"/>
  <c r="K210" i="54"/>
  <c r="K205" i="54"/>
  <c r="K200" i="54"/>
  <c r="K195" i="54"/>
  <c r="K194" i="54" s="1"/>
  <c r="K190" i="54"/>
  <c r="K189" i="54" s="1"/>
  <c r="K185" i="54"/>
  <c r="K184" i="54"/>
  <c r="K183" i="54" s="1"/>
  <c r="K173" i="54"/>
  <c r="K169" i="54"/>
  <c r="K166" i="54"/>
  <c r="K160" i="54"/>
  <c r="K156" i="54"/>
  <c r="K152" i="54"/>
  <c r="K150" i="54"/>
  <c r="K143" i="54"/>
  <c r="K139" i="54"/>
  <c r="K135" i="54"/>
  <c r="K133" i="54" s="1"/>
  <c r="K129" i="54"/>
  <c r="K126" i="54"/>
  <c r="K121" i="54"/>
  <c r="K116" i="54"/>
  <c r="K111" i="54"/>
  <c r="K110" i="54"/>
  <c r="K106" i="54"/>
  <c r="K105" i="54" s="1"/>
  <c r="K101" i="54"/>
  <c r="K100" i="54"/>
  <c r="K99" i="54"/>
  <c r="K89" i="54"/>
  <c r="K85" i="54"/>
  <c r="K82" i="54"/>
  <c r="K81" i="54" s="1"/>
  <c r="K76" i="54"/>
  <c r="K72" i="54"/>
  <c r="K68" i="54"/>
  <c r="K66" i="54"/>
  <c r="K65" i="54"/>
  <c r="K63" i="54" s="1"/>
  <c r="K59" i="54"/>
  <c r="K55" i="54"/>
  <c r="K51" i="54"/>
  <c r="K49" i="54" s="1"/>
  <c r="K48" i="54" s="1"/>
  <c r="K45" i="54"/>
  <c r="K42" i="54"/>
  <c r="K37" i="54"/>
  <c r="K32" i="54"/>
  <c r="K27" i="54"/>
  <c r="K26" i="54" s="1"/>
  <c r="K22" i="54"/>
  <c r="K21" i="54"/>
  <c r="K17" i="54"/>
  <c r="K16" i="54" s="1"/>
  <c r="K15" i="54" s="1"/>
  <c r="K14" i="54" s="1"/>
  <c r="K10" i="54" s="1"/>
  <c r="P257" i="54"/>
  <c r="P249" i="54" s="1"/>
  <c r="P253" i="54"/>
  <c r="P250" i="54"/>
  <c r="P244" i="54"/>
  <c r="P240" i="54"/>
  <c r="P236" i="54"/>
  <c r="P234" i="54" s="1"/>
  <c r="P227" i="54"/>
  <c r="P223" i="54"/>
  <c r="P216" i="54" s="1"/>
  <c r="P204" i="54" s="1"/>
  <c r="P219" i="54"/>
  <c r="P217" i="54"/>
  <c r="P213" i="54"/>
  <c r="P210" i="54"/>
  <c r="P205" i="54"/>
  <c r="P200" i="54"/>
  <c r="P195" i="54"/>
  <c r="P190" i="54"/>
  <c r="P189" i="54" s="1"/>
  <c r="P185" i="54"/>
  <c r="P184" i="54"/>
  <c r="P183" i="54" s="1"/>
  <c r="P173" i="54"/>
  <c r="P169" i="54"/>
  <c r="P166" i="54"/>
  <c r="P160" i="54"/>
  <c r="P156" i="54"/>
  <c r="P152" i="54"/>
  <c r="P150" i="54"/>
  <c r="P143" i="54"/>
  <c r="P139" i="54"/>
  <c r="P135" i="54"/>
  <c r="P133" i="54" s="1"/>
  <c r="P129" i="54"/>
  <c r="P126" i="54"/>
  <c r="P121" i="54"/>
  <c r="P116" i="54"/>
  <c r="P111" i="54"/>
  <c r="P110" i="54"/>
  <c r="P106" i="54"/>
  <c r="P105" i="54" s="1"/>
  <c r="P101" i="54"/>
  <c r="P100" i="54"/>
  <c r="P99" i="54"/>
  <c r="P89" i="54"/>
  <c r="P85" i="54"/>
  <c r="P82" i="54"/>
  <c r="P81" i="54" s="1"/>
  <c r="P76" i="54"/>
  <c r="P72" i="54"/>
  <c r="P68" i="54"/>
  <c r="P66" i="54"/>
  <c r="P65" i="54"/>
  <c r="P63" i="54" s="1"/>
  <c r="P59" i="54"/>
  <c r="P55" i="54"/>
  <c r="P51" i="54"/>
  <c r="P49" i="54" s="1"/>
  <c r="P48" i="54" s="1"/>
  <c r="P45" i="54"/>
  <c r="P42" i="54"/>
  <c r="P37" i="54"/>
  <c r="P32" i="54"/>
  <c r="P27" i="54"/>
  <c r="P26" i="54" s="1"/>
  <c r="P22" i="54"/>
  <c r="P21" i="54"/>
  <c r="P17" i="54"/>
  <c r="P16" i="54" s="1"/>
  <c r="P15" i="54" s="1"/>
  <c r="P14" i="54" s="1"/>
  <c r="P10" i="54" s="1"/>
  <c r="P257" i="30"/>
  <c r="P249" i="30" s="1"/>
  <c r="P253" i="30"/>
  <c r="P250" i="30"/>
  <c r="P244" i="30"/>
  <c r="P240" i="30"/>
  <c r="P236" i="30"/>
  <c r="P234" i="30" s="1"/>
  <c r="P227" i="30"/>
  <c r="P223" i="30"/>
  <c r="P216" i="30" s="1"/>
  <c r="P219" i="30"/>
  <c r="P217" i="30"/>
  <c r="P213" i="30"/>
  <c r="P204" i="30" s="1"/>
  <c r="P210" i="30"/>
  <c r="P205" i="30"/>
  <c r="P200" i="30"/>
  <c r="P195" i="30"/>
  <c r="P194" i="30"/>
  <c r="P190" i="30"/>
  <c r="P189" i="30" s="1"/>
  <c r="P185" i="30"/>
  <c r="P184" i="30" s="1"/>
  <c r="P183" i="30" s="1"/>
  <c r="P173" i="30"/>
  <c r="P169" i="30"/>
  <c r="P166" i="30"/>
  <c r="P160" i="30"/>
  <c r="P156" i="30"/>
  <c r="P152" i="30"/>
  <c r="P150" i="30"/>
  <c r="P149" i="30" s="1"/>
  <c r="P147" i="30" s="1"/>
  <c r="P143" i="30"/>
  <c r="P139" i="30"/>
  <c r="P135" i="30"/>
  <c r="P133" i="30" s="1"/>
  <c r="P132" i="30" s="1"/>
  <c r="P129" i="30"/>
  <c r="P120" i="30" s="1"/>
  <c r="P119" i="30" s="1"/>
  <c r="P24" i="170" s="1"/>
  <c r="P23" i="170" s="1"/>
  <c r="P126" i="30"/>
  <c r="P121" i="30"/>
  <c r="P116" i="30"/>
  <c r="P111" i="30"/>
  <c r="P106" i="30"/>
  <c r="P105" i="30" s="1"/>
  <c r="P101" i="30"/>
  <c r="P100" i="30"/>
  <c r="P99" i="30" s="1"/>
  <c r="P89" i="30"/>
  <c r="P85" i="30"/>
  <c r="P82" i="30"/>
  <c r="P81" i="30" s="1"/>
  <c r="P76" i="30"/>
  <c r="P72" i="30"/>
  <c r="P68" i="30"/>
  <c r="P66" i="30"/>
  <c r="P65" i="30" s="1"/>
  <c r="P63" i="30" s="1"/>
  <c r="P59" i="30"/>
  <c r="P55" i="30"/>
  <c r="P51" i="30"/>
  <c r="P49" i="30" s="1"/>
  <c r="P48" i="30" s="1"/>
  <c r="P45" i="30"/>
  <c r="P42" i="30"/>
  <c r="P37" i="30"/>
  <c r="P32" i="30"/>
  <c r="P27" i="30"/>
  <c r="P26" i="30" s="1"/>
  <c r="P22" i="30"/>
  <c r="P21" i="30"/>
  <c r="P17" i="30"/>
  <c r="P16" i="30" s="1"/>
  <c r="P15" i="30" s="1"/>
  <c r="P14" i="30" s="1"/>
  <c r="P10" i="30" s="1"/>
  <c r="K257" i="30"/>
  <c r="K253" i="30"/>
  <c r="K250" i="30"/>
  <c r="K244" i="30"/>
  <c r="K240" i="30"/>
  <c r="K236" i="30"/>
  <c r="K234" i="30" s="1"/>
  <c r="K227" i="30"/>
  <c r="K223" i="30"/>
  <c r="K219" i="30"/>
  <c r="K217" i="30" s="1"/>
  <c r="K213" i="30"/>
  <c r="K210" i="30"/>
  <c r="K205" i="30"/>
  <c r="K200" i="30"/>
  <c r="K195" i="30"/>
  <c r="K194" i="30"/>
  <c r="K190" i="30"/>
  <c r="K189" i="30" s="1"/>
  <c r="K185" i="30"/>
  <c r="K184" i="30"/>
  <c r="K183" i="30" s="1"/>
  <c r="K173" i="30"/>
  <c r="K169" i="30"/>
  <c r="K166" i="30"/>
  <c r="K160" i="30"/>
  <c r="K156" i="30"/>
  <c r="K152" i="30"/>
  <c r="K150" i="30"/>
  <c r="K143" i="30"/>
  <c r="K139" i="30"/>
  <c r="K135" i="30"/>
  <c r="K133" i="30"/>
  <c r="K129" i="30"/>
  <c r="K126" i="30"/>
  <c r="K121" i="30"/>
  <c r="K116" i="30"/>
  <c r="K111" i="30"/>
  <c r="K110" i="30" s="1"/>
  <c r="K106" i="30"/>
  <c r="K105" i="30" s="1"/>
  <c r="K101" i="30"/>
  <c r="K100" i="30" s="1"/>
  <c r="K99" i="30" s="1"/>
  <c r="K89" i="30"/>
  <c r="K85" i="30"/>
  <c r="K82" i="30"/>
  <c r="K76" i="30"/>
  <c r="K72" i="30"/>
  <c r="K68" i="30"/>
  <c r="K66" i="30" s="1"/>
  <c r="K65" i="30" s="1"/>
  <c r="K63" i="30" s="1"/>
  <c r="K59" i="30"/>
  <c r="K55" i="30"/>
  <c r="K51" i="30"/>
  <c r="K49" i="30" s="1"/>
  <c r="K48" i="30" s="1"/>
  <c r="K45" i="30"/>
  <c r="K42" i="30"/>
  <c r="K37" i="30"/>
  <c r="K32" i="30"/>
  <c r="K27" i="30"/>
  <c r="K22" i="30"/>
  <c r="K21" i="30"/>
  <c r="K17" i="30"/>
  <c r="K16" i="30" s="1"/>
  <c r="K15" i="30" s="1"/>
  <c r="F257" i="30"/>
  <c r="F253" i="30"/>
  <c r="F250" i="30"/>
  <c r="F249" i="30" s="1"/>
  <c r="F244" i="30"/>
  <c r="F240" i="30"/>
  <c r="F236" i="30"/>
  <c r="F234" i="30" s="1"/>
  <c r="F233" i="30" s="1"/>
  <c r="F231" i="30" s="1"/>
  <c r="F227" i="30"/>
  <c r="F223" i="30"/>
  <c r="F219" i="30"/>
  <c r="F217" i="30"/>
  <c r="F216" i="30" s="1"/>
  <c r="F213" i="30"/>
  <c r="F210" i="30"/>
  <c r="F205" i="30"/>
  <c r="F204" i="30" s="1"/>
  <c r="F203" i="30" s="1"/>
  <c r="F200" i="30"/>
  <c r="F195" i="30"/>
  <c r="F194" i="30"/>
  <c r="F190" i="30"/>
  <c r="F189" i="30"/>
  <c r="F185" i="30"/>
  <c r="F184" i="30"/>
  <c r="F183" i="30" s="1"/>
  <c r="F182" i="30" s="1"/>
  <c r="F178" i="30" s="1"/>
  <c r="F173" i="30"/>
  <c r="F169" i="30"/>
  <c r="F166" i="30"/>
  <c r="F160" i="30"/>
  <c r="F156" i="30"/>
  <c r="F152" i="30"/>
  <c r="F150" i="30"/>
  <c r="F143" i="30"/>
  <c r="F139" i="30"/>
  <c r="F135" i="30"/>
  <c r="F133" i="30"/>
  <c r="F129" i="30"/>
  <c r="F126" i="30"/>
  <c r="F121" i="30"/>
  <c r="F116" i="30"/>
  <c r="F111" i="30"/>
  <c r="F110" i="30" s="1"/>
  <c r="F106" i="30"/>
  <c r="F105" i="30" s="1"/>
  <c r="F101" i="30"/>
  <c r="F100" i="30"/>
  <c r="F99" i="30" s="1"/>
  <c r="F98" i="30" s="1"/>
  <c r="F94" i="30" s="1"/>
  <c r="F89" i="30"/>
  <c r="F85" i="30"/>
  <c r="F82" i="30"/>
  <c r="F76" i="30"/>
  <c r="F72" i="30"/>
  <c r="F68" i="30"/>
  <c r="F66" i="30"/>
  <c r="F59" i="30"/>
  <c r="F55" i="30"/>
  <c r="F51" i="30"/>
  <c r="F49" i="30" s="1"/>
  <c r="F48" i="30" s="1"/>
  <c r="F45" i="30"/>
  <c r="F42" i="30"/>
  <c r="F37" i="30"/>
  <c r="F32" i="30"/>
  <c r="F27" i="30"/>
  <c r="F26" i="30"/>
  <c r="F22" i="30"/>
  <c r="F21" i="30"/>
  <c r="F17" i="30"/>
  <c r="F16" i="30"/>
  <c r="F15" i="30"/>
  <c r="F14" i="30"/>
  <c r="F10" i="30" s="1"/>
  <c r="P257" i="46"/>
  <c r="P511" i="146" s="1"/>
  <c r="P253" i="46"/>
  <c r="P250" i="46"/>
  <c r="P504" i="146" s="1"/>
  <c r="P244" i="46"/>
  <c r="P240" i="46"/>
  <c r="P494" i="146" s="1"/>
  <c r="P236" i="46"/>
  <c r="P234" i="46" s="1"/>
  <c r="P488" i="146" s="1"/>
  <c r="P227" i="46"/>
  <c r="P223" i="46"/>
  <c r="P219" i="46"/>
  <c r="P217" i="46" s="1"/>
  <c r="P213" i="46"/>
  <c r="P467" i="146" s="1"/>
  <c r="P210" i="46"/>
  <c r="P464" i="146" s="1"/>
  <c r="P205" i="46"/>
  <c r="P200" i="46"/>
  <c r="P195" i="46"/>
  <c r="P194" i="46" s="1"/>
  <c r="P190" i="46"/>
  <c r="P185" i="46"/>
  <c r="P439" i="146" s="1"/>
  <c r="P184" i="46"/>
  <c r="P183" i="46" s="1"/>
  <c r="P173" i="46"/>
  <c r="P427" i="146" s="1"/>
  <c r="P169" i="46"/>
  <c r="P166" i="46"/>
  <c r="P160" i="46"/>
  <c r="P414" i="146" s="1"/>
  <c r="P156" i="46"/>
  <c r="P410" i="146" s="1"/>
  <c r="P152" i="46"/>
  <c r="P150" i="46" s="1"/>
  <c r="P143" i="46"/>
  <c r="P397" i="146" s="1"/>
  <c r="P139" i="46"/>
  <c r="P393" i="146" s="1"/>
  <c r="P135" i="46"/>
  <c r="P133" i="46" s="1"/>
  <c r="P129" i="46"/>
  <c r="P383" i="146" s="1"/>
  <c r="P126" i="46"/>
  <c r="P121" i="46"/>
  <c r="P116" i="46"/>
  <c r="P111" i="46"/>
  <c r="P110" i="46" s="1"/>
  <c r="P106" i="46"/>
  <c r="P105" i="46" s="1"/>
  <c r="P359" i="146" s="1"/>
  <c r="P101" i="46"/>
  <c r="P100" i="46" s="1"/>
  <c r="P99" i="46" s="1"/>
  <c r="P89" i="46"/>
  <c r="P85" i="46"/>
  <c r="P339" i="146" s="1"/>
  <c r="P82" i="46"/>
  <c r="P76" i="46"/>
  <c r="P72" i="46"/>
  <c r="P68" i="46"/>
  <c r="P66" i="46" s="1"/>
  <c r="P59" i="46"/>
  <c r="P313" i="146" s="1"/>
  <c r="P55" i="46"/>
  <c r="P51" i="46"/>
  <c r="P49" i="46" s="1"/>
  <c r="P45" i="46"/>
  <c r="P299" i="146" s="1"/>
  <c r="P42" i="46"/>
  <c r="P296" i="146" s="1"/>
  <c r="P37" i="46"/>
  <c r="P32" i="46"/>
  <c r="P27" i="46"/>
  <c r="P281" i="146" s="1"/>
  <c r="P22" i="46"/>
  <c r="P276" i="146" s="1"/>
  <c r="P17" i="46"/>
  <c r="K257" i="46"/>
  <c r="K253" i="46"/>
  <c r="K507" i="146" s="1"/>
  <c r="K250" i="46"/>
  <c r="K244" i="46"/>
  <c r="K240" i="46"/>
  <c r="K236" i="46"/>
  <c r="K234" i="46" s="1"/>
  <c r="K227" i="46"/>
  <c r="K223" i="46"/>
  <c r="K219" i="46"/>
  <c r="K217" i="46" s="1"/>
  <c r="K213" i="46"/>
  <c r="K467" i="146" s="1"/>
  <c r="K210" i="46"/>
  <c r="K205" i="46"/>
  <c r="K200" i="46"/>
  <c r="K454" i="146" s="1"/>
  <c r="K195" i="46"/>
  <c r="K449" i="146" s="1"/>
  <c r="K190" i="46"/>
  <c r="K444" i="146" s="1"/>
  <c r="K189" i="46"/>
  <c r="K185" i="46"/>
  <c r="K439" i="146" s="1"/>
  <c r="K173" i="46"/>
  <c r="K169" i="46"/>
  <c r="K423" i="146" s="1"/>
  <c r="K166" i="46"/>
  <c r="K160" i="46"/>
  <c r="K156" i="46"/>
  <c r="K152" i="46"/>
  <c r="K150" i="46" s="1"/>
  <c r="K404" i="146" s="1"/>
  <c r="K143" i="46"/>
  <c r="K139" i="46"/>
  <c r="K135" i="46"/>
  <c r="K133" i="46" s="1"/>
  <c r="K129" i="46"/>
  <c r="K383" i="146" s="1"/>
  <c r="K126" i="46"/>
  <c r="K380" i="146" s="1"/>
  <c r="K121" i="46"/>
  <c r="K116" i="46"/>
  <c r="K111" i="46"/>
  <c r="K110" i="46" s="1"/>
  <c r="K106" i="46"/>
  <c r="K105" i="46" s="1"/>
  <c r="K101" i="46"/>
  <c r="K100" i="46" s="1"/>
  <c r="K99" i="46" s="1"/>
  <c r="K89" i="46"/>
  <c r="K85" i="46"/>
  <c r="K82" i="46"/>
  <c r="K76" i="46"/>
  <c r="K72" i="46"/>
  <c r="K326" i="146" s="1"/>
  <c r="K68" i="46"/>
  <c r="K66" i="46" s="1"/>
  <c r="K59" i="46"/>
  <c r="K55" i="46"/>
  <c r="K309" i="146" s="1"/>
  <c r="K51" i="46"/>
  <c r="K49" i="46" s="1"/>
  <c r="K45" i="46"/>
  <c r="K42" i="46"/>
  <c r="K37" i="46"/>
  <c r="K32" i="46"/>
  <c r="K27" i="46"/>
  <c r="K26" i="46"/>
  <c r="K22" i="46"/>
  <c r="K21" i="46" s="1"/>
  <c r="K275" i="146" s="1"/>
  <c r="K17" i="46"/>
  <c r="K16" i="46" s="1"/>
  <c r="K15" i="46" s="1"/>
  <c r="F257" i="46"/>
  <c r="F511" i="146" s="1"/>
  <c r="F253" i="46"/>
  <c r="F250" i="46"/>
  <c r="F244" i="46"/>
  <c r="F498" i="146" s="1"/>
  <c r="F240" i="46"/>
  <c r="F494" i="146" s="1"/>
  <c r="F236" i="46"/>
  <c r="F234" i="46" s="1"/>
  <c r="F227" i="46"/>
  <c r="F223" i="46"/>
  <c r="F477" i="146" s="1"/>
  <c r="F219" i="46"/>
  <c r="F473" i="146" s="1"/>
  <c r="F213" i="46"/>
  <c r="F467" i="146" s="1"/>
  <c r="F210" i="46"/>
  <c r="F205" i="46"/>
  <c r="F459" i="146" s="1"/>
  <c r="F200" i="46"/>
  <c r="F454" i="146" s="1"/>
  <c r="F195" i="46"/>
  <c r="F449" i="146" s="1"/>
  <c r="F190" i="46"/>
  <c r="F189" i="46" s="1"/>
  <c r="F185" i="46"/>
  <c r="F439" i="146" s="1"/>
  <c r="F173" i="46"/>
  <c r="F169" i="46"/>
  <c r="F166" i="46"/>
  <c r="F160" i="46"/>
  <c r="F414" i="146" s="1"/>
  <c r="F156" i="46"/>
  <c r="F410" i="146" s="1"/>
  <c r="F152" i="46"/>
  <c r="F150" i="46" s="1"/>
  <c r="F143" i="46"/>
  <c r="F397" i="146" s="1"/>
  <c r="F139" i="46"/>
  <c r="F135" i="46"/>
  <c r="F133" i="46" s="1"/>
  <c r="F129" i="46"/>
  <c r="F126" i="46"/>
  <c r="F121" i="46"/>
  <c r="F116" i="46"/>
  <c r="F111" i="46"/>
  <c r="F365" i="146" s="1"/>
  <c r="F110" i="46"/>
  <c r="F106" i="46"/>
  <c r="F105" i="46" s="1"/>
  <c r="F101" i="46"/>
  <c r="F100" i="46" s="1"/>
  <c r="F99" i="46" s="1"/>
  <c r="F89" i="46"/>
  <c r="F343" i="146" s="1"/>
  <c r="F85" i="46"/>
  <c r="F339" i="146" s="1"/>
  <c r="F82" i="46"/>
  <c r="F76" i="46"/>
  <c r="F330" i="146" s="1"/>
  <c r="F72" i="46"/>
  <c r="F326" i="146" s="1"/>
  <c r="F68" i="46"/>
  <c r="F322" i="146" s="1"/>
  <c r="F59" i="46"/>
  <c r="F55" i="46"/>
  <c r="F51" i="46"/>
  <c r="F49" i="46" s="1"/>
  <c r="F45" i="46"/>
  <c r="F299" i="146" s="1"/>
  <c r="F42" i="46"/>
  <c r="F296" i="146" s="1"/>
  <c r="F37" i="46"/>
  <c r="F32" i="46"/>
  <c r="F27" i="46"/>
  <c r="F26" i="46" s="1"/>
  <c r="F280" i="146" s="1"/>
  <c r="F22" i="46"/>
  <c r="F276" i="146" s="1"/>
  <c r="F17" i="46"/>
  <c r="F16" i="46" s="1"/>
  <c r="F15" i="46" s="1"/>
  <c r="F353" i="146" l="1"/>
  <c r="K12" i="170"/>
  <c r="P12" i="170"/>
  <c r="F184" i="46"/>
  <c r="F183" i="46" s="1"/>
  <c r="P65" i="46"/>
  <c r="P63" i="46" s="1"/>
  <c r="K98" i="46"/>
  <c r="P48" i="46"/>
  <c r="P36" i="46" s="1"/>
  <c r="P35" i="46" s="1"/>
  <c r="K490" i="146"/>
  <c r="F444" i="146"/>
  <c r="P481" i="146"/>
  <c r="F48" i="46"/>
  <c r="F36" i="46" s="1"/>
  <c r="F35" i="46" s="1"/>
  <c r="F66" i="46"/>
  <c r="F65" i="46" s="1"/>
  <c r="F63" i="46" s="1"/>
  <c r="F81" i="46"/>
  <c r="K459" i="146"/>
  <c r="K498" i="146"/>
  <c r="P454" i="146"/>
  <c r="F481" i="146"/>
  <c r="K443" i="146"/>
  <c r="P449" i="146"/>
  <c r="F21" i="46"/>
  <c r="F14" i="46" s="1"/>
  <c r="F10" i="46" s="1"/>
  <c r="K81" i="46"/>
  <c r="K184" i="46"/>
  <c r="K183" i="46" s="1"/>
  <c r="K182" i="46" s="1"/>
  <c r="K178" i="46" s="1"/>
  <c r="K194" i="46"/>
  <c r="K448" i="146" s="1"/>
  <c r="P21" i="46"/>
  <c r="P275" i="146" s="1"/>
  <c r="K281" i="146"/>
  <c r="K330" i="146"/>
  <c r="K494" i="146"/>
  <c r="K511" i="146"/>
  <c r="K406" i="146"/>
  <c r="F387" i="146"/>
  <c r="F249" i="46"/>
  <c r="K48" i="46"/>
  <c r="K36" i="46" s="1"/>
  <c r="K165" i="46"/>
  <c r="K233" i="46"/>
  <c r="K231" i="46" s="1"/>
  <c r="P81" i="46"/>
  <c r="F309" i="146"/>
  <c r="F383" i="146"/>
  <c r="F28" i="146"/>
  <c r="K313" i="146"/>
  <c r="K359" i="146"/>
  <c r="K477" i="146"/>
  <c r="P271" i="146"/>
  <c r="P326" i="146"/>
  <c r="P343" i="146"/>
  <c r="P420" i="146"/>
  <c r="F355" i="146"/>
  <c r="K336" i="146"/>
  <c r="K393" i="146"/>
  <c r="K410" i="146"/>
  <c r="K427" i="146"/>
  <c r="P365" i="146"/>
  <c r="P81" i="150"/>
  <c r="K48" i="150"/>
  <c r="K389" i="146"/>
  <c r="F406" i="146"/>
  <c r="F423" i="146"/>
  <c r="K271" i="146"/>
  <c r="K364" i="146"/>
  <c r="K397" i="146"/>
  <c r="K414" i="146"/>
  <c r="K464" i="146"/>
  <c r="K481" i="146"/>
  <c r="K504" i="146"/>
  <c r="P309" i="146"/>
  <c r="P330" i="146"/>
  <c r="P406" i="146"/>
  <c r="P423" i="146"/>
  <c r="P444" i="146"/>
  <c r="P459" i="146"/>
  <c r="P477" i="146"/>
  <c r="P498" i="146"/>
  <c r="K299" i="146"/>
  <c r="K353" i="146"/>
  <c r="P216" i="150"/>
  <c r="P204" i="150" s="1"/>
  <c r="K233" i="150"/>
  <c r="K231" i="150" s="1"/>
  <c r="F65" i="150"/>
  <c r="F63" i="150" s="1"/>
  <c r="F81" i="150"/>
  <c r="K216" i="150"/>
  <c r="K204" i="150" s="1"/>
  <c r="K203" i="150" s="1"/>
  <c r="F48" i="150"/>
  <c r="F165" i="150"/>
  <c r="F233" i="150"/>
  <c r="F231" i="150" s="1"/>
  <c r="F437" i="146"/>
  <c r="P437" i="146"/>
  <c r="K162" i="170"/>
  <c r="F43" i="146"/>
  <c r="P39" i="170"/>
  <c r="F156" i="146"/>
  <c r="K129" i="146"/>
  <c r="F83" i="146"/>
  <c r="P87" i="146"/>
  <c r="F39" i="146"/>
  <c r="P91" i="146"/>
  <c r="K87" i="146"/>
  <c r="F91" i="146"/>
  <c r="F121" i="146"/>
  <c r="K91" i="146"/>
  <c r="F41" i="146"/>
  <c r="P380" i="146"/>
  <c r="F380" i="146"/>
  <c r="P387" i="146"/>
  <c r="K84" i="146"/>
  <c r="K14" i="30"/>
  <c r="K10" i="30" s="1"/>
  <c r="K269" i="146"/>
  <c r="F364" i="146"/>
  <c r="K375" i="146"/>
  <c r="P353" i="146"/>
  <c r="K216" i="54"/>
  <c r="K204" i="54" s="1"/>
  <c r="K203" i="54" s="1"/>
  <c r="K471" i="146"/>
  <c r="P203" i="94"/>
  <c r="P303" i="146"/>
  <c r="P336" i="146"/>
  <c r="P473" i="146"/>
  <c r="P234" i="146"/>
  <c r="K276" i="146"/>
  <c r="K339" i="146"/>
  <c r="K343" i="146"/>
  <c r="K360" i="146"/>
  <c r="F354" i="146"/>
  <c r="F464" i="146"/>
  <c r="F488" i="146"/>
  <c r="F504" i="146"/>
  <c r="F149" i="46"/>
  <c r="K132" i="46"/>
  <c r="K120" i="46" s="1"/>
  <c r="K36" i="30"/>
  <c r="P149" i="54"/>
  <c r="P147" i="54" s="1"/>
  <c r="K149" i="54"/>
  <c r="K147" i="54" s="1"/>
  <c r="F149" i="54"/>
  <c r="F147" i="54" s="1"/>
  <c r="P65" i="170"/>
  <c r="K67" i="170"/>
  <c r="K91" i="170"/>
  <c r="P182" i="17"/>
  <c r="P178" i="17" s="1"/>
  <c r="K182" i="17"/>
  <c r="K178" i="17" s="1"/>
  <c r="K149" i="94"/>
  <c r="K147" i="94" s="1"/>
  <c r="K249" i="94"/>
  <c r="F204" i="94"/>
  <c r="F203" i="94" s="1"/>
  <c r="F249" i="150"/>
  <c r="P354" i="146"/>
  <c r="P389" i="146"/>
  <c r="P438" i="146"/>
  <c r="K365" i="146"/>
  <c r="F271" i="146"/>
  <c r="F305" i="146"/>
  <c r="F404" i="146"/>
  <c r="F165" i="46"/>
  <c r="F194" i="46"/>
  <c r="F448" i="146" s="1"/>
  <c r="F217" i="46"/>
  <c r="F233" i="46"/>
  <c r="K65" i="46"/>
  <c r="P16" i="46"/>
  <c r="P26" i="46"/>
  <c r="P280" i="146" s="1"/>
  <c r="P98" i="46"/>
  <c r="P189" i="46"/>
  <c r="P443" i="146" s="1"/>
  <c r="P216" i="46"/>
  <c r="F65" i="30"/>
  <c r="F63" i="30" s="1"/>
  <c r="F132" i="30"/>
  <c r="F165" i="30"/>
  <c r="K26" i="30"/>
  <c r="K280" i="146" s="1"/>
  <c r="K81" i="30"/>
  <c r="K98" i="30"/>
  <c r="K216" i="30"/>
  <c r="P110" i="30"/>
  <c r="P364" i="146" s="1"/>
  <c r="P165" i="54"/>
  <c r="P194" i="54"/>
  <c r="P448" i="146" s="1"/>
  <c r="K165" i="54"/>
  <c r="K233" i="54"/>
  <c r="K231" i="54" s="1"/>
  <c r="K485" i="146" s="1"/>
  <c r="F65" i="54"/>
  <c r="F63" i="54" s="1"/>
  <c r="F35" i="54" s="1"/>
  <c r="F80" i="54" s="1"/>
  <c r="F393" i="146"/>
  <c r="P293" i="146"/>
  <c r="P93" i="170"/>
  <c r="F318" i="146"/>
  <c r="F375" i="146"/>
  <c r="P216" i="17"/>
  <c r="P204" i="17" s="1"/>
  <c r="P203" i="17" s="1"/>
  <c r="P248" i="17" s="1"/>
  <c r="K216" i="17"/>
  <c r="P132" i="94"/>
  <c r="P120" i="94" s="1"/>
  <c r="P119" i="94" s="1"/>
  <c r="P123" i="170" s="1"/>
  <c r="P122" i="170" s="1"/>
  <c r="P233" i="94"/>
  <c r="P231" i="94" s="1"/>
  <c r="K65" i="94"/>
  <c r="K63" i="94" s="1"/>
  <c r="F189" i="94"/>
  <c r="F443" i="146" s="1"/>
  <c r="F216" i="94"/>
  <c r="P132" i="150"/>
  <c r="P182" i="150"/>
  <c r="P178" i="150" s="1"/>
  <c r="P233" i="150"/>
  <c r="P231" i="150" s="1"/>
  <c r="K81" i="150"/>
  <c r="K132" i="150"/>
  <c r="K120" i="150" s="1"/>
  <c r="K119" i="150" s="1"/>
  <c r="K249" i="150"/>
  <c r="F14" i="150"/>
  <c r="F36" i="150"/>
  <c r="F35" i="150" s="1"/>
  <c r="F33" i="150" s="1"/>
  <c r="F32" i="150" s="1"/>
  <c r="P322" i="146"/>
  <c r="P360" i="146"/>
  <c r="P217" i="146"/>
  <c r="K17" i="146"/>
  <c r="K16" i="146" s="1"/>
  <c r="K15" i="146" s="1"/>
  <c r="K51" i="146"/>
  <c r="K305" i="146"/>
  <c r="K355" i="146"/>
  <c r="K41" i="146"/>
  <c r="K133" i="146"/>
  <c r="K473" i="146"/>
  <c r="K234" i="146"/>
  <c r="F269" i="146"/>
  <c r="F281" i="146"/>
  <c r="F303" i="146"/>
  <c r="F336" i="146"/>
  <c r="F402" i="146"/>
  <c r="F148" i="146" s="1"/>
  <c r="F64" i="146" s="1"/>
  <c r="F427" i="146"/>
  <c r="F507" i="146"/>
  <c r="F69" i="170"/>
  <c r="F15" i="170" s="1"/>
  <c r="F92" i="170"/>
  <c r="F12" i="170" s="1"/>
  <c r="P69" i="170"/>
  <c r="P15" i="170" s="1"/>
  <c r="P160" i="170"/>
  <c r="P159" i="170" s="1"/>
  <c r="K65" i="170"/>
  <c r="P120" i="150"/>
  <c r="P119" i="150" s="1"/>
  <c r="P404" i="146"/>
  <c r="K322" i="146"/>
  <c r="F270" i="146"/>
  <c r="F420" i="146"/>
  <c r="K149" i="46"/>
  <c r="K249" i="46"/>
  <c r="F81" i="30"/>
  <c r="F335" i="146" s="1"/>
  <c r="F149" i="30"/>
  <c r="F147" i="30" s="1"/>
  <c r="K182" i="30"/>
  <c r="K178" i="30" s="1"/>
  <c r="F132" i="54"/>
  <c r="F249" i="54"/>
  <c r="P67" i="170"/>
  <c r="P36" i="17"/>
  <c r="K81" i="17"/>
  <c r="K132" i="94"/>
  <c r="K120" i="94" s="1"/>
  <c r="K119" i="94" s="1"/>
  <c r="K123" i="170" s="1"/>
  <c r="K122" i="170" s="1"/>
  <c r="F36" i="94"/>
  <c r="F132" i="150"/>
  <c r="F120" i="150" s="1"/>
  <c r="F119" i="150" s="1"/>
  <c r="F125" i="170" s="1"/>
  <c r="F149" i="150"/>
  <c r="F147" i="150" s="1"/>
  <c r="P68" i="146"/>
  <c r="P320" i="146"/>
  <c r="P490" i="146"/>
  <c r="K303" i="146"/>
  <c r="K377" i="146"/>
  <c r="K123" i="146" s="1"/>
  <c r="K39" i="146" s="1"/>
  <c r="F87" i="146"/>
  <c r="F132" i="46"/>
  <c r="F120" i="46" s="1"/>
  <c r="K14" i="46"/>
  <c r="K94" i="46"/>
  <c r="K216" i="46"/>
  <c r="P132" i="46"/>
  <c r="P120" i="46" s="1"/>
  <c r="P149" i="46"/>
  <c r="P165" i="46"/>
  <c r="P233" i="46"/>
  <c r="P249" i="46"/>
  <c r="K132" i="30"/>
  <c r="K149" i="30"/>
  <c r="K147" i="30" s="1"/>
  <c r="K165" i="30"/>
  <c r="K233" i="30"/>
  <c r="K231" i="30" s="1"/>
  <c r="K249" i="30"/>
  <c r="P165" i="30"/>
  <c r="P233" i="30"/>
  <c r="P231" i="30" s="1"/>
  <c r="P203" i="30" s="1"/>
  <c r="P132" i="54"/>
  <c r="P120" i="54" s="1"/>
  <c r="P119" i="54" s="1"/>
  <c r="P32" i="170" s="1"/>
  <c r="P31" i="170" s="1"/>
  <c r="P233" i="54"/>
  <c r="P231" i="54" s="1"/>
  <c r="P203" i="54" s="1"/>
  <c r="K36" i="54"/>
  <c r="K35" i="54" s="1"/>
  <c r="K80" i="54" s="1"/>
  <c r="K132" i="54"/>
  <c r="K120" i="54" s="1"/>
  <c r="K119" i="54" s="1"/>
  <c r="K32" i="170" s="1"/>
  <c r="K31" i="170" s="1"/>
  <c r="F14" i="54"/>
  <c r="F10" i="54" s="1"/>
  <c r="F94" i="54"/>
  <c r="F216" i="54"/>
  <c r="F204" i="54" s="1"/>
  <c r="F203" i="54" s="1"/>
  <c r="F248" i="54" s="1"/>
  <c r="P292" i="146"/>
  <c r="F93" i="170"/>
  <c r="P132" i="17"/>
  <c r="P149" i="17"/>
  <c r="P147" i="17" s="1"/>
  <c r="P165" i="17"/>
  <c r="P233" i="17"/>
  <c r="P231" i="17" s="1"/>
  <c r="P249" i="17"/>
  <c r="K48" i="17"/>
  <c r="K36" i="17" s="1"/>
  <c r="K35" i="17" s="1"/>
  <c r="K80" i="17" s="1"/>
  <c r="K132" i="17"/>
  <c r="K149" i="17"/>
  <c r="K147" i="17" s="1"/>
  <c r="K165" i="17"/>
  <c r="K233" i="17"/>
  <c r="K231" i="17" s="1"/>
  <c r="K249" i="17"/>
  <c r="F165" i="17"/>
  <c r="F121" i="170"/>
  <c r="F120" i="170" s="1"/>
  <c r="P14" i="94"/>
  <c r="P10" i="94" s="1"/>
  <c r="P48" i="94"/>
  <c r="P36" i="94" s="1"/>
  <c r="P35" i="94" s="1"/>
  <c r="P80" i="94" s="1"/>
  <c r="P81" i="94"/>
  <c r="K216" i="94"/>
  <c r="K204" i="94" s="1"/>
  <c r="K203" i="94" s="1"/>
  <c r="K248" i="94" s="1"/>
  <c r="F132" i="94"/>
  <c r="F120" i="94" s="1"/>
  <c r="F119" i="94" s="1"/>
  <c r="F123" i="170" s="1"/>
  <c r="F122" i="170" s="1"/>
  <c r="F149" i="94"/>
  <c r="F147" i="94" s="1"/>
  <c r="F165" i="94"/>
  <c r="F233" i="94"/>
  <c r="F231" i="94" s="1"/>
  <c r="F249" i="94"/>
  <c r="P36" i="150"/>
  <c r="P48" i="150"/>
  <c r="P65" i="150"/>
  <c r="P63" i="150" s="1"/>
  <c r="P317" i="146" s="1"/>
  <c r="P249" i="150"/>
  <c r="K98" i="150"/>
  <c r="K149" i="150"/>
  <c r="K147" i="150" s="1"/>
  <c r="K165" i="150"/>
  <c r="F216" i="150"/>
  <c r="F204" i="150" s="1"/>
  <c r="F203" i="150" s="1"/>
  <c r="P305" i="146"/>
  <c r="P355" i="146"/>
  <c r="P394" i="146"/>
  <c r="P140" i="146" s="1"/>
  <c r="P139" i="146" s="1"/>
  <c r="P471" i="146"/>
  <c r="P507" i="146"/>
  <c r="K58" i="146"/>
  <c r="K270" i="146"/>
  <c r="K320" i="146"/>
  <c r="K354" i="146"/>
  <c r="K378" i="146"/>
  <c r="K124" i="146" s="1"/>
  <c r="K121" i="146" s="1"/>
  <c r="K387" i="146"/>
  <c r="K420" i="146"/>
  <c r="K488" i="146"/>
  <c r="K253" i="146"/>
  <c r="F51" i="146"/>
  <c r="F67" i="146"/>
  <c r="F66" i="146" s="1"/>
  <c r="F360" i="146"/>
  <c r="F30" i="146"/>
  <c r="F389" i="146"/>
  <c r="F438" i="146"/>
  <c r="F490" i="146"/>
  <c r="K69" i="170"/>
  <c r="K15" i="170" s="1"/>
  <c r="F249" i="170"/>
  <c r="F237" i="170" s="1"/>
  <c r="K70" i="170"/>
  <c r="K92" i="146"/>
  <c r="F53" i="170"/>
  <c r="F86" i="170"/>
  <c r="K76" i="170"/>
  <c r="F18" i="170"/>
  <c r="F48" i="170"/>
  <c r="F60" i="170"/>
  <c r="F162" i="170"/>
  <c r="K18" i="170"/>
  <c r="K140" i="170"/>
  <c r="K160" i="170"/>
  <c r="K159" i="170" s="1"/>
  <c r="K249" i="170"/>
  <c r="K237" i="170" s="1"/>
  <c r="P60" i="170"/>
  <c r="P86" i="170"/>
  <c r="P249" i="170"/>
  <c r="P237" i="170" s="1"/>
  <c r="P18" i="170"/>
  <c r="F105" i="170"/>
  <c r="P14" i="170"/>
  <c r="K11" i="146"/>
  <c r="K60" i="170"/>
  <c r="P86" i="146"/>
  <c r="K47" i="146"/>
  <c r="P75" i="146"/>
  <c r="K23" i="146"/>
  <c r="K29" i="146"/>
  <c r="K61" i="146"/>
  <c r="K160" i="146"/>
  <c r="K213" i="146"/>
  <c r="K60" i="146"/>
  <c r="K78" i="146"/>
  <c r="F169" i="146"/>
  <c r="F88" i="146"/>
  <c r="F60" i="146"/>
  <c r="F76" i="170"/>
  <c r="P78" i="146"/>
  <c r="K56" i="146"/>
  <c r="P90" i="146"/>
  <c r="P60" i="146"/>
  <c r="F56" i="146"/>
  <c r="P44" i="146"/>
  <c r="K50" i="146"/>
  <c r="K49" i="146" s="1"/>
  <c r="K25" i="146"/>
  <c r="K31" i="146"/>
  <c r="K139" i="146"/>
  <c r="K74" i="146"/>
  <c r="K88" i="146"/>
  <c r="P48" i="170"/>
  <c r="K33" i="170"/>
  <c r="F25" i="170"/>
  <c r="P143" i="146"/>
  <c r="P84" i="146"/>
  <c r="P88" i="146"/>
  <c r="P92" i="146"/>
  <c r="P240" i="146"/>
  <c r="P223" i="146"/>
  <c r="P11" i="146"/>
  <c r="P58" i="146"/>
  <c r="P74" i="146"/>
  <c r="K24" i="146"/>
  <c r="K30" i="146"/>
  <c r="K57" i="146"/>
  <c r="K156" i="146"/>
  <c r="K75" i="146"/>
  <c r="F44" i="146"/>
  <c r="F24" i="146"/>
  <c r="F40" i="146"/>
  <c r="F47" i="146"/>
  <c r="F160" i="146"/>
  <c r="F84" i="146"/>
  <c r="F173" i="146"/>
  <c r="F92" i="146"/>
  <c r="P133" i="146"/>
  <c r="P50" i="146"/>
  <c r="P49" i="146" s="1"/>
  <c r="K111" i="146"/>
  <c r="K110" i="146" s="1"/>
  <c r="K28" i="146"/>
  <c r="K38" i="146"/>
  <c r="K169" i="146"/>
  <c r="K86" i="146"/>
  <c r="K173" i="146"/>
  <c r="K90" i="146"/>
  <c r="P156" i="146"/>
  <c r="F111" i="146"/>
  <c r="F110" i="146" s="1"/>
  <c r="F129" i="146"/>
  <c r="P61" i="146"/>
  <c r="P39" i="146"/>
  <c r="P41" i="146"/>
  <c r="P47" i="146"/>
  <c r="K46" i="146"/>
  <c r="K44" i="146"/>
  <c r="K143" i="146"/>
  <c r="K223" i="146"/>
  <c r="K240" i="146"/>
  <c r="K257" i="146"/>
  <c r="F74" i="146"/>
  <c r="F166" i="146"/>
  <c r="F244" i="146"/>
  <c r="F70" i="170"/>
  <c r="P111" i="146"/>
  <c r="P110" i="146" s="1"/>
  <c r="F234" i="146"/>
  <c r="P28" i="146"/>
  <c r="P27" i="146" s="1"/>
  <c r="P26" i="146" s="1"/>
  <c r="P57" i="146"/>
  <c r="P160" i="146"/>
  <c r="P190" i="146"/>
  <c r="P189" i="146" s="1"/>
  <c r="P195" i="146"/>
  <c r="P194" i="146" s="1"/>
  <c r="P205" i="146"/>
  <c r="P227" i="146"/>
  <c r="P244" i="146"/>
  <c r="K180" i="146"/>
  <c r="K12" i="146" s="1"/>
  <c r="K210" i="146"/>
  <c r="K250" i="146"/>
  <c r="F139" i="146"/>
  <c r="F31" i="146"/>
  <c r="F210" i="146"/>
  <c r="F75" i="146"/>
  <c r="F250" i="146"/>
  <c r="F205" i="146"/>
  <c r="F213" i="146"/>
  <c r="F253" i="146"/>
  <c r="F257" i="146"/>
  <c r="K53" i="170"/>
  <c r="K86" i="170"/>
  <c r="K105" i="170"/>
  <c r="P33" i="170"/>
  <c r="P53" i="170"/>
  <c r="P70" i="170"/>
  <c r="P105" i="170"/>
  <c r="P38" i="146"/>
  <c r="P40" i="146"/>
  <c r="P46" i="146"/>
  <c r="P180" i="146"/>
  <c r="P12" i="146" s="1"/>
  <c r="P210" i="146"/>
  <c r="P250" i="146"/>
  <c r="K190" i="146"/>
  <c r="K189" i="146" s="1"/>
  <c r="K195" i="146"/>
  <c r="K194" i="146" s="1"/>
  <c r="K205" i="146"/>
  <c r="K227" i="146"/>
  <c r="K244" i="146"/>
  <c r="F106" i="146"/>
  <c r="F105" i="146" s="1"/>
  <c r="F98" i="146" s="1"/>
  <c r="F143" i="146"/>
  <c r="F150" i="146"/>
  <c r="F180" i="146"/>
  <c r="F12" i="146" s="1"/>
  <c r="F195" i="146"/>
  <c r="F194" i="146" s="1"/>
  <c r="F223" i="146"/>
  <c r="F227" i="146"/>
  <c r="F240" i="146"/>
  <c r="F39" i="170"/>
  <c r="F140" i="170"/>
  <c r="K39" i="170"/>
  <c r="P80" i="170"/>
  <c r="P140" i="170"/>
  <c r="F33" i="170"/>
  <c r="F14" i="170"/>
  <c r="F80" i="170"/>
  <c r="K25" i="170"/>
  <c r="K14" i="170"/>
  <c r="K48" i="170"/>
  <c r="K80" i="170"/>
  <c r="P25" i="170"/>
  <c r="P76" i="170"/>
  <c r="P297" i="146"/>
  <c r="F297" i="146"/>
  <c r="K297" i="146"/>
  <c r="F126" i="146"/>
  <c r="F160" i="170"/>
  <c r="F159" i="170" s="1"/>
  <c r="P121" i="146"/>
  <c r="F78" i="146"/>
  <c r="F190" i="146"/>
  <c r="F189" i="146" s="1"/>
  <c r="F25" i="146"/>
  <c r="F29" i="146"/>
  <c r="F57" i="146"/>
  <c r="F61" i="146"/>
  <c r="F77" i="146"/>
  <c r="F38" i="146"/>
  <c r="F46" i="146"/>
  <c r="F50" i="146"/>
  <c r="F86" i="146"/>
  <c r="F90" i="146"/>
  <c r="F73" i="146"/>
  <c r="F11" i="146"/>
  <c r="F23" i="146"/>
  <c r="K43" i="146"/>
  <c r="K126" i="146"/>
  <c r="K67" i="146"/>
  <c r="K66" i="146" s="1"/>
  <c r="K150" i="146"/>
  <c r="K83" i="146"/>
  <c r="K166" i="146"/>
  <c r="K64" i="146"/>
  <c r="K73" i="146"/>
  <c r="K77" i="146"/>
  <c r="K106" i="146"/>
  <c r="K105" i="146" s="1"/>
  <c r="K98" i="146" s="1"/>
  <c r="P22" i="146"/>
  <c r="P21" i="146" s="1"/>
  <c r="P129" i="146"/>
  <c r="P173" i="146"/>
  <c r="P213" i="146"/>
  <c r="P253" i="146"/>
  <c r="P43" i="146"/>
  <c r="P126" i="146"/>
  <c r="P67" i="146"/>
  <c r="P66" i="146" s="1"/>
  <c r="P150" i="146"/>
  <c r="P83" i="146"/>
  <c r="P166" i="146"/>
  <c r="P169" i="146"/>
  <c r="P257" i="146"/>
  <c r="P64" i="146"/>
  <c r="P73" i="146"/>
  <c r="P77" i="146"/>
  <c r="P106" i="146"/>
  <c r="P105" i="146" s="1"/>
  <c r="P98" i="146" s="1"/>
  <c r="F98" i="150"/>
  <c r="F94" i="150" s="1"/>
  <c r="K14" i="150"/>
  <c r="K43" i="150"/>
  <c r="K42" i="150" s="1"/>
  <c r="K36" i="150" s="1"/>
  <c r="K35" i="150" s="1"/>
  <c r="K33" i="150" s="1"/>
  <c r="K32" i="150" s="1"/>
  <c r="F35" i="94"/>
  <c r="F80" i="94"/>
  <c r="F98" i="94"/>
  <c r="F94" i="94" s="1"/>
  <c r="K35" i="94"/>
  <c r="K80" i="94"/>
  <c r="K98" i="94"/>
  <c r="K94" i="94" s="1"/>
  <c r="P98" i="94"/>
  <c r="P94" i="94" s="1"/>
  <c r="P248" i="94"/>
  <c r="K121" i="170"/>
  <c r="K120" i="170" s="1"/>
  <c r="P121" i="170"/>
  <c r="P120" i="170" s="1"/>
  <c r="F36" i="17"/>
  <c r="F35" i="17" s="1"/>
  <c r="F80" i="17" s="1"/>
  <c r="F164" i="17"/>
  <c r="F182" i="17"/>
  <c r="F178" i="17" s="1"/>
  <c r="F248" i="17" s="1"/>
  <c r="K204" i="17"/>
  <c r="K203" i="17" s="1"/>
  <c r="K248" i="17" s="1"/>
  <c r="K98" i="17"/>
  <c r="K94" i="17" s="1"/>
  <c r="K120" i="17"/>
  <c r="K119" i="17" s="1"/>
  <c r="K100" i="170" s="1"/>
  <c r="K99" i="170" s="1"/>
  <c r="P35" i="17"/>
  <c r="P80" i="17" s="1"/>
  <c r="P98" i="17"/>
  <c r="P94" i="17" s="1"/>
  <c r="P120" i="17"/>
  <c r="F97" i="170"/>
  <c r="K97" i="170"/>
  <c r="P97" i="170"/>
  <c r="K93" i="170"/>
  <c r="F67" i="170"/>
  <c r="F120" i="54"/>
  <c r="F119" i="54" s="1"/>
  <c r="K98" i="54"/>
  <c r="K94" i="54" s="1"/>
  <c r="K182" i="54"/>
  <c r="K178" i="54" s="1"/>
  <c r="P36" i="54"/>
  <c r="P35" i="54" s="1"/>
  <c r="P80" i="54" s="1"/>
  <c r="P98" i="54"/>
  <c r="P94" i="54" s="1"/>
  <c r="P182" i="54"/>
  <c r="P178" i="54" s="1"/>
  <c r="P36" i="30"/>
  <c r="P35" i="30" s="1"/>
  <c r="P80" i="30" s="1"/>
  <c r="P98" i="30"/>
  <c r="P94" i="30" s="1"/>
  <c r="P164" i="30" s="1"/>
  <c r="P182" i="30"/>
  <c r="P178" i="30" s="1"/>
  <c r="K120" i="30"/>
  <c r="K119" i="30" s="1"/>
  <c r="K24" i="170" s="1"/>
  <c r="K23" i="170" s="1"/>
  <c r="K35" i="30"/>
  <c r="K80" i="30" s="1"/>
  <c r="K204" i="30"/>
  <c r="K203" i="30" s="1"/>
  <c r="F248" i="30"/>
  <c r="F120" i="30"/>
  <c r="F119" i="30" s="1"/>
  <c r="F36" i="30"/>
  <c r="F35" i="30" s="1"/>
  <c r="F80" i="30" s="1"/>
  <c r="K204" i="46"/>
  <c r="F98" i="46"/>
  <c r="F182" i="46"/>
  <c r="F80" i="46" l="1"/>
  <c r="F275" i="146"/>
  <c r="F320" i="146"/>
  <c r="P302" i="146"/>
  <c r="P335" i="146"/>
  <c r="F503" i="146"/>
  <c r="K432" i="146"/>
  <c r="K437" i="146"/>
  <c r="K438" i="146"/>
  <c r="K130" i="170"/>
  <c r="K13" i="170" s="1"/>
  <c r="K19" i="170" s="1"/>
  <c r="K248" i="150"/>
  <c r="K296" i="146"/>
  <c r="F10" i="150"/>
  <c r="F80" i="150" s="1"/>
  <c r="K419" i="146"/>
  <c r="K470" i="146"/>
  <c r="K335" i="146"/>
  <c r="F42" i="146"/>
  <c r="K82" i="146"/>
  <c r="F149" i="170"/>
  <c r="F148" i="170" s="1"/>
  <c r="P149" i="170"/>
  <c r="P148" i="170" s="1"/>
  <c r="K149" i="170"/>
  <c r="K148" i="170" s="1"/>
  <c r="F85" i="146"/>
  <c r="K216" i="146"/>
  <c r="K204" i="146" s="1"/>
  <c r="P85" i="146"/>
  <c r="K233" i="146"/>
  <c r="K231" i="146" s="1"/>
  <c r="P45" i="146"/>
  <c r="F82" i="146"/>
  <c r="F182" i="146"/>
  <c r="F178" i="146" s="1"/>
  <c r="F22" i="146"/>
  <c r="F21" i="146" s="1"/>
  <c r="P42" i="146"/>
  <c r="K22" i="146"/>
  <c r="K21" i="146" s="1"/>
  <c r="P72" i="146"/>
  <c r="K149" i="146"/>
  <c r="K147" i="146" s="1"/>
  <c r="P59" i="146"/>
  <c r="F59" i="146"/>
  <c r="K89" i="146"/>
  <c r="P76" i="146"/>
  <c r="F37" i="146"/>
  <c r="P216" i="146"/>
  <c r="P204" i="146" s="1"/>
  <c r="K85" i="146"/>
  <c r="K40" i="146"/>
  <c r="K37" i="146" s="1"/>
  <c r="P82" i="146"/>
  <c r="P56" i="146"/>
  <c r="P55" i="146" s="1"/>
  <c r="F45" i="146"/>
  <c r="F55" i="146"/>
  <c r="P233" i="146"/>
  <c r="P231" i="146" s="1"/>
  <c r="F233" i="146"/>
  <c r="F231" i="146" s="1"/>
  <c r="P96" i="170"/>
  <c r="P95" i="170" s="1"/>
  <c r="P132" i="146"/>
  <c r="F248" i="150"/>
  <c r="F130" i="170"/>
  <c r="F13" i="170" s="1"/>
  <c r="F19" i="170" s="1"/>
  <c r="F317" i="146"/>
  <c r="K203" i="46"/>
  <c r="K458" i="146"/>
  <c r="P164" i="54"/>
  <c r="P294" i="146"/>
  <c r="F302" i="146"/>
  <c r="F178" i="46"/>
  <c r="P91" i="170"/>
  <c r="P90" i="170" s="1"/>
  <c r="P375" i="146"/>
  <c r="P419" i="146"/>
  <c r="K96" i="170"/>
  <c r="K95" i="170" s="1"/>
  <c r="P470" i="146"/>
  <c r="P15" i="46"/>
  <c r="P270" i="146"/>
  <c r="P204" i="46"/>
  <c r="K248" i="30"/>
  <c r="P248" i="54"/>
  <c r="K294" i="146"/>
  <c r="F164" i="94"/>
  <c r="F27" i="146"/>
  <c r="F26" i="146" s="1"/>
  <c r="P64" i="170"/>
  <c r="K132" i="146"/>
  <c r="K120" i="146" s="1"/>
  <c r="K119" i="146" s="1"/>
  <c r="K436" i="146"/>
  <c r="P35" i="150"/>
  <c r="P33" i="150" s="1"/>
  <c r="P32" i="150" s="1"/>
  <c r="P10" i="150" s="1"/>
  <c r="P80" i="150" s="1"/>
  <c r="P503" i="146"/>
  <c r="P386" i="146"/>
  <c r="F386" i="146"/>
  <c r="K503" i="146"/>
  <c r="P117" i="150"/>
  <c r="P116" i="150" s="1"/>
  <c r="P94" i="150" s="1"/>
  <c r="P164" i="150" s="1"/>
  <c r="P125" i="170"/>
  <c r="K94" i="30"/>
  <c r="K164" i="30" s="1"/>
  <c r="K352" i="146"/>
  <c r="P94" i="46"/>
  <c r="P352" i="146"/>
  <c r="F231" i="46"/>
  <c r="F485" i="146" s="1"/>
  <c r="F487" i="146"/>
  <c r="K90" i="170"/>
  <c r="P182" i="46"/>
  <c r="K302" i="146"/>
  <c r="P248" i="30"/>
  <c r="K248" i="54"/>
  <c r="K164" i="94"/>
  <c r="K117" i="150"/>
  <c r="K116" i="150" s="1"/>
  <c r="K94" i="150" s="1"/>
  <c r="K164" i="150" s="1"/>
  <c r="K125" i="170"/>
  <c r="P231" i="46"/>
  <c r="P485" i="146" s="1"/>
  <c r="P487" i="146"/>
  <c r="K147" i="46"/>
  <c r="K401" i="146" s="1"/>
  <c r="K403" i="146"/>
  <c r="F216" i="46"/>
  <c r="F471" i="146"/>
  <c r="F164" i="30"/>
  <c r="F24" i="170"/>
  <c r="F23" i="170" s="1"/>
  <c r="K164" i="54"/>
  <c r="P119" i="17"/>
  <c r="P100" i="170" s="1"/>
  <c r="P99" i="170" s="1"/>
  <c r="F49" i="146"/>
  <c r="K45" i="146"/>
  <c r="F182" i="94"/>
  <c r="F178" i="94" s="1"/>
  <c r="F248" i="94" s="1"/>
  <c r="P319" i="146"/>
  <c r="K64" i="170"/>
  <c r="F292" i="146"/>
  <c r="K386" i="146"/>
  <c r="F94" i="46"/>
  <c r="F352" i="146"/>
  <c r="F164" i="54"/>
  <c r="F32" i="170"/>
  <c r="F31" i="170" s="1"/>
  <c r="F374" i="146"/>
  <c r="F96" i="170"/>
  <c r="F95" i="170" s="1"/>
  <c r="P164" i="94"/>
  <c r="K76" i="146"/>
  <c r="F72" i="146"/>
  <c r="F268" i="146"/>
  <c r="P147" i="46"/>
  <c r="P401" i="146" s="1"/>
  <c r="P403" i="146"/>
  <c r="K10" i="46"/>
  <c r="K268" i="146"/>
  <c r="P203" i="150"/>
  <c r="P130" i="170" s="1"/>
  <c r="P13" i="170" s="1"/>
  <c r="P19" i="170" s="1"/>
  <c r="F319" i="146"/>
  <c r="K63" i="46"/>
  <c r="K319" i="146"/>
  <c r="F419" i="146"/>
  <c r="K487" i="146"/>
  <c r="F147" i="46"/>
  <c r="F401" i="146" s="1"/>
  <c r="F403" i="146"/>
  <c r="K249" i="146"/>
  <c r="K55" i="146"/>
  <c r="P89" i="146"/>
  <c r="P149" i="146"/>
  <c r="P147" i="146" s="1"/>
  <c r="P14" i="146"/>
  <c r="K72" i="146"/>
  <c r="K165" i="146"/>
  <c r="F89" i="146"/>
  <c r="K27" i="146"/>
  <c r="K26" i="146" s="1"/>
  <c r="P182" i="146"/>
  <c r="P178" i="146" s="1"/>
  <c r="K59" i="146"/>
  <c r="F216" i="146"/>
  <c r="F204" i="146" s="1"/>
  <c r="P37" i="146"/>
  <c r="K42" i="146"/>
  <c r="F149" i="146"/>
  <c r="F147" i="146" s="1"/>
  <c r="F165" i="146"/>
  <c r="F132" i="146"/>
  <c r="F120" i="146" s="1"/>
  <c r="K182" i="146"/>
  <c r="K178" i="146" s="1"/>
  <c r="P249" i="146"/>
  <c r="F249" i="146"/>
  <c r="P44" i="170"/>
  <c r="K374" i="146"/>
  <c r="P120" i="146"/>
  <c r="P374" i="146"/>
  <c r="F76" i="146"/>
  <c r="P165" i="146"/>
  <c r="F164" i="150"/>
  <c r="K10" i="150"/>
  <c r="K80" i="150" s="1"/>
  <c r="K164" i="17"/>
  <c r="P164" i="17"/>
  <c r="K81" i="146" l="1"/>
  <c r="K124" i="170"/>
  <c r="P48" i="146"/>
  <c r="P248" i="150"/>
  <c r="K203" i="146"/>
  <c r="K248" i="146" s="1"/>
  <c r="K14" i="146"/>
  <c r="F124" i="170"/>
  <c r="P124" i="170"/>
  <c r="P65" i="146"/>
  <c r="P63" i="146" s="1"/>
  <c r="F14" i="146"/>
  <c r="P36" i="146"/>
  <c r="F81" i="146"/>
  <c r="F48" i="146"/>
  <c r="F36" i="146" s="1"/>
  <c r="P81" i="146"/>
  <c r="P203" i="146"/>
  <c r="P248" i="146" s="1"/>
  <c r="K65" i="146"/>
  <c r="K63" i="146" s="1"/>
  <c r="F203" i="146"/>
  <c r="F248" i="146" s="1"/>
  <c r="F65" i="146"/>
  <c r="F63" i="146" s="1"/>
  <c r="K48" i="146"/>
  <c r="K36" i="146" s="1"/>
  <c r="F470" i="146"/>
  <c r="F204" i="46"/>
  <c r="F91" i="170"/>
  <c r="F90" i="170" s="1"/>
  <c r="P14" i="46"/>
  <c r="P269" i="146"/>
  <c r="F65" i="170"/>
  <c r="F64" i="170" s="1"/>
  <c r="F291" i="146"/>
  <c r="P203" i="46"/>
  <c r="P458" i="146"/>
  <c r="P119" i="46"/>
  <c r="P22" i="170" s="1"/>
  <c r="P21" i="170" s="1"/>
  <c r="P164" i="46"/>
  <c r="F432" i="146"/>
  <c r="P291" i="146"/>
  <c r="K317" i="146"/>
  <c r="K35" i="46"/>
  <c r="K80" i="46" s="1"/>
  <c r="P178" i="46"/>
  <c r="P432" i="146" s="1"/>
  <c r="P436" i="146"/>
  <c r="K291" i="146"/>
  <c r="F119" i="46"/>
  <c r="F22" i="170" s="1"/>
  <c r="F21" i="170" s="1"/>
  <c r="F436" i="146"/>
  <c r="K457" i="146"/>
  <c r="K248" i="46"/>
  <c r="K502" i="146" s="1"/>
  <c r="K119" i="46"/>
  <c r="K373" i="146" s="1"/>
  <c r="P119" i="146"/>
  <c r="F119" i="146"/>
  <c r="P43" i="170"/>
  <c r="F44" i="170"/>
  <c r="K44" i="170"/>
  <c r="P373" i="146"/>
  <c r="F287" i="146"/>
  <c r="P35" i="146" l="1"/>
  <c r="F35" i="146"/>
  <c r="P11" i="170"/>
  <c r="P17" i="170" s="1"/>
  <c r="P10" i="170"/>
  <c r="P16" i="170" s="1"/>
  <c r="K35" i="146"/>
  <c r="P248" i="46"/>
  <c r="P502" i="146" s="1"/>
  <c r="P457" i="146"/>
  <c r="F203" i="46"/>
  <c r="F458" i="146"/>
  <c r="P290" i="146"/>
  <c r="F290" i="146"/>
  <c r="P10" i="46"/>
  <c r="P80" i="46" s="1"/>
  <c r="P268" i="146"/>
  <c r="K164" i="46"/>
  <c r="K22" i="170"/>
  <c r="K21" i="170" s="1"/>
  <c r="F373" i="146"/>
  <c r="K290" i="146"/>
  <c r="F164" i="46"/>
  <c r="K371" i="146"/>
  <c r="K117" i="146" s="1"/>
  <c r="K43" i="170"/>
  <c r="F43" i="170"/>
  <c r="F10" i="170" s="1"/>
  <c r="F16" i="170" s="1"/>
  <c r="F11" i="170"/>
  <c r="F17" i="170" s="1"/>
  <c r="F371" i="146"/>
  <c r="F117" i="146" s="1"/>
  <c r="P371" i="146"/>
  <c r="P117" i="146" s="1"/>
  <c r="K287" i="146"/>
  <c r="F286" i="146"/>
  <c r="P287" i="146"/>
  <c r="P143" i="170" l="1"/>
  <c r="P1" i="146"/>
  <c r="F143" i="170"/>
  <c r="F1" i="146"/>
  <c r="K11" i="170"/>
  <c r="K17" i="170" s="1"/>
  <c r="K10" i="170"/>
  <c r="K16" i="170" s="1"/>
  <c r="K289" i="146"/>
  <c r="F289" i="146"/>
  <c r="F457" i="146"/>
  <c r="F248" i="46"/>
  <c r="F502" i="146" s="1"/>
  <c r="P289" i="146"/>
  <c r="K116" i="146"/>
  <c r="K94" i="146" s="1"/>
  <c r="K164" i="146" s="1"/>
  <c r="K33" i="146"/>
  <c r="F116" i="146"/>
  <c r="F94" i="146" s="1"/>
  <c r="F164" i="146" s="1"/>
  <c r="F33" i="146"/>
  <c r="F370" i="146"/>
  <c r="K370" i="146"/>
  <c r="P116" i="146"/>
  <c r="P94" i="146" s="1"/>
  <c r="P164" i="146" s="1"/>
  <c r="P33" i="146"/>
  <c r="P370" i="146"/>
  <c r="F334" i="146"/>
  <c r="F264" i="146"/>
  <c r="P286" i="146"/>
  <c r="K286" i="146"/>
  <c r="K143" i="170" l="1"/>
  <c r="K1" i="146"/>
  <c r="K32" i="146"/>
  <c r="K10" i="146" s="1"/>
  <c r="K80" i="146" s="1"/>
  <c r="K418" i="146"/>
  <c r="K348" i="146"/>
  <c r="F32" i="146"/>
  <c r="F10" i="146" s="1"/>
  <c r="F80" i="146" s="1"/>
  <c r="F418" i="146"/>
  <c r="F348" i="146"/>
  <c r="P32" i="146"/>
  <c r="P10" i="146" s="1"/>
  <c r="P80" i="146" s="1"/>
  <c r="P418" i="146"/>
  <c r="P348" i="146"/>
  <c r="K334" i="146"/>
  <c r="K264" i="146"/>
  <c r="P334" i="146"/>
  <c r="P264" i="146"/>
  <c r="J152" i="170" l="1"/>
  <c r="O152" i="170"/>
  <c r="E152" i="170"/>
  <c r="D85" i="170" l="1"/>
  <c r="E85" i="170"/>
  <c r="E20" i="170" s="1"/>
  <c r="G85" i="170"/>
  <c r="G20" i="170" s="1"/>
  <c r="H85" i="170"/>
  <c r="H20" i="170" s="1"/>
  <c r="I85" i="170"/>
  <c r="I20" i="170" s="1"/>
  <c r="X20" i="170" s="1"/>
  <c r="J85" i="170"/>
  <c r="J20" i="170" s="1"/>
  <c r="L85" i="170"/>
  <c r="L20" i="170" s="1"/>
  <c r="M85" i="170"/>
  <c r="M20" i="170" s="1"/>
  <c r="N85" i="170"/>
  <c r="O85" i="170"/>
  <c r="O20" i="170" s="1"/>
  <c r="Q85" i="170"/>
  <c r="Q20" i="170" s="1"/>
  <c r="R85" i="170"/>
  <c r="R20" i="170" s="1"/>
  <c r="C85" i="170"/>
  <c r="C20" i="170" s="1"/>
  <c r="C89" i="170"/>
  <c r="D89" i="170"/>
  <c r="V89" i="170" s="1"/>
  <c r="E89" i="170"/>
  <c r="G89" i="170"/>
  <c r="H89" i="170"/>
  <c r="M89" i="170"/>
  <c r="N89" i="170"/>
  <c r="Z89" i="170" s="1"/>
  <c r="O89" i="170"/>
  <c r="Q89" i="170"/>
  <c r="R89" i="170"/>
  <c r="J89" i="170"/>
  <c r="L89" i="170"/>
  <c r="I89" i="170"/>
  <c r="X89" i="170" s="1"/>
  <c r="V30" i="170"/>
  <c r="V52" i="170"/>
  <c r="V55" i="170"/>
  <c r="V56" i="170"/>
  <c r="V59" i="170"/>
  <c r="V72" i="170"/>
  <c r="V75" i="170"/>
  <c r="V108" i="170"/>
  <c r="V109" i="170"/>
  <c r="V126" i="170"/>
  <c r="V127" i="170"/>
  <c r="V128" i="170"/>
  <c r="V131" i="170"/>
  <c r="V132" i="170"/>
  <c r="V135" i="170"/>
  <c r="V136" i="170"/>
  <c r="V137" i="170"/>
  <c r="V138" i="170"/>
  <c r="V139" i="170"/>
  <c r="Z30" i="170"/>
  <c r="Z52" i="170"/>
  <c r="Z55" i="170"/>
  <c r="Z56" i="170"/>
  <c r="Z59" i="170"/>
  <c r="Z72" i="170"/>
  <c r="Z75" i="170"/>
  <c r="Z108" i="170"/>
  <c r="Z109" i="170"/>
  <c r="Z126" i="170"/>
  <c r="Z127" i="170"/>
  <c r="Z128" i="170"/>
  <c r="Z131" i="170"/>
  <c r="Z132" i="170"/>
  <c r="Z135" i="170"/>
  <c r="Z136" i="170"/>
  <c r="Z137" i="170"/>
  <c r="Z138" i="170"/>
  <c r="Z139" i="170"/>
  <c r="X30" i="170"/>
  <c r="X52" i="170"/>
  <c r="X55" i="170"/>
  <c r="X56" i="170"/>
  <c r="X59" i="170"/>
  <c r="X72" i="170"/>
  <c r="X75" i="170"/>
  <c r="X108" i="170"/>
  <c r="X109" i="170"/>
  <c r="X126" i="170"/>
  <c r="X127" i="170"/>
  <c r="X128" i="170"/>
  <c r="X131" i="170"/>
  <c r="X132" i="170"/>
  <c r="X135" i="170"/>
  <c r="X136" i="170"/>
  <c r="X137" i="170"/>
  <c r="X138" i="170"/>
  <c r="X139" i="170"/>
  <c r="X85" i="170" l="1"/>
  <c r="Z85" i="170"/>
  <c r="N20" i="170"/>
  <c r="Z20" i="170" s="1"/>
  <c r="V85" i="170"/>
  <c r="D20" i="170"/>
  <c r="V20" i="170" s="1"/>
  <c r="J239" i="170" l="1"/>
  <c r="J238" i="170" s="1"/>
  <c r="O239" i="170"/>
  <c r="O238" i="170" s="1"/>
  <c r="E239" i="170"/>
  <c r="E238" i="170" s="1"/>
  <c r="L43" i="150"/>
  <c r="J276" i="150"/>
  <c r="J211" i="150" s="1"/>
  <c r="J43" i="150" s="1"/>
  <c r="E276" i="150"/>
  <c r="E211" i="150" s="1"/>
  <c r="E43" i="150" s="1"/>
  <c r="J255" i="170"/>
  <c r="J248" i="170" s="1"/>
  <c r="E255" i="170"/>
  <c r="E248" i="170" s="1"/>
  <c r="J254" i="170"/>
  <c r="J247" i="170" s="1"/>
  <c r="E254" i="170"/>
  <c r="E256" i="170"/>
  <c r="J245" i="170"/>
  <c r="O245" i="170"/>
  <c r="E245" i="170"/>
  <c r="E247" i="170" l="1"/>
  <c r="E249" i="170" s="1"/>
  <c r="E237" i="170" s="1"/>
  <c r="E149" i="170" s="1"/>
  <c r="E148" i="170" s="1"/>
  <c r="O249" i="170"/>
  <c r="O237" i="170" s="1"/>
  <c r="O149" i="170" s="1"/>
  <c r="O148" i="170" s="1"/>
  <c r="J249" i="170"/>
  <c r="J237" i="170" s="1"/>
  <c r="J149" i="170" s="1"/>
  <c r="J148" i="170" s="1"/>
  <c r="R56" i="170" l="1"/>
  <c r="R55" i="170"/>
  <c r="M56" i="170"/>
  <c r="M55" i="170"/>
  <c r="H56" i="170"/>
  <c r="H55" i="170"/>
  <c r="R62" i="170" l="1"/>
  <c r="D133" i="170"/>
  <c r="V133" i="170" s="1"/>
  <c r="E133" i="170"/>
  <c r="G133" i="170"/>
  <c r="H133" i="170"/>
  <c r="I133" i="170"/>
  <c r="X133" i="170" s="1"/>
  <c r="J133" i="170"/>
  <c r="L133" i="170"/>
  <c r="M133" i="170"/>
  <c r="N133" i="170"/>
  <c r="Z133" i="170" s="1"/>
  <c r="O133" i="170"/>
  <c r="Q133" i="170"/>
  <c r="R133" i="170"/>
  <c r="D134" i="170"/>
  <c r="V134" i="170" s="1"/>
  <c r="E134" i="170"/>
  <c r="G134" i="170"/>
  <c r="H134" i="170"/>
  <c r="I134" i="170"/>
  <c r="X134" i="170" s="1"/>
  <c r="J134" i="170"/>
  <c r="L134" i="170"/>
  <c r="M134" i="170"/>
  <c r="N134" i="170"/>
  <c r="Z134" i="170" s="1"/>
  <c r="O134" i="170"/>
  <c r="Q134" i="170"/>
  <c r="R134" i="170"/>
  <c r="D22" i="170"/>
  <c r="I22" i="170"/>
  <c r="N22" i="170"/>
  <c r="D24" i="170"/>
  <c r="I24" i="170"/>
  <c r="N24" i="170"/>
  <c r="D26" i="170"/>
  <c r="V26" i="170" s="1"/>
  <c r="E26" i="170"/>
  <c r="G26" i="170"/>
  <c r="H26" i="170"/>
  <c r="I26" i="170"/>
  <c r="X26" i="170" s="1"/>
  <c r="J26" i="170"/>
  <c r="L26" i="170"/>
  <c r="M26" i="170"/>
  <c r="N26" i="170"/>
  <c r="Z26" i="170" s="1"/>
  <c r="O26" i="170"/>
  <c r="Q26" i="170"/>
  <c r="R26" i="170"/>
  <c r="D27" i="170"/>
  <c r="V27" i="170" s="1"/>
  <c r="E27" i="170"/>
  <c r="G27" i="170"/>
  <c r="H27" i="170"/>
  <c r="I27" i="170"/>
  <c r="X27" i="170" s="1"/>
  <c r="J27" i="170"/>
  <c r="L27" i="170"/>
  <c r="M27" i="170"/>
  <c r="N27" i="170"/>
  <c r="Z27" i="170" s="1"/>
  <c r="O27" i="170"/>
  <c r="Q27" i="170"/>
  <c r="R27" i="170"/>
  <c r="D29" i="170"/>
  <c r="E29" i="170"/>
  <c r="E28" i="170" s="1"/>
  <c r="G29" i="170"/>
  <c r="G28" i="170" s="1"/>
  <c r="H29" i="170"/>
  <c r="H28" i="170" s="1"/>
  <c r="I29" i="170"/>
  <c r="J29" i="170"/>
  <c r="J28" i="170" s="1"/>
  <c r="L29" i="170"/>
  <c r="L28" i="170" s="1"/>
  <c r="M29" i="170"/>
  <c r="M28" i="170" s="1"/>
  <c r="N29" i="170"/>
  <c r="O29" i="170"/>
  <c r="O28" i="170" s="1"/>
  <c r="Q29" i="170"/>
  <c r="Q28" i="170" s="1"/>
  <c r="R29" i="170"/>
  <c r="R28" i="170" s="1"/>
  <c r="D32" i="170"/>
  <c r="I32" i="170"/>
  <c r="N32" i="170"/>
  <c r="D34" i="170"/>
  <c r="V34" i="170" s="1"/>
  <c r="I34" i="170"/>
  <c r="X34" i="170" s="1"/>
  <c r="N34" i="170"/>
  <c r="Z34" i="170" s="1"/>
  <c r="D35" i="170"/>
  <c r="V35" i="170" s="1"/>
  <c r="I35" i="170"/>
  <c r="X35" i="170" s="1"/>
  <c r="N35" i="170"/>
  <c r="Z35" i="170" s="1"/>
  <c r="D36" i="170"/>
  <c r="V36" i="170" s="1"/>
  <c r="E36" i="170"/>
  <c r="G36" i="170"/>
  <c r="I36" i="170"/>
  <c r="X36" i="170" s="1"/>
  <c r="J36" i="170"/>
  <c r="L36" i="170"/>
  <c r="N36" i="170"/>
  <c r="Z36" i="170" s="1"/>
  <c r="O36" i="170"/>
  <c r="Q36" i="170"/>
  <c r="D38" i="170"/>
  <c r="I38" i="170"/>
  <c r="N38" i="170"/>
  <c r="D40" i="170"/>
  <c r="V40" i="170" s="1"/>
  <c r="E40" i="170"/>
  <c r="G40" i="170"/>
  <c r="H40" i="170"/>
  <c r="I40" i="170"/>
  <c r="X40" i="170" s="1"/>
  <c r="J40" i="170"/>
  <c r="L40" i="170"/>
  <c r="M40" i="170"/>
  <c r="N40" i="170"/>
  <c r="Z40" i="170" s="1"/>
  <c r="O40" i="170"/>
  <c r="Q40" i="170"/>
  <c r="R40" i="170"/>
  <c r="D41" i="170"/>
  <c r="E41" i="170"/>
  <c r="G41" i="170"/>
  <c r="H41" i="170"/>
  <c r="I41" i="170"/>
  <c r="J41" i="170"/>
  <c r="L41" i="170"/>
  <c r="M41" i="170"/>
  <c r="N41" i="170"/>
  <c r="O41" i="170"/>
  <c r="Q41" i="170"/>
  <c r="R41" i="170"/>
  <c r="D42" i="170"/>
  <c r="V42" i="170" s="1"/>
  <c r="E42" i="170"/>
  <c r="G42" i="170"/>
  <c r="H42" i="170"/>
  <c r="I42" i="170"/>
  <c r="X42" i="170" s="1"/>
  <c r="J42" i="170"/>
  <c r="L42" i="170"/>
  <c r="M42" i="170"/>
  <c r="N42" i="170"/>
  <c r="Z42" i="170" s="1"/>
  <c r="O42" i="170"/>
  <c r="Q42" i="170"/>
  <c r="R42" i="170"/>
  <c r="D44" i="170"/>
  <c r="V44" i="170" s="1"/>
  <c r="E44" i="170"/>
  <c r="G44" i="170"/>
  <c r="H44" i="170"/>
  <c r="I44" i="170"/>
  <c r="X44" i="170" s="1"/>
  <c r="J44" i="170"/>
  <c r="L44" i="170"/>
  <c r="M44" i="170"/>
  <c r="N44" i="170"/>
  <c r="Z44" i="170" s="1"/>
  <c r="O44" i="170"/>
  <c r="Q44" i="170"/>
  <c r="R44" i="170"/>
  <c r="D45" i="170"/>
  <c r="V45" i="170" s="1"/>
  <c r="E45" i="170"/>
  <c r="G45" i="170"/>
  <c r="H45" i="170"/>
  <c r="I45" i="170"/>
  <c r="X45" i="170" s="1"/>
  <c r="J45" i="170"/>
  <c r="L45" i="170"/>
  <c r="M45" i="170"/>
  <c r="N45" i="170"/>
  <c r="Z45" i="170" s="1"/>
  <c r="O45" i="170"/>
  <c r="Q45" i="170"/>
  <c r="R45" i="170"/>
  <c r="D47" i="170"/>
  <c r="V47" i="170" s="1"/>
  <c r="E47" i="170"/>
  <c r="G47" i="170"/>
  <c r="H47" i="170"/>
  <c r="I47" i="170"/>
  <c r="X47" i="170" s="1"/>
  <c r="J47" i="170"/>
  <c r="J43" i="170" s="1"/>
  <c r="L47" i="170"/>
  <c r="M47" i="170"/>
  <c r="N47" i="170"/>
  <c r="Z47" i="170" s="1"/>
  <c r="O47" i="170"/>
  <c r="Q47" i="170"/>
  <c r="R47" i="170"/>
  <c r="D49" i="170"/>
  <c r="V49" i="170" s="1"/>
  <c r="E49" i="170"/>
  <c r="G49" i="170"/>
  <c r="H49" i="170"/>
  <c r="I49" i="170"/>
  <c r="X49" i="170" s="1"/>
  <c r="J49" i="170"/>
  <c r="L49" i="170"/>
  <c r="M49" i="170"/>
  <c r="N49" i="170"/>
  <c r="Z49" i="170" s="1"/>
  <c r="O49" i="170"/>
  <c r="Q49" i="170"/>
  <c r="R49" i="170"/>
  <c r="D50" i="170"/>
  <c r="V50" i="170" s="1"/>
  <c r="E50" i="170"/>
  <c r="G50" i="170"/>
  <c r="H50" i="170"/>
  <c r="I50" i="170"/>
  <c r="X50" i="170" s="1"/>
  <c r="J50" i="170"/>
  <c r="L50" i="170"/>
  <c r="M50" i="170"/>
  <c r="N50" i="170"/>
  <c r="Z50" i="170" s="1"/>
  <c r="O50" i="170"/>
  <c r="Q50" i="170"/>
  <c r="R50" i="170"/>
  <c r="D51" i="170"/>
  <c r="V51" i="170" s="1"/>
  <c r="E51" i="170"/>
  <c r="G51" i="170"/>
  <c r="H51" i="170"/>
  <c r="I51" i="170"/>
  <c r="X51" i="170" s="1"/>
  <c r="J51" i="170"/>
  <c r="L51" i="170"/>
  <c r="M51" i="170"/>
  <c r="N51" i="170"/>
  <c r="Z51" i="170" s="1"/>
  <c r="O51" i="170"/>
  <c r="Q51" i="170"/>
  <c r="R51" i="170"/>
  <c r="D54" i="170"/>
  <c r="V54" i="170" s="1"/>
  <c r="E54" i="170"/>
  <c r="G54" i="170"/>
  <c r="H54" i="170"/>
  <c r="I54" i="170"/>
  <c r="X54" i="170" s="1"/>
  <c r="J54" i="170"/>
  <c r="L54" i="170"/>
  <c r="M54" i="170"/>
  <c r="N54" i="170"/>
  <c r="Z54" i="170" s="1"/>
  <c r="O54" i="170"/>
  <c r="Q54" i="170"/>
  <c r="R54" i="170"/>
  <c r="D57" i="170"/>
  <c r="V57" i="170" s="1"/>
  <c r="E57" i="170"/>
  <c r="G57" i="170"/>
  <c r="H57" i="170"/>
  <c r="I57" i="170"/>
  <c r="X57" i="170" s="1"/>
  <c r="J57" i="170"/>
  <c r="L57" i="170"/>
  <c r="M57" i="170"/>
  <c r="N57" i="170"/>
  <c r="Z57" i="170" s="1"/>
  <c r="O57" i="170"/>
  <c r="Q57" i="170"/>
  <c r="R57" i="170"/>
  <c r="D58" i="170"/>
  <c r="V58" i="170" s="1"/>
  <c r="E58" i="170"/>
  <c r="G58" i="170"/>
  <c r="H58" i="170"/>
  <c r="I58" i="170"/>
  <c r="X58" i="170" s="1"/>
  <c r="J58" i="170"/>
  <c r="L58" i="170"/>
  <c r="M58" i="170"/>
  <c r="N58" i="170"/>
  <c r="Z58" i="170" s="1"/>
  <c r="O58" i="170"/>
  <c r="Q58" i="170"/>
  <c r="R58" i="170"/>
  <c r="D61" i="170"/>
  <c r="V61" i="170" s="1"/>
  <c r="I61" i="170"/>
  <c r="X61" i="170" s="1"/>
  <c r="J61" i="170"/>
  <c r="N61" i="170"/>
  <c r="Z61" i="170" s="1"/>
  <c r="D62" i="170"/>
  <c r="V62" i="170" s="1"/>
  <c r="I62" i="170"/>
  <c r="X62" i="170" s="1"/>
  <c r="L62" i="170"/>
  <c r="N62" i="170"/>
  <c r="Z62" i="170" s="1"/>
  <c r="O62" i="170"/>
  <c r="Q62" i="170"/>
  <c r="D63" i="170"/>
  <c r="V63" i="170" s="1"/>
  <c r="E63" i="170"/>
  <c r="G63" i="170"/>
  <c r="H63" i="170"/>
  <c r="I63" i="170"/>
  <c r="X63" i="170" s="1"/>
  <c r="J63" i="170"/>
  <c r="L63" i="170"/>
  <c r="M63" i="170"/>
  <c r="N63" i="170"/>
  <c r="Z63" i="170" s="1"/>
  <c r="O63" i="170"/>
  <c r="Q63" i="170"/>
  <c r="R63" i="170"/>
  <c r="D65" i="170"/>
  <c r="V65" i="170" s="1"/>
  <c r="E65" i="170"/>
  <c r="G65" i="170"/>
  <c r="H65" i="170"/>
  <c r="I65" i="170"/>
  <c r="X65" i="170" s="1"/>
  <c r="J65" i="170"/>
  <c r="L65" i="170"/>
  <c r="M65" i="170"/>
  <c r="N65" i="170"/>
  <c r="Z65" i="170" s="1"/>
  <c r="O65" i="170"/>
  <c r="Q65" i="170"/>
  <c r="R65" i="170"/>
  <c r="D66" i="170"/>
  <c r="V66" i="170" s="1"/>
  <c r="E66" i="170"/>
  <c r="G66" i="170"/>
  <c r="H66" i="170"/>
  <c r="I66" i="170"/>
  <c r="X66" i="170" s="1"/>
  <c r="J66" i="170"/>
  <c r="L66" i="170"/>
  <c r="M66" i="170"/>
  <c r="N66" i="170"/>
  <c r="Z66" i="170" s="1"/>
  <c r="O66" i="170"/>
  <c r="Q66" i="170"/>
  <c r="R66" i="170"/>
  <c r="D67" i="170"/>
  <c r="V67" i="170" s="1"/>
  <c r="E67" i="170"/>
  <c r="G67" i="170"/>
  <c r="H67" i="170"/>
  <c r="I67" i="170"/>
  <c r="X67" i="170" s="1"/>
  <c r="J67" i="170"/>
  <c r="L67" i="170"/>
  <c r="M67" i="170"/>
  <c r="N67" i="170"/>
  <c r="Z67" i="170" s="1"/>
  <c r="O67" i="170"/>
  <c r="Q67" i="170"/>
  <c r="R67" i="170"/>
  <c r="D68" i="170"/>
  <c r="V68" i="170" s="1"/>
  <c r="E68" i="170"/>
  <c r="G68" i="170"/>
  <c r="H68" i="170"/>
  <c r="I68" i="170"/>
  <c r="X68" i="170" s="1"/>
  <c r="J68" i="170"/>
  <c r="L68" i="170"/>
  <c r="M68" i="170"/>
  <c r="N68" i="170"/>
  <c r="Z68" i="170" s="1"/>
  <c r="O68" i="170"/>
  <c r="Q68" i="170"/>
  <c r="R68" i="170"/>
  <c r="D69" i="170"/>
  <c r="E69" i="170"/>
  <c r="E15" i="170" s="1"/>
  <c r="G69" i="170"/>
  <c r="G15" i="170" s="1"/>
  <c r="H69" i="170"/>
  <c r="H15" i="170" s="1"/>
  <c r="I69" i="170"/>
  <c r="J69" i="170"/>
  <c r="J15" i="170" s="1"/>
  <c r="L69" i="170"/>
  <c r="L15" i="170" s="1"/>
  <c r="M69" i="170"/>
  <c r="M15" i="170" s="1"/>
  <c r="N69" i="170"/>
  <c r="O69" i="170"/>
  <c r="O15" i="170" s="1"/>
  <c r="Q69" i="170"/>
  <c r="Q15" i="170" s="1"/>
  <c r="R69" i="170"/>
  <c r="R15" i="170" s="1"/>
  <c r="D71" i="170"/>
  <c r="V71" i="170" s="1"/>
  <c r="E71" i="170"/>
  <c r="G71" i="170"/>
  <c r="H71" i="170"/>
  <c r="I71" i="170"/>
  <c r="X71" i="170" s="1"/>
  <c r="J71" i="170"/>
  <c r="L71" i="170"/>
  <c r="M71" i="170"/>
  <c r="N71" i="170"/>
  <c r="Z71" i="170" s="1"/>
  <c r="O71" i="170"/>
  <c r="Q71" i="170"/>
  <c r="R71" i="170"/>
  <c r="D73" i="170"/>
  <c r="V73" i="170" s="1"/>
  <c r="E73" i="170"/>
  <c r="G73" i="170"/>
  <c r="H73" i="170"/>
  <c r="I73" i="170"/>
  <c r="X73" i="170" s="1"/>
  <c r="J73" i="170"/>
  <c r="L73" i="170"/>
  <c r="M73" i="170"/>
  <c r="N73" i="170"/>
  <c r="Z73" i="170" s="1"/>
  <c r="O73" i="170"/>
  <c r="Q73" i="170"/>
  <c r="R73" i="170"/>
  <c r="D74" i="170"/>
  <c r="V74" i="170" s="1"/>
  <c r="E74" i="170"/>
  <c r="G74" i="170"/>
  <c r="H74" i="170"/>
  <c r="I74" i="170"/>
  <c r="X74" i="170" s="1"/>
  <c r="J74" i="170"/>
  <c r="L74" i="170"/>
  <c r="M74" i="170"/>
  <c r="N74" i="170"/>
  <c r="Z74" i="170" s="1"/>
  <c r="O74" i="170"/>
  <c r="Q74" i="170"/>
  <c r="R74" i="170"/>
  <c r="D77" i="170"/>
  <c r="V77" i="170" s="1"/>
  <c r="E77" i="170"/>
  <c r="G77" i="170"/>
  <c r="H77" i="170"/>
  <c r="I77" i="170"/>
  <c r="X77" i="170" s="1"/>
  <c r="J77" i="170"/>
  <c r="L77" i="170"/>
  <c r="M77" i="170"/>
  <c r="N77" i="170"/>
  <c r="Z77" i="170" s="1"/>
  <c r="O77" i="170"/>
  <c r="Q77" i="170"/>
  <c r="R77" i="170"/>
  <c r="D78" i="170"/>
  <c r="V78" i="170" s="1"/>
  <c r="E78" i="170"/>
  <c r="G78" i="170"/>
  <c r="H78" i="170"/>
  <c r="I78" i="170"/>
  <c r="X78" i="170" s="1"/>
  <c r="J78" i="170"/>
  <c r="L78" i="170"/>
  <c r="M78" i="170"/>
  <c r="N78" i="170"/>
  <c r="Z78" i="170" s="1"/>
  <c r="O78" i="170"/>
  <c r="Q78" i="170"/>
  <c r="R78" i="170"/>
  <c r="D79" i="170"/>
  <c r="V79" i="170" s="1"/>
  <c r="E79" i="170"/>
  <c r="G79" i="170"/>
  <c r="H79" i="170"/>
  <c r="I79" i="170"/>
  <c r="X79" i="170" s="1"/>
  <c r="J79" i="170"/>
  <c r="L79" i="170"/>
  <c r="M79" i="170"/>
  <c r="N79" i="170"/>
  <c r="Z79" i="170" s="1"/>
  <c r="O79" i="170"/>
  <c r="Q79" i="170"/>
  <c r="R79" i="170"/>
  <c r="D81" i="170"/>
  <c r="V81" i="170" s="1"/>
  <c r="E81" i="170"/>
  <c r="G81" i="170"/>
  <c r="H81" i="170"/>
  <c r="I81" i="170"/>
  <c r="X81" i="170" s="1"/>
  <c r="J81" i="170"/>
  <c r="L81" i="170"/>
  <c r="M81" i="170"/>
  <c r="N81" i="170"/>
  <c r="Z81" i="170" s="1"/>
  <c r="O81" i="170"/>
  <c r="Q81" i="170"/>
  <c r="R81" i="170"/>
  <c r="D82" i="170"/>
  <c r="V82" i="170" s="1"/>
  <c r="E82" i="170"/>
  <c r="G82" i="170"/>
  <c r="H82" i="170"/>
  <c r="I82" i="170"/>
  <c r="X82" i="170" s="1"/>
  <c r="J82" i="170"/>
  <c r="L82" i="170"/>
  <c r="M82" i="170"/>
  <c r="N82" i="170"/>
  <c r="Z82" i="170" s="1"/>
  <c r="O82" i="170"/>
  <c r="Q82" i="170"/>
  <c r="R82" i="170"/>
  <c r="D83" i="170"/>
  <c r="V83" i="170" s="1"/>
  <c r="E83" i="170"/>
  <c r="G83" i="170"/>
  <c r="H83" i="170"/>
  <c r="I83" i="170"/>
  <c r="X83" i="170" s="1"/>
  <c r="J83" i="170"/>
  <c r="L83" i="170"/>
  <c r="M83" i="170"/>
  <c r="N83" i="170"/>
  <c r="Z83" i="170" s="1"/>
  <c r="O83" i="170"/>
  <c r="Q83" i="170"/>
  <c r="R83" i="170"/>
  <c r="D84" i="170"/>
  <c r="V84" i="170" s="1"/>
  <c r="E84" i="170"/>
  <c r="G84" i="170"/>
  <c r="H84" i="170"/>
  <c r="I84" i="170"/>
  <c r="X84" i="170" s="1"/>
  <c r="J84" i="170"/>
  <c r="L84" i="170"/>
  <c r="M84" i="170"/>
  <c r="N84" i="170"/>
  <c r="Z84" i="170" s="1"/>
  <c r="O84" i="170"/>
  <c r="Q84" i="170"/>
  <c r="R84" i="170"/>
  <c r="D87" i="170"/>
  <c r="V87" i="170" s="1"/>
  <c r="E87" i="170"/>
  <c r="G87" i="170"/>
  <c r="H87" i="170"/>
  <c r="I87" i="170"/>
  <c r="X87" i="170" s="1"/>
  <c r="J87" i="170"/>
  <c r="L87" i="170"/>
  <c r="M87" i="170"/>
  <c r="N87" i="170"/>
  <c r="Z87" i="170" s="1"/>
  <c r="O87" i="170"/>
  <c r="Q87" i="170"/>
  <c r="R87" i="170"/>
  <c r="D88" i="170"/>
  <c r="V88" i="170" s="1"/>
  <c r="E88" i="170"/>
  <c r="G88" i="170"/>
  <c r="H88" i="170"/>
  <c r="I88" i="170"/>
  <c r="X88" i="170" s="1"/>
  <c r="J88" i="170"/>
  <c r="J86" i="170" s="1"/>
  <c r="L88" i="170"/>
  <c r="M88" i="170"/>
  <c r="N88" i="170"/>
  <c r="Z88" i="170" s="1"/>
  <c r="O88" i="170"/>
  <c r="Q88" i="170"/>
  <c r="R88" i="170"/>
  <c r="D91" i="170"/>
  <c r="V91" i="170" s="1"/>
  <c r="E91" i="170"/>
  <c r="G91" i="170"/>
  <c r="H91" i="170"/>
  <c r="I91" i="170"/>
  <c r="X91" i="170" s="1"/>
  <c r="J91" i="170"/>
  <c r="L91" i="170"/>
  <c r="M91" i="170"/>
  <c r="N91" i="170"/>
  <c r="Z91" i="170" s="1"/>
  <c r="O91" i="170"/>
  <c r="Q91" i="170"/>
  <c r="R91" i="170"/>
  <c r="D92" i="170"/>
  <c r="V92" i="170" s="1"/>
  <c r="E92" i="170"/>
  <c r="G92" i="170"/>
  <c r="H92" i="170"/>
  <c r="I92" i="170"/>
  <c r="X92" i="170" s="1"/>
  <c r="J92" i="170"/>
  <c r="L92" i="170"/>
  <c r="M92" i="170"/>
  <c r="N92" i="170"/>
  <c r="Z92" i="170" s="1"/>
  <c r="O92" i="170"/>
  <c r="Q92" i="170"/>
  <c r="R92" i="170"/>
  <c r="D93" i="170"/>
  <c r="E93" i="170"/>
  <c r="G93" i="170"/>
  <c r="H93" i="170"/>
  <c r="I93" i="170"/>
  <c r="X93" i="170" s="1"/>
  <c r="J93" i="170"/>
  <c r="L93" i="170"/>
  <c r="M93" i="170"/>
  <c r="N93" i="170"/>
  <c r="Z93" i="170" s="1"/>
  <c r="O93" i="170"/>
  <c r="Q93" i="170"/>
  <c r="R93" i="170"/>
  <c r="D94" i="170"/>
  <c r="V94" i="170" s="1"/>
  <c r="E94" i="170"/>
  <c r="G94" i="170"/>
  <c r="H94" i="170"/>
  <c r="I94" i="170"/>
  <c r="X94" i="170" s="1"/>
  <c r="J94" i="170"/>
  <c r="L94" i="170"/>
  <c r="M94" i="170"/>
  <c r="N94" i="170"/>
  <c r="Z94" i="170" s="1"/>
  <c r="O94" i="170"/>
  <c r="Q94" i="170"/>
  <c r="R94" i="170"/>
  <c r="D96" i="170"/>
  <c r="V96" i="170" s="1"/>
  <c r="E96" i="170"/>
  <c r="G96" i="170"/>
  <c r="H96" i="170"/>
  <c r="I96" i="170"/>
  <c r="X96" i="170" s="1"/>
  <c r="J96" i="170"/>
  <c r="L96" i="170"/>
  <c r="M96" i="170"/>
  <c r="N96" i="170"/>
  <c r="Z96" i="170" s="1"/>
  <c r="O96" i="170"/>
  <c r="Q96" i="170"/>
  <c r="R96" i="170"/>
  <c r="D97" i="170"/>
  <c r="V97" i="170" s="1"/>
  <c r="E97" i="170"/>
  <c r="G97" i="170"/>
  <c r="H97" i="170"/>
  <c r="I97" i="170"/>
  <c r="X97" i="170" s="1"/>
  <c r="J97" i="170"/>
  <c r="L97" i="170"/>
  <c r="M97" i="170"/>
  <c r="N97" i="170"/>
  <c r="Z97" i="170" s="1"/>
  <c r="O97" i="170"/>
  <c r="Q97" i="170"/>
  <c r="R97" i="170"/>
  <c r="D98" i="170"/>
  <c r="V98" i="170" s="1"/>
  <c r="E98" i="170"/>
  <c r="G98" i="170"/>
  <c r="H98" i="170"/>
  <c r="I98" i="170"/>
  <c r="X98" i="170" s="1"/>
  <c r="J98" i="170"/>
  <c r="L98" i="170"/>
  <c r="M98" i="170"/>
  <c r="N98" i="170"/>
  <c r="Z98" i="170" s="1"/>
  <c r="O98" i="170"/>
  <c r="Q98" i="170"/>
  <c r="R98" i="170"/>
  <c r="D100" i="170"/>
  <c r="I100" i="170"/>
  <c r="N100" i="170"/>
  <c r="D102" i="170"/>
  <c r="I102" i="170"/>
  <c r="N102" i="170"/>
  <c r="D104" i="170"/>
  <c r="I104" i="170"/>
  <c r="N104" i="170"/>
  <c r="D106" i="170"/>
  <c r="V106" i="170" s="1"/>
  <c r="E106" i="170"/>
  <c r="G106" i="170"/>
  <c r="H106" i="170"/>
  <c r="I106" i="170"/>
  <c r="X106" i="170" s="1"/>
  <c r="J106" i="170"/>
  <c r="L106" i="170"/>
  <c r="M106" i="170"/>
  <c r="N106" i="170"/>
  <c r="Z106" i="170" s="1"/>
  <c r="O106" i="170"/>
  <c r="Q106" i="170"/>
  <c r="R106" i="170"/>
  <c r="D107" i="170"/>
  <c r="V107" i="170" s="1"/>
  <c r="E107" i="170"/>
  <c r="G107" i="170"/>
  <c r="H107" i="170"/>
  <c r="I107" i="170"/>
  <c r="X107" i="170" s="1"/>
  <c r="J107" i="170"/>
  <c r="L107" i="170"/>
  <c r="M107" i="170"/>
  <c r="N107" i="170"/>
  <c r="Z107" i="170" s="1"/>
  <c r="O107" i="170"/>
  <c r="Q107" i="170"/>
  <c r="R107" i="170"/>
  <c r="D111" i="170"/>
  <c r="I111" i="170"/>
  <c r="N111" i="170"/>
  <c r="D113" i="170"/>
  <c r="I113" i="170"/>
  <c r="N113" i="170"/>
  <c r="D115" i="170"/>
  <c r="E115" i="170"/>
  <c r="E114" i="170" s="1"/>
  <c r="G115" i="170"/>
  <c r="G114" i="170" s="1"/>
  <c r="H115" i="170"/>
  <c r="H114" i="170" s="1"/>
  <c r="I115" i="170"/>
  <c r="J115" i="170"/>
  <c r="J114" i="170" s="1"/>
  <c r="L115" i="170"/>
  <c r="L114" i="170" s="1"/>
  <c r="M115" i="170"/>
  <c r="M114" i="170" s="1"/>
  <c r="N115" i="170"/>
  <c r="O115" i="170"/>
  <c r="O114" i="170" s="1"/>
  <c r="Q115" i="170"/>
  <c r="Q114" i="170" s="1"/>
  <c r="R115" i="170"/>
  <c r="R114" i="170" s="1"/>
  <c r="D117" i="170"/>
  <c r="I117" i="170"/>
  <c r="N117" i="170"/>
  <c r="D119" i="170"/>
  <c r="I119" i="170"/>
  <c r="N119" i="170"/>
  <c r="D121" i="170"/>
  <c r="I121" i="170"/>
  <c r="N121" i="170"/>
  <c r="D123" i="170"/>
  <c r="I123" i="170"/>
  <c r="N123" i="170"/>
  <c r="D125" i="170"/>
  <c r="V125" i="170" s="1"/>
  <c r="I125" i="170"/>
  <c r="X125" i="170" s="1"/>
  <c r="N125" i="170"/>
  <c r="Z125" i="170" s="1"/>
  <c r="D130" i="170"/>
  <c r="V130" i="170" s="1"/>
  <c r="I130" i="170"/>
  <c r="X130" i="170" s="1"/>
  <c r="N130" i="170"/>
  <c r="Z130" i="170" s="1"/>
  <c r="D13" i="146"/>
  <c r="E13" i="146"/>
  <c r="G13" i="146"/>
  <c r="H13" i="146"/>
  <c r="I13" i="146"/>
  <c r="J13" i="146"/>
  <c r="L13" i="146"/>
  <c r="M13" i="146"/>
  <c r="N13" i="146"/>
  <c r="O13" i="146"/>
  <c r="Q13" i="146"/>
  <c r="R13" i="146"/>
  <c r="D18" i="146"/>
  <c r="E18" i="146"/>
  <c r="G18" i="146"/>
  <c r="H18" i="146"/>
  <c r="I18" i="146"/>
  <c r="J18" i="146"/>
  <c r="L18" i="146"/>
  <c r="M18" i="146"/>
  <c r="N18" i="146"/>
  <c r="O18" i="146"/>
  <c r="Q18" i="146"/>
  <c r="R18" i="146"/>
  <c r="D19" i="146"/>
  <c r="E19" i="146"/>
  <c r="G19" i="146"/>
  <c r="H19" i="146"/>
  <c r="I19" i="146"/>
  <c r="J19" i="146"/>
  <c r="L19" i="146"/>
  <c r="M19" i="146"/>
  <c r="N19" i="146"/>
  <c r="O19" i="146"/>
  <c r="Q19" i="146"/>
  <c r="R19" i="146"/>
  <c r="D20" i="146"/>
  <c r="E20" i="146"/>
  <c r="G20" i="146"/>
  <c r="H20" i="146"/>
  <c r="I20" i="146"/>
  <c r="J20" i="146"/>
  <c r="L20" i="146"/>
  <c r="M20" i="146"/>
  <c r="N20" i="146"/>
  <c r="O20" i="146"/>
  <c r="Q20" i="146"/>
  <c r="R20" i="146"/>
  <c r="D34" i="146"/>
  <c r="E34" i="146"/>
  <c r="G34" i="146"/>
  <c r="H34" i="146"/>
  <c r="I34" i="146"/>
  <c r="J34" i="146"/>
  <c r="L34" i="146"/>
  <c r="M34" i="146"/>
  <c r="N34" i="146"/>
  <c r="O34" i="146"/>
  <c r="Q34" i="146"/>
  <c r="R34" i="146"/>
  <c r="D52" i="146"/>
  <c r="E52" i="146"/>
  <c r="G52" i="146"/>
  <c r="H52" i="146"/>
  <c r="I52" i="146"/>
  <c r="J52" i="146"/>
  <c r="L52" i="146"/>
  <c r="M52" i="146"/>
  <c r="N52" i="146"/>
  <c r="O52" i="146"/>
  <c r="Q52" i="146"/>
  <c r="R52" i="146"/>
  <c r="D53" i="146"/>
  <c r="E53" i="146"/>
  <c r="G53" i="146"/>
  <c r="H53" i="146"/>
  <c r="I53" i="146"/>
  <c r="J53" i="146"/>
  <c r="L53" i="146"/>
  <c r="M53" i="146"/>
  <c r="N53" i="146"/>
  <c r="O53" i="146"/>
  <c r="Q53" i="146"/>
  <c r="R53" i="146"/>
  <c r="D54" i="146"/>
  <c r="E54" i="146"/>
  <c r="G54" i="146"/>
  <c r="H54" i="146"/>
  <c r="I54" i="146"/>
  <c r="J54" i="146"/>
  <c r="L54" i="146"/>
  <c r="M54" i="146"/>
  <c r="N54" i="146"/>
  <c r="O54" i="146"/>
  <c r="Q54" i="146"/>
  <c r="R54" i="146"/>
  <c r="D62" i="146"/>
  <c r="E62" i="146"/>
  <c r="G62" i="146"/>
  <c r="H62" i="146"/>
  <c r="I62" i="146"/>
  <c r="J62" i="146"/>
  <c r="L62" i="146"/>
  <c r="M62" i="146"/>
  <c r="N62" i="146"/>
  <c r="O62" i="146"/>
  <c r="Q62" i="146"/>
  <c r="R62" i="146"/>
  <c r="D69" i="146"/>
  <c r="E69" i="146"/>
  <c r="G69" i="146"/>
  <c r="H69" i="146"/>
  <c r="I69" i="146"/>
  <c r="J69" i="146"/>
  <c r="L69" i="146"/>
  <c r="M69" i="146"/>
  <c r="N69" i="146"/>
  <c r="O69" i="146"/>
  <c r="Q69" i="146"/>
  <c r="R69" i="146"/>
  <c r="D70" i="146"/>
  <c r="E70" i="146"/>
  <c r="G70" i="146"/>
  <c r="H70" i="146"/>
  <c r="I70" i="146"/>
  <c r="J70" i="146"/>
  <c r="L70" i="146"/>
  <c r="M70" i="146"/>
  <c r="N70" i="146"/>
  <c r="O70" i="146"/>
  <c r="Q70" i="146"/>
  <c r="R70" i="146"/>
  <c r="D71" i="146"/>
  <c r="E71" i="146"/>
  <c r="G71" i="146"/>
  <c r="H71" i="146"/>
  <c r="I71" i="146"/>
  <c r="J71" i="146"/>
  <c r="L71" i="146"/>
  <c r="M71" i="146"/>
  <c r="N71" i="146"/>
  <c r="O71" i="146"/>
  <c r="Q71" i="146"/>
  <c r="R71" i="146"/>
  <c r="D79" i="146"/>
  <c r="E79" i="146"/>
  <c r="G79" i="146"/>
  <c r="H79" i="146"/>
  <c r="I79" i="146"/>
  <c r="J79" i="146"/>
  <c r="L79" i="146"/>
  <c r="M79" i="146"/>
  <c r="N79" i="146"/>
  <c r="O79" i="146"/>
  <c r="Q79" i="146"/>
  <c r="R79" i="146"/>
  <c r="D101" i="146"/>
  <c r="D100" i="146" s="1"/>
  <c r="D99" i="146" s="1"/>
  <c r="E101" i="146"/>
  <c r="E100" i="146" s="1"/>
  <c r="E99" i="146" s="1"/>
  <c r="G101" i="146"/>
  <c r="G100" i="146" s="1"/>
  <c r="G99" i="146" s="1"/>
  <c r="H101" i="146"/>
  <c r="H100" i="146" s="1"/>
  <c r="H99" i="146" s="1"/>
  <c r="I101" i="146"/>
  <c r="I100" i="146" s="1"/>
  <c r="I99" i="146" s="1"/>
  <c r="J101" i="146"/>
  <c r="J100" i="146" s="1"/>
  <c r="J99" i="146" s="1"/>
  <c r="L101" i="146"/>
  <c r="L100" i="146" s="1"/>
  <c r="L99" i="146" s="1"/>
  <c r="M101" i="146"/>
  <c r="M100" i="146" s="1"/>
  <c r="M99" i="146" s="1"/>
  <c r="N101" i="146"/>
  <c r="N100" i="146" s="1"/>
  <c r="N99" i="146" s="1"/>
  <c r="O101" i="146"/>
  <c r="O100" i="146" s="1"/>
  <c r="O99" i="146" s="1"/>
  <c r="Q101" i="146"/>
  <c r="Q100" i="146" s="1"/>
  <c r="Q99" i="146" s="1"/>
  <c r="R101" i="146"/>
  <c r="R100" i="146" s="1"/>
  <c r="R99" i="146" s="1"/>
  <c r="D135" i="146"/>
  <c r="E135" i="146"/>
  <c r="G135" i="146"/>
  <c r="H135" i="146"/>
  <c r="I135" i="146"/>
  <c r="J135" i="146"/>
  <c r="L135" i="146"/>
  <c r="M135" i="146"/>
  <c r="N135" i="146"/>
  <c r="O135" i="146"/>
  <c r="Q135" i="146"/>
  <c r="R135" i="146"/>
  <c r="D152" i="146"/>
  <c r="E152" i="146"/>
  <c r="G152" i="146"/>
  <c r="H152" i="146"/>
  <c r="I152" i="146"/>
  <c r="J152" i="146"/>
  <c r="L152" i="146"/>
  <c r="M152" i="146"/>
  <c r="N152" i="146"/>
  <c r="O152" i="146"/>
  <c r="Q152" i="146"/>
  <c r="R152" i="146"/>
  <c r="D185" i="146"/>
  <c r="D184" i="146" s="1"/>
  <c r="D183" i="146" s="1"/>
  <c r="E185" i="146"/>
  <c r="E184" i="146" s="1"/>
  <c r="E183" i="146" s="1"/>
  <c r="G185" i="146"/>
  <c r="G184" i="146" s="1"/>
  <c r="G183" i="146" s="1"/>
  <c r="H185" i="146"/>
  <c r="H184" i="146" s="1"/>
  <c r="H183" i="146" s="1"/>
  <c r="I185" i="146"/>
  <c r="I184" i="146" s="1"/>
  <c r="I183" i="146" s="1"/>
  <c r="J185" i="146"/>
  <c r="J184" i="146" s="1"/>
  <c r="J183" i="146" s="1"/>
  <c r="L185" i="146"/>
  <c r="L184" i="146" s="1"/>
  <c r="L183" i="146" s="1"/>
  <c r="M185" i="146"/>
  <c r="M184" i="146" s="1"/>
  <c r="M183" i="146" s="1"/>
  <c r="N185" i="146"/>
  <c r="N184" i="146" s="1"/>
  <c r="N183" i="146" s="1"/>
  <c r="O185" i="146"/>
  <c r="O184" i="146" s="1"/>
  <c r="O183" i="146" s="1"/>
  <c r="Q185" i="146"/>
  <c r="Q184" i="146" s="1"/>
  <c r="Q183" i="146" s="1"/>
  <c r="R185" i="146"/>
  <c r="R184" i="146" s="1"/>
  <c r="R183" i="146" s="1"/>
  <c r="D219" i="146"/>
  <c r="E219" i="146"/>
  <c r="G219" i="146"/>
  <c r="H219" i="146"/>
  <c r="I219" i="146"/>
  <c r="J219" i="146"/>
  <c r="L219" i="146"/>
  <c r="M219" i="146"/>
  <c r="N219" i="146"/>
  <c r="O219" i="146"/>
  <c r="Q219" i="146"/>
  <c r="R219" i="146"/>
  <c r="D236" i="146"/>
  <c r="E236" i="146"/>
  <c r="G236" i="146"/>
  <c r="H236" i="146"/>
  <c r="I236" i="146"/>
  <c r="J236" i="146"/>
  <c r="L236" i="146"/>
  <c r="M236" i="146"/>
  <c r="N236" i="146"/>
  <c r="O236" i="146"/>
  <c r="Q236" i="146"/>
  <c r="R236" i="146"/>
  <c r="D264" i="146"/>
  <c r="I264" i="146"/>
  <c r="N264" i="146"/>
  <c r="D265" i="146"/>
  <c r="E265" i="146"/>
  <c r="G265" i="146"/>
  <c r="I265" i="146"/>
  <c r="J265" i="146"/>
  <c r="L265" i="146"/>
  <c r="N265" i="146"/>
  <c r="O265" i="146"/>
  <c r="Q265" i="146"/>
  <c r="D266" i="146"/>
  <c r="E266" i="146"/>
  <c r="G266" i="146"/>
  <c r="I266" i="146"/>
  <c r="J266" i="146"/>
  <c r="L266" i="146"/>
  <c r="N266" i="146"/>
  <c r="O266" i="146"/>
  <c r="Q266" i="146"/>
  <c r="D267" i="146"/>
  <c r="E267" i="146"/>
  <c r="G267" i="146"/>
  <c r="I267" i="146"/>
  <c r="J267" i="146"/>
  <c r="L267" i="146"/>
  <c r="N267" i="146"/>
  <c r="O267" i="146"/>
  <c r="Q267" i="146"/>
  <c r="D268" i="146"/>
  <c r="I268" i="146"/>
  <c r="N268" i="146"/>
  <c r="D269" i="146"/>
  <c r="I269" i="146"/>
  <c r="N269" i="146"/>
  <c r="D270" i="146"/>
  <c r="I270" i="146"/>
  <c r="N270" i="146"/>
  <c r="D271" i="146"/>
  <c r="I271" i="146"/>
  <c r="N271" i="146"/>
  <c r="D272" i="146"/>
  <c r="E272" i="146"/>
  <c r="G272" i="146"/>
  <c r="I272" i="146"/>
  <c r="J272" i="146"/>
  <c r="L272" i="146"/>
  <c r="N272" i="146"/>
  <c r="O272" i="146"/>
  <c r="Q272" i="146"/>
  <c r="D273" i="146"/>
  <c r="E273" i="146"/>
  <c r="G273" i="146"/>
  <c r="I273" i="146"/>
  <c r="J273" i="146"/>
  <c r="L273" i="146"/>
  <c r="N273" i="146"/>
  <c r="O273" i="146"/>
  <c r="Q273" i="146"/>
  <c r="D274" i="146"/>
  <c r="E274" i="146"/>
  <c r="G274" i="146"/>
  <c r="I274" i="146"/>
  <c r="J274" i="146"/>
  <c r="L274" i="146"/>
  <c r="N274" i="146"/>
  <c r="O274" i="146"/>
  <c r="Q274" i="146"/>
  <c r="D275" i="146"/>
  <c r="I275" i="146"/>
  <c r="N275" i="146"/>
  <c r="D276" i="146"/>
  <c r="I276" i="146"/>
  <c r="N276" i="146"/>
  <c r="D277" i="146"/>
  <c r="E277" i="146"/>
  <c r="G277" i="146"/>
  <c r="I277" i="146"/>
  <c r="J277" i="146"/>
  <c r="L277" i="146"/>
  <c r="N277" i="146"/>
  <c r="O277" i="146"/>
  <c r="Q277" i="146"/>
  <c r="D278" i="146"/>
  <c r="E278" i="146"/>
  <c r="G278" i="146"/>
  <c r="I278" i="146"/>
  <c r="J278" i="146"/>
  <c r="L278" i="146"/>
  <c r="N278" i="146"/>
  <c r="O278" i="146"/>
  <c r="Q278" i="146"/>
  <c r="D279" i="146"/>
  <c r="E279" i="146"/>
  <c r="G279" i="146"/>
  <c r="I279" i="146"/>
  <c r="J279" i="146"/>
  <c r="L279" i="146"/>
  <c r="N279" i="146"/>
  <c r="O279" i="146"/>
  <c r="Q279" i="146"/>
  <c r="D280" i="146"/>
  <c r="I280" i="146"/>
  <c r="N280" i="146"/>
  <c r="D281" i="146"/>
  <c r="I281" i="146"/>
  <c r="N281" i="146"/>
  <c r="D282" i="146"/>
  <c r="E282" i="146"/>
  <c r="G282" i="146"/>
  <c r="I282" i="146"/>
  <c r="J282" i="146"/>
  <c r="L282" i="146"/>
  <c r="N282" i="146"/>
  <c r="O282" i="146"/>
  <c r="Q282" i="146"/>
  <c r="D283" i="146"/>
  <c r="E283" i="146"/>
  <c r="G283" i="146"/>
  <c r="I283" i="146"/>
  <c r="J283" i="146"/>
  <c r="L283" i="146"/>
  <c r="N283" i="146"/>
  <c r="O283" i="146"/>
  <c r="Q283" i="146"/>
  <c r="D284" i="146"/>
  <c r="E284" i="146"/>
  <c r="G284" i="146"/>
  <c r="I284" i="146"/>
  <c r="J284" i="146"/>
  <c r="L284" i="146"/>
  <c r="N284" i="146"/>
  <c r="O284" i="146"/>
  <c r="Q284" i="146"/>
  <c r="D285" i="146"/>
  <c r="E285" i="146"/>
  <c r="G285" i="146"/>
  <c r="I285" i="146"/>
  <c r="J285" i="146"/>
  <c r="L285" i="146"/>
  <c r="N285" i="146"/>
  <c r="O285" i="146"/>
  <c r="Q285" i="146"/>
  <c r="D286" i="146"/>
  <c r="I286" i="146"/>
  <c r="N286" i="146"/>
  <c r="D287" i="146"/>
  <c r="I287" i="146"/>
  <c r="N287" i="146"/>
  <c r="D288" i="146"/>
  <c r="E288" i="146"/>
  <c r="G288" i="146"/>
  <c r="I288" i="146"/>
  <c r="J288" i="146"/>
  <c r="L288" i="146"/>
  <c r="N288" i="146"/>
  <c r="O288" i="146"/>
  <c r="Q288" i="146"/>
  <c r="D289" i="146"/>
  <c r="I289" i="146"/>
  <c r="N289" i="146"/>
  <c r="D290" i="146"/>
  <c r="I290" i="146"/>
  <c r="N290" i="146"/>
  <c r="D291" i="146"/>
  <c r="I291" i="146"/>
  <c r="N291" i="146"/>
  <c r="D292" i="146"/>
  <c r="E292" i="146"/>
  <c r="G292" i="146"/>
  <c r="I292" i="146"/>
  <c r="J292" i="146"/>
  <c r="L292" i="146"/>
  <c r="N292" i="146"/>
  <c r="O292" i="146"/>
  <c r="Q292" i="146"/>
  <c r="D293" i="146"/>
  <c r="E293" i="146"/>
  <c r="G293" i="146"/>
  <c r="I293" i="146"/>
  <c r="J293" i="146"/>
  <c r="L293" i="146"/>
  <c r="N293" i="146"/>
  <c r="O293" i="146"/>
  <c r="Q293" i="146"/>
  <c r="D294" i="146"/>
  <c r="G294" i="146"/>
  <c r="I294" i="146"/>
  <c r="J294" i="146"/>
  <c r="L294" i="146"/>
  <c r="N294" i="146"/>
  <c r="O294" i="146"/>
  <c r="Q294" i="146"/>
  <c r="D295" i="146"/>
  <c r="E295" i="146"/>
  <c r="G295" i="146"/>
  <c r="I295" i="146"/>
  <c r="J295" i="146"/>
  <c r="L295" i="146"/>
  <c r="N295" i="146"/>
  <c r="O295" i="146"/>
  <c r="Q295" i="146"/>
  <c r="D296" i="146"/>
  <c r="I296" i="146"/>
  <c r="N296" i="146"/>
  <c r="D297" i="146"/>
  <c r="E297" i="146"/>
  <c r="G297" i="146"/>
  <c r="I297" i="146"/>
  <c r="J297" i="146"/>
  <c r="L297" i="146"/>
  <c r="N297" i="146"/>
  <c r="O297" i="146"/>
  <c r="Q297" i="146"/>
  <c r="D298" i="146"/>
  <c r="E298" i="146"/>
  <c r="G298" i="146"/>
  <c r="I298" i="146"/>
  <c r="J298" i="146"/>
  <c r="L298" i="146"/>
  <c r="N298" i="146"/>
  <c r="O298" i="146"/>
  <c r="Q298" i="146"/>
  <c r="D299" i="146"/>
  <c r="I299" i="146"/>
  <c r="N299" i="146"/>
  <c r="D300" i="146"/>
  <c r="E300" i="146"/>
  <c r="G300" i="146"/>
  <c r="I300" i="146"/>
  <c r="J300" i="146"/>
  <c r="L300" i="146"/>
  <c r="N300" i="146"/>
  <c r="O300" i="146"/>
  <c r="Q300" i="146"/>
  <c r="D301" i="146"/>
  <c r="E301" i="146"/>
  <c r="G301" i="146"/>
  <c r="I301" i="146"/>
  <c r="J301" i="146"/>
  <c r="L301" i="146"/>
  <c r="N301" i="146"/>
  <c r="O301" i="146"/>
  <c r="Q301" i="146"/>
  <c r="D302" i="146"/>
  <c r="I302" i="146"/>
  <c r="N302" i="146"/>
  <c r="D303" i="146"/>
  <c r="I303" i="146"/>
  <c r="N303" i="146"/>
  <c r="D304" i="146"/>
  <c r="E304" i="146"/>
  <c r="G304" i="146"/>
  <c r="I304" i="146"/>
  <c r="J304" i="146"/>
  <c r="L304" i="146"/>
  <c r="N304" i="146"/>
  <c r="O304" i="146"/>
  <c r="Q304" i="146"/>
  <c r="D305" i="146"/>
  <c r="I305" i="146"/>
  <c r="N305" i="146"/>
  <c r="D306" i="146"/>
  <c r="E306" i="146"/>
  <c r="G306" i="146"/>
  <c r="I306" i="146"/>
  <c r="J306" i="146"/>
  <c r="L306" i="146"/>
  <c r="N306" i="146"/>
  <c r="O306" i="146"/>
  <c r="Q306" i="146"/>
  <c r="D307" i="146"/>
  <c r="E307" i="146"/>
  <c r="G307" i="146"/>
  <c r="I307" i="146"/>
  <c r="J307" i="146"/>
  <c r="L307" i="146"/>
  <c r="N307" i="146"/>
  <c r="O307" i="146"/>
  <c r="Q307" i="146"/>
  <c r="D308" i="146"/>
  <c r="E308" i="146"/>
  <c r="G308" i="146"/>
  <c r="I308" i="146"/>
  <c r="J308" i="146"/>
  <c r="L308" i="146"/>
  <c r="N308" i="146"/>
  <c r="O308" i="146"/>
  <c r="Q308" i="146"/>
  <c r="D309" i="146"/>
  <c r="I309" i="146"/>
  <c r="N309" i="146"/>
  <c r="D310" i="146"/>
  <c r="E310" i="146"/>
  <c r="G310" i="146"/>
  <c r="I310" i="146"/>
  <c r="J310" i="146"/>
  <c r="L310" i="146"/>
  <c r="N310" i="146"/>
  <c r="O310" i="146"/>
  <c r="Q310" i="146"/>
  <c r="D311" i="146"/>
  <c r="E311" i="146"/>
  <c r="G311" i="146"/>
  <c r="I311" i="146"/>
  <c r="J311" i="146"/>
  <c r="L311" i="146"/>
  <c r="N311" i="146"/>
  <c r="O311" i="146"/>
  <c r="Q311" i="146"/>
  <c r="D312" i="146"/>
  <c r="E312" i="146"/>
  <c r="G312" i="146"/>
  <c r="I312" i="146"/>
  <c r="J312" i="146"/>
  <c r="L312" i="146"/>
  <c r="N312" i="146"/>
  <c r="O312" i="146"/>
  <c r="Q312" i="146"/>
  <c r="D313" i="146"/>
  <c r="I313" i="146"/>
  <c r="N313" i="146"/>
  <c r="D314" i="146"/>
  <c r="E314" i="146"/>
  <c r="G314" i="146"/>
  <c r="I314" i="146"/>
  <c r="J314" i="146"/>
  <c r="L314" i="146"/>
  <c r="N314" i="146"/>
  <c r="O314" i="146"/>
  <c r="Q314" i="146"/>
  <c r="D315" i="146"/>
  <c r="E315" i="146"/>
  <c r="G315" i="146"/>
  <c r="I315" i="146"/>
  <c r="J315" i="146"/>
  <c r="L315" i="146"/>
  <c r="N315" i="146"/>
  <c r="O315" i="146"/>
  <c r="Q315" i="146"/>
  <c r="D316" i="146"/>
  <c r="E316" i="146"/>
  <c r="G316" i="146"/>
  <c r="I316" i="146"/>
  <c r="J316" i="146"/>
  <c r="L316" i="146"/>
  <c r="N316" i="146"/>
  <c r="O316" i="146"/>
  <c r="Q316" i="146"/>
  <c r="D317" i="146"/>
  <c r="I317" i="146"/>
  <c r="N317" i="146"/>
  <c r="D318" i="146"/>
  <c r="E318" i="146"/>
  <c r="G318" i="146"/>
  <c r="I318" i="146"/>
  <c r="J318" i="146"/>
  <c r="L318" i="146"/>
  <c r="N318" i="146"/>
  <c r="O318" i="146"/>
  <c r="Q318" i="146"/>
  <c r="D319" i="146"/>
  <c r="I319" i="146"/>
  <c r="N319" i="146"/>
  <c r="D320" i="146"/>
  <c r="I320" i="146"/>
  <c r="N320" i="146"/>
  <c r="D321" i="146"/>
  <c r="E321" i="146"/>
  <c r="G321" i="146"/>
  <c r="I321" i="146"/>
  <c r="J321" i="146"/>
  <c r="L321" i="146"/>
  <c r="N321" i="146"/>
  <c r="O321" i="146"/>
  <c r="Q321" i="146"/>
  <c r="D322" i="146"/>
  <c r="I322" i="146"/>
  <c r="N322" i="146"/>
  <c r="D323" i="146"/>
  <c r="E323" i="146"/>
  <c r="G323" i="146"/>
  <c r="I323" i="146"/>
  <c r="J323" i="146"/>
  <c r="L323" i="146"/>
  <c r="N323" i="146"/>
  <c r="O323" i="146"/>
  <c r="Q323" i="146"/>
  <c r="D324" i="146"/>
  <c r="E324" i="146"/>
  <c r="G324" i="146"/>
  <c r="I324" i="146"/>
  <c r="J324" i="146"/>
  <c r="L324" i="146"/>
  <c r="N324" i="146"/>
  <c r="O324" i="146"/>
  <c r="Q324" i="146"/>
  <c r="D325" i="146"/>
  <c r="E325" i="146"/>
  <c r="G325" i="146"/>
  <c r="I325" i="146"/>
  <c r="J325" i="146"/>
  <c r="L325" i="146"/>
  <c r="N325" i="146"/>
  <c r="O325" i="146"/>
  <c r="Q325" i="146"/>
  <c r="D326" i="146"/>
  <c r="I326" i="146"/>
  <c r="N326" i="146"/>
  <c r="D327" i="146"/>
  <c r="E327" i="146"/>
  <c r="G327" i="146"/>
  <c r="I327" i="146"/>
  <c r="J327" i="146"/>
  <c r="L327" i="146"/>
  <c r="N327" i="146"/>
  <c r="O327" i="146"/>
  <c r="Q327" i="146"/>
  <c r="D328" i="146"/>
  <c r="E328" i="146"/>
  <c r="G328" i="146"/>
  <c r="I328" i="146"/>
  <c r="J328" i="146"/>
  <c r="L328" i="146"/>
  <c r="N328" i="146"/>
  <c r="O328" i="146"/>
  <c r="Q328" i="146"/>
  <c r="D329" i="146"/>
  <c r="E329" i="146"/>
  <c r="G329" i="146"/>
  <c r="I329" i="146"/>
  <c r="J329" i="146"/>
  <c r="L329" i="146"/>
  <c r="N329" i="146"/>
  <c r="O329" i="146"/>
  <c r="Q329" i="146"/>
  <c r="D330" i="146"/>
  <c r="I330" i="146"/>
  <c r="N330" i="146"/>
  <c r="D331" i="146"/>
  <c r="E331" i="146"/>
  <c r="G331" i="146"/>
  <c r="I331" i="146"/>
  <c r="J331" i="146"/>
  <c r="L331" i="146"/>
  <c r="N331" i="146"/>
  <c r="O331" i="146"/>
  <c r="Q331" i="146"/>
  <c r="D332" i="146"/>
  <c r="E332" i="146"/>
  <c r="G332" i="146"/>
  <c r="I332" i="146"/>
  <c r="J332" i="146"/>
  <c r="L332" i="146"/>
  <c r="N332" i="146"/>
  <c r="O332" i="146"/>
  <c r="Q332" i="146"/>
  <c r="D333" i="146"/>
  <c r="E333" i="146"/>
  <c r="G333" i="146"/>
  <c r="I333" i="146"/>
  <c r="J333" i="146"/>
  <c r="L333" i="146"/>
  <c r="N333" i="146"/>
  <c r="O333" i="146"/>
  <c r="Q333" i="146"/>
  <c r="D334" i="146"/>
  <c r="I334" i="146"/>
  <c r="N334" i="146"/>
  <c r="D335" i="146"/>
  <c r="I335" i="146"/>
  <c r="N335" i="146"/>
  <c r="D336" i="146"/>
  <c r="I336" i="146"/>
  <c r="N336" i="146"/>
  <c r="D337" i="146"/>
  <c r="E337" i="146"/>
  <c r="G337" i="146"/>
  <c r="I337" i="146"/>
  <c r="J337" i="146"/>
  <c r="L337" i="146"/>
  <c r="N337" i="146"/>
  <c r="O337" i="146"/>
  <c r="Q337" i="146"/>
  <c r="D338" i="146"/>
  <c r="E338" i="146"/>
  <c r="G338" i="146"/>
  <c r="I338" i="146"/>
  <c r="J338" i="146"/>
  <c r="L338" i="146"/>
  <c r="N338" i="146"/>
  <c r="O338" i="146"/>
  <c r="Q338" i="146"/>
  <c r="D339" i="146"/>
  <c r="I339" i="146"/>
  <c r="N339" i="146"/>
  <c r="D340" i="146"/>
  <c r="E340" i="146"/>
  <c r="G340" i="146"/>
  <c r="I340" i="146"/>
  <c r="J340" i="146"/>
  <c r="L340" i="146"/>
  <c r="N340" i="146"/>
  <c r="O340" i="146"/>
  <c r="Q340" i="146"/>
  <c r="D341" i="146"/>
  <c r="E341" i="146"/>
  <c r="G341" i="146"/>
  <c r="I341" i="146"/>
  <c r="J341" i="146"/>
  <c r="L341" i="146"/>
  <c r="N341" i="146"/>
  <c r="O341" i="146"/>
  <c r="Q341" i="146"/>
  <c r="D342" i="146"/>
  <c r="E342" i="146"/>
  <c r="G342" i="146"/>
  <c r="I342" i="146"/>
  <c r="J342" i="146"/>
  <c r="L342" i="146"/>
  <c r="N342" i="146"/>
  <c r="O342" i="146"/>
  <c r="Q342" i="146"/>
  <c r="D343" i="146"/>
  <c r="I343" i="146"/>
  <c r="N343" i="146"/>
  <c r="D344" i="146"/>
  <c r="E344" i="146"/>
  <c r="G344" i="146"/>
  <c r="I344" i="146"/>
  <c r="J344" i="146"/>
  <c r="L344" i="146"/>
  <c r="N344" i="146"/>
  <c r="O344" i="146"/>
  <c r="Q344" i="146"/>
  <c r="D345" i="146"/>
  <c r="E345" i="146"/>
  <c r="G345" i="146"/>
  <c r="I345" i="146"/>
  <c r="J345" i="146"/>
  <c r="L345" i="146"/>
  <c r="N345" i="146"/>
  <c r="O345" i="146"/>
  <c r="Q345" i="146"/>
  <c r="D346" i="146"/>
  <c r="E346" i="146"/>
  <c r="G346" i="146"/>
  <c r="I346" i="146"/>
  <c r="J346" i="146"/>
  <c r="L346" i="146"/>
  <c r="N346" i="146"/>
  <c r="O346" i="146"/>
  <c r="Q346" i="146"/>
  <c r="D347" i="146"/>
  <c r="E347" i="146"/>
  <c r="G347" i="146"/>
  <c r="I347" i="146"/>
  <c r="J347" i="146"/>
  <c r="L347" i="146"/>
  <c r="N347" i="146"/>
  <c r="O347" i="146"/>
  <c r="Q347" i="146"/>
  <c r="D348" i="146"/>
  <c r="I348" i="146"/>
  <c r="N348" i="146"/>
  <c r="D349" i="146"/>
  <c r="D95" i="146" s="1"/>
  <c r="E349" i="146"/>
  <c r="E95" i="146" s="1"/>
  <c r="G349" i="146"/>
  <c r="G95" i="146" s="1"/>
  <c r="I349" i="146"/>
  <c r="I95" i="146" s="1"/>
  <c r="J349" i="146"/>
  <c r="J95" i="146" s="1"/>
  <c r="L349" i="146"/>
  <c r="L95" i="146" s="1"/>
  <c r="N349" i="146"/>
  <c r="N95" i="146" s="1"/>
  <c r="O349" i="146"/>
  <c r="O95" i="146" s="1"/>
  <c r="Q349" i="146"/>
  <c r="Q95" i="146" s="1"/>
  <c r="D350" i="146"/>
  <c r="D96" i="146" s="1"/>
  <c r="E350" i="146"/>
  <c r="E96" i="146" s="1"/>
  <c r="G350" i="146"/>
  <c r="G96" i="146" s="1"/>
  <c r="I350" i="146"/>
  <c r="I96" i="146" s="1"/>
  <c r="J350" i="146"/>
  <c r="J96" i="146" s="1"/>
  <c r="L350" i="146"/>
  <c r="L96" i="146" s="1"/>
  <c r="N350" i="146"/>
  <c r="N96" i="146" s="1"/>
  <c r="O350" i="146"/>
  <c r="O96" i="146" s="1"/>
  <c r="Q350" i="146"/>
  <c r="Q96" i="146" s="1"/>
  <c r="D351" i="146"/>
  <c r="E351" i="146"/>
  <c r="G351" i="146"/>
  <c r="I351" i="146"/>
  <c r="J351" i="146"/>
  <c r="L351" i="146"/>
  <c r="N351" i="146"/>
  <c r="O351" i="146"/>
  <c r="Q351" i="146"/>
  <c r="D352" i="146"/>
  <c r="I352" i="146"/>
  <c r="N352" i="146"/>
  <c r="D353" i="146"/>
  <c r="I353" i="146"/>
  <c r="N353" i="146"/>
  <c r="D354" i="146"/>
  <c r="I354" i="146"/>
  <c r="N354" i="146"/>
  <c r="D355" i="146"/>
  <c r="I355" i="146"/>
  <c r="N355" i="146"/>
  <c r="D356" i="146"/>
  <c r="E356" i="146"/>
  <c r="G356" i="146"/>
  <c r="I356" i="146"/>
  <c r="J356" i="146"/>
  <c r="L356" i="146"/>
  <c r="N356" i="146"/>
  <c r="O356" i="146"/>
  <c r="Q356" i="146"/>
  <c r="D357" i="146"/>
  <c r="E357" i="146"/>
  <c r="G357" i="146"/>
  <c r="I357" i="146"/>
  <c r="J357" i="146"/>
  <c r="L357" i="146"/>
  <c r="N357" i="146"/>
  <c r="O357" i="146"/>
  <c r="Q357" i="146"/>
  <c r="D358" i="146"/>
  <c r="E358" i="146"/>
  <c r="G358" i="146"/>
  <c r="I358" i="146"/>
  <c r="J358" i="146"/>
  <c r="L358" i="146"/>
  <c r="N358" i="146"/>
  <c r="O358" i="146"/>
  <c r="Q358" i="146"/>
  <c r="D359" i="146"/>
  <c r="I359" i="146"/>
  <c r="N359" i="146"/>
  <c r="D360" i="146"/>
  <c r="I360" i="146"/>
  <c r="N360" i="146"/>
  <c r="D361" i="146"/>
  <c r="D107" i="146" s="1"/>
  <c r="E361" i="146"/>
  <c r="E107" i="146" s="1"/>
  <c r="G361" i="146"/>
  <c r="G107" i="146" s="1"/>
  <c r="I361" i="146"/>
  <c r="I107" i="146" s="1"/>
  <c r="J361" i="146"/>
  <c r="J107" i="146" s="1"/>
  <c r="L361" i="146"/>
  <c r="L107" i="146" s="1"/>
  <c r="N361" i="146"/>
  <c r="N107" i="146" s="1"/>
  <c r="O361" i="146"/>
  <c r="O107" i="146" s="1"/>
  <c r="Q361" i="146"/>
  <c r="Q107" i="146" s="1"/>
  <c r="D362" i="146"/>
  <c r="D108" i="146" s="1"/>
  <c r="E362" i="146"/>
  <c r="E108" i="146" s="1"/>
  <c r="G362" i="146"/>
  <c r="G108" i="146" s="1"/>
  <c r="I362" i="146"/>
  <c r="I108" i="146" s="1"/>
  <c r="J362" i="146"/>
  <c r="J108" i="146" s="1"/>
  <c r="L362" i="146"/>
  <c r="L108" i="146" s="1"/>
  <c r="N362" i="146"/>
  <c r="N108" i="146" s="1"/>
  <c r="O362" i="146"/>
  <c r="O108" i="146" s="1"/>
  <c r="Q362" i="146"/>
  <c r="Q108" i="146" s="1"/>
  <c r="D363" i="146"/>
  <c r="D109" i="146" s="1"/>
  <c r="E363" i="146"/>
  <c r="E109" i="146" s="1"/>
  <c r="G363" i="146"/>
  <c r="G109" i="146" s="1"/>
  <c r="I363" i="146"/>
  <c r="I109" i="146" s="1"/>
  <c r="J363" i="146"/>
  <c r="J109" i="146" s="1"/>
  <c r="L363" i="146"/>
  <c r="L109" i="146" s="1"/>
  <c r="N363" i="146"/>
  <c r="N109" i="146" s="1"/>
  <c r="O363" i="146"/>
  <c r="O109" i="146" s="1"/>
  <c r="Q363" i="146"/>
  <c r="Q109" i="146" s="1"/>
  <c r="D364" i="146"/>
  <c r="I364" i="146"/>
  <c r="N364" i="146"/>
  <c r="D365" i="146"/>
  <c r="I365" i="146"/>
  <c r="N365" i="146"/>
  <c r="D366" i="146"/>
  <c r="D112" i="146" s="1"/>
  <c r="E366" i="146"/>
  <c r="E112" i="146" s="1"/>
  <c r="G366" i="146"/>
  <c r="G112" i="146" s="1"/>
  <c r="I366" i="146"/>
  <c r="I112" i="146" s="1"/>
  <c r="J366" i="146"/>
  <c r="J112" i="146" s="1"/>
  <c r="L366" i="146"/>
  <c r="L112" i="146" s="1"/>
  <c r="N366" i="146"/>
  <c r="N112" i="146" s="1"/>
  <c r="O366" i="146"/>
  <c r="O112" i="146" s="1"/>
  <c r="Q366" i="146"/>
  <c r="Q112" i="146" s="1"/>
  <c r="D367" i="146"/>
  <c r="D113" i="146" s="1"/>
  <c r="E367" i="146"/>
  <c r="E113" i="146" s="1"/>
  <c r="G367" i="146"/>
  <c r="G113" i="146" s="1"/>
  <c r="I367" i="146"/>
  <c r="I113" i="146" s="1"/>
  <c r="J367" i="146"/>
  <c r="J113" i="146" s="1"/>
  <c r="L367" i="146"/>
  <c r="L113" i="146" s="1"/>
  <c r="N367" i="146"/>
  <c r="N113" i="146" s="1"/>
  <c r="O367" i="146"/>
  <c r="O113" i="146" s="1"/>
  <c r="Q367" i="146"/>
  <c r="Q113" i="146" s="1"/>
  <c r="D368" i="146"/>
  <c r="D114" i="146" s="1"/>
  <c r="E368" i="146"/>
  <c r="E114" i="146" s="1"/>
  <c r="G368" i="146"/>
  <c r="G114" i="146" s="1"/>
  <c r="I368" i="146"/>
  <c r="I114" i="146" s="1"/>
  <c r="J368" i="146"/>
  <c r="J114" i="146" s="1"/>
  <c r="L368" i="146"/>
  <c r="L114" i="146" s="1"/>
  <c r="N368" i="146"/>
  <c r="N114" i="146" s="1"/>
  <c r="O368" i="146"/>
  <c r="O114" i="146" s="1"/>
  <c r="Q368" i="146"/>
  <c r="Q114" i="146" s="1"/>
  <c r="D369" i="146"/>
  <c r="D115" i="146" s="1"/>
  <c r="E369" i="146"/>
  <c r="E115" i="146" s="1"/>
  <c r="G369" i="146"/>
  <c r="G115" i="146" s="1"/>
  <c r="I369" i="146"/>
  <c r="I115" i="146" s="1"/>
  <c r="J369" i="146"/>
  <c r="J115" i="146" s="1"/>
  <c r="L369" i="146"/>
  <c r="L115" i="146" s="1"/>
  <c r="N369" i="146"/>
  <c r="N115" i="146" s="1"/>
  <c r="O369" i="146"/>
  <c r="O115" i="146" s="1"/>
  <c r="Q369" i="146"/>
  <c r="Q115" i="146" s="1"/>
  <c r="D370" i="146"/>
  <c r="I370" i="146"/>
  <c r="N370" i="146"/>
  <c r="D371" i="146"/>
  <c r="D117" i="146" s="1"/>
  <c r="E371" i="146"/>
  <c r="E117" i="146" s="1"/>
  <c r="G371" i="146"/>
  <c r="G117" i="146" s="1"/>
  <c r="I371" i="146"/>
  <c r="I117" i="146" s="1"/>
  <c r="J371" i="146"/>
  <c r="J117" i="146" s="1"/>
  <c r="N371" i="146"/>
  <c r="N117" i="146" s="1"/>
  <c r="O371" i="146"/>
  <c r="O117" i="146" s="1"/>
  <c r="D372" i="146"/>
  <c r="E372" i="146"/>
  <c r="G372" i="146"/>
  <c r="I372" i="146"/>
  <c r="J372" i="146"/>
  <c r="L372" i="146"/>
  <c r="N372" i="146"/>
  <c r="O372" i="146"/>
  <c r="Q372" i="146"/>
  <c r="D373" i="146"/>
  <c r="I373" i="146"/>
  <c r="N373" i="146"/>
  <c r="D374" i="146"/>
  <c r="I374" i="146"/>
  <c r="N374" i="146"/>
  <c r="D375" i="146"/>
  <c r="I375" i="146"/>
  <c r="N375" i="146"/>
  <c r="D376" i="146"/>
  <c r="D122" i="146" s="1"/>
  <c r="E376" i="146"/>
  <c r="E122" i="146" s="1"/>
  <c r="G376" i="146"/>
  <c r="G122" i="146" s="1"/>
  <c r="I376" i="146"/>
  <c r="I122" i="146" s="1"/>
  <c r="J376" i="146"/>
  <c r="J122" i="146" s="1"/>
  <c r="L376" i="146"/>
  <c r="L122" i="146" s="1"/>
  <c r="N376" i="146"/>
  <c r="N122" i="146" s="1"/>
  <c r="O376" i="146"/>
  <c r="O122" i="146" s="1"/>
  <c r="Q376" i="146"/>
  <c r="Q122" i="146" s="1"/>
  <c r="D377" i="146"/>
  <c r="D123" i="146" s="1"/>
  <c r="E377" i="146"/>
  <c r="E123" i="146" s="1"/>
  <c r="G377" i="146"/>
  <c r="G123" i="146" s="1"/>
  <c r="I377" i="146"/>
  <c r="I123" i="146" s="1"/>
  <c r="J377" i="146"/>
  <c r="J123" i="146" s="1"/>
  <c r="L377" i="146"/>
  <c r="L123" i="146" s="1"/>
  <c r="N377" i="146"/>
  <c r="N123" i="146" s="1"/>
  <c r="O377" i="146"/>
  <c r="O123" i="146" s="1"/>
  <c r="Q377" i="146"/>
  <c r="Q123" i="146" s="1"/>
  <c r="D378" i="146"/>
  <c r="D124" i="146" s="1"/>
  <c r="E378" i="146"/>
  <c r="E124" i="146" s="1"/>
  <c r="G378" i="146"/>
  <c r="G124" i="146" s="1"/>
  <c r="I378" i="146"/>
  <c r="I124" i="146" s="1"/>
  <c r="J378" i="146"/>
  <c r="J124" i="146" s="1"/>
  <c r="L378" i="146"/>
  <c r="L124" i="146" s="1"/>
  <c r="N378" i="146"/>
  <c r="N124" i="146" s="1"/>
  <c r="O378" i="146"/>
  <c r="O124" i="146" s="1"/>
  <c r="Q378" i="146"/>
  <c r="Q124" i="146" s="1"/>
  <c r="D379" i="146"/>
  <c r="D125" i="146" s="1"/>
  <c r="E379" i="146"/>
  <c r="E125" i="146" s="1"/>
  <c r="G379" i="146"/>
  <c r="G125" i="146" s="1"/>
  <c r="I379" i="146"/>
  <c r="I125" i="146" s="1"/>
  <c r="J379" i="146"/>
  <c r="J125" i="146" s="1"/>
  <c r="L379" i="146"/>
  <c r="L125" i="146" s="1"/>
  <c r="N379" i="146"/>
  <c r="N125" i="146" s="1"/>
  <c r="O379" i="146"/>
  <c r="O125" i="146" s="1"/>
  <c r="Q379" i="146"/>
  <c r="Q125" i="146" s="1"/>
  <c r="D380" i="146"/>
  <c r="I380" i="146"/>
  <c r="N380" i="146"/>
  <c r="D381" i="146"/>
  <c r="D127" i="146" s="1"/>
  <c r="E381" i="146"/>
  <c r="E127" i="146" s="1"/>
  <c r="G127" i="146"/>
  <c r="I381" i="146"/>
  <c r="I127" i="146" s="1"/>
  <c r="J381" i="146"/>
  <c r="J127" i="146" s="1"/>
  <c r="L381" i="146"/>
  <c r="L127" i="146" s="1"/>
  <c r="N381" i="146"/>
  <c r="N127" i="146" s="1"/>
  <c r="O381" i="146"/>
  <c r="O127" i="146" s="1"/>
  <c r="Q381" i="146"/>
  <c r="Q127" i="146" s="1"/>
  <c r="D382" i="146"/>
  <c r="D128" i="146" s="1"/>
  <c r="E382" i="146"/>
  <c r="E128" i="146" s="1"/>
  <c r="G382" i="146"/>
  <c r="G128" i="146" s="1"/>
  <c r="I382" i="146"/>
  <c r="I128" i="146" s="1"/>
  <c r="J382" i="146"/>
  <c r="J128" i="146" s="1"/>
  <c r="L382" i="146"/>
  <c r="L128" i="146" s="1"/>
  <c r="N382" i="146"/>
  <c r="N128" i="146" s="1"/>
  <c r="O382" i="146"/>
  <c r="O128" i="146" s="1"/>
  <c r="Q382" i="146"/>
  <c r="Q128" i="146" s="1"/>
  <c r="D383" i="146"/>
  <c r="I383" i="146"/>
  <c r="N383" i="146"/>
  <c r="D384" i="146"/>
  <c r="D130" i="146" s="1"/>
  <c r="E384" i="146"/>
  <c r="E130" i="146" s="1"/>
  <c r="G384" i="146"/>
  <c r="G130" i="146" s="1"/>
  <c r="I384" i="146"/>
  <c r="I130" i="146" s="1"/>
  <c r="J384" i="146"/>
  <c r="J130" i="146" s="1"/>
  <c r="L384" i="146"/>
  <c r="L130" i="146" s="1"/>
  <c r="N384" i="146"/>
  <c r="N130" i="146" s="1"/>
  <c r="O384" i="146"/>
  <c r="O130" i="146" s="1"/>
  <c r="Q384" i="146"/>
  <c r="Q130" i="146" s="1"/>
  <c r="D385" i="146"/>
  <c r="D131" i="146" s="1"/>
  <c r="E385" i="146"/>
  <c r="E131" i="146" s="1"/>
  <c r="G385" i="146"/>
  <c r="G131" i="146" s="1"/>
  <c r="I385" i="146"/>
  <c r="I131" i="146" s="1"/>
  <c r="J385" i="146"/>
  <c r="J131" i="146" s="1"/>
  <c r="L385" i="146"/>
  <c r="L131" i="146" s="1"/>
  <c r="N385" i="146"/>
  <c r="N131" i="146" s="1"/>
  <c r="O385" i="146"/>
  <c r="O131" i="146" s="1"/>
  <c r="Q385" i="146"/>
  <c r="Q131" i="146" s="1"/>
  <c r="D386" i="146"/>
  <c r="I386" i="146"/>
  <c r="N386" i="146"/>
  <c r="D387" i="146"/>
  <c r="I387" i="146"/>
  <c r="N387" i="146"/>
  <c r="D388" i="146"/>
  <c r="D134" i="146" s="1"/>
  <c r="E388" i="146"/>
  <c r="E134" i="146" s="1"/>
  <c r="G388" i="146"/>
  <c r="G134" i="146" s="1"/>
  <c r="I388" i="146"/>
  <c r="I134" i="146" s="1"/>
  <c r="J388" i="146"/>
  <c r="J134" i="146" s="1"/>
  <c r="L388" i="146"/>
  <c r="L134" i="146" s="1"/>
  <c r="N388" i="146"/>
  <c r="N134" i="146" s="1"/>
  <c r="O388" i="146"/>
  <c r="O134" i="146" s="1"/>
  <c r="Q388" i="146"/>
  <c r="Q134" i="146" s="1"/>
  <c r="D389" i="146"/>
  <c r="I389" i="146"/>
  <c r="N389" i="146"/>
  <c r="D390" i="146"/>
  <c r="E390" i="146"/>
  <c r="G390" i="146"/>
  <c r="I390" i="146"/>
  <c r="J390" i="146"/>
  <c r="L390" i="146"/>
  <c r="N390" i="146"/>
  <c r="O390" i="146"/>
  <c r="Q390" i="146"/>
  <c r="D391" i="146"/>
  <c r="E391" i="146"/>
  <c r="G391" i="146"/>
  <c r="I391" i="146"/>
  <c r="J391" i="146"/>
  <c r="L391" i="146"/>
  <c r="N391" i="146"/>
  <c r="O391" i="146"/>
  <c r="Q391" i="146"/>
  <c r="D392" i="146"/>
  <c r="E392" i="146"/>
  <c r="G392" i="146"/>
  <c r="I392" i="146"/>
  <c r="J392" i="146"/>
  <c r="L392" i="146"/>
  <c r="N392" i="146"/>
  <c r="O392" i="146"/>
  <c r="Q392" i="146"/>
  <c r="D393" i="146"/>
  <c r="I393" i="146"/>
  <c r="N393" i="146"/>
  <c r="D394" i="146"/>
  <c r="D140" i="146" s="1"/>
  <c r="E394" i="146"/>
  <c r="E140" i="146" s="1"/>
  <c r="G394" i="146"/>
  <c r="G140" i="146" s="1"/>
  <c r="I394" i="146"/>
  <c r="I140" i="146" s="1"/>
  <c r="J394" i="146"/>
  <c r="J140" i="146" s="1"/>
  <c r="L394" i="146"/>
  <c r="L140" i="146" s="1"/>
  <c r="N394" i="146"/>
  <c r="N140" i="146" s="1"/>
  <c r="O394" i="146"/>
  <c r="O140" i="146" s="1"/>
  <c r="Q394" i="146"/>
  <c r="Q140" i="146" s="1"/>
  <c r="D395" i="146"/>
  <c r="D141" i="146" s="1"/>
  <c r="E395" i="146"/>
  <c r="E141" i="146" s="1"/>
  <c r="G395" i="146"/>
  <c r="G141" i="146" s="1"/>
  <c r="I395" i="146"/>
  <c r="I141" i="146" s="1"/>
  <c r="J395" i="146"/>
  <c r="J141" i="146" s="1"/>
  <c r="L395" i="146"/>
  <c r="L141" i="146" s="1"/>
  <c r="N395" i="146"/>
  <c r="N141" i="146" s="1"/>
  <c r="O395" i="146"/>
  <c r="O141" i="146" s="1"/>
  <c r="Q395" i="146"/>
  <c r="Q141" i="146" s="1"/>
  <c r="D396" i="146"/>
  <c r="D142" i="146" s="1"/>
  <c r="E396" i="146"/>
  <c r="E142" i="146" s="1"/>
  <c r="G396" i="146"/>
  <c r="G142" i="146" s="1"/>
  <c r="I396" i="146"/>
  <c r="I142" i="146" s="1"/>
  <c r="J396" i="146"/>
  <c r="J142" i="146" s="1"/>
  <c r="L396" i="146"/>
  <c r="L142" i="146" s="1"/>
  <c r="N396" i="146"/>
  <c r="N142" i="146" s="1"/>
  <c r="O396" i="146"/>
  <c r="O142" i="146" s="1"/>
  <c r="Q396" i="146"/>
  <c r="Q142" i="146" s="1"/>
  <c r="D397" i="146"/>
  <c r="I397" i="146"/>
  <c r="N397" i="146"/>
  <c r="D398" i="146"/>
  <c r="D144" i="146" s="1"/>
  <c r="E398" i="146"/>
  <c r="E144" i="146" s="1"/>
  <c r="G398" i="146"/>
  <c r="G144" i="146" s="1"/>
  <c r="I398" i="146"/>
  <c r="I144" i="146" s="1"/>
  <c r="J398" i="146"/>
  <c r="J144" i="146" s="1"/>
  <c r="L398" i="146"/>
  <c r="L144" i="146" s="1"/>
  <c r="N398" i="146"/>
  <c r="N144" i="146" s="1"/>
  <c r="O398" i="146"/>
  <c r="O144" i="146" s="1"/>
  <c r="Q398" i="146"/>
  <c r="Q144" i="146" s="1"/>
  <c r="D399" i="146"/>
  <c r="D145" i="146" s="1"/>
  <c r="E399" i="146"/>
  <c r="E145" i="146" s="1"/>
  <c r="G399" i="146"/>
  <c r="G145" i="146" s="1"/>
  <c r="I399" i="146"/>
  <c r="I145" i="146" s="1"/>
  <c r="J399" i="146"/>
  <c r="J145" i="146" s="1"/>
  <c r="L399" i="146"/>
  <c r="L145" i="146" s="1"/>
  <c r="N399" i="146"/>
  <c r="N145" i="146" s="1"/>
  <c r="O399" i="146"/>
  <c r="O145" i="146" s="1"/>
  <c r="Q399" i="146"/>
  <c r="Q145" i="146" s="1"/>
  <c r="D400" i="146"/>
  <c r="E400" i="146"/>
  <c r="G400" i="146"/>
  <c r="I400" i="146"/>
  <c r="J400" i="146"/>
  <c r="L400" i="146"/>
  <c r="N400" i="146"/>
  <c r="O400" i="146"/>
  <c r="Q400" i="146"/>
  <c r="D401" i="146"/>
  <c r="I401" i="146"/>
  <c r="N401" i="146"/>
  <c r="D402" i="146"/>
  <c r="D148" i="146" s="1"/>
  <c r="E402" i="146"/>
  <c r="E148" i="146" s="1"/>
  <c r="G402" i="146"/>
  <c r="G148" i="146" s="1"/>
  <c r="I402" i="146"/>
  <c r="I148" i="146" s="1"/>
  <c r="J402" i="146"/>
  <c r="J148" i="146" s="1"/>
  <c r="L402" i="146"/>
  <c r="L148" i="146" s="1"/>
  <c r="N402" i="146"/>
  <c r="N148" i="146" s="1"/>
  <c r="O402" i="146"/>
  <c r="O148" i="146" s="1"/>
  <c r="Q402" i="146"/>
  <c r="Q148" i="146" s="1"/>
  <c r="D403" i="146"/>
  <c r="I403" i="146"/>
  <c r="N403" i="146"/>
  <c r="D404" i="146"/>
  <c r="I404" i="146"/>
  <c r="N404" i="146"/>
  <c r="D405" i="146"/>
  <c r="D151" i="146" s="1"/>
  <c r="E405" i="146"/>
  <c r="E151" i="146" s="1"/>
  <c r="G405" i="146"/>
  <c r="G151" i="146" s="1"/>
  <c r="I405" i="146"/>
  <c r="I151" i="146" s="1"/>
  <c r="J405" i="146"/>
  <c r="J151" i="146" s="1"/>
  <c r="L405" i="146"/>
  <c r="L151" i="146" s="1"/>
  <c r="N405" i="146"/>
  <c r="N151" i="146" s="1"/>
  <c r="O405" i="146"/>
  <c r="O151" i="146" s="1"/>
  <c r="Q405" i="146"/>
  <c r="Q151" i="146" s="1"/>
  <c r="D406" i="146"/>
  <c r="I406" i="146"/>
  <c r="N406" i="146"/>
  <c r="D407" i="146"/>
  <c r="E407" i="146"/>
  <c r="G407" i="146"/>
  <c r="I407" i="146"/>
  <c r="J407" i="146"/>
  <c r="L407" i="146"/>
  <c r="N407" i="146"/>
  <c r="O407" i="146"/>
  <c r="Q407" i="146"/>
  <c r="D408" i="146"/>
  <c r="E408" i="146"/>
  <c r="G408" i="146"/>
  <c r="I408" i="146"/>
  <c r="J408" i="146"/>
  <c r="L408" i="146"/>
  <c r="N408" i="146"/>
  <c r="O408" i="146"/>
  <c r="Q408" i="146"/>
  <c r="D409" i="146"/>
  <c r="E409" i="146"/>
  <c r="G409" i="146"/>
  <c r="I409" i="146"/>
  <c r="J409" i="146"/>
  <c r="L409" i="146"/>
  <c r="N409" i="146"/>
  <c r="O409" i="146"/>
  <c r="Q409" i="146"/>
  <c r="D410" i="146"/>
  <c r="I410" i="146"/>
  <c r="N410" i="146"/>
  <c r="D411" i="146"/>
  <c r="D157" i="146" s="1"/>
  <c r="E411" i="146"/>
  <c r="E157" i="146" s="1"/>
  <c r="G411" i="146"/>
  <c r="G157" i="146" s="1"/>
  <c r="I411" i="146"/>
  <c r="I157" i="146" s="1"/>
  <c r="J411" i="146"/>
  <c r="J157" i="146" s="1"/>
  <c r="L411" i="146"/>
  <c r="L157" i="146" s="1"/>
  <c r="N411" i="146"/>
  <c r="N157" i="146" s="1"/>
  <c r="O411" i="146"/>
  <c r="O157" i="146" s="1"/>
  <c r="Q411" i="146"/>
  <c r="Q157" i="146" s="1"/>
  <c r="D412" i="146"/>
  <c r="D158" i="146" s="1"/>
  <c r="E412" i="146"/>
  <c r="E158" i="146" s="1"/>
  <c r="G412" i="146"/>
  <c r="G158" i="146" s="1"/>
  <c r="I412" i="146"/>
  <c r="I158" i="146" s="1"/>
  <c r="J412" i="146"/>
  <c r="J158" i="146" s="1"/>
  <c r="L412" i="146"/>
  <c r="L158" i="146" s="1"/>
  <c r="N412" i="146"/>
  <c r="N158" i="146" s="1"/>
  <c r="O412" i="146"/>
  <c r="O158" i="146" s="1"/>
  <c r="Q412" i="146"/>
  <c r="Q158" i="146" s="1"/>
  <c r="D413" i="146"/>
  <c r="D159" i="146" s="1"/>
  <c r="E413" i="146"/>
  <c r="E159" i="146" s="1"/>
  <c r="G413" i="146"/>
  <c r="G159" i="146" s="1"/>
  <c r="I413" i="146"/>
  <c r="I159" i="146" s="1"/>
  <c r="J413" i="146"/>
  <c r="J159" i="146" s="1"/>
  <c r="L413" i="146"/>
  <c r="L159" i="146" s="1"/>
  <c r="N413" i="146"/>
  <c r="N159" i="146" s="1"/>
  <c r="O413" i="146"/>
  <c r="O159" i="146" s="1"/>
  <c r="Q413" i="146"/>
  <c r="Q159" i="146" s="1"/>
  <c r="D414" i="146"/>
  <c r="I414" i="146"/>
  <c r="N414" i="146"/>
  <c r="D415" i="146"/>
  <c r="D161" i="146" s="1"/>
  <c r="E415" i="146"/>
  <c r="E161" i="146" s="1"/>
  <c r="G415" i="146"/>
  <c r="G161" i="146" s="1"/>
  <c r="I415" i="146"/>
  <c r="I161" i="146" s="1"/>
  <c r="J415" i="146"/>
  <c r="J161" i="146" s="1"/>
  <c r="L415" i="146"/>
  <c r="L161" i="146" s="1"/>
  <c r="N415" i="146"/>
  <c r="N161" i="146" s="1"/>
  <c r="O415" i="146"/>
  <c r="O161" i="146" s="1"/>
  <c r="Q415" i="146"/>
  <c r="Q161" i="146" s="1"/>
  <c r="D416" i="146"/>
  <c r="D162" i="146" s="1"/>
  <c r="E416" i="146"/>
  <c r="E162" i="146" s="1"/>
  <c r="G416" i="146"/>
  <c r="G162" i="146" s="1"/>
  <c r="I416" i="146"/>
  <c r="I162" i="146" s="1"/>
  <c r="J416" i="146"/>
  <c r="J162" i="146" s="1"/>
  <c r="L416" i="146"/>
  <c r="L162" i="146" s="1"/>
  <c r="N416" i="146"/>
  <c r="N162" i="146" s="1"/>
  <c r="O416" i="146"/>
  <c r="O162" i="146" s="1"/>
  <c r="Q416" i="146"/>
  <c r="Q162" i="146" s="1"/>
  <c r="D417" i="146"/>
  <c r="E417" i="146"/>
  <c r="G417" i="146"/>
  <c r="I417" i="146"/>
  <c r="J417" i="146"/>
  <c r="L417" i="146"/>
  <c r="N417" i="146"/>
  <c r="O417" i="146"/>
  <c r="Q417" i="146"/>
  <c r="D418" i="146"/>
  <c r="I418" i="146"/>
  <c r="N418" i="146"/>
  <c r="D419" i="146"/>
  <c r="I419" i="146"/>
  <c r="N419" i="146"/>
  <c r="D420" i="146"/>
  <c r="I420" i="146"/>
  <c r="N420" i="146"/>
  <c r="D421" i="146"/>
  <c r="D167" i="146" s="1"/>
  <c r="E421" i="146"/>
  <c r="E167" i="146" s="1"/>
  <c r="G421" i="146"/>
  <c r="G167" i="146" s="1"/>
  <c r="I421" i="146"/>
  <c r="I167" i="146" s="1"/>
  <c r="J421" i="146"/>
  <c r="J167" i="146" s="1"/>
  <c r="L421" i="146"/>
  <c r="L167" i="146" s="1"/>
  <c r="N421" i="146"/>
  <c r="N167" i="146" s="1"/>
  <c r="O421" i="146"/>
  <c r="O167" i="146" s="1"/>
  <c r="Q421" i="146"/>
  <c r="Q167" i="146" s="1"/>
  <c r="D422" i="146"/>
  <c r="D168" i="146" s="1"/>
  <c r="E422" i="146"/>
  <c r="E168" i="146" s="1"/>
  <c r="G422" i="146"/>
  <c r="G168" i="146" s="1"/>
  <c r="I422" i="146"/>
  <c r="I168" i="146" s="1"/>
  <c r="J422" i="146"/>
  <c r="J168" i="146" s="1"/>
  <c r="L422" i="146"/>
  <c r="L168" i="146" s="1"/>
  <c r="N422" i="146"/>
  <c r="N168" i="146" s="1"/>
  <c r="O422" i="146"/>
  <c r="O168" i="146" s="1"/>
  <c r="Q422" i="146"/>
  <c r="Q168" i="146" s="1"/>
  <c r="D423" i="146"/>
  <c r="I423" i="146"/>
  <c r="N423" i="146"/>
  <c r="D424" i="146"/>
  <c r="D170" i="146" s="1"/>
  <c r="E424" i="146"/>
  <c r="E170" i="146" s="1"/>
  <c r="G424" i="146"/>
  <c r="G170" i="146" s="1"/>
  <c r="I424" i="146"/>
  <c r="I170" i="146" s="1"/>
  <c r="J424" i="146"/>
  <c r="J170" i="146" s="1"/>
  <c r="L424" i="146"/>
  <c r="L170" i="146" s="1"/>
  <c r="N424" i="146"/>
  <c r="N170" i="146" s="1"/>
  <c r="O424" i="146"/>
  <c r="O170" i="146" s="1"/>
  <c r="Q424" i="146"/>
  <c r="Q170" i="146" s="1"/>
  <c r="D425" i="146"/>
  <c r="D171" i="146" s="1"/>
  <c r="E425" i="146"/>
  <c r="E171" i="146" s="1"/>
  <c r="G425" i="146"/>
  <c r="G171" i="146" s="1"/>
  <c r="I425" i="146"/>
  <c r="I171" i="146" s="1"/>
  <c r="J425" i="146"/>
  <c r="J171" i="146" s="1"/>
  <c r="L425" i="146"/>
  <c r="L171" i="146" s="1"/>
  <c r="N425" i="146"/>
  <c r="N171" i="146" s="1"/>
  <c r="O425" i="146"/>
  <c r="O171" i="146" s="1"/>
  <c r="Q425" i="146"/>
  <c r="Q171" i="146" s="1"/>
  <c r="D426" i="146"/>
  <c r="D172" i="146" s="1"/>
  <c r="E426" i="146"/>
  <c r="E172" i="146" s="1"/>
  <c r="G426" i="146"/>
  <c r="G172" i="146" s="1"/>
  <c r="I426" i="146"/>
  <c r="I172" i="146" s="1"/>
  <c r="J426" i="146"/>
  <c r="J172" i="146" s="1"/>
  <c r="L426" i="146"/>
  <c r="L172" i="146" s="1"/>
  <c r="N426" i="146"/>
  <c r="N172" i="146" s="1"/>
  <c r="O426" i="146"/>
  <c r="O172" i="146" s="1"/>
  <c r="Q426" i="146"/>
  <c r="Q172" i="146" s="1"/>
  <c r="D427" i="146"/>
  <c r="I427" i="146"/>
  <c r="N427" i="146"/>
  <c r="D428" i="146"/>
  <c r="D174" i="146" s="1"/>
  <c r="E428" i="146"/>
  <c r="E174" i="146" s="1"/>
  <c r="G428" i="146"/>
  <c r="G174" i="146" s="1"/>
  <c r="I428" i="146"/>
  <c r="I174" i="146" s="1"/>
  <c r="J428" i="146"/>
  <c r="J174" i="146" s="1"/>
  <c r="L428" i="146"/>
  <c r="L174" i="146" s="1"/>
  <c r="N428" i="146"/>
  <c r="N174" i="146" s="1"/>
  <c r="O428" i="146"/>
  <c r="O174" i="146" s="1"/>
  <c r="Q428" i="146"/>
  <c r="Q174" i="146" s="1"/>
  <c r="D429" i="146"/>
  <c r="D175" i="146" s="1"/>
  <c r="E429" i="146"/>
  <c r="E175" i="146" s="1"/>
  <c r="G429" i="146"/>
  <c r="G175" i="146" s="1"/>
  <c r="I429" i="146"/>
  <c r="I175" i="146" s="1"/>
  <c r="J429" i="146"/>
  <c r="J175" i="146" s="1"/>
  <c r="L429" i="146"/>
  <c r="L175" i="146" s="1"/>
  <c r="N429" i="146"/>
  <c r="N175" i="146" s="1"/>
  <c r="O429" i="146"/>
  <c r="O175" i="146" s="1"/>
  <c r="Q429" i="146"/>
  <c r="Q175" i="146" s="1"/>
  <c r="D430" i="146"/>
  <c r="D176" i="146" s="1"/>
  <c r="E430" i="146"/>
  <c r="E176" i="146" s="1"/>
  <c r="G430" i="146"/>
  <c r="G176" i="146" s="1"/>
  <c r="I430" i="146"/>
  <c r="I176" i="146" s="1"/>
  <c r="J430" i="146"/>
  <c r="J176" i="146" s="1"/>
  <c r="L430" i="146"/>
  <c r="L176" i="146" s="1"/>
  <c r="N430" i="146"/>
  <c r="N176" i="146" s="1"/>
  <c r="O430" i="146"/>
  <c r="O176" i="146" s="1"/>
  <c r="Q430" i="146"/>
  <c r="Q176" i="146" s="1"/>
  <c r="D431" i="146"/>
  <c r="E431" i="146"/>
  <c r="G431" i="146"/>
  <c r="I431" i="146"/>
  <c r="J431" i="146"/>
  <c r="L431" i="146"/>
  <c r="N431" i="146"/>
  <c r="O431" i="146"/>
  <c r="Q431" i="146"/>
  <c r="D432" i="146"/>
  <c r="I432" i="146"/>
  <c r="N432" i="146"/>
  <c r="D433" i="146"/>
  <c r="D179" i="146" s="1"/>
  <c r="E433" i="146"/>
  <c r="E179" i="146" s="1"/>
  <c r="G433" i="146"/>
  <c r="G179" i="146" s="1"/>
  <c r="I433" i="146"/>
  <c r="I179" i="146" s="1"/>
  <c r="J433" i="146"/>
  <c r="J179" i="146" s="1"/>
  <c r="L433" i="146"/>
  <c r="L179" i="146" s="1"/>
  <c r="N433" i="146"/>
  <c r="N179" i="146" s="1"/>
  <c r="O433" i="146"/>
  <c r="O179" i="146" s="1"/>
  <c r="Q433" i="146"/>
  <c r="Q179" i="146" s="1"/>
  <c r="D434" i="146"/>
  <c r="E434" i="146"/>
  <c r="G434" i="146"/>
  <c r="I434" i="146"/>
  <c r="J434" i="146"/>
  <c r="L434" i="146"/>
  <c r="N434" i="146"/>
  <c r="O434" i="146"/>
  <c r="Q434" i="146"/>
  <c r="D435" i="146"/>
  <c r="E435" i="146"/>
  <c r="G435" i="146"/>
  <c r="I435" i="146"/>
  <c r="J435" i="146"/>
  <c r="L435" i="146"/>
  <c r="N435" i="146"/>
  <c r="O435" i="146"/>
  <c r="Q435" i="146"/>
  <c r="D436" i="146"/>
  <c r="I436" i="146"/>
  <c r="N436" i="146"/>
  <c r="D437" i="146"/>
  <c r="I437" i="146"/>
  <c r="N437" i="146"/>
  <c r="D438" i="146"/>
  <c r="I438" i="146"/>
  <c r="N438" i="146"/>
  <c r="D439" i="146"/>
  <c r="I439" i="146"/>
  <c r="N439" i="146"/>
  <c r="D440" i="146"/>
  <c r="E440" i="146"/>
  <c r="G440" i="146"/>
  <c r="I440" i="146"/>
  <c r="J440" i="146"/>
  <c r="L440" i="146"/>
  <c r="N440" i="146"/>
  <c r="O440" i="146"/>
  <c r="Q440" i="146"/>
  <c r="D441" i="146"/>
  <c r="E441" i="146"/>
  <c r="G441" i="146"/>
  <c r="I441" i="146"/>
  <c r="J441" i="146"/>
  <c r="L441" i="146"/>
  <c r="N441" i="146"/>
  <c r="O441" i="146"/>
  <c r="Q441" i="146"/>
  <c r="D442" i="146"/>
  <c r="E442" i="146"/>
  <c r="G442" i="146"/>
  <c r="I442" i="146"/>
  <c r="J442" i="146"/>
  <c r="L442" i="146"/>
  <c r="N442" i="146"/>
  <c r="O442" i="146"/>
  <c r="Q442" i="146"/>
  <c r="D443" i="146"/>
  <c r="I443" i="146"/>
  <c r="N443" i="146"/>
  <c r="D444" i="146"/>
  <c r="I444" i="146"/>
  <c r="N444" i="146"/>
  <c r="D445" i="146"/>
  <c r="D191" i="146" s="1"/>
  <c r="E445" i="146"/>
  <c r="E191" i="146" s="1"/>
  <c r="G445" i="146"/>
  <c r="G191" i="146" s="1"/>
  <c r="I445" i="146"/>
  <c r="I191" i="146" s="1"/>
  <c r="J445" i="146"/>
  <c r="J191" i="146" s="1"/>
  <c r="L445" i="146"/>
  <c r="L191" i="146" s="1"/>
  <c r="N445" i="146"/>
  <c r="N191" i="146" s="1"/>
  <c r="O445" i="146"/>
  <c r="O191" i="146" s="1"/>
  <c r="Q445" i="146"/>
  <c r="Q191" i="146" s="1"/>
  <c r="D446" i="146"/>
  <c r="D192" i="146" s="1"/>
  <c r="E446" i="146"/>
  <c r="E192" i="146" s="1"/>
  <c r="G446" i="146"/>
  <c r="G192" i="146" s="1"/>
  <c r="I446" i="146"/>
  <c r="I192" i="146" s="1"/>
  <c r="J446" i="146"/>
  <c r="J192" i="146" s="1"/>
  <c r="L446" i="146"/>
  <c r="L192" i="146" s="1"/>
  <c r="N446" i="146"/>
  <c r="N192" i="146" s="1"/>
  <c r="O446" i="146"/>
  <c r="O192" i="146" s="1"/>
  <c r="Q446" i="146"/>
  <c r="Q192" i="146" s="1"/>
  <c r="D447" i="146"/>
  <c r="D193" i="146" s="1"/>
  <c r="E447" i="146"/>
  <c r="E193" i="146" s="1"/>
  <c r="G447" i="146"/>
  <c r="G193" i="146" s="1"/>
  <c r="I447" i="146"/>
  <c r="I193" i="146" s="1"/>
  <c r="J447" i="146"/>
  <c r="J193" i="146" s="1"/>
  <c r="L447" i="146"/>
  <c r="L193" i="146" s="1"/>
  <c r="N447" i="146"/>
  <c r="N193" i="146" s="1"/>
  <c r="O447" i="146"/>
  <c r="O193" i="146" s="1"/>
  <c r="Q447" i="146"/>
  <c r="Q193" i="146" s="1"/>
  <c r="D448" i="146"/>
  <c r="I448" i="146"/>
  <c r="N448" i="146"/>
  <c r="D449" i="146"/>
  <c r="I449" i="146"/>
  <c r="N449" i="146"/>
  <c r="D450" i="146"/>
  <c r="D196" i="146" s="1"/>
  <c r="E450" i="146"/>
  <c r="E196" i="146" s="1"/>
  <c r="G450" i="146"/>
  <c r="G196" i="146" s="1"/>
  <c r="I450" i="146"/>
  <c r="I196" i="146" s="1"/>
  <c r="J450" i="146"/>
  <c r="J196" i="146" s="1"/>
  <c r="L450" i="146"/>
  <c r="L196" i="146" s="1"/>
  <c r="N450" i="146"/>
  <c r="N196" i="146" s="1"/>
  <c r="O450" i="146"/>
  <c r="O196" i="146" s="1"/>
  <c r="Q450" i="146"/>
  <c r="Q196" i="146" s="1"/>
  <c r="D451" i="146"/>
  <c r="D197" i="146" s="1"/>
  <c r="E451" i="146"/>
  <c r="E197" i="146" s="1"/>
  <c r="G451" i="146"/>
  <c r="G197" i="146" s="1"/>
  <c r="I451" i="146"/>
  <c r="I197" i="146" s="1"/>
  <c r="J451" i="146"/>
  <c r="J197" i="146" s="1"/>
  <c r="L451" i="146"/>
  <c r="L197" i="146" s="1"/>
  <c r="N451" i="146"/>
  <c r="N197" i="146" s="1"/>
  <c r="O451" i="146"/>
  <c r="O197" i="146" s="1"/>
  <c r="Q451" i="146"/>
  <c r="Q197" i="146" s="1"/>
  <c r="D452" i="146"/>
  <c r="D198" i="146" s="1"/>
  <c r="E452" i="146"/>
  <c r="E198" i="146" s="1"/>
  <c r="G452" i="146"/>
  <c r="G198" i="146" s="1"/>
  <c r="I452" i="146"/>
  <c r="I198" i="146" s="1"/>
  <c r="J452" i="146"/>
  <c r="J198" i="146" s="1"/>
  <c r="L452" i="146"/>
  <c r="L198" i="146" s="1"/>
  <c r="N452" i="146"/>
  <c r="N198" i="146" s="1"/>
  <c r="O452" i="146"/>
  <c r="O198" i="146" s="1"/>
  <c r="Q452" i="146"/>
  <c r="Q198" i="146" s="1"/>
  <c r="D453" i="146"/>
  <c r="D199" i="146" s="1"/>
  <c r="E453" i="146"/>
  <c r="E199" i="146" s="1"/>
  <c r="G453" i="146"/>
  <c r="G199" i="146" s="1"/>
  <c r="I453" i="146"/>
  <c r="I199" i="146" s="1"/>
  <c r="J453" i="146"/>
  <c r="J199" i="146" s="1"/>
  <c r="L453" i="146"/>
  <c r="L199" i="146" s="1"/>
  <c r="N453" i="146"/>
  <c r="N199" i="146" s="1"/>
  <c r="O453" i="146"/>
  <c r="O199" i="146" s="1"/>
  <c r="Q453" i="146"/>
  <c r="Q199" i="146" s="1"/>
  <c r="D454" i="146"/>
  <c r="I454" i="146"/>
  <c r="N454" i="146"/>
  <c r="D455" i="146"/>
  <c r="D201" i="146" s="1"/>
  <c r="D200" i="146" s="1"/>
  <c r="G455" i="146"/>
  <c r="G201" i="146" s="1"/>
  <c r="G200" i="146" s="1"/>
  <c r="I455" i="146"/>
  <c r="I201" i="146" s="1"/>
  <c r="I200" i="146" s="1"/>
  <c r="L455" i="146"/>
  <c r="L201" i="146" s="1"/>
  <c r="L200" i="146" s="1"/>
  <c r="N455" i="146"/>
  <c r="N201" i="146" s="1"/>
  <c r="N200" i="146" s="1"/>
  <c r="Q455" i="146"/>
  <c r="Q201" i="146" s="1"/>
  <c r="Q200" i="146" s="1"/>
  <c r="D456" i="146"/>
  <c r="E456" i="146"/>
  <c r="G456" i="146"/>
  <c r="I456" i="146"/>
  <c r="J456" i="146"/>
  <c r="L456" i="146"/>
  <c r="N456" i="146"/>
  <c r="O456" i="146"/>
  <c r="Q456" i="146"/>
  <c r="D457" i="146"/>
  <c r="I457" i="146"/>
  <c r="N457" i="146"/>
  <c r="D458" i="146"/>
  <c r="I458" i="146"/>
  <c r="N458" i="146"/>
  <c r="D459" i="146"/>
  <c r="I459" i="146"/>
  <c r="N459" i="146"/>
  <c r="D460" i="146"/>
  <c r="D206" i="146" s="1"/>
  <c r="E460" i="146"/>
  <c r="E206" i="146" s="1"/>
  <c r="G460" i="146"/>
  <c r="G206" i="146" s="1"/>
  <c r="I460" i="146"/>
  <c r="I206" i="146" s="1"/>
  <c r="J460" i="146"/>
  <c r="J206" i="146" s="1"/>
  <c r="L460" i="146"/>
  <c r="L206" i="146" s="1"/>
  <c r="N460" i="146"/>
  <c r="N206" i="146" s="1"/>
  <c r="O460" i="146"/>
  <c r="O206" i="146" s="1"/>
  <c r="Q460" i="146"/>
  <c r="Q206" i="146" s="1"/>
  <c r="D461" i="146"/>
  <c r="D207" i="146" s="1"/>
  <c r="E461" i="146"/>
  <c r="E207" i="146" s="1"/>
  <c r="G461" i="146"/>
  <c r="G207" i="146" s="1"/>
  <c r="I461" i="146"/>
  <c r="I207" i="146" s="1"/>
  <c r="J461" i="146"/>
  <c r="J207" i="146" s="1"/>
  <c r="L461" i="146"/>
  <c r="L207" i="146" s="1"/>
  <c r="N461" i="146"/>
  <c r="N207" i="146" s="1"/>
  <c r="O461" i="146"/>
  <c r="O207" i="146" s="1"/>
  <c r="Q461" i="146"/>
  <c r="Q207" i="146" s="1"/>
  <c r="D462" i="146"/>
  <c r="D208" i="146" s="1"/>
  <c r="E462" i="146"/>
  <c r="E208" i="146" s="1"/>
  <c r="G462" i="146"/>
  <c r="G208" i="146" s="1"/>
  <c r="I462" i="146"/>
  <c r="I208" i="146" s="1"/>
  <c r="J462" i="146"/>
  <c r="J208" i="146" s="1"/>
  <c r="L462" i="146"/>
  <c r="L208" i="146" s="1"/>
  <c r="N462" i="146"/>
  <c r="N208" i="146" s="1"/>
  <c r="O462" i="146"/>
  <c r="O208" i="146" s="1"/>
  <c r="Q462" i="146"/>
  <c r="Q208" i="146" s="1"/>
  <c r="D463" i="146"/>
  <c r="D209" i="146" s="1"/>
  <c r="E463" i="146"/>
  <c r="E209" i="146" s="1"/>
  <c r="G463" i="146"/>
  <c r="G209" i="146" s="1"/>
  <c r="I463" i="146"/>
  <c r="I209" i="146" s="1"/>
  <c r="J463" i="146"/>
  <c r="J209" i="146" s="1"/>
  <c r="L463" i="146"/>
  <c r="L209" i="146" s="1"/>
  <c r="N463" i="146"/>
  <c r="N209" i="146" s="1"/>
  <c r="O463" i="146"/>
  <c r="O209" i="146" s="1"/>
  <c r="Q463" i="146"/>
  <c r="Q209" i="146" s="1"/>
  <c r="D464" i="146"/>
  <c r="I464" i="146"/>
  <c r="N464" i="146"/>
  <c r="D465" i="146"/>
  <c r="D211" i="146" s="1"/>
  <c r="E465" i="146"/>
  <c r="E211" i="146" s="1"/>
  <c r="G465" i="146"/>
  <c r="G211" i="146" s="1"/>
  <c r="I465" i="146"/>
  <c r="I211" i="146" s="1"/>
  <c r="J465" i="146"/>
  <c r="J211" i="146" s="1"/>
  <c r="L465" i="146"/>
  <c r="L211" i="146" s="1"/>
  <c r="N465" i="146"/>
  <c r="N211" i="146" s="1"/>
  <c r="O465" i="146"/>
  <c r="O211" i="146" s="1"/>
  <c r="Q465" i="146"/>
  <c r="Q211" i="146" s="1"/>
  <c r="D466" i="146"/>
  <c r="D212" i="146" s="1"/>
  <c r="E466" i="146"/>
  <c r="E212" i="146" s="1"/>
  <c r="G466" i="146"/>
  <c r="G212" i="146" s="1"/>
  <c r="I466" i="146"/>
  <c r="I212" i="146" s="1"/>
  <c r="J466" i="146"/>
  <c r="J212" i="146" s="1"/>
  <c r="L466" i="146"/>
  <c r="L212" i="146" s="1"/>
  <c r="N466" i="146"/>
  <c r="N212" i="146" s="1"/>
  <c r="O466" i="146"/>
  <c r="O212" i="146" s="1"/>
  <c r="Q466" i="146"/>
  <c r="Q212" i="146" s="1"/>
  <c r="D467" i="146"/>
  <c r="I467" i="146"/>
  <c r="N467" i="146"/>
  <c r="D468" i="146"/>
  <c r="D214" i="146" s="1"/>
  <c r="E468" i="146"/>
  <c r="E214" i="146" s="1"/>
  <c r="G468" i="146"/>
  <c r="G214" i="146" s="1"/>
  <c r="I468" i="146"/>
  <c r="I214" i="146" s="1"/>
  <c r="J468" i="146"/>
  <c r="J214" i="146" s="1"/>
  <c r="L468" i="146"/>
  <c r="L214" i="146" s="1"/>
  <c r="N468" i="146"/>
  <c r="N214" i="146" s="1"/>
  <c r="O468" i="146"/>
  <c r="O214" i="146" s="1"/>
  <c r="Q468" i="146"/>
  <c r="Q214" i="146" s="1"/>
  <c r="D469" i="146"/>
  <c r="D215" i="146" s="1"/>
  <c r="E469" i="146"/>
  <c r="E215" i="146" s="1"/>
  <c r="G469" i="146"/>
  <c r="G215" i="146" s="1"/>
  <c r="I469" i="146"/>
  <c r="I215" i="146" s="1"/>
  <c r="J469" i="146"/>
  <c r="J215" i="146" s="1"/>
  <c r="L469" i="146"/>
  <c r="L215" i="146" s="1"/>
  <c r="N469" i="146"/>
  <c r="N215" i="146" s="1"/>
  <c r="O469" i="146"/>
  <c r="O215" i="146" s="1"/>
  <c r="Q469" i="146"/>
  <c r="Q215" i="146" s="1"/>
  <c r="D470" i="146"/>
  <c r="I470" i="146"/>
  <c r="N470" i="146"/>
  <c r="D471" i="146"/>
  <c r="I471" i="146"/>
  <c r="N471" i="146"/>
  <c r="D472" i="146"/>
  <c r="D218" i="146" s="1"/>
  <c r="E472" i="146"/>
  <c r="E218" i="146" s="1"/>
  <c r="G472" i="146"/>
  <c r="G218" i="146" s="1"/>
  <c r="G217" i="146" s="1"/>
  <c r="I472" i="146"/>
  <c r="I218" i="146" s="1"/>
  <c r="J472" i="146"/>
  <c r="J218" i="146" s="1"/>
  <c r="L472" i="146"/>
  <c r="L218" i="146" s="1"/>
  <c r="L217" i="146" s="1"/>
  <c r="N472" i="146"/>
  <c r="N218" i="146" s="1"/>
  <c r="O472" i="146"/>
  <c r="O218" i="146" s="1"/>
  <c r="O217" i="146" s="1"/>
  <c r="Q472" i="146"/>
  <c r="Q218" i="146" s="1"/>
  <c r="Q217" i="146" s="1"/>
  <c r="D473" i="146"/>
  <c r="I473" i="146"/>
  <c r="N473" i="146"/>
  <c r="D474" i="146"/>
  <c r="E474" i="146"/>
  <c r="G474" i="146"/>
  <c r="I474" i="146"/>
  <c r="J474" i="146"/>
  <c r="L474" i="146"/>
  <c r="N474" i="146"/>
  <c r="O474" i="146"/>
  <c r="Q474" i="146"/>
  <c r="D475" i="146"/>
  <c r="E475" i="146"/>
  <c r="G475" i="146"/>
  <c r="I475" i="146"/>
  <c r="J475" i="146"/>
  <c r="L475" i="146"/>
  <c r="N475" i="146"/>
  <c r="O475" i="146"/>
  <c r="Q475" i="146"/>
  <c r="D476" i="146"/>
  <c r="E476" i="146"/>
  <c r="G476" i="146"/>
  <c r="I476" i="146"/>
  <c r="J476" i="146"/>
  <c r="L476" i="146"/>
  <c r="N476" i="146"/>
  <c r="O476" i="146"/>
  <c r="Q476" i="146"/>
  <c r="D477" i="146"/>
  <c r="I477" i="146"/>
  <c r="N477" i="146"/>
  <c r="D478" i="146"/>
  <c r="D224" i="146" s="1"/>
  <c r="E478" i="146"/>
  <c r="E224" i="146" s="1"/>
  <c r="G478" i="146"/>
  <c r="G224" i="146" s="1"/>
  <c r="I478" i="146"/>
  <c r="I224" i="146" s="1"/>
  <c r="J478" i="146"/>
  <c r="J224" i="146" s="1"/>
  <c r="L478" i="146"/>
  <c r="L224" i="146" s="1"/>
  <c r="N478" i="146"/>
  <c r="N224" i="146" s="1"/>
  <c r="O478" i="146"/>
  <c r="O224" i="146" s="1"/>
  <c r="Q478" i="146"/>
  <c r="Q224" i="146" s="1"/>
  <c r="D479" i="146"/>
  <c r="D225" i="146" s="1"/>
  <c r="E479" i="146"/>
  <c r="E225" i="146" s="1"/>
  <c r="G479" i="146"/>
  <c r="G225" i="146" s="1"/>
  <c r="I479" i="146"/>
  <c r="I225" i="146" s="1"/>
  <c r="J479" i="146"/>
  <c r="J225" i="146" s="1"/>
  <c r="L479" i="146"/>
  <c r="L225" i="146" s="1"/>
  <c r="N479" i="146"/>
  <c r="N225" i="146" s="1"/>
  <c r="O479" i="146"/>
  <c r="O225" i="146" s="1"/>
  <c r="Q479" i="146"/>
  <c r="Q225" i="146" s="1"/>
  <c r="D480" i="146"/>
  <c r="D226" i="146" s="1"/>
  <c r="E480" i="146"/>
  <c r="E226" i="146" s="1"/>
  <c r="G480" i="146"/>
  <c r="G226" i="146" s="1"/>
  <c r="I480" i="146"/>
  <c r="I226" i="146" s="1"/>
  <c r="J480" i="146"/>
  <c r="J226" i="146" s="1"/>
  <c r="L480" i="146"/>
  <c r="L226" i="146" s="1"/>
  <c r="N480" i="146"/>
  <c r="N226" i="146" s="1"/>
  <c r="O480" i="146"/>
  <c r="O226" i="146" s="1"/>
  <c r="Q480" i="146"/>
  <c r="Q226" i="146" s="1"/>
  <c r="D481" i="146"/>
  <c r="I481" i="146"/>
  <c r="N481" i="146"/>
  <c r="D482" i="146"/>
  <c r="D228" i="146" s="1"/>
  <c r="E482" i="146"/>
  <c r="E228" i="146" s="1"/>
  <c r="G482" i="146"/>
  <c r="G228" i="146" s="1"/>
  <c r="I482" i="146"/>
  <c r="I228" i="146" s="1"/>
  <c r="J482" i="146"/>
  <c r="J228" i="146" s="1"/>
  <c r="L482" i="146"/>
  <c r="L228" i="146" s="1"/>
  <c r="N482" i="146"/>
  <c r="N228" i="146" s="1"/>
  <c r="O482" i="146"/>
  <c r="O228" i="146" s="1"/>
  <c r="Q482" i="146"/>
  <c r="Q228" i="146" s="1"/>
  <c r="D483" i="146"/>
  <c r="D229" i="146" s="1"/>
  <c r="E483" i="146"/>
  <c r="E229" i="146" s="1"/>
  <c r="G483" i="146"/>
  <c r="G229" i="146" s="1"/>
  <c r="I483" i="146"/>
  <c r="I229" i="146" s="1"/>
  <c r="J483" i="146"/>
  <c r="J229" i="146" s="1"/>
  <c r="L483" i="146"/>
  <c r="L229" i="146" s="1"/>
  <c r="N483" i="146"/>
  <c r="N229" i="146" s="1"/>
  <c r="O483" i="146"/>
  <c r="O229" i="146" s="1"/>
  <c r="Q483" i="146"/>
  <c r="Q229" i="146" s="1"/>
  <c r="D484" i="146"/>
  <c r="E484" i="146"/>
  <c r="G484" i="146"/>
  <c r="I484" i="146"/>
  <c r="J484" i="146"/>
  <c r="L484" i="146"/>
  <c r="N484" i="146"/>
  <c r="O484" i="146"/>
  <c r="Q484" i="146"/>
  <c r="D485" i="146"/>
  <c r="I485" i="146"/>
  <c r="N485" i="146"/>
  <c r="D486" i="146"/>
  <c r="D232" i="146" s="1"/>
  <c r="E486" i="146"/>
  <c r="E232" i="146" s="1"/>
  <c r="G486" i="146"/>
  <c r="G232" i="146" s="1"/>
  <c r="I486" i="146"/>
  <c r="I232" i="146" s="1"/>
  <c r="J486" i="146"/>
  <c r="J232" i="146" s="1"/>
  <c r="L486" i="146"/>
  <c r="L232" i="146" s="1"/>
  <c r="N486" i="146"/>
  <c r="N232" i="146" s="1"/>
  <c r="O486" i="146"/>
  <c r="O232" i="146" s="1"/>
  <c r="Q486" i="146"/>
  <c r="Q232" i="146" s="1"/>
  <c r="D487" i="146"/>
  <c r="I487" i="146"/>
  <c r="N487" i="146"/>
  <c r="D488" i="146"/>
  <c r="I488" i="146"/>
  <c r="N488" i="146"/>
  <c r="D489" i="146"/>
  <c r="D235" i="146" s="1"/>
  <c r="E489" i="146"/>
  <c r="E235" i="146" s="1"/>
  <c r="G489" i="146"/>
  <c r="G235" i="146" s="1"/>
  <c r="G234" i="146" s="1"/>
  <c r="I489" i="146"/>
  <c r="I235" i="146" s="1"/>
  <c r="J489" i="146"/>
  <c r="J235" i="146" s="1"/>
  <c r="L489" i="146"/>
  <c r="L235" i="146" s="1"/>
  <c r="L234" i="146" s="1"/>
  <c r="N489" i="146"/>
  <c r="N235" i="146" s="1"/>
  <c r="O489" i="146"/>
  <c r="O235" i="146" s="1"/>
  <c r="Q489" i="146"/>
  <c r="Q235" i="146" s="1"/>
  <c r="Q234" i="146" s="1"/>
  <c r="D490" i="146"/>
  <c r="I490" i="146"/>
  <c r="N490" i="146"/>
  <c r="D491" i="146"/>
  <c r="E491" i="146"/>
  <c r="G491" i="146"/>
  <c r="I491" i="146"/>
  <c r="J491" i="146"/>
  <c r="L491" i="146"/>
  <c r="N491" i="146"/>
  <c r="O491" i="146"/>
  <c r="Q491" i="146"/>
  <c r="D492" i="146"/>
  <c r="E492" i="146"/>
  <c r="G492" i="146"/>
  <c r="I492" i="146"/>
  <c r="J492" i="146"/>
  <c r="L492" i="146"/>
  <c r="N492" i="146"/>
  <c r="O492" i="146"/>
  <c r="Q492" i="146"/>
  <c r="D493" i="146"/>
  <c r="E493" i="146"/>
  <c r="G493" i="146"/>
  <c r="I493" i="146"/>
  <c r="J493" i="146"/>
  <c r="L493" i="146"/>
  <c r="N493" i="146"/>
  <c r="O493" i="146"/>
  <c r="Q493" i="146"/>
  <c r="D494" i="146"/>
  <c r="I494" i="146"/>
  <c r="N494" i="146"/>
  <c r="D495" i="146"/>
  <c r="D241" i="146" s="1"/>
  <c r="E495" i="146"/>
  <c r="E241" i="146" s="1"/>
  <c r="G495" i="146"/>
  <c r="G241" i="146" s="1"/>
  <c r="I495" i="146"/>
  <c r="I241" i="146" s="1"/>
  <c r="J495" i="146"/>
  <c r="J241" i="146" s="1"/>
  <c r="L495" i="146"/>
  <c r="L241" i="146" s="1"/>
  <c r="N495" i="146"/>
  <c r="N241" i="146" s="1"/>
  <c r="O495" i="146"/>
  <c r="O241" i="146" s="1"/>
  <c r="Q495" i="146"/>
  <c r="Q241" i="146" s="1"/>
  <c r="D496" i="146"/>
  <c r="D242" i="146" s="1"/>
  <c r="E496" i="146"/>
  <c r="E242" i="146" s="1"/>
  <c r="G496" i="146"/>
  <c r="G242" i="146" s="1"/>
  <c r="I496" i="146"/>
  <c r="I242" i="146" s="1"/>
  <c r="J496" i="146"/>
  <c r="J242" i="146" s="1"/>
  <c r="L496" i="146"/>
  <c r="L242" i="146" s="1"/>
  <c r="N496" i="146"/>
  <c r="N242" i="146" s="1"/>
  <c r="O496" i="146"/>
  <c r="O242" i="146" s="1"/>
  <c r="Q496" i="146"/>
  <c r="Q242" i="146" s="1"/>
  <c r="D497" i="146"/>
  <c r="D243" i="146" s="1"/>
  <c r="E497" i="146"/>
  <c r="E243" i="146" s="1"/>
  <c r="G497" i="146"/>
  <c r="G243" i="146" s="1"/>
  <c r="I497" i="146"/>
  <c r="I243" i="146" s="1"/>
  <c r="J497" i="146"/>
  <c r="J243" i="146" s="1"/>
  <c r="L497" i="146"/>
  <c r="L243" i="146" s="1"/>
  <c r="N497" i="146"/>
  <c r="N243" i="146" s="1"/>
  <c r="O497" i="146"/>
  <c r="O243" i="146" s="1"/>
  <c r="Q497" i="146"/>
  <c r="Q243" i="146" s="1"/>
  <c r="D498" i="146"/>
  <c r="I498" i="146"/>
  <c r="N498" i="146"/>
  <c r="D499" i="146"/>
  <c r="D245" i="146" s="1"/>
  <c r="E499" i="146"/>
  <c r="E245" i="146" s="1"/>
  <c r="G499" i="146"/>
  <c r="G245" i="146" s="1"/>
  <c r="I499" i="146"/>
  <c r="I245" i="146" s="1"/>
  <c r="J499" i="146"/>
  <c r="J245" i="146" s="1"/>
  <c r="L499" i="146"/>
  <c r="L245" i="146" s="1"/>
  <c r="N499" i="146"/>
  <c r="N245" i="146" s="1"/>
  <c r="O499" i="146"/>
  <c r="O245" i="146" s="1"/>
  <c r="Q499" i="146"/>
  <c r="Q245" i="146" s="1"/>
  <c r="D500" i="146"/>
  <c r="D246" i="146" s="1"/>
  <c r="E500" i="146"/>
  <c r="E246" i="146" s="1"/>
  <c r="G500" i="146"/>
  <c r="G246" i="146" s="1"/>
  <c r="I500" i="146"/>
  <c r="I246" i="146" s="1"/>
  <c r="J500" i="146"/>
  <c r="J246" i="146" s="1"/>
  <c r="L500" i="146"/>
  <c r="L246" i="146" s="1"/>
  <c r="N500" i="146"/>
  <c r="N246" i="146" s="1"/>
  <c r="O500" i="146"/>
  <c r="O246" i="146" s="1"/>
  <c r="Q500" i="146"/>
  <c r="Q246" i="146" s="1"/>
  <c r="D501" i="146"/>
  <c r="E501" i="146"/>
  <c r="G501" i="146"/>
  <c r="I501" i="146"/>
  <c r="J501" i="146"/>
  <c r="L501" i="146"/>
  <c r="N501" i="146"/>
  <c r="O501" i="146"/>
  <c r="Q501" i="146"/>
  <c r="D502" i="146"/>
  <c r="I502" i="146"/>
  <c r="N502" i="146"/>
  <c r="D503" i="146"/>
  <c r="I503" i="146"/>
  <c r="N503" i="146"/>
  <c r="D504" i="146"/>
  <c r="I504" i="146"/>
  <c r="N504" i="146"/>
  <c r="D505" i="146"/>
  <c r="D251" i="146" s="1"/>
  <c r="E505" i="146"/>
  <c r="E251" i="146" s="1"/>
  <c r="G505" i="146"/>
  <c r="G251" i="146" s="1"/>
  <c r="I505" i="146"/>
  <c r="I251" i="146" s="1"/>
  <c r="J505" i="146"/>
  <c r="J251" i="146" s="1"/>
  <c r="L505" i="146"/>
  <c r="L251" i="146" s="1"/>
  <c r="N505" i="146"/>
  <c r="N251" i="146" s="1"/>
  <c r="O505" i="146"/>
  <c r="O251" i="146" s="1"/>
  <c r="Q505" i="146"/>
  <c r="Q251" i="146" s="1"/>
  <c r="D506" i="146"/>
  <c r="D252" i="146" s="1"/>
  <c r="E506" i="146"/>
  <c r="E252" i="146" s="1"/>
  <c r="G506" i="146"/>
  <c r="G252" i="146" s="1"/>
  <c r="I506" i="146"/>
  <c r="I252" i="146" s="1"/>
  <c r="J506" i="146"/>
  <c r="J252" i="146" s="1"/>
  <c r="L506" i="146"/>
  <c r="L252" i="146" s="1"/>
  <c r="N506" i="146"/>
  <c r="N252" i="146" s="1"/>
  <c r="O506" i="146"/>
  <c r="O252" i="146" s="1"/>
  <c r="Q506" i="146"/>
  <c r="Q252" i="146" s="1"/>
  <c r="D507" i="146"/>
  <c r="I507" i="146"/>
  <c r="N507" i="146"/>
  <c r="D508" i="146"/>
  <c r="D254" i="146" s="1"/>
  <c r="E508" i="146"/>
  <c r="E254" i="146" s="1"/>
  <c r="G508" i="146"/>
  <c r="G254" i="146" s="1"/>
  <c r="I508" i="146"/>
  <c r="I254" i="146" s="1"/>
  <c r="J508" i="146"/>
  <c r="J254" i="146" s="1"/>
  <c r="L508" i="146"/>
  <c r="L254" i="146" s="1"/>
  <c r="N508" i="146"/>
  <c r="N254" i="146" s="1"/>
  <c r="O508" i="146"/>
  <c r="O254" i="146" s="1"/>
  <c r="Q508" i="146"/>
  <c r="Q254" i="146" s="1"/>
  <c r="D509" i="146"/>
  <c r="D255" i="146" s="1"/>
  <c r="E509" i="146"/>
  <c r="E255" i="146" s="1"/>
  <c r="G509" i="146"/>
  <c r="G255" i="146" s="1"/>
  <c r="I509" i="146"/>
  <c r="I255" i="146" s="1"/>
  <c r="J509" i="146"/>
  <c r="J255" i="146" s="1"/>
  <c r="L509" i="146"/>
  <c r="L255" i="146" s="1"/>
  <c r="N509" i="146"/>
  <c r="N255" i="146" s="1"/>
  <c r="O509" i="146"/>
  <c r="O255" i="146" s="1"/>
  <c r="Q509" i="146"/>
  <c r="Q255" i="146" s="1"/>
  <c r="D510" i="146"/>
  <c r="D256" i="146" s="1"/>
  <c r="E510" i="146"/>
  <c r="E256" i="146" s="1"/>
  <c r="G510" i="146"/>
  <c r="G256" i="146" s="1"/>
  <c r="I510" i="146"/>
  <c r="I256" i="146" s="1"/>
  <c r="J510" i="146"/>
  <c r="J256" i="146" s="1"/>
  <c r="L510" i="146"/>
  <c r="L256" i="146" s="1"/>
  <c r="N510" i="146"/>
  <c r="N256" i="146" s="1"/>
  <c r="O510" i="146"/>
  <c r="O256" i="146" s="1"/>
  <c r="Q510" i="146"/>
  <c r="Q256" i="146" s="1"/>
  <c r="D511" i="146"/>
  <c r="I511" i="146"/>
  <c r="N511" i="146"/>
  <c r="D512" i="146"/>
  <c r="D258" i="146" s="1"/>
  <c r="E512" i="146"/>
  <c r="E258" i="146" s="1"/>
  <c r="G512" i="146"/>
  <c r="G258" i="146" s="1"/>
  <c r="I512" i="146"/>
  <c r="I258" i="146" s="1"/>
  <c r="J512" i="146"/>
  <c r="J258" i="146" s="1"/>
  <c r="L512" i="146"/>
  <c r="L258" i="146" s="1"/>
  <c r="N512" i="146"/>
  <c r="N258" i="146" s="1"/>
  <c r="O512" i="146"/>
  <c r="O258" i="146" s="1"/>
  <c r="Q512" i="146"/>
  <c r="Q258" i="146" s="1"/>
  <c r="D513" i="146"/>
  <c r="D259" i="146" s="1"/>
  <c r="E513" i="146"/>
  <c r="E259" i="146" s="1"/>
  <c r="G513" i="146"/>
  <c r="G259" i="146" s="1"/>
  <c r="I513" i="146"/>
  <c r="I259" i="146" s="1"/>
  <c r="J513" i="146"/>
  <c r="J259" i="146" s="1"/>
  <c r="L513" i="146"/>
  <c r="L259" i="146" s="1"/>
  <c r="N513" i="146"/>
  <c r="N259" i="146" s="1"/>
  <c r="O513" i="146"/>
  <c r="O259" i="146" s="1"/>
  <c r="Q513" i="146"/>
  <c r="Q259" i="146" s="1"/>
  <c r="D514" i="146"/>
  <c r="D260" i="146" s="1"/>
  <c r="E514" i="146"/>
  <c r="E260" i="146" s="1"/>
  <c r="G514" i="146"/>
  <c r="G260" i="146" s="1"/>
  <c r="I514" i="146"/>
  <c r="I260" i="146" s="1"/>
  <c r="J514" i="146"/>
  <c r="J260" i="146" s="1"/>
  <c r="L514" i="146"/>
  <c r="L260" i="146" s="1"/>
  <c r="N514" i="146"/>
  <c r="N260" i="146" s="1"/>
  <c r="O514" i="146"/>
  <c r="O260" i="146" s="1"/>
  <c r="Q514" i="146"/>
  <c r="Q260" i="146" s="1"/>
  <c r="R260" i="150"/>
  <c r="M260" i="150"/>
  <c r="H260" i="150"/>
  <c r="R259" i="150"/>
  <c r="M259" i="150"/>
  <c r="H259" i="150"/>
  <c r="R258" i="150"/>
  <c r="M258" i="150"/>
  <c r="H258" i="150"/>
  <c r="Q257" i="150"/>
  <c r="O257" i="150"/>
  <c r="L257" i="150"/>
  <c r="J257" i="150"/>
  <c r="G257" i="150"/>
  <c r="E257" i="150"/>
  <c r="R256" i="150"/>
  <c r="M256" i="150"/>
  <c r="H256" i="150"/>
  <c r="R255" i="150"/>
  <c r="M255" i="150"/>
  <c r="H255" i="150"/>
  <c r="R254" i="150"/>
  <c r="M254" i="150"/>
  <c r="H254" i="150"/>
  <c r="Q253" i="150"/>
  <c r="O253" i="150"/>
  <c r="L253" i="150"/>
  <c r="J253" i="150"/>
  <c r="G253" i="150"/>
  <c r="E253" i="150"/>
  <c r="R252" i="150"/>
  <c r="M252" i="150"/>
  <c r="H252" i="150"/>
  <c r="R251" i="150"/>
  <c r="M251" i="150"/>
  <c r="H251" i="150"/>
  <c r="Q250" i="150"/>
  <c r="O250" i="150"/>
  <c r="L250" i="150"/>
  <c r="J250" i="150"/>
  <c r="G250" i="150"/>
  <c r="E250" i="150"/>
  <c r="R247" i="150"/>
  <c r="M247" i="150"/>
  <c r="H247" i="150"/>
  <c r="R246" i="150"/>
  <c r="M246" i="150"/>
  <c r="H246" i="150"/>
  <c r="R245" i="150"/>
  <c r="M245" i="150"/>
  <c r="H245" i="150"/>
  <c r="Q244" i="150"/>
  <c r="O244" i="150"/>
  <c r="R244" i="150" s="1"/>
  <c r="L244" i="150"/>
  <c r="J244" i="150"/>
  <c r="G244" i="150"/>
  <c r="E244" i="150"/>
  <c r="R243" i="150"/>
  <c r="M243" i="150"/>
  <c r="H243" i="150"/>
  <c r="R242" i="150"/>
  <c r="M242" i="150"/>
  <c r="H242" i="150"/>
  <c r="R241" i="150"/>
  <c r="M241" i="150"/>
  <c r="H241" i="150"/>
  <c r="Q240" i="150"/>
  <c r="O240" i="150"/>
  <c r="L240" i="150"/>
  <c r="J240" i="150"/>
  <c r="G240" i="150"/>
  <c r="E240" i="150"/>
  <c r="R239" i="150"/>
  <c r="M239" i="150"/>
  <c r="H239" i="150"/>
  <c r="R238" i="150"/>
  <c r="M238" i="150"/>
  <c r="H238" i="150"/>
  <c r="R237" i="150"/>
  <c r="M237" i="150"/>
  <c r="H237" i="150"/>
  <c r="Q236" i="150"/>
  <c r="O236" i="150"/>
  <c r="L236" i="150"/>
  <c r="J236" i="150"/>
  <c r="G236" i="150"/>
  <c r="E236" i="150"/>
  <c r="R235" i="150"/>
  <c r="M235" i="150"/>
  <c r="H235" i="150"/>
  <c r="O234" i="150"/>
  <c r="L234" i="150"/>
  <c r="J234" i="150"/>
  <c r="G234" i="150"/>
  <c r="R232" i="150"/>
  <c r="M232" i="150"/>
  <c r="H232" i="150"/>
  <c r="R230" i="150"/>
  <c r="M230" i="150"/>
  <c r="H230" i="150"/>
  <c r="R229" i="150"/>
  <c r="M229" i="150"/>
  <c r="H229" i="150"/>
  <c r="R228" i="150"/>
  <c r="M228" i="150"/>
  <c r="H228" i="150"/>
  <c r="Q227" i="150"/>
  <c r="O227" i="150"/>
  <c r="L227" i="150"/>
  <c r="J227" i="150"/>
  <c r="G227" i="150"/>
  <c r="E227" i="150"/>
  <c r="H227" i="150" s="1"/>
  <c r="R226" i="150"/>
  <c r="M226" i="150"/>
  <c r="H226" i="150"/>
  <c r="R225" i="150"/>
  <c r="M225" i="150"/>
  <c r="H225" i="150"/>
  <c r="R224" i="150"/>
  <c r="M224" i="150"/>
  <c r="H224" i="150"/>
  <c r="Q223" i="150"/>
  <c r="O223" i="150"/>
  <c r="L223" i="150"/>
  <c r="J223" i="150"/>
  <c r="G223" i="150"/>
  <c r="E223" i="150"/>
  <c r="R222" i="150"/>
  <c r="M222" i="150"/>
  <c r="H222" i="150"/>
  <c r="R221" i="150"/>
  <c r="M221" i="150"/>
  <c r="H221" i="150"/>
  <c r="R220" i="150"/>
  <c r="M220" i="150"/>
  <c r="H220" i="150"/>
  <c r="Q219" i="150"/>
  <c r="Q217" i="150" s="1"/>
  <c r="O219" i="150"/>
  <c r="L219" i="150"/>
  <c r="L217" i="150" s="1"/>
  <c r="J219" i="150"/>
  <c r="J217" i="150" s="1"/>
  <c r="G219" i="150"/>
  <c r="G217" i="150" s="1"/>
  <c r="E219" i="150"/>
  <c r="E217" i="150" s="1"/>
  <c r="R218" i="150"/>
  <c r="M218" i="150"/>
  <c r="H218" i="150"/>
  <c r="R215" i="150"/>
  <c r="M215" i="150"/>
  <c r="H215" i="150"/>
  <c r="R214" i="150"/>
  <c r="M214" i="150"/>
  <c r="H214" i="150"/>
  <c r="Q213" i="150"/>
  <c r="O213" i="150"/>
  <c r="L213" i="150"/>
  <c r="J213" i="150"/>
  <c r="G213" i="150"/>
  <c r="E213" i="150"/>
  <c r="R212" i="150"/>
  <c r="M212" i="150"/>
  <c r="H212" i="150"/>
  <c r="R211" i="150"/>
  <c r="M211" i="150"/>
  <c r="H211" i="150"/>
  <c r="Q210" i="150"/>
  <c r="O210" i="150"/>
  <c r="L210" i="150"/>
  <c r="J210" i="150"/>
  <c r="G210" i="150"/>
  <c r="E210" i="150"/>
  <c r="R209" i="150"/>
  <c r="M209" i="150"/>
  <c r="H209" i="150"/>
  <c r="R208" i="150"/>
  <c r="M208" i="150"/>
  <c r="H208" i="150"/>
  <c r="R207" i="150"/>
  <c r="M207" i="150"/>
  <c r="H207" i="150"/>
  <c r="R206" i="150"/>
  <c r="M206" i="150"/>
  <c r="H206" i="150"/>
  <c r="Q205" i="150"/>
  <c r="O205" i="150"/>
  <c r="L205" i="150"/>
  <c r="J205" i="150"/>
  <c r="G205" i="150"/>
  <c r="E205" i="150"/>
  <c r="R202" i="150"/>
  <c r="M202" i="150"/>
  <c r="H202" i="150"/>
  <c r="Q200" i="150"/>
  <c r="L200" i="150"/>
  <c r="G200" i="150"/>
  <c r="R199" i="150"/>
  <c r="M199" i="150"/>
  <c r="H199" i="150"/>
  <c r="R198" i="150"/>
  <c r="M198" i="150"/>
  <c r="H198" i="150"/>
  <c r="R197" i="150"/>
  <c r="M197" i="150"/>
  <c r="H197" i="150"/>
  <c r="R196" i="150"/>
  <c r="M196" i="150"/>
  <c r="H196" i="150"/>
  <c r="Q195" i="150"/>
  <c r="Q194" i="150" s="1"/>
  <c r="O195" i="150"/>
  <c r="L195" i="150"/>
  <c r="L194" i="150" s="1"/>
  <c r="J195" i="150"/>
  <c r="J194" i="150" s="1"/>
  <c r="G195" i="150"/>
  <c r="G194" i="150" s="1"/>
  <c r="E195" i="150"/>
  <c r="R193" i="150"/>
  <c r="M193" i="150"/>
  <c r="H193" i="150"/>
  <c r="R192" i="150"/>
  <c r="M192" i="150"/>
  <c r="H192" i="150"/>
  <c r="R191" i="150"/>
  <c r="M191" i="150"/>
  <c r="H191" i="150"/>
  <c r="Q190" i="150"/>
  <c r="O190" i="150"/>
  <c r="O189" i="150" s="1"/>
  <c r="L190" i="150"/>
  <c r="J190" i="150"/>
  <c r="G190" i="150"/>
  <c r="G189" i="150" s="1"/>
  <c r="E190" i="150"/>
  <c r="L189" i="150"/>
  <c r="R188" i="150"/>
  <c r="M188" i="150"/>
  <c r="H188" i="150"/>
  <c r="R187" i="150"/>
  <c r="M187" i="150"/>
  <c r="H187" i="150"/>
  <c r="R186" i="150"/>
  <c r="M186" i="150"/>
  <c r="H186" i="150"/>
  <c r="Q185" i="150"/>
  <c r="Q184" i="150" s="1"/>
  <c r="Q183" i="150" s="1"/>
  <c r="O185" i="150"/>
  <c r="L185" i="150"/>
  <c r="L184" i="150" s="1"/>
  <c r="L183" i="150" s="1"/>
  <c r="J185" i="150"/>
  <c r="J184" i="150" s="1"/>
  <c r="G185" i="150"/>
  <c r="G184" i="150" s="1"/>
  <c r="G183" i="150" s="1"/>
  <c r="E185" i="150"/>
  <c r="E184" i="150" s="1"/>
  <c r="E183" i="150" s="1"/>
  <c r="R181" i="150"/>
  <c r="M181" i="150"/>
  <c r="H181" i="150"/>
  <c r="R180" i="150"/>
  <c r="M180" i="150"/>
  <c r="H180" i="150"/>
  <c r="R179" i="150"/>
  <c r="M179" i="150"/>
  <c r="H179" i="150"/>
  <c r="R177" i="150"/>
  <c r="M177" i="150"/>
  <c r="H177" i="150"/>
  <c r="R176" i="150"/>
  <c r="M176" i="150"/>
  <c r="H176" i="150"/>
  <c r="R175" i="150"/>
  <c r="M175" i="150"/>
  <c r="H175" i="150"/>
  <c r="R174" i="150"/>
  <c r="M174" i="150"/>
  <c r="H174" i="150"/>
  <c r="Q173" i="150"/>
  <c r="O173" i="150"/>
  <c r="L173" i="150"/>
  <c r="J173" i="150"/>
  <c r="G173" i="150"/>
  <c r="E173" i="150"/>
  <c r="R172" i="150"/>
  <c r="M172" i="150"/>
  <c r="H172" i="150"/>
  <c r="R171" i="150"/>
  <c r="M171" i="150"/>
  <c r="H171" i="150"/>
  <c r="R170" i="150"/>
  <c r="M170" i="150"/>
  <c r="H170" i="150"/>
  <c r="Q169" i="150"/>
  <c r="O169" i="150"/>
  <c r="L169" i="150"/>
  <c r="J169" i="150"/>
  <c r="G169" i="150"/>
  <c r="E169" i="150"/>
  <c r="R168" i="150"/>
  <c r="M168" i="150"/>
  <c r="H168" i="150"/>
  <c r="R167" i="150"/>
  <c r="M167" i="150"/>
  <c r="H167" i="150"/>
  <c r="Q166" i="150"/>
  <c r="O166" i="150"/>
  <c r="L166" i="150"/>
  <c r="J166" i="150"/>
  <c r="G166" i="150"/>
  <c r="E166" i="150"/>
  <c r="R163" i="150"/>
  <c r="M163" i="150"/>
  <c r="H163" i="150"/>
  <c r="R162" i="150"/>
  <c r="M162" i="150"/>
  <c r="H162" i="150"/>
  <c r="R161" i="150"/>
  <c r="M161" i="150"/>
  <c r="H161" i="150"/>
  <c r="Q160" i="150"/>
  <c r="O160" i="150"/>
  <c r="L160" i="150"/>
  <c r="J160" i="150"/>
  <c r="G160" i="150"/>
  <c r="E160" i="150"/>
  <c r="R159" i="150"/>
  <c r="M159" i="150"/>
  <c r="H159" i="150"/>
  <c r="R158" i="150"/>
  <c r="M158" i="150"/>
  <c r="H158" i="150"/>
  <c r="R157" i="150"/>
  <c r="M157" i="150"/>
  <c r="H157" i="150"/>
  <c r="Q156" i="150"/>
  <c r="O156" i="150"/>
  <c r="L156" i="150"/>
  <c r="J156" i="150"/>
  <c r="G156" i="150"/>
  <c r="E156" i="150"/>
  <c r="R155" i="150"/>
  <c r="M155" i="150"/>
  <c r="H155" i="150"/>
  <c r="R154" i="150"/>
  <c r="M154" i="150"/>
  <c r="H154" i="150"/>
  <c r="R153" i="150"/>
  <c r="M153" i="150"/>
  <c r="H153" i="150"/>
  <c r="Q152" i="150"/>
  <c r="Q150" i="150" s="1"/>
  <c r="O152" i="150"/>
  <c r="L152" i="150"/>
  <c r="J152" i="150"/>
  <c r="J150" i="150" s="1"/>
  <c r="G152" i="150"/>
  <c r="G150" i="150" s="1"/>
  <c r="E152" i="150"/>
  <c r="R151" i="150"/>
  <c r="M151" i="150"/>
  <c r="H151" i="150"/>
  <c r="E150" i="150"/>
  <c r="R148" i="150"/>
  <c r="M148" i="150"/>
  <c r="H148" i="150"/>
  <c r="R146" i="150"/>
  <c r="M146" i="150"/>
  <c r="H146" i="150"/>
  <c r="R145" i="150"/>
  <c r="M145" i="150"/>
  <c r="H145" i="150"/>
  <c r="R144" i="150"/>
  <c r="M144" i="150"/>
  <c r="H144" i="150"/>
  <c r="Q143" i="150"/>
  <c r="O143" i="150"/>
  <c r="L143" i="150"/>
  <c r="J143" i="150"/>
  <c r="G143" i="150"/>
  <c r="E143" i="150"/>
  <c r="R142" i="150"/>
  <c r="M142" i="150"/>
  <c r="H142" i="150"/>
  <c r="R141" i="150"/>
  <c r="M141" i="150"/>
  <c r="H141" i="150"/>
  <c r="R140" i="150"/>
  <c r="M140" i="150"/>
  <c r="H140" i="150"/>
  <c r="Q139" i="150"/>
  <c r="O139" i="150"/>
  <c r="L139" i="150"/>
  <c r="J139" i="150"/>
  <c r="G139" i="150"/>
  <c r="E139" i="150"/>
  <c r="H139" i="150" s="1"/>
  <c r="R138" i="150"/>
  <c r="M138" i="150"/>
  <c r="H138" i="150"/>
  <c r="R137" i="150"/>
  <c r="M137" i="150"/>
  <c r="H137" i="150"/>
  <c r="R136" i="150"/>
  <c r="M136" i="150"/>
  <c r="H136" i="150"/>
  <c r="Q135" i="150"/>
  <c r="Q133" i="150" s="1"/>
  <c r="O135" i="150"/>
  <c r="O133" i="150" s="1"/>
  <c r="L135" i="150"/>
  <c r="L133" i="150" s="1"/>
  <c r="J135" i="150"/>
  <c r="G135" i="150"/>
  <c r="G133" i="150" s="1"/>
  <c r="E135" i="150"/>
  <c r="E133" i="150" s="1"/>
  <c r="R134" i="150"/>
  <c r="M134" i="150"/>
  <c r="H134" i="150"/>
  <c r="R131" i="150"/>
  <c r="M131" i="150"/>
  <c r="H131" i="150"/>
  <c r="R130" i="150"/>
  <c r="M130" i="150"/>
  <c r="H130" i="150"/>
  <c r="Q129" i="150"/>
  <c r="O129" i="150"/>
  <c r="L129" i="150"/>
  <c r="J129" i="150"/>
  <c r="G129" i="150"/>
  <c r="E129" i="150"/>
  <c r="R128" i="150"/>
  <c r="M128" i="150"/>
  <c r="H128" i="150"/>
  <c r="R127" i="150"/>
  <c r="M127" i="150"/>
  <c r="H127" i="150"/>
  <c r="Q126" i="150"/>
  <c r="O126" i="150"/>
  <c r="L126" i="150"/>
  <c r="J126" i="150"/>
  <c r="G126" i="150"/>
  <c r="E126" i="150"/>
  <c r="R125" i="150"/>
  <c r="M125" i="150"/>
  <c r="H125" i="150"/>
  <c r="R124" i="150"/>
  <c r="M124" i="150"/>
  <c r="H124" i="150"/>
  <c r="R123" i="150"/>
  <c r="M123" i="150"/>
  <c r="H123" i="150"/>
  <c r="R122" i="150"/>
  <c r="M122" i="150"/>
  <c r="H122" i="150"/>
  <c r="Q121" i="150"/>
  <c r="O121" i="150"/>
  <c r="L121" i="150"/>
  <c r="J121" i="150"/>
  <c r="G121" i="150"/>
  <c r="E121" i="150"/>
  <c r="R118" i="150"/>
  <c r="M118" i="150"/>
  <c r="H118" i="150"/>
  <c r="H117" i="150"/>
  <c r="O116" i="150"/>
  <c r="J116" i="150"/>
  <c r="G116" i="150"/>
  <c r="E116" i="150"/>
  <c r="R115" i="150"/>
  <c r="M115" i="150"/>
  <c r="H115" i="150"/>
  <c r="R114" i="150"/>
  <c r="M114" i="150"/>
  <c r="H114" i="150"/>
  <c r="R113" i="150"/>
  <c r="M113" i="150"/>
  <c r="H113" i="150"/>
  <c r="R112" i="150"/>
  <c r="M112" i="150"/>
  <c r="H112" i="150"/>
  <c r="Q111" i="150"/>
  <c r="Q110" i="150" s="1"/>
  <c r="O111" i="150"/>
  <c r="O110" i="150" s="1"/>
  <c r="L111" i="150"/>
  <c r="J111" i="150"/>
  <c r="J110" i="150" s="1"/>
  <c r="G111" i="150"/>
  <c r="E111" i="150"/>
  <c r="E110" i="150" s="1"/>
  <c r="L110" i="150"/>
  <c r="R109" i="150"/>
  <c r="M109" i="150"/>
  <c r="H109" i="150"/>
  <c r="R108" i="150"/>
  <c r="M108" i="150"/>
  <c r="H108" i="150"/>
  <c r="R107" i="150"/>
  <c r="M107" i="150"/>
  <c r="H107" i="150"/>
  <c r="Q106" i="150"/>
  <c r="Q105" i="150" s="1"/>
  <c r="O106" i="150"/>
  <c r="O105" i="150" s="1"/>
  <c r="L106" i="150"/>
  <c r="L105" i="150" s="1"/>
  <c r="J106" i="150"/>
  <c r="M106" i="150" s="1"/>
  <c r="G106" i="150"/>
  <c r="G105" i="150" s="1"/>
  <c r="E106" i="150"/>
  <c r="E105" i="150" s="1"/>
  <c r="R104" i="150"/>
  <c r="M104" i="150"/>
  <c r="H104" i="150"/>
  <c r="R103" i="150"/>
  <c r="M103" i="150"/>
  <c r="H103" i="150"/>
  <c r="R102" i="150"/>
  <c r="M102" i="150"/>
  <c r="H102" i="150"/>
  <c r="Q101" i="150"/>
  <c r="Q100" i="150" s="1"/>
  <c r="Q99" i="150" s="1"/>
  <c r="O101" i="150"/>
  <c r="O100" i="150" s="1"/>
  <c r="L101" i="150"/>
  <c r="L100" i="150" s="1"/>
  <c r="J101" i="150"/>
  <c r="J100" i="150" s="1"/>
  <c r="J99" i="150" s="1"/>
  <c r="G101" i="150"/>
  <c r="G100" i="150" s="1"/>
  <c r="G99" i="150" s="1"/>
  <c r="E101" i="150"/>
  <c r="E100" i="150" s="1"/>
  <c r="R97" i="150"/>
  <c r="M97" i="150"/>
  <c r="H97" i="150"/>
  <c r="R96" i="150"/>
  <c r="M96" i="150"/>
  <c r="H96" i="150"/>
  <c r="R95" i="150"/>
  <c r="M95" i="150"/>
  <c r="H95" i="150"/>
  <c r="R93" i="150"/>
  <c r="M93" i="150"/>
  <c r="H93" i="150"/>
  <c r="R92" i="150"/>
  <c r="M92" i="150"/>
  <c r="H92" i="150"/>
  <c r="R91" i="150"/>
  <c r="M91" i="150"/>
  <c r="H91" i="150"/>
  <c r="R90" i="150"/>
  <c r="M90" i="150"/>
  <c r="H90" i="150"/>
  <c r="Q89" i="150"/>
  <c r="O89" i="150"/>
  <c r="L89" i="150"/>
  <c r="J89" i="150"/>
  <c r="G89" i="150"/>
  <c r="E89" i="150"/>
  <c r="R88" i="150"/>
  <c r="M88" i="150"/>
  <c r="H88" i="150"/>
  <c r="R87" i="150"/>
  <c r="M87" i="150"/>
  <c r="H87" i="150"/>
  <c r="R86" i="150"/>
  <c r="M86" i="150"/>
  <c r="H86" i="150"/>
  <c r="Q85" i="150"/>
  <c r="O85" i="150"/>
  <c r="L85" i="150"/>
  <c r="J85" i="150"/>
  <c r="G85" i="150"/>
  <c r="E85" i="150"/>
  <c r="R84" i="150"/>
  <c r="M84" i="150"/>
  <c r="H84" i="150"/>
  <c r="R83" i="150"/>
  <c r="M83" i="150"/>
  <c r="H83" i="150"/>
  <c r="Q82" i="150"/>
  <c r="R82" i="150" s="1"/>
  <c r="O82" i="150"/>
  <c r="L82" i="150"/>
  <c r="J82" i="150"/>
  <c r="G82" i="150"/>
  <c r="E82" i="150"/>
  <c r="R79" i="150"/>
  <c r="M79" i="150"/>
  <c r="H79" i="150"/>
  <c r="R78" i="150"/>
  <c r="M78" i="150"/>
  <c r="H78" i="150"/>
  <c r="R77" i="150"/>
  <c r="M77" i="150"/>
  <c r="H77" i="150"/>
  <c r="Q76" i="150"/>
  <c r="O76" i="150"/>
  <c r="L76" i="150"/>
  <c r="J76" i="150"/>
  <c r="G76" i="150"/>
  <c r="E76" i="150"/>
  <c r="R75" i="150"/>
  <c r="M75" i="150"/>
  <c r="H75" i="150"/>
  <c r="R74" i="150"/>
  <c r="M74" i="150"/>
  <c r="H74" i="150"/>
  <c r="R73" i="150"/>
  <c r="M73" i="150"/>
  <c r="H73" i="150"/>
  <c r="Q72" i="150"/>
  <c r="O72" i="150"/>
  <c r="L72" i="150"/>
  <c r="J72" i="150"/>
  <c r="G72" i="150"/>
  <c r="E72" i="150"/>
  <c r="R71" i="150"/>
  <c r="M71" i="150"/>
  <c r="H71" i="150"/>
  <c r="R70" i="150"/>
  <c r="M70" i="150"/>
  <c r="H70" i="150"/>
  <c r="R69" i="150"/>
  <c r="M69" i="150"/>
  <c r="H69" i="150"/>
  <c r="Q68" i="150"/>
  <c r="Q66" i="150" s="1"/>
  <c r="O68" i="150"/>
  <c r="L68" i="150"/>
  <c r="J68" i="150"/>
  <c r="G68" i="150"/>
  <c r="E68" i="150"/>
  <c r="R67" i="150"/>
  <c r="M67" i="150"/>
  <c r="H67" i="150"/>
  <c r="O66" i="150"/>
  <c r="L66" i="150"/>
  <c r="J66" i="150"/>
  <c r="G66" i="150"/>
  <c r="R64" i="150"/>
  <c r="M64" i="150"/>
  <c r="H64" i="150"/>
  <c r="R62" i="150"/>
  <c r="M62" i="150"/>
  <c r="H62" i="150"/>
  <c r="R61" i="150"/>
  <c r="M61" i="150"/>
  <c r="H61" i="150"/>
  <c r="R60" i="150"/>
  <c r="M60" i="150"/>
  <c r="H60" i="150"/>
  <c r="Q59" i="150"/>
  <c r="O59" i="150"/>
  <c r="L59" i="150"/>
  <c r="J59" i="150"/>
  <c r="G59" i="150"/>
  <c r="E59" i="150"/>
  <c r="R58" i="150"/>
  <c r="M58" i="150"/>
  <c r="H58" i="150"/>
  <c r="R57" i="150"/>
  <c r="M57" i="150"/>
  <c r="H57" i="150"/>
  <c r="R56" i="150"/>
  <c r="M56" i="150"/>
  <c r="H56" i="150"/>
  <c r="Q55" i="150"/>
  <c r="O55" i="150"/>
  <c r="L55" i="150"/>
  <c r="J55" i="150"/>
  <c r="G55" i="150"/>
  <c r="E55" i="150"/>
  <c r="R54" i="150"/>
  <c r="M54" i="150"/>
  <c r="H54" i="150"/>
  <c r="R53" i="150"/>
  <c r="M53" i="150"/>
  <c r="H53" i="150"/>
  <c r="R52" i="150"/>
  <c r="M52" i="150"/>
  <c r="H52" i="150"/>
  <c r="Q51" i="150"/>
  <c r="Q49" i="150" s="1"/>
  <c r="O51" i="150"/>
  <c r="L51" i="150"/>
  <c r="L49" i="150" s="1"/>
  <c r="J51" i="150"/>
  <c r="J49" i="150" s="1"/>
  <c r="G51" i="150"/>
  <c r="G49" i="150" s="1"/>
  <c r="E51" i="150"/>
  <c r="E49" i="150" s="1"/>
  <c r="R50" i="150"/>
  <c r="M50" i="150"/>
  <c r="H50" i="150"/>
  <c r="R47" i="150"/>
  <c r="M47" i="150"/>
  <c r="H47" i="150"/>
  <c r="R46" i="150"/>
  <c r="M46" i="150"/>
  <c r="H46" i="150"/>
  <c r="Q45" i="150"/>
  <c r="O45" i="150"/>
  <c r="L45" i="150"/>
  <c r="J45" i="150"/>
  <c r="G45" i="150"/>
  <c r="E45" i="150"/>
  <c r="R44" i="150"/>
  <c r="M44" i="150"/>
  <c r="H44" i="150"/>
  <c r="R43" i="150"/>
  <c r="M43" i="150"/>
  <c r="H43" i="150"/>
  <c r="Q42" i="150"/>
  <c r="O42" i="150"/>
  <c r="L42" i="150"/>
  <c r="J42" i="150"/>
  <c r="G42" i="150"/>
  <c r="E42" i="150"/>
  <c r="R41" i="150"/>
  <c r="M41" i="150"/>
  <c r="H41" i="150"/>
  <c r="R40" i="150"/>
  <c r="M40" i="150"/>
  <c r="H40" i="150"/>
  <c r="R39" i="150"/>
  <c r="M39" i="150"/>
  <c r="H39" i="150"/>
  <c r="R38" i="150"/>
  <c r="M38" i="150"/>
  <c r="H38" i="150"/>
  <c r="Q37" i="150"/>
  <c r="O37" i="150"/>
  <c r="L37" i="150"/>
  <c r="J37" i="150"/>
  <c r="G37" i="150"/>
  <c r="E37" i="150"/>
  <c r="R34" i="150"/>
  <c r="M34" i="150"/>
  <c r="H34" i="150"/>
  <c r="R31" i="150"/>
  <c r="M31" i="150"/>
  <c r="H31" i="150"/>
  <c r="R30" i="150"/>
  <c r="M30" i="150"/>
  <c r="H30" i="150"/>
  <c r="R29" i="150"/>
  <c r="M29" i="150"/>
  <c r="H29" i="150"/>
  <c r="R28" i="150"/>
  <c r="M28" i="150"/>
  <c r="H28" i="150"/>
  <c r="Q27" i="150"/>
  <c r="Q26" i="150" s="1"/>
  <c r="O27" i="150"/>
  <c r="O26" i="150" s="1"/>
  <c r="L27" i="150"/>
  <c r="L26" i="150" s="1"/>
  <c r="J27" i="150"/>
  <c r="J26" i="150" s="1"/>
  <c r="G27" i="150"/>
  <c r="G26" i="150" s="1"/>
  <c r="E27" i="150"/>
  <c r="R25" i="150"/>
  <c r="M25" i="150"/>
  <c r="H25" i="150"/>
  <c r="R24" i="150"/>
  <c r="M24" i="150"/>
  <c r="H24" i="150"/>
  <c r="R23" i="150"/>
  <c r="M23" i="150"/>
  <c r="H23" i="150"/>
  <c r="Q22" i="150"/>
  <c r="Q21" i="150" s="1"/>
  <c r="O22" i="150"/>
  <c r="O21" i="150" s="1"/>
  <c r="L22" i="150"/>
  <c r="J22" i="150"/>
  <c r="G22" i="150"/>
  <c r="G21" i="150" s="1"/>
  <c r="E22" i="150"/>
  <c r="L21" i="150"/>
  <c r="R20" i="150"/>
  <c r="M20" i="150"/>
  <c r="H20" i="150"/>
  <c r="R19" i="150"/>
  <c r="M19" i="150"/>
  <c r="H19" i="150"/>
  <c r="R18" i="150"/>
  <c r="M18" i="150"/>
  <c r="H18" i="150"/>
  <c r="Q17" i="150"/>
  <c r="Q16" i="150" s="1"/>
  <c r="Q15" i="150" s="1"/>
  <c r="Q14" i="150" s="1"/>
  <c r="O17" i="150"/>
  <c r="L17" i="150"/>
  <c r="L16" i="150" s="1"/>
  <c r="L15" i="150" s="1"/>
  <c r="L14" i="150" s="1"/>
  <c r="J17" i="150"/>
  <c r="G17" i="150"/>
  <c r="G16" i="150" s="1"/>
  <c r="G15" i="150" s="1"/>
  <c r="E17" i="150"/>
  <c r="R13" i="150"/>
  <c r="M13" i="150"/>
  <c r="H13" i="150"/>
  <c r="R12" i="150"/>
  <c r="M12" i="150"/>
  <c r="H12" i="150"/>
  <c r="R11" i="150"/>
  <c r="M11" i="150"/>
  <c r="H11" i="150"/>
  <c r="R260" i="94"/>
  <c r="M260" i="94"/>
  <c r="H260" i="94"/>
  <c r="R259" i="94"/>
  <c r="M259" i="94"/>
  <c r="H259" i="94"/>
  <c r="R258" i="94"/>
  <c r="M258" i="94"/>
  <c r="H258" i="94"/>
  <c r="Q257" i="94"/>
  <c r="O257" i="94"/>
  <c r="L257" i="94"/>
  <c r="J257" i="94"/>
  <c r="G257" i="94"/>
  <c r="E257" i="94"/>
  <c r="H257" i="94" s="1"/>
  <c r="R256" i="94"/>
  <c r="M256" i="94"/>
  <c r="H256" i="94"/>
  <c r="R255" i="94"/>
  <c r="M255" i="94"/>
  <c r="H255" i="94"/>
  <c r="R254" i="94"/>
  <c r="M254" i="94"/>
  <c r="H254" i="94"/>
  <c r="Q253" i="94"/>
  <c r="O253" i="94"/>
  <c r="R253" i="94" s="1"/>
  <c r="L253" i="94"/>
  <c r="J253" i="94"/>
  <c r="G253" i="94"/>
  <c r="E253" i="94"/>
  <c r="R252" i="94"/>
  <c r="M252" i="94"/>
  <c r="H252" i="94"/>
  <c r="R251" i="94"/>
  <c r="M251" i="94"/>
  <c r="H251" i="94"/>
  <c r="Q250" i="94"/>
  <c r="O250" i="94"/>
  <c r="L250" i="94"/>
  <c r="J250" i="94"/>
  <c r="G250" i="94"/>
  <c r="E250" i="94"/>
  <c r="R247" i="94"/>
  <c r="M247" i="94"/>
  <c r="H247" i="94"/>
  <c r="R246" i="94"/>
  <c r="M246" i="94"/>
  <c r="H246" i="94"/>
  <c r="R245" i="94"/>
  <c r="M245" i="94"/>
  <c r="H245" i="94"/>
  <c r="Q244" i="94"/>
  <c r="R244" i="94" s="1"/>
  <c r="O244" i="94"/>
  <c r="L244" i="94"/>
  <c r="J244" i="94"/>
  <c r="G244" i="94"/>
  <c r="E244" i="94"/>
  <c r="R243" i="94"/>
  <c r="M243" i="94"/>
  <c r="H243" i="94"/>
  <c r="R242" i="94"/>
  <c r="M242" i="94"/>
  <c r="H242" i="94"/>
  <c r="R241" i="94"/>
  <c r="M241" i="94"/>
  <c r="H241" i="94"/>
  <c r="Q240" i="94"/>
  <c r="O240" i="94"/>
  <c r="L240" i="94"/>
  <c r="J240" i="94"/>
  <c r="G240" i="94"/>
  <c r="E240" i="94"/>
  <c r="R239" i="94"/>
  <c r="M239" i="94"/>
  <c r="H239" i="94"/>
  <c r="R238" i="94"/>
  <c r="M238" i="94"/>
  <c r="H238" i="94"/>
  <c r="R237" i="94"/>
  <c r="M237" i="94"/>
  <c r="H237" i="94"/>
  <c r="Q236" i="94"/>
  <c r="Q234" i="94" s="1"/>
  <c r="O236" i="94"/>
  <c r="O234" i="94" s="1"/>
  <c r="L236" i="94"/>
  <c r="L234" i="94" s="1"/>
  <c r="J236" i="94"/>
  <c r="J234" i="94" s="1"/>
  <c r="G236" i="94"/>
  <c r="E236" i="94"/>
  <c r="R235" i="94"/>
  <c r="M235" i="94"/>
  <c r="H235" i="94"/>
  <c r="G234" i="94"/>
  <c r="R232" i="94"/>
  <c r="M232" i="94"/>
  <c r="H232" i="94"/>
  <c r="R230" i="94"/>
  <c r="M230" i="94"/>
  <c r="H230" i="94"/>
  <c r="R229" i="94"/>
  <c r="M229" i="94"/>
  <c r="H229" i="94"/>
  <c r="R228" i="94"/>
  <c r="M228" i="94"/>
  <c r="H228" i="94"/>
  <c r="Q227" i="94"/>
  <c r="O227" i="94"/>
  <c r="L227" i="94"/>
  <c r="J227" i="94"/>
  <c r="M227" i="94" s="1"/>
  <c r="G227" i="94"/>
  <c r="E227" i="94"/>
  <c r="R226" i="94"/>
  <c r="M226" i="94"/>
  <c r="H226" i="94"/>
  <c r="R225" i="94"/>
  <c r="M225" i="94"/>
  <c r="H225" i="94"/>
  <c r="R224" i="94"/>
  <c r="M224" i="94"/>
  <c r="H224" i="94"/>
  <c r="Q223" i="94"/>
  <c r="O223" i="94"/>
  <c r="L223" i="94"/>
  <c r="J223" i="94"/>
  <c r="M223" i="94" s="1"/>
  <c r="G223" i="94"/>
  <c r="E223" i="94"/>
  <c r="R222" i="94"/>
  <c r="M222" i="94"/>
  <c r="H222" i="94"/>
  <c r="R221" i="94"/>
  <c r="M221" i="94"/>
  <c r="H221" i="94"/>
  <c r="R220" i="94"/>
  <c r="M220" i="94"/>
  <c r="H220" i="94"/>
  <c r="Q219" i="94"/>
  <c r="O219" i="94"/>
  <c r="L219" i="94"/>
  <c r="L217" i="94" s="1"/>
  <c r="J219" i="94"/>
  <c r="G219" i="94"/>
  <c r="G217" i="94" s="1"/>
  <c r="E219" i="94"/>
  <c r="E217" i="94" s="1"/>
  <c r="R218" i="94"/>
  <c r="M218" i="94"/>
  <c r="H218" i="94"/>
  <c r="Q217" i="94"/>
  <c r="J217" i="94"/>
  <c r="R215" i="94"/>
  <c r="M215" i="94"/>
  <c r="H215" i="94"/>
  <c r="R214" i="94"/>
  <c r="M214" i="94"/>
  <c r="H214" i="94"/>
  <c r="Q213" i="94"/>
  <c r="O213" i="94"/>
  <c r="L213" i="94"/>
  <c r="J213" i="94"/>
  <c r="G213" i="94"/>
  <c r="H213" i="94" s="1"/>
  <c r="E213" i="94"/>
  <c r="R212" i="94"/>
  <c r="M212" i="94"/>
  <c r="H212" i="94"/>
  <c r="R211" i="94"/>
  <c r="M211" i="94"/>
  <c r="H211" i="94"/>
  <c r="Q210" i="94"/>
  <c r="O210" i="94"/>
  <c r="L210" i="94"/>
  <c r="J210" i="94"/>
  <c r="G210" i="94"/>
  <c r="E210" i="94"/>
  <c r="R209" i="94"/>
  <c r="M209" i="94"/>
  <c r="H209" i="94"/>
  <c r="R208" i="94"/>
  <c r="M208" i="94"/>
  <c r="H208" i="94"/>
  <c r="R207" i="94"/>
  <c r="M207" i="94"/>
  <c r="H207" i="94"/>
  <c r="R206" i="94"/>
  <c r="M206" i="94"/>
  <c r="H206" i="94"/>
  <c r="Q205" i="94"/>
  <c r="O205" i="94"/>
  <c r="L205" i="94"/>
  <c r="J205" i="94"/>
  <c r="G205" i="94"/>
  <c r="E205" i="94"/>
  <c r="H205" i="94" s="1"/>
  <c r="R202" i="94"/>
  <c r="M202" i="94"/>
  <c r="H202" i="94"/>
  <c r="R201" i="94"/>
  <c r="M201" i="94"/>
  <c r="H201" i="94"/>
  <c r="Q200" i="94"/>
  <c r="O200" i="94"/>
  <c r="L200" i="94"/>
  <c r="J200" i="94"/>
  <c r="G200" i="94"/>
  <c r="E200" i="94"/>
  <c r="R199" i="94"/>
  <c r="M199" i="94"/>
  <c r="H199" i="94"/>
  <c r="R198" i="94"/>
  <c r="M198" i="94"/>
  <c r="H198" i="94"/>
  <c r="R197" i="94"/>
  <c r="M197" i="94"/>
  <c r="H197" i="94"/>
  <c r="R196" i="94"/>
  <c r="M196" i="94"/>
  <c r="H196" i="94"/>
  <c r="Q195" i="94"/>
  <c r="Q194" i="94" s="1"/>
  <c r="O195" i="94"/>
  <c r="L195" i="94"/>
  <c r="L194" i="94" s="1"/>
  <c r="J195" i="94"/>
  <c r="J194" i="94" s="1"/>
  <c r="G195" i="94"/>
  <c r="G194" i="94" s="1"/>
  <c r="E195" i="94"/>
  <c r="R193" i="94"/>
  <c r="M193" i="94"/>
  <c r="H193" i="94"/>
  <c r="R192" i="94"/>
  <c r="M192" i="94"/>
  <c r="H192" i="94"/>
  <c r="R191" i="94"/>
  <c r="M191" i="94"/>
  <c r="H191" i="94"/>
  <c r="Q190" i="94"/>
  <c r="O190" i="94"/>
  <c r="O189" i="94" s="1"/>
  <c r="L190" i="94"/>
  <c r="J190" i="94"/>
  <c r="G190" i="94"/>
  <c r="G189" i="94" s="1"/>
  <c r="E190" i="94"/>
  <c r="L189" i="94"/>
  <c r="R188" i="94"/>
  <c r="M188" i="94"/>
  <c r="H188" i="94"/>
  <c r="R187" i="94"/>
  <c r="M187" i="94"/>
  <c r="H187" i="94"/>
  <c r="R186" i="94"/>
  <c r="M186" i="94"/>
  <c r="H186" i="94"/>
  <c r="Q185" i="94"/>
  <c r="Q184" i="94" s="1"/>
  <c r="Q183" i="94" s="1"/>
  <c r="O185" i="94"/>
  <c r="L185" i="94"/>
  <c r="J185" i="94"/>
  <c r="M185" i="94" s="1"/>
  <c r="G185" i="94"/>
  <c r="G184" i="94" s="1"/>
  <c r="G183" i="94" s="1"/>
  <c r="E185" i="94"/>
  <c r="E184" i="94" s="1"/>
  <c r="E183" i="94" s="1"/>
  <c r="L184" i="94"/>
  <c r="L183" i="94" s="1"/>
  <c r="L182" i="94" s="1"/>
  <c r="J184" i="94"/>
  <c r="R181" i="94"/>
  <c r="M181" i="94"/>
  <c r="H181" i="94"/>
  <c r="R180" i="94"/>
  <c r="M180" i="94"/>
  <c r="H180" i="94"/>
  <c r="R179" i="94"/>
  <c r="M179" i="94"/>
  <c r="H179" i="94"/>
  <c r="R177" i="94"/>
  <c r="M177" i="94"/>
  <c r="H177" i="94"/>
  <c r="R176" i="94"/>
  <c r="M176" i="94"/>
  <c r="H176" i="94"/>
  <c r="R175" i="94"/>
  <c r="M175" i="94"/>
  <c r="H175" i="94"/>
  <c r="R174" i="94"/>
  <c r="M174" i="94"/>
  <c r="H174" i="94"/>
  <c r="Q173" i="94"/>
  <c r="O173" i="94"/>
  <c r="L173" i="94"/>
  <c r="J173" i="94"/>
  <c r="G173" i="94"/>
  <c r="E173" i="94"/>
  <c r="R172" i="94"/>
  <c r="M172" i="94"/>
  <c r="H172" i="94"/>
  <c r="R171" i="94"/>
  <c r="M171" i="94"/>
  <c r="H171" i="94"/>
  <c r="R170" i="94"/>
  <c r="M170" i="94"/>
  <c r="H170" i="94"/>
  <c r="Q169" i="94"/>
  <c r="O169" i="94"/>
  <c r="L169" i="94"/>
  <c r="J169" i="94"/>
  <c r="G169" i="94"/>
  <c r="E169" i="94"/>
  <c r="R168" i="94"/>
  <c r="M168" i="94"/>
  <c r="H168" i="94"/>
  <c r="R167" i="94"/>
  <c r="M167" i="94"/>
  <c r="H167" i="94"/>
  <c r="Q166" i="94"/>
  <c r="O166" i="94"/>
  <c r="L166" i="94"/>
  <c r="J166" i="94"/>
  <c r="G166" i="94"/>
  <c r="E166" i="94"/>
  <c r="R163" i="94"/>
  <c r="M163" i="94"/>
  <c r="H163" i="94"/>
  <c r="R162" i="94"/>
  <c r="M162" i="94"/>
  <c r="H162" i="94"/>
  <c r="R161" i="94"/>
  <c r="M161" i="94"/>
  <c r="H161" i="94"/>
  <c r="Q160" i="94"/>
  <c r="O160" i="94"/>
  <c r="L160" i="94"/>
  <c r="J160" i="94"/>
  <c r="G160" i="94"/>
  <c r="E160" i="94"/>
  <c r="R159" i="94"/>
  <c r="M159" i="94"/>
  <c r="H159" i="94"/>
  <c r="R158" i="94"/>
  <c r="M158" i="94"/>
  <c r="H158" i="94"/>
  <c r="R157" i="94"/>
  <c r="M157" i="94"/>
  <c r="H157" i="94"/>
  <c r="Q156" i="94"/>
  <c r="O156" i="94"/>
  <c r="L156" i="94"/>
  <c r="J156" i="94"/>
  <c r="G156" i="94"/>
  <c r="E156" i="94"/>
  <c r="R155" i="94"/>
  <c r="M155" i="94"/>
  <c r="H155" i="94"/>
  <c r="R154" i="94"/>
  <c r="M154" i="94"/>
  <c r="H154" i="94"/>
  <c r="R153" i="94"/>
  <c r="M153" i="94"/>
  <c r="H153" i="94"/>
  <c r="Q152" i="94"/>
  <c r="Q150" i="94" s="1"/>
  <c r="O152" i="94"/>
  <c r="L152" i="94"/>
  <c r="J152" i="94"/>
  <c r="J150" i="94" s="1"/>
  <c r="G152" i="94"/>
  <c r="E152" i="94"/>
  <c r="E150" i="94" s="1"/>
  <c r="R151" i="94"/>
  <c r="M151" i="94"/>
  <c r="H151" i="94"/>
  <c r="R148" i="94"/>
  <c r="M148" i="94"/>
  <c r="H148" i="94"/>
  <c r="R146" i="94"/>
  <c r="M146" i="94"/>
  <c r="H146" i="94"/>
  <c r="R145" i="94"/>
  <c r="M145" i="94"/>
  <c r="H145" i="94"/>
  <c r="R144" i="94"/>
  <c r="M144" i="94"/>
  <c r="H144" i="94"/>
  <c r="Q143" i="94"/>
  <c r="O143" i="94"/>
  <c r="R143" i="94" s="1"/>
  <c r="L143" i="94"/>
  <c r="J143" i="94"/>
  <c r="G143" i="94"/>
  <c r="E143" i="94"/>
  <c r="R142" i="94"/>
  <c r="M142" i="94"/>
  <c r="H142" i="94"/>
  <c r="R141" i="94"/>
  <c r="M141" i="94"/>
  <c r="H141" i="94"/>
  <c r="R140" i="94"/>
  <c r="M140" i="94"/>
  <c r="H140" i="94"/>
  <c r="Q139" i="94"/>
  <c r="O139" i="94"/>
  <c r="L139" i="94"/>
  <c r="J139" i="94"/>
  <c r="G139" i="94"/>
  <c r="E139" i="94"/>
  <c r="R138" i="94"/>
  <c r="M138" i="94"/>
  <c r="H138" i="94"/>
  <c r="R137" i="94"/>
  <c r="M137" i="94"/>
  <c r="H137" i="94"/>
  <c r="R136" i="94"/>
  <c r="M136" i="94"/>
  <c r="H136" i="94"/>
  <c r="Q135" i="94"/>
  <c r="Q133" i="94" s="1"/>
  <c r="O135" i="94"/>
  <c r="L135" i="94"/>
  <c r="J135" i="94"/>
  <c r="J133" i="94" s="1"/>
  <c r="G135" i="94"/>
  <c r="G133" i="94" s="1"/>
  <c r="E135" i="94"/>
  <c r="E133" i="94" s="1"/>
  <c r="R134" i="94"/>
  <c r="M134" i="94"/>
  <c r="H134" i="94"/>
  <c r="R131" i="94"/>
  <c r="M131" i="94"/>
  <c r="H131" i="94"/>
  <c r="R130" i="94"/>
  <c r="M130" i="94"/>
  <c r="H130" i="94"/>
  <c r="Q129" i="94"/>
  <c r="R129" i="94" s="1"/>
  <c r="O129" i="94"/>
  <c r="L129" i="94"/>
  <c r="J129" i="94"/>
  <c r="G129" i="94"/>
  <c r="E129" i="94"/>
  <c r="R128" i="94"/>
  <c r="M128" i="94"/>
  <c r="H128" i="94"/>
  <c r="R127" i="94"/>
  <c r="M127" i="94"/>
  <c r="H127" i="94"/>
  <c r="Q126" i="94"/>
  <c r="R126" i="94" s="1"/>
  <c r="O126" i="94"/>
  <c r="L126" i="94"/>
  <c r="J126" i="94"/>
  <c r="G126" i="94"/>
  <c r="E126" i="94"/>
  <c r="R125" i="94"/>
  <c r="M125" i="94"/>
  <c r="H125" i="94"/>
  <c r="R124" i="94"/>
  <c r="M124" i="94"/>
  <c r="H124" i="94"/>
  <c r="R123" i="94"/>
  <c r="M123" i="94"/>
  <c r="H123" i="94"/>
  <c r="R122" i="94"/>
  <c r="M122" i="94"/>
  <c r="H122" i="94"/>
  <c r="Q121" i="94"/>
  <c r="O121" i="94"/>
  <c r="L121" i="94"/>
  <c r="J121" i="94"/>
  <c r="G121" i="94"/>
  <c r="E121" i="94"/>
  <c r="R118" i="94"/>
  <c r="M118" i="94"/>
  <c r="H118" i="94"/>
  <c r="R117" i="94"/>
  <c r="M117" i="94"/>
  <c r="H117" i="94"/>
  <c r="Q116" i="94"/>
  <c r="O116" i="94"/>
  <c r="L116" i="94"/>
  <c r="J116" i="94"/>
  <c r="G116" i="94"/>
  <c r="E116" i="94"/>
  <c r="R115" i="94"/>
  <c r="M115" i="94"/>
  <c r="H115" i="94"/>
  <c r="R114" i="94"/>
  <c r="M114" i="94"/>
  <c r="H114" i="94"/>
  <c r="R113" i="94"/>
  <c r="M113" i="94"/>
  <c r="H113" i="94"/>
  <c r="R112" i="94"/>
  <c r="M112" i="94"/>
  <c r="H112" i="94"/>
  <c r="Q111" i="94"/>
  <c r="Q110" i="94" s="1"/>
  <c r="O111" i="94"/>
  <c r="L111" i="94"/>
  <c r="J111" i="94"/>
  <c r="G111" i="94"/>
  <c r="G110" i="94" s="1"/>
  <c r="E111" i="94"/>
  <c r="E110" i="94" s="1"/>
  <c r="L110" i="94"/>
  <c r="R109" i="94"/>
  <c r="M109" i="94"/>
  <c r="H109" i="94"/>
  <c r="R108" i="94"/>
  <c r="M108" i="94"/>
  <c r="H108" i="94"/>
  <c r="R107" i="94"/>
  <c r="M107" i="94"/>
  <c r="H107" i="94"/>
  <c r="Q106" i="94"/>
  <c r="Q105" i="94" s="1"/>
  <c r="O106" i="94"/>
  <c r="L106" i="94"/>
  <c r="J106" i="94"/>
  <c r="J105" i="94" s="1"/>
  <c r="G106" i="94"/>
  <c r="G105" i="94" s="1"/>
  <c r="E106" i="94"/>
  <c r="R104" i="94"/>
  <c r="M104" i="94"/>
  <c r="H104" i="94"/>
  <c r="R103" i="94"/>
  <c r="M103" i="94"/>
  <c r="H103" i="94"/>
  <c r="R102" i="94"/>
  <c r="M102" i="94"/>
  <c r="H102" i="94"/>
  <c r="Q101" i="94"/>
  <c r="Q100" i="94" s="1"/>
  <c r="Q99" i="94" s="1"/>
  <c r="O101" i="94"/>
  <c r="O100" i="94" s="1"/>
  <c r="O99" i="94" s="1"/>
  <c r="L101" i="94"/>
  <c r="L100" i="94" s="1"/>
  <c r="L99" i="94" s="1"/>
  <c r="J101" i="94"/>
  <c r="G101" i="94"/>
  <c r="G100" i="94" s="1"/>
  <c r="E101" i="94"/>
  <c r="E100" i="94" s="1"/>
  <c r="E99" i="94" s="1"/>
  <c r="R97" i="94"/>
  <c r="M97" i="94"/>
  <c r="H97" i="94"/>
  <c r="R96" i="94"/>
  <c r="M96" i="94"/>
  <c r="H96" i="94"/>
  <c r="R95" i="94"/>
  <c r="M95" i="94"/>
  <c r="H95" i="94"/>
  <c r="R93" i="94"/>
  <c r="M93" i="94"/>
  <c r="H93" i="94"/>
  <c r="R92" i="94"/>
  <c r="M92" i="94"/>
  <c r="H92" i="94"/>
  <c r="R91" i="94"/>
  <c r="M91" i="94"/>
  <c r="H91" i="94"/>
  <c r="R90" i="94"/>
  <c r="M90" i="94"/>
  <c r="H90" i="94"/>
  <c r="Q89" i="94"/>
  <c r="O89" i="94"/>
  <c r="L89" i="94"/>
  <c r="J89" i="94"/>
  <c r="G89" i="94"/>
  <c r="E89" i="94"/>
  <c r="R88" i="94"/>
  <c r="M88" i="94"/>
  <c r="H88" i="94"/>
  <c r="R87" i="94"/>
  <c r="M87" i="94"/>
  <c r="H87" i="94"/>
  <c r="R86" i="94"/>
  <c r="M86" i="94"/>
  <c r="H86" i="94"/>
  <c r="Q85" i="94"/>
  <c r="O85" i="94"/>
  <c r="L85" i="94"/>
  <c r="J85" i="94"/>
  <c r="G85" i="94"/>
  <c r="E85" i="94"/>
  <c r="R84" i="94"/>
  <c r="M84" i="94"/>
  <c r="H84" i="94"/>
  <c r="R83" i="94"/>
  <c r="M83" i="94"/>
  <c r="H83" i="94"/>
  <c r="Q82" i="94"/>
  <c r="O82" i="94"/>
  <c r="O81" i="94" s="1"/>
  <c r="L82" i="94"/>
  <c r="M82" i="94" s="1"/>
  <c r="J82" i="94"/>
  <c r="G82" i="94"/>
  <c r="E82" i="94"/>
  <c r="R79" i="94"/>
  <c r="M79" i="94"/>
  <c r="H79" i="94"/>
  <c r="R78" i="94"/>
  <c r="M78" i="94"/>
  <c r="H78" i="94"/>
  <c r="R77" i="94"/>
  <c r="M77" i="94"/>
  <c r="H77" i="94"/>
  <c r="Q76" i="94"/>
  <c r="O76" i="94"/>
  <c r="L76" i="94"/>
  <c r="J76" i="94"/>
  <c r="G76" i="94"/>
  <c r="E76" i="94"/>
  <c r="R75" i="94"/>
  <c r="M75" i="94"/>
  <c r="H75" i="94"/>
  <c r="R74" i="94"/>
  <c r="M74" i="94"/>
  <c r="H74" i="94"/>
  <c r="R73" i="94"/>
  <c r="M73" i="94"/>
  <c r="H73" i="94"/>
  <c r="Q72" i="94"/>
  <c r="O72" i="94"/>
  <c r="L72" i="94"/>
  <c r="J72" i="94"/>
  <c r="G72" i="94"/>
  <c r="E72" i="94"/>
  <c r="R71" i="94"/>
  <c r="M71" i="94"/>
  <c r="H71" i="94"/>
  <c r="R70" i="94"/>
  <c r="M70" i="94"/>
  <c r="H70" i="94"/>
  <c r="R69" i="94"/>
  <c r="M69" i="94"/>
  <c r="H69" i="94"/>
  <c r="Q68" i="94"/>
  <c r="O68" i="94"/>
  <c r="L68" i="94"/>
  <c r="L66" i="94" s="1"/>
  <c r="J68" i="94"/>
  <c r="J66" i="94" s="1"/>
  <c r="G68" i="94"/>
  <c r="E68" i="94"/>
  <c r="E66" i="94" s="1"/>
  <c r="R67" i="94"/>
  <c r="M67" i="94"/>
  <c r="H67" i="94"/>
  <c r="Q66" i="94"/>
  <c r="R64" i="94"/>
  <c r="M64" i="94"/>
  <c r="H64" i="94"/>
  <c r="R62" i="94"/>
  <c r="M62" i="94"/>
  <c r="H62" i="94"/>
  <c r="R61" i="94"/>
  <c r="M61" i="94"/>
  <c r="H61" i="94"/>
  <c r="R60" i="94"/>
  <c r="M60" i="94"/>
  <c r="H60" i="94"/>
  <c r="Q59" i="94"/>
  <c r="O59" i="94"/>
  <c r="L59" i="94"/>
  <c r="J59" i="94"/>
  <c r="M59" i="94" s="1"/>
  <c r="G59" i="94"/>
  <c r="E59" i="94"/>
  <c r="R58" i="94"/>
  <c r="M58" i="94"/>
  <c r="H58" i="94"/>
  <c r="R57" i="94"/>
  <c r="M57" i="94"/>
  <c r="H57" i="94"/>
  <c r="R56" i="94"/>
  <c r="M56" i="94"/>
  <c r="H56" i="94"/>
  <c r="Q55" i="94"/>
  <c r="O55" i="94"/>
  <c r="L55" i="94"/>
  <c r="J55" i="94"/>
  <c r="G55" i="94"/>
  <c r="E55" i="94"/>
  <c r="R54" i="94"/>
  <c r="M54" i="94"/>
  <c r="H54" i="94"/>
  <c r="R53" i="94"/>
  <c r="M53" i="94"/>
  <c r="H53" i="94"/>
  <c r="R52" i="94"/>
  <c r="M52" i="94"/>
  <c r="H52" i="94"/>
  <c r="Q51" i="94"/>
  <c r="Q49" i="94" s="1"/>
  <c r="O51" i="94"/>
  <c r="L51" i="94"/>
  <c r="L49" i="94" s="1"/>
  <c r="J51" i="94"/>
  <c r="G51" i="94"/>
  <c r="G49" i="94" s="1"/>
  <c r="E51" i="94"/>
  <c r="E49" i="94" s="1"/>
  <c r="R50" i="94"/>
  <c r="M50" i="94"/>
  <c r="H50" i="94"/>
  <c r="R47" i="94"/>
  <c r="M47" i="94"/>
  <c r="H47" i="94"/>
  <c r="R46" i="94"/>
  <c r="M46" i="94"/>
  <c r="H46" i="94"/>
  <c r="Q45" i="94"/>
  <c r="O45" i="94"/>
  <c r="L45" i="94"/>
  <c r="J45" i="94"/>
  <c r="G45" i="94"/>
  <c r="E45" i="94"/>
  <c r="R44" i="94"/>
  <c r="M44" i="94"/>
  <c r="H44" i="94"/>
  <c r="R43" i="94"/>
  <c r="M43" i="94"/>
  <c r="H43" i="94"/>
  <c r="Q42" i="94"/>
  <c r="O42" i="94"/>
  <c r="L42" i="94"/>
  <c r="J42" i="94"/>
  <c r="G42" i="94"/>
  <c r="E42" i="94"/>
  <c r="R41" i="94"/>
  <c r="M41" i="94"/>
  <c r="H41" i="94"/>
  <c r="R40" i="94"/>
  <c r="M40" i="94"/>
  <c r="H40" i="94"/>
  <c r="R39" i="94"/>
  <c r="M39" i="94"/>
  <c r="H39" i="94"/>
  <c r="R38" i="94"/>
  <c r="M38" i="94"/>
  <c r="H38" i="94"/>
  <c r="Q37" i="94"/>
  <c r="O37" i="94"/>
  <c r="L37" i="94"/>
  <c r="J37" i="94"/>
  <c r="G37" i="94"/>
  <c r="E37" i="94"/>
  <c r="R34" i="94"/>
  <c r="M34" i="94"/>
  <c r="H34" i="94"/>
  <c r="R33" i="94"/>
  <c r="M33" i="94"/>
  <c r="H33" i="94"/>
  <c r="Q32" i="94"/>
  <c r="O32" i="94"/>
  <c r="L32" i="94"/>
  <c r="J32" i="94"/>
  <c r="G32" i="94"/>
  <c r="E32" i="94"/>
  <c r="R31" i="94"/>
  <c r="M31" i="94"/>
  <c r="H31" i="94"/>
  <c r="R30" i="94"/>
  <c r="M30" i="94"/>
  <c r="H30" i="94"/>
  <c r="R29" i="94"/>
  <c r="M29" i="94"/>
  <c r="H29" i="94"/>
  <c r="R28" i="94"/>
  <c r="M28" i="94"/>
  <c r="H28" i="94"/>
  <c r="Q27" i="94"/>
  <c r="O27" i="94"/>
  <c r="L27" i="94"/>
  <c r="L26" i="94" s="1"/>
  <c r="J27" i="94"/>
  <c r="G27" i="94"/>
  <c r="G26" i="94" s="1"/>
  <c r="E27" i="94"/>
  <c r="E26" i="94" s="1"/>
  <c r="Q26" i="94"/>
  <c r="J26" i="94"/>
  <c r="R25" i="94"/>
  <c r="M25" i="94"/>
  <c r="H25" i="94"/>
  <c r="R24" i="94"/>
  <c r="M24" i="94"/>
  <c r="H24" i="94"/>
  <c r="R23" i="94"/>
  <c r="M23" i="94"/>
  <c r="H23" i="94"/>
  <c r="Q22" i="94"/>
  <c r="Q21" i="94" s="1"/>
  <c r="O22" i="94"/>
  <c r="L22" i="94"/>
  <c r="L21" i="94" s="1"/>
  <c r="J22" i="94"/>
  <c r="M22" i="94" s="1"/>
  <c r="G22" i="94"/>
  <c r="G21" i="94" s="1"/>
  <c r="E22" i="94"/>
  <c r="E21" i="94" s="1"/>
  <c r="R20" i="94"/>
  <c r="M20" i="94"/>
  <c r="H20" i="94"/>
  <c r="R19" i="94"/>
  <c r="M19" i="94"/>
  <c r="H19" i="94"/>
  <c r="R18" i="94"/>
  <c r="M18" i="94"/>
  <c r="H18" i="94"/>
  <c r="Q17" i="94"/>
  <c r="Q16" i="94" s="1"/>
  <c r="Q15" i="94" s="1"/>
  <c r="O17" i="94"/>
  <c r="O16" i="94" s="1"/>
  <c r="R16" i="94" s="1"/>
  <c r="L17" i="94"/>
  <c r="L16" i="94" s="1"/>
  <c r="L15" i="94" s="1"/>
  <c r="L14" i="94" s="1"/>
  <c r="L10" i="94" s="1"/>
  <c r="J17" i="94"/>
  <c r="J16" i="94" s="1"/>
  <c r="J15" i="94" s="1"/>
  <c r="G17" i="94"/>
  <c r="G16" i="94" s="1"/>
  <c r="G15" i="94" s="1"/>
  <c r="E17" i="94"/>
  <c r="R13" i="94"/>
  <c r="M13" i="94"/>
  <c r="H13" i="94"/>
  <c r="R12" i="94"/>
  <c r="M12" i="94"/>
  <c r="H12" i="94"/>
  <c r="R11" i="94"/>
  <c r="M11" i="94"/>
  <c r="H11" i="94"/>
  <c r="R260" i="17"/>
  <c r="M260" i="17"/>
  <c r="H260" i="17"/>
  <c r="R259" i="17"/>
  <c r="M259" i="17"/>
  <c r="H259" i="17"/>
  <c r="R258" i="17"/>
  <c r="M258" i="17"/>
  <c r="H258" i="17"/>
  <c r="Q257" i="17"/>
  <c r="O257" i="17"/>
  <c r="R257" i="17" s="1"/>
  <c r="L257" i="17"/>
  <c r="J257" i="17"/>
  <c r="G257" i="17"/>
  <c r="E257" i="17"/>
  <c r="H257" i="17" s="1"/>
  <c r="R256" i="17"/>
  <c r="M256" i="17"/>
  <c r="H256" i="17"/>
  <c r="R255" i="17"/>
  <c r="M255" i="17"/>
  <c r="H255" i="17"/>
  <c r="R254" i="17"/>
  <c r="M254" i="17"/>
  <c r="H254" i="17"/>
  <c r="Q253" i="17"/>
  <c r="O253" i="17"/>
  <c r="L253" i="17"/>
  <c r="J253" i="17"/>
  <c r="M253" i="17" s="1"/>
  <c r="G253" i="17"/>
  <c r="E253" i="17"/>
  <c r="R252" i="17"/>
  <c r="M252" i="17"/>
  <c r="H252" i="17"/>
  <c r="R251" i="17"/>
  <c r="M251" i="17"/>
  <c r="H251" i="17"/>
  <c r="Q250" i="17"/>
  <c r="O250" i="17"/>
  <c r="L250" i="17"/>
  <c r="J250" i="17"/>
  <c r="G250" i="17"/>
  <c r="E250" i="17"/>
  <c r="R247" i="17"/>
  <c r="M247" i="17"/>
  <c r="H247" i="17"/>
  <c r="R246" i="17"/>
  <c r="M246" i="17"/>
  <c r="H246" i="17"/>
  <c r="R245" i="17"/>
  <c r="M245" i="17"/>
  <c r="H245" i="17"/>
  <c r="R244" i="17"/>
  <c r="Q244" i="17"/>
  <c r="O244" i="17"/>
  <c r="L244" i="17"/>
  <c r="J244" i="17"/>
  <c r="G244" i="17"/>
  <c r="E244" i="17"/>
  <c r="R243" i="17"/>
  <c r="M243" i="17"/>
  <c r="H243" i="17"/>
  <c r="R242" i="17"/>
  <c r="M242" i="17"/>
  <c r="H242" i="17"/>
  <c r="R241" i="17"/>
  <c r="M241" i="17"/>
  <c r="H241" i="17"/>
  <c r="Q240" i="17"/>
  <c r="O240" i="17"/>
  <c r="L240" i="17"/>
  <c r="J240" i="17"/>
  <c r="M240" i="17" s="1"/>
  <c r="G240" i="17"/>
  <c r="E240" i="17"/>
  <c r="R239" i="17"/>
  <c r="M239" i="17"/>
  <c r="H239" i="17"/>
  <c r="R238" i="17"/>
  <c r="M238" i="17"/>
  <c r="H238" i="17"/>
  <c r="R237" i="17"/>
  <c r="M237" i="17"/>
  <c r="H237" i="17"/>
  <c r="Q236" i="17"/>
  <c r="O236" i="17"/>
  <c r="L236" i="17"/>
  <c r="J236" i="17"/>
  <c r="G236" i="17"/>
  <c r="E236" i="17"/>
  <c r="R235" i="17"/>
  <c r="M235" i="17"/>
  <c r="H235" i="17"/>
  <c r="O234" i="17"/>
  <c r="O233" i="17" s="1"/>
  <c r="O231" i="17" s="1"/>
  <c r="L234" i="17"/>
  <c r="J234" i="17"/>
  <c r="G234" i="17"/>
  <c r="R232" i="17"/>
  <c r="M232" i="17"/>
  <c r="H232" i="17"/>
  <c r="R230" i="17"/>
  <c r="M230" i="17"/>
  <c r="H230" i="17"/>
  <c r="R229" i="17"/>
  <c r="M229" i="17"/>
  <c r="H229" i="17"/>
  <c r="R228" i="17"/>
  <c r="M228" i="17"/>
  <c r="H228" i="17"/>
  <c r="Q227" i="17"/>
  <c r="O227" i="17"/>
  <c r="L227" i="17"/>
  <c r="J227" i="17"/>
  <c r="M227" i="17" s="1"/>
  <c r="G227" i="17"/>
  <c r="E227" i="17"/>
  <c r="R226" i="17"/>
  <c r="M226" i="17"/>
  <c r="H226" i="17"/>
  <c r="R225" i="17"/>
  <c r="M225" i="17"/>
  <c r="H225" i="17"/>
  <c r="R224" i="17"/>
  <c r="M224" i="17"/>
  <c r="H224" i="17"/>
  <c r="Q223" i="17"/>
  <c r="O223" i="17"/>
  <c r="R223" i="17" s="1"/>
  <c r="L223" i="17"/>
  <c r="J223" i="17"/>
  <c r="G223" i="17"/>
  <c r="E223" i="17"/>
  <c r="R222" i="17"/>
  <c r="M222" i="17"/>
  <c r="H222" i="17"/>
  <c r="R221" i="17"/>
  <c r="M221" i="17"/>
  <c r="H221" i="17"/>
  <c r="R220" i="17"/>
  <c r="M220" i="17"/>
  <c r="H220" i="17"/>
  <c r="Q219" i="17"/>
  <c r="O219" i="17"/>
  <c r="L219" i="17"/>
  <c r="L217" i="17" s="1"/>
  <c r="J219" i="17"/>
  <c r="J217" i="17" s="1"/>
  <c r="G219" i="17"/>
  <c r="G217" i="17" s="1"/>
  <c r="E219" i="17"/>
  <c r="E217" i="17" s="1"/>
  <c r="R218" i="17"/>
  <c r="M218" i="17"/>
  <c r="H218" i="17"/>
  <c r="Q217" i="17"/>
  <c r="R215" i="17"/>
  <c r="M215" i="17"/>
  <c r="H215" i="17"/>
  <c r="R214" i="17"/>
  <c r="M214" i="17"/>
  <c r="H214" i="17"/>
  <c r="Q213" i="17"/>
  <c r="O213" i="17"/>
  <c r="R213" i="17" s="1"/>
  <c r="L213" i="17"/>
  <c r="J213" i="17"/>
  <c r="G213" i="17"/>
  <c r="E213" i="17"/>
  <c r="H213" i="17" s="1"/>
  <c r="R212" i="17"/>
  <c r="M212" i="17"/>
  <c r="H212" i="17"/>
  <c r="R211" i="17"/>
  <c r="M211" i="17"/>
  <c r="H211" i="17"/>
  <c r="Q210" i="17"/>
  <c r="O210" i="17"/>
  <c r="R210" i="17" s="1"/>
  <c r="L210" i="17"/>
  <c r="M210" i="17" s="1"/>
  <c r="J210" i="17"/>
  <c r="G210" i="17"/>
  <c r="E210" i="17"/>
  <c r="R209" i="17"/>
  <c r="M209" i="17"/>
  <c r="H209" i="17"/>
  <c r="R208" i="17"/>
  <c r="M208" i="17"/>
  <c r="H208" i="17"/>
  <c r="R207" i="17"/>
  <c r="M207" i="17"/>
  <c r="H207" i="17"/>
  <c r="R206" i="17"/>
  <c r="M206" i="17"/>
  <c r="H206" i="17"/>
  <c r="Q205" i="17"/>
  <c r="O205" i="17"/>
  <c r="L205" i="17"/>
  <c r="J205" i="17"/>
  <c r="G205" i="17"/>
  <c r="E205" i="17"/>
  <c r="R202" i="17"/>
  <c r="M202" i="17"/>
  <c r="H202" i="17"/>
  <c r="R201" i="17"/>
  <c r="M201" i="17"/>
  <c r="H201" i="17"/>
  <c r="Q200" i="17"/>
  <c r="O200" i="17"/>
  <c r="L200" i="17"/>
  <c r="J200" i="17"/>
  <c r="G200" i="17"/>
  <c r="E200" i="17"/>
  <c r="R199" i="17"/>
  <c r="M199" i="17"/>
  <c r="H199" i="17"/>
  <c r="R198" i="17"/>
  <c r="M198" i="17"/>
  <c r="H198" i="17"/>
  <c r="R197" i="17"/>
  <c r="M197" i="17"/>
  <c r="H197" i="17"/>
  <c r="R196" i="17"/>
  <c r="M196" i="17"/>
  <c r="H196" i="17"/>
  <c r="Q195" i="17"/>
  <c r="Q194" i="17" s="1"/>
  <c r="O195" i="17"/>
  <c r="R195" i="17" s="1"/>
  <c r="L195" i="17"/>
  <c r="L194" i="17" s="1"/>
  <c r="J195" i="17"/>
  <c r="J194" i="17" s="1"/>
  <c r="G195" i="17"/>
  <c r="G194" i="17" s="1"/>
  <c r="E195" i="17"/>
  <c r="R193" i="17"/>
  <c r="M193" i="17"/>
  <c r="H193" i="17"/>
  <c r="R192" i="17"/>
  <c r="M192" i="17"/>
  <c r="H192" i="17"/>
  <c r="R191" i="17"/>
  <c r="M191" i="17"/>
  <c r="H191" i="17"/>
  <c r="Q190" i="17"/>
  <c r="O190" i="17"/>
  <c r="O189" i="17" s="1"/>
  <c r="L190" i="17"/>
  <c r="L189" i="17" s="1"/>
  <c r="J190" i="17"/>
  <c r="G190" i="17"/>
  <c r="G189" i="17" s="1"/>
  <c r="E190" i="17"/>
  <c r="R188" i="17"/>
  <c r="M188" i="17"/>
  <c r="H188" i="17"/>
  <c r="R187" i="17"/>
  <c r="M187" i="17"/>
  <c r="H187" i="17"/>
  <c r="R186" i="17"/>
  <c r="M186" i="17"/>
  <c r="H186" i="17"/>
  <c r="Q185" i="17"/>
  <c r="O185" i="17"/>
  <c r="L185" i="17"/>
  <c r="L184" i="17" s="1"/>
  <c r="L183" i="17" s="1"/>
  <c r="J185" i="17"/>
  <c r="G185" i="17"/>
  <c r="G184" i="17" s="1"/>
  <c r="G183" i="17" s="1"/>
  <c r="E185" i="17"/>
  <c r="Q184" i="17"/>
  <c r="Q183" i="17" s="1"/>
  <c r="J184" i="17"/>
  <c r="R181" i="17"/>
  <c r="M181" i="17"/>
  <c r="H181" i="17"/>
  <c r="R180" i="17"/>
  <c r="M180" i="17"/>
  <c r="H180" i="17"/>
  <c r="R179" i="17"/>
  <c r="M179" i="17"/>
  <c r="H179" i="17"/>
  <c r="R177" i="17"/>
  <c r="M177" i="17"/>
  <c r="H177" i="17"/>
  <c r="R176" i="17"/>
  <c r="M176" i="17"/>
  <c r="H176" i="17"/>
  <c r="R175" i="17"/>
  <c r="M175" i="17"/>
  <c r="H175" i="17"/>
  <c r="R174" i="17"/>
  <c r="M174" i="17"/>
  <c r="H174" i="17"/>
  <c r="Q173" i="17"/>
  <c r="O173" i="17"/>
  <c r="L173" i="17"/>
  <c r="J173" i="17"/>
  <c r="G173" i="17"/>
  <c r="E173" i="17"/>
  <c r="R172" i="17"/>
  <c r="M172" i="17"/>
  <c r="H172" i="17"/>
  <c r="R171" i="17"/>
  <c r="M171" i="17"/>
  <c r="H171" i="17"/>
  <c r="R170" i="17"/>
  <c r="M170" i="17"/>
  <c r="H170" i="17"/>
  <c r="Q169" i="17"/>
  <c r="O169" i="17"/>
  <c r="L169" i="17"/>
  <c r="J169" i="17"/>
  <c r="G169" i="17"/>
  <c r="E169" i="17"/>
  <c r="R168" i="17"/>
  <c r="M168" i="17"/>
  <c r="H168" i="17"/>
  <c r="R167" i="17"/>
  <c r="M167" i="17"/>
  <c r="H167" i="17"/>
  <c r="Q166" i="17"/>
  <c r="O166" i="17"/>
  <c r="L166" i="17"/>
  <c r="J166" i="17"/>
  <c r="G166" i="17"/>
  <c r="E166" i="17"/>
  <c r="R163" i="17"/>
  <c r="M163" i="17"/>
  <c r="H163" i="17"/>
  <c r="R162" i="17"/>
  <c r="M162" i="17"/>
  <c r="H162" i="17"/>
  <c r="R161" i="17"/>
  <c r="M161" i="17"/>
  <c r="H161" i="17"/>
  <c r="Q160" i="17"/>
  <c r="O160" i="17"/>
  <c r="L160" i="17"/>
  <c r="J160" i="17"/>
  <c r="M160" i="17" s="1"/>
  <c r="G160" i="17"/>
  <c r="E160" i="17"/>
  <c r="R159" i="17"/>
  <c r="M159" i="17"/>
  <c r="H159" i="17"/>
  <c r="R158" i="17"/>
  <c r="M158" i="17"/>
  <c r="H158" i="17"/>
  <c r="R157" i="17"/>
  <c r="M157" i="17"/>
  <c r="H157" i="17"/>
  <c r="Q156" i="17"/>
  <c r="O156" i="17"/>
  <c r="L156" i="17"/>
  <c r="J156" i="17"/>
  <c r="G156" i="17"/>
  <c r="E156" i="17"/>
  <c r="R155" i="17"/>
  <c r="M155" i="17"/>
  <c r="H155" i="17"/>
  <c r="R154" i="17"/>
  <c r="M154" i="17"/>
  <c r="H154" i="17"/>
  <c r="R153" i="17"/>
  <c r="M153" i="17"/>
  <c r="H153" i="17"/>
  <c r="Q152" i="17"/>
  <c r="O152" i="17"/>
  <c r="O150" i="17" s="1"/>
  <c r="L152" i="17"/>
  <c r="J152" i="17"/>
  <c r="J150" i="17" s="1"/>
  <c r="G152" i="17"/>
  <c r="G150" i="17" s="1"/>
  <c r="E152" i="17"/>
  <c r="R151" i="17"/>
  <c r="M151" i="17"/>
  <c r="H151" i="17"/>
  <c r="Q150" i="17"/>
  <c r="R148" i="17"/>
  <c r="M148" i="17"/>
  <c r="H148" i="17"/>
  <c r="R146" i="17"/>
  <c r="M146" i="17"/>
  <c r="H146" i="17"/>
  <c r="R145" i="17"/>
  <c r="M145" i="17"/>
  <c r="H145" i="17"/>
  <c r="R144" i="17"/>
  <c r="M144" i="17"/>
  <c r="H144" i="17"/>
  <c r="Q143" i="17"/>
  <c r="O143" i="17"/>
  <c r="L143" i="17"/>
  <c r="J143" i="17"/>
  <c r="G143" i="17"/>
  <c r="E143" i="17"/>
  <c r="R142" i="17"/>
  <c r="M142" i="17"/>
  <c r="H142" i="17"/>
  <c r="R141" i="17"/>
  <c r="M141" i="17"/>
  <c r="H141" i="17"/>
  <c r="R140" i="17"/>
  <c r="M140" i="17"/>
  <c r="H140" i="17"/>
  <c r="Q139" i="17"/>
  <c r="O139" i="17"/>
  <c r="L139" i="17"/>
  <c r="J139" i="17"/>
  <c r="G139" i="17"/>
  <c r="E139" i="17"/>
  <c r="R138" i="17"/>
  <c r="M138" i="17"/>
  <c r="H138" i="17"/>
  <c r="R137" i="17"/>
  <c r="M137" i="17"/>
  <c r="H137" i="17"/>
  <c r="R136" i="17"/>
  <c r="M136" i="17"/>
  <c r="H136" i="17"/>
  <c r="Q135" i="17"/>
  <c r="O135" i="17"/>
  <c r="O133" i="17" s="1"/>
  <c r="L135" i="17"/>
  <c r="L133" i="17" s="1"/>
  <c r="J135" i="17"/>
  <c r="J133" i="17" s="1"/>
  <c r="G135" i="17"/>
  <c r="G133" i="17" s="1"/>
  <c r="E135" i="17"/>
  <c r="E133" i="17" s="1"/>
  <c r="R134" i="17"/>
  <c r="M134" i="17"/>
  <c r="H134" i="17"/>
  <c r="Q133" i="17"/>
  <c r="R131" i="17"/>
  <c r="M131" i="17"/>
  <c r="H131" i="17"/>
  <c r="R130" i="17"/>
  <c r="M130" i="17"/>
  <c r="H130" i="17"/>
  <c r="Q129" i="17"/>
  <c r="O129" i="17"/>
  <c r="L129" i="17"/>
  <c r="J129" i="17"/>
  <c r="G129" i="17"/>
  <c r="E129" i="17"/>
  <c r="R128" i="17"/>
  <c r="M128" i="17"/>
  <c r="H128" i="17"/>
  <c r="R127" i="17"/>
  <c r="M127" i="17"/>
  <c r="H127" i="17"/>
  <c r="Q126" i="17"/>
  <c r="O126" i="17"/>
  <c r="L126" i="17"/>
  <c r="J126" i="17"/>
  <c r="G126" i="17"/>
  <c r="E126" i="17"/>
  <c r="R125" i="17"/>
  <c r="M125" i="17"/>
  <c r="H125" i="17"/>
  <c r="R124" i="17"/>
  <c r="M124" i="17"/>
  <c r="H124" i="17"/>
  <c r="R123" i="17"/>
  <c r="M123" i="17"/>
  <c r="H123" i="17"/>
  <c r="R122" i="17"/>
  <c r="M122" i="17"/>
  <c r="H122" i="17"/>
  <c r="Q121" i="17"/>
  <c r="O121" i="17"/>
  <c r="L121" i="17"/>
  <c r="J121" i="17"/>
  <c r="M121" i="17" s="1"/>
  <c r="G121" i="17"/>
  <c r="E121" i="17"/>
  <c r="R118" i="17"/>
  <c r="M118" i="17"/>
  <c r="H118" i="17"/>
  <c r="R117" i="17"/>
  <c r="M117" i="17"/>
  <c r="H117" i="17"/>
  <c r="Q116" i="17"/>
  <c r="O116" i="17"/>
  <c r="L116" i="17"/>
  <c r="J116" i="17"/>
  <c r="G116" i="17"/>
  <c r="E116" i="17"/>
  <c r="R115" i="17"/>
  <c r="M115" i="17"/>
  <c r="H115" i="17"/>
  <c r="R114" i="17"/>
  <c r="M114" i="17"/>
  <c r="H114" i="17"/>
  <c r="R113" i="17"/>
  <c r="M113" i="17"/>
  <c r="H113" i="17"/>
  <c r="R112" i="17"/>
  <c r="M112" i="17"/>
  <c r="H112" i="17"/>
  <c r="Q111" i="17"/>
  <c r="Q110" i="17" s="1"/>
  <c r="O111" i="17"/>
  <c r="O110" i="17" s="1"/>
  <c r="R110" i="17" s="1"/>
  <c r="L111" i="17"/>
  <c r="L110" i="17" s="1"/>
  <c r="J111" i="17"/>
  <c r="J110" i="17" s="1"/>
  <c r="G111" i="17"/>
  <c r="E111" i="17"/>
  <c r="E110" i="17" s="1"/>
  <c r="R109" i="17"/>
  <c r="M109" i="17"/>
  <c r="H109" i="17"/>
  <c r="R108" i="17"/>
  <c r="M108" i="17"/>
  <c r="H108" i="17"/>
  <c r="R107" i="17"/>
  <c r="M107" i="17"/>
  <c r="H107" i="17"/>
  <c r="Q106" i="17"/>
  <c r="Q105" i="17" s="1"/>
  <c r="O106" i="17"/>
  <c r="O105" i="17" s="1"/>
  <c r="L106" i="17"/>
  <c r="L105" i="17" s="1"/>
  <c r="J106" i="17"/>
  <c r="J105" i="17" s="1"/>
  <c r="M105" i="17" s="1"/>
  <c r="G106" i="17"/>
  <c r="E106" i="17"/>
  <c r="E105" i="17" s="1"/>
  <c r="R104" i="17"/>
  <c r="M104" i="17"/>
  <c r="H104" i="17"/>
  <c r="R103" i="17"/>
  <c r="M103" i="17"/>
  <c r="H103" i="17"/>
  <c r="R102" i="17"/>
  <c r="M102" i="17"/>
  <c r="H102" i="17"/>
  <c r="Q101" i="17"/>
  <c r="Q100" i="17" s="1"/>
  <c r="Q99" i="17" s="1"/>
  <c r="O101" i="17"/>
  <c r="L101" i="17"/>
  <c r="J101" i="17"/>
  <c r="J100" i="17" s="1"/>
  <c r="J99" i="17" s="1"/>
  <c r="G101" i="17"/>
  <c r="G100" i="17" s="1"/>
  <c r="G99" i="17" s="1"/>
  <c r="E101" i="17"/>
  <c r="L100" i="17"/>
  <c r="L99" i="17" s="1"/>
  <c r="R97" i="17"/>
  <c r="M97" i="17"/>
  <c r="H97" i="17"/>
  <c r="R96" i="17"/>
  <c r="M96" i="17"/>
  <c r="H96" i="17"/>
  <c r="R95" i="17"/>
  <c r="M95" i="17"/>
  <c r="H95" i="17"/>
  <c r="R93" i="17"/>
  <c r="M93" i="17"/>
  <c r="H93" i="17"/>
  <c r="R92" i="17"/>
  <c r="M92" i="17"/>
  <c r="H92" i="17"/>
  <c r="R91" i="17"/>
  <c r="M91" i="17"/>
  <c r="H91" i="17"/>
  <c r="R90" i="17"/>
  <c r="M90" i="17"/>
  <c r="H90" i="17"/>
  <c r="Q89" i="17"/>
  <c r="O89" i="17"/>
  <c r="L89" i="17"/>
  <c r="J89" i="17"/>
  <c r="G89" i="17"/>
  <c r="E89" i="17"/>
  <c r="R88" i="17"/>
  <c r="M88" i="17"/>
  <c r="H88" i="17"/>
  <c r="R87" i="17"/>
  <c r="M87" i="17"/>
  <c r="H87" i="17"/>
  <c r="R86" i="17"/>
  <c r="M86" i="17"/>
  <c r="H86" i="17"/>
  <c r="Q85" i="17"/>
  <c r="O85" i="17"/>
  <c r="R85" i="17" s="1"/>
  <c r="L85" i="17"/>
  <c r="J85" i="17"/>
  <c r="G85" i="17"/>
  <c r="E85" i="17"/>
  <c r="R84" i="17"/>
  <c r="M84" i="17"/>
  <c r="H84" i="17"/>
  <c r="R83" i="17"/>
  <c r="M83" i="17"/>
  <c r="H83" i="17"/>
  <c r="Q82" i="17"/>
  <c r="O82" i="17"/>
  <c r="R82" i="17" s="1"/>
  <c r="L82" i="17"/>
  <c r="J82" i="17"/>
  <c r="G82" i="17"/>
  <c r="E82" i="17"/>
  <c r="R79" i="17"/>
  <c r="M79" i="17"/>
  <c r="H79" i="17"/>
  <c r="R78" i="17"/>
  <c r="M78" i="17"/>
  <c r="H78" i="17"/>
  <c r="R77" i="17"/>
  <c r="M77" i="17"/>
  <c r="H77" i="17"/>
  <c r="Q76" i="17"/>
  <c r="O76" i="17"/>
  <c r="L76" i="17"/>
  <c r="J76" i="17"/>
  <c r="G76" i="17"/>
  <c r="E76" i="17"/>
  <c r="R75" i="17"/>
  <c r="M75" i="17"/>
  <c r="H75" i="17"/>
  <c r="R74" i="17"/>
  <c r="M74" i="17"/>
  <c r="H74" i="17"/>
  <c r="R73" i="17"/>
  <c r="M73" i="17"/>
  <c r="H73" i="17"/>
  <c r="Q72" i="17"/>
  <c r="O72" i="17"/>
  <c r="L72" i="17"/>
  <c r="J72" i="17"/>
  <c r="G72" i="17"/>
  <c r="E72" i="17"/>
  <c r="R71" i="17"/>
  <c r="M71" i="17"/>
  <c r="H71" i="17"/>
  <c r="R70" i="17"/>
  <c r="M70" i="17"/>
  <c r="H70" i="17"/>
  <c r="R69" i="17"/>
  <c r="M69" i="17"/>
  <c r="H69" i="17"/>
  <c r="Q68" i="17"/>
  <c r="Q66" i="17" s="1"/>
  <c r="O68" i="17"/>
  <c r="L68" i="17"/>
  <c r="J68" i="17"/>
  <c r="G68" i="17"/>
  <c r="E68" i="17"/>
  <c r="R67" i="17"/>
  <c r="M67" i="17"/>
  <c r="H67" i="17"/>
  <c r="O66" i="17"/>
  <c r="L66" i="17"/>
  <c r="J66" i="17"/>
  <c r="G66" i="17"/>
  <c r="R64" i="17"/>
  <c r="M64" i="17"/>
  <c r="H64" i="17"/>
  <c r="R62" i="17"/>
  <c r="M62" i="17"/>
  <c r="H62" i="17"/>
  <c r="R61" i="17"/>
  <c r="M61" i="17"/>
  <c r="H61" i="17"/>
  <c r="R60" i="17"/>
  <c r="M60" i="17"/>
  <c r="H60" i="17"/>
  <c r="Q59" i="17"/>
  <c r="O59" i="17"/>
  <c r="L59" i="17"/>
  <c r="J59" i="17"/>
  <c r="G59" i="17"/>
  <c r="E59" i="17"/>
  <c r="R58" i="17"/>
  <c r="M58" i="17"/>
  <c r="H58" i="17"/>
  <c r="R57" i="17"/>
  <c r="M57" i="17"/>
  <c r="H57" i="17"/>
  <c r="R56" i="17"/>
  <c r="M56" i="17"/>
  <c r="H56" i="17"/>
  <c r="Q55" i="17"/>
  <c r="O55" i="17"/>
  <c r="L55" i="17"/>
  <c r="J55" i="17"/>
  <c r="G55" i="17"/>
  <c r="E55" i="17"/>
  <c r="R54" i="17"/>
  <c r="M54" i="17"/>
  <c r="H54" i="17"/>
  <c r="R53" i="17"/>
  <c r="M53" i="17"/>
  <c r="H53" i="17"/>
  <c r="R52" i="17"/>
  <c r="M52" i="17"/>
  <c r="H52" i="17"/>
  <c r="Q51" i="17"/>
  <c r="Q49" i="17" s="1"/>
  <c r="O51" i="17"/>
  <c r="R51" i="17" s="1"/>
  <c r="L51" i="17"/>
  <c r="L49" i="17" s="1"/>
  <c r="J51" i="17"/>
  <c r="G51" i="17"/>
  <c r="G49" i="17" s="1"/>
  <c r="E51" i="17"/>
  <c r="E49" i="17" s="1"/>
  <c r="R50" i="17"/>
  <c r="M50" i="17"/>
  <c r="H50" i="17"/>
  <c r="J49" i="17"/>
  <c r="R47" i="17"/>
  <c r="M47" i="17"/>
  <c r="H47" i="17"/>
  <c r="R46" i="17"/>
  <c r="M46" i="17"/>
  <c r="H46" i="17"/>
  <c r="Q45" i="17"/>
  <c r="O45" i="17"/>
  <c r="R45" i="17" s="1"/>
  <c r="L45" i="17"/>
  <c r="J45" i="17"/>
  <c r="G45" i="17"/>
  <c r="E45" i="17"/>
  <c r="R44" i="17"/>
  <c r="M44" i="17"/>
  <c r="H44" i="17"/>
  <c r="R43" i="17"/>
  <c r="M43" i="17"/>
  <c r="H43" i="17"/>
  <c r="Q42" i="17"/>
  <c r="O42" i="17"/>
  <c r="L42" i="17"/>
  <c r="J42" i="17"/>
  <c r="G42" i="17"/>
  <c r="E42" i="17"/>
  <c r="H42" i="17" s="1"/>
  <c r="R41" i="17"/>
  <c r="M41" i="17"/>
  <c r="H41" i="17"/>
  <c r="R40" i="17"/>
  <c r="M40" i="17"/>
  <c r="H40" i="17"/>
  <c r="R39" i="17"/>
  <c r="M39" i="17"/>
  <c r="H39" i="17"/>
  <c r="R38" i="17"/>
  <c r="M38" i="17"/>
  <c r="H38" i="17"/>
  <c r="Q37" i="17"/>
  <c r="O37" i="17"/>
  <c r="L37" i="17"/>
  <c r="J37" i="17"/>
  <c r="M37" i="17" s="1"/>
  <c r="G37" i="17"/>
  <c r="H37" i="17" s="1"/>
  <c r="E37" i="17"/>
  <c r="R34" i="17"/>
  <c r="M34" i="17"/>
  <c r="H34" i="17"/>
  <c r="R33" i="17"/>
  <c r="M33" i="17"/>
  <c r="H33" i="17"/>
  <c r="Q32" i="17"/>
  <c r="O32" i="17"/>
  <c r="L32" i="17"/>
  <c r="J32" i="17"/>
  <c r="G32" i="17"/>
  <c r="E32" i="17"/>
  <c r="R31" i="17"/>
  <c r="M31" i="17"/>
  <c r="H31" i="17"/>
  <c r="R30" i="17"/>
  <c r="M30" i="17"/>
  <c r="H30" i="17"/>
  <c r="R29" i="17"/>
  <c r="M29" i="17"/>
  <c r="H29" i="17"/>
  <c r="R28" i="17"/>
  <c r="M28" i="17"/>
  <c r="H28" i="17"/>
  <c r="Q27" i="17"/>
  <c r="Q26" i="17" s="1"/>
  <c r="O27" i="17"/>
  <c r="O26" i="17" s="1"/>
  <c r="L27" i="17"/>
  <c r="L26" i="17" s="1"/>
  <c r="J27" i="17"/>
  <c r="J26" i="17" s="1"/>
  <c r="G27" i="17"/>
  <c r="G26" i="17" s="1"/>
  <c r="E27" i="17"/>
  <c r="R25" i="17"/>
  <c r="M25" i="17"/>
  <c r="H25" i="17"/>
  <c r="R24" i="17"/>
  <c r="M24" i="17"/>
  <c r="H24" i="17"/>
  <c r="R23" i="17"/>
  <c r="M23" i="17"/>
  <c r="H23" i="17"/>
  <c r="Q22" i="17"/>
  <c r="Q21" i="17" s="1"/>
  <c r="O22" i="17"/>
  <c r="O21" i="17" s="1"/>
  <c r="L22" i="17"/>
  <c r="J22" i="17"/>
  <c r="G22" i="17"/>
  <c r="G21" i="17" s="1"/>
  <c r="E22" i="17"/>
  <c r="L21" i="17"/>
  <c r="R20" i="17"/>
  <c r="M20" i="17"/>
  <c r="H20" i="17"/>
  <c r="R19" i="17"/>
  <c r="M19" i="17"/>
  <c r="H19" i="17"/>
  <c r="R18" i="17"/>
  <c r="M18" i="17"/>
  <c r="H18" i="17"/>
  <c r="Q17" i="17"/>
  <c r="Q16" i="17" s="1"/>
  <c r="Q15" i="17" s="1"/>
  <c r="Q14" i="17" s="1"/>
  <c r="O17" i="17"/>
  <c r="L17" i="17"/>
  <c r="L16" i="17" s="1"/>
  <c r="L15" i="17" s="1"/>
  <c r="L14" i="17" s="1"/>
  <c r="L10" i="17" s="1"/>
  <c r="J17" i="17"/>
  <c r="G17" i="17"/>
  <c r="G16" i="17" s="1"/>
  <c r="G15" i="17" s="1"/>
  <c r="E17" i="17"/>
  <c r="E16" i="17" s="1"/>
  <c r="E15" i="17" s="1"/>
  <c r="R13" i="17"/>
  <c r="M13" i="17"/>
  <c r="H13" i="17"/>
  <c r="R12" i="17"/>
  <c r="M12" i="17"/>
  <c r="H12" i="17"/>
  <c r="R11" i="17"/>
  <c r="M11" i="17"/>
  <c r="H11" i="17"/>
  <c r="M36" i="170"/>
  <c r="R260" i="54"/>
  <c r="M260" i="54"/>
  <c r="H260" i="54"/>
  <c r="R259" i="54"/>
  <c r="M259" i="54"/>
  <c r="H259" i="54"/>
  <c r="R258" i="54"/>
  <c r="M258" i="54"/>
  <c r="H258" i="54"/>
  <c r="Q257" i="54"/>
  <c r="O257" i="54"/>
  <c r="L257" i="54"/>
  <c r="J257" i="54"/>
  <c r="M257" i="54" s="1"/>
  <c r="G257" i="54"/>
  <c r="E257" i="54"/>
  <c r="H257" i="54" s="1"/>
  <c r="R256" i="54"/>
  <c r="M256" i="54"/>
  <c r="H256" i="54"/>
  <c r="R255" i="54"/>
  <c r="M255" i="54"/>
  <c r="H255" i="54"/>
  <c r="R254" i="54"/>
  <c r="M254" i="54"/>
  <c r="H254" i="54"/>
  <c r="Q253" i="54"/>
  <c r="O253" i="54"/>
  <c r="R253" i="54" s="1"/>
  <c r="L253" i="54"/>
  <c r="J253" i="54"/>
  <c r="G253" i="54"/>
  <c r="E253" i="54"/>
  <c r="R252" i="54"/>
  <c r="M252" i="54"/>
  <c r="H252" i="54"/>
  <c r="R251" i="54"/>
  <c r="M251" i="54"/>
  <c r="H251" i="54"/>
  <c r="Q250" i="54"/>
  <c r="O250" i="54"/>
  <c r="R250" i="54" s="1"/>
  <c r="L250" i="54"/>
  <c r="J250" i="54"/>
  <c r="G250" i="54"/>
  <c r="E250" i="54"/>
  <c r="H250" i="54" s="1"/>
  <c r="R247" i="54"/>
  <c r="M247" i="54"/>
  <c r="H247" i="54"/>
  <c r="R246" i="54"/>
  <c r="M246" i="54"/>
  <c r="H246" i="54"/>
  <c r="R245" i="54"/>
  <c r="M245" i="54"/>
  <c r="H245" i="54"/>
  <c r="Q244" i="54"/>
  <c r="R244" i="54" s="1"/>
  <c r="O244" i="54"/>
  <c r="L244" i="54"/>
  <c r="J244" i="54"/>
  <c r="G244" i="54"/>
  <c r="E244" i="54"/>
  <c r="R243" i="54"/>
  <c r="M243" i="54"/>
  <c r="H243" i="54"/>
  <c r="R242" i="54"/>
  <c r="M242" i="54"/>
  <c r="H242" i="54"/>
  <c r="R241" i="54"/>
  <c r="M241" i="54"/>
  <c r="H241" i="54"/>
  <c r="Q240" i="54"/>
  <c r="O240" i="54"/>
  <c r="L240" i="54"/>
  <c r="J240" i="54"/>
  <c r="M240" i="54" s="1"/>
  <c r="G240" i="54"/>
  <c r="E240" i="54"/>
  <c r="R239" i="54"/>
  <c r="M239" i="54"/>
  <c r="H239" i="54"/>
  <c r="R238" i="54"/>
  <c r="M238" i="54"/>
  <c r="H238" i="54"/>
  <c r="R237" i="54"/>
  <c r="M237" i="54"/>
  <c r="H237" i="54"/>
  <c r="Q236" i="54"/>
  <c r="O236" i="54"/>
  <c r="L236" i="54"/>
  <c r="J236" i="54"/>
  <c r="G236" i="54"/>
  <c r="E236" i="54"/>
  <c r="R235" i="54"/>
  <c r="M235" i="54"/>
  <c r="H235" i="54"/>
  <c r="O234" i="54"/>
  <c r="L234" i="54"/>
  <c r="J234" i="54"/>
  <c r="G234" i="54"/>
  <c r="R232" i="54"/>
  <c r="M232" i="54"/>
  <c r="H232" i="54"/>
  <c r="R230" i="54"/>
  <c r="M230" i="54"/>
  <c r="H230" i="54"/>
  <c r="R229" i="54"/>
  <c r="M229" i="54"/>
  <c r="H229" i="54"/>
  <c r="R228" i="54"/>
  <c r="M228" i="54"/>
  <c r="H228" i="54"/>
  <c r="Q227" i="54"/>
  <c r="O227" i="54"/>
  <c r="L227" i="54"/>
  <c r="J227" i="54"/>
  <c r="M227" i="54" s="1"/>
  <c r="G227" i="54"/>
  <c r="H227" i="54" s="1"/>
  <c r="E227" i="54"/>
  <c r="R226" i="54"/>
  <c r="M226" i="54"/>
  <c r="H226" i="54"/>
  <c r="R225" i="54"/>
  <c r="M225" i="54"/>
  <c r="H225" i="54"/>
  <c r="R224" i="54"/>
  <c r="M224" i="54"/>
  <c r="H224" i="54"/>
  <c r="Q223" i="54"/>
  <c r="O223" i="54"/>
  <c r="L223" i="54"/>
  <c r="J223" i="54"/>
  <c r="G223" i="54"/>
  <c r="E223" i="54"/>
  <c r="R222" i="54"/>
  <c r="M222" i="54"/>
  <c r="H222" i="54"/>
  <c r="R221" i="54"/>
  <c r="M221" i="54"/>
  <c r="H221" i="54"/>
  <c r="R220" i="54"/>
  <c r="M220" i="54"/>
  <c r="H220" i="54"/>
  <c r="Q219" i="54"/>
  <c r="O219" i="54"/>
  <c r="L219" i="54"/>
  <c r="J219" i="54"/>
  <c r="G219" i="54"/>
  <c r="G217" i="54" s="1"/>
  <c r="E219" i="54"/>
  <c r="H219" i="54" s="1"/>
  <c r="R218" i="54"/>
  <c r="M218" i="54"/>
  <c r="H218" i="54"/>
  <c r="Q217" i="54"/>
  <c r="L217" i="54"/>
  <c r="R215" i="54"/>
  <c r="M215" i="54"/>
  <c r="H215" i="54"/>
  <c r="R214" i="54"/>
  <c r="M214" i="54"/>
  <c r="H214" i="54"/>
  <c r="Q213" i="54"/>
  <c r="O213" i="54"/>
  <c r="L213" i="54"/>
  <c r="J213" i="54"/>
  <c r="G213" i="54"/>
  <c r="E213" i="54"/>
  <c r="H213" i="54" s="1"/>
  <c r="R212" i="54"/>
  <c r="M212" i="54"/>
  <c r="H212" i="54"/>
  <c r="R211" i="54"/>
  <c r="M211" i="54"/>
  <c r="H211" i="54"/>
  <c r="Q210" i="54"/>
  <c r="O210" i="54"/>
  <c r="R210" i="54" s="1"/>
  <c r="L210" i="54"/>
  <c r="J210" i="54"/>
  <c r="G210" i="54"/>
  <c r="E210" i="54"/>
  <c r="H210" i="54" s="1"/>
  <c r="R209" i="54"/>
  <c r="M209" i="54"/>
  <c r="H209" i="54"/>
  <c r="R208" i="54"/>
  <c r="M208" i="54"/>
  <c r="H208" i="54"/>
  <c r="R207" i="54"/>
  <c r="M207" i="54"/>
  <c r="H207" i="54"/>
  <c r="R206" i="54"/>
  <c r="M206" i="54"/>
  <c r="H206" i="54"/>
  <c r="Q205" i="54"/>
  <c r="O205" i="54"/>
  <c r="L205" i="54"/>
  <c r="J205" i="54"/>
  <c r="M205" i="54" s="1"/>
  <c r="G205" i="54"/>
  <c r="E205" i="54"/>
  <c r="R202" i="54"/>
  <c r="M202" i="54"/>
  <c r="H202" i="54"/>
  <c r="R201" i="54"/>
  <c r="M201" i="54"/>
  <c r="H201" i="54"/>
  <c r="Q200" i="54"/>
  <c r="O200" i="54"/>
  <c r="L200" i="54"/>
  <c r="J200" i="54"/>
  <c r="G200" i="54"/>
  <c r="E200" i="54"/>
  <c r="H200" i="54" s="1"/>
  <c r="R199" i="54"/>
  <c r="M199" i="54"/>
  <c r="H199" i="54"/>
  <c r="R198" i="54"/>
  <c r="M198" i="54"/>
  <c r="H198" i="54"/>
  <c r="R197" i="54"/>
  <c r="M197" i="54"/>
  <c r="H197" i="54"/>
  <c r="R196" i="54"/>
  <c r="M196" i="54"/>
  <c r="H196" i="54"/>
  <c r="Q195" i="54"/>
  <c r="Q194" i="54" s="1"/>
  <c r="O195" i="54"/>
  <c r="R195" i="54" s="1"/>
  <c r="L195" i="54"/>
  <c r="L194" i="54" s="1"/>
  <c r="J195" i="54"/>
  <c r="J194" i="54" s="1"/>
  <c r="G195" i="54"/>
  <c r="G194" i="54" s="1"/>
  <c r="E195" i="54"/>
  <c r="R193" i="54"/>
  <c r="M193" i="54"/>
  <c r="H193" i="54"/>
  <c r="R192" i="54"/>
  <c r="M192" i="54"/>
  <c r="H192" i="54"/>
  <c r="R191" i="54"/>
  <c r="M191" i="54"/>
  <c r="H191" i="54"/>
  <c r="Q190" i="54"/>
  <c r="O190" i="54"/>
  <c r="O189" i="54" s="1"/>
  <c r="L190" i="54"/>
  <c r="L189" i="54" s="1"/>
  <c r="J190" i="54"/>
  <c r="G190" i="54"/>
  <c r="G189" i="54" s="1"/>
  <c r="E190" i="54"/>
  <c r="R188" i="54"/>
  <c r="M188" i="54"/>
  <c r="H188" i="54"/>
  <c r="R187" i="54"/>
  <c r="M187" i="54"/>
  <c r="H187" i="54"/>
  <c r="R186" i="54"/>
  <c r="M186" i="54"/>
  <c r="H186" i="54"/>
  <c r="Q185" i="54"/>
  <c r="Q184" i="54" s="1"/>
  <c r="Q183" i="54" s="1"/>
  <c r="O185" i="54"/>
  <c r="L185" i="54"/>
  <c r="J185" i="54"/>
  <c r="G185" i="54"/>
  <c r="G184" i="54" s="1"/>
  <c r="G183" i="54" s="1"/>
  <c r="E185" i="54"/>
  <c r="L184" i="54"/>
  <c r="L183" i="54" s="1"/>
  <c r="R181" i="54"/>
  <c r="M181" i="54"/>
  <c r="H181" i="54"/>
  <c r="R180" i="54"/>
  <c r="M180" i="54"/>
  <c r="H180" i="54"/>
  <c r="R179" i="54"/>
  <c r="M179" i="54"/>
  <c r="H179" i="54"/>
  <c r="R177" i="54"/>
  <c r="M177" i="54"/>
  <c r="H177" i="54"/>
  <c r="R176" i="54"/>
  <c r="M176" i="54"/>
  <c r="H176" i="54"/>
  <c r="R175" i="54"/>
  <c r="M175" i="54"/>
  <c r="H175" i="54"/>
  <c r="R174" i="54"/>
  <c r="M174" i="54"/>
  <c r="H174" i="54"/>
  <c r="Q173" i="54"/>
  <c r="O173" i="54"/>
  <c r="L173" i="54"/>
  <c r="J173" i="54"/>
  <c r="G173" i="54"/>
  <c r="E173" i="54"/>
  <c r="R172" i="54"/>
  <c r="M172" i="54"/>
  <c r="H172" i="54"/>
  <c r="R171" i="54"/>
  <c r="M171" i="54"/>
  <c r="H171" i="54"/>
  <c r="R170" i="54"/>
  <c r="M170" i="54"/>
  <c r="H170" i="54"/>
  <c r="Q169" i="54"/>
  <c r="O169" i="54"/>
  <c r="L169" i="54"/>
  <c r="J169" i="54"/>
  <c r="G169" i="54"/>
  <c r="E169" i="54"/>
  <c r="R168" i="54"/>
  <c r="M168" i="54"/>
  <c r="H168" i="54"/>
  <c r="R167" i="54"/>
  <c r="M167" i="54"/>
  <c r="H167" i="54"/>
  <c r="Q166" i="54"/>
  <c r="O166" i="54"/>
  <c r="L166" i="54"/>
  <c r="J166" i="54"/>
  <c r="G166" i="54"/>
  <c r="E166" i="54"/>
  <c r="R163" i="54"/>
  <c r="M163" i="54"/>
  <c r="H163" i="54"/>
  <c r="R162" i="54"/>
  <c r="M162" i="54"/>
  <c r="H162" i="54"/>
  <c r="R161" i="54"/>
  <c r="M161" i="54"/>
  <c r="H161" i="54"/>
  <c r="Q160" i="54"/>
  <c r="O160" i="54"/>
  <c r="L160" i="54"/>
  <c r="J160" i="54"/>
  <c r="G160" i="54"/>
  <c r="E160" i="54"/>
  <c r="R159" i="54"/>
  <c r="M159" i="54"/>
  <c r="H159" i="54"/>
  <c r="R158" i="54"/>
  <c r="M158" i="54"/>
  <c r="H158" i="54"/>
  <c r="R157" i="54"/>
  <c r="M157" i="54"/>
  <c r="H157" i="54"/>
  <c r="Q156" i="54"/>
  <c r="O156" i="54"/>
  <c r="L156" i="54"/>
  <c r="J156" i="54"/>
  <c r="G156" i="54"/>
  <c r="E156" i="54"/>
  <c r="R155" i="54"/>
  <c r="M155" i="54"/>
  <c r="H155" i="54"/>
  <c r="R154" i="54"/>
  <c r="M154" i="54"/>
  <c r="H154" i="54"/>
  <c r="R153" i="54"/>
  <c r="M153" i="54"/>
  <c r="H153" i="54"/>
  <c r="Q152" i="54"/>
  <c r="Q150" i="54" s="1"/>
  <c r="O152" i="54"/>
  <c r="L152" i="54"/>
  <c r="L150" i="54" s="1"/>
  <c r="J152" i="54"/>
  <c r="J150" i="54" s="1"/>
  <c r="G152" i="54"/>
  <c r="G150" i="54" s="1"/>
  <c r="E152" i="54"/>
  <c r="E150" i="54" s="1"/>
  <c r="R151" i="54"/>
  <c r="M151" i="54"/>
  <c r="H151" i="54"/>
  <c r="R148" i="54"/>
  <c r="M148" i="54"/>
  <c r="H148" i="54"/>
  <c r="R146" i="54"/>
  <c r="M146" i="54"/>
  <c r="H146" i="54"/>
  <c r="R145" i="54"/>
  <c r="M145" i="54"/>
  <c r="H145" i="54"/>
  <c r="R144" i="54"/>
  <c r="M144" i="54"/>
  <c r="H144" i="54"/>
  <c r="Q143" i="54"/>
  <c r="O143" i="54"/>
  <c r="L143" i="54"/>
  <c r="J143" i="54"/>
  <c r="G143" i="54"/>
  <c r="E143" i="54"/>
  <c r="R142" i="54"/>
  <c r="M142" i="54"/>
  <c r="H142" i="54"/>
  <c r="R141" i="54"/>
  <c r="M141" i="54"/>
  <c r="H141" i="54"/>
  <c r="R140" i="54"/>
  <c r="M140" i="54"/>
  <c r="H140" i="54"/>
  <c r="Q139" i="54"/>
  <c r="O139" i="54"/>
  <c r="L139" i="54"/>
  <c r="J139" i="54"/>
  <c r="M139" i="54" s="1"/>
  <c r="G139" i="54"/>
  <c r="E139" i="54"/>
  <c r="R138" i="54"/>
  <c r="M138" i="54"/>
  <c r="H138" i="54"/>
  <c r="R137" i="54"/>
  <c r="M137" i="54"/>
  <c r="H137" i="54"/>
  <c r="R136" i="54"/>
  <c r="M136" i="54"/>
  <c r="H136" i="54"/>
  <c r="Q135" i="54"/>
  <c r="Q133" i="54" s="1"/>
  <c r="O135" i="54"/>
  <c r="L135" i="54"/>
  <c r="L133" i="54" s="1"/>
  <c r="J135" i="54"/>
  <c r="J133" i="54" s="1"/>
  <c r="G135" i="54"/>
  <c r="G133" i="54" s="1"/>
  <c r="E135" i="54"/>
  <c r="E133" i="54" s="1"/>
  <c r="R134" i="54"/>
  <c r="M134" i="54"/>
  <c r="H134" i="54"/>
  <c r="O133" i="54"/>
  <c r="R131" i="54"/>
  <c r="M131" i="54"/>
  <c r="H131" i="54"/>
  <c r="R130" i="54"/>
  <c r="M130" i="54"/>
  <c r="H130" i="54"/>
  <c r="Q129" i="54"/>
  <c r="R129" i="54" s="1"/>
  <c r="O129" i="54"/>
  <c r="L129" i="54"/>
  <c r="J129" i="54"/>
  <c r="G129" i="54"/>
  <c r="E129" i="54"/>
  <c r="R128" i="54"/>
  <c r="M128" i="54"/>
  <c r="H128" i="54"/>
  <c r="R127" i="54"/>
  <c r="M127" i="54"/>
  <c r="H127" i="54"/>
  <c r="Q126" i="54"/>
  <c r="O126" i="54"/>
  <c r="L126" i="54"/>
  <c r="J126" i="54"/>
  <c r="G126" i="54"/>
  <c r="E126" i="54"/>
  <c r="R125" i="54"/>
  <c r="M125" i="54"/>
  <c r="H125" i="54"/>
  <c r="R124" i="54"/>
  <c r="M124" i="54"/>
  <c r="H124" i="54"/>
  <c r="R123" i="54"/>
  <c r="M123" i="54"/>
  <c r="H123" i="54"/>
  <c r="R122" i="54"/>
  <c r="M122" i="54"/>
  <c r="H122" i="54"/>
  <c r="Q121" i="54"/>
  <c r="O121" i="54"/>
  <c r="L121" i="54"/>
  <c r="J121" i="54"/>
  <c r="G121" i="54"/>
  <c r="E121" i="54"/>
  <c r="R118" i="54"/>
  <c r="M118" i="54"/>
  <c r="H118" i="54"/>
  <c r="R117" i="54"/>
  <c r="M117" i="54"/>
  <c r="H117" i="54"/>
  <c r="Q116" i="54"/>
  <c r="O116" i="54"/>
  <c r="L116" i="54"/>
  <c r="J116" i="54"/>
  <c r="G116" i="54"/>
  <c r="E116" i="54"/>
  <c r="R115" i="54"/>
  <c r="M115" i="54"/>
  <c r="H115" i="54"/>
  <c r="R114" i="54"/>
  <c r="M114" i="54"/>
  <c r="H114" i="54"/>
  <c r="R113" i="54"/>
  <c r="M113" i="54"/>
  <c r="H113" i="54"/>
  <c r="R112" i="54"/>
  <c r="M112" i="54"/>
  <c r="H112" i="54"/>
  <c r="Q111" i="54"/>
  <c r="Q110" i="54" s="1"/>
  <c r="O111" i="54"/>
  <c r="O110" i="54" s="1"/>
  <c r="L111" i="54"/>
  <c r="L110" i="54" s="1"/>
  <c r="J111" i="54"/>
  <c r="J110" i="54" s="1"/>
  <c r="G111" i="54"/>
  <c r="E111" i="54"/>
  <c r="E110" i="54" s="1"/>
  <c r="R109" i="54"/>
  <c r="M109" i="54"/>
  <c r="H109" i="54"/>
  <c r="R108" i="54"/>
  <c r="M108" i="54"/>
  <c r="H108" i="54"/>
  <c r="R107" i="54"/>
  <c r="M107" i="54"/>
  <c r="H107" i="54"/>
  <c r="Q106" i="54"/>
  <c r="Q105" i="54" s="1"/>
  <c r="O106" i="54"/>
  <c r="L106" i="54"/>
  <c r="L105" i="54" s="1"/>
  <c r="J106" i="54"/>
  <c r="J105" i="54" s="1"/>
  <c r="G106" i="54"/>
  <c r="G105" i="54" s="1"/>
  <c r="E106" i="54"/>
  <c r="E105" i="54" s="1"/>
  <c r="R104" i="54"/>
  <c r="M104" i="54"/>
  <c r="H104" i="54"/>
  <c r="R103" i="54"/>
  <c r="M103" i="54"/>
  <c r="H103" i="54"/>
  <c r="R102" i="54"/>
  <c r="M102" i="54"/>
  <c r="H102" i="54"/>
  <c r="Q101" i="54"/>
  <c r="Q100" i="54" s="1"/>
  <c r="Q99" i="54" s="1"/>
  <c r="O101" i="54"/>
  <c r="O100" i="54" s="1"/>
  <c r="L101" i="54"/>
  <c r="L100" i="54" s="1"/>
  <c r="L99" i="54" s="1"/>
  <c r="J101" i="54"/>
  <c r="J100" i="54" s="1"/>
  <c r="G101" i="54"/>
  <c r="G100" i="54" s="1"/>
  <c r="G99" i="54" s="1"/>
  <c r="E101" i="54"/>
  <c r="J99" i="54"/>
  <c r="R97" i="54"/>
  <c r="M97" i="54"/>
  <c r="H97" i="54"/>
  <c r="R96" i="54"/>
  <c r="M96" i="54"/>
  <c r="H96" i="54"/>
  <c r="R95" i="54"/>
  <c r="M95" i="54"/>
  <c r="H95" i="54"/>
  <c r="R93" i="54"/>
  <c r="M93" i="54"/>
  <c r="H93" i="54"/>
  <c r="R92" i="54"/>
  <c r="M92" i="54"/>
  <c r="H92" i="54"/>
  <c r="R91" i="54"/>
  <c r="M91" i="54"/>
  <c r="H91" i="54"/>
  <c r="R90" i="54"/>
  <c r="M90" i="54"/>
  <c r="H90" i="54"/>
  <c r="Q89" i="54"/>
  <c r="O89" i="54"/>
  <c r="L89" i="54"/>
  <c r="J89" i="54"/>
  <c r="G89" i="54"/>
  <c r="E89" i="54"/>
  <c r="R88" i="54"/>
  <c r="M88" i="54"/>
  <c r="H88" i="54"/>
  <c r="R87" i="54"/>
  <c r="M87" i="54"/>
  <c r="H87" i="54"/>
  <c r="R86" i="54"/>
  <c r="M86" i="54"/>
  <c r="H86" i="54"/>
  <c r="Q85" i="54"/>
  <c r="O85" i="54"/>
  <c r="R85" i="54" s="1"/>
  <c r="L85" i="54"/>
  <c r="J85" i="54"/>
  <c r="M85" i="54" s="1"/>
  <c r="G85" i="54"/>
  <c r="E85" i="54"/>
  <c r="R84" i="54"/>
  <c r="M84" i="54"/>
  <c r="H84" i="54"/>
  <c r="R83" i="54"/>
  <c r="M83" i="54"/>
  <c r="H83" i="54"/>
  <c r="Q82" i="54"/>
  <c r="Q81" i="54" s="1"/>
  <c r="O82" i="54"/>
  <c r="L82" i="54"/>
  <c r="J82" i="54"/>
  <c r="G82" i="54"/>
  <c r="G81" i="54" s="1"/>
  <c r="E82" i="54"/>
  <c r="R79" i="54"/>
  <c r="M79" i="54"/>
  <c r="H79" i="54"/>
  <c r="R78" i="54"/>
  <c r="M78" i="54"/>
  <c r="H78" i="54"/>
  <c r="R77" i="54"/>
  <c r="M77" i="54"/>
  <c r="H77" i="54"/>
  <c r="Q76" i="54"/>
  <c r="O76" i="54"/>
  <c r="R76" i="54" s="1"/>
  <c r="L76" i="54"/>
  <c r="J76" i="54"/>
  <c r="G76" i="54"/>
  <c r="E76" i="54"/>
  <c r="H76" i="54" s="1"/>
  <c r="R75" i="54"/>
  <c r="M75" i="54"/>
  <c r="H75" i="54"/>
  <c r="R74" i="54"/>
  <c r="M74" i="54"/>
  <c r="H74" i="54"/>
  <c r="R73" i="54"/>
  <c r="M73" i="54"/>
  <c r="H73" i="54"/>
  <c r="Q72" i="54"/>
  <c r="O72" i="54"/>
  <c r="L72" i="54"/>
  <c r="J72" i="54"/>
  <c r="G72" i="54"/>
  <c r="E72" i="54"/>
  <c r="R71" i="54"/>
  <c r="M71" i="54"/>
  <c r="H71" i="54"/>
  <c r="R70" i="54"/>
  <c r="M70" i="54"/>
  <c r="H70" i="54"/>
  <c r="R69" i="54"/>
  <c r="M69" i="54"/>
  <c r="H69" i="54"/>
  <c r="Q68" i="54"/>
  <c r="Q66" i="54" s="1"/>
  <c r="O68" i="54"/>
  <c r="L68" i="54"/>
  <c r="J68" i="54"/>
  <c r="G68" i="54"/>
  <c r="G66" i="54" s="1"/>
  <c r="E68" i="54"/>
  <c r="R67" i="54"/>
  <c r="M67" i="54"/>
  <c r="H67" i="54"/>
  <c r="O66" i="54"/>
  <c r="L66" i="54"/>
  <c r="E66" i="54"/>
  <c r="R64" i="54"/>
  <c r="M64" i="54"/>
  <c r="H64" i="54"/>
  <c r="R62" i="54"/>
  <c r="M62" i="54"/>
  <c r="H62" i="54"/>
  <c r="R61" i="54"/>
  <c r="M61" i="54"/>
  <c r="H61" i="54"/>
  <c r="R60" i="54"/>
  <c r="M60" i="54"/>
  <c r="H60" i="54"/>
  <c r="Q59" i="54"/>
  <c r="O59" i="54"/>
  <c r="L59" i="54"/>
  <c r="J59" i="54"/>
  <c r="M59" i="54" s="1"/>
  <c r="G59" i="54"/>
  <c r="E59" i="54"/>
  <c r="R58" i="54"/>
  <c r="M58" i="54"/>
  <c r="H58" i="54"/>
  <c r="R57" i="54"/>
  <c r="M57" i="54"/>
  <c r="H57" i="54"/>
  <c r="R56" i="54"/>
  <c r="M56" i="54"/>
  <c r="H56" i="54"/>
  <c r="Q55" i="54"/>
  <c r="R55" i="54" s="1"/>
  <c r="O55" i="54"/>
  <c r="L55" i="54"/>
  <c r="J55" i="54"/>
  <c r="G55" i="54"/>
  <c r="E55" i="54"/>
  <c r="R54" i="54"/>
  <c r="M54" i="54"/>
  <c r="H54" i="54"/>
  <c r="R53" i="54"/>
  <c r="M53" i="54"/>
  <c r="H53" i="54"/>
  <c r="R52" i="54"/>
  <c r="M52" i="54"/>
  <c r="H52" i="54"/>
  <c r="Q51" i="54"/>
  <c r="Q49" i="54" s="1"/>
  <c r="O51" i="54"/>
  <c r="R51" i="54" s="1"/>
  <c r="L51" i="54"/>
  <c r="J51" i="54"/>
  <c r="G51" i="54"/>
  <c r="E51" i="54"/>
  <c r="E49" i="54" s="1"/>
  <c r="E48" i="54" s="1"/>
  <c r="R50" i="54"/>
  <c r="M50" i="54"/>
  <c r="H50" i="54"/>
  <c r="L49" i="54"/>
  <c r="L48" i="54" s="1"/>
  <c r="R47" i="54"/>
  <c r="M47" i="54"/>
  <c r="H47" i="54"/>
  <c r="R46" i="54"/>
  <c r="M46" i="54"/>
  <c r="H46" i="54"/>
  <c r="Q45" i="54"/>
  <c r="O45" i="54"/>
  <c r="L45" i="54"/>
  <c r="J45" i="54"/>
  <c r="G45" i="54"/>
  <c r="E45" i="54"/>
  <c r="R44" i="54"/>
  <c r="M44" i="54"/>
  <c r="H44" i="54"/>
  <c r="R43" i="54"/>
  <c r="M43" i="54"/>
  <c r="H43" i="54"/>
  <c r="Q42" i="54"/>
  <c r="O42" i="54"/>
  <c r="L42" i="54"/>
  <c r="J42" i="54"/>
  <c r="M42" i="54" s="1"/>
  <c r="G42" i="54"/>
  <c r="H42" i="54" s="1"/>
  <c r="E42" i="54"/>
  <c r="R41" i="54"/>
  <c r="M41" i="54"/>
  <c r="H41" i="54"/>
  <c r="R40" i="54"/>
  <c r="M40" i="54"/>
  <c r="H40" i="54"/>
  <c r="R39" i="54"/>
  <c r="M39" i="54"/>
  <c r="H39" i="54"/>
  <c r="R38" i="54"/>
  <c r="M38" i="54"/>
  <c r="H38" i="54"/>
  <c r="Q37" i="54"/>
  <c r="O37" i="54"/>
  <c r="L37" i="54"/>
  <c r="J37" i="54"/>
  <c r="G37" i="54"/>
  <c r="E37" i="54"/>
  <c r="H37" i="54" s="1"/>
  <c r="R34" i="54"/>
  <c r="M34" i="54"/>
  <c r="H34" i="54"/>
  <c r="R33" i="54"/>
  <c r="M33" i="54"/>
  <c r="H33" i="54"/>
  <c r="Q32" i="54"/>
  <c r="O32" i="54"/>
  <c r="L32" i="54"/>
  <c r="J32" i="54"/>
  <c r="G32" i="54"/>
  <c r="E32" i="54"/>
  <c r="H32" i="54" s="1"/>
  <c r="R31" i="54"/>
  <c r="M31" i="54"/>
  <c r="H31" i="54"/>
  <c r="R30" i="54"/>
  <c r="M30" i="54"/>
  <c r="H30" i="54"/>
  <c r="R29" i="54"/>
  <c r="M29" i="54"/>
  <c r="H29" i="54"/>
  <c r="R28" i="54"/>
  <c r="M28" i="54"/>
  <c r="H28" i="54"/>
  <c r="Q27" i="54"/>
  <c r="Q26" i="54" s="1"/>
  <c r="O27" i="54"/>
  <c r="L27" i="54"/>
  <c r="L26" i="54" s="1"/>
  <c r="J27" i="54"/>
  <c r="J26" i="54" s="1"/>
  <c r="G27" i="54"/>
  <c r="G26" i="54" s="1"/>
  <c r="E27" i="54"/>
  <c r="O26" i="54"/>
  <c r="R25" i="54"/>
  <c r="M25" i="54"/>
  <c r="H25" i="54"/>
  <c r="R24" i="54"/>
  <c r="M24" i="54"/>
  <c r="H24" i="54"/>
  <c r="R23" i="54"/>
  <c r="M23" i="54"/>
  <c r="H23" i="54"/>
  <c r="Q22" i="54"/>
  <c r="Q21" i="54" s="1"/>
  <c r="O22" i="54"/>
  <c r="O21" i="54" s="1"/>
  <c r="L22" i="54"/>
  <c r="L21" i="54" s="1"/>
  <c r="J22" i="54"/>
  <c r="G22" i="54"/>
  <c r="G21" i="54" s="1"/>
  <c r="E22" i="54"/>
  <c r="R20" i="54"/>
  <c r="M20" i="54"/>
  <c r="H20" i="54"/>
  <c r="R19" i="54"/>
  <c r="M19" i="54"/>
  <c r="H19" i="54"/>
  <c r="R18" i="54"/>
  <c r="M18" i="54"/>
  <c r="H18" i="54"/>
  <c r="Q17" i="54"/>
  <c r="Q16" i="54" s="1"/>
  <c r="Q15" i="54" s="1"/>
  <c r="O17" i="54"/>
  <c r="L17" i="54"/>
  <c r="J17" i="54"/>
  <c r="M17" i="54" s="1"/>
  <c r="G17" i="54"/>
  <c r="G16" i="54" s="1"/>
  <c r="G15" i="54" s="1"/>
  <c r="E17" i="54"/>
  <c r="L16" i="54"/>
  <c r="L15" i="54" s="1"/>
  <c r="E16" i="54"/>
  <c r="R13" i="54"/>
  <c r="M13" i="54"/>
  <c r="H13" i="54"/>
  <c r="R12" i="54"/>
  <c r="M12" i="54"/>
  <c r="H12" i="54"/>
  <c r="R11" i="54"/>
  <c r="M11" i="54"/>
  <c r="H11" i="54"/>
  <c r="R260" i="30"/>
  <c r="M260" i="30"/>
  <c r="H260" i="30"/>
  <c r="R259" i="30"/>
  <c r="M259" i="30"/>
  <c r="H259" i="30"/>
  <c r="R258" i="30"/>
  <c r="M258" i="30"/>
  <c r="H258" i="30"/>
  <c r="Q257" i="30"/>
  <c r="O257" i="30"/>
  <c r="L257" i="30"/>
  <c r="J257" i="30"/>
  <c r="G257" i="30"/>
  <c r="E257" i="30"/>
  <c r="R256" i="30"/>
  <c r="M256" i="30"/>
  <c r="H256" i="30"/>
  <c r="R255" i="30"/>
  <c r="M255" i="30"/>
  <c r="H255" i="30"/>
  <c r="R254" i="30"/>
  <c r="M254" i="30"/>
  <c r="H254" i="30"/>
  <c r="Q253" i="30"/>
  <c r="O253" i="30"/>
  <c r="L253" i="30"/>
  <c r="J253" i="30"/>
  <c r="G253" i="30"/>
  <c r="E253" i="30"/>
  <c r="R252" i="30"/>
  <c r="M252" i="30"/>
  <c r="H252" i="30"/>
  <c r="R251" i="30"/>
  <c r="M251" i="30"/>
  <c r="H251" i="30"/>
  <c r="Q250" i="30"/>
  <c r="O250" i="30"/>
  <c r="R250" i="30" s="1"/>
  <c r="L250" i="30"/>
  <c r="J250" i="30"/>
  <c r="G250" i="30"/>
  <c r="E250" i="30"/>
  <c r="H250" i="30" s="1"/>
  <c r="R247" i="30"/>
  <c r="M247" i="30"/>
  <c r="H247" i="30"/>
  <c r="R246" i="30"/>
  <c r="M246" i="30"/>
  <c r="H246" i="30"/>
  <c r="R245" i="30"/>
  <c r="M245" i="30"/>
  <c r="H245" i="30"/>
  <c r="Q244" i="30"/>
  <c r="O244" i="30"/>
  <c r="L244" i="30"/>
  <c r="J244" i="30"/>
  <c r="G244" i="30"/>
  <c r="E244" i="30"/>
  <c r="R243" i="30"/>
  <c r="M243" i="30"/>
  <c r="H243" i="30"/>
  <c r="R242" i="30"/>
  <c r="M242" i="30"/>
  <c r="H242" i="30"/>
  <c r="R241" i="30"/>
  <c r="M241" i="30"/>
  <c r="H241" i="30"/>
  <c r="Q240" i="30"/>
  <c r="O240" i="30"/>
  <c r="R240" i="30" s="1"/>
  <c r="L240" i="30"/>
  <c r="J240" i="30"/>
  <c r="M240" i="30" s="1"/>
  <c r="G240" i="30"/>
  <c r="E240" i="30"/>
  <c r="R239" i="30"/>
  <c r="M239" i="30"/>
  <c r="H239" i="30"/>
  <c r="R238" i="30"/>
  <c r="M238" i="30"/>
  <c r="H238" i="30"/>
  <c r="R237" i="30"/>
  <c r="M237" i="30"/>
  <c r="H237" i="30"/>
  <c r="Q236" i="30"/>
  <c r="Q234" i="30" s="1"/>
  <c r="O236" i="30"/>
  <c r="O234" i="30" s="1"/>
  <c r="L236" i="30"/>
  <c r="L234" i="30" s="1"/>
  <c r="J236" i="30"/>
  <c r="J234" i="30" s="1"/>
  <c r="G236" i="30"/>
  <c r="G234" i="30" s="1"/>
  <c r="E236" i="30"/>
  <c r="R235" i="30"/>
  <c r="M235" i="30"/>
  <c r="H235" i="30"/>
  <c r="R232" i="30"/>
  <c r="M232" i="30"/>
  <c r="H232" i="30"/>
  <c r="R230" i="30"/>
  <c r="M230" i="30"/>
  <c r="H230" i="30"/>
  <c r="R229" i="30"/>
  <c r="M229" i="30"/>
  <c r="H229" i="30"/>
  <c r="R228" i="30"/>
  <c r="M228" i="30"/>
  <c r="H228" i="30"/>
  <c r="Q227" i="30"/>
  <c r="O227" i="30"/>
  <c r="L227" i="30"/>
  <c r="J227" i="30"/>
  <c r="G227" i="30"/>
  <c r="E227" i="30"/>
  <c r="H227" i="30" s="1"/>
  <c r="R226" i="30"/>
  <c r="M226" i="30"/>
  <c r="H226" i="30"/>
  <c r="R225" i="30"/>
  <c r="M225" i="30"/>
  <c r="H225" i="30"/>
  <c r="R224" i="30"/>
  <c r="M224" i="30"/>
  <c r="H224" i="30"/>
  <c r="Q223" i="30"/>
  <c r="O223" i="30"/>
  <c r="L223" i="30"/>
  <c r="J223" i="30"/>
  <c r="M223" i="30" s="1"/>
  <c r="G223" i="30"/>
  <c r="E223" i="30"/>
  <c r="R222" i="30"/>
  <c r="M222" i="30"/>
  <c r="H222" i="30"/>
  <c r="R221" i="30"/>
  <c r="M221" i="30"/>
  <c r="H221" i="30"/>
  <c r="R220" i="30"/>
  <c r="M220" i="30"/>
  <c r="H220" i="30"/>
  <c r="Q219" i="30"/>
  <c r="Q217" i="30" s="1"/>
  <c r="Q216" i="30" s="1"/>
  <c r="O219" i="30"/>
  <c r="L219" i="30"/>
  <c r="L217" i="30" s="1"/>
  <c r="J219" i="30"/>
  <c r="J217" i="30" s="1"/>
  <c r="G219" i="30"/>
  <c r="G217" i="30" s="1"/>
  <c r="E219" i="30"/>
  <c r="E217" i="30" s="1"/>
  <c r="R218" i="30"/>
  <c r="M218" i="30"/>
  <c r="H218" i="30"/>
  <c r="R215" i="30"/>
  <c r="M215" i="30"/>
  <c r="H215" i="30"/>
  <c r="R214" i="30"/>
  <c r="M214" i="30"/>
  <c r="H214" i="30"/>
  <c r="Q213" i="30"/>
  <c r="O213" i="30"/>
  <c r="L213" i="30"/>
  <c r="J213" i="30"/>
  <c r="G213" i="30"/>
  <c r="E213" i="30"/>
  <c r="R212" i="30"/>
  <c r="M212" i="30"/>
  <c r="H212" i="30"/>
  <c r="R211" i="30"/>
  <c r="M211" i="30"/>
  <c r="H211" i="30"/>
  <c r="Q210" i="30"/>
  <c r="O210" i="30"/>
  <c r="L210" i="30"/>
  <c r="J210" i="30"/>
  <c r="M210" i="30" s="1"/>
  <c r="G210" i="30"/>
  <c r="E210" i="30"/>
  <c r="R209" i="30"/>
  <c r="M209" i="30"/>
  <c r="H209" i="30"/>
  <c r="R208" i="30"/>
  <c r="M208" i="30"/>
  <c r="H208" i="30"/>
  <c r="R207" i="30"/>
  <c r="M207" i="30"/>
  <c r="H207" i="30"/>
  <c r="R206" i="30"/>
  <c r="M206" i="30"/>
  <c r="H206" i="30"/>
  <c r="Q205" i="30"/>
  <c r="O205" i="30"/>
  <c r="L205" i="30"/>
  <c r="J205" i="30"/>
  <c r="G205" i="30"/>
  <c r="E205" i="30"/>
  <c r="H205" i="30" s="1"/>
  <c r="R202" i="30"/>
  <c r="M202" i="30"/>
  <c r="H202" i="30"/>
  <c r="R201" i="30"/>
  <c r="M201" i="30"/>
  <c r="H201" i="30"/>
  <c r="Q200" i="30"/>
  <c r="O200" i="30"/>
  <c r="L200" i="30"/>
  <c r="J200" i="30"/>
  <c r="G200" i="30"/>
  <c r="E200" i="30"/>
  <c r="H200" i="30" s="1"/>
  <c r="R199" i="30"/>
  <c r="M199" i="30"/>
  <c r="H199" i="30"/>
  <c r="R198" i="30"/>
  <c r="M198" i="30"/>
  <c r="H198" i="30"/>
  <c r="R197" i="30"/>
  <c r="M197" i="30"/>
  <c r="H197" i="30"/>
  <c r="R196" i="30"/>
  <c r="M196" i="30"/>
  <c r="H196" i="30"/>
  <c r="Q195" i="30"/>
  <c r="Q194" i="30" s="1"/>
  <c r="O195" i="30"/>
  <c r="L195" i="30"/>
  <c r="L194" i="30" s="1"/>
  <c r="J195" i="30"/>
  <c r="J194" i="30" s="1"/>
  <c r="G195" i="30"/>
  <c r="G194" i="30" s="1"/>
  <c r="E195" i="30"/>
  <c r="R193" i="30"/>
  <c r="M193" i="30"/>
  <c r="H193" i="30"/>
  <c r="R192" i="30"/>
  <c r="M192" i="30"/>
  <c r="H192" i="30"/>
  <c r="R191" i="30"/>
  <c r="M191" i="30"/>
  <c r="H191" i="30"/>
  <c r="Q190" i="30"/>
  <c r="Q189" i="30" s="1"/>
  <c r="O190" i="30"/>
  <c r="O189" i="30" s="1"/>
  <c r="L190" i="30"/>
  <c r="J190" i="30"/>
  <c r="G190" i="30"/>
  <c r="G189" i="30" s="1"/>
  <c r="E190" i="30"/>
  <c r="L189" i="30"/>
  <c r="R188" i="30"/>
  <c r="M188" i="30"/>
  <c r="H188" i="30"/>
  <c r="R187" i="30"/>
  <c r="M187" i="30"/>
  <c r="H187" i="30"/>
  <c r="R186" i="30"/>
  <c r="M186" i="30"/>
  <c r="H186" i="30"/>
  <c r="Q185" i="30"/>
  <c r="Q184" i="30" s="1"/>
  <c r="Q183" i="30" s="1"/>
  <c r="Q182" i="30" s="1"/>
  <c r="Q178" i="30" s="1"/>
  <c r="O185" i="30"/>
  <c r="L185" i="30"/>
  <c r="L184" i="30" s="1"/>
  <c r="L183" i="30" s="1"/>
  <c r="J185" i="30"/>
  <c r="G185" i="30"/>
  <c r="G184" i="30" s="1"/>
  <c r="G183" i="30" s="1"/>
  <c r="E185" i="30"/>
  <c r="E184" i="30" s="1"/>
  <c r="E183" i="30" s="1"/>
  <c r="J184" i="30"/>
  <c r="R181" i="30"/>
  <c r="M181" i="30"/>
  <c r="H181" i="30"/>
  <c r="R180" i="30"/>
  <c r="M180" i="30"/>
  <c r="H180" i="30"/>
  <c r="R179" i="30"/>
  <c r="M179" i="30"/>
  <c r="H179" i="30"/>
  <c r="R177" i="30"/>
  <c r="M177" i="30"/>
  <c r="H177" i="30"/>
  <c r="R176" i="30"/>
  <c r="M176" i="30"/>
  <c r="H176" i="30"/>
  <c r="R175" i="30"/>
  <c r="M175" i="30"/>
  <c r="H175" i="30"/>
  <c r="R174" i="30"/>
  <c r="M174" i="30"/>
  <c r="H174" i="30"/>
  <c r="Q173" i="30"/>
  <c r="O173" i="30"/>
  <c r="L173" i="30"/>
  <c r="J173" i="30"/>
  <c r="M173" i="30" s="1"/>
  <c r="G173" i="30"/>
  <c r="E173" i="30"/>
  <c r="R172" i="30"/>
  <c r="M172" i="30"/>
  <c r="H172" i="30"/>
  <c r="R171" i="30"/>
  <c r="M171" i="30"/>
  <c r="H171" i="30"/>
  <c r="R170" i="30"/>
  <c r="M170" i="30"/>
  <c r="H170" i="30"/>
  <c r="Q169" i="30"/>
  <c r="O169" i="30"/>
  <c r="L169" i="30"/>
  <c r="J169" i="30"/>
  <c r="G169" i="30"/>
  <c r="E169" i="30"/>
  <c r="R168" i="30"/>
  <c r="M168" i="30"/>
  <c r="H168" i="30"/>
  <c r="R167" i="30"/>
  <c r="M167" i="30"/>
  <c r="H167" i="30"/>
  <c r="Q166" i="30"/>
  <c r="O166" i="30"/>
  <c r="L166" i="30"/>
  <c r="J166" i="30"/>
  <c r="G166" i="30"/>
  <c r="E166" i="30"/>
  <c r="R163" i="30"/>
  <c r="M163" i="30"/>
  <c r="H163" i="30"/>
  <c r="R162" i="30"/>
  <c r="M162" i="30"/>
  <c r="H162" i="30"/>
  <c r="R161" i="30"/>
  <c r="M161" i="30"/>
  <c r="H161" i="30"/>
  <c r="Q160" i="30"/>
  <c r="O160" i="30"/>
  <c r="R160" i="30" s="1"/>
  <c r="L160" i="30"/>
  <c r="J160" i="30"/>
  <c r="M160" i="30" s="1"/>
  <c r="G160" i="30"/>
  <c r="E160" i="30"/>
  <c r="R159" i="30"/>
  <c r="M159" i="30"/>
  <c r="H159" i="30"/>
  <c r="R158" i="30"/>
  <c r="M158" i="30"/>
  <c r="H158" i="30"/>
  <c r="R157" i="30"/>
  <c r="M157" i="30"/>
  <c r="H157" i="30"/>
  <c r="Q156" i="30"/>
  <c r="O156" i="30"/>
  <c r="L156" i="30"/>
  <c r="J156" i="30"/>
  <c r="G156" i="30"/>
  <c r="E156" i="30"/>
  <c r="R155" i="30"/>
  <c r="M155" i="30"/>
  <c r="H155" i="30"/>
  <c r="R154" i="30"/>
  <c r="M154" i="30"/>
  <c r="H154" i="30"/>
  <c r="R153" i="30"/>
  <c r="M153" i="30"/>
  <c r="H153" i="30"/>
  <c r="Q152" i="30"/>
  <c r="Q150" i="30" s="1"/>
  <c r="O152" i="30"/>
  <c r="L152" i="30"/>
  <c r="J152" i="30"/>
  <c r="G152" i="30"/>
  <c r="G150" i="30" s="1"/>
  <c r="E152" i="30"/>
  <c r="H152" i="30" s="1"/>
  <c r="R151" i="30"/>
  <c r="M151" i="30"/>
  <c r="H151" i="30"/>
  <c r="J150" i="30"/>
  <c r="R148" i="30"/>
  <c r="M148" i="30"/>
  <c r="H148" i="30"/>
  <c r="R146" i="30"/>
  <c r="M146" i="30"/>
  <c r="H146" i="30"/>
  <c r="R145" i="30"/>
  <c r="M145" i="30"/>
  <c r="H145" i="30"/>
  <c r="R144" i="30"/>
  <c r="M144" i="30"/>
  <c r="H144" i="30"/>
  <c r="Q143" i="30"/>
  <c r="O143" i="30"/>
  <c r="R143" i="30" s="1"/>
  <c r="L143" i="30"/>
  <c r="J143" i="30"/>
  <c r="G143" i="30"/>
  <c r="E143" i="30"/>
  <c r="R142" i="30"/>
  <c r="M142" i="30"/>
  <c r="H142" i="30"/>
  <c r="R141" i="30"/>
  <c r="M141" i="30"/>
  <c r="H141" i="30"/>
  <c r="R140" i="30"/>
  <c r="M140" i="30"/>
  <c r="H140" i="30"/>
  <c r="Q139" i="30"/>
  <c r="O139" i="30"/>
  <c r="L139" i="30"/>
  <c r="J139" i="30"/>
  <c r="M139" i="30" s="1"/>
  <c r="G139" i="30"/>
  <c r="E139" i="30"/>
  <c r="R138" i="30"/>
  <c r="M138" i="30"/>
  <c r="H138" i="30"/>
  <c r="R137" i="30"/>
  <c r="M137" i="30"/>
  <c r="H137" i="30"/>
  <c r="R136" i="30"/>
  <c r="M136" i="30"/>
  <c r="H136" i="30"/>
  <c r="Q135" i="30"/>
  <c r="Q133" i="30" s="1"/>
  <c r="O135" i="30"/>
  <c r="L135" i="30"/>
  <c r="J135" i="30"/>
  <c r="J133" i="30" s="1"/>
  <c r="G135" i="30"/>
  <c r="G133" i="30" s="1"/>
  <c r="E135" i="30"/>
  <c r="E133" i="30" s="1"/>
  <c r="R134" i="30"/>
  <c r="M134" i="30"/>
  <c r="H134" i="30"/>
  <c r="O133" i="30"/>
  <c r="R131" i="30"/>
  <c r="M131" i="30"/>
  <c r="H131" i="30"/>
  <c r="R130" i="30"/>
  <c r="M130" i="30"/>
  <c r="H130" i="30"/>
  <c r="Q129" i="30"/>
  <c r="O129" i="30"/>
  <c r="L129" i="30"/>
  <c r="J129" i="30"/>
  <c r="G129" i="30"/>
  <c r="E129" i="30"/>
  <c r="R128" i="30"/>
  <c r="M128" i="30"/>
  <c r="H128" i="30"/>
  <c r="R127" i="30"/>
  <c r="M127" i="30"/>
  <c r="H127" i="30"/>
  <c r="Q126" i="30"/>
  <c r="O126" i="30"/>
  <c r="L126" i="30"/>
  <c r="J126" i="30"/>
  <c r="G126" i="30"/>
  <c r="E126" i="30"/>
  <c r="R125" i="30"/>
  <c r="M125" i="30"/>
  <c r="H125" i="30"/>
  <c r="R124" i="30"/>
  <c r="M124" i="30"/>
  <c r="H124" i="30"/>
  <c r="R123" i="30"/>
  <c r="M123" i="30"/>
  <c r="H123" i="30"/>
  <c r="R122" i="30"/>
  <c r="M122" i="30"/>
  <c r="H122" i="30"/>
  <c r="Q121" i="30"/>
  <c r="O121" i="30"/>
  <c r="R121" i="30" s="1"/>
  <c r="L121" i="30"/>
  <c r="J121" i="30"/>
  <c r="G121" i="30"/>
  <c r="E121" i="30"/>
  <c r="R118" i="30"/>
  <c r="M118" i="30"/>
  <c r="H118" i="30"/>
  <c r="R117" i="30"/>
  <c r="M117" i="30"/>
  <c r="H117" i="30"/>
  <c r="Q116" i="30"/>
  <c r="O116" i="30"/>
  <c r="L116" i="30"/>
  <c r="J116" i="30"/>
  <c r="G116" i="30"/>
  <c r="E116" i="30"/>
  <c r="R115" i="30"/>
  <c r="M115" i="30"/>
  <c r="H115" i="30"/>
  <c r="R114" i="30"/>
  <c r="M114" i="30"/>
  <c r="H114" i="30"/>
  <c r="R113" i="30"/>
  <c r="M113" i="30"/>
  <c r="H113" i="30"/>
  <c r="R112" i="30"/>
  <c r="M112" i="30"/>
  <c r="H112" i="30"/>
  <c r="Q111" i="30"/>
  <c r="Q110" i="30" s="1"/>
  <c r="O111" i="30"/>
  <c r="L111" i="30"/>
  <c r="L110" i="30" s="1"/>
  <c r="J111" i="30"/>
  <c r="J110" i="30" s="1"/>
  <c r="G111" i="30"/>
  <c r="G110" i="30" s="1"/>
  <c r="E111" i="30"/>
  <c r="E110" i="30" s="1"/>
  <c r="R109" i="30"/>
  <c r="M109" i="30"/>
  <c r="H109" i="30"/>
  <c r="R108" i="30"/>
  <c r="M108" i="30"/>
  <c r="H108" i="30"/>
  <c r="R107" i="30"/>
  <c r="M107" i="30"/>
  <c r="H107" i="30"/>
  <c r="Q106" i="30"/>
  <c r="Q105" i="30" s="1"/>
  <c r="O106" i="30"/>
  <c r="R106" i="30" s="1"/>
  <c r="L106" i="30"/>
  <c r="L105" i="30" s="1"/>
  <c r="J106" i="30"/>
  <c r="G106" i="30"/>
  <c r="G105" i="30" s="1"/>
  <c r="E106" i="30"/>
  <c r="E105" i="30" s="1"/>
  <c r="R104" i="30"/>
  <c r="M104" i="30"/>
  <c r="H104" i="30"/>
  <c r="R103" i="30"/>
  <c r="M103" i="30"/>
  <c r="H103" i="30"/>
  <c r="R102" i="30"/>
  <c r="M102" i="30"/>
  <c r="H102" i="30"/>
  <c r="Q101" i="30"/>
  <c r="Q100" i="30" s="1"/>
  <c r="Q99" i="30" s="1"/>
  <c r="O101" i="30"/>
  <c r="O100" i="30" s="1"/>
  <c r="L101" i="30"/>
  <c r="L100" i="30" s="1"/>
  <c r="L99" i="30" s="1"/>
  <c r="J101" i="30"/>
  <c r="J100" i="30" s="1"/>
  <c r="J99" i="30" s="1"/>
  <c r="G101" i="30"/>
  <c r="G100" i="30" s="1"/>
  <c r="G99" i="30" s="1"/>
  <c r="E101" i="30"/>
  <c r="R97" i="30"/>
  <c r="M97" i="30"/>
  <c r="H97" i="30"/>
  <c r="R96" i="30"/>
  <c r="M96" i="30"/>
  <c r="H96" i="30"/>
  <c r="R95" i="30"/>
  <c r="M95" i="30"/>
  <c r="H95" i="30"/>
  <c r="R93" i="30"/>
  <c r="M93" i="30"/>
  <c r="H93" i="30"/>
  <c r="R92" i="30"/>
  <c r="M92" i="30"/>
  <c r="H92" i="30"/>
  <c r="R91" i="30"/>
  <c r="M91" i="30"/>
  <c r="H91" i="30"/>
  <c r="R90" i="30"/>
  <c r="M90" i="30"/>
  <c r="H90" i="30"/>
  <c r="Q89" i="30"/>
  <c r="O89" i="30"/>
  <c r="L89" i="30"/>
  <c r="J89" i="30"/>
  <c r="G89" i="30"/>
  <c r="E89" i="30"/>
  <c r="R88" i="30"/>
  <c r="M88" i="30"/>
  <c r="H88" i="30"/>
  <c r="R87" i="30"/>
  <c r="M87" i="30"/>
  <c r="H87" i="30"/>
  <c r="R86" i="30"/>
  <c r="M86" i="30"/>
  <c r="H86" i="30"/>
  <c r="R85" i="30"/>
  <c r="Q85" i="30"/>
  <c r="O85" i="30"/>
  <c r="L85" i="30"/>
  <c r="J85" i="30"/>
  <c r="M85" i="30" s="1"/>
  <c r="G85" i="30"/>
  <c r="E85" i="30"/>
  <c r="R84" i="30"/>
  <c r="M84" i="30"/>
  <c r="H84" i="30"/>
  <c r="R83" i="30"/>
  <c r="M83" i="30"/>
  <c r="H83" i="30"/>
  <c r="Q82" i="30"/>
  <c r="O82" i="30"/>
  <c r="L82" i="30"/>
  <c r="L81" i="30" s="1"/>
  <c r="J82" i="30"/>
  <c r="G82" i="30"/>
  <c r="E82" i="30"/>
  <c r="R79" i="30"/>
  <c r="M79" i="30"/>
  <c r="H79" i="30"/>
  <c r="R78" i="30"/>
  <c r="M78" i="30"/>
  <c r="H78" i="30"/>
  <c r="R77" i="30"/>
  <c r="M77" i="30"/>
  <c r="H77" i="30"/>
  <c r="Q76" i="30"/>
  <c r="O76" i="30"/>
  <c r="L76" i="30"/>
  <c r="J76" i="30"/>
  <c r="G76" i="30"/>
  <c r="E76" i="30"/>
  <c r="R75" i="30"/>
  <c r="M75" i="30"/>
  <c r="H75" i="30"/>
  <c r="R74" i="30"/>
  <c r="M74" i="30"/>
  <c r="H74" i="30"/>
  <c r="R73" i="30"/>
  <c r="M73" i="30"/>
  <c r="H73" i="30"/>
  <c r="Q72" i="30"/>
  <c r="O72" i="30"/>
  <c r="L72" i="30"/>
  <c r="J72" i="30"/>
  <c r="M72" i="30" s="1"/>
  <c r="G72" i="30"/>
  <c r="E72" i="30"/>
  <c r="R71" i="30"/>
  <c r="M71" i="30"/>
  <c r="H71" i="30"/>
  <c r="R70" i="30"/>
  <c r="M70" i="30"/>
  <c r="H70" i="30"/>
  <c r="R69" i="30"/>
  <c r="M69" i="30"/>
  <c r="H69" i="30"/>
  <c r="Q68" i="30"/>
  <c r="Q66" i="30" s="1"/>
  <c r="O68" i="30"/>
  <c r="L68" i="30"/>
  <c r="J68" i="30"/>
  <c r="G68" i="30"/>
  <c r="G66" i="30" s="1"/>
  <c r="E68" i="30"/>
  <c r="H68" i="30" s="1"/>
  <c r="R67" i="30"/>
  <c r="M67" i="30"/>
  <c r="H67" i="30"/>
  <c r="O66" i="30"/>
  <c r="L66" i="30"/>
  <c r="R64" i="30"/>
  <c r="M64" i="30"/>
  <c r="H64" i="30"/>
  <c r="R62" i="30"/>
  <c r="M62" i="30"/>
  <c r="H62" i="30"/>
  <c r="R61" i="30"/>
  <c r="M61" i="30"/>
  <c r="H61" i="30"/>
  <c r="R60" i="30"/>
  <c r="M60" i="30"/>
  <c r="H60" i="30"/>
  <c r="Q59" i="30"/>
  <c r="O59" i="30"/>
  <c r="L59" i="30"/>
  <c r="J59" i="30"/>
  <c r="G59" i="30"/>
  <c r="E59" i="30"/>
  <c r="H59" i="30" s="1"/>
  <c r="R58" i="30"/>
  <c r="M58" i="30"/>
  <c r="H58" i="30"/>
  <c r="R57" i="30"/>
  <c r="M57" i="30"/>
  <c r="H57" i="30"/>
  <c r="R56" i="30"/>
  <c r="M56" i="30"/>
  <c r="H56" i="30"/>
  <c r="Q55" i="30"/>
  <c r="O55" i="30"/>
  <c r="L55" i="30"/>
  <c r="J55" i="30"/>
  <c r="G55" i="30"/>
  <c r="E55" i="30"/>
  <c r="R54" i="30"/>
  <c r="M54" i="30"/>
  <c r="H54" i="30"/>
  <c r="R53" i="30"/>
  <c r="M53" i="30"/>
  <c r="H53" i="30"/>
  <c r="R52" i="30"/>
  <c r="M52" i="30"/>
  <c r="H52" i="30"/>
  <c r="Q51" i="30"/>
  <c r="Q49" i="30" s="1"/>
  <c r="O51" i="30"/>
  <c r="L51" i="30"/>
  <c r="J51" i="30"/>
  <c r="G51" i="30"/>
  <c r="G49" i="30" s="1"/>
  <c r="E51" i="30"/>
  <c r="H51" i="30" s="1"/>
  <c r="R50" i="30"/>
  <c r="M50" i="30"/>
  <c r="H50" i="30"/>
  <c r="L49" i="30"/>
  <c r="J49" i="30"/>
  <c r="R47" i="30"/>
  <c r="M47" i="30"/>
  <c r="H47" i="30"/>
  <c r="R46" i="30"/>
  <c r="M46" i="30"/>
  <c r="H46" i="30"/>
  <c r="Q45" i="30"/>
  <c r="O45" i="30"/>
  <c r="R45" i="30" s="1"/>
  <c r="L45" i="30"/>
  <c r="J45" i="30"/>
  <c r="M45" i="30" s="1"/>
  <c r="G45" i="30"/>
  <c r="E45" i="30"/>
  <c r="R44" i="30"/>
  <c r="M44" i="30"/>
  <c r="H44" i="30"/>
  <c r="R43" i="30"/>
  <c r="M43" i="30"/>
  <c r="H43" i="30"/>
  <c r="Q42" i="30"/>
  <c r="O42" i="30"/>
  <c r="L42" i="30"/>
  <c r="J42" i="30"/>
  <c r="M42" i="30" s="1"/>
  <c r="G42" i="30"/>
  <c r="E42" i="30"/>
  <c r="R41" i="30"/>
  <c r="M41" i="30"/>
  <c r="H41" i="30"/>
  <c r="R40" i="30"/>
  <c r="M40" i="30"/>
  <c r="H40" i="30"/>
  <c r="R39" i="30"/>
  <c r="M39" i="30"/>
  <c r="H39" i="30"/>
  <c r="R38" i="30"/>
  <c r="M38" i="30"/>
  <c r="H38" i="30"/>
  <c r="Q37" i="30"/>
  <c r="O37" i="30"/>
  <c r="L37" i="30"/>
  <c r="J37" i="30"/>
  <c r="M37" i="30" s="1"/>
  <c r="G37" i="30"/>
  <c r="E37" i="30"/>
  <c r="R34" i="30"/>
  <c r="M34" i="30"/>
  <c r="H34" i="30"/>
  <c r="R33" i="30"/>
  <c r="M33" i="30"/>
  <c r="H33" i="30"/>
  <c r="Q32" i="30"/>
  <c r="O32" i="30"/>
  <c r="L32" i="30"/>
  <c r="J32" i="30"/>
  <c r="G32" i="30"/>
  <c r="E32" i="30"/>
  <c r="R31" i="30"/>
  <c r="M31" i="30"/>
  <c r="H31" i="30"/>
  <c r="R30" i="30"/>
  <c r="M30" i="30"/>
  <c r="H30" i="30"/>
  <c r="R29" i="30"/>
  <c r="M29" i="30"/>
  <c r="H29" i="30"/>
  <c r="R28" i="30"/>
  <c r="M28" i="30"/>
  <c r="H28" i="30"/>
  <c r="Q27" i="30"/>
  <c r="Q26" i="30" s="1"/>
  <c r="O27" i="30"/>
  <c r="O26" i="30" s="1"/>
  <c r="R26" i="30" s="1"/>
  <c r="L27" i="30"/>
  <c r="L26" i="30" s="1"/>
  <c r="J27" i="30"/>
  <c r="J26" i="30" s="1"/>
  <c r="G27" i="30"/>
  <c r="G26" i="30" s="1"/>
  <c r="E27" i="30"/>
  <c r="R25" i="30"/>
  <c r="M25" i="30"/>
  <c r="H25" i="30"/>
  <c r="R24" i="30"/>
  <c r="M24" i="30"/>
  <c r="H24" i="30"/>
  <c r="R23" i="30"/>
  <c r="M23" i="30"/>
  <c r="H23" i="30"/>
  <c r="Q22" i="30"/>
  <c r="Q21" i="30" s="1"/>
  <c r="O22" i="30"/>
  <c r="O21" i="30" s="1"/>
  <c r="L22" i="30"/>
  <c r="L21" i="30" s="1"/>
  <c r="J22" i="30"/>
  <c r="G22" i="30"/>
  <c r="G21" i="30" s="1"/>
  <c r="E22" i="30"/>
  <c r="H22" i="30" s="1"/>
  <c r="R20" i="30"/>
  <c r="M20" i="30"/>
  <c r="H20" i="30"/>
  <c r="R19" i="30"/>
  <c r="M19" i="30"/>
  <c r="H19" i="30"/>
  <c r="R18" i="30"/>
  <c r="M18" i="30"/>
  <c r="H18" i="30"/>
  <c r="Q17" i="30"/>
  <c r="Q16" i="30" s="1"/>
  <c r="Q15" i="30" s="1"/>
  <c r="Q14" i="30" s="1"/>
  <c r="Q10" i="30" s="1"/>
  <c r="O17" i="30"/>
  <c r="L17" i="30"/>
  <c r="L16" i="30" s="1"/>
  <c r="L15" i="30" s="1"/>
  <c r="J17" i="30"/>
  <c r="M17" i="30" s="1"/>
  <c r="G17" i="30"/>
  <c r="G16" i="30" s="1"/>
  <c r="G15" i="30" s="1"/>
  <c r="E17" i="30"/>
  <c r="R13" i="30"/>
  <c r="M13" i="30"/>
  <c r="H13" i="30"/>
  <c r="R12" i="30"/>
  <c r="M12" i="30"/>
  <c r="H12" i="30"/>
  <c r="R11" i="30"/>
  <c r="M11" i="30"/>
  <c r="H11" i="30"/>
  <c r="R260" i="46"/>
  <c r="R259" i="46"/>
  <c r="R258" i="46"/>
  <c r="Q257" i="46"/>
  <c r="O257" i="46"/>
  <c r="R256" i="46"/>
  <c r="R255" i="46"/>
  <c r="R254" i="46"/>
  <c r="Q253" i="46"/>
  <c r="O253" i="46"/>
  <c r="R252" i="46"/>
  <c r="R251" i="46"/>
  <c r="Q250" i="46"/>
  <c r="O250" i="46"/>
  <c r="O249" i="46" s="1"/>
  <c r="R247" i="46"/>
  <c r="R246" i="46"/>
  <c r="R245" i="46"/>
  <c r="Q244" i="46"/>
  <c r="O244" i="46"/>
  <c r="R243" i="46"/>
  <c r="R242" i="46"/>
  <c r="R241" i="46"/>
  <c r="Q240" i="46"/>
  <c r="O240" i="46"/>
  <c r="R239" i="46"/>
  <c r="R238" i="46"/>
  <c r="R237" i="46"/>
  <c r="Q236" i="46"/>
  <c r="O236" i="46"/>
  <c r="O234" i="46" s="1"/>
  <c r="R235" i="46"/>
  <c r="R232" i="46"/>
  <c r="R230" i="46"/>
  <c r="R229" i="46"/>
  <c r="R228" i="46"/>
  <c r="Q227" i="46"/>
  <c r="O227" i="46"/>
  <c r="R226" i="46"/>
  <c r="R225" i="46"/>
  <c r="R224" i="46"/>
  <c r="Q223" i="46"/>
  <c r="O223" i="46"/>
  <c r="R222" i="46"/>
  <c r="R221" i="46"/>
  <c r="R220" i="46"/>
  <c r="Q219" i="46"/>
  <c r="Q217" i="46" s="1"/>
  <c r="O219" i="46"/>
  <c r="R218" i="46"/>
  <c r="R215" i="46"/>
  <c r="R214" i="46"/>
  <c r="Q213" i="46"/>
  <c r="O213" i="46"/>
  <c r="R212" i="46"/>
  <c r="R211" i="46"/>
  <c r="Q210" i="46"/>
  <c r="O210" i="46"/>
  <c r="R209" i="46"/>
  <c r="R208" i="46"/>
  <c r="R207" i="46"/>
  <c r="R206" i="46"/>
  <c r="Q205" i="46"/>
  <c r="O205" i="46"/>
  <c r="R202" i="46"/>
  <c r="R201" i="46"/>
  <c r="Q200" i="46"/>
  <c r="O200" i="46"/>
  <c r="R199" i="46"/>
  <c r="R198" i="46"/>
  <c r="R197" i="46"/>
  <c r="R196" i="46"/>
  <c r="Q195" i="46"/>
  <c r="Q194" i="46" s="1"/>
  <c r="O195" i="46"/>
  <c r="O194" i="46" s="1"/>
  <c r="R193" i="46"/>
  <c r="R192" i="46"/>
  <c r="R191" i="46"/>
  <c r="Q190" i="46"/>
  <c r="O190" i="46"/>
  <c r="O189" i="46" s="1"/>
  <c r="R188" i="46"/>
  <c r="R187" i="46"/>
  <c r="R186" i="46"/>
  <c r="Q185" i="46"/>
  <c r="Q184" i="46" s="1"/>
  <c r="Q183" i="46" s="1"/>
  <c r="O185" i="46"/>
  <c r="R181" i="46"/>
  <c r="R180" i="46"/>
  <c r="R179" i="46"/>
  <c r="R177" i="46"/>
  <c r="R176" i="46"/>
  <c r="R175" i="46"/>
  <c r="R174" i="46"/>
  <c r="Q173" i="46"/>
  <c r="O173" i="46"/>
  <c r="R172" i="46"/>
  <c r="R171" i="46"/>
  <c r="R170" i="46"/>
  <c r="Q169" i="46"/>
  <c r="O169" i="46"/>
  <c r="R168" i="46"/>
  <c r="R167" i="46"/>
  <c r="Q166" i="46"/>
  <c r="O166" i="46"/>
  <c r="R163" i="46"/>
  <c r="R162" i="46"/>
  <c r="R161" i="46"/>
  <c r="Q160" i="46"/>
  <c r="O160" i="46"/>
  <c r="R159" i="46"/>
  <c r="R158" i="46"/>
  <c r="R157" i="46"/>
  <c r="Q156" i="46"/>
  <c r="O156" i="46"/>
  <c r="R155" i="46"/>
  <c r="R154" i="46"/>
  <c r="R153" i="46"/>
  <c r="Q152" i="46"/>
  <c r="Q150" i="46" s="1"/>
  <c r="O152" i="46"/>
  <c r="R151" i="46"/>
  <c r="R148" i="46"/>
  <c r="R146" i="46"/>
  <c r="R145" i="46"/>
  <c r="R144" i="46"/>
  <c r="Q143" i="46"/>
  <c r="O143" i="46"/>
  <c r="R142" i="46"/>
  <c r="R141" i="46"/>
  <c r="R140" i="46"/>
  <c r="Q139" i="46"/>
  <c r="O139" i="46"/>
  <c r="R138" i="46"/>
  <c r="R137" i="46"/>
  <c r="R136" i="46"/>
  <c r="Q135" i="46"/>
  <c r="Q133" i="46" s="1"/>
  <c r="O135" i="46"/>
  <c r="O133" i="46" s="1"/>
  <c r="R134" i="46"/>
  <c r="R131" i="46"/>
  <c r="R130" i="46"/>
  <c r="Q129" i="46"/>
  <c r="O129" i="46"/>
  <c r="R128" i="46"/>
  <c r="R127" i="46"/>
  <c r="Q126" i="46"/>
  <c r="O126" i="46"/>
  <c r="R125" i="46"/>
  <c r="R124" i="46"/>
  <c r="R123" i="46"/>
  <c r="R122" i="46"/>
  <c r="Q121" i="46"/>
  <c r="O121" i="46"/>
  <c r="R118" i="46"/>
  <c r="R117" i="46"/>
  <c r="Q116" i="46"/>
  <c r="O116" i="46"/>
  <c r="R115" i="46"/>
  <c r="R114" i="46"/>
  <c r="R113" i="46"/>
  <c r="R112" i="46"/>
  <c r="Q111" i="46"/>
  <c r="Q110" i="46" s="1"/>
  <c r="O111" i="46"/>
  <c r="R109" i="46"/>
  <c r="R108" i="46"/>
  <c r="R107" i="46"/>
  <c r="Q106" i="46"/>
  <c r="Q105" i="46" s="1"/>
  <c r="O106" i="46"/>
  <c r="R104" i="46"/>
  <c r="R103" i="46"/>
  <c r="R102" i="46"/>
  <c r="Q101" i="46"/>
  <c r="Q100" i="46" s="1"/>
  <c r="Q99" i="46" s="1"/>
  <c r="O101" i="46"/>
  <c r="O100" i="46" s="1"/>
  <c r="R97" i="46"/>
  <c r="R96" i="46"/>
  <c r="R95" i="46"/>
  <c r="R93" i="46"/>
  <c r="R92" i="46"/>
  <c r="R91" i="46"/>
  <c r="R90" i="46"/>
  <c r="Q89" i="46"/>
  <c r="O89" i="46"/>
  <c r="R88" i="46"/>
  <c r="R87" i="46"/>
  <c r="R86" i="46"/>
  <c r="Q85" i="46"/>
  <c r="O85" i="46"/>
  <c r="R84" i="46"/>
  <c r="R83" i="46"/>
  <c r="Q82" i="46"/>
  <c r="O82" i="46"/>
  <c r="O81" i="46" s="1"/>
  <c r="R79" i="46"/>
  <c r="R78" i="46"/>
  <c r="R77" i="46"/>
  <c r="Q76" i="46"/>
  <c r="O76" i="46"/>
  <c r="R75" i="46"/>
  <c r="R74" i="46"/>
  <c r="R73" i="46"/>
  <c r="Q72" i="46"/>
  <c r="O72" i="46"/>
  <c r="R71" i="46"/>
  <c r="R70" i="46"/>
  <c r="R69" i="46"/>
  <c r="Q68" i="46"/>
  <c r="Q66" i="46" s="1"/>
  <c r="O68" i="46"/>
  <c r="O66" i="46" s="1"/>
  <c r="R67" i="46"/>
  <c r="R64" i="46"/>
  <c r="R62" i="46"/>
  <c r="R61" i="46"/>
  <c r="R60" i="46"/>
  <c r="Q59" i="46"/>
  <c r="O59" i="46"/>
  <c r="R58" i="46"/>
  <c r="R57" i="46"/>
  <c r="R56" i="46"/>
  <c r="Q55" i="46"/>
  <c r="O55" i="46"/>
  <c r="R54" i="46"/>
  <c r="R53" i="46"/>
  <c r="R52" i="46"/>
  <c r="Q51" i="46"/>
  <c r="Q49" i="46" s="1"/>
  <c r="O51" i="46"/>
  <c r="O49" i="46" s="1"/>
  <c r="R50" i="46"/>
  <c r="R47" i="46"/>
  <c r="R46" i="46"/>
  <c r="Q45" i="46"/>
  <c r="O45" i="46"/>
  <c r="R44" i="46"/>
  <c r="R43" i="46"/>
  <c r="Q42" i="46"/>
  <c r="O42" i="46"/>
  <c r="R41" i="46"/>
  <c r="R40" i="46"/>
  <c r="R39" i="46"/>
  <c r="R38" i="46"/>
  <c r="Q37" i="46"/>
  <c r="O37" i="46"/>
  <c r="R37" i="46" s="1"/>
  <c r="R34" i="46"/>
  <c r="R33" i="46"/>
  <c r="Q32" i="46"/>
  <c r="O32" i="46"/>
  <c r="R31" i="46"/>
  <c r="R30" i="46"/>
  <c r="R29" i="46"/>
  <c r="R28" i="46"/>
  <c r="Q27" i="46"/>
  <c r="Q26" i="46" s="1"/>
  <c r="O27" i="46"/>
  <c r="O26" i="46" s="1"/>
  <c r="R25" i="46"/>
  <c r="R24" i="46"/>
  <c r="R23" i="46"/>
  <c r="Q22" i="46"/>
  <c r="Q21" i="46" s="1"/>
  <c r="O22" i="46"/>
  <c r="O21" i="46" s="1"/>
  <c r="R20" i="46"/>
  <c r="R19" i="46"/>
  <c r="R18" i="46"/>
  <c r="Q17" i="46"/>
  <c r="O17" i="46"/>
  <c r="O16" i="46" s="1"/>
  <c r="O15" i="46" s="1"/>
  <c r="R13" i="46"/>
  <c r="R12" i="46"/>
  <c r="R11" i="46"/>
  <c r="M260" i="46"/>
  <c r="M259" i="46"/>
  <c r="M258" i="46"/>
  <c r="L257" i="46"/>
  <c r="J257" i="46"/>
  <c r="M256" i="46"/>
  <c r="M255" i="46"/>
  <c r="M254" i="46"/>
  <c r="L253" i="46"/>
  <c r="J253" i="46"/>
  <c r="M252" i="46"/>
  <c r="M251" i="46"/>
  <c r="L250" i="46"/>
  <c r="J250" i="46"/>
  <c r="M247" i="46"/>
  <c r="M246" i="46"/>
  <c r="M245" i="46"/>
  <c r="L244" i="46"/>
  <c r="J244" i="46"/>
  <c r="M243" i="46"/>
  <c r="M242" i="46"/>
  <c r="M241" i="46"/>
  <c r="L240" i="46"/>
  <c r="J240" i="46"/>
  <c r="M239" i="46"/>
  <c r="M238" i="46"/>
  <c r="M237" i="46"/>
  <c r="L236" i="46"/>
  <c r="J236" i="46"/>
  <c r="J234" i="46" s="1"/>
  <c r="J233" i="46" s="1"/>
  <c r="M235" i="46"/>
  <c r="M232" i="46"/>
  <c r="M230" i="46"/>
  <c r="M229" i="46"/>
  <c r="M228" i="46"/>
  <c r="L227" i="46"/>
  <c r="J227" i="46"/>
  <c r="M226" i="46"/>
  <c r="M225" i="46"/>
  <c r="M224" i="46"/>
  <c r="L223" i="46"/>
  <c r="J223" i="46"/>
  <c r="M222" i="46"/>
  <c r="M221" i="46"/>
  <c r="M220" i="46"/>
  <c r="L219" i="46"/>
  <c r="L217" i="46" s="1"/>
  <c r="L216" i="46" s="1"/>
  <c r="J219" i="46"/>
  <c r="M218" i="46"/>
  <c r="M215" i="46"/>
  <c r="M214" i="46"/>
  <c r="L213" i="46"/>
  <c r="J213" i="46"/>
  <c r="M212" i="46"/>
  <c r="M211" i="46"/>
  <c r="L210" i="46"/>
  <c r="J210" i="46"/>
  <c r="M209" i="46"/>
  <c r="M208" i="46"/>
  <c r="M207" i="46"/>
  <c r="M206" i="46"/>
  <c r="L205" i="46"/>
  <c r="J205" i="46"/>
  <c r="M202" i="46"/>
  <c r="M201" i="46"/>
  <c r="L200" i="46"/>
  <c r="J200" i="46"/>
  <c r="M199" i="46"/>
  <c r="M198" i="46"/>
  <c r="M197" i="46"/>
  <c r="M196" i="46"/>
  <c r="L195" i="46"/>
  <c r="L194" i="46" s="1"/>
  <c r="J195" i="46"/>
  <c r="M193" i="46"/>
  <c r="M192" i="46"/>
  <c r="M191" i="46"/>
  <c r="L190" i="46"/>
  <c r="J190" i="46"/>
  <c r="J189" i="46" s="1"/>
  <c r="M188" i="46"/>
  <c r="M187" i="46"/>
  <c r="M186" i="46"/>
  <c r="L185" i="46"/>
  <c r="L184" i="46" s="1"/>
  <c r="L183" i="46" s="1"/>
  <c r="J185" i="46"/>
  <c r="M181" i="46"/>
  <c r="M180" i="46"/>
  <c r="M179" i="46"/>
  <c r="M177" i="46"/>
  <c r="M176" i="46"/>
  <c r="M175" i="46"/>
  <c r="M174" i="46"/>
  <c r="L173" i="46"/>
  <c r="J173" i="46"/>
  <c r="M172" i="46"/>
  <c r="M171" i="46"/>
  <c r="M170" i="46"/>
  <c r="L169" i="46"/>
  <c r="J169" i="46"/>
  <c r="M168" i="46"/>
  <c r="M167" i="46"/>
  <c r="L166" i="46"/>
  <c r="J166" i="46"/>
  <c r="M163" i="46"/>
  <c r="M162" i="46"/>
  <c r="M161" i="46"/>
  <c r="L160" i="46"/>
  <c r="J160" i="46"/>
  <c r="M159" i="46"/>
  <c r="M158" i="46"/>
  <c r="M157" i="46"/>
  <c r="L156" i="46"/>
  <c r="J156" i="46"/>
  <c r="M155" i="46"/>
  <c r="M154" i="46"/>
  <c r="M153" i="46"/>
  <c r="L152" i="46"/>
  <c r="L150" i="46" s="1"/>
  <c r="J152" i="46"/>
  <c r="J150" i="46" s="1"/>
  <c r="M151" i="46"/>
  <c r="M148" i="46"/>
  <c r="M146" i="46"/>
  <c r="M145" i="46"/>
  <c r="M144" i="46"/>
  <c r="L143" i="46"/>
  <c r="J143" i="46"/>
  <c r="M142" i="46"/>
  <c r="M141" i="46"/>
  <c r="M140" i="46"/>
  <c r="L139" i="46"/>
  <c r="J139" i="46"/>
  <c r="M138" i="46"/>
  <c r="M137" i="46"/>
  <c r="M136" i="46"/>
  <c r="L135" i="46"/>
  <c r="L133" i="46" s="1"/>
  <c r="J135" i="46"/>
  <c r="J133" i="46" s="1"/>
  <c r="M134" i="46"/>
  <c r="M131" i="46"/>
  <c r="M130" i="46"/>
  <c r="L129" i="46"/>
  <c r="J129" i="46"/>
  <c r="M128" i="46"/>
  <c r="M127" i="46"/>
  <c r="L126" i="46"/>
  <c r="J126" i="46"/>
  <c r="M125" i="46"/>
  <c r="M124" i="46"/>
  <c r="M123" i="46"/>
  <c r="M122" i="46"/>
  <c r="L121" i="46"/>
  <c r="J121" i="46"/>
  <c r="M118" i="46"/>
  <c r="M117" i="46"/>
  <c r="L116" i="46"/>
  <c r="J116" i="46"/>
  <c r="M115" i="46"/>
  <c r="M114" i="46"/>
  <c r="M113" i="46"/>
  <c r="M112" i="46"/>
  <c r="L111" i="46"/>
  <c r="L110" i="46" s="1"/>
  <c r="J111" i="46"/>
  <c r="M109" i="46"/>
  <c r="M108" i="46"/>
  <c r="M107" i="46"/>
  <c r="L106" i="46"/>
  <c r="L105" i="46" s="1"/>
  <c r="J106" i="46"/>
  <c r="M106" i="46" s="1"/>
  <c r="M104" i="46"/>
  <c r="M103" i="46"/>
  <c r="M102" i="46"/>
  <c r="L101" i="46"/>
  <c r="L100" i="46" s="1"/>
  <c r="L99" i="46" s="1"/>
  <c r="J101" i="46"/>
  <c r="J100" i="46" s="1"/>
  <c r="M97" i="46"/>
  <c r="M96" i="46"/>
  <c r="M95" i="46"/>
  <c r="M93" i="46"/>
  <c r="M92" i="46"/>
  <c r="M91" i="46"/>
  <c r="M90" i="46"/>
  <c r="L89" i="46"/>
  <c r="J89" i="46"/>
  <c r="M88" i="46"/>
  <c r="M87" i="46"/>
  <c r="M86" i="46"/>
  <c r="L85" i="46"/>
  <c r="J85" i="46"/>
  <c r="M84" i="46"/>
  <c r="M83" i="46"/>
  <c r="L82" i="46"/>
  <c r="J82" i="46"/>
  <c r="M79" i="46"/>
  <c r="M78" i="46"/>
  <c r="M77" i="46"/>
  <c r="L76" i="46"/>
  <c r="J76" i="46"/>
  <c r="M75" i="46"/>
  <c r="M74" i="46"/>
  <c r="M73" i="46"/>
  <c r="L72" i="46"/>
  <c r="J72" i="46"/>
  <c r="M71" i="46"/>
  <c r="M70" i="46"/>
  <c r="M69" i="46"/>
  <c r="L68" i="46"/>
  <c r="J68" i="46"/>
  <c r="J66" i="46" s="1"/>
  <c r="M67" i="46"/>
  <c r="M64" i="46"/>
  <c r="M62" i="46"/>
  <c r="M61" i="46"/>
  <c r="M60" i="46"/>
  <c r="L59" i="46"/>
  <c r="J59" i="46"/>
  <c r="M58" i="46"/>
  <c r="M57" i="46"/>
  <c r="M56" i="46"/>
  <c r="L55" i="46"/>
  <c r="J55" i="46"/>
  <c r="M54" i="46"/>
  <c r="M53" i="46"/>
  <c r="M52" i="46"/>
  <c r="L51" i="46"/>
  <c r="L49" i="46" s="1"/>
  <c r="J51" i="46"/>
  <c r="M50" i="46"/>
  <c r="J49" i="46"/>
  <c r="M47" i="46"/>
  <c r="M46" i="46"/>
  <c r="L45" i="46"/>
  <c r="J45" i="46"/>
  <c r="M44" i="46"/>
  <c r="M43" i="46"/>
  <c r="L42" i="46"/>
  <c r="J42" i="46"/>
  <c r="M41" i="46"/>
  <c r="M40" i="46"/>
  <c r="M39" i="46"/>
  <c r="M38" i="46"/>
  <c r="L37" i="46"/>
  <c r="J37" i="46"/>
  <c r="M37" i="46" s="1"/>
  <c r="M34" i="46"/>
  <c r="M33" i="46"/>
  <c r="L32" i="46"/>
  <c r="J32" i="46"/>
  <c r="M31" i="46"/>
  <c r="M30" i="46"/>
  <c r="M29" i="46"/>
  <c r="M28" i="46"/>
  <c r="L27" i="46"/>
  <c r="L26" i="46" s="1"/>
  <c r="J27" i="46"/>
  <c r="M25" i="46"/>
  <c r="M24" i="46"/>
  <c r="M23" i="46"/>
  <c r="L22" i="46"/>
  <c r="J22" i="46"/>
  <c r="J21" i="46" s="1"/>
  <c r="M20" i="46"/>
  <c r="M19" i="46"/>
  <c r="M18" i="46"/>
  <c r="L17" i="46"/>
  <c r="J17" i="46"/>
  <c r="J16" i="46" s="1"/>
  <c r="J15" i="46" s="1"/>
  <c r="M13" i="46"/>
  <c r="M12" i="46"/>
  <c r="M11" i="46"/>
  <c r="H260" i="46"/>
  <c r="H259" i="46"/>
  <c r="H258" i="46"/>
  <c r="H256" i="46"/>
  <c r="H255" i="46"/>
  <c r="H254" i="46"/>
  <c r="H252" i="46"/>
  <c r="H251" i="46"/>
  <c r="H247" i="46"/>
  <c r="H246" i="46"/>
  <c r="H245" i="46"/>
  <c r="H243" i="46"/>
  <c r="H242" i="46"/>
  <c r="H241" i="46"/>
  <c r="H239" i="46"/>
  <c r="H238" i="46"/>
  <c r="H237" i="46"/>
  <c r="H235" i="46"/>
  <c r="H232" i="46"/>
  <c r="H230" i="46"/>
  <c r="H229" i="46"/>
  <c r="H228" i="46"/>
  <c r="H226" i="46"/>
  <c r="H225" i="46"/>
  <c r="H224" i="46"/>
  <c r="H222" i="46"/>
  <c r="H221" i="46"/>
  <c r="H220" i="46"/>
  <c r="H218" i="46"/>
  <c r="H215" i="46"/>
  <c r="H214" i="46"/>
  <c r="H212" i="46"/>
  <c r="H211" i="46"/>
  <c r="H209" i="46"/>
  <c r="H208" i="46"/>
  <c r="H207" i="46"/>
  <c r="H206" i="46"/>
  <c r="H202" i="46"/>
  <c r="H201" i="46"/>
  <c r="H199" i="46"/>
  <c r="H198" i="46"/>
  <c r="H197" i="46"/>
  <c r="H196" i="46"/>
  <c r="H193" i="46"/>
  <c r="H192" i="46"/>
  <c r="H191" i="46"/>
  <c r="H188" i="46"/>
  <c r="H187" i="46"/>
  <c r="H186" i="46"/>
  <c r="H181" i="46"/>
  <c r="H180" i="46"/>
  <c r="H179" i="46"/>
  <c r="H177" i="46"/>
  <c r="H176" i="46"/>
  <c r="H175" i="46"/>
  <c r="H174" i="46"/>
  <c r="H172" i="46"/>
  <c r="H171" i="46"/>
  <c r="H170" i="46"/>
  <c r="H168" i="46"/>
  <c r="H167" i="46"/>
  <c r="H163" i="46"/>
  <c r="H162" i="46"/>
  <c r="H161" i="46"/>
  <c r="H159" i="46"/>
  <c r="H158" i="46"/>
  <c r="H157" i="46"/>
  <c r="H155" i="46"/>
  <c r="H154" i="46"/>
  <c r="H153" i="46"/>
  <c r="H151" i="46"/>
  <c r="H148" i="46"/>
  <c r="H146" i="46"/>
  <c r="H145" i="46"/>
  <c r="H144" i="46"/>
  <c r="H142" i="46"/>
  <c r="H141" i="46"/>
  <c r="H140" i="46"/>
  <c r="H138" i="46"/>
  <c r="H137" i="46"/>
  <c r="H136" i="46"/>
  <c r="H134" i="46"/>
  <c r="H131" i="46"/>
  <c r="H130" i="46"/>
  <c r="H128" i="46"/>
  <c r="H127" i="46"/>
  <c r="H125" i="46"/>
  <c r="H124" i="46"/>
  <c r="H123" i="46"/>
  <c r="H122" i="46"/>
  <c r="H118" i="46"/>
  <c r="H117" i="46"/>
  <c r="H115" i="46"/>
  <c r="H114" i="46"/>
  <c r="H113" i="46"/>
  <c r="H112" i="46"/>
  <c r="H109" i="46"/>
  <c r="H108" i="46"/>
  <c r="H107" i="46"/>
  <c r="H104" i="46"/>
  <c r="H103" i="46"/>
  <c r="H102" i="46"/>
  <c r="H97" i="46"/>
  <c r="H96" i="46"/>
  <c r="H95" i="46"/>
  <c r="H93" i="46"/>
  <c r="H92" i="46"/>
  <c r="H91" i="46"/>
  <c r="H90" i="46"/>
  <c r="H88" i="46"/>
  <c r="H87" i="46"/>
  <c r="H86" i="46"/>
  <c r="H84" i="46"/>
  <c r="H83" i="46"/>
  <c r="H79" i="46"/>
  <c r="H78" i="46"/>
  <c r="H77" i="46"/>
  <c r="H75" i="46"/>
  <c r="H74" i="46"/>
  <c r="H73" i="46"/>
  <c r="H71" i="46"/>
  <c r="H70" i="46"/>
  <c r="H69" i="46"/>
  <c r="H67" i="46"/>
  <c r="H64" i="46"/>
  <c r="H62" i="46"/>
  <c r="H61" i="46"/>
  <c r="H60" i="46"/>
  <c r="H58" i="46"/>
  <c r="H57" i="46"/>
  <c r="H56" i="46"/>
  <c r="H54" i="46"/>
  <c r="H53" i="46"/>
  <c r="H52" i="46"/>
  <c r="H50" i="46"/>
  <c r="H47" i="46"/>
  <c r="H46" i="46"/>
  <c r="H44" i="46"/>
  <c r="H43" i="46"/>
  <c r="H41" i="46"/>
  <c r="H40" i="46"/>
  <c r="H39" i="46"/>
  <c r="H38" i="46"/>
  <c r="H34" i="46"/>
  <c r="H33" i="46"/>
  <c r="H31" i="46"/>
  <c r="H30" i="46"/>
  <c r="H29" i="46"/>
  <c r="H28" i="46"/>
  <c r="H25" i="46"/>
  <c r="H24" i="46"/>
  <c r="H23" i="46"/>
  <c r="H20" i="46"/>
  <c r="H19" i="46"/>
  <c r="H18" i="46"/>
  <c r="H13" i="46"/>
  <c r="H12" i="46"/>
  <c r="H11" i="46"/>
  <c r="R12" i="170" l="1"/>
  <c r="M12" i="170"/>
  <c r="H12" i="170"/>
  <c r="Q12" i="170"/>
  <c r="L12" i="170"/>
  <c r="G12" i="170"/>
  <c r="O12" i="170"/>
  <c r="J12" i="170"/>
  <c r="E12" i="170"/>
  <c r="Z41" i="170"/>
  <c r="N12" i="170"/>
  <c r="Z12" i="170" s="1"/>
  <c r="X41" i="170"/>
  <c r="I12" i="170"/>
  <c r="V41" i="170"/>
  <c r="D12" i="170"/>
  <c r="V12" i="170" s="1"/>
  <c r="M227" i="46"/>
  <c r="M17" i="46"/>
  <c r="R59" i="46"/>
  <c r="R169" i="46"/>
  <c r="R194" i="46"/>
  <c r="R213" i="46"/>
  <c r="L48" i="46"/>
  <c r="L36" i="46" s="1"/>
  <c r="R76" i="46"/>
  <c r="Q165" i="46"/>
  <c r="R17" i="46"/>
  <c r="O65" i="46"/>
  <c r="O63" i="46" s="1"/>
  <c r="R85" i="46"/>
  <c r="R111" i="46"/>
  <c r="R160" i="46"/>
  <c r="R219" i="46"/>
  <c r="M219" i="46"/>
  <c r="J249" i="46"/>
  <c r="R89" i="46"/>
  <c r="L65" i="150"/>
  <c r="L63" i="150" s="1"/>
  <c r="M42" i="150"/>
  <c r="M45" i="150"/>
  <c r="M72" i="150"/>
  <c r="O65" i="30"/>
  <c r="O63" i="30" s="1"/>
  <c r="H72" i="30"/>
  <c r="R223" i="54"/>
  <c r="O132" i="17"/>
  <c r="O120" i="17" s="1"/>
  <c r="Q216" i="150"/>
  <c r="Q249" i="150"/>
  <c r="N234" i="146"/>
  <c r="I217" i="146"/>
  <c r="L16" i="46"/>
  <c r="L15" i="46" s="1"/>
  <c r="M51" i="46"/>
  <c r="M85" i="46"/>
  <c r="M205" i="46"/>
  <c r="O233" i="46"/>
  <c r="O231" i="46" s="1"/>
  <c r="H17" i="30"/>
  <c r="H89" i="30"/>
  <c r="L233" i="30"/>
  <c r="L231" i="30" s="1"/>
  <c r="G249" i="30"/>
  <c r="R253" i="30"/>
  <c r="M51" i="54"/>
  <c r="M76" i="54"/>
  <c r="E149" i="54"/>
  <c r="E147" i="54" s="1"/>
  <c r="R173" i="54"/>
  <c r="H205" i="54"/>
  <c r="R42" i="94"/>
  <c r="G48" i="94"/>
  <c r="G36" i="94" s="1"/>
  <c r="Q48" i="94"/>
  <c r="M76" i="94"/>
  <c r="J165" i="150"/>
  <c r="M223" i="150"/>
  <c r="N217" i="146"/>
  <c r="J16" i="30"/>
  <c r="E49" i="30"/>
  <c r="H17" i="54"/>
  <c r="L65" i="94"/>
  <c r="L63" i="94" s="1"/>
  <c r="M152" i="94"/>
  <c r="R55" i="150"/>
  <c r="G65" i="150"/>
  <c r="G63" i="150" s="1"/>
  <c r="I133" i="146"/>
  <c r="M49" i="46"/>
  <c r="M169" i="46"/>
  <c r="M195" i="46"/>
  <c r="M213" i="46"/>
  <c r="R116" i="46"/>
  <c r="R121" i="46"/>
  <c r="Q216" i="46"/>
  <c r="R55" i="30"/>
  <c r="G81" i="30"/>
  <c r="M106" i="30"/>
  <c r="R195" i="30"/>
  <c r="M205" i="30"/>
  <c r="H210" i="30"/>
  <c r="R210" i="30"/>
  <c r="H213" i="30"/>
  <c r="M227" i="30"/>
  <c r="M253" i="30"/>
  <c r="H82" i="54"/>
  <c r="H85" i="54"/>
  <c r="M219" i="54"/>
  <c r="R240" i="54"/>
  <c r="L48" i="17"/>
  <c r="L36" i="17" s="1"/>
  <c r="R116" i="17"/>
  <c r="R121" i="17"/>
  <c r="J21" i="94"/>
  <c r="M21" i="94" s="1"/>
  <c r="R32" i="94"/>
  <c r="R37" i="94"/>
  <c r="M51" i="94"/>
  <c r="H59" i="94"/>
  <c r="R135" i="94"/>
  <c r="L216" i="94"/>
  <c r="R223" i="94"/>
  <c r="L233" i="94"/>
  <c r="L231" i="94" s="1"/>
  <c r="R240" i="94"/>
  <c r="J48" i="150"/>
  <c r="J36" i="150" s="1"/>
  <c r="R59" i="150"/>
  <c r="H76" i="150"/>
  <c r="H205" i="150"/>
  <c r="M210" i="150"/>
  <c r="H223" i="150"/>
  <c r="J68" i="146"/>
  <c r="R152" i="150"/>
  <c r="R173" i="150"/>
  <c r="J105" i="150"/>
  <c r="M105" i="150" s="1"/>
  <c r="M143" i="150"/>
  <c r="M160" i="150"/>
  <c r="M26" i="150"/>
  <c r="H169" i="150"/>
  <c r="H21" i="94"/>
  <c r="M111" i="94"/>
  <c r="H116" i="94"/>
  <c r="M126" i="94"/>
  <c r="M129" i="94"/>
  <c r="R89" i="94"/>
  <c r="R106" i="94"/>
  <c r="G132" i="94"/>
  <c r="G120" i="94" s="1"/>
  <c r="H139" i="94"/>
  <c r="R152" i="94"/>
  <c r="R173" i="94"/>
  <c r="M89" i="94"/>
  <c r="L150" i="94"/>
  <c r="L149" i="94" s="1"/>
  <c r="L147" i="94" s="1"/>
  <c r="H152" i="94"/>
  <c r="M194" i="94"/>
  <c r="H166" i="94"/>
  <c r="H27" i="94"/>
  <c r="H185" i="94"/>
  <c r="G182" i="94"/>
  <c r="G178" i="94" s="1"/>
  <c r="H89" i="94"/>
  <c r="H110" i="94"/>
  <c r="H111" i="94"/>
  <c r="E149" i="94"/>
  <c r="E147" i="94" s="1"/>
  <c r="R143" i="17"/>
  <c r="R200" i="17"/>
  <c r="R26" i="17"/>
  <c r="L165" i="17"/>
  <c r="H185" i="17"/>
  <c r="E132" i="17"/>
  <c r="E120" i="17" s="1"/>
  <c r="H16" i="54"/>
  <c r="Q14" i="54"/>
  <c r="Q10" i="54" s="1"/>
  <c r="R116" i="54"/>
  <c r="L149" i="54"/>
  <c r="L147" i="54" s="1"/>
  <c r="H156" i="54"/>
  <c r="M166" i="54"/>
  <c r="H89" i="54"/>
  <c r="R89" i="54"/>
  <c r="R106" i="54"/>
  <c r="M143" i="54"/>
  <c r="M156" i="54"/>
  <c r="R166" i="54"/>
  <c r="L182" i="54"/>
  <c r="E132" i="54"/>
  <c r="H132" i="54" s="1"/>
  <c r="H169" i="54"/>
  <c r="L98" i="54"/>
  <c r="L94" i="54" s="1"/>
  <c r="H139" i="54"/>
  <c r="M89" i="54"/>
  <c r="M105" i="54"/>
  <c r="M111" i="54"/>
  <c r="H121" i="54"/>
  <c r="M129" i="54"/>
  <c r="M173" i="54"/>
  <c r="M185" i="54"/>
  <c r="H101" i="54"/>
  <c r="H152" i="54"/>
  <c r="H185" i="54"/>
  <c r="H166" i="54"/>
  <c r="Q165" i="30"/>
  <c r="Q132" i="30"/>
  <c r="Q120" i="30" s="1"/>
  <c r="M116" i="30"/>
  <c r="R129" i="30"/>
  <c r="M152" i="30"/>
  <c r="J105" i="30"/>
  <c r="M105" i="30" s="1"/>
  <c r="M143" i="30"/>
  <c r="H105" i="30"/>
  <c r="H139" i="30"/>
  <c r="H156" i="30"/>
  <c r="M169" i="30"/>
  <c r="M185" i="30"/>
  <c r="E81" i="30"/>
  <c r="H81" i="30" s="1"/>
  <c r="L98" i="30"/>
  <c r="L94" i="30" s="1"/>
  <c r="G132" i="30"/>
  <c r="G120" i="30" s="1"/>
  <c r="E165" i="30"/>
  <c r="H169" i="30"/>
  <c r="Q98" i="46"/>
  <c r="Q94" i="46" s="1"/>
  <c r="R139" i="46"/>
  <c r="J81" i="46"/>
  <c r="R185" i="46"/>
  <c r="L98" i="46"/>
  <c r="L94" i="46" s="1"/>
  <c r="L132" i="46"/>
  <c r="L120" i="46" s="1"/>
  <c r="M139" i="46"/>
  <c r="M173" i="46"/>
  <c r="M89" i="46"/>
  <c r="M111" i="46"/>
  <c r="M129" i="46"/>
  <c r="M200" i="46"/>
  <c r="L17" i="146"/>
  <c r="L16" i="146" s="1"/>
  <c r="L15" i="146" s="1"/>
  <c r="H217" i="30"/>
  <c r="Q98" i="54"/>
  <c r="Q94" i="54" s="1"/>
  <c r="R22" i="94"/>
  <c r="O21" i="94"/>
  <c r="R21" i="94" s="1"/>
  <c r="M190" i="46"/>
  <c r="M236" i="46"/>
  <c r="M250" i="46"/>
  <c r="R126" i="46"/>
  <c r="G14" i="30"/>
  <c r="G10" i="30" s="1"/>
  <c r="R126" i="30"/>
  <c r="L150" i="30"/>
  <c r="M150" i="30" s="1"/>
  <c r="H51" i="54"/>
  <c r="M253" i="54"/>
  <c r="Q216" i="17"/>
  <c r="Q204" i="17" s="1"/>
  <c r="H32" i="94"/>
  <c r="J48" i="46"/>
  <c r="M48" i="46" s="1"/>
  <c r="J217" i="46"/>
  <c r="M217" i="46" s="1"/>
  <c r="L234" i="46"/>
  <c r="M234" i="46" s="1"/>
  <c r="R190" i="46"/>
  <c r="R236" i="46"/>
  <c r="M26" i="54"/>
  <c r="M160" i="54"/>
  <c r="R129" i="150"/>
  <c r="E234" i="146"/>
  <c r="R49" i="46"/>
  <c r="R150" i="17"/>
  <c r="M76" i="46"/>
  <c r="O14" i="46"/>
  <c r="O10" i="46" s="1"/>
  <c r="R200" i="46"/>
  <c r="R227" i="46"/>
  <c r="E16" i="30"/>
  <c r="E15" i="30" s="1"/>
  <c r="H15" i="30" s="1"/>
  <c r="H45" i="30"/>
  <c r="L48" i="30"/>
  <c r="L36" i="30" s="1"/>
  <c r="M121" i="30"/>
  <c r="J132" i="30"/>
  <c r="J120" i="30" s="1"/>
  <c r="H160" i="30"/>
  <c r="H240" i="30"/>
  <c r="O105" i="54"/>
  <c r="R105" i="54" s="1"/>
  <c r="G132" i="54"/>
  <c r="G149" i="54"/>
  <c r="G147" i="54" s="1"/>
  <c r="H147" i="54" s="1"/>
  <c r="E217" i="54"/>
  <c r="H217" i="54" s="1"/>
  <c r="O233" i="54"/>
  <c r="O231" i="54" s="1"/>
  <c r="R36" i="170"/>
  <c r="R14" i="170" s="1"/>
  <c r="E165" i="17"/>
  <c r="R173" i="17"/>
  <c r="M45" i="94"/>
  <c r="J65" i="46"/>
  <c r="J63" i="46" s="1"/>
  <c r="M257" i="46"/>
  <c r="Q132" i="46"/>
  <c r="G98" i="30"/>
  <c r="G94" i="30" s="1"/>
  <c r="O105" i="30"/>
  <c r="R105" i="30" s="1"/>
  <c r="R133" i="30"/>
  <c r="M135" i="30"/>
  <c r="J165" i="30"/>
  <c r="R26" i="54"/>
  <c r="G49" i="54"/>
  <c r="H49" i="54" s="1"/>
  <c r="R121" i="54"/>
  <c r="J165" i="54"/>
  <c r="M223" i="54"/>
  <c r="Q216" i="94"/>
  <c r="Q204" i="94" s="1"/>
  <c r="E132" i="150"/>
  <c r="E120" i="150" s="1"/>
  <c r="L216" i="150"/>
  <c r="L204" i="150" s="1"/>
  <c r="L233" i="150"/>
  <c r="L231" i="150" s="1"/>
  <c r="M42" i="46"/>
  <c r="M45" i="46"/>
  <c r="M59" i="46"/>
  <c r="M72" i="46"/>
  <c r="M160" i="46"/>
  <c r="L165" i="46"/>
  <c r="M185" i="46"/>
  <c r="R42" i="46"/>
  <c r="R45" i="46"/>
  <c r="R51" i="46"/>
  <c r="O48" i="46"/>
  <c r="O36" i="46" s="1"/>
  <c r="R173" i="46"/>
  <c r="O217" i="46"/>
  <c r="R217" i="46" s="1"/>
  <c r="Q234" i="46"/>
  <c r="R234" i="46" s="1"/>
  <c r="R257" i="46"/>
  <c r="R32" i="30"/>
  <c r="H37" i="30"/>
  <c r="Q48" i="30"/>
  <c r="R72" i="30"/>
  <c r="R76" i="30"/>
  <c r="Q81" i="30"/>
  <c r="H116" i="30"/>
  <c r="M129" i="30"/>
  <c r="R135" i="30"/>
  <c r="E150" i="30"/>
  <c r="E149" i="30" s="1"/>
  <c r="E147" i="30" s="1"/>
  <c r="M156" i="30"/>
  <c r="R173" i="30"/>
  <c r="H185" i="30"/>
  <c r="O194" i="30"/>
  <c r="R194" i="30" s="1"/>
  <c r="L216" i="30"/>
  <c r="L204" i="30" s="1"/>
  <c r="R223" i="30"/>
  <c r="R244" i="30"/>
  <c r="H257" i="30"/>
  <c r="H22" i="54"/>
  <c r="R27" i="54"/>
  <c r="R42" i="54"/>
  <c r="H45" i="54"/>
  <c r="R45" i="54"/>
  <c r="J49" i="54"/>
  <c r="M49" i="54" s="1"/>
  <c r="H59" i="54"/>
  <c r="M72" i="54"/>
  <c r="R101" i="54"/>
  <c r="M106" i="54"/>
  <c r="R110" i="54"/>
  <c r="M116" i="54"/>
  <c r="M121" i="54"/>
  <c r="H126" i="54"/>
  <c r="R143" i="54"/>
  <c r="R160" i="54"/>
  <c r="L178" i="54"/>
  <c r="M195" i="54"/>
  <c r="M210" i="54"/>
  <c r="M213" i="54"/>
  <c r="L216" i="54"/>
  <c r="L204" i="54" s="1"/>
  <c r="H223" i="54"/>
  <c r="H36" i="170"/>
  <c r="H14" i="170" s="1"/>
  <c r="M17" i="17"/>
  <c r="R55" i="17"/>
  <c r="H68" i="17"/>
  <c r="R89" i="17"/>
  <c r="M101" i="17"/>
  <c r="M85" i="94"/>
  <c r="J81" i="94"/>
  <c r="N68" i="146"/>
  <c r="I68" i="146"/>
  <c r="D68" i="146"/>
  <c r="H22" i="17"/>
  <c r="R21" i="17"/>
  <c r="M55" i="17"/>
  <c r="H76" i="17"/>
  <c r="R76" i="17"/>
  <c r="H101" i="17"/>
  <c r="R101" i="17"/>
  <c r="M116" i="17"/>
  <c r="J149" i="17"/>
  <c r="J147" i="17" s="1"/>
  <c r="H169" i="17"/>
  <c r="M173" i="17"/>
  <c r="M223" i="17"/>
  <c r="H244" i="17"/>
  <c r="Q14" i="94"/>
  <c r="Q10" i="94" s="1"/>
  <c r="R76" i="94"/>
  <c r="R166" i="94"/>
  <c r="H169" i="94"/>
  <c r="M210" i="94"/>
  <c r="M213" i="94"/>
  <c r="M17" i="150"/>
  <c r="M42" i="17"/>
  <c r="M45" i="17"/>
  <c r="M85" i="17"/>
  <c r="Q98" i="17"/>
  <c r="Q94" i="17" s="1"/>
  <c r="R139" i="17"/>
  <c r="H156" i="17"/>
  <c r="M169" i="17"/>
  <c r="M213" i="17"/>
  <c r="M257" i="17"/>
  <c r="H72" i="94"/>
  <c r="H100" i="94"/>
  <c r="E132" i="94"/>
  <c r="E120" i="94" s="1"/>
  <c r="H156" i="94"/>
  <c r="R156" i="94"/>
  <c r="M173" i="94"/>
  <c r="J165" i="94"/>
  <c r="O194" i="94"/>
  <c r="R194" i="94" s="1"/>
  <c r="R195" i="94"/>
  <c r="M173" i="150"/>
  <c r="R195" i="150"/>
  <c r="G14" i="94"/>
  <c r="G10" i="94" s="1"/>
  <c r="M32" i="94"/>
  <c r="R45" i="94"/>
  <c r="H55" i="94"/>
  <c r="R55" i="94"/>
  <c r="R59" i="94"/>
  <c r="H82" i="94"/>
  <c r="R82" i="94"/>
  <c r="H85" i="94"/>
  <c r="Q132" i="94"/>
  <c r="Q120" i="94" s="1"/>
  <c r="M156" i="94"/>
  <c r="M160" i="94"/>
  <c r="M166" i="94"/>
  <c r="M205" i="94"/>
  <c r="H210" i="94"/>
  <c r="R213" i="94"/>
  <c r="H240" i="94"/>
  <c r="M253" i="94"/>
  <c r="M257" i="94"/>
  <c r="H17" i="150"/>
  <c r="R121" i="150"/>
  <c r="L249" i="150"/>
  <c r="M253" i="150"/>
  <c r="J234" i="146"/>
  <c r="D234" i="146"/>
  <c r="E217" i="146"/>
  <c r="R51" i="94"/>
  <c r="Q81" i="94"/>
  <c r="R81" i="94" s="1"/>
  <c r="M116" i="94"/>
  <c r="H126" i="94"/>
  <c r="M139" i="94"/>
  <c r="M143" i="94"/>
  <c r="H160" i="94"/>
  <c r="R160" i="94"/>
  <c r="H200" i="94"/>
  <c r="L204" i="94"/>
  <c r="L203" i="94" s="1"/>
  <c r="H227" i="94"/>
  <c r="M240" i="94"/>
  <c r="H250" i="94"/>
  <c r="R250" i="94"/>
  <c r="H45" i="150"/>
  <c r="M59" i="150"/>
  <c r="H89" i="150"/>
  <c r="M135" i="150"/>
  <c r="R143" i="150"/>
  <c r="J149" i="150"/>
  <c r="J147" i="150" s="1"/>
  <c r="Q204" i="150"/>
  <c r="M227" i="150"/>
  <c r="M240" i="150"/>
  <c r="R253" i="150"/>
  <c r="O234" i="146"/>
  <c r="I234" i="146"/>
  <c r="J217" i="146"/>
  <c r="D217" i="146"/>
  <c r="I37" i="170"/>
  <c r="X37" i="170" s="1"/>
  <c r="X38" i="170"/>
  <c r="N31" i="170"/>
  <c r="Z31" i="170" s="1"/>
  <c r="Z32" i="170"/>
  <c r="I31" i="170"/>
  <c r="X31" i="170" s="1"/>
  <c r="X32" i="170"/>
  <c r="N28" i="170"/>
  <c r="Z28" i="170" s="1"/>
  <c r="Z29" i="170"/>
  <c r="I28" i="170"/>
  <c r="X28" i="170" s="1"/>
  <c r="X29" i="170"/>
  <c r="N23" i="170"/>
  <c r="Z23" i="170" s="1"/>
  <c r="Z24" i="170"/>
  <c r="D23" i="170"/>
  <c r="V23" i="170" s="1"/>
  <c r="V24" i="170"/>
  <c r="N21" i="170"/>
  <c r="Z21" i="170" s="1"/>
  <c r="Z22" i="170"/>
  <c r="D21" i="170"/>
  <c r="V21" i="170" s="1"/>
  <c r="V22" i="170"/>
  <c r="N122" i="170"/>
  <c r="Z122" i="170" s="1"/>
  <c r="Z123" i="170"/>
  <c r="I122" i="170"/>
  <c r="X122" i="170" s="1"/>
  <c r="X123" i="170"/>
  <c r="D122" i="170"/>
  <c r="V122" i="170" s="1"/>
  <c r="V123" i="170"/>
  <c r="N120" i="170"/>
  <c r="Z120" i="170" s="1"/>
  <c r="Z121" i="170"/>
  <c r="I120" i="170"/>
  <c r="X120" i="170" s="1"/>
  <c r="X121" i="170"/>
  <c r="D120" i="170"/>
  <c r="V120" i="170" s="1"/>
  <c r="V121" i="170"/>
  <c r="N118" i="170"/>
  <c r="Z118" i="170" s="1"/>
  <c r="Z119" i="170"/>
  <c r="I118" i="170"/>
  <c r="X118" i="170" s="1"/>
  <c r="X119" i="170"/>
  <c r="D118" i="170"/>
  <c r="V118" i="170" s="1"/>
  <c r="V119" i="170"/>
  <c r="N116" i="170"/>
  <c r="Z116" i="170" s="1"/>
  <c r="Z117" i="170"/>
  <c r="I116" i="170"/>
  <c r="X116" i="170" s="1"/>
  <c r="X117" i="170"/>
  <c r="D116" i="170"/>
  <c r="V116" i="170" s="1"/>
  <c r="V117" i="170"/>
  <c r="N114" i="170"/>
  <c r="Z114" i="170" s="1"/>
  <c r="Z115" i="170"/>
  <c r="I114" i="170"/>
  <c r="X114" i="170" s="1"/>
  <c r="X115" i="170"/>
  <c r="D114" i="170"/>
  <c r="V114" i="170" s="1"/>
  <c r="V115" i="170"/>
  <c r="N112" i="170"/>
  <c r="Z112" i="170" s="1"/>
  <c r="Z113" i="170"/>
  <c r="I112" i="170"/>
  <c r="X112" i="170" s="1"/>
  <c r="X113" i="170"/>
  <c r="D112" i="170"/>
  <c r="V112" i="170" s="1"/>
  <c r="V113" i="170"/>
  <c r="N110" i="170"/>
  <c r="Z110" i="170" s="1"/>
  <c r="Z111" i="170"/>
  <c r="I110" i="170"/>
  <c r="X110" i="170" s="1"/>
  <c r="X111" i="170"/>
  <c r="D110" i="170"/>
  <c r="V110" i="170" s="1"/>
  <c r="V111" i="170"/>
  <c r="N103" i="170"/>
  <c r="Z103" i="170" s="1"/>
  <c r="Z104" i="170"/>
  <c r="I103" i="170"/>
  <c r="X103" i="170" s="1"/>
  <c r="X104" i="170"/>
  <c r="D103" i="170"/>
  <c r="V103" i="170" s="1"/>
  <c r="V104" i="170"/>
  <c r="N101" i="170"/>
  <c r="Z101" i="170" s="1"/>
  <c r="Z102" i="170"/>
  <c r="I101" i="170"/>
  <c r="X101" i="170" s="1"/>
  <c r="X102" i="170"/>
  <c r="D101" i="170"/>
  <c r="V101" i="170" s="1"/>
  <c r="V102" i="170"/>
  <c r="N99" i="170"/>
  <c r="Z99" i="170" s="1"/>
  <c r="Z100" i="170"/>
  <c r="I99" i="170"/>
  <c r="X99" i="170" s="1"/>
  <c r="X100" i="170"/>
  <c r="D99" i="170"/>
  <c r="V99" i="170" s="1"/>
  <c r="V100" i="170"/>
  <c r="D90" i="170"/>
  <c r="V90" i="170" s="1"/>
  <c r="V93" i="170"/>
  <c r="N15" i="170"/>
  <c r="Z15" i="170" s="1"/>
  <c r="Z69" i="170"/>
  <c r="I15" i="170"/>
  <c r="X15" i="170" s="1"/>
  <c r="X69" i="170"/>
  <c r="D15" i="170"/>
  <c r="V15" i="170" s="1"/>
  <c r="V69" i="170"/>
  <c r="N37" i="170"/>
  <c r="Z37" i="170" s="1"/>
  <c r="Z38" i="170"/>
  <c r="D37" i="170"/>
  <c r="V37" i="170" s="1"/>
  <c r="V38" i="170"/>
  <c r="D31" i="170"/>
  <c r="V31" i="170" s="1"/>
  <c r="V32" i="170"/>
  <c r="D28" i="170"/>
  <c r="V28" i="170" s="1"/>
  <c r="V29" i="170"/>
  <c r="I23" i="170"/>
  <c r="X23" i="170" s="1"/>
  <c r="X24" i="170"/>
  <c r="I21" i="170"/>
  <c r="X21" i="170" s="1"/>
  <c r="X22" i="170"/>
  <c r="E140" i="170"/>
  <c r="R140" i="170"/>
  <c r="D140" i="170"/>
  <c r="V140" i="170" s="1"/>
  <c r="N140" i="170"/>
  <c r="Z140" i="170" s="1"/>
  <c r="I140" i="170"/>
  <c r="X140" i="170" s="1"/>
  <c r="H140" i="170"/>
  <c r="M140" i="170"/>
  <c r="L140" i="170"/>
  <c r="J140" i="170"/>
  <c r="Q140" i="170"/>
  <c r="O140" i="170"/>
  <c r="G140" i="170"/>
  <c r="H42" i="150"/>
  <c r="E16" i="150"/>
  <c r="E15" i="150" s="1"/>
  <c r="H15" i="150" s="1"/>
  <c r="Q98" i="150"/>
  <c r="H51" i="150"/>
  <c r="Q48" i="150"/>
  <c r="Q36" i="150" s="1"/>
  <c r="M55" i="150"/>
  <c r="R85" i="150"/>
  <c r="M121" i="150"/>
  <c r="R139" i="150"/>
  <c r="G132" i="150"/>
  <c r="G120" i="150" s="1"/>
  <c r="H156" i="150"/>
  <c r="E165" i="150"/>
  <c r="H210" i="150"/>
  <c r="H213" i="150"/>
  <c r="R213" i="150"/>
  <c r="H244" i="150"/>
  <c r="E249" i="150"/>
  <c r="H257" i="150"/>
  <c r="R257" i="150"/>
  <c r="R135" i="150"/>
  <c r="H37" i="150"/>
  <c r="H49" i="150"/>
  <c r="L48" i="150"/>
  <c r="M48" i="150" s="1"/>
  <c r="H55" i="150"/>
  <c r="H59" i="150"/>
  <c r="H72" i="150"/>
  <c r="M111" i="150"/>
  <c r="J133" i="150"/>
  <c r="J132" i="150" s="1"/>
  <c r="M139" i="150"/>
  <c r="G149" i="150"/>
  <c r="G147" i="150" s="1"/>
  <c r="M166" i="150"/>
  <c r="M169" i="150"/>
  <c r="L182" i="150"/>
  <c r="L178" i="150" s="1"/>
  <c r="M194" i="150"/>
  <c r="M213" i="150"/>
  <c r="H217" i="150"/>
  <c r="R223" i="150"/>
  <c r="M257" i="150"/>
  <c r="D70" i="170"/>
  <c r="V70" i="170" s="1"/>
  <c r="N48" i="170"/>
  <c r="Z48" i="170" s="1"/>
  <c r="I25" i="170"/>
  <c r="X25" i="170" s="1"/>
  <c r="O80" i="170"/>
  <c r="I53" i="170"/>
  <c r="X53" i="170" s="1"/>
  <c r="E80" i="170"/>
  <c r="D48" i="170"/>
  <c r="V48" i="170" s="1"/>
  <c r="O95" i="170"/>
  <c r="O105" i="170"/>
  <c r="N80" i="170"/>
  <c r="Z80" i="170" s="1"/>
  <c r="D80" i="170"/>
  <c r="V80" i="170" s="1"/>
  <c r="N18" i="170"/>
  <c r="Z18" i="170" s="1"/>
  <c r="I18" i="170"/>
  <c r="X18" i="170" s="1"/>
  <c r="D18" i="170"/>
  <c r="V18" i="170" s="1"/>
  <c r="N33" i="170"/>
  <c r="Z33" i="170" s="1"/>
  <c r="D33" i="170"/>
  <c r="V33" i="170" s="1"/>
  <c r="O48" i="170"/>
  <c r="E48" i="170"/>
  <c r="I76" i="170"/>
  <c r="X76" i="170" s="1"/>
  <c r="N70" i="170"/>
  <c r="Z70" i="170" s="1"/>
  <c r="J64" i="170"/>
  <c r="Q18" i="170"/>
  <c r="L18" i="170"/>
  <c r="G18" i="170"/>
  <c r="E70" i="170"/>
  <c r="O70" i="170"/>
  <c r="O90" i="170"/>
  <c r="D39" i="170"/>
  <c r="V39" i="170" s="1"/>
  <c r="N39" i="170"/>
  <c r="Z39" i="170" s="1"/>
  <c r="X12" i="170"/>
  <c r="O39" i="170"/>
  <c r="E39" i="170"/>
  <c r="O213" i="146"/>
  <c r="N23" i="146"/>
  <c r="J213" i="146"/>
  <c r="D60" i="170"/>
  <c r="V60" i="170" s="1"/>
  <c r="E294" i="146"/>
  <c r="N60" i="170"/>
  <c r="Z60" i="170" s="1"/>
  <c r="M61" i="170"/>
  <c r="Q95" i="170"/>
  <c r="R86" i="170"/>
  <c r="H86" i="170"/>
  <c r="R80" i="170"/>
  <c r="M80" i="170"/>
  <c r="J76" i="170"/>
  <c r="Q70" i="170"/>
  <c r="G70" i="170"/>
  <c r="I64" i="170"/>
  <c r="X64" i="170" s="1"/>
  <c r="J105" i="170"/>
  <c r="J90" i="170"/>
  <c r="J14" i="170"/>
  <c r="J53" i="170"/>
  <c r="L48" i="170"/>
  <c r="N95" i="170"/>
  <c r="Z95" i="170" s="1"/>
  <c r="I95" i="170"/>
  <c r="X95" i="170" s="1"/>
  <c r="D95" i="170"/>
  <c r="V95" i="170" s="1"/>
  <c r="J80" i="170"/>
  <c r="R76" i="170"/>
  <c r="M76" i="170"/>
  <c r="H76" i="170"/>
  <c r="I70" i="170"/>
  <c r="X70" i="170" s="1"/>
  <c r="Q64" i="170"/>
  <c r="L64" i="170"/>
  <c r="G64" i="170"/>
  <c r="L95" i="170"/>
  <c r="M86" i="170"/>
  <c r="H80" i="170"/>
  <c r="L70" i="170"/>
  <c r="E105" i="170"/>
  <c r="E90" i="170"/>
  <c r="Q48" i="170"/>
  <c r="G48" i="170"/>
  <c r="R105" i="170"/>
  <c r="M105" i="170"/>
  <c r="H105" i="170"/>
  <c r="R90" i="170"/>
  <c r="M90" i="170"/>
  <c r="H90" i="170"/>
  <c r="R53" i="170"/>
  <c r="M53" i="170"/>
  <c r="H53" i="170"/>
  <c r="I48" i="170"/>
  <c r="X48" i="170" s="1"/>
  <c r="D13" i="170"/>
  <c r="V13" i="170" s="1"/>
  <c r="I43" i="170"/>
  <c r="X43" i="170" s="1"/>
  <c r="I39" i="170"/>
  <c r="X39" i="170" s="1"/>
  <c r="Q105" i="170"/>
  <c r="L105" i="170"/>
  <c r="G105" i="170"/>
  <c r="J95" i="170"/>
  <c r="Q90" i="170"/>
  <c r="L90" i="170"/>
  <c r="G90" i="170"/>
  <c r="I86" i="170"/>
  <c r="X86" i="170" s="1"/>
  <c r="I80" i="170"/>
  <c r="X80" i="170" s="1"/>
  <c r="J70" i="170"/>
  <c r="Q53" i="170"/>
  <c r="L53" i="170"/>
  <c r="G53" i="170"/>
  <c r="R48" i="170"/>
  <c r="M48" i="170"/>
  <c r="H48" i="170"/>
  <c r="R18" i="170"/>
  <c r="M18" i="170"/>
  <c r="H18" i="170"/>
  <c r="R43" i="170"/>
  <c r="M43" i="170"/>
  <c r="H43" i="170"/>
  <c r="R39" i="170"/>
  <c r="M39" i="170"/>
  <c r="H39" i="170"/>
  <c r="I33" i="170"/>
  <c r="X33" i="170" s="1"/>
  <c r="N13" i="170"/>
  <c r="Z13" i="170" s="1"/>
  <c r="Q43" i="170"/>
  <c r="L43" i="170"/>
  <c r="G43" i="170"/>
  <c r="Q39" i="170"/>
  <c r="L39" i="170"/>
  <c r="G39" i="170"/>
  <c r="M14" i="170"/>
  <c r="R25" i="170"/>
  <c r="M25" i="170"/>
  <c r="H25" i="170"/>
  <c r="N124" i="170"/>
  <c r="Z124" i="170" s="1"/>
  <c r="I124" i="170"/>
  <c r="X124" i="170" s="1"/>
  <c r="D124" i="170"/>
  <c r="V124" i="170" s="1"/>
  <c r="N105" i="170"/>
  <c r="Z105" i="170" s="1"/>
  <c r="I105" i="170"/>
  <c r="X105" i="170" s="1"/>
  <c r="D105" i="170"/>
  <c r="V105" i="170" s="1"/>
  <c r="R95" i="170"/>
  <c r="M95" i="170"/>
  <c r="N90" i="170"/>
  <c r="Z90" i="170" s="1"/>
  <c r="Q86" i="170"/>
  <c r="L86" i="170"/>
  <c r="G86" i="170"/>
  <c r="Q80" i="170"/>
  <c r="L80" i="170"/>
  <c r="G80" i="170"/>
  <c r="Q76" i="170"/>
  <c r="L76" i="170"/>
  <c r="G76" i="170"/>
  <c r="R70" i="170"/>
  <c r="M70" i="170"/>
  <c r="H70" i="170"/>
  <c r="R64" i="170"/>
  <c r="M64" i="170"/>
  <c r="H64" i="170"/>
  <c r="I60" i="170"/>
  <c r="X60" i="170" s="1"/>
  <c r="I14" i="170"/>
  <c r="X14" i="170" s="1"/>
  <c r="J48" i="170"/>
  <c r="O18" i="170"/>
  <c r="J18" i="170"/>
  <c r="E18" i="170"/>
  <c r="J39" i="170"/>
  <c r="Q25" i="170"/>
  <c r="L25" i="170"/>
  <c r="G25" i="170"/>
  <c r="O76" i="170"/>
  <c r="E76" i="170"/>
  <c r="O53" i="170"/>
  <c r="E53" i="170"/>
  <c r="O25" i="170"/>
  <c r="E25" i="170"/>
  <c r="N76" i="170"/>
  <c r="Z76" i="170" s="1"/>
  <c r="D76" i="170"/>
  <c r="V76" i="170" s="1"/>
  <c r="N53" i="170"/>
  <c r="Z53" i="170" s="1"/>
  <c r="D53" i="170"/>
  <c r="V53" i="170" s="1"/>
  <c r="Q14" i="170"/>
  <c r="L14" i="170"/>
  <c r="G14" i="170"/>
  <c r="I13" i="170"/>
  <c r="X13" i="170" s="1"/>
  <c r="N25" i="170"/>
  <c r="Z25" i="170" s="1"/>
  <c r="D25" i="170"/>
  <c r="V25" i="170" s="1"/>
  <c r="D11" i="170"/>
  <c r="V11" i="170" s="1"/>
  <c r="G95" i="170"/>
  <c r="O86" i="170"/>
  <c r="E86" i="170"/>
  <c r="O64" i="170"/>
  <c r="E64" i="170"/>
  <c r="O43" i="170"/>
  <c r="E43" i="170"/>
  <c r="O14" i="170"/>
  <c r="E14" i="170"/>
  <c r="J25" i="170"/>
  <c r="E95" i="170"/>
  <c r="I90" i="170"/>
  <c r="X90" i="170" s="1"/>
  <c r="N86" i="170"/>
  <c r="Z86" i="170" s="1"/>
  <c r="D86" i="170"/>
  <c r="V86" i="170" s="1"/>
  <c r="N64" i="170"/>
  <c r="Z64" i="170" s="1"/>
  <c r="D64" i="170"/>
  <c r="V64" i="170" s="1"/>
  <c r="N43" i="170"/>
  <c r="Z43" i="170" s="1"/>
  <c r="D43" i="170"/>
  <c r="V43" i="170" s="1"/>
  <c r="N14" i="170"/>
  <c r="Z14" i="170" s="1"/>
  <c r="D14" i="170"/>
  <c r="V14" i="170" s="1"/>
  <c r="I11" i="170"/>
  <c r="X11" i="170" s="1"/>
  <c r="N11" i="170"/>
  <c r="Z11" i="170" s="1"/>
  <c r="H95" i="170"/>
  <c r="R68" i="146"/>
  <c r="R51" i="146"/>
  <c r="Q68" i="146"/>
  <c r="L68" i="146"/>
  <c r="G68" i="146"/>
  <c r="Q51" i="146"/>
  <c r="L51" i="146"/>
  <c r="G51" i="146"/>
  <c r="R17" i="146"/>
  <c r="R16" i="146" s="1"/>
  <c r="R15" i="146" s="1"/>
  <c r="M17" i="146"/>
  <c r="M16" i="146" s="1"/>
  <c r="M15" i="146" s="1"/>
  <c r="H17" i="146"/>
  <c r="H16" i="146" s="1"/>
  <c r="H15" i="146" s="1"/>
  <c r="O68" i="146"/>
  <c r="J51" i="146"/>
  <c r="E51" i="146"/>
  <c r="Q17" i="146"/>
  <c r="Q16" i="146" s="1"/>
  <c r="Q15" i="146" s="1"/>
  <c r="G17" i="146"/>
  <c r="G16" i="146" s="1"/>
  <c r="G15" i="146" s="1"/>
  <c r="O17" i="146"/>
  <c r="O16" i="146" s="1"/>
  <c r="O15" i="146" s="1"/>
  <c r="J17" i="146"/>
  <c r="J16" i="146" s="1"/>
  <c r="J15" i="146" s="1"/>
  <c r="E17" i="146"/>
  <c r="E16" i="146" s="1"/>
  <c r="E15" i="146" s="1"/>
  <c r="O99" i="150"/>
  <c r="O98" i="150" s="1"/>
  <c r="R100" i="150"/>
  <c r="L99" i="150"/>
  <c r="L98" i="150" s="1"/>
  <c r="M100" i="150"/>
  <c r="G14" i="150"/>
  <c r="M27" i="150"/>
  <c r="L81" i="150"/>
  <c r="R101" i="150"/>
  <c r="R105" i="150"/>
  <c r="O150" i="150"/>
  <c r="R150" i="150" s="1"/>
  <c r="Q149" i="150"/>
  <c r="Q147" i="150" s="1"/>
  <c r="H185" i="150"/>
  <c r="O194" i="150"/>
  <c r="R194" i="150" s="1"/>
  <c r="H219" i="150"/>
  <c r="H22" i="150"/>
  <c r="R21" i="150"/>
  <c r="M37" i="150"/>
  <c r="O65" i="150"/>
  <c r="O63" i="150" s="1"/>
  <c r="H68" i="150"/>
  <c r="H82" i="150"/>
  <c r="O81" i="150"/>
  <c r="M85" i="150"/>
  <c r="M89" i="150"/>
  <c r="M101" i="150"/>
  <c r="M152" i="150"/>
  <c r="M156" i="150"/>
  <c r="H166" i="150"/>
  <c r="R166" i="150"/>
  <c r="M185" i="150"/>
  <c r="M195" i="150"/>
  <c r="M205" i="150"/>
  <c r="M219" i="150"/>
  <c r="O233" i="150"/>
  <c r="O231" i="150" s="1"/>
  <c r="R240" i="150"/>
  <c r="H250" i="150"/>
  <c r="M49" i="150"/>
  <c r="R22" i="150"/>
  <c r="R27" i="150"/>
  <c r="R42" i="150"/>
  <c r="M51" i="150"/>
  <c r="M68" i="150"/>
  <c r="R68" i="150"/>
  <c r="R72" i="150"/>
  <c r="R76" i="150"/>
  <c r="G81" i="150"/>
  <c r="R106" i="150"/>
  <c r="H126" i="150"/>
  <c r="L132" i="150"/>
  <c r="L120" i="150" s="1"/>
  <c r="H160" i="150"/>
  <c r="R160" i="150"/>
  <c r="L165" i="150"/>
  <c r="Q165" i="150"/>
  <c r="G182" i="150"/>
  <c r="G178" i="150" s="1"/>
  <c r="R210" i="150"/>
  <c r="R250" i="150"/>
  <c r="G249" i="150"/>
  <c r="M150" i="94"/>
  <c r="J149" i="94"/>
  <c r="M66" i="94"/>
  <c r="J65" i="94"/>
  <c r="J63" i="94" s="1"/>
  <c r="M63" i="94" s="1"/>
  <c r="O233" i="94"/>
  <c r="O231" i="94" s="1"/>
  <c r="R234" i="94"/>
  <c r="H217" i="94"/>
  <c r="E216" i="94"/>
  <c r="E204" i="94" s="1"/>
  <c r="O49" i="94"/>
  <c r="R49" i="94" s="1"/>
  <c r="M68" i="94"/>
  <c r="H76" i="94"/>
  <c r="G150" i="94"/>
  <c r="G149" i="94" s="1"/>
  <c r="G147" i="94" s="1"/>
  <c r="R17" i="94"/>
  <c r="J49" i="94"/>
  <c r="M49" i="94" s="1"/>
  <c r="H68" i="94"/>
  <c r="R68" i="94"/>
  <c r="Q65" i="94"/>
  <c r="Q63" i="94" s="1"/>
  <c r="Q35" i="94" s="1"/>
  <c r="R85" i="94"/>
  <c r="J132" i="94"/>
  <c r="H150" i="94"/>
  <c r="O150" i="94"/>
  <c r="E165" i="94"/>
  <c r="L165" i="94"/>
  <c r="Q165" i="94"/>
  <c r="R200" i="94"/>
  <c r="H219" i="94"/>
  <c r="G249" i="94"/>
  <c r="H22" i="94"/>
  <c r="M26" i="94"/>
  <c r="Q36" i="94"/>
  <c r="E65" i="94"/>
  <c r="E63" i="94" s="1"/>
  <c r="Q149" i="94"/>
  <c r="Q147" i="94" s="1"/>
  <c r="L178" i="94"/>
  <c r="M195" i="94"/>
  <c r="Q233" i="94"/>
  <c r="Q231" i="94" s="1"/>
  <c r="Q249" i="94"/>
  <c r="M27" i="94"/>
  <c r="H42" i="94"/>
  <c r="L48" i="94"/>
  <c r="L36" i="94" s="1"/>
  <c r="L35" i="94" s="1"/>
  <c r="L80" i="94" s="1"/>
  <c r="M55" i="94"/>
  <c r="O105" i="94"/>
  <c r="O98" i="94" s="1"/>
  <c r="J110" i="94"/>
  <c r="M110" i="94" s="1"/>
  <c r="R116" i="94"/>
  <c r="O133" i="94"/>
  <c r="R133" i="94" s="1"/>
  <c r="M169" i="94"/>
  <c r="R210" i="94"/>
  <c r="M219" i="94"/>
  <c r="H244" i="94"/>
  <c r="E249" i="94"/>
  <c r="H249" i="94" s="1"/>
  <c r="L249" i="94"/>
  <c r="R257" i="94"/>
  <c r="L364" i="146"/>
  <c r="O354" i="146"/>
  <c r="H217" i="17"/>
  <c r="Q10" i="17"/>
  <c r="H160" i="17"/>
  <c r="Q165" i="17"/>
  <c r="R27" i="17"/>
  <c r="H49" i="17"/>
  <c r="Q48" i="17"/>
  <c r="Q36" i="17" s="1"/>
  <c r="M72" i="17"/>
  <c r="G132" i="17"/>
  <c r="G120" i="17" s="1"/>
  <c r="M143" i="17"/>
  <c r="R152" i="17"/>
  <c r="Q149" i="17"/>
  <c r="Q147" i="17" s="1"/>
  <c r="E184" i="17"/>
  <c r="E183" i="17" s="1"/>
  <c r="H210" i="17"/>
  <c r="E249" i="17"/>
  <c r="M49" i="17"/>
  <c r="H17" i="17"/>
  <c r="E81" i="17"/>
  <c r="M26" i="17"/>
  <c r="H32" i="17"/>
  <c r="H45" i="17"/>
  <c r="M51" i="17"/>
  <c r="H59" i="17"/>
  <c r="R72" i="17"/>
  <c r="G81" i="17"/>
  <c r="E100" i="17"/>
  <c r="E99" i="17" s="1"/>
  <c r="H126" i="17"/>
  <c r="M139" i="17"/>
  <c r="H143" i="17"/>
  <c r="M156" i="17"/>
  <c r="H205" i="17"/>
  <c r="L216" i="17"/>
  <c r="L204" i="17" s="1"/>
  <c r="L203" i="17" s="1"/>
  <c r="H223" i="17"/>
  <c r="H227" i="17"/>
  <c r="Q249" i="17"/>
  <c r="R253" i="17"/>
  <c r="L81" i="17"/>
  <c r="L98" i="17"/>
  <c r="L94" i="17" s="1"/>
  <c r="R129" i="17"/>
  <c r="L132" i="17"/>
  <c r="L120" i="17" s="1"/>
  <c r="M152" i="17"/>
  <c r="M166" i="17"/>
  <c r="G182" i="17"/>
  <c r="G178" i="17" s="1"/>
  <c r="R250" i="17"/>
  <c r="R32" i="17"/>
  <c r="O65" i="17"/>
  <c r="O63" i="17" s="1"/>
  <c r="H72" i="17"/>
  <c r="H82" i="17"/>
  <c r="H89" i="17"/>
  <c r="O100" i="17"/>
  <c r="H106" i="17"/>
  <c r="R106" i="17"/>
  <c r="M129" i="17"/>
  <c r="H139" i="17"/>
  <c r="H152" i="17"/>
  <c r="J165" i="17"/>
  <c r="H166" i="17"/>
  <c r="R166" i="17"/>
  <c r="O194" i="17"/>
  <c r="R194" i="17" s="1"/>
  <c r="M194" i="17"/>
  <c r="H219" i="17"/>
  <c r="L233" i="17"/>
  <c r="L231" i="17" s="1"/>
  <c r="L249" i="17"/>
  <c r="M27" i="17"/>
  <c r="H51" i="17"/>
  <c r="L65" i="17"/>
  <c r="L63" i="17" s="1"/>
  <c r="M106" i="17"/>
  <c r="M111" i="17"/>
  <c r="G249" i="17"/>
  <c r="J16" i="17"/>
  <c r="J15" i="17" s="1"/>
  <c r="G14" i="17"/>
  <c r="G10" i="17" s="1"/>
  <c r="R42" i="17"/>
  <c r="H55" i="17"/>
  <c r="M59" i="17"/>
  <c r="Q81" i="17"/>
  <c r="M89" i="17"/>
  <c r="R105" i="17"/>
  <c r="R135" i="17"/>
  <c r="R160" i="17"/>
  <c r="M185" i="17"/>
  <c r="M195" i="17"/>
  <c r="H200" i="17"/>
  <c r="M205" i="17"/>
  <c r="M219" i="17"/>
  <c r="R240" i="17"/>
  <c r="H250" i="17"/>
  <c r="J464" i="146"/>
  <c r="R100" i="54"/>
  <c r="O99" i="54"/>
  <c r="R99" i="54" s="1"/>
  <c r="G14" i="54"/>
  <c r="G10" i="54" s="1"/>
  <c r="J149" i="54"/>
  <c r="M150" i="54"/>
  <c r="H66" i="54"/>
  <c r="Q48" i="54"/>
  <c r="Q36" i="54" s="1"/>
  <c r="M101" i="54"/>
  <c r="H106" i="54"/>
  <c r="Q216" i="54"/>
  <c r="Q204" i="54" s="1"/>
  <c r="E21" i="54"/>
  <c r="H21" i="54" s="1"/>
  <c r="L36" i="54"/>
  <c r="M55" i="54"/>
  <c r="M152" i="54"/>
  <c r="H160" i="54"/>
  <c r="L165" i="54"/>
  <c r="Q165" i="54"/>
  <c r="E184" i="54"/>
  <c r="E183" i="54" s="1"/>
  <c r="R32" i="54"/>
  <c r="R200" i="54"/>
  <c r="Q249" i="54"/>
  <c r="R21" i="54"/>
  <c r="L65" i="54"/>
  <c r="L63" i="54" s="1"/>
  <c r="E81" i="54"/>
  <c r="H81" i="54" s="1"/>
  <c r="G98" i="54"/>
  <c r="G94" i="54" s="1"/>
  <c r="E165" i="54"/>
  <c r="G182" i="54"/>
  <c r="G178" i="54" s="1"/>
  <c r="G249" i="54"/>
  <c r="E15" i="54"/>
  <c r="H15" i="54" s="1"/>
  <c r="J16" i="54"/>
  <c r="J15" i="54" s="1"/>
  <c r="M37" i="54"/>
  <c r="M45" i="54"/>
  <c r="E65" i="54"/>
  <c r="E63" i="54" s="1"/>
  <c r="O65" i="54"/>
  <c r="O63" i="54" s="1"/>
  <c r="H68" i="54"/>
  <c r="H72" i="54"/>
  <c r="R72" i="54"/>
  <c r="L81" i="54"/>
  <c r="H105" i="54"/>
  <c r="H116" i="54"/>
  <c r="L132" i="54"/>
  <c r="L120" i="54" s="1"/>
  <c r="R139" i="54"/>
  <c r="R152" i="54"/>
  <c r="Q149" i="54"/>
  <c r="Q147" i="54" s="1"/>
  <c r="M169" i="54"/>
  <c r="J184" i="54"/>
  <c r="J183" i="54" s="1"/>
  <c r="O194" i="54"/>
  <c r="R194" i="54" s="1"/>
  <c r="M194" i="54"/>
  <c r="R213" i="54"/>
  <c r="J217" i="54"/>
  <c r="J216" i="54" s="1"/>
  <c r="L233" i="54"/>
  <c r="L231" i="54" s="1"/>
  <c r="L203" i="54" s="1"/>
  <c r="L248" i="54" s="1"/>
  <c r="H244" i="54"/>
  <c r="E249" i="54"/>
  <c r="L249" i="54"/>
  <c r="R257" i="54"/>
  <c r="Q204" i="46"/>
  <c r="M32" i="46"/>
  <c r="M68" i="46"/>
  <c r="L149" i="46"/>
  <c r="L147" i="46" s="1"/>
  <c r="M244" i="46"/>
  <c r="Q120" i="46"/>
  <c r="Q149" i="46"/>
  <c r="Q147" i="46" s="1"/>
  <c r="R205" i="46"/>
  <c r="M22" i="46"/>
  <c r="M27" i="46"/>
  <c r="L66" i="46"/>
  <c r="L65" i="46" s="1"/>
  <c r="L63" i="46" s="1"/>
  <c r="J110" i="46"/>
  <c r="M110" i="46" s="1"/>
  <c r="M126" i="46"/>
  <c r="M143" i="46"/>
  <c r="M166" i="46"/>
  <c r="J184" i="46"/>
  <c r="J183" i="46" s="1"/>
  <c r="M183" i="46" s="1"/>
  <c r="L204" i="46"/>
  <c r="M210" i="46"/>
  <c r="M253" i="46"/>
  <c r="Q16" i="46"/>
  <c r="R16" i="46" s="1"/>
  <c r="R32" i="46"/>
  <c r="Q48" i="46"/>
  <c r="Q36" i="46" s="1"/>
  <c r="R68" i="46"/>
  <c r="R72" i="46"/>
  <c r="R82" i="46"/>
  <c r="R106" i="46"/>
  <c r="R129" i="46"/>
  <c r="R166" i="46"/>
  <c r="O184" i="46"/>
  <c r="O183" i="46" s="1"/>
  <c r="R183" i="46" s="1"/>
  <c r="R210" i="46"/>
  <c r="R253" i="46"/>
  <c r="Q326" i="146"/>
  <c r="J444" i="146"/>
  <c r="M150" i="46"/>
  <c r="J427" i="146"/>
  <c r="M82" i="46"/>
  <c r="R244" i="46"/>
  <c r="M116" i="46"/>
  <c r="M121" i="46"/>
  <c r="M152" i="46"/>
  <c r="M240" i="46"/>
  <c r="R26" i="46"/>
  <c r="Q65" i="46"/>
  <c r="Q63" i="46" s="1"/>
  <c r="O110" i="46"/>
  <c r="R110" i="46" s="1"/>
  <c r="R143" i="46"/>
  <c r="R152" i="46"/>
  <c r="R240" i="46"/>
  <c r="Q249" i="46"/>
  <c r="R249" i="46" s="1"/>
  <c r="R100" i="30"/>
  <c r="O99" i="30"/>
  <c r="R99" i="30" s="1"/>
  <c r="O233" i="30"/>
  <c r="O231" i="30" s="1"/>
  <c r="R234" i="30"/>
  <c r="Q36" i="30"/>
  <c r="R101" i="30"/>
  <c r="H106" i="30"/>
  <c r="H111" i="30"/>
  <c r="M195" i="30"/>
  <c r="Q204" i="30"/>
  <c r="M217" i="30"/>
  <c r="H219" i="30"/>
  <c r="O459" i="146"/>
  <c r="O490" i="146"/>
  <c r="H265" i="146"/>
  <c r="M266" i="146"/>
  <c r="R267" i="146"/>
  <c r="R277" i="146"/>
  <c r="H16" i="30"/>
  <c r="E21" i="30"/>
  <c r="H21" i="30" s="1"/>
  <c r="R21" i="30"/>
  <c r="M49" i="30"/>
  <c r="M51" i="30"/>
  <c r="M55" i="30"/>
  <c r="M59" i="30"/>
  <c r="L65" i="30"/>
  <c r="L63" i="30" s="1"/>
  <c r="H76" i="30"/>
  <c r="R89" i="30"/>
  <c r="H101" i="30"/>
  <c r="M101" i="30"/>
  <c r="Q98" i="30"/>
  <c r="Q94" i="30" s="1"/>
  <c r="M111" i="30"/>
  <c r="J149" i="30"/>
  <c r="J147" i="30" s="1"/>
  <c r="L165" i="30"/>
  <c r="R200" i="30"/>
  <c r="M213" i="30"/>
  <c r="M219" i="30"/>
  <c r="H244" i="30"/>
  <c r="E249" i="30"/>
  <c r="H249" i="30" s="1"/>
  <c r="L249" i="30"/>
  <c r="R257" i="30"/>
  <c r="J477" i="146"/>
  <c r="M314" i="146"/>
  <c r="R315" i="146"/>
  <c r="M394" i="146"/>
  <c r="M140" i="146" s="1"/>
  <c r="R395" i="146"/>
  <c r="R141" i="146" s="1"/>
  <c r="O481" i="146"/>
  <c r="J504" i="146"/>
  <c r="E244" i="146"/>
  <c r="R27" i="30"/>
  <c r="M166" i="30"/>
  <c r="M26" i="30"/>
  <c r="H32" i="30"/>
  <c r="H42" i="30"/>
  <c r="R42" i="30"/>
  <c r="R51" i="30"/>
  <c r="E66" i="30"/>
  <c r="M76" i="30"/>
  <c r="H82" i="30"/>
  <c r="H85" i="30"/>
  <c r="M89" i="30"/>
  <c r="R116" i="30"/>
  <c r="H126" i="30"/>
  <c r="H129" i="30"/>
  <c r="H166" i="30"/>
  <c r="R166" i="30"/>
  <c r="L182" i="30"/>
  <c r="L178" i="30" s="1"/>
  <c r="R189" i="30"/>
  <c r="M194" i="30"/>
  <c r="R213" i="30"/>
  <c r="R219" i="30"/>
  <c r="Q233" i="30"/>
  <c r="Q249" i="30"/>
  <c r="M257" i="30"/>
  <c r="R366" i="146"/>
  <c r="R112" i="146" s="1"/>
  <c r="H368" i="146"/>
  <c r="H114" i="146" s="1"/>
  <c r="O477" i="146"/>
  <c r="J420" i="146"/>
  <c r="M367" i="146"/>
  <c r="M113" i="146" s="1"/>
  <c r="R394" i="146"/>
  <c r="R140" i="146" s="1"/>
  <c r="R265" i="146"/>
  <c r="H267" i="146"/>
  <c r="J276" i="146"/>
  <c r="H277" i="146"/>
  <c r="M278" i="146"/>
  <c r="R279" i="146"/>
  <c r="M369" i="146"/>
  <c r="M115" i="146" s="1"/>
  <c r="J494" i="146"/>
  <c r="J507" i="146"/>
  <c r="H366" i="146"/>
  <c r="H112" i="146" s="1"/>
  <c r="R368" i="146"/>
  <c r="R114" i="146" s="1"/>
  <c r="H396" i="146"/>
  <c r="H142" i="146" s="1"/>
  <c r="H315" i="146"/>
  <c r="M316" i="146"/>
  <c r="H283" i="146"/>
  <c r="M284" i="146"/>
  <c r="R285" i="146"/>
  <c r="M288" i="146"/>
  <c r="O296" i="146"/>
  <c r="H304" i="146"/>
  <c r="H307" i="146"/>
  <c r="M308" i="146"/>
  <c r="H310" i="146"/>
  <c r="M311" i="146"/>
  <c r="R312" i="146"/>
  <c r="L313" i="146"/>
  <c r="L322" i="146"/>
  <c r="M323" i="146"/>
  <c r="R324" i="146"/>
  <c r="M337" i="146"/>
  <c r="R338" i="146"/>
  <c r="L339" i="146"/>
  <c r="M340" i="146"/>
  <c r="R341" i="146"/>
  <c r="R349" i="146"/>
  <c r="R95" i="146" s="1"/>
  <c r="H351" i="146"/>
  <c r="J360" i="146"/>
  <c r="H367" i="146"/>
  <c r="H113" i="146" s="1"/>
  <c r="M368" i="146"/>
  <c r="M114" i="146" s="1"/>
  <c r="R369" i="146"/>
  <c r="R115" i="146" s="1"/>
  <c r="H371" i="146"/>
  <c r="H117" i="146" s="1"/>
  <c r="H116" i="146" s="1"/>
  <c r="M372" i="146"/>
  <c r="J375" i="146"/>
  <c r="H376" i="146"/>
  <c r="H122" i="146" s="1"/>
  <c r="M377" i="146"/>
  <c r="M123" i="146" s="1"/>
  <c r="R378" i="146"/>
  <c r="R124" i="146" s="1"/>
  <c r="R381" i="146"/>
  <c r="R127" i="146" s="1"/>
  <c r="O383" i="146"/>
  <c r="L393" i="146"/>
  <c r="M405" i="146"/>
  <c r="M151" i="146" s="1"/>
  <c r="M150" i="146" s="1"/>
  <c r="H407" i="146"/>
  <c r="M408" i="146"/>
  <c r="R409" i="146"/>
  <c r="L410" i="146"/>
  <c r="L423" i="146"/>
  <c r="M424" i="146"/>
  <c r="M170" i="146" s="1"/>
  <c r="R425" i="146"/>
  <c r="R171" i="146" s="1"/>
  <c r="R428" i="146"/>
  <c r="R174" i="146" s="1"/>
  <c r="H430" i="146"/>
  <c r="H176" i="146" s="1"/>
  <c r="M431" i="146"/>
  <c r="R433" i="146"/>
  <c r="R179" i="146" s="1"/>
  <c r="H435" i="146"/>
  <c r="J439" i="146"/>
  <c r="H440" i="146"/>
  <c r="M441" i="146"/>
  <c r="R442" i="146"/>
  <c r="H450" i="146"/>
  <c r="H196" i="146" s="1"/>
  <c r="M451" i="146"/>
  <c r="M197" i="146" s="1"/>
  <c r="R452" i="146"/>
  <c r="R198" i="146" s="1"/>
  <c r="R465" i="146"/>
  <c r="R211" i="146" s="1"/>
  <c r="L467" i="146"/>
  <c r="M468" i="146"/>
  <c r="M214" i="146" s="1"/>
  <c r="R469" i="146"/>
  <c r="R215" i="146" s="1"/>
  <c r="M472" i="146"/>
  <c r="M218" i="146" s="1"/>
  <c r="M217" i="146" s="1"/>
  <c r="H478" i="146"/>
  <c r="H224" i="146" s="1"/>
  <c r="M479" i="146"/>
  <c r="M225" i="146" s="1"/>
  <c r="R480" i="146"/>
  <c r="R226" i="146" s="1"/>
  <c r="H482" i="146"/>
  <c r="H228" i="146" s="1"/>
  <c r="M483" i="146"/>
  <c r="M229" i="146" s="1"/>
  <c r="R484" i="146"/>
  <c r="H491" i="146"/>
  <c r="M492" i="146"/>
  <c r="R493" i="146"/>
  <c r="H495" i="146"/>
  <c r="H241" i="146" s="1"/>
  <c r="M496" i="146"/>
  <c r="M242" i="146" s="1"/>
  <c r="R497" i="146"/>
  <c r="R243" i="146" s="1"/>
  <c r="L498" i="146"/>
  <c r="Q511" i="146"/>
  <c r="H513" i="146"/>
  <c r="H259" i="146" s="1"/>
  <c r="M514" i="146"/>
  <c r="M260" i="146" s="1"/>
  <c r="E250" i="146"/>
  <c r="L365" i="146"/>
  <c r="J397" i="146"/>
  <c r="O439" i="146"/>
  <c r="O498" i="146"/>
  <c r="O504" i="146"/>
  <c r="O253" i="146"/>
  <c r="J244" i="146"/>
  <c r="D88" i="146"/>
  <c r="H279" i="146"/>
  <c r="M282" i="146"/>
  <c r="R283" i="146"/>
  <c r="H285" i="146"/>
  <c r="R304" i="146"/>
  <c r="M306" i="146"/>
  <c r="R307" i="146"/>
  <c r="O309" i="146"/>
  <c r="R310" i="146"/>
  <c r="H312" i="146"/>
  <c r="Q322" i="146"/>
  <c r="H324" i="146"/>
  <c r="M325" i="146"/>
  <c r="J326" i="146"/>
  <c r="Q336" i="146"/>
  <c r="H338" i="146"/>
  <c r="H341" i="146"/>
  <c r="M342" i="146"/>
  <c r="H349" i="146"/>
  <c r="H95" i="146" s="1"/>
  <c r="M350" i="146"/>
  <c r="M96" i="146" s="1"/>
  <c r="R351" i="146"/>
  <c r="M366" i="146"/>
  <c r="M112" i="146" s="1"/>
  <c r="R367" i="146"/>
  <c r="R113" i="146" s="1"/>
  <c r="H369" i="146"/>
  <c r="H115" i="146" s="1"/>
  <c r="R376" i="146"/>
  <c r="R122" i="146" s="1"/>
  <c r="H378" i="146"/>
  <c r="H124" i="146" s="1"/>
  <c r="M379" i="146"/>
  <c r="M125" i="146" s="1"/>
  <c r="H381" i="146"/>
  <c r="H127" i="146" s="1"/>
  <c r="M382" i="146"/>
  <c r="M128" i="146" s="1"/>
  <c r="J383" i="146"/>
  <c r="Q393" i="146"/>
  <c r="H395" i="146"/>
  <c r="H141" i="146" s="1"/>
  <c r="M396" i="146"/>
  <c r="M142" i="146" s="1"/>
  <c r="R407" i="146"/>
  <c r="H409" i="146"/>
  <c r="Q423" i="146"/>
  <c r="H425" i="146"/>
  <c r="H171" i="146" s="1"/>
  <c r="M426" i="146"/>
  <c r="M172" i="146" s="1"/>
  <c r="H428" i="146"/>
  <c r="H174" i="146" s="1"/>
  <c r="M429" i="146"/>
  <c r="M175" i="146" s="1"/>
  <c r="R430" i="146"/>
  <c r="R176" i="146" s="1"/>
  <c r="H433" i="146"/>
  <c r="H179" i="146" s="1"/>
  <c r="M434" i="146"/>
  <c r="R435" i="146"/>
  <c r="R440" i="146"/>
  <c r="H442" i="146"/>
  <c r="R450" i="146"/>
  <c r="R196" i="146" s="1"/>
  <c r="H452" i="146"/>
  <c r="H198" i="146" s="1"/>
  <c r="M453" i="146"/>
  <c r="M199" i="146" s="1"/>
  <c r="L464" i="146"/>
  <c r="H465" i="146"/>
  <c r="H211" i="146" s="1"/>
  <c r="M466" i="146"/>
  <c r="M212" i="146" s="1"/>
  <c r="Q467" i="146"/>
  <c r="H469" i="146"/>
  <c r="H215" i="146" s="1"/>
  <c r="Q477" i="146"/>
  <c r="R478" i="146"/>
  <c r="R224" i="146" s="1"/>
  <c r="H480" i="146"/>
  <c r="H226" i="146" s="1"/>
  <c r="R482" i="146"/>
  <c r="R228" i="146" s="1"/>
  <c r="H484" i="146"/>
  <c r="M486" i="146"/>
  <c r="M232" i="146" s="1"/>
  <c r="R491" i="146"/>
  <c r="H493" i="146"/>
  <c r="R495" i="146"/>
  <c r="R241" i="146" s="1"/>
  <c r="H497" i="146"/>
  <c r="H243" i="146" s="1"/>
  <c r="L511" i="146"/>
  <c r="M512" i="146"/>
  <c r="M258" i="146" s="1"/>
  <c r="R513" i="146"/>
  <c r="R259" i="146" s="1"/>
  <c r="O250" i="146"/>
  <c r="N91" i="146"/>
  <c r="J406" i="146"/>
  <c r="O444" i="146"/>
  <c r="O467" i="146"/>
  <c r="H272" i="146"/>
  <c r="M273" i="146"/>
  <c r="R274" i="146"/>
  <c r="L281" i="146"/>
  <c r="O291" i="146"/>
  <c r="R292" i="146"/>
  <c r="H294" i="146"/>
  <c r="M295" i="146"/>
  <c r="J296" i="146"/>
  <c r="H297" i="146"/>
  <c r="M298" i="146"/>
  <c r="H300" i="146"/>
  <c r="M301" i="146"/>
  <c r="L303" i="146"/>
  <c r="L305" i="146"/>
  <c r="Q313" i="146"/>
  <c r="R318" i="146"/>
  <c r="H321" i="146"/>
  <c r="H328" i="146"/>
  <c r="M329" i="146"/>
  <c r="Q330" i="146"/>
  <c r="H332" i="146"/>
  <c r="M333" i="146"/>
  <c r="H344" i="146"/>
  <c r="M345" i="146"/>
  <c r="R346" i="146"/>
  <c r="H357" i="146"/>
  <c r="M358" i="146"/>
  <c r="R361" i="146"/>
  <c r="R107" i="146" s="1"/>
  <c r="H363" i="146"/>
  <c r="H109" i="146" s="1"/>
  <c r="O375" i="146"/>
  <c r="H384" i="146"/>
  <c r="H130" i="146" s="1"/>
  <c r="M385" i="146"/>
  <c r="M131" i="146" s="1"/>
  <c r="H388" i="146"/>
  <c r="H134" i="146" s="1"/>
  <c r="H133" i="146" s="1"/>
  <c r="Q389" i="146"/>
  <c r="R390" i="146"/>
  <c r="H392" i="146"/>
  <c r="H399" i="146"/>
  <c r="H145" i="146" s="1"/>
  <c r="M400" i="146"/>
  <c r="R402" i="146"/>
  <c r="R148" i="146" s="1"/>
  <c r="H412" i="146"/>
  <c r="H158" i="146" s="1"/>
  <c r="M413" i="146"/>
  <c r="M159" i="146" s="1"/>
  <c r="H415" i="146"/>
  <c r="H161" i="146" s="1"/>
  <c r="M416" i="146"/>
  <c r="M162" i="146" s="1"/>
  <c r="R417" i="146"/>
  <c r="Q420" i="146"/>
  <c r="H422" i="146"/>
  <c r="H168" i="146" s="1"/>
  <c r="R445" i="146"/>
  <c r="R191" i="146" s="1"/>
  <c r="H447" i="146"/>
  <c r="H193" i="146" s="1"/>
  <c r="O449" i="146"/>
  <c r="H456" i="146"/>
  <c r="Q459" i="146"/>
  <c r="H461" i="146"/>
  <c r="H207" i="146" s="1"/>
  <c r="M462" i="146"/>
  <c r="M208" i="146" s="1"/>
  <c r="R463" i="146"/>
  <c r="R209" i="146" s="1"/>
  <c r="L471" i="146"/>
  <c r="R474" i="146"/>
  <c r="H476" i="146"/>
  <c r="H489" i="146"/>
  <c r="H235" i="146" s="1"/>
  <c r="H234" i="146" s="1"/>
  <c r="H500" i="146"/>
  <c r="H246" i="146" s="1"/>
  <c r="M501" i="146"/>
  <c r="H505" i="146"/>
  <c r="H251" i="146" s="1"/>
  <c r="M506" i="146"/>
  <c r="M252" i="146" s="1"/>
  <c r="H508" i="146"/>
  <c r="H254" i="146" s="1"/>
  <c r="M509" i="146"/>
  <c r="M255" i="146" s="1"/>
  <c r="R510" i="146"/>
  <c r="R256" i="146" s="1"/>
  <c r="M265" i="146"/>
  <c r="R266" i="146"/>
  <c r="L271" i="146"/>
  <c r="M272" i="146"/>
  <c r="R273" i="146"/>
  <c r="Q276" i="146"/>
  <c r="H278" i="146"/>
  <c r="M279" i="146"/>
  <c r="R282" i="146"/>
  <c r="H284" i="146"/>
  <c r="M285" i="146"/>
  <c r="H288" i="146"/>
  <c r="H293" i="146"/>
  <c r="M294" i="146"/>
  <c r="R295" i="146"/>
  <c r="M297" i="146"/>
  <c r="R298" i="146"/>
  <c r="L299" i="146"/>
  <c r="M300" i="146"/>
  <c r="R301" i="146"/>
  <c r="R306" i="146"/>
  <c r="O271" i="146"/>
  <c r="R272" i="146"/>
  <c r="H274" i="146"/>
  <c r="H292" i="146"/>
  <c r="M293" i="146"/>
  <c r="R294" i="146"/>
  <c r="R297" i="146"/>
  <c r="R300" i="146"/>
  <c r="H318" i="146"/>
  <c r="R321" i="146"/>
  <c r="O326" i="146"/>
  <c r="M327" i="146"/>
  <c r="R328" i="146"/>
  <c r="L330" i="146"/>
  <c r="M331" i="146"/>
  <c r="R332" i="146"/>
  <c r="R344" i="146"/>
  <c r="H346" i="146"/>
  <c r="M347" i="146"/>
  <c r="O355" i="146"/>
  <c r="M356" i="146"/>
  <c r="R357" i="146"/>
  <c r="H361" i="146"/>
  <c r="H107" i="146" s="1"/>
  <c r="M362" i="146"/>
  <c r="M108" i="146" s="1"/>
  <c r="R363" i="146"/>
  <c r="R109" i="146" s="1"/>
  <c r="R384" i="146"/>
  <c r="R130" i="146" s="1"/>
  <c r="R388" i="146"/>
  <c r="R134" i="146" s="1"/>
  <c r="R133" i="146" s="1"/>
  <c r="H390" i="146"/>
  <c r="M391" i="146"/>
  <c r="R392" i="146"/>
  <c r="O397" i="146"/>
  <c r="M398" i="146"/>
  <c r="M144" i="146" s="1"/>
  <c r="R399" i="146"/>
  <c r="R145" i="146" s="1"/>
  <c r="H402" i="146"/>
  <c r="H148" i="146" s="1"/>
  <c r="M411" i="146"/>
  <c r="M157" i="146" s="1"/>
  <c r="R412" i="146"/>
  <c r="R158" i="146" s="1"/>
  <c r="R415" i="146"/>
  <c r="R161" i="146" s="1"/>
  <c r="H417" i="146"/>
  <c r="M421" i="146"/>
  <c r="M167" i="146" s="1"/>
  <c r="R422" i="146"/>
  <c r="R168" i="146" s="1"/>
  <c r="H445" i="146"/>
  <c r="H191" i="146" s="1"/>
  <c r="M446" i="146"/>
  <c r="M192" i="146" s="1"/>
  <c r="R447" i="146"/>
  <c r="R193" i="146" s="1"/>
  <c r="R456" i="146"/>
  <c r="L459" i="146"/>
  <c r="M460" i="146"/>
  <c r="M206" i="146" s="1"/>
  <c r="R461" i="146"/>
  <c r="R207" i="146" s="1"/>
  <c r="H463" i="146"/>
  <c r="H209" i="146" s="1"/>
  <c r="H474" i="146"/>
  <c r="M475" i="146"/>
  <c r="R476" i="146"/>
  <c r="L477" i="146"/>
  <c r="R489" i="146"/>
  <c r="R235" i="146" s="1"/>
  <c r="R234" i="146" s="1"/>
  <c r="L490" i="146"/>
  <c r="M499" i="146"/>
  <c r="M245" i="146" s="1"/>
  <c r="R500" i="146"/>
  <c r="R246" i="146" s="1"/>
  <c r="R505" i="146"/>
  <c r="R251" i="146" s="1"/>
  <c r="R508" i="146"/>
  <c r="R254" i="146" s="1"/>
  <c r="H510" i="146"/>
  <c r="H256" i="146" s="1"/>
  <c r="J511" i="146"/>
  <c r="O488" i="146"/>
  <c r="O473" i="146"/>
  <c r="O464" i="146"/>
  <c r="J481" i="146"/>
  <c r="O494" i="146"/>
  <c r="H266" i="146"/>
  <c r="M267" i="146"/>
  <c r="H273" i="146"/>
  <c r="M274" i="146"/>
  <c r="M277" i="146"/>
  <c r="R278" i="146"/>
  <c r="H282" i="146"/>
  <c r="M283" i="146"/>
  <c r="R284" i="146"/>
  <c r="R288" i="146"/>
  <c r="L291" i="146"/>
  <c r="M292" i="146"/>
  <c r="R293" i="146"/>
  <c r="H295" i="146"/>
  <c r="Q296" i="146"/>
  <c r="H298" i="146"/>
  <c r="Q299" i="146"/>
  <c r="H301" i="146"/>
  <c r="M304" i="146"/>
  <c r="H306" i="146"/>
  <c r="M307" i="146"/>
  <c r="R308" i="146"/>
  <c r="L309" i="146"/>
  <c r="M310" i="146"/>
  <c r="R311" i="146"/>
  <c r="R314" i="146"/>
  <c r="H316" i="146"/>
  <c r="M318" i="146"/>
  <c r="R323" i="146"/>
  <c r="H325" i="146"/>
  <c r="R327" i="146"/>
  <c r="H329" i="146"/>
  <c r="R331" i="146"/>
  <c r="H333" i="146"/>
  <c r="R337" i="146"/>
  <c r="O339" i="146"/>
  <c r="R340" i="146"/>
  <c r="H342" i="146"/>
  <c r="Q343" i="146"/>
  <c r="H345" i="146"/>
  <c r="M346" i="146"/>
  <c r="R347" i="146"/>
  <c r="H350" i="146"/>
  <c r="H96" i="146" s="1"/>
  <c r="M351" i="146"/>
  <c r="R356" i="146"/>
  <c r="H358" i="146"/>
  <c r="L360" i="146"/>
  <c r="M361" i="146"/>
  <c r="M107" i="146" s="1"/>
  <c r="R362" i="146"/>
  <c r="R108" i="146" s="1"/>
  <c r="J365" i="146"/>
  <c r="O370" i="146"/>
  <c r="R372" i="146"/>
  <c r="L375" i="146"/>
  <c r="M376" i="146"/>
  <c r="M122" i="146" s="1"/>
  <c r="R377" i="146"/>
  <c r="R123" i="146" s="1"/>
  <c r="H379" i="146"/>
  <c r="H125" i="146" s="1"/>
  <c r="Q380" i="146"/>
  <c r="H382" i="146"/>
  <c r="H128" i="146" s="1"/>
  <c r="Q383" i="146"/>
  <c r="H385" i="146"/>
  <c r="H131" i="146" s="1"/>
  <c r="O389" i="146"/>
  <c r="M390" i="146"/>
  <c r="R391" i="146"/>
  <c r="Q397" i="146"/>
  <c r="R398" i="146"/>
  <c r="R144" i="146" s="1"/>
  <c r="H400" i="146"/>
  <c r="M402" i="146"/>
  <c r="M148" i="146" s="1"/>
  <c r="R405" i="146"/>
  <c r="R151" i="146" s="1"/>
  <c r="R150" i="146" s="1"/>
  <c r="L406" i="146"/>
  <c r="M407" i="146"/>
  <c r="R408" i="146"/>
  <c r="O410" i="146"/>
  <c r="R411" i="146"/>
  <c r="R157" i="146" s="1"/>
  <c r="H413" i="146"/>
  <c r="H159" i="146" s="1"/>
  <c r="Q414" i="146"/>
  <c r="H416" i="146"/>
  <c r="H162" i="146" s="1"/>
  <c r="M417" i="146"/>
  <c r="R421" i="146"/>
  <c r="R167" i="146" s="1"/>
  <c r="O423" i="146"/>
  <c r="R424" i="146"/>
  <c r="R170" i="146" s="1"/>
  <c r="H426" i="146"/>
  <c r="H172" i="146" s="1"/>
  <c r="H308" i="146"/>
  <c r="H311" i="146"/>
  <c r="M312" i="146"/>
  <c r="H314" i="146"/>
  <c r="M315" i="146"/>
  <c r="R316" i="146"/>
  <c r="M321" i="146"/>
  <c r="H323" i="146"/>
  <c r="M324" i="146"/>
  <c r="R325" i="146"/>
  <c r="H327" i="146"/>
  <c r="M328" i="146"/>
  <c r="R329" i="146"/>
  <c r="H331" i="146"/>
  <c r="M332" i="146"/>
  <c r="R333" i="146"/>
  <c r="H337" i="146"/>
  <c r="M338" i="146"/>
  <c r="H340" i="146"/>
  <c r="M341" i="146"/>
  <c r="R342" i="146"/>
  <c r="L343" i="146"/>
  <c r="M344" i="146"/>
  <c r="R345" i="146"/>
  <c r="H347" i="146"/>
  <c r="M349" i="146"/>
  <c r="M95" i="146" s="1"/>
  <c r="R350" i="146"/>
  <c r="R96" i="146" s="1"/>
  <c r="L355" i="146"/>
  <c r="H356" i="146"/>
  <c r="M357" i="146"/>
  <c r="R358" i="146"/>
  <c r="Q360" i="146"/>
  <c r="H362" i="146"/>
  <c r="H108" i="146" s="1"/>
  <c r="M363" i="146"/>
  <c r="M109" i="146" s="1"/>
  <c r="O365" i="146"/>
  <c r="J370" i="146"/>
  <c r="H372" i="146"/>
  <c r="Q375" i="146"/>
  <c r="H377" i="146"/>
  <c r="H123" i="146" s="1"/>
  <c r="M378" i="146"/>
  <c r="M124" i="146" s="1"/>
  <c r="R379" i="146"/>
  <c r="R125" i="146" s="1"/>
  <c r="L380" i="146"/>
  <c r="M381" i="146"/>
  <c r="M127" i="146" s="1"/>
  <c r="R382" i="146"/>
  <c r="R128" i="146" s="1"/>
  <c r="L383" i="146"/>
  <c r="M384" i="146"/>
  <c r="M130" i="146" s="1"/>
  <c r="R385" i="146"/>
  <c r="R131" i="146" s="1"/>
  <c r="M388" i="146"/>
  <c r="M134" i="146" s="1"/>
  <c r="J389" i="146"/>
  <c r="H391" i="146"/>
  <c r="M392" i="146"/>
  <c r="H394" i="146"/>
  <c r="H140" i="146" s="1"/>
  <c r="M395" i="146"/>
  <c r="M141" i="146" s="1"/>
  <c r="R396" i="146"/>
  <c r="R142" i="146" s="1"/>
  <c r="H398" i="146"/>
  <c r="H144" i="146" s="1"/>
  <c r="M399" i="146"/>
  <c r="M145" i="146" s="1"/>
  <c r="R400" i="146"/>
  <c r="H405" i="146"/>
  <c r="H151" i="146" s="1"/>
  <c r="H150" i="146" s="1"/>
  <c r="H408" i="146"/>
  <c r="M409" i="146"/>
  <c r="J410" i="146"/>
  <c r="H411" i="146"/>
  <c r="H157" i="146" s="1"/>
  <c r="M412" i="146"/>
  <c r="M158" i="146" s="1"/>
  <c r="R413" i="146"/>
  <c r="R159" i="146" s="1"/>
  <c r="L414" i="146"/>
  <c r="M415" i="146"/>
  <c r="M161" i="146" s="1"/>
  <c r="R416" i="146"/>
  <c r="R162" i="146" s="1"/>
  <c r="L420" i="146"/>
  <c r="H421" i="146"/>
  <c r="H167" i="146" s="1"/>
  <c r="M422" i="146"/>
  <c r="M168" i="146" s="1"/>
  <c r="H424" i="146"/>
  <c r="H170" i="146" s="1"/>
  <c r="M425" i="146"/>
  <c r="M171" i="146" s="1"/>
  <c r="R426" i="146"/>
  <c r="R172" i="146" s="1"/>
  <c r="Q427" i="146"/>
  <c r="H429" i="146"/>
  <c r="H175" i="146" s="1"/>
  <c r="M430" i="146"/>
  <c r="M176" i="146" s="1"/>
  <c r="R431" i="146"/>
  <c r="H434" i="146"/>
  <c r="M435" i="146"/>
  <c r="L439" i="146"/>
  <c r="M440" i="146"/>
  <c r="R441" i="146"/>
  <c r="L444" i="146"/>
  <c r="M445" i="146"/>
  <c r="M191" i="146" s="1"/>
  <c r="R446" i="146"/>
  <c r="R192" i="146" s="1"/>
  <c r="M450" i="146"/>
  <c r="M196" i="146" s="1"/>
  <c r="R451" i="146"/>
  <c r="R197" i="146" s="1"/>
  <c r="H453" i="146"/>
  <c r="H199" i="146" s="1"/>
  <c r="Q454" i="146"/>
  <c r="R460" i="146"/>
  <c r="R206" i="146" s="1"/>
  <c r="H462" i="146"/>
  <c r="H208" i="146" s="1"/>
  <c r="M463" i="146"/>
  <c r="M209" i="146" s="1"/>
  <c r="Q464" i="146"/>
  <c r="H466" i="146"/>
  <c r="H212" i="146" s="1"/>
  <c r="R468" i="146"/>
  <c r="R214" i="146" s="1"/>
  <c r="R472" i="146"/>
  <c r="R218" i="146" s="1"/>
  <c r="R217" i="146" s="1"/>
  <c r="L473" i="146"/>
  <c r="M474" i="146"/>
  <c r="R475" i="146"/>
  <c r="M478" i="146"/>
  <c r="M224" i="146" s="1"/>
  <c r="R479" i="146"/>
  <c r="R225" i="146" s="1"/>
  <c r="L481" i="146"/>
  <c r="M482" i="146"/>
  <c r="M228" i="146" s="1"/>
  <c r="R483" i="146"/>
  <c r="R229" i="146" s="1"/>
  <c r="H486" i="146"/>
  <c r="H232" i="146" s="1"/>
  <c r="M491" i="146"/>
  <c r="R492" i="146"/>
  <c r="L494" i="146"/>
  <c r="M495" i="146"/>
  <c r="M241" i="146" s="1"/>
  <c r="R496" i="146"/>
  <c r="R242" i="146" s="1"/>
  <c r="R499" i="146"/>
  <c r="R245" i="146" s="1"/>
  <c r="H501" i="146"/>
  <c r="Q504" i="146"/>
  <c r="H506" i="146"/>
  <c r="H252" i="146" s="1"/>
  <c r="Q507" i="146"/>
  <c r="H509" i="146"/>
  <c r="H255" i="146" s="1"/>
  <c r="M510" i="146"/>
  <c r="M256" i="146" s="1"/>
  <c r="H512" i="146"/>
  <c r="H258" i="146" s="1"/>
  <c r="M513" i="146"/>
  <c r="M259" i="146" s="1"/>
  <c r="R514" i="146"/>
  <c r="R260" i="146" s="1"/>
  <c r="M428" i="146"/>
  <c r="M174" i="146" s="1"/>
  <c r="R429" i="146"/>
  <c r="R175" i="146" s="1"/>
  <c r="H431" i="146"/>
  <c r="M433" i="146"/>
  <c r="M179" i="146" s="1"/>
  <c r="R434" i="146"/>
  <c r="Q439" i="146"/>
  <c r="H441" i="146"/>
  <c r="M442" i="146"/>
  <c r="H446" i="146"/>
  <c r="H192" i="146" s="1"/>
  <c r="M447" i="146"/>
  <c r="M193" i="146" s="1"/>
  <c r="H451" i="146"/>
  <c r="H197" i="146" s="1"/>
  <c r="M452" i="146"/>
  <c r="M198" i="146" s="1"/>
  <c r="R453" i="146"/>
  <c r="R199" i="146" s="1"/>
  <c r="L454" i="146"/>
  <c r="M456" i="146"/>
  <c r="J459" i="146"/>
  <c r="H460" i="146"/>
  <c r="H206" i="146" s="1"/>
  <c r="M461" i="146"/>
  <c r="M207" i="146" s="1"/>
  <c r="R462" i="146"/>
  <c r="R208" i="146" s="1"/>
  <c r="M465" i="146"/>
  <c r="M211" i="146" s="1"/>
  <c r="R466" i="146"/>
  <c r="R212" i="146" s="1"/>
  <c r="H468" i="146"/>
  <c r="H214" i="146" s="1"/>
  <c r="M469" i="146"/>
  <c r="M215" i="146" s="1"/>
  <c r="H472" i="146"/>
  <c r="H218" i="146" s="1"/>
  <c r="H475" i="146"/>
  <c r="M476" i="146"/>
  <c r="H479" i="146"/>
  <c r="H225" i="146" s="1"/>
  <c r="M480" i="146"/>
  <c r="M226" i="146" s="1"/>
  <c r="Q481" i="146"/>
  <c r="H483" i="146"/>
  <c r="H229" i="146" s="1"/>
  <c r="M484" i="146"/>
  <c r="R486" i="146"/>
  <c r="R232" i="146" s="1"/>
  <c r="M489" i="146"/>
  <c r="M235" i="146" s="1"/>
  <c r="M234" i="146" s="1"/>
  <c r="H492" i="146"/>
  <c r="M493" i="146"/>
  <c r="Q494" i="146"/>
  <c r="H496" i="146"/>
  <c r="H242" i="146" s="1"/>
  <c r="M497" i="146"/>
  <c r="M243" i="146" s="1"/>
  <c r="J498" i="146"/>
  <c r="H499" i="146"/>
  <c r="H245" i="146" s="1"/>
  <c r="M500" i="146"/>
  <c r="M246" i="146" s="1"/>
  <c r="R501" i="146"/>
  <c r="M505" i="146"/>
  <c r="M251" i="146" s="1"/>
  <c r="R506" i="146"/>
  <c r="R252" i="146" s="1"/>
  <c r="M508" i="146"/>
  <c r="M254" i="146" s="1"/>
  <c r="R509" i="146"/>
  <c r="R255" i="146" s="1"/>
  <c r="O511" i="146"/>
  <c r="R512" i="146"/>
  <c r="R258" i="146" s="1"/>
  <c r="H514" i="146"/>
  <c r="H260" i="146" s="1"/>
  <c r="E223" i="146"/>
  <c r="N166" i="146"/>
  <c r="I160" i="146"/>
  <c r="J291" i="146"/>
  <c r="J305" i="146"/>
  <c r="O313" i="146"/>
  <c r="O336" i="146"/>
  <c r="O343" i="146"/>
  <c r="J355" i="146"/>
  <c r="Q364" i="146"/>
  <c r="Q365" i="146"/>
  <c r="O380" i="146"/>
  <c r="J393" i="146"/>
  <c r="L397" i="146"/>
  <c r="Q406" i="146"/>
  <c r="L427" i="146"/>
  <c r="I190" i="146"/>
  <c r="I189" i="146" s="1"/>
  <c r="J423" i="146"/>
  <c r="Q271" i="146"/>
  <c r="L276" i="146"/>
  <c r="O299" i="146"/>
  <c r="O322" i="146"/>
  <c r="L326" i="146"/>
  <c r="J330" i="146"/>
  <c r="L389" i="146"/>
  <c r="O427" i="146"/>
  <c r="J253" i="146"/>
  <c r="J227" i="146"/>
  <c r="O210" i="146"/>
  <c r="E205" i="146"/>
  <c r="D92" i="146"/>
  <c r="O414" i="146"/>
  <c r="D61" i="146"/>
  <c r="J271" i="146"/>
  <c r="O276" i="146"/>
  <c r="O281" i="146"/>
  <c r="O305" i="146"/>
  <c r="Q309" i="146"/>
  <c r="J313" i="146"/>
  <c r="J336" i="146"/>
  <c r="Q339" i="146"/>
  <c r="J343" i="146"/>
  <c r="O360" i="146"/>
  <c r="J380" i="146"/>
  <c r="O420" i="146"/>
  <c r="L438" i="146"/>
  <c r="Q444" i="146"/>
  <c r="O507" i="146"/>
  <c r="J473" i="146"/>
  <c r="J205" i="146"/>
  <c r="J281" i="146"/>
  <c r="Q280" i="146"/>
  <c r="Q281" i="146"/>
  <c r="Q291" i="146"/>
  <c r="L296" i="146"/>
  <c r="J299" i="146"/>
  <c r="Q305" i="146"/>
  <c r="J309" i="146"/>
  <c r="J322" i="146"/>
  <c r="O330" i="146"/>
  <c r="L336" i="146"/>
  <c r="J339" i="146"/>
  <c r="Q355" i="146"/>
  <c r="O406" i="146"/>
  <c r="Q410" i="146"/>
  <c r="J414" i="146"/>
  <c r="Q449" i="146"/>
  <c r="Q498" i="146"/>
  <c r="E253" i="146"/>
  <c r="O244" i="146"/>
  <c r="J490" i="146"/>
  <c r="O223" i="146"/>
  <c r="J467" i="146"/>
  <c r="E210" i="146"/>
  <c r="O205" i="146"/>
  <c r="J449" i="146"/>
  <c r="D190" i="146"/>
  <c r="D189" i="146" s="1"/>
  <c r="D84" i="146"/>
  <c r="D75" i="146"/>
  <c r="O393" i="146"/>
  <c r="L257" i="146"/>
  <c r="L507" i="146"/>
  <c r="L504" i="146"/>
  <c r="Q490" i="146"/>
  <c r="Q473" i="146"/>
  <c r="Q471" i="146"/>
  <c r="L205" i="146"/>
  <c r="G205" i="146"/>
  <c r="L449" i="146"/>
  <c r="N46" i="146"/>
  <c r="Q253" i="146"/>
  <c r="G253" i="146"/>
  <c r="L250" i="146"/>
  <c r="L244" i="146"/>
  <c r="L240" i="146"/>
  <c r="L227" i="146"/>
  <c r="L223" i="146"/>
  <c r="Q213" i="146"/>
  <c r="L213" i="146"/>
  <c r="Q210" i="146"/>
  <c r="G210" i="146"/>
  <c r="Q205" i="146"/>
  <c r="L195" i="146"/>
  <c r="L194" i="146" s="1"/>
  <c r="Q190" i="146"/>
  <c r="Q189" i="146" s="1"/>
  <c r="L190" i="146"/>
  <c r="L189" i="146" s="1"/>
  <c r="L180" i="146"/>
  <c r="L12" i="146" s="1"/>
  <c r="L92" i="146"/>
  <c r="Q91" i="146"/>
  <c r="G91" i="146"/>
  <c r="L90" i="146"/>
  <c r="L173" i="146"/>
  <c r="Q88" i="146"/>
  <c r="G88" i="146"/>
  <c r="L87" i="146"/>
  <c r="Q86" i="146"/>
  <c r="Q169" i="146"/>
  <c r="G86" i="146"/>
  <c r="G169" i="146"/>
  <c r="Q84" i="146"/>
  <c r="G84" i="146"/>
  <c r="L83" i="146"/>
  <c r="L166" i="146"/>
  <c r="Q78" i="146"/>
  <c r="G78" i="146"/>
  <c r="L77" i="146"/>
  <c r="L160" i="146"/>
  <c r="Q75" i="146"/>
  <c r="G75" i="146"/>
  <c r="G74" i="146"/>
  <c r="L73" i="146"/>
  <c r="L156" i="146"/>
  <c r="L64" i="146"/>
  <c r="Q61" i="146"/>
  <c r="G61" i="146"/>
  <c r="L60" i="146"/>
  <c r="L143" i="146"/>
  <c r="L58" i="146"/>
  <c r="Q57" i="146"/>
  <c r="G57" i="146"/>
  <c r="L56" i="146"/>
  <c r="L139" i="146"/>
  <c r="Q50" i="146"/>
  <c r="Q49" i="146" s="1"/>
  <c r="Q133" i="146"/>
  <c r="G50" i="146"/>
  <c r="G133" i="146"/>
  <c r="L47" i="146"/>
  <c r="Q46" i="146"/>
  <c r="Q129" i="146"/>
  <c r="G46" i="146"/>
  <c r="G129" i="146"/>
  <c r="Q44" i="146"/>
  <c r="G44" i="146"/>
  <c r="L43" i="146"/>
  <c r="L126" i="146"/>
  <c r="L41" i="146"/>
  <c r="Q40" i="146"/>
  <c r="L40" i="146"/>
  <c r="Q39" i="146"/>
  <c r="G39" i="146"/>
  <c r="L121" i="146"/>
  <c r="L38" i="146"/>
  <c r="G33" i="146"/>
  <c r="G116" i="146"/>
  <c r="Q31" i="146"/>
  <c r="G31" i="146"/>
  <c r="L30" i="146"/>
  <c r="Q29" i="146"/>
  <c r="L29" i="146"/>
  <c r="Q28" i="146"/>
  <c r="Q111" i="146"/>
  <c r="Q110" i="146" s="1"/>
  <c r="G28" i="146"/>
  <c r="G111" i="146"/>
  <c r="G110" i="146" s="1"/>
  <c r="L25" i="146"/>
  <c r="Q24" i="146"/>
  <c r="G24" i="146"/>
  <c r="L23" i="146"/>
  <c r="L106" i="146"/>
  <c r="L105" i="146" s="1"/>
  <c r="L98" i="146" s="1"/>
  <c r="L11" i="146"/>
  <c r="O257" i="146"/>
  <c r="E257" i="146"/>
  <c r="J84" i="146"/>
  <c r="J250" i="146"/>
  <c r="O240" i="146"/>
  <c r="E240" i="146"/>
  <c r="O227" i="146"/>
  <c r="E227" i="146"/>
  <c r="J223" i="146"/>
  <c r="E213" i="146"/>
  <c r="J210" i="146"/>
  <c r="J195" i="146"/>
  <c r="J194" i="146" s="1"/>
  <c r="E195" i="146"/>
  <c r="E194" i="146" s="1"/>
  <c r="N90" i="146"/>
  <c r="N173" i="146"/>
  <c r="N77" i="146"/>
  <c r="N160" i="146"/>
  <c r="N156" i="146"/>
  <c r="N73" i="146"/>
  <c r="I64" i="146"/>
  <c r="J257" i="146"/>
  <c r="Q257" i="146"/>
  <c r="G257" i="146"/>
  <c r="L253" i="146"/>
  <c r="Q250" i="146"/>
  <c r="G250" i="146"/>
  <c r="Q244" i="146"/>
  <c r="G244" i="146"/>
  <c r="Q240" i="146"/>
  <c r="G240" i="146"/>
  <c r="Q227" i="146"/>
  <c r="G227" i="146"/>
  <c r="Q223" i="146"/>
  <c r="G223" i="146"/>
  <c r="G213" i="146"/>
  <c r="L210" i="146"/>
  <c r="Q195" i="146"/>
  <c r="Q194" i="146" s="1"/>
  <c r="G195" i="146"/>
  <c r="G194" i="146" s="1"/>
  <c r="G190" i="146"/>
  <c r="G189" i="146" s="1"/>
  <c r="Q180" i="146"/>
  <c r="Q12" i="146" s="1"/>
  <c r="G180" i="146"/>
  <c r="Q92" i="146"/>
  <c r="G92" i="146"/>
  <c r="L91" i="146"/>
  <c r="Q90" i="146"/>
  <c r="Q173" i="146"/>
  <c r="G90" i="146"/>
  <c r="G173" i="146"/>
  <c r="L88" i="146"/>
  <c r="Q87" i="146"/>
  <c r="G87" i="146"/>
  <c r="L86" i="146"/>
  <c r="L169" i="146"/>
  <c r="L84" i="146"/>
  <c r="Q83" i="146"/>
  <c r="Q166" i="146"/>
  <c r="G83" i="146"/>
  <c r="G166" i="146"/>
  <c r="L78" i="146"/>
  <c r="Q77" i="146"/>
  <c r="Q160" i="146"/>
  <c r="G77" i="146"/>
  <c r="G160" i="146"/>
  <c r="L75" i="146"/>
  <c r="Q74" i="146"/>
  <c r="L74" i="146"/>
  <c r="Q73" i="146"/>
  <c r="Q156" i="146"/>
  <c r="G73" i="146"/>
  <c r="G156" i="146"/>
  <c r="Q67" i="146"/>
  <c r="Q150" i="146"/>
  <c r="L67" i="146"/>
  <c r="L150" i="146"/>
  <c r="G67" i="146"/>
  <c r="G150" i="146"/>
  <c r="Q64" i="146"/>
  <c r="G64" i="146"/>
  <c r="L61" i="146"/>
  <c r="Q60" i="146"/>
  <c r="Q143" i="146"/>
  <c r="G60" i="146"/>
  <c r="G143" i="146"/>
  <c r="Q58" i="146"/>
  <c r="G58" i="146"/>
  <c r="L57" i="146"/>
  <c r="Q56" i="146"/>
  <c r="Q139" i="146"/>
  <c r="G56" i="146"/>
  <c r="G139" i="146"/>
  <c r="L50" i="146"/>
  <c r="L133" i="146"/>
  <c r="Q47" i="146"/>
  <c r="G47" i="146"/>
  <c r="L46" i="146"/>
  <c r="L129" i="146"/>
  <c r="L44" i="146"/>
  <c r="Q43" i="146"/>
  <c r="Q126" i="146"/>
  <c r="G43" i="146"/>
  <c r="G126" i="146"/>
  <c r="Q41" i="146"/>
  <c r="G41" i="146"/>
  <c r="G40" i="146"/>
  <c r="L39" i="146"/>
  <c r="Q38" i="146"/>
  <c r="Q121" i="146"/>
  <c r="G38" i="146"/>
  <c r="G37" i="146" s="1"/>
  <c r="G121" i="146"/>
  <c r="L31" i="146"/>
  <c r="Q30" i="146"/>
  <c r="G30" i="146"/>
  <c r="G29" i="146"/>
  <c r="L28" i="146"/>
  <c r="L111" i="146"/>
  <c r="L110" i="146" s="1"/>
  <c r="Q25" i="146"/>
  <c r="G25" i="146"/>
  <c r="L24" i="146"/>
  <c r="Q23" i="146"/>
  <c r="Q106" i="146"/>
  <c r="Q105" i="146" s="1"/>
  <c r="Q98" i="146" s="1"/>
  <c r="G23" i="146"/>
  <c r="G106" i="146"/>
  <c r="G105" i="146" s="1"/>
  <c r="G98" i="146" s="1"/>
  <c r="Q11" i="146"/>
  <c r="G11" i="146"/>
  <c r="O190" i="146"/>
  <c r="O189" i="146" s="1"/>
  <c r="E190" i="146"/>
  <c r="E189" i="146" s="1"/>
  <c r="J180" i="146"/>
  <c r="J12" i="146" s="1"/>
  <c r="O92" i="146"/>
  <c r="E92" i="146"/>
  <c r="J91" i="146"/>
  <c r="O90" i="146"/>
  <c r="O173" i="146"/>
  <c r="E90" i="146"/>
  <c r="E173" i="146"/>
  <c r="O88" i="146"/>
  <c r="E88" i="146"/>
  <c r="J87" i="146"/>
  <c r="O86" i="146"/>
  <c r="O169" i="146"/>
  <c r="E169" i="146"/>
  <c r="E86" i="146"/>
  <c r="O84" i="146"/>
  <c r="E84" i="146"/>
  <c r="J166" i="146"/>
  <c r="J83" i="146"/>
  <c r="E83" i="146"/>
  <c r="E166" i="146"/>
  <c r="J78" i="146"/>
  <c r="J160" i="146"/>
  <c r="J75" i="146"/>
  <c r="O74" i="146"/>
  <c r="E74" i="146"/>
  <c r="J73" i="146"/>
  <c r="J156" i="146"/>
  <c r="J67" i="146"/>
  <c r="J66" i="146" s="1"/>
  <c r="J150" i="146"/>
  <c r="O64" i="146"/>
  <c r="O61" i="146"/>
  <c r="E61" i="146"/>
  <c r="J60" i="146"/>
  <c r="J143" i="146"/>
  <c r="E60" i="146"/>
  <c r="E143" i="146"/>
  <c r="O58" i="146"/>
  <c r="E58" i="146"/>
  <c r="J57" i="146"/>
  <c r="O56" i="146"/>
  <c r="O139" i="146"/>
  <c r="O50" i="146"/>
  <c r="O133" i="146"/>
  <c r="O47" i="146"/>
  <c r="E47" i="146"/>
  <c r="J46" i="146"/>
  <c r="J129" i="146"/>
  <c r="J44" i="146"/>
  <c r="O43" i="146"/>
  <c r="O126" i="146"/>
  <c r="E43" i="146"/>
  <c r="E126" i="146"/>
  <c r="O41" i="146"/>
  <c r="E41" i="146"/>
  <c r="O40" i="146"/>
  <c r="E40" i="146"/>
  <c r="J39" i="146"/>
  <c r="O38" i="146"/>
  <c r="O121" i="146"/>
  <c r="E38" i="146"/>
  <c r="E37" i="146" s="1"/>
  <c r="E121" i="146"/>
  <c r="O116" i="146"/>
  <c r="E116" i="146"/>
  <c r="O31" i="146"/>
  <c r="E31" i="146"/>
  <c r="J30" i="146"/>
  <c r="O29" i="146"/>
  <c r="E29" i="146"/>
  <c r="E28" i="146"/>
  <c r="E111" i="146"/>
  <c r="E110" i="146" s="1"/>
  <c r="J25" i="146"/>
  <c r="O24" i="146"/>
  <c r="J24" i="146"/>
  <c r="O23" i="146"/>
  <c r="O106" i="146"/>
  <c r="O105" i="146" s="1"/>
  <c r="O98" i="146" s="1"/>
  <c r="E23" i="146"/>
  <c r="E106" i="146"/>
  <c r="E105" i="146" s="1"/>
  <c r="E98" i="146" s="1"/>
  <c r="J11" i="146"/>
  <c r="D67" i="146"/>
  <c r="D150" i="146"/>
  <c r="N257" i="146"/>
  <c r="I257" i="146"/>
  <c r="D257" i="146"/>
  <c r="N253" i="146"/>
  <c r="I253" i="146"/>
  <c r="D253" i="146"/>
  <c r="N250" i="146"/>
  <c r="I250" i="146"/>
  <c r="D250" i="146"/>
  <c r="N244" i="146"/>
  <c r="I244" i="146"/>
  <c r="D244" i="146"/>
  <c r="N240" i="146"/>
  <c r="I240" i="146"/>
  <c r="D240" i="146"/>
  <c r="N227" i="146"/>
  <c r="I227" i="146"/>
  <c r="D227" i="146"/>
  <c r="N223" i="146"/>
  <c r="I223" i="146"/>
  <c r="D223" i="146"/>
  <c r="N213" i="146"/>
  <c r="I213" i="146"/>
  <c r="D213" i="146"/>
  <c r="N210" i="146"/>
  <c r="I210" i="146"/>
  <c r="D210" i="146"/>
  <c r="N205" i="146"/>
  <c r="I205" i="146"/>
  <c r="D205" i="146"/>
  <c r="N195" i="146"/>
  <c r="N194" i="146" s="1"/>
  <c r="I195" i="146"/>
  <c r="I194" i="146" s="1"/>
  <c r="D195" i="146"/>
  <c r="D194" i="146" s="1"/>
  <c r="N190" i="146"/>
  <c r="N189" i="146" s="1"/>
  <c r="N180" i="146"/>
  <c r="N12" i="146" s="1"/>
  <c r="I180" i="146"/>
  <c r="D180" i="146"/>
  <c r="N92" i="146"/>
  <c r="I92" i="146"/>
  <c r="I91" i="146"/>
  <c r="D91" i="146"/>
  <c r="I90" i="146"/>
  <c r="D90" i="146"/>
  <c r="D173" i="146"/>
  <c r="N88" i="146"/>
  <c r="I88" i="146"/>
  <c r="N87" i="146"/>
  <c r="I87" i="146"/>
  <c r="D87" i="146"/>
  <c r="I86" i="146"/>
  <c r="D86" i="146"/>
  <c r="D169" i="146"/>
  <c r="N84" i="146"/>
  <c r="I84" i="146"/>
  <c r="N83" i="146"/>
  <c r="I83" i="146"/>
  <c r="I166" i="146"/>
  <c r="D83" i="146"/>
  <c r="D166" i="146"/>
  <c r="N78" i="146"/>
  <c r="I78" i="146"/>
  <c r="D78" i="146"/>
  <c r="I77" i="146"/>
  <c r="D77" i="146"/>
  <c r="D160" i="146"/>
  <c r="N75" i="146"/>
  <c r="I75" i="146"/>
  <c r="N74" i="146"/>
  <c r="I74" i="146"/>
  <c r="D74" i="146"/>
  <c r="I73" i="146"/>
  <c r="D73" i="146"/>
  <c r="D156" i="146"/>
  <c r="N67" i="146"/>
  <c r="N150" i="146"/>
  <c r="I67" i="146"/>
  <c r="I66" i="146" s="1"/>
  <c r="I150" i="146"/>
  <c r="N64" i="146"/>
  <c r="D64" i="146"/>
  <c r="N61" i="146"/>
  <c r="I61" i="146"/>
  <c r="N60" i="146"/>
  <c r="N143" i="146"/>
  <c r="I143" i="146"/>
  <c r="I60" i="146"/>
  <c r="D60" i="146"/>
  <c r="D143" i="146"/>
  <c r="N58" i="146"/>
  <c r="I58" i="146"/>
  <c r="D58" i="146"/>
  <c r="N57" i="146"/>
  <c r="I57" i="146"/>
  <c r="D57" i="146"/>
  <c r="N56" i="146"/>
  <c r="N139" i="146"/>
  <c r="I56" i="146"/>
  <c r="I139" i="146"/>
  <c r="D56" i="146"/>
  <c r="D139" i="146"/>
  <c r="N50" i="146"/>
  <c r="N133" i="146"/>
  <c r="D133" i="146"/>
  <c r="D50" i="146"/>
  <c r="N47" i="146"/>
  <c r="I47" i="146"/>
  <c r="D47" i="146"/>
  <c r="N129" i="146"/>
  <c r="I46" i="146"/>
  <c r="I129" i="146"/>
  <c r="D46" i="146"/>
  <c r="D129" i="146"/>
  <c r="N44" i="146"/>
  <c r="I44" i="146"/>
  <c r="D44" i="146"/>
  <c r="N43" i="146"/>
  <c r="N126" i="146"/>
  <c r="I43" i="146"/>
  <c r="I42" i="146" s="1"/>
  <c r="I126" i="146"/>
  <c r="D43" i="146"/>
  <c r="D126" i="146"/>
  <c r="N41" i="146"/>
  <c r="I41" i="146"/>
  <c r="D41" i="146"/>
  <c r="N40" i="146"/>
  <c r="I40" i="146"/>
  <c r="D40" i="146"/>
  <c r="N39" i="146"/>
  <c r="I39" i="146"/>
  <c r="D39" i="146"/>
  <c r="N38" i="146"/>
  <c r="N121" i="146"/>
  <c r="I38" i="146"/>
  <c r="I121" i="146"/>
  <c r="D121" i="146"/>
  <c r="D38" i="146"/>
  <c r="N33" i="146"/>
  <c r="N32" i="146" s="1"/>
  <c r="N116" i="146"/>
  <c r="I33" i="146"/>
  <c r="I32" i="146" s="1"/>
  <c r="I116" i="146"/>
  <c r="D33" i="146"/>
  <c r="D32" i="146" s="1"/>
  <c r="D116" i="146"/>
  <c r="N31" i="146"/>
  <c r="I31" i="146"/>
  <c r="D31" i="146"/>
  <c r="N30" i="146"/>
  <c r="I30" i="146"/>
  <c r="D30" i="146"/>
  <c r="N29" i="146"/>
  <c r="I29" i="146"/>
  <c r="D29" i="146"/>
  <c r="N28" i="146"/>
  <c r="N111" i="146"/>
  <c r="N110" i="146" s="1"/>
  <c r="I28" i="146"/>
  <c r="I111" i="146"/>
  <c r="I110" i="146" s="1"/>
  <c r="D28" i="146"/>
  <c r="D111" i="146"/>
  <c r="D110" i="146" s="1"/>
  <c r="N25" i="146"/>
  <c r="I25" i="146"/>
  <c r="D25" i="146"/>
  <c r="N24" i="146"/>
  <c r="I24" i="146"/>
  <c r="I173" i="146"/>
  <c r="I156" i="146"/>
  <c r="J240" i="146"/>
  <c r="O195" i="146"/>
  <c r="O194" i="146" s="1"/>
  <c r="N86" i="146"/>
  <c r="N169" i="146"/>
  <c r="J190" i="146"/>
  <c r="J189" i="146" s="1"/>
  <c r="O180" i="146"/>
  <c r="O12" i="146" s="1"/>
  <c r="E180" i="146"/>
  <c r="J92" i="146"/>
  <c r="O91" i="146"/>
  <c r="E91" i="146"/>
  <c r="J90" i="146"/>
  <c r="J173" i="146"/>
  <c r="J88" i="146"/>
  <c r="O87" i="146"/>
  <c r="E87" i="146"/>
  <c r="J86" i="146"/>
  <c r="J169" i="146"/>
  <c r="O83" i="146"/>
  <c r="O166" i="146"/>
  <c r="O78" i="146"/>
  <c r="E78" i="146"/>
  <c r="O77" i="146"/>
  <c r="O160" i="146"/>
  <c r="E77" i="146"/>
  <c r="E160" i="146"/>
  <c r="O75" i="146"/>
  <c r="E75" i="146"/>
  <c r="J74" i="146"/>
  <c r="O73" i="146"/>
  <c r="O156" i="146"/>
  <c r="E73" i="146"/>
  <c r="E156" i="146"/>
  <c r="O150" i="146"/>
  <c r="O67" i="146"/>
  <c r="E67" i="146"/>
  <c r="E150" i="146"/>
  <c r="J64" i="146"/>
  <c r="E64" i="146"/>
  <c r="J61" i="146"/>
  <c r="O143" i="146"/>
  <c r="O60" i="146"/>
  <c r="J58" i="146"/>
  <c r="O57" i="146"/>
  <c r="E57" i="146"/>
  <c r="J56" i="146"/>
  <c r="J139" i="146"/>
  <c r="E139" i="146"/>
  <c r="E56" i="146"/>
  <c r="J50" i="146"/>
  <c r="J133" i="146"/>
  <c r="E50" i="146"/>
  <c r="E49" i="146" s="1"/>
  <c r="E133" i="146"/>
  <c r="J47" i="146"/>
  <c r="O46" i="146"/>
  <c r="O129" i="146"/>
  <c r="E46" i="146"/>
  <c r="E129" i="146"/>
  <c r="O44" i="146"/>
  <c r="E44" i="146"/>
  <c r="J43" i="146"/>
  <c r="J126" i="146"/>
  <c r="J41" i="146"/>
  <c r="J40" i="146"/>
  <c r="O39" i="146"/>
  <c r="E39" i="146"/>
  <c r="J38" i="146"/>
  <c r="J121" i="146"/>
  <c r="J116" i="146"/>
  <c r="J31" i="146"/>
  <c r="O30" i="146"/>
  <c r="E30" i="146"/>
  <c r="J29" i="146"/>
  <c r="O28" i="146"/>
  <c r="O111" i="146"/>
  <c r="O110" i="146" s="1"/>
  <c r="J28" i="146"/>
  <c r="J111" i="146"/>
  <c r="J110" i="146" s="1"/>
  <c r="O25" i="146"/>
  <c r="E25" i="146"/>
  <c r="E24" i="146"/>
  <c r="J23" i="146"/>
  <c r="J106" i="146"/>
  <c r="J105" i="146" s="1"/>
  <c r="J98" i="146" s="1"/>
  <c r="O11" i="146"/>
  <c r="E11" i="146"/>
  <c r="I169" i="146"/>
  <c r="J77" i="146"/>
  <c r="I50" i="146"/>
  <c r="M51" i="146"/>
  <c r="H51" i="146"/>
  <c r="D24" i="146"/>
  <c r="N106" i="146"/>
  <c r="N105" i="146" s="1"/>
  <c r="N98" i="146" s="1"/>
  <c r="I23" i="146"/>
  <c r="I106" i="146"/>
  <c r="I105" i="146" s="1"/>
  <c r="I98" i="146" s="1"/>
  <c r="D23" i="146"/>
  <c r="D106" i="146"/>
  <c r="D105" i="146" s="1"/>
  <c r="D98" i="146" s="1"/>
  <c r="N11" i="146"/>
  <c r="I11" i="146"/>
  <c r="D11" i="146"/>
  <c r="N51" i="146"/>
  <c r="I51" i="146"/>
  <c r="D51" i="146"/>
  <c r="M68" i="146"/>
  <c r="H68" i="146"/>
  <c r="N17" i="146"/>
  <c r="N16" i="146" s="1"/>
  <c r="N15" i="146" s="1"/>
  <c r="I17" i="146"/>
  <c r="I16" i="146" s="1"/>
  <c r="I15" i="146" s="1"/>
  <c r="D17" i="146"/>
  <c r="D16" i="146" s="1"/>
  <c r="D15" i="146" s="1"/>
  <c r="E68" i="146"/>
  <c r="O51" i="146"/>
  <c r="Q65" i="150"/>
  <c r="Q63" i="150" s="1"/>
  <c r="R66" i="150"/>
  <c r="O16" i="150"/>
  <c r="R17" i="150"/>
  <c r="E26" i="150"/>
  <c r="H26" i="150" s="1"/>
  <c r="H27" i="150"/>
  <c r="R37" i="150"/>
  <c r="J65" i="150"/>
  <c r="M66" i="150"/>
  <c r="J81" i="150"/>
  <c r="M82" i="150"/>
  <c r="E99" i="150"/>
  <c r="H100" i="150"/>
  <c r="Q132" i="150"/>
  <c r="Q120" i="150" s="1"/>
  <c r="R133" i="150"/>
  <c r="E194" i="150"/>
  <c r="H194" i="150" s="1"/>
  <c r="H195" i="150"/>
  <c r="J249" i="150"/>
  <c r="M250" i="150"/>
  <c r="R45" i="150"/>
  <c r="E48" i="150"/>
  <c r="R51" i="150"/>
  <c r="E81" i="150"/>
  <c r="R89" i="150"/>
  <c r="J98" i="150"/>
  <c r="H101" i="150"/>
  <c r="H106" i="150"/>
  <c r="G110" i="150"/>
  <c r="H110" i="150" s="1"/>
  <c r="H111" i="150"/>
  <c r="M129" i="150"/>
  <c r="H143" i="150"/>
  <c r="L150" i="150"/>
  <c r="H152" i="150"/>
  <c r="R156" i="150"/>
  <c r="R169" i="150"/>
  <c r="O165" i="150"/>
  <c r="R165" i="150" s="1"/>
  <c r="H183" i="150"/>
  <c r="O184" i="150"/>
  <c r="R185" i="150"/>
  <c r="R219" i="150"/>
  <c r="O217" i="150"/>
  <c r="J21" i="150"/>
  <c r="M21" i="150" s="1"/>
  <c r="M22" i="150"/>
  <c r="E66" i="150"/>
  <c r="G98" i="150"/>
  <c r="G94" i="150" s="1"/>
  <c r="E149" i="150"/>
  <c r="H150" i="150"/>
  <c r="H190" i="150"/>
  <c r="E189" i="150"/>
  <c r="H189" i="150" s="1"/>
  <c r="R205" i="150"/>
  <c r="M217" i="150"/>
  <c r="J216" i="150"/>
  <c r="H236" i="150"/>
  <c r="E234" i="150"/>
  <c r="H240" i="150"/>
  <c r="G233" i="150"/>
  <c r="G231" i="150" s="1"/>
  <c r="J16" i="150"/>
  <c r="E21" i="150"/>
  <c r="H21" i="150" s="1"/>
  <c r="R26" i="150"/>
  <c r="G48" i="150"/>
  <c r="G36" i="150" s="1"/>
  <c r="O49" i="150"/>
  <c r="M76" i="150"/>
  <c r="Q81" i="150"/>
  <c r="H85" i="150"/>
  <c r="H105" i="150"/>
  <c r="R110" i="150"/>
  <c r="H116" i="150"/>
  <c r="H121" i="150"/>
  <c r="R126" i="150"/>
  <c r="O132" i="150"/>
  <c r="O120" i="150" s="1"/>
  <c r="Q189" i="150"/>
  <c r="R189" i="150" s="1"/>
  <c r="R190" i="150"/>
  <c r="E216" i="150"/>
  <c r="J233" i="150"/>
  <c r="M234" i="150"/>
  <c r="Q234" i="150"/>
  <c r="R236" i="150"/>
  <c r="R111" i="150"/>
  <c r="H129" i="150"/>
  <c r="H135" i="150"/>
  <c r="G165" i="150"/>
  <c r="H184" i="150"/>
  <c r="J189" i="150"/>
  <c r="M189" i="150" s="1"/>
  <c r="M190" i="150"/>
  <c r="R227" i="150"/>
  <c r="M236" i="150"/>
  <c r="O249" i="150"/>
  <c r="R249" i="150" s="1"/>
  <c r="M110" i="150"/>
  <c r="M126" i="150"/>
  <c r="H133" i="150"/>
  <c r="H173" i="150"/>
  <c r="J183" i="150"/>
  <c r="M184" i="150"/>
  <c r="G216" i="150"/>
  <c r="G204" i="150" s="1"/>
  <c r="M244" i="150"/>
  <c r="H253" i="150"/>
  <c r="M15" i="94"/>
  <c r="J14" i="94"/>
  <c r="G99" i="94"/>
  <c r="G98" i="94" s="1"/>
  <c r="G94" i="94" s="1"/>
  <c r="M135" i="94"/>
  <c r="L133" i="94"/>
  <c r="R205" i="94"/>
  <c r="H236" i="94"/>
  <c r="E234" i="94"/>
  <c r="E16" i="94"/>
  <c r="H17" i="94"/>
  <c r="M37" i="94"/>
  <c r="Q98" i="94"/>
  <c r="Q94" i="94" s="1"/>
  <c r="J120" i="94"/>
  <c r="M121" i="94"/>
  <c r="J233" i="94"/>
  <c r="M234" i="94"/>
  <c r="H45" i="94"/>
  <c r="O66" i="94"/>
  <c r="M72" i="94"/>
  <c r="R72" i="94"/>
  <c r="E81" i="94"/>
  <c r="L81" i="94"/>
  <c r="R99" i="94"/>
  <c r="J100" i="94"/>
  <c r="M101" i="94"/>
  <c r="R101" i="94"/>
  <c r="R139" i="94"/>
  <c r="E194" i="94"/>
  <c r="H194" i="94" s="1"/>
  <c r="H195" i="94"/>
  <c r="H223" i="94"/>
  <c r="E48" i="94"/>
  <c r="H49" i="94"/>
  <c r="L105" i="94"/>
  <c r="M105" i="94" s="1"/>
  <c r="M106" i="94"/>
  <c r="R111" i="94"/>
  <c r="O110" i="94"/>
  <c r="R110" i="94" s="1"/>
  <c r="H129" i="94"/>
  <c r="H190" i="94"/>
  <c r="E189" i="94"/>
  <c r="H189" i="94" s="1"/>
  <c r="M217" i="94"/>
  <c r="J216" i="94"/>
  <c r="J249" i="94"/>
  <c r="M250" i="94"/>
  <c r="M17" i="94"/>
  <c r="O26" i="94"/>
  <c r="R26" i="94" s="1"/>
  <c r="R27" i="94"/>
  <c r="H37" i="94"/>
  <c r="G66" i="94"/>
  <c r="E105" i="94"/>
  <c r="H105" i="94" s="1"/>
  <c r="H106" i="94"/>
  <c r="R121" i="94"/>
  <c r="Q189" i="94"/>
  <c r="Q182" i="94" s="1"/>
  <c r="Q178" i="94" s="1"/>
  <c r="R190" i="94"/>
  <c r="O15" i="94"/>
  <c r="M16" i="94"/>
  <c r="H26" i="94"/>
  <c r="M42" i="94"/>
  <c r="H51" i="94"/>
  <c r="M81" i="94"/>
  <c r="G81" i="94"/>
  <c r="R100" i="94"/>
  <c r="R169" i="94"/>
  <c r="O165" i="94"/>
  <c r="R165" i="94" s="1"/>
  <c r="H183" i="94"/>
  <c r="O184" i="94"/>
  <c r="R185" i="94"/>
  <c r="R219" i="94"/>
  <c r="O217" i="94"/>
  <c r="H101" i="94"/>
  <c r="H121" i="94"/>
  <c r="H135" i="94"/>
  <c r="G165" i="94"/>
  <c r="H184" i="94"/>
  <c r="J189" i="94"/>
  <c r="M189" i="94" s="1"/>
  <c r="M190" i="94"/>
  <c r="M200" i="94"/>
  <c r="R227" i="94"/>
  <c r="G233" i="94"/>
  <c r="G231" i="94" s="1"/>
  <c r="M236" i="94"/>
  <c r="R236" i="94"/>
  <c r="O249" i="94"/>
  <c r="H133" i="94"/>
  <c r="H143" i="94"/>
  <c r="H173" i="94"/>
  <c r="J183" i="94"/>
  <c r="M184" i="94"/>
  <c r="G216" i="94"/>
  <c r="G204" i="94" s="1"/>
  <c r="M244" i="94"/>
  <c r="H253" i="94"/>
  <c r="Q104" i="170"/>
  <c r="Q103" i="170" s="1"/>
  <c r="Q65" i="17"/>
  <c r="R66" i="17"/>
  <c r="O16" i="17"/>
  <c r="R17" i="17"/>
  <c r="R37" i="17"/>
  <c r="Q132" i="17"/>
  <c r="R133" i="17"/>
  <c r="E194" i="17"/>
  <c r="H194" i="17" s="1"/>
  <c r="H195" i="17"/>
  <c r="J249" i="17"/>
  <c r="M250" i="17"/>
  <c r="M99" i="17"/>
  <c r="J98" i="17"/>
  <c r="G110" i="17"/>
  <c r="H110" i="17" s="1"/>
  <c r="H111" i="17"/>
  <c r="L150" i="17"/>
  <c r="R169" i="17"/>
  <c r="O165" i="17"/>
  <c r="H16" i="17"/>
  <c r="J21" i="17"/>
  <c r="M21" i="17" s="1"/>
  <c r="M22" i="17"/>
  <c r="R22" i="17"/>
  <c r="M32" i="17"/>
  <c r="J48" i="17"/>
  <c r="R59" i="17"/>
  <c r="G65" i="17"/>
  <c r="G63" i="17" s="1"/>
  <c r="E66" i="17"/>
  <c r="M68" i="17"/>
  <c r="R68" i="17"/>
  <c r="O81" i="17"/>
  <c r="M100" i="17"/>
  <c r="G105" i="17"/>
  <c r="H105" i="17" s="1"/>
  <c r="J132" i="17"/>
  <c r="M133" i="17"/>
  <c r="M135" i="17"/>
  <c r="E150" i="17"/>
  <c r="L182" i="17"/>
  <c r="L178" i="17" s="1"/>
  <c r="H190" i="17"/>
  <c r="E189" i="17"/>
  <c r="H189" i="17" s="1"/>
  <c r="R205" i="17"/>
  <c r="M217" i="17"/>
  <c r="J216" i="17"/>
  <c r="H236" i="17"/>
  <c r="E234" i="17"/>
  <c r="H240" i="17"/>
  <c r="G233" i="17"/>
  <c r="G231" i="17" s="1"/>
  <c r="E26" i="17"/>
  <c r="H26" i="17" s="1"/>
  <c r="H27" i="17"/>
  <c r="J65" i="17"/>
  <c r="M66" i="17"/>
  <c r="J81" i="17"/>
  <c r="M82" i="17"/>
  <c r="H15" i="17"/>
  <c r="E48" i="17"/>
  <c r="R156" i="17"/>
  <c r="O184" i="17"/>
  <c r="R185" i="17"/>
  <c r="R219" i="17"/>
  <c r="O217" i="17"/>
  <c r="M16" i="17"/>
  <c r="E21" i="17"/>
  <c r="H21" i="17" s="1"/>
  <c r="G48" i="17"/>
  <c r="G36" i="17" s="1"/>
  <c r="O49" i="17"/>
  <c r="M76" i="17"/>
  <c r="H85" i="17"/>
  <c r="H116" i="17"/>
  <c r="H121" i="17"/>
  <c r="R126" i="17"/>
  <c r="G149" i="17"/>
  <c r="G147" i="17" s="1"/>
  <c r="O149" i="17"/>
  <c r="Q189" i="17"/>
  <c r="R189" i="17" s="1"/>
  <c r="R190" i="17"/>
  <c r="E216" i="17"/>
  <c r="J233" i="17"/>
  <c r="M234" i="17"/>
  <c r="Q234" i="17"/>
  <c r="R236" i="17"/>
  <c r="R111" i="17"/>
  <c r="H129" i="17"/>
  <c r="H135" i="17"/>
  <c r="G165" i="17"/>
  <c r="J189" i="17"/>
  <c r="M189" i="17" s="1"/>
  <c r="M190" i="17"/>
  <c r="M200" i="17"/>
  <c r="R227" i="17"/>
  <c r="M236" i="17"/>
  <c r="O249" i="17"/>
  <c r="M110" i="17"/>
  <c r="M126" i="17"/>
  <c r="H133" i="17"/>
  <c r="H173" i="17"/>
  <c r="J183" i="17"/>
  <c r="M184" i="17"/>
  <c r="G216" i="17"/>
  <c r="G204" i="17" s="1"/>
  <c r="M244" i="17"/>
  <c r="H253" i="17"/>
  <c r="Q38" i="170"/>
  <c r="Q37" i="170" s="1"/>
  <c r="L38" i="170"/>
  <c r="L37" i="170" s="1"/>
  <c r="G35" i="170"/>
  <c r="J488" i="146"/>
  <c r="Q65" i="54"/>
  <c r="R66" i="54"/>
  <c r="Q132" i="54"/>
  <c r="Q120" i="54" s="1"/>
  <c r="R133" i="54"/>
  <c r="M99" i="54"/>
  <c r="J98" i="54"/>
  <c r="G110" i="54"/>
  <c r="H110" i="54" s="1"/>
  <c r="H111" i="54"/>
  <c r="E194" i="54"/>
  <c r="H194" i="54" s="1"/>
  <c r="H195" i="54"/>
  <c r="J249" i="54"/>
  <c r="M249" i="54" s="1"/>
  <c r="M250" i="54"/>
  <c r="J21" i="54"/>
  <c r="M21" i="54" s="1"/>
  <c r="M22" i="54"/>
  <c r="R22" i="54"/>
  <c r="M32" i="54"/>
  <c r="E36" i="54"/>
  <c r="R59" i="54"/>
  <c r="G65" i="54"/>
  <c r="G63" i="54" s="1"/>
  <c r="M68" i="54"/>
  <c r="R68" i="54"/>
  <c r="O81" i="54"/>
  <c r="R81" i="54" s="1"/>
  <c r="M100" i="54"/>
  <c r="J132" i="54"/>
  <c r="M132" i="54" s="1"/>
  <c r="M133" i="54"/>
  <c r="M135" i="54"/>
  <c r="R135" i="54"/>
  <c r="H150" i="54"/>
  <c r="O150" i="54"/>
  <c r="R156" i="54"/>
  <c r="R169" i="54"/>
  <c r="O165" i="54"/>
  <c r="R165" i="54" s="1"/>
  <c r="H183" i="54"/>
  <c r="O184" i="54"/>
  <c r="R185" i="54"/>
  <c r="R219" i="54"/>
  <c r="O217" i="54"/>
  <c r="L14" i="54"/>
  <c r="L10" i="54" s="1"/>
  <c r="M16" i="54"/>
  <c r="O49" i="54"/>
  <c r="R126" i="54"/>
  <c r="O132" i="54"/>
  <c r="O120" i="54" s="1"/>
  <c r="H190" i="54"/>
  <c r="E189" i="54"/>
  <c r="H189" i="54" s="1"/>
  <c r="R205" i="54"/>
  <c r="M217" i="54"/>
  <c r="H236" i="54"/>
  <c r="E234" i="54"/>
  <c r="H240" i="54"/>
  <c r="G233" i="54"/>
  <c r="G231" i="54" s="1"/>
  <c r="O16" i="54"/>
  <c r="R17" i="54"/>
  <c r="E26" i="54"/>
  <c r="H26" i="54" s="1"/>
  <c r="H27" i="54"/>
  <c r="M27" i="54"/>
  <c r="R37" i="54"/>
  <c r="H55" i="54"/>
  <c r="J66" i="54"/>
  <c r="J81" i="54"/>
  <c r="M82" i="54"/>
  <c r="R82" i="54"/>
  <c r="E100" i="54"/>
  <c r="E120" i="54"/>
  <c r="G120" i="54"/>
  <c r="Q189" i="54"/>
  <c r="Q182" i="54" s="1"/>
  <c r="Q178" i="54" s="1"/>
  <c r="R190" i="54"/>
  <c r="E216" i="54"/>
  <c r="J233" i="54"/>
  <c r="M234" i="54"/>
  <c r="Q234" i="54"/>
  <c r="R236" i="54"/>
  <c r="R111" i="54"/>
  <c r="H129" i="54"/>
  <c r="H135" i="54"/>
  <c r="G165" i="54"/>
  <c r="H165" i="54" s="1"/>
  <c r="J189" i="54"/>
  <c r="M189" i="54" s="1"/>
  <c r="M190" i="54"/>
  <c r="M200" i="54"/>
  <c r="R227" i="54"/>
  <c r="M236" i="54"/>
  <c r="O249" i="54"/>
  <c r="M110" i="54"/>
  <c r="M126" i="54"/>
  <c r="H133" i="54"/>
  <c r="H143" i="54"/>
  <c r="H173" i="54"/>
  <c r="G216" i="54"/>
  <c r="G204" i="54" s="1"/>
  <c r="G203" i="54" s="1"/>
  <c r="M244" i="54"/>
  <c r="H253" i="54"/>
  <c r="Q65" i="30"/>
  <c r="R66" i="30"/>
  <c r="M99" i="30"/>
  <c r="R169" i="30"/>
  <c r="O165" i="30"/>
  <c r="R165" i="30" s="1"/>
  <c r="H236" i="30"/>
  <c r="E234" i="30"/>
  <c r="J249" i="30"/>
  <c r="M249" i="30" s="1"/>
  <c r="M250" i="30"/>
  <c r="J21" i="30"/>
  <c r="M21" i="30" s="1"/>
  <c r="M22" i="30"/>
  <c r="R22" i="30"/>
  <c r="M32" i="30"/>
  <c r="J48" i="30"/>
  <c r="R59" i="30"/>
  <c r="G65" i="30"/>
  <c r="G63" i="30" s="1"/>
  <c r="M68" i="30"/>
  <c r="R68" i="30"/>
  <c r="O81" i="30"/>
  <c r="M100" i="30"/>
  <c r="G149" i="30"/>
  <c r="G182" i="30"/>
  <c r="G178" i="30" s="1"/>
  <c r="O184" i="30"/>
  <c r="R185" i="30"/>
  <c r="J233" i="30"/>
  <c r="M234" i="30"/>
  <c r="Q231" i="30"/>
  <c r="L14" i="30"/>
  <c r="L10" i="30" s="1"/>
  <c r="J15" i="30"/>
  <c r="M16" i="30"/>
  <c r="G48" i="30"/>
  <c r="O49" i="30"/>
  <c r="H190" i="30"/>
  <c r="E189" i="30"/>
  <c r="H189" i="30" s="1"/>
  <c r="R205" i="30"/>
  <c r="H223" i="30"/>
  <c r="E216" i="30"/>
  <c r="O16" i="30"/>
  <c r="R17" i="30"/>
  <c r="E26" i="30"/>
  <c r="H26" i="30" s="1"/>
  <c r="H27" i="30"/>
  <c r="M27" i="30"/>
  <c r="R37" i="30"/>
  <c r="H55" i="30"/>
  <c r="J66" i="30"/>
  <c r="J81" i="30"/>
  <c r="M81" i="30" s="1"/>
  <c r="M82" i="30"/>
  <c r="R82" i="30"/>
  <c r="E100" i="30"/>
  <c r="O110" i="30"/>
  <c r="R110" i="30" s="1"/>
  <c r="R111" i="30"/>
  <c r="H121" i="30"/>
  <c r="R139" i="30"/>
  <c r="O132" i="30"/>
  <c r="R152" i="30"/>
  <c r="O150" i="30"/>
  <c r="Q149" i="30"/>
  <c r="Q147" i="30" s="1"/>
  <c r="R156" i="30"/>
  <c r="E194" i="30"/>
  <c r="H194" i="30" s="1"/>
  <c r="H195" i="30"/>
  <c r="H183" i="30"/>
  <c r="H110" i="30"/>
  <c r="M126" i="30"/>
  <c r="L133" i="30"/>
  <c r="H135" i="30"/>
  <c r="G165" i="30"/>
  <c r="H184" i="30"/>
  <c r="J189" i="30"/>
  <c r="M189" i="30" s="1"/>
  <c r="M190" i="30"/>
  <c r="R190" i="30"/>
  <c r="M200" i="30"/>
  <c r="J216" i="30"/>
  <c r="R227" i="30"/>
  <c r="G233" i="30"/>
  <c r="G231" i="30" s="1"/>
  <c r="M236" i="30"/>
  <c r="R236" i="30"/>
  <c r="O249" i="30"/>
  <c r="M110" i="30"/>
  <c r="E132" i="30"/>
  <c r="H133" i="30"/>
  <c r="H143" i="30"/>
  <c r="H173" i="30"/>
  <c r="J183" i="30"/>
  <c r="M184" i="30"/>
  <c r="G216" i="30"/>
  <c r="G204" i="30" s="1"/>
  <c r="O217" i="30"/>
  <c r="M244" i="30"/>
  <c r="H253" i="30"/>
  <c r="R21" i="46"/>
  <c r="R63" i="46"/>
  <c r="R100" i="46"/>
  <c r="O99" i="46"/>
  <c r="O132" i="46"/>
  <c r="R133" i="46"/>
  <c r="R22" i="46"/>
  <c r="R66" i="46"/>
  <c r="Q81" i="46"/>
  <c r="R81" i="46" s="1"/>
  <c r="R156" i="46"/>
  <c r="Q189" i="46"/>
  <c r="R189" i="46" s="1"/>
  <c r="R250" i="46"/>
  <c r="R27" i="46"/>
  <c r="R55" i="46"/>
  <c r="R101" i="46"/>
  <c r="O105" i="46"/>
  <c r="R105" i="46" s="1"/>
  <c r="R135" i="46"/>
  <c r="O165" i="46"/>
  <c r="R165" i="46" s="1"/>
  <c r="R195" i="46"/>
  <c r="R223" i="46"/>
  <c r="O150" i="46"/>
  <c r="M15" i="46"/>
  <c r="M100" i="46"/>
  <c r="J99" i="46"/>
  <c r="M133" i="46"/>
  <c r="J132" i="46"/>
  <c r="J231" i="46"/>
  <c r="J14" i="46"/>
  <c r="M16" i="46"/>
  <c r="L21" i="46"/>
  <c r="M21" i="46" s="1"/>
  <c r="J26" i="46"/>
  <c r="M26" i="46" s="1"/>
  <c r="L81" i="46"/>
  <c r="M156" i="46"/>
  <c r="L189" i="46"/>
  <c r="J194" i="46"/>
  <c r="M194" i="46" s="1"/>
  <c r="L249" i="46"/>
  <c r="M55" i="46"/>
  <c r="M101" i="46"/>
  <c r="J105" i="46"/>
  <c r="M105" i="46" s="1"/>
  <c r="M135" i="46"/>
  <c r="J149" i="46"/>
  <c r="J165" i="46"/>
  <c r="M223" i="46"/>
  <c r="J36" i="46"/>
  <c r="R132" i="46" l="1"/>
  <c r="Q233" i="46"/>
  <c r="R233" i="46" s="1"/>
  <c r="M249" i="46"/>
  <c r="O120" i="46"/>
  <c r="J216" i="46"/>
  <c r="M216" i="46" s="1"/>
  <c r="L203" i="150"/>
  <c r="L130" i="170" s="1"/>
  <c r="M184" i="46"/>
  <c r="H149" i="54"/>
  <c r="H48" i="94"/>
  <c r="H249" i="54"/>
  <c r="H49" i="30"/>
  <c r="E48" i="30"/>
  <c r="E36" i="30" s="1"/>
  <c r="M132" i="46"/>
  <c r="R249" i="54"/>
  <c r="R132" i="17"/>
  <c r="H216" i="94"/>
  <c r="G35" i="150"/>
  <c r="G325" i="150" s="1"/>
  <c r="G66" i="146"/>
  <c r="L35" i="17"/>
  <c r="L80" i="17" s="1"/>
  <c r="L203" i="30"/>
  <c r="L248" i="30"/>
  <c r="R231" i="30"/>
  <c r="H63" i="54"/>
  <c r="M249" i="150"/>
  <c r="O98" i="30"/>
  <c r="R231" i="94"/>
  <c r="H147" i="94"/>
  <c r="M165" i="17"/>
  <c r="J182" i="46"/>
  <c r="J178" i="46" s="1"/>
  <c r="R65" i="46"/>
  <c r="H132" i="30"/>
  <c r="J48" i="54"/>
  <c r="M132" i="17"/>
  <c r="O149" i="150"/>
  <c r="R149" i="150" s="1"/>
  <c r="M467" i="146"/>
  <c r="M165" i="150"/>
  <c r="M494" i="146"/>
  <c r="M464" i="146"/>
  <c r="I59" i="146"/>
  <c r="M99" i="150"/>
  <c r="M133" i="150"/>
  <c r="H132" i="150"/>
  <c r="Q119" i="94"/>
  <c r="Q123" i="170" s="1"/>
  <c r="Q122" i="170" s="1"/>
  <c r="Q80" i="94"/>
  <c r="M165" i="94"/>
  <c r="H132" i="94"/>
  <c r="M65" i="94"/>
  <c r="H149" i="94"/>
  <c r="H165" i="94"/>
  <c r="Q121" i="170"/>
  <c r="Q120" i="170" s="1"/>
  <c r="L121" i="170"/>
  <c r="L120" i="170" s="1"/>
  <c r="D45" i="146"/>
  <c r="G113" i="170"/>
  <c r="G112" i="170" s="1"/>
  <c r="L37" i="146"/>
  <c r="R165" i="17"/>
  <c r="H184" i="17"/>
  <c r="H100" i="17"/>
  <c r="H81" i="17"/>
  <c r="H132" i="17"/>
  <c r="E182" i="17"/>
  <c r="L119" i="54"/>
  <c r="L32" i="170" s="1"/>
  <c r="L31" i="170" s="1"/>
  <c r="M184" i="54"/>
  <c r="M81" i="54"/>
  <c r="E14" i="54"/>
  <c r="E10" i="54" s="1"/>
  <c r="J120" i="54"/>
  <c r="M120" i="54" s="1"/>
  <c r="M165" i="54"/>
  <c r="J98" i="30"/>
  <c r="H165" i="30"/>
  <c r="M165" i="30"/>
  <c r="M81" i="46"/>
  <c r="R184" i="46"/>
  <c r="Q35" i="46"/>
  <c r="M165" i="46"/>
  <c r="J120" i="46"/>
  <c r="M120" i="46" s="1"/>
  <c r="M63" i="46"/>
  <c r="N66" i="146"/>
  <c r="J49" i="146"/>
  <c r="Q35" i="170"/>
  <c r="O182" i="46"/>
  <c r="O178" i="46" s="1"/>
  <c r="R249" i="30"/>
  <c r="R81" i="30"/>
  <c r="G48" i="54"/>
  <c r="H48" i="54" s="1"/>
  <c r="E182" i="54"/>
  <c r="E178" i="54" s="1"/>
  <c r="Q119" i="54"/>
  <c r="R507" i="146"/>
  <c r="R249" i="17"/>
  <c r="H183" i="17"/>
  <c r="G117" i="170"/>
  <c r="G116" i="170" s="1"/>
  <c r="R81" i="150"/>
  <c r="M132" i="150"/>
  <c r="L488" i="146"/>
  <c r="M427" i="146"/>
  <c r="L149" i="30"/>
  <c r="L35" i="30"/>
  <c r="L80" i="30" s="1"/>
  <c r="L119" i="46"/>
  <c r="L164" i="54"/>
  <c r="L35" i="170"/>
  <c r="H249" i="17"/>
  <c r="L104" i="170"/>
  <c r="L103" i="170" s="1"/>
  <c r="Q117" i="170"/>
  <c r="Q116" i="170" s="1"/>
  <c r="H120" i="17"/>
  <c r="R477" i="146"/>
  <c r="H150" i="30"/>
  <c r="O98" i="54"/>
  <c r="O94" i="54" s="1"/>
  <c r="H165" i="17"/>
  <c r="Q182" i="17"/>
  <c r="Q178" i="17" s="1"/>
  <c r="E98" i="94"/>
  <c r="H98" i="94" s="1"/>
  <c r="G33" i="150"/>
  <c r="L233" i="46"/>
  <c r="L231" i="46" s="1"/>
  <c r="L485" i="146" s="1"/>
  <c r="M66" i="46"/>
  <c r="L320" i="146"/>
  <c r="G119" i="170"/>
  <c r="G118" i="170" s="1"/>
  <c r="R249" i="94"/>
  <c r="R233" i="94"/>
  <c r="M249" i="94"/>
  <c r="J48" i="94"/>
  <c r="D66" i="146"/>
  <c r="L270" i="146"/>
  <c r="O216" i="46"/>
  <c r="G34" i="170"/>
  <c r="G33" i="170" s="1"/>
  <c r="G104" i="170"/>
  <c r="G103" i="170" s="1"/>
  <c r="G119" i="94"/>
  <c r="G123" i="170" s="1"/>
  <c r="G122" i="170" s="1"/>
  <c r="H249" i="150"/>
  <c r="G119" i="150"/>
  <c r="G125" i="170" s="1"/>
  <c r="G32" i="146"/>
  <c r="N19" i="170"/>
  <c r="Z19" i="170" s="1"/>
  <c r="R99" i="150"/>
  <c r="H165" i="150"/>
  <c r="H16" i="150"/>
  <c r="M81" i="150"/>
  <c r="L36" i="150"/>
  <c r="L35" i="150" s="1"/>
  <c r="L325" i="150" s="1"/>
  <c r="Q35" i="150"/>
  <c r="Q325" i="150" s="1"/>
  <c r="Q119" i="150"/>
  <c r="Q117" i="150" s="1"/>
  <c r="D19" i="170"/>
  <c r="V19" i="170" s="1"/>
  <c r="I17" i="170"/>
  <c r="X17" i="170" s="1"/>
  <c r="N10" i="170"/>
  <c r="R28" i="146"/>
  <c r="M62" i="170"/>
  <c r="J62" i="170"/>
  <c r="Q61" i="170"/>
  <c r="G61" i="170"/>
  <c r="I10" i="170"/>
  <c r="L61" i="170"/>
  <c r="D10" i="170"/>
  <c r="N17" i="170"/>
  <c r="Z17" i="170" s="1"/>
  <c r="I19" i="170"/>
  <c r="X19" i="170" s="1"/>
  <c r="D17" i="170"/>
  <c r="V17" i="170" s="1"/>
  <c r="O66" i="146"/>
  <c r="G49" i="146"/>
  <c r="L66" i="146"/>
  <c r="O49" i="146"/>
  <c r="L49" i="146"/>
  <c r="Q66" i="146"/>
  <c r="Q182" i="150"/>
  <c r="Q178" i="150" s="1"/>
  <c r="J120" i="150"/>
  <c r="M120" i="150" s="1"/>
  <c r="H81" i="150"/>
  <c r="R98" i="150"/>
  <c r="O94" i="150"/>
  <c r="R150" i="94"/>
  <c r="O149" i="94"/>
  <c r="R105" i="94"/>
  <c r="R359" i="146" s="1"/>
  <c r="E36" i="94"/>
  <c r="E35" i="94" s="1"/>
  <c r="O132" i="94"/>
  <c r="R132" i="94" s="1"/>
  <c r="L248" i="94"/>
  <c r="M149" i="94"/>
  <c r="J147" i="94"/>
  <c r="M147" i="94" s="1"/>
  <c r="O48" i="94"/>
  <c r="O36" i="94" s="1"/>
  <c r="M473" i="146"/>
  <c r="G203" i="94"/>
  <c r="G248" i="94" s="1"/>
  <c r="E182" i="94"/>
  <c r="E178" i="94" s="1"/>
  <c r="R397" i="146"/>
  <c r="O280" i="146"/>
  <c r="M420" i="146"/>
  <c r="R326" i="146"/>
  <c r="M313" i="146"/>
  <c r="M423" i="146"/>
  <c r="Q120" i="17"/>
  <c r="Q119" i="17" s="1"/>
  <c r="R494" i="146"/>
  <c r="M81" i="17"/>
  <c r="L248" i="17"/>
  <c r="R100" i="17"/>
  <c r="O99" i="17"/>
  <c r="G98" i="17"/>
  <c r="G94" i="17" s="1"/>
  <c r="R81" i="17"/>
  <c r="M249" i="17"/>
  <c r="G35" i="17"/>
  <c r="G80" i="17" s="1"/>
  <c r="Q275" i="146"/>
  <c r="Q448" i="146"/>
  <c r="L354" i="146"/>
  <c r="M414" i="146"/>
  <c r="R56" i="146"/>
  <c r="L404" i="146"/>
  <c r="R389" i="146"/>
  <c r="M57" i="146"/>
  <c r="Q387" i="146"/>
  <c r="J387" i="146"/>
  <c r="J233" i="146"/>
  <c r="J231" i="146" s="1"/>
  <c r="R355" i="146"/>
  <c r="Q470" i="146"/>
  <c r="H38" i="146"/>
  <c r="H84" i="146"/>
  <c r="H43" i="146"/>
  <c r="M61" i="146"/>
  <c r="Q419" i="146"/>
  <c r="R490" i="146"/>
  <c r="H73" i="146"/>
  <c r="M305" i="146"/>
  <c r="M41" i="146"/>
  <c r="L419" i="146"/>
  <c r="R299" i="146"/>
  <c r="R414" i="146"/>
  <c r="M58" i="146"/>
  <c r="R213" i="146"/>
  <c r="O404" i="146"/>
  <c r="M299" i="146"/>
  <c r="H223" i="146"/>
  <c r="R92" i="146"/>
  <c r="R58" i="146"/>
  <c r="M343" i="146"/>
  <c r="H195" i="146"/>
  <c r="H194" i="146" s="1"/>
  <c r="M227" i="146"/>
  <c r="M87" i="146"/>
  <c r="H47" i="146"/>
  <c r="H92" i="146"/>
  <c r="M339" i="146"/>
  <c r="R309" i="146"/>
  <c r="H56" i="146"/>
  <c r="M24" i="146"/>
  <c r="R296" i="146"/>
  <c r="M143" i="146"/>
  <c r="H58" i="146"/>
  <c r="R121" i="146"/>
  <c r="M490" i="146"/>
  <c r="Q82" i="146"/>
  <c r="G182" i="146"/>
  <c r="G178" i="146" s="1"/>
  <c r="J359" i="146"/>
  <c r="H61" i="146"/>
  <c r="R47" i="146"/>
  <c r="M126" i="146"/>
  <c r="M383" i="146"/>
  <c r="J320" i="146"/>
  <c r="J303" i="146"/>
  <c r="Q335" i="146"/>
  <c r="M30" i="146"/>
  <c r="R227" i="146"/>
  <c r="R60" i="146"/>
  <c r="M271" i="146"/>
  <c r="L45" i="146"/>
  <c r="M507" i="146"/>
  <c r="M326" i="146"/>
  <c r="H210" i="146"/>
  <c r="M180" i="146"/>
  <c r="M12" i="146" s="1"/>
  <c r="H173" i="146"/>
  <c r="R73" i="146"/>
  <c r="R43" i="146"/>
  <c r="R106" i="146"/>
  <c r="R105" i="146" s="1"/>
  <c r="R98" i="146" s="1"/>
  <c r="M240" i="146"/>
  <c r="R169" i="146"/>
  <c r="Q503" i="146"/>
  <c r="L182" i="146"/>
  <c r="L178" i="146" s="1"/>
  <c r="R330" i="146"/>
  <c r="M156" i="146"/>
  <c r="H143" i="146"/>
  <c r="H139" i="146"/>
  <c r="M111" i="146"/>
  <c r="M110" i="146" s="1"/>
  <c r="M29" i="146"/>
  <c r="H28" i="146"/>
  <c r="M139" i="146"/>
  <c r="M39" i="146"/>
  <c r="G36" i="54"/>
  <c r="G35" i="54" s="1"/>
  <c r="G80" i="54" s="1"/>
  <c r="M169" i="146"/>
  <c r="I182" i="146"/>
  <c r="I178" i="146" s="1"/>
  <c r="M47" i="146"/>
  <c r="M129" i="146"/>
  <c r="M77" i="146"/>
  <c r="H30" i="146"/>
  <c r="H184" i="54"/>
  <c r="R380" i="146"/>
  <c r="M43" i="146"/>
  <c r="E182" i="146"/>
  <c r="G55" i="146"/>
  <c r="O448" i="146"/>
  <c r="J335" i="146"/>
  <c r="M291" i="146"/>
  <c r="R91" i="146"/>
  <c r="O249" i="146"/>
  <c r="H29" i="146"/>
  <c r="J216" i="146"/>
  <c r="J204" i="146" s="1"/>
  <c r="L82" i="146"/>
  <c r="R77" i="146"/>
  <c r="M44" i="146"/>
  <c r="M213" i="146"/>
  <c r="R276" i="146"/>
  <c r="G248" i="54"/>
  <c r="G119" i="54"/>
  <c r="J438" i="146"/>
  <c r="R271" i="146"/>
  <c r="H44" i="146"/>
  <c r="J42" i="146"/>
  <c r="J270" i="146"/>
  <c r="H87" i="146"/>
  <c r="R24" i="146"/>
  <c r="R78" i="146"/>
  <c r="M40" i="146"/>
  <c r="M11" i="146"/>
  <c r="R25" i="146"/>
  <c r="J275" i="146"/>
  <c r="H11" i="146"/>
  <c r="M88" i="146"/>
  <c r="H121" i="146"/>
  <c r="H31" i="146"/>
  <c r="H180" i="146"/>
  <c r="H12" i="146" s="1"/>
  <c r="R11" i="146"/>
  <c r="L35" i="54"/>
  <c r="L80" i="54" s="1"/>
  <c r="M149" i="54"/>
  <c r="J147" i="54"/>
  <c r="M147" i="54" s="1"/>
  <c r="Q231" i="46"/>
  <c r="Q203" i="46" s="1"/>
  <c r="R364" i="146"/>
  <c r="L203" i="46"/>
  <c r="M189" i="46"/>
  <c r="L443" i="146"/>
  <c r="M23" i="146"/>
  <c r="R250" i="146"/>
  <c r="L35" i="46"/>
  <c r="M65" i="46"/>
  <c r="M498" i="146"/>
  <c r="M410" i="146"/>
  <c r="J419" i="146"/>
  <c r="Q165" i="146"/>
  <c r="L85" i="146"/>
  <c r="M46" i="146"/>
  <c r="L216" i="146"/>
  <c r="L204" i="146" s="1"/>
  <c r="R504" i="146"/>
  <c r="M477" i="146"/>
  <c r="Q270" i="146"/>
  <c r="M73" i="146"/>
  <c r="H166" i="146"/>
  <c r="M60" i="146"/>
  <c r="M160" i="146"/>
  <c r="R48" i="46"/>
  <c r="H126" i="146"/>
  <c r="R87" i="146"/>
  <c r="Q15" i="46"/>
  <c r="Q14" i="46" s="1"/>
  <c r="R50" i="146"/>
  <c r="R49" i="146" s="1"/>
  <c r="M67" i="146"/>
  <c r="M66" i="146" s="1"/>
  <c r="M244" i="146"/>
  <c r="H111" i="146"/>
  <c r="H110" i="146" s="1"/>
  <c r="E233" i="146"/>
  <c r="E231" i="146" s="1"/>
  <c r="R498" i="146"/>
  <c r="L335" i="146"/>
  <c r="R449" i="146"/>
  <c r="M83" i="146"/>
  <c r="H39" i="146"/>
  <c r="R464" i="146"/>
  <c r="H64" i="146"/>
  <c r="R46" i="146"/>
  <c r="Q119" i="46"/>
  <c r="M504" i="146"/>
  <c r="R393" i="146"/>
  <c r="R406" i="146"/>
  <c r="M380" i="146"/>
  <c r="M223" i="146"/>
  <c r="R44" i="146"/>
  <c r="H240" i="146"/>
  <c r="H213" i="146"/>
  <c r="R180" i="146"/>
  <c r="R12" i="146" s="1"/>
  <c r="M173" i="146"/>
  <c r="R240" i="146"/>
  <c r="H227" i="146"/>
  <c r="G36" i="30"/>
  <c r="G35" i="30" s="1"/>
  <c r="G80" i="30" s="1"/>
  <c r="E14" i="30"/>
  <c r="E10" i="30" s="1"/>
  <c r="H10" i="30" s="1"/>
  <c r="O471" i="146"/>
  <c r="J182" i="146"/>
  <c r="Q42" i="146"/>
  <c r="M322" i="146"/>
  <c r="M75" i="146"/>
  <c r="R139" i="146"/>
  <c r="M90" i="146"/>
  <c r="M64" i="146"/>
  <c r="R38" i="146"/>
  <c r="H257" i="146"/>
  <c r="M74" i="146"/>
  <c r="R30" i="146"/>
  <c r="G203" i="30"/>
  <c r="G248" i="30" s="1"/>
  <c r="H88" i="146"/>
  <c r="H190" i="146"/>
  <c r="H189" i="146" s="1"/>
  <c r="H250" i="146"/>
  <c r="R64" i="146"/>
  <c r="H66" i="30"/>
  <c r="E65" i="30"/>
  <c r="Q119" i="30"/>
  <c r="R233" i="30"/>
  <c r="O303" i="146"/>
  <c r="R291" i="146"/>
  <c r="M355" i="146"/>
  <c r="M210" i="146"/>
  <c r="R143" i="146"/>
  <c r="O487" i="146"/>
  <c r="R410" i="146"/>
  <c r="M336" i="146"/>
  <c r="H244" i="146"/>
  <c r="H57" i="146"/>
  <c r="R31" i="146"/>
  <c r="R223" i="146"/>
  <c r="M38" i="146"/>
  <c r="R253" i="146"/>
  <c r="R244" i="146"/>
  <c r="R84" i="146"/>
  <c r="R160" i="146"/>
  <c r="O364" i="146"/>
  <c r="R195" i="146"/>
  <c r="R194" i="146" s="1"/>
  <c r="M250" i="146"/>
  <c r="R511" i="146"/>
  <c r="M481" i="146"/>
  <c r="R473" i="146"/>
  <c r="M459" i="146"/>
  <c r="M439" i="146"/>
  <c r="M389" i="146"/>
  <c r="R439" i="146"/>
  <c r="H83" i="146"/>
  <c r="R86" i="146"/>
  <c r="J132" i="146"/>
  <c r="J120" i="146" s="1"/>
  <c r="R111" i="146"/>
  <c r="R110" i="146" s="1"/>
  <c r="D72" i="146"/>
  <c r="D76" i="146"/>
  <c r="I82" i="146"/>
  <c r="R67" i="146"/>
  <c r="R66" i="146" s="1"/>
  <c r="Q488" i="146"/>
  <c r="R375" i="146"/>
  <c r="R322" i="146"/>
  <c r="R383" i="146"/>
  <c r="R360" i="146"/>
  <c r="R305" i="146"/>
  <c r="R427" i="146"/>
  <c r="M397" i="146"/>
  <c r="M78" i="146"/>
  <c r="R173" i="146"/>
  <c r="H90" i="146"/>
  <c r="L448" i="146"/>
  <c r="H41" i="146"/>
  <c r="M205" i="146"/>
  <c r="M166" i="146"/>
  <c r="R74" i="146"/>
  <c r="L302" i="146"/>
  <c r="M31" i="146"/>
  <c r="M25" i="146"/>
  <c r="R23" i="146"/>
  <c r="H75" i="146"/>
  <c r="H253" i="146"/>
  <c r="Q443" i="146"/>
  <c r="R420" i="146"/>
  <c r="R210" i="146"/>
  <c r="M257" i="146"/>
  <c r="H40" i="146"/>
  <c r="M190" i="146"/>
  <c r="M189" i="146" s="1"/>
  <c r="R75" i="146"/>
  <c r="R83" i="146"/>
  <c r="R61" i="146"/>
  <c r="D94" i="146"/>
  <c r="N94" i="146"/>
  <c r="R156" i="146"/>
  <c r="H205" i="146"/>
  <c r="N165" i="146"/>
  <c r="I72" i="146"/>
  <c r="I76" i="146"/>
  <c r="I233" i="146"/>
  <c r="I231" i="146" s="1"/>
  <c r="E216" i="146"/>
  <c r="E204" i="146" s="1"/>
  <c r="M511" i="146"/>
  <c r="L503" i="146"/>
  <c r="L280" i="146"/>
  <c r="M393" i="146"/>
  <c r="R343" i="146"/>
  <c r="R90" i="146"/>
  <c r="M92" i="146"/>
  <c r="H129" i="146"/>
  <c r="H25" i="146"/>
  <c r="M50" i="146"/>
  <c r="M49" i="146" s="1"/>
  <c r="M133" i="146"/>
  <c r="H160" i="146"/>
  <c r="H78" i="146"/>
  <c r="R29" i="146"/>
  <c r="M195" i="146"/>
  <c r="M194" i="146" s="1"/>
  <c r="H24" i="146"/>
  <c r="H106" i="146"/>
  <c r="H105" i="146" s="1"/>
  <c r="H98" i="146" s="1"/>
  <c r="H94" i="146" s="1"/>
  <c r="H23" i="146"/>
  <c r="M360" i="146"/>
  <c r="H60" i="146"/>
  <c r="H67" i="146"/>
  <c r="H66" i="146" s="1"/>
  <c r="H91" i="146"/>
  <c r="R190" i="146"/>
  <c r="R189" i="146" s="1"/>
  <c r="O82" i="146"/>
  <c r="G94" i="146"/>
  <c r="M330" i="146"/>
  <c r="O320" i="146"/>
  <c r="M253" i="146"/>
  <c r="M86" i="146"/>
  <c r="M91" i="146"/>
  <c r="H156" i="146"/>
  <c r="H74" i="146"/>
  <c r="H169" i="146"/>
  <c r="H86" i="146"/>
  <c r="M121" i="146"/>
  <c r="M84" i="146"/>
  <c r="M106" i="146"/>
  <c r="M105" i="146" s="1"/>
  <c r="M98" i="146" s="1"/>
  <c r="R126" i="146"/>
  <c r="R57" i="146"/>
  <c r="H217" i="146"/>
  <c r="H50" i="146"/>
  <c r="H49" i="146" s="1"/>
  <c r="R205" i="146"/>
  <c r="R40" i="146"/>
  <c r="Q359" i="146"/>
  <c r="H46" i="146"/>
  <c r="R166" i="146"/>
  <c r="O216" i="146"/>
  <c r="O204" i="146" s="1"/>
  <c r="R481" i="146"/>
  <c r="O503" i="146"/>
  <c r="R336" i="146"/>
  <c r="R444" i="146"/>
  <c r="M406" i="146"/>
  <c r="R467" i="146"/>
  <c r="M375" i="146"/>
  <c r="R459" i="146"/>
  <c r="O438" i="146"/>
  <c r="R257" i="146"/>
  <c r="J22" i="146"/>
  <c r="J21" i="146" s="1"/>
  <c r="O59" i="146"/>
  <c r="O182" i="146"/>
  <c r="D59" i="146"/>
  <c r="N59" i="146"/>
  <c r="D82" i="146"/>
  <c r="O94" i="146"/>
  <c r="E94" i="146"/>
  <c r="J149" i="146"/>
  <c r="J147" i="146" s="1"/>
  <c r="G216" i="146"/>
  <c r="G204" i="146" s="1"/>
  <c r="G233" i="146"/>
  <c r="G231" i="146" s="1"/>
  <c r="M56" i="146"/>
  <c r="H77" i="146"/>
  <c r="D182" i="146"/>
  <c r="D178" i="146" s="1"/>
  <c r="M309" i="146"/>
  <c r="R339" i="146"/>
  <c r="R88" i="146"/>
  <c r="R281" i="146"/>
  <c r="R365" i="146"/>
  <c r="R423" i="146"/>
  <c r="M444" i="146"/>
  <c r="M276" i="146"/>
  <c r="M28" i="146"/>
  <c r="E132" i="146"/>
  <c r="E120" i="146" s="1"/>
  <c r="E55" i="146"/>
  <c r="J85" i="146"/>
  <c r="I132" i="146"/>
  <c r="I120" i="146" s="1"/>
  <c r="D216" i="146"/>
  <c r="D204" i="146" s="1"/>
  <c r="I216" i="146"/>
  <c r="I204" i="146" s="1"/>
  <c r="N233" i="146"/>
  <c r="N231" i="146" s="1"/>
  <c r="D249" i="146"/>
  <c r="Q22" i="146"/>
  <c r="Q21" i="146" s="1"/>
  <c r="G72" i="146"/>
  <c r="G82" i="146"/>
  <c r="Q89" i="146"/>
  <c r="Q182" i="146"/>
  <c r="Q178" i="146" s="1"/>
  <c r="Q216" i="146"/>
  <c r="Q204" i="146" s="1"/>
  <c r="Q233" i="146"/>
  <c r="Q231" i="146" s="1"/>
  <c r="N45" i="146"/>
  <c r="E249" i="146"/>
  <c r="M296" i="146"/>
  <c r="M365" i="146"/>
  <c r="M281" i="146"/>
  <c r="M449" i="146"/>
  <c r="O335" i="146"/>
  <c r="R313" i="146"/>
  <c r="R41" i="146"/>
  <c r="R39" i="146"/>
  <c r="R129" i="146"/>
  <c r="L359" i="146"/>
  <c r="O270" i="146"/>
  <c r="O419" i="146"/>
  <c r="E45" i="146"/>
  <c r="N149" i="146"/>
  <c r="N147" i="146" s="1"/>
  <c r="D165" i="146"/>
  <c r="O55" i="146"/>
  <c r="G249" i="146"/>
  <c r="L470" i="146"/>
  <c r="O443" i="146"/>
  <c r="J354" i="146"/>
  <c r="Q458" i="146"/>
  <c r="D12" i="146"/>
  <c r="D22" i="146"/>
  <c r="D21" i="146" s="1"/>
  <c r="N132" i="146"/>
  <c r="N120" i="146" s="1"/>
  <c r="N216" i="146"/>
  <c r="N204" i="146" s="1"/>
  <c r="D233" i="146"/>
  <c r="D231" i="146" s="1"/>
  <c r="N249" i="146"/>
  <c r="E82" i="146"/>
  <c r="G12" i="146"/>
  <c r="G22" i="146"/>
  <c r="G21" i="146" s="1"/>
  <c r="Q55" i="146"/>
  <c r="Q72" i="146"/>
  <c r="G89" i="146"/>
  <c r="O233" i="146"/>
  <c r="O231" i="146" s="1"/>
  <c r="Q85" i="146"/>
  <c r="M280" i="146"/>
  <c r="J280" i="146"/>
  <c r="L387" i="146"/>
  <c r="M275" i="146"/>
  <c r="L275" i="146"/>
  <c r="O359" i="146"/>
  <c r="R275" i="146"/>
  <c r="O275" i="146"/>
  <c r="Q404" i="146"/>
  <c r="R448" i="146"/>
  <c r="D132" i="146"/>
  <c r="D120" i="146" s="1"/>
  <c r="Q59" i="146"/>
  <c r="L55" i="146"/>
  <c r="L233" i="146"/>
  <c r="L231" i="146" s="1"/>
  <c r="Q438" i="146"/>
  <c r="Q354" i="146"/>
  <c r="L437" i="146"/>
  <c r="J364" i="146"/>
  <c r="J448" i="146"/>
  <c r="M448" i="146"/>
  <c r="J503" i="146"/>
  <c r="J443" i="146"/>
  <c r="I12" i="146"/>
  <c r="I94" i="146"/>
  <c r="J94" i="146"/>
  <c r="O27" i="146"/>
  <c r="O26" i="146" s="1"/>
  <c r="J37" i="146"/>
  <c r="O45" i="146"/>
  <c r="E149" i="146"/>
  <c r="E147" i="146" s="1"/>
  <c r="E76" i="146"/>
  <c r="N22" i="146"/>
  <c r="N21" i="146" s="1"/>
  <c r="I37" i="146"/>
  <c r="I45" i="146"/>
  <c r="N182" i="146"/>
  <c r="N178" i="146" s="1"/>
  <c r="O37" i="146"/>
  <c r="J45" i="146"/>
  <c r="G76" i="146"/>
  <c r="G165" i="146"/>
  <c r="N72" i="146"/>
  <c r="L22" i="146"/>
  <c r="L21" i="146" s="1"/>
  <c r="Q303" i="146"/>
  <c r="L487" i="146"/>
  <c r="J471" i="146"/>
  <c r="J404" i="146"/>
  <c r="O387" i="146"/>
  <c r="Q320" i="146"/>
  <c r="R280" i="146"/>
  <c r="N82" i="146"/>
  <c r="D85" i="146"/>
  <c r="D89" i="146"/>
  <c r="E22" i="146"/>
  <c r="E21" i="146" s="1"/>
  <c r="O85" i="146"/>
  <c r="L76" i="146"/>
  <c r="G85" i="146"/>
  <c r="J55" i="146"/>
  <c r="E66" i="146"/>
  <c r="E72" i="146"/>
  <c r="O165" i="146"/>
  <c r="J89" i="146"/>
  <c r="D27" i="146"/>
  <c r="D26" i="146" s="1"/>
  <c r="N27" i="146"/>
  <c r="N26" i="146" s="1"/>
  <c r="D37" i="146"/>
  <c r="D42" i="146"/>
  <c r="N42" i="146"/>
  <c r="D49" i="146"/>
  <c r="N49" i="146"/>
  <c r="I55" i="146"/>
  <c r="I85" i="146"/>
  <c r="I89" i="146"/>
  <c r="I249" i="146"/>
  <c r="E12" i="146"/>
  <c r="O42" i="146"/>
  <c r="J59" i="146"/>
  <c r="J72" i="146"/>
  <c r="J82" i="146"/>
  <c r="E85" i="146"/>
  <c r="E89" i="146"/>
  <c r="Q37" i="146"/>
  <c r="G59" i="146"/>
  <c r="G149" i="146"/>
  <c r="G147" i="146" s="1"/>
  <c r="Q149" i="146"/>
  <c r="Q147" i="146" s="1"/>
  <c r="Q76" i="146"/>
  <c r="Q249" i="146"/>
  <c r="N89" i="146"/>
  <c r="Q27" i="146"/>
  <c r="Q26" i="146" s="1"/>
  <c r="Q45" i="146"/>
  <c r="Q132" i="146"/>
  <c r="Q120" i="146" s="1"/>
  <c r="L59" i="146"/>
  <c r="I49" i="146"/>
  <c r="J27" i="146"/>
  <c r="J26" i="146" s="1"/>
  <c r="O76" i="146"/>
  <c r="N37" i="146"/>
  <c r="I149" i="146"/>
  <c r="I147" i="146" s="1"/>
  <c r="I165" i="146"/>
  <c r="O22" i="146"/>
  <c r="O21" i="146" s="1"/>
  <c r="J165" i="146"/>
  <c r="I22" i="146"/>
  <c r="I21" i="146" s="1"/>
  <c r="J76" i="146"/>
  <c r="O149" i="146"/>
  <c r="O147" i="146" s="1"/>
  <c r="O72" i="146"/>
  <c r="N85" i="146"/>
  <c r="I27" i="146"/>
  <c r="I26" i="146" s="1"/>
  <c r="D55" i="146"/>
  <c r="N55" i="146"/>
  <c r="D149" i="146"/>
  <c r="D147" i="146" s="1"/>
  <c r="E27" i="146"/>
  <c r="E26" i="146" s="1"/>
  <c r="E42" i="146"/>
  <c r="O132" i="146"/>
  <c r="O120" i="146" s="1"/>
  <c r="E59" i="146"/>
  <c r="E165" i="146"/>
  <c r="O89" i="146"/>
  <c r="L27" i="146"/>
  <c r="L26" i="146" s="1"/>
  <c r="G42" i="146"/>
  <c r="L132" i="146"/>
  <c r="L120" i="146" s="1"/>
  <c r="L149" i="146"/>
  <c r="L147" i="146" s="1"/>
  <c r="N76" i="146"/>
  <c r="J249" i="146"/>
  <c r="G27" i="146"/>
  <c r="G26" i="146" s="1"/>
  <c r="L42" i="146"/>
  <c r="G45" i="146"/>
  <c r="G132" i="146"/>
  <c r="G120" i="146" s="1"/>
  <c r="L72" i="146"/>
  <c r="L165" i="146"/>
  <c r="L89" i="146"/>
  <c r="L249" i="146"/>
  <c r="H216" i="150"/>
  <c r="E204" i="150"/>
  <c r="O48" i="150"/>
  <c r="R49" i="150"/>
  <c r="H234" i="150"/>
  <c r="E233" i="150"/>
  <c r="L149" i="150"/>
  <c r="M150" i="150"/>
  <c r="O15" i="150"/>
  <c r="R16" i="150"/>
  <c r="R63" i="150"/>
  <c r="Q233" i="150"/>
  <c r="R234" i="150"/>
  <c r="R132" i="150"/>
  <c r="J15" i="150"/>
  <c r="M16" i="150"/>
  <c r="H66" i="150"/>
  <c r="E65" i="150"/>
  <c r="O183" i="150"/>
  <c r="R184" i="150"/>
  <c r="M98" i="150"/>
  <c r="J94" i="150"/>
  <c r="R65" i="150"/>
  <c r="H120" i="150"/>
  <c r="H99" i="150"/>
  <c r="E98" i="150"/>
  <c r="J63" i="150"/>
  <c r="M63" i="150" s="1"/>
  <c r="M65" i="150"/>
  <c r="E14" i="150"/>
  <c r="R120" i="150"/>
  <c r="M216" i="150"/>
  <c r="J204" i="150"/>
  <c r="G203" i="150"/>
  <c r="O216" i="150"/>
  <c r="R217" i="150"/>
  <c r="J182" i="150"/>
  <c r="M183" i="150"/>
  <c r="J231" i="150"/>
  <c r="M231" i="150" s="1"/>
  <c r="M233" i="150"/>
  <c r="E147" i="150"/>
  <c r="H149" i="150"/>
  <c r="E182" i="150"/>
  <c r="H48" i="150"/>
  <c r="E36" i="150"/>
  <c r="J182" i="94"/>
  <c r="M183" i="94"/>
  <c r="O183" i="94"/>
  <c r="R184" i="94"/>
  <c r="R66" i="94"/>
  <c r="R320" i="146" s="1"/>
  <c r="O65" i="94"/>
  <c r="H234" i="94"/>
  <c r="E233" i="94"/>
  <c r="R189" i="94"/>
  <c r="L98" i="94"/>
  <c r="L94" i="94" s="1"/>
  <c r="O216" i="94"/>
  <c r="R217" i="94"/>
  <c r="M100" i="94"/>
  <c r="J99" i="94"/>
  <c r="H81" i="94"/>
  <c r="J231" i="94"/>
  <c r="M231" i="94" s="1"/>
  <c r="M233" i="94"/>
  <c r="L132" i="94"/>
  <c r="M133" i="94"/>
  <c r="Q203" i="94"/>
  <c r="Q248" i="94" s="1"/>
  <c r="M14" i="94"/>
  <c r="J10" i="94"/>
  <c r="E94" i="94"/>
  <c r="O14" i="94"/>
  <c r="R15" i="94"/>
  <c r="G65" i="94"/>
  <c r="H66" i="94"/>
  <c r="M216" i="94"/>
  <c r="J204" i="94"/>
  <c r="O120" i="94"/>
  <c r="E15" i="94"/>
  <c r="H16" i="94"/>
  <c r="H99" i="94"/>
  <c r="E119" i="94"/>
  <c r="H120" i="94"/>
  <c r="O94" i="94"/>
  <c r="R98" i="94"/>
  <c r="H204" i="94"/>
  <c r="L319" i="146"/>
  <c r="H216" i="17"/>
  <c r="E204" i="17"/>
  <c r="O48" i="17"/>
  <c r="R49" i="17"/>
  <c r="J14" i="17"/>
  <c r="M15" i="17"/>
  <c r="O183" i="17"/>
  <c r="R184" i="17"/>
  <c r="H48" i="17"/>
  <c r="E36" i="17"/>
  <c r="H234" i="17"/>
  <c r="E233" i="17"/>
  <c r="M98" i="17"/>
  <c r="J94" i="17"/>
  <c r="Q63" i="17"/>
  <c r="R65" i="17"/>
  <c r="J120" i="17"/>
  <c r="Q233" i="17"/>
  <c r="R234" i="17"/>
  <c r="R149" i="17"/>
  <c r="O147" i="17"/>
  <c r="R147" i="17" s="1"/>
  <c r="O216" i="17"/>
  <c r="R217" i="17"/>
  <c r="M48" i="17"/>
  <c r="J36" i="17"/>
  <c r="L149" i="17"/>
  <c r="M150" i="17"/>
  <c r="G119" i="17"/>
  <c r="G100" i="170" s="1"/>
  <c r="G99" i="170" s="1"/>
  <c r="E178" i="17"/>
  <c r="H182" i="17"/>
  <c r="E14" i="17"/>
  <c r="E98" i="17"/>
  <c r="H99" i="17"/>
  <c r="J63" i="17"/>
  <c r="M63" i="17" s="1"/>
  <c r="M65" i="17"/>
  <c r="M216" i="17"/>
  <c r="J204" i="17"/>
  <c r="G203" i="17"/>
  <c r="G248" i="17" s="1"/>
  <c r="H66" i="17"/>
  <c r="E65" i="17"/>
  <c r="O15" i="17"/>
  <c r="R16" i="17"/>
  <c r="J182" i="17"/>
  <c r="M183" i="17"/>
  <c r="J231" i="17"/>
  <c r="M231" i="17" s="1"/>
  <c r="M233" i="17"/>
  <c r="E149" i="17"/>
  <c r="H150" i="17"/>
  <c r="L269" i="146"/>
  <c r="E38" i="170"/>
  <c r="E37" i="170" s="1"/>
  <c r="J231" i="54"/>
  <c r="M231" i="54" s="1"/>
  <c r="M233" i="54"/>
  <c r="R189" i="54"/>
  <c r="R120" i="54"/>
  <c r="O48" i="54"/>
  <c r="R49" i="54"/>
  <c r="O183" i="54"/>
  <c r="R184" i="54"/>
  <c r="E35" i="54"/>
  <c r="H35" i="54" s="1"/>
  <c r="H216" i="54"/>
  <c r="E204" i="54"/>
  <c r="E99" i="54"/>
  <c r="H100" i="54"/>
  <c r="J65" i="54"/>
  <c r="M66" i="54"/>
  <c r="H234" i="54"/>
  <c r="E233" i="54"/>
  <c r="O216" i="54"/>
  <c r="R217" i="54"/>
  <c r="M98" i="54"/>
  <c r="J94" i="54"/>
  <c r="Q233" i="54"/>
  <c r="R234" i="54"/>
  <c r="O15" i="54"/>
  <c r="R16" i="54"/>
  <c r="R150" i="54"/>
  <c r="O149" i="54"/>
  <c r="J182" i="54"/>
  <c r="M183" i="54"/>
  <c r="E119" i="54"/>
  <c r="H120" i="54"/>
  <c r="M216" i="54"/>
  <c r="J204" i="54"/>
  <c r="R132" i="54"/>
  <c r="J14" i="54"/>
  <c r="M15" i="54"/>
  <c r="M48" i="54"/>
  <c r="J36" i="54"/>
  <c r="H65" i="54"/>
  <c r="H14" i="54"/>
  <c r="Q63" i="54"/>
  <c r="R65" i="54"/>
  <c r="O216" i="30"/>
  <c r="R217" i="30"/>
  <c r="R132" i="30"/>
  <c r="O120" i="30"/>
  <c r="H216" i="30"/>
  <c r="E204" i="30"/>
  <c r="M48" i="30"/>
  <c r="J36" i="30"/>
  <c r="H234" i="30"/>
  <c r="E233" i="30"/>
  <c r="M216" i="30"/>
  <c r="J204" i="30"/>
  <c r="J119" i="30"/>
  <c r="J24" i="170" s="1"/>
  <c r="J23" i="170" s="1"/>
  <c r="O48" i="30"/>
  <c r="R49" i="30"/>
  <c r="J231" i="30"/>
  <c r="M231" i="30" s="1"/>
  <c r="M233" i="30"/>
  <c r="L132" i="30"/>
  <c r="M133" i="30"/>
  <c r="E182" i="30"/>
  <c r="E99" i="30"/>
  <c r="H100" i="30"/>
  <c r="J65" i="30"/>
  <c r="M66" i="30"/>
  <c r="G147" i="30"/>
  <c r="H149" i="30"/>
  <c r="Q203" i="30"/>
  <c r="Q248" i="30" s="1"/>
  <c r="M98" i="30"/>
  <c r="J94" i="30"/>
  <c r="Q63" i="30"/>
  <c r="R65" i="30"/>
  <c r="R150" i="30"/>
  <c r="O149" i="30"/>
  <c r="J14" i="30"/>
  <c r="J10" i="30" s="1"/>
  <c r="M10" i="30" s="1"/>
  <c r="M15" i="30"/>
  <c r="J182" i="30"/>
  <c r="M183" i="30"/>
  <c r="E120" i="30"/>
  <c r="O15" i="30"/>
  <c r="R16" i="30"/>
  <c r="O183" i="30"/>
  <c r="R184" i="30"/>
  <c r="O98" i="46"/>
  <c r="R99" i="46"/>
  <c r="R120" i="46"/>
  <c r="Q182" i="46"/>
  <c r="Q178" i="46" s="1"/>
  <c r="R36" i="46"/>
  <c r="O35" i="46"/>
  <c r="R35" i="46" s="1"/>
  <c r="R150" i="46"/>
  <c r="O149" i="46"/>
  <c r="O80" i="46"/>
  <c r="M36" i="46"/>
  <c r="J35" i="46"/>
  <c r="L182" i="46"/>
  <c r="L178" i="46" s="1"/>
  <c r="J10" i="46"/>
  <c r="M149" i="46"/>
  <c r="J147" i="46"/>
  <c r="M147" i="46" s="1"/>
  <c r="J98" i="46"/>
  <c r="M99" i="46"/>
  <c r="M233" i="46"/>
  <c r="L14" i="46"/>
  <c r="L10" i="46" s="1"/>
  <c r="L248" i="150" l="1"/>
  <c r="Q248" i="46"/>
  <c r="R15" i="46"/>
  <c r="R231" i="46"/>
  <c r="M231" i="46"/>
  <c r="L248" i="46"/>
  <c r="J204" i="46"/>
  <c r="J203" i="46" s="1"/>
  <c r="M203" i="46" s="1"/>
  <c r="O147" i="150"/>
  <c r="R147" i="150" s="1"/>
  <c r="Q164" i="94"/>
  <c r="O94" i="30"/>
  <c r="R94" i="30" s="1"/>
  <c r="R98" i="30"/>
  <c r="H48" i="30"/>
  <c r="R98" i="54"/>
  <c r="J119" i="54"/>
  <c r="J32" i="170" s="1"/>
  <c r="J31" i="170" s="1"/>
  <c r="G164" i="94"/>
  <c r="H182" i="94"/>
  <c r="H36" i="94"/>
  <c r="M364" i="146"/>
  <c r="H36" i="30"/>
  <c r="L13" i="170"/>
  <c r="L19" i="170" s="1"/>
  <c r="Q371" i="146"/>
  <c r="Q117" i="146" s="1"/>
  <c r="Q116" i="150"/>
  <c r="R117" i="150"/>
  <c r="R371" i="146" s="1"/>
  <c r="R117" i="146" s="1"/>
  <c r="H119" i="54"/>
  <c r="H32" i="170" s="1"/>
  <c r="H31" i="170" s="1"/>
  <c r="E32" i="170"/>
  <c r="E31" i="170" s="1"/>
  <c r="L34" i="170"/>
  <c r="L33" i="170" s="1"/>
  <c r="R121" i="170"/>
  <c r="R120" i="170" s="1"/>
  <c r="O121" i="170"/>
  <c r="O120" i="170" s="1"/>
  <c r="H182" i="54"/>
  <c r="H119" i="94"/>
  <c r="H123" i="170" s="1"/>
  <c r="H122" i="170" s="1"/>
  <c r="E123" i="170"/>
  <c r="E122" i="170" s="1"/>
  <c r="M36" i="150"/>
  <c r="L290" i="146"/>
  <c r="M443" i="146"/>
  <c r="Q119" i="170"/>
  <c r="Q118" i="170" s="1"/>
  <c r="L147" i="30"/>
  <c r="M147" i="30" s="1"/>
  <c r="M149" i="30"/>
  <c r="M119" i="54"/>
  <c r="M32" i="170" s="1"/>
  <c r="M31" i="170" s="1"/>
  <c r="L117" i="170"/>
  <c r="L116" i="170" s="1"/>
  <c r="Q164" i="30"/>
  <c r="Q24" i="170"/>
  <c r="Q23" i="170" s="1"/>
  <c r="G164" i="54"/>
  <c r="G32" i="170"/>
  <c r="G31" i="170" s="1"/>
  <c r="Q164" i="17"/>
  <c r="Q100" i="170"/>
  <c r="Q99" i="170" s="1"/>
  <c r="G102" i="170"/>
  <c r="G101" i="170" s="1"/>
  <c r="M48" i="94"/>
  <c r="J36" i="94"/>
  <c r="L164" i="46"/>
  <c r="L22" i="170"/>
  <c r="L21" i="170" s="1"/>
  <c r="M119" i="170"/>
  <c r="M118" i="170" s="1"/>
  <c r="J119" i="170"/>
  <c r="J118" i="170" s="1"/>
  <c r="R216" i="46"/>
  <c r="O204" i="46"/>
  <c r="L80" i="46"/>
  <c r="M35" i="46"/>
  <c r="G38" i="170"/>
  <c r="G37" i="170" s="1"/>
  <c r="R120" i="17"/>
  <c r="G121" i="170"/>
  <c r="G120" i="170" s="1"/>
  <c r="R48" i="94"/>
  <c r="Q164" i="46"/>
  <c r="Q22" i="170"/>
  <c r="Q21" i="170" s="1"/>
  <c r="G164" i="150"/>
  <c r="Q33" i="150"/>
  <c r="G32" i="150"/>
  <c r="G10" i="150" s="1"/>
  <c r="G80" i="150" s="1"/>
  <c r="G287" i="146"/>
  <c r="Q164" i="54"/>
  <c r="Q32" i="170"/>
  <c r="Q31" i="170" s="1"/>
  <c r="L119" i="170"/>
  <c r="L118" i="170" s="1"/>
  <c r="L33" i="150"/>
  <c r="H149" i="146"/>
  <c r="H147" i="146" s="1"/>
  <c r="I16" i="170"/>
  <c r="X10" i="170"/>
  <c r="D16" i="170"/>
  <c r="D143" i="170" s="1"/>
  <c r="V10" i="170"/>
  <c r="N16" i="170"/>
  <c r="Z10" i="170"/>
  <c r="J119" i="150"/>
  <c r="J125" i="170" s="1"/>
  <c r="Q125" i="170"/>
  <c r="G248" i="150"/>
  <c r="G130" i="170"/>
  <c r="G124" i="170" s="1"/>
  <c r="H42" i="146"/>
  <c r="J203" i="146"/>
  <c r="L60" i="170"/>
  <c r="J60" i="170"/>
  <c r="H62" i="170"/>
  <c r="E62" i="170"/>
  <c r="G62" i="170"/>
  <c r="Q60" i="170"/>
  <c r="R61" i="170"/>
  <c r="O61" i="170"/>
  <c r="H61" i="170"/>
  <c r="E61" i="170"/>
  <c r="M60" i="170"/>
  <c r="O119" i="150"/>
  <c r="O125" i="170" s="1"/>
  <c r="O147" i="94"/>
  <c r="R147" i="94" s="1"/>
  <c r="R149" i="94"/>
  <c r="J119" i="94"/>
  <c r="J123" i="170" s="1"/>
  <c r="J122" i="170" s="1"/>
  <c r="R335" i="146"/>
  <c r="M471" i="146"/>
  <c r="R503" i="146"/>
  <c r="L403" i="146"/>
  <c r="J386" i="146"/>
  <c r="R99" i="17"/>
  <c r="O98" i="17"/>
  <c r="O352" i="146" s="1"/>
  <c r="G164" i="17"/>
  <c r="M438" i="146"/>
  <c r="H37" i="146"/>
  <c r="L353" i="146"/>
  <c r="J437" i="146"/>
  <c r="J487" i="146"/>
  <c r="M419" i="146"/>
  <c r="R45" i="146"/>
  <c r="M233" i="146"/>
  <c r="M231" i="146" s="1"/>
  <c r="R419" i="146"/>
  <c r="M488" i="146"/>
  <c r="H82" i="146"/>
  <c r="M42" i="146"/>
  <c r="R55" i="146"/>
  <c r="M59" i="146"/>
  <c r="H45" i="146"/>
  <c r="R85" i="146"/>
  <c r="R488" i="146"/>
  <c r="M503" i="146"/>
  <c r="M354" i="146"/>
  <c r="R354" i="146"/>
  <c r="M85" i="146"/>
  <c r="H59" i="146"/>
  <c r="M55" i="146"/>
  <c r="R22" i="146"/>
  <c r="R21" i="146" s="1"/>
  <c r="M76" i="146"/>
  <c r="M82" i="146"/>
  <c r="M22" i="146"/>
  <c r="M21" i="146" s="1"/>
  <c r="M165" i="146"/>
  <c r="R42" i="146"/>
  <c r="J319" i="146"/>
  <c r="Q487" i="146"/>
  <c r="R182" i="146"/>
  <c r="E203" i="146"/>
  <c r="H55" i="146"/>
  <c r="R132" i="146"/>
  <c r="R120" i="146" s="1"/>
  <c r="M149" i="146"/>
  <c r="M147" i="146" s="1"/>
  <c r="R76" i="146"/>
  <c r="H132" i="146"/>
  <c r="H120" i="146" s="1"/>
  <c r="Q386" i="146"/>
  <c r="M216" i="146"/>
  <c r="M204" i="146" s="1"/>
  <c r="L14" i="146"/>
  <c r="M359" i="146"/>
  <c r="M387" i="146"/>
  <c r="H182" i="146"/>
  <c r="J302" i="146"/>
  <c r="R72" i="146"/>
  <c r="H27" i="146"/>
  <c r="H26" i="146" s="1"/>
  <c r="O353" i="146"/>
  <c r="M335" i="146"/>
  <c r="M27" i="146"/>
  <c r="M26" i="146" s="1"/>
  <c r="M132" i="146"/>
  <c r="M120" i="146" s="1"/>
  <c r="J269" i="146"/>
  <c r="H38" i="170"/>
  <c r="H37" i="170" s="1"/>
  <c r="M303" i="146"/>
  <c r="M270" i="146"/>
  <c r="R59" i="146"/>
  <c r="R216" i="146"/>
  <c r="R204" i="146" s="1"/>
  <c r="G48" i="146"/>
  <c r="G36" i="146" s="1"/>
  <c r="N203" i="146"/>
  <c r="N248" i="146" s="1"/>
  <c r="H165" i="146"/>
  <c r="R387" i="146"/>
  <c r="R89" i="146"/>
  <c r="M37" i="146"/>
  <c r="H249" i="146"/>
  <c r="M45" i="146"/>
  <c r="O485" i="146"/>
  <c r="M320" i="146"/>
  <c r="R249" i="146"/>
  <c r="R165" i="146"/>
  <c r="H85" i="146"/>
  <c r="O403" i="146"/>
  <c r="H36" i="54"/>
  <c r="J14" i="146"/>
  <c r="Q203" i="146"/>
  <c r="Q248" i="146" s="1"/>
  <c r="Q81" i="146"/>
  <c r="I65" i="146"/>
  <c r="I63" i="146" s="1"/>
  <c r="R149" i="146"/>
  <c r="R147" i="146" s="1"/>
  <c r="H89" i="146"/>
  <c r="D65" i="146"/>
  <c r="D63" i="146" s="1"/>
  <c r="O48" i="146"/>
  <c r="O36" i="146" s="1"/>
  <c r="H216" i="146"/>
  <c r="H204" i="146" s="1"/>
  <c r="R82" i="146"/>
  <c r="R233" i="146"/>
  <c r="R231" i="146" s="1"/>
  <c r="R404" i="146"/>
  <c r="L65" i="146"/>
  <c r="L63" i="146" s="1"/>
  <c r="O65" i="146"/>
  <c r="O63" i="146" s="1"/>
  <c r="D81" i="146"/>
  <c r="M182" i="146"/>
  <c r="Q10" i="46"/>
  <c r="R14" i="46"/>
  <c r="M14" i="46"/>
  <c r="L81" i="146"/>
  <c r="G65" i="146"/>
  <c r="G63" i="146" s="1"/>
  <c r="I203" i="146"/>
  <c r="I248" i="146" s="1"/>
  <c r="R37" i="146"/>
  <c r="M72" i="146"/>
  <c r="E63" i="30"/>
  <c r="H65" i="30"/>
  <c r="H14" i="30"/>
  <c r="Q48" i="146"/>
  <c r="Q36" i="146" s="1"/>
  <c r="R27" i="146"/>
  <c r="R26" i="146" s="1"/>
  <c r="R438" i="146"/>
  <c r="O14" i="146"/>
  <c r="O302" i="146"/>
  <c r="E48" i="146"/>
  <c r="E36" i="146" s="1"/>
  <c r="R303" i="146"/>
  <c r="G203" i="146"/>
  <c r="G248" i="146" s="1"/>
  <c r="R270" i="146"/>
  <c r="M89" i="146"/>
  <c r="J119" i="146"/>
  <c r="J164" i="146" s="1"/>
  <c r="H233" i="146"/>
  <c r="H231" i="146" s="1"/>
  <c r="I81" i="146"/>
  <c r="O319" i="146"/>
  <c r="G14" i="146"/>
  <c r="G10" i="146" s="1"/>
  <c r="D14" i="146"/>
  <c r="D10" i="146" s="1"/>
  <c r="G81" i="146"/>
  <c r="Q65" i="146"/>
  <c r="Q63" i="146" s="1"/>
  <c r="H72" i="146"/>
  <c r="M249" i="146"/>
  <c r="Q14" i="146"/>
  <c r="H76" i="146"/>
  <c r="H22" i="146"/>
  <c r="H21" i="146" s="1"/>
  <c r="R471" i="146"/>
  <c r="I14" i="146"/>
  <c r="I10" i="146" s="1"/>
  <c r="Q119" i="146"/>
  <c r="J65" i="146"/>
  <c r="J63" i="146" s="1"/>
  <c r="M404" i="146"/>
  <c r="R443" i="146"/>
  <c r="O437" i="146"/>
  <c r="O119" i="146"/>
  <c r="O164" i="146" s="1"/>
  <c r="O203" i="146"/>
  <c r="O470" i="146"/>
  <c r="G119" i="146"/>
  <c r="G164" i="146" s="1"/>
  <c r="D119" i="146"/>
  <c r="D164" i="146" s="1"/>
  <c r="Q302" i="146"/>
  <c r="D203" i="146"/>
  <c r="D248" i="146" s="1"/>
  <c r="N48" i="146"/>
  <c r="N36" i="146" s="1"/>
  <c r="L119" i="146"/>
  <c r="E81" i="146"/>
  <c r="J48" i="146"/>
  <c r="J36" i="146" s="1"/>
  <c r="O386" i="146"/>
  <c r="Q269" i="146"/>
  <c r="Q353" i="146"/>
  <c r="O269" i="146"/>
  <c r="J403" i="146"/>
  <c r="J470" i="146"/>
  <c r="N119" i="146"/>
  <c r="N164" i="146" s="1"/>
  <c r="E65" i="146"/>
  <c r="E63" i="146" s="1"/>
  <c r="O81" i="146"/>
  <c r="L436" i="146"/>
  <c r="Q437" i="146"/>
  <c r="N65" i="146"/>
  <c r="N63" i="146" s="1"/>
  <c r="L48" i="146"/>
  <c r="L36" i="146" s="1"/>
  <c r="J81" i="146"/>
  <c r="E119" i="146"/>
  <c r="E164" i="146" s="1"/>
  <c r="N14" i="146"/>
  <c r="N10" i="146" s="1"/>
  <c r="Q319" i="146"/>
  <c r="Q317" i="146"/>
  <c r="L203" i="146"/>
  <c r="L248" i="146" s="1"/>
  <c r="Q401" i="146"/>
  <c r="Q403" i="146"/>
  <c r="L386" i="146"/>
  <c r="J353" i="146"/>
  <c r="L457" i="146"/>
  <c r="L458" i="146"/>
  <c r="E14" i="146"/>
  <c r="I48" i="146"/>
  <c r="I36" i="146" s="1"/>
  <c r="D48" i="146"/>
  <c r="D36" i="146" s="1"/>
  <c r="N81" i="146"/>
  <c r="I119" i="146"/>
  <c r="I164" i="146" s="1"/>
  <c r="J203" i="150"/>
  <c r="J201" i="150" s="1"/>
  <c r="M204" i="150"/>
  <c r="R183" i="150"/>
  <c r="O182" i="150"/>
  <c r="J14" i="150"/>
  <c r="M15" i="150"/>
  <c r="R15" i="150"/>
  <c r="O14" i="150"/>
  <c r="H233" i="150"/>
  <c r="E231" i="150"/>
  <c r="H231" i="150" s="1"/>
  <c r="H182" i="150"/>
  <c r="E94" i="150"/>
  <c r="H98" i="150"/>
  <c r="H65" i="150"/>
  <c r="E63" i="150"/>
  <c r="H63" i="150" s="1"/>
  <c r="R216" i="150"/>
  <c r="O204" i="150"/>
  <c r="H14" i="150"/>
  <c r="H204" i="150"/>
  <c r="H36" i="150"/>
  <c r="H147" i="150"/>
  <c r="E119" i="150"/>
  <c r="M182" i="150"/>
  <c r="J35" i="150"/>
  <c r="Q231" i="150"/>
  <c r="R233" i="150"/>
  <c r="L147" i="150"/>
  <c r="M149" i="150"/>
  <c r="R48" i="150"/>
  <c r="O36" i="150"/>
  <c r="R36" i="94"/>
  <c r="H178" i="94"/>
  <c r="G63" i="94"/>
  <c r="H65" i="94"/>
  <c r="R183" i="94"/>
  <c r="O182" i="94"/>
  <c r="R94" i="94"/>
  <c r="J203" i="94"/>
  <c r="M203" i="94" s="1"/>
  <c r="M204" i="94"/>
  <c r="M10" i="94"/>
  <c r="M132" i="94"/>
  <c r="L120" i="94"/>
  <c r="M99" i="94"/>
  <c r="J98" i="94"/>
  <c r="H233" i="94"/>
  <c r="E231" i="94"/>
  <c r="H15" i="94"/>
  <c r="E14" i="94"/>
  <c r="R14" i="94"/>
  <c r="O10" i="94"/>
  <c r="R216" i="94"/>
  <c r="O204" i="94"/>
  <c r="M182" i="94"/>
  <c r="J178" i="94"/>
  <c r="R120" i="94"/>
  <c r="O119" i="94"/>
  <c r="H94" i="94"/>
  <c r="E164" i="94"/>
  <c r="H164" i="94" s="1"/>
  <c r="R65" i="94"/>
  <c r="O63" i="94"/>
  <c r="R63" i="94" s="1"/>
  <c r="O113" i="170"/>
  <c r="O112" i="170" s="1"/>
  <c r="M437" i="146"/>
  <c r="E111" i="170"/>
  <c r="E110" i="170" s="1"/>
  <c r="Q111" i="170"/>
  <c r="Q110" i="170" s="1"/>
  <c r="E94" i="17"/>
  <c r="H98" i="17"/>
  <c r="M14" i="17"/>
  <c r="J10" i="17"/>
  <c r="R15" i="17"/>
  <c r="O14" i="17"/>
  <c r="E10" i="17"/>
  <c r="H14" i="17"/>
  <c r="R63" i="17"/>
  <c r="Q35" i="17"/>
  <c r="Q80" i="17" s="1"/>
  <c r="H233" i="17"/>
  <c r="E231" i="17"/>
  <c r="H231" i="17" s="1"/>
  <c r="H65" i="17"/>
  <c r="E63" i="17"/>
  <c r="H63" i="17" s="1"/>
  <c r="L147" i="17"/>
  <c r="M149" i="17"/>
  <c r="R216" i="17"/>
  <c r="O204" i="17"/>
  <c r="Q231" i="17"/>
  <c r="R233" i="17"/>
  <c r="M94" i="17"/>
  <c r="R183" i="17"/>
  <c r="O182" i="17"/>
  <c r="R48" i="17"/>
  <c r="O36" i="17"/>
  <c r="H204" i="17"/>
  <c r="E147" i="17"/>
  <c r="H149" i="17"/>
  <c r="M182" i="17"/>
  <c r="J178" i="17"/>
  <c r="J203" i="17"/>
  <c r="M203" i="17" s="1"/>
  <c r="M204" i="17"/>
  <c r="H178" i="17"/>
  <c r="J35" i="17"/>
  <c r="M35" i="17" s="1"/>
  <c r="M36" i="17"/>
  <c r="M120" i="17"/>
  <c r="J119" i="17"/>
  <c r="H36" i="17"/>
  <c r="O119" i="17"/>
  <c r="L268" i="146"/>
  <c r="O34" i="170"/>
  <c r="E80" i="54"/>
  <c r="H80" i="54" s="1"/>
  <c r="H10" i="54"/>
  <c r="M182" i="54"/>
  <c r="J178" i="54"/>
  <c r="H178" i="54"/>
  <c r="Q231" i="54"/>
  <c r="R233" i="54"/>
  <c r="R216" i="54"/>
  <c r="O204" i="54"/>
  <c r="J63" i="54"/>
  <c r="M63" i="54" s="1"/>
  <c r="M65" i="54"/>
  <c r="R183" i="54"/>
  <c r="O182" i="54"/>
  <c r="J10" i="54"/>
  <c r="M14" i="54"/>
  <c r="R149" i="54"/>
  <c r="O147" i="54"/>
  <c r="R94" i="54"/>
  <c r="H233" i="54"/>
  <c r="E231" i="54"/>
  <c r="H231" i="54" s="1"/>
  <c r="R63" i="54"/>
  <c r="Q35" i="54"/>
  <c r="Q80" i="54" s="1"/>
  <c r="M36" i="54"/>
  <c r="O14" i="54"/>
  <c r="R15" i="54"/>
  <c r="H99" i="54"/>
  <c r="E98" i="54"/>
  <c r="R48" i="54"/>
  <c r="O36" i="54"/>
  <c r="J203" i="54"/>
  <c r="M203" i="54" s="1"/>
  <c r="M204" i="54"/>
  <c r="M94" i="54"/>
  <c r="H204" i="54"/>
  <c r="E119" i="30"/>
  <c r="E24" i="170" s="1"/>
  <c r="E23" i="170" s="1"/>
  <c r="H120" i="30"/>
  <c r="R63" i="30"/>
  <c r="Q35" i="30"/>
  <c r="Q80" i="30" s="1"/>
  <c r="M132" i="30"/>
  <c r="L120" i="30"/>
  <c r="R120" i="30"/>
  <c r="R183" i="30"/>
  <c r="O182" i="30"/>
  <c r="R149" i="30"/>
  <c r="O147" i="30"/>
  <c r="R147" i="30" s="1"/>
  <c r="J164" i="30"/>
  <c r="M94" i="30"/>
  <c r="H147" i="30"/>
  <c r="G119" i="30"/>
  <c r="H99" i="30"/>
  <c r="E98" i="30"/>
  <c r="J203" i="30"/>
  <c r="M203" i="30" s="1"/>
  <c r="M204" i="30"/>
  <c r="H233" i="30"/>
  <c r="E231" i="30"/>
  <c r="H231" i="30" s="1"/>
  <c r="M182" i="30"/>
  <c r="J178" i="30"/>
  <c r="E178" i="30"/>
  <c r="H182" i="30"/>
  <c r="R48" i="30"/>
  <c r="O36" i="30"/>
  <c r="H204" i="30"/>
  <c r="E203" i="30"/>
  <c r="H203" i="30" s="1"/>
  <c r="M14" i="30"/>
  <c r="O14" i="30"/>
  <c r="O10" i="30" s="1"/>
  <c r="R10" i="30" s="1"/>
  <c r="R15" i="30"/>
  <c r="J63" i="30"/>
  <c r="M63" i="30" s="1"/>
  <c r="M65" i="30"/>
  <c r="M36" i="30"/>
  <c r="R216" i="30"/>
  <c r="O204" i="30"/>
  <c r="R149" i="46"/>
  <c r="O147" i="46"/>
  <c r="R98" i="46"/>
  <c r="O94" i="46"/>
  <c r="R178" i="46"/>
  <c r="R182" i="46"/>
  <c r="M10" i="46"/>
  <c r="J80" i="46"/>
  <c r="J119" i="46"/>
  <c r="M98" i="46"/>
  <c r="J94" i="46"/>
  <c r="M178" i="46"/>
  <c r="J248" i="46"/>
  <c r="M182" i="46"/>
  <c r="Z16" i="170" l="1"/>
  <c r="X16" i="170"/>
  <c r="M204" i="46"/>
  <c r="M248" i="46"/>
  <c r="J164" i="54"/>
  <c r="M164" i="54" s="1"/>
  <c r="J164" i="150"/>
  <c r="R119" i="150"/>
  <c r="R125" i="170" s="1"/>
  <c r="E35" i="150"/>
  <c r="H35" i="150" s="1"/>
  <c r="H325" i="150" s="1"/>
  <c r="R353" i="146"/>
  <c r="G13" i="170"/>
  <c r="G19" i="170" s="1"/>
  <c r="O35" i="146"/>
  <c r="Q35" i="146"/>
  <c r="M38" i="170"/>
  <c r="M37" i="170" s="1"/>
  <c r="J38" i="170"/>
  <c r="J37" i="170" s="1"/>
  <c r="H117" i="170"/>
  <c r="H116" i="170" s="1"/>
  <c r="E117" i="170"/>
  <c r="E116" i="170" s="1"/>
  <c r="R119" i="94"/>
  <c r="R123" i="170" s="1"/>
  <c r="R122" i="170" s="1"/>
  <c r="O123" i="170"/>
  <c r="O122" i="170" s="1"/>
  <c r="J35" i="30"/>
  <c r="M35" i="30" s="1"/>
  <c r="M35" i="170"/>
  <c r="J35" i="170"/>
  <c r="Q370" i="146"/>
  <c r="R116" i="150"/>
  <c r="R370" i="146" s="1"/>
  <c r="Q94" i="150"/>
  <c r="Q32" i="150"/>
  <c r="Q287" i="146"/>
  <c r="M36" i="94"/>
  <c r="J35" i="94"/>
  <c r="M119" i="46"/>
  <c r="M22" i="170" s="1"/>
  <c r="M21" i="170" s="1"/>
  <c r="J22" i="170"/>
  <c r="J21" i="170" s="1"/>
  <c r="E203" i="54"/>
  <c r="H203" i="54" s="1"/>
  <c r="J164" i="17"/>
  <c r="J100" i="170"/>
  <c r="J99" i="170" s="1"/>
  <c r="H35" i="170"/>
  <c r="E35" i="170"/>
  <c r="O203" i="46"/>
  <c r="R204" i="46"/>
  <c r="R116" i="146"/>
  <c r="R94" i="146" s="1"/>
  <c r="M80" i="46"/>
  <c r="G164" i="30"/>
  <c r="G24" i="170"/>
  <c r="G23" i="170" s="1"/>
  <c r="R119" i="17"/>
  <c r="R100" i="170" s="1"/>
  <c r="R99" i="170" s="1"/>
  <c r="O100" i="170"/>
  <c r="O99" i="170" s="1"/>
  <c r="O102" i="170"/>
  <c r="O101" i="170" s="1"/>
  <c r="M121" i="170"/>
  <c r="M120" i="170" s="1"/>
  <c r="J121" i="170"/>
  <c r="J120" i="170" s="1"/>
  <c r="O35" i="94"/>
  <c r="R35" i="94" s="1"/>
  <c r="M35" i="150"/>
  <c r="M325" i="150" s="1"/>
  <c r="J33" i="150"/>
  <c r="M201" i="150"/>
  <c r="M455" i="146" s="1"/>
  <c r="M201" i="146" s="1"/>
  <c r="M200" i="146" s="1"/>
  <c r="M178" i="146" s="1"/>
  <c r="J200" i="150"/>
  <c r="J455" i="146"/>
  <c r="J201" i="146" s="1"/>
  <c r="M104" i="170"/>
  <c r="M103" i="170" s="1"/>
  <c r="J104" i="170"/>
  <c r="J103" i="170" s="1"/>
  <c r="Q33" i="146"/>
  <c r="Q116" i="146"/>
  <c r="Q94" i="146" s="1"/>
  <c r="Q164" i="146" s="1"/>
  <c r="H119" i="146"/>
  <c r="H164" i="146" s="1"/>
  <c r="L32" i="150"/>
  <c r="L287" i="146"/>
  <c r="M48" i="146"/>
  <c r="M36" i="146" s="1"/>
  <c r="N143" i="170"/>
  <c r="I143" i="170"/>
  <c r="V16" i="170"/>
  <c r="H119" i="150"/>
  <c r="H125" i="170" s="1"/>
  <c r="E125" i="170"/>
  <c r="M203" i="150"/>
  <c r="M130" i="170" s="1"/>
  <c r="J130" i="170"/>
  <c r="O164" i="150"/>
  <c r="R60" i="170"/>
  <c r="H60" i="170"/>
  <c r="G60" i="170"/>
  <c r="O60" i="170"/>
  <c r="E60" i="170"/>
  <c r="E203" i="150"/>
  <c r="E201" i="150" s="1"/>
  <c r="R319" i="146"/>
  <c r="M470" i="146"/>
  <c r="L401" i="146"/>
  <c r="L317" i="146"/>
  <c r="J374" i="146"/>
  <c r="R386" i="146"/>
  <c r="E35" i="17"/>
  <c r="H35" i="17" s="1"/>
  <c r="E203" i="17"/>
  <c r="H203" i="17" s="1"/>
  <c r="R14" i="146"/>
  <c r="M14" i="146"/>
  <c r="R65" i="146"/>
  <c r="R63" i="146" s="1"/>
  <c r="O94" i="17"/>
  <c r="R94" i="17" s="1"/>
  <c r="R98" i="17"/>
  <c r="J436" i="146"/>
  <c r="L352" i="146"/>
  <c r="M403" i="146"/>
  <c r="O317" i="146"/>
  <c r="M203" i="146"/>
  <c r="M65" i="146"/>
  <c r="M63" i="146" s="1"/>
  <c r="J485" i="146"/>
  <c r="H14" i="146"/>
  <c r="Q374" i="146"/>
  <c r="M487" i="146"/>
  <c r="R48" i="146"/>
  <c r="R36" i="146" s="1"/>
  <c r="J268" i="146"/>
  <c r="J290" i="146"/>
  <c r="M302" i="146"/>
  <c r="D35" i="146"/>
  <c r="D80" i="146" s="1"/>
  <c r="H48" i="146"/>
  <c r="H36" i="146" s="1"/>
  <c r="M269" i="146"/>
  <c r="M81" i="146"/>
  <c r="M119" i="146"/>
  <c r="R81" i="146"/>
  <c r="M319" i="146"/>
  <c r="M353" i="146"/>
  <c r="R487" i="146"/>
  <c r="H203" i="146"/>
  <c r="Q485" i="146"/>
  <c r="R269" i="146"/>
  <c r="H81" i="146"/>
  <c r="G35" i="146"/>
  <c r="I35" i="146"/>
  <c r="I1" i="146" s="1"/>
  <c r="R119" i="146"/>
  <c r="R203" i="146"/>
  <c r="L35" i="146"/>
  <c r="E35" i="146"/>
  <c r="E248" i="54"/>
  <c r="H248" i="54" s="1"/>
  <c r="H65" i="146"/>
  <c r="H63" i="146" s="1"/>
  <c r="Q80" i="46"/>
  <c r="R80" i="46" s="1"/>
  <c r="R10" i="46"/>
  <c r="J35" i="146"/>
  <c r="R403" i="146"/>
  <c r="H119" i="30"/>
  <c r="H24" i="170" s="1"/>
  <c r="H23" i="170" s="1"/>
  <c r="O290" i="146"/>
  <c r="J317" i="146"/>
  <c r="N35" i="146"/>
  <c r="N80" i="146" s="1"/>
  <c r="H63" i="30"/>
  <c r="E35" i="30"/>
  <c r="M386" i="146"/>
  <c r="O401" i="146"/>
  <c r="O436" i="146"/>
  <c r="R437" i="146"/>
  <c r="R470" i="146"/>
  <c r="R302" i="146"/>
  <c r="O458" i="146"/>
  <c r="J458" i="146"/>
  <c r="J401" i="146"/>
  <c r="J111" i="170"/>
  <c r="J110" i="170" s="1"/>
  <c r="L432" i="146"/>
  <c r="L502" i="146"/>
  <c r="Q268" i="146"/>
  <c r="O268" i="146"/>
  <c r="Q352" i="146"/>
  <c r="J352" i="146"/>
  <c r="L374" i="146"/>
  <c r="L111" i="170"/>
  <c r="L110" i="170" s="1"/>
  <c r="O374" i="146"/>
  <c r="O111" i="170"/>
  <c r="O110" i="170" s="1"/>
  <c r="Q436" i="146"/>
  <c r="Q290" i="146"/>
  <c r="O35" i="150"/>
  <c r="R35" i="150" s="1"/>
  <c r="R325" i="150" s="1"/>
  <c r="R36" i="150"/>
  <c r="E164" i="150"/>
  <c r="H164" i="150" s="1"/>
  <c r="H94" i="150"/>
  <c r="O203" i="150"/>
  <c r="R204" i="150"/>
  <c r="R14" i="150"/>
  <c r="R182" i="150"/>
  <c r="R231" i="150"/>
  <c r="Q203" i="150"/>
  <c r="M14" i="150"/>
  <c r="M147" i="150"/>
  <c r="L119" i="150"/>
  <c r="H14" i="94"/>
  <c r="E10" i="94"/>
  <c r="J248" i="94"/>
  <c r="M248" i="94" s="1"/>
  <c r="M178" i="94"/>
  <c r="O80" i="94"/>
  <c r="R80" i="94" s="1"/>
  <c r="R10" i="94"/>
  <c r="H231" i="94"/>
  <c r="E203" i="94"/>
  <c r="L119" i="94"/>
  <c r="L123" i="170" s="1"/>
  <c r="L122" i="170" s="1"/>
  <c r="M120" i="94"/>
  <c r="R182" i="94"/>
  <c r="O178" i="94"/>
  <c r="H63" i="94"/>
  <c r="G35" i="94"/>
  <c r="O203" i="94"/>
  <c r="R203" i="94" s="1"/>
  <c r="R204" i="94"/>
  <c r="M98" i="94"/>
  <c r="J94" i="94"/>
  <c r="O164" i="94"/>
  <c r="R164" i="94" s="1"/>
  <c r="O117" i="170"/>
  <c r="O116" i="170" s="1"/>
  <c r="J113" i="170"/>
  <c r="J112" i="170" s="1"/>
  <c r="J102" i="170"/>
  <c r="J101" i="170" s="1"/>
  <c r="O35" i="17"/>
  <c r="R35" i="17" s="1"/>
  <c r="R36" i="17"/>
  <c r="O203" i="17"/>
  <c r="R204" i="17"/>
  <c r="R14" i="17"/>
  <c r="O10" i="17"/>
  <c r="H147" i="17"/>
  <c r="E119" i="17"/>
  <c r="H94" i="17"/>
  <c r="J248" i="17"/>
  <c r="M248" i="17" s="1"/>
  <c r="M178" i="17"/>
  <c r="R182" i="17"/>
  <c r="O178" i="17"/>
  <c r="J80" i="17"/>
  <c r="M80" i="17" s="1"/>
  <c r="M10" i="17"/>
  <c r="R231" i="17"/>
  <c r="Q203" i="17"/>
  <c r="Q248" i="17" s="1"/>
  <c r="M147" i="17"/>
  <c r="L119" i="17"/>
  <c r="H10" i="17"/>
  <c r="O164" i="17"/>
  <c r="R164" i="17" s="1"/>
  <c r="M485" i="146"/>
  <c r="O38" i="170"/>
  <c r="O37" i="170" s="1"/>
  <c r="O35" i="54"/>
  <c r="R35" i="54" s="1"/>
  <c r="R36" i="54"/>
  <c r="J248" i="54"/>
  <c r="M248" i="54" s="1"/>
  <c r="M178" i="54"/>
  <c r="R14" i="54"/>
  <c r="O10" i="54"/>
  <c r="M10" i="54"/>
  <c r="R231" i="54"/>
  <c r="Q203" i="54"/>
  <c r="E94" i="54"/>
  <c r="H98" i="54"/>
  <c r="R147" i="54"/>
  <c r="O119" i="54"/>
  <c r="O32" i="170" s="1"/>
  <c r="O31" i="170" s="1"/>
  <c r="R182" i="54"/>
  <c r="O178" i="54"/>
  <c r="O203" i="54"/>
  <c r="R204" i="54"/>
  <c r="J35" i="54"/>
  <c r="M35" i="54" s="1"/>
  <c r="R182" i="30"/>
  <c r="O178" i="30"/>
  <c r="O203" i="30"/>
  <c r="R203" i="30" s="1"/>
  <c r="R204" i="30"/>
  <c r="R14" i="30"/>
  <c r="E248" i="30"/>
  <c r="H248" i="30" s="1"/>
  <c r="H178" i="30"/>
  <c r="O35" i="30"/>
  <c r="R35" i="30" s="1"/>
  <c r="R36" i="30"/>
  <c r="J248" i="30"/>
  <c r="M248" i="30" s="1"/>
  <c r="M178" i="30"/>
  <c r="O119" i="30"/>
  <c r="O24" i="170" s="1"/>
  <c r="O23" i="170" s="1"/>
  <c r="L119" i="30"/>
  <c r="L24" i="170" s="1"/>
  <c r="L23" i="170" s="1"/>
  <c r="M120" i="30"/>
  <c r="E94" i="30"/>
  <c r="H98" i="30"/>
  <c r="R94" i="46"/>
  <c r="R147" i="46"/>
  <c r="O119" i="46"/>
  <c r="J164" i="46"/>
  <c r="M164" i="46" s="1"/>
  <c r="M94" i="46"/>
  <c r="N1" i="146" l="1"/>
  <c r="O130" i="170"/>
  <c r="O124" i="170" s="1"/>
  <c r="O201" i="150"/>
  <c r="E33" i="150"/>
  <c r="H33" i="150" s="1"/>
  <c r="H287" i="146" s="1"/>
  <c r="Q348" i="146"/>
  <c r="R111" i="170"/>
  <c r="R110" i="170" s="1"/>
  <c r="R164" i="146"/>
  <c r="M34" i="170"/>
  <c r="M33" i="170" s="1"/>
  <c r="J34" i="170"/>
  <c r="J33" i="170" s="1"/>
  <c r="L164" i="17"/>
  <c r="M164" i="17" s="1"/>
  <c r="L100" i="170"/>
  <c r="L99" i="170" s="1"/>
  <c r="R104" i="170"/>
  <c r="R103" i="170" s="1"/>
  <c r="O104" i="170"/>
  <c r="O103" i="170" s="1"/>
  <c r="Q113" i="170"/>
  <c r="Q112" i="170" s="1"/>
  <c r="L102" i="170"/>
  <c r="L101" i="170" s="1"/>
  <c r="L113" i="170"/>
  <c r="L112" i="170" s="1"/>
  <c r="J200" i="146"/>
  <c r="J178" i="146" s="1"/>
  <c r="J248" i="146" s="1"/>
  <c r="J33" i="146"/>
  <c r="M35" i="94"/>
  <c r="J80" i="94"/>
  <c r="M80" i="94" s="1"/>
  <c r="Q10" i="150"/>
  <c r="Q80" i="150" s="1"/>
  <c r="Q286" i="146"/>
  <c r="R94" i="150"/>
  <c r="R348" i="146" s="1"/>
  <c r="Q164" i="150"/>
  <c r="R164" i="150" s="1"/>
  <c r="M117" i="170"/>
  <c r="M116" i="170" s="1"/>
  <c r="J117" i="170"/>
  <c r="J116" i="170" s="1"/>
  <c r="H119" i="170"/>
  <c r="H118" i="170" s="1"/>
  <c r="E119" i="170"/>
  <c r="E118" i="170" s="1"/>
  <c r="G111" i="170"/>
  <c r="G110" i="170" s="1"/>
  <c r="R35" i="170"/>
  <c r="O35" i="170"/>
  <c r="O33" i="170" s="1"/>
  <c r="H102" i="170"/>
  <c r="H101" i="170" s="1"/>
  <c r="E102" i="170"/>
  <c r="E101" i="170" s="1"/>
  <c r="Q102" i="170"/>
  <c r="Q101" i="170" s="1"/>
  <c r="H113" i="170"/>
  <c r="H112" i="170" s="1"/>
  <c r="E113" i="170"/>
  <c r="E112" i="170" s="1"/>
  <c r="H121" i="170"/>
  <c r="H120" i="170" s="1"/>
  <c r="E121" i="170"/>
  <c r="E120" i="170" s="1"/>
  <c r="M248" i="146"/>
  <c r="M13" i="170"/>
  <c r="M19" i="170" s="1"/>
  <c r="J287" i="146"/>
  <c r="J32" i="150"/>
  <c r="M32" i="150" s="1"/>
  <c r="M286" i="146" s="1"/>
  <c r="R203" i="46"/>
  <c r="O248" i="46"/>
  <c r="R248" i="46" s="1"/>
  <c r="Q34" i="170"/>
  <c r="H34" i="170"/>
  <c r="H33" i="170" s="1"/>
  <c r="E34" i="170"/>
  <c r="E33" i="170" s="1"/>
  <c r="R119" i="46"/>
  <c r="R22" i="170" s="1"/>
  <c r="O22" i="170"/>
  <c r="J80" i="30"/>
  <c r="M80" i="30" s="1"/>
  <c r="E80" i="17"/>
  <c r="H80" i="17" s="1"/>
  <c r="H119" i="17"/>
  <c r="H100" i="170" s="1"/>
  <c r="H99" i="170" s="1"/>
  <c r="E100" i="170"/>
  <c r="E99" i="170" s="1"/>
  <c r="R102" i="170"/>
  <c r="R101" i="170" s="1"/>
  <c r="H104" i="170"/>
  <c r="H103" i="170" s="1"/>
  <c r="E104" i="170"/>
  <c r="E103" i="170" s="1"/>
  <c r="R119" i="170"/>
  <c r="R118" i="170" s="1"/>
  <c r="O119" i="170"/>
  <c r="O118" i="170" s="1"/>
  <c r="L125" i="170"/>
  <c r="L124" i="170" s="1"/>
  <c r="L117" i="150"/>
  <c r="M33" i="150"/>
  <c r="M287" i="146" s="1"/>
  <c r="Q32" i="146"/>
  <c r="Q10" i="146" s="1"/>
  <c r="Q80" i="146" s="1"/>
  <c r="M200" i="150"/>
  <c r="M454" i="146" s="1"/>
  <c r="J454" i="146"/>
  <c r="J178" i="150"/>
  <c r="J432" i="146" s="1"/>
  <c r="G80" i="146"/>
  <c r="L10" i="150"/>
  <c r="L286" i="146"/>
  <c r="I80" i="146"/>
  <c r="H201" i="150"/>
  <c r="H455" i="146" s="1"/>
  <c r="H201" i="146" s="1"/>
  <c r="E455" i="146"/>
  <c r="E201" i="146" s="1"/>
  <c r="E200" i="150"/>
  <c r="H203" i="150"/>
  <c r="H130" i="170" s="1"/>
  <c r="H13" i="170" s="1"/>
  <c r="H19" i="170" s="1"/>
  <c r="E130" i="170"/>
  <c r="E13" i="170" s="1"/>
  <c r="E19" i="170" s="1"/>
  <c r="Q248" i="150"/>
  <c r="Q130" i="170"/>
  <c r="J124" i="170"/>
  <c r="J13" i="170"/>
  <c r="J19" i="170" s="1"/>
  <c r="O348" i="146"/>
  <c r="M458" i="146"/>
  <c r="R352" i="146"/>
  <c r="M317" i="146"/>
  <c r="M102" i="170"/>
  <c r="M101" i="170" s="1"/>
  <c r="E248" i="17"/>
  <c r="H248" i="17" s="1"/>
  <c r="R35" i="146"/>
  <c r="M119" i="17"/>
  <c r="M100" i="170" s="1"/>
  <c r="M99" i="170" s="1"/>
  <c r="M436" i="146"/>
  <c r="R401" i="146"/>
  <c r="M35" i="146"/>
  <c r="H35" i="146"/>
  <c r="L289" i="146"/>
  <c r="M268" i="146"/>
  <c r="M352" i="146"/>
  <c r="Q289" i="146"/>
  <c r="L373" i="146"/>
  <c r="R485" i="146"/>
  <c r="M290" i="146"/>
  <c r="Q373" i="146"/>
  <c r="R374" i="146"/>
  <c r="R290" i="146"/>
  <c r="Q248" i="54"/>
  <c r="Q457" i="146"/>
  <c r="R203" i="54"/>
  <c r="O164" i="46"/>
  <c r="R164" i="46" s="1"/>
  <c r="O373" i="146"/>
  <c r="H35" i="30"/>
  <c r="E80" i="30"/>
  <c r="H80" i="30" s="1"/>
  <c r="R458" i="146"/>
  <c r="M401" i="146"/>
  <c r="R268" i="146"/>
  <c r="R317" i="146"/>
  <c r="M374" i="146"/>
  <c r="R436" i="146"/>
  <c r="O289" i="146"/>
  <c r="H111" i="170"/>
  <c r="H110" i="170" s="1"/>
  <c r="Q432" i="146"/>
  <c r="O457" i="146"/>
  <c r="J457" i="146"/>
  <c r="J289" i="146"/>
  <c r="J348" i="146"/>
  <c r="J373" i="146"/>
  <c r="M111" i="170"/>
  <c r="M110" i="170" s="1"/>
  <c r="M119" i="150"/>
  <c r="M125" i="170" s="1"/>
  <c r="R203" i="150"/>
  <c r="R130" i="170" s="1"/>
  <c r="R178" i="94"/>
  <c r="O248" i="94"/>
  <c r="R248" i="94" s="1"/>
  <c r="M94" i="94"/>
  <c r="J164" i="94"/>
  <c r="G80" i="94"/>
  <c r="H35" i="94"/>
  <c r="E80" i="94"/>
  <c r="H10" i="94"/>
  <c r="H203" i="94"/>
  <c r="E248" i="94"/>
  <c r="H248" i="94" s="1"/>
  <c r="M119" i="94"/>
  <c r="M123" i="170" s="1"/>
  <c r="M122" i="170" s="1"/>
  <c r="L164" i="94"/>
  <c r="R117" i="170"/>
  <c r="R116" i="170" s="1"/>
  <c r="M113" i="170"/>
  <c r="M112" i="170" s="1"/>
  <c r="R113" i="170"/>
  <c r="R112" i="170" s="1"/>
  <c r="R178" i="17"/>
  <c r="O248" i="17"/>
  <c r="R248" i="17" s="1"/>
  <c r="R203" i="17"/>
  <c r="R10" i="17"/>
  <c r="O80" i="17"/>
  <c r="R80" i="17" s="1"/>
  <c r="E164" i="17"/>
  <c r="H164" i="17" s="1"/>
  <c r="R38" i="170"/>
  <c r="R37" i="170" s="1"/>
  <c r="R34" i="170"/>
  <c r="R178" i="54"/>
  <c r="O248" i="54"/>
  <c r="H94" i="54"/>
  <c r="E164" i="54"/>
  <c r="H164" i="54" s="1"/>
  <c r="J80" i="54"/>
  <c r="M80" i="54" s="1"/>
  <c r="R119" i="54"/>
  <c r="R32" i="170" s="1"/>
  <c r="R31" i="170" s="1"/>
  <c r="O164" i="54"/>
  <c r="R164" i="54" s="1"/>
  <c r="O80" i="54"/>
  <c r="R80" i="54" s="1"/>
  <c r="R10" i="54"/>
  <c r="H94" i="30"/>
  <c r="E164" i="30"/>
  <c r="H164" i="30" s="1"/>
  <c r="L164" i="30"/>
  <c r="M164" i="30" s="1"/>
  <c r="M119" i="30"/>
  <c r="M24" i="170" s="1"/>
  <c r="M23" i="170" s="1"/>
  <c r="R119" i="30"/>
  <c r="R24" i="170" s="1"/>
  <c r="R23" i="170" s="1"/>
  <c r="O164" i="30"/>
  <c r="R164" i="30" s="1"/>
  <c r="O80" i="30"/>
  <c r="R80" i="30" s="1"/>
  <c r="R178" i="30"/>
  <c r="O248" i="30"/>
  <c r="R248" i="30" s="1"/>
  <c r="O33" i="150" l="1"/>
  <c r="R201" i="150"/>
  <c r="R455" i="146" s="1"/>
  <c r="R201" i="146" s="1"/>
  <c r="O200" i="150"/>
  <c r="O455" i="146"/>
  <c r="O201" i="146" s="1"/>
  <c r="E32" i="150"/>
  <c r="H32" i="150" s="1"/>
  <c r="E287" i="146"/>
  <c r="Q334" i="146"/>
  <c r="Q418" i="146"/>
  <c r="J32" i="146"/>
  <c r="J10" i="146" s="1"/>
  <c r="J80" i="146" s="1"/>
  <c r="R33" i="170"/>
  <c r="L10" i="170"/>
  <c r="L16" i="170" s="1"/>
  <c r="J11" i="170"/>
  <c r="J17" i="170" s="1"/>
  <c r="J10" i="170"/>
  <c r="J16" i="170" s="1"/>
  <c r="O21" i="170"/>
  <c r="O10" i="170" s="1"/>
  <c r="O16" i="170" s="1"/>
  <c r="O11" i="170"/>
  <c r="O17" i="170" s="1"/>
  <c r="Q33" i="170"/>
  <c r="Q11" i="170"/>
  <c r="Q17" i="170" s="1"/>
  <c r="J286" i="146"/>
  <c r="J10" i="150"/>
  <c r="O13" i="170"/>
  <c r="O19" i="170" s="1"/>
  <c r="R248" i="54"/>
  <c r="Q264" i="146"/>
  <c r="R418" i="146"/>
  <c r="R21" i="170"/>
  <c r="R11" i="170"/>
  <c r="R17" i="170" s="1"/>
  <c r="L11" i="170"/>
  <c r="L17" i="170" s="1"/>
  <c r="J248" i="150"/>
  <c r="M248" i="150" s="1"/>
  <c r="M178" i="150"/>
  <c r="M432" i="146" s="1"/>
  <c r="L371" i="146"/>
  <c r="L117" i="146" s="1"/>
  <c r="L116" i="150"/>
  <c r="M117" i="150"/>
  <c r="M371" i="146" s="1"/>
  <c r="M117" i="146" s="1"/>
  <c r="L80" i="150"/>
  <c r="L334" i="146" s="1"/>
  <c r="L264" i="146"/>
  <c r="H200" i="150"/>
  <c r="E178" i="150"/>
  <c r="E10" i="150"/>
  <c r="E200" i="146"/>
  <c r="E178" i="146" s="1"/>
  <c r="E248" i="146" s="1"/>
  <c r="E33" i="146"/>
  <c r="H200" i="146"/>
  <c r="H178" i="146" s="1"/>
  <c r="H248" i="146" s="1"/>
  <c r="H33" i="146"/>
  <c r="H32" i="146" s="1"/>
  <c r="H10" i="146" s="1"/>
  <c r="H80" i="146" s="1"/>
  <c r="E124" i="170"/>
  <c r="H124" i="170"/>
  <c r="R13" i="170"/>
  <c r="R19" i="170" s="1"/>
  <c r="R124" i="170"/>
  <c r="Q502" i="146"/>
  <c r="M124" i="170"/>
  <c r="M10" i="170" s="1"/>
  <c r="M16" i="170" s="1"/>
  <c r="M11" i="170"/>
  <c r="M17" i="170" s="1"/>
  <c r="Q13" i="170"/>
  <c r="Q19" i="170" s="1"/>
  <c r="Q124" i="170"/>
  <c r="R289" i="146"/>
  <c r="M457" i="146"/>
  <c r="J418" i="146"/>
  <c r="M289" i="146"/>
  <c r="R373" i="146"/>
  <c r="R457" i="146"/>
  <c r="O418" i="146"/>
  <c r="M373" i="146"/>
  <c r="M164" i="94"/>
  <c r="H80" i="94"/>
  <c r="M143" i="170" l="1"/>
  <c r="M1" i="146"/>
  <c r="L143" i="170"/>
  <c r="L1" i="146"/>
  <c r="O143" i="170"/>
  <c r="O1" i="146"/>
  <c r="J143" i="170"/>
  <c r="J1" i="146"/>
  <c r="O200" i="146"/>
  <c r="O178" i="146" s="1"/>
  <c r="O248" i="146" s="1"/>
  <c r="O33" i="146"/>
  <c r="R200" i="150"/>
  <c r="R454" i="146" s="1"/>
  <c r="O454" i="146"/>
  <c r="O178" i="150"/>
  <c r="R200" i="146"/>
  <c r="R178" i="146" s="1"/>
  <c r="R248" i="146" s="1"/>
  <c r="R33" i="146"/>
  <c r="R32" i="146" s="1"/>
  <c r="R10" i="146" s="1"/>
  <c r="R80" i="146" s="1"/>
  <c r="O287" i="146"/>
  <c r="O32" i="150"/>
  <c r="R33" i="150"/>
  <c r="R287" i="146" s="1"/>
  <c r="J502" i="146"/>
  <c r="Q10" i="170"/>
  <c r="Q16" i="170" s="1"/>
  <c r="M502" i="146"/>
  <c r="E32" i="146"/>
  <c r="E10" i="146" s="1"/>
  <c r="E80" i="146" s="1"/>
  <c r="R10" i="170"/>
  <c r="R16" i="170" s="1"/>
  <c r="R143" i="170" s="1"/>
  <c r="L94" i="150"/>
  <c r="L370" i="146"/>
  <c r="M116" i="150"/>
  <c r="M370" i="146" s="1"/>
  <c r="J80" i="150"/>
  <c r="J264" i="146"/>
  <c r="M10" i="150"/>
  <c r="M264" i="146" s="1"/>
  <c r="L116" i="146"/>
  <c r="L94" i="146" s="1"/>
  <c r="L164" i="146" s="1"/>
  <c r="L33" i="146"/>
  <c r="M116" i="146"/>
  <c r="M94" i="146" s="1"/>
  <c r="M164" i="146" s="1"/>
  <c r="M33" i="146"/>
  <c r="M32" i="146" s="1"/>
  <c r="M10" i="146" s="1"/>
  <c r="M80" i="146" s="1"/>
  <c r="E80" i="150"/>
  <c r="H80" i="150" s="1"/>
  <c r="H10" i="150"/>
  <c r="H178" i="150"/>
  <c r="E248" i="150"/>
  <c r="H248" i="150" s="1"/>
  <c r="G17" i="46"/>
  <c r="G271" i="146" s="1"/>
  <c r="G22" i="46"/>
  <c r="G276" i="146" s="1"/>
  <c r="G27" i="46"/>
  <c r="G32" i="46"/>
  <c r="G37" i="46"/>
  <c r="G42" i="46"/>
  <c r="G45" i="46"/>
  <c r="G51" i="46"/>
  <c r="G55" i="46"/>
  <c r="G59" i="46"/>
  <c r="G68" i="46"/>
  <c r="G72" i="46"/>
  <c r="G76" i="46"/>
  <c r="G82" i="46"/>
  <c r="G336" i="146" s="1"/>
  <c r="G85" i="46"/>
  <c r="G89" i="46"/>
  <c r="G343" i="146" s="1"/>
  <c r="G101" i="46"/>
  <c r="G106" i="46"/>
  <c r="G111" i="46"/>
  <c r="G116" i="46"/>
  <c r="G370" i="146" s="1"/>
  <c r="G121" i="46"/>
  <c r="G375" i="146" s="1"/>
  <c r="G126" i="46"/>
  <c r="G380" i="146" s="1"/>
  <c r="G129" i="46"/>
  <c r="G383" i="146" s="1"/>
  <c r="G135" i="46"/>
  <c r="G139" i="46"/>
  <c r="G393" i="146" s="1"/>
  <c r="G143" i="46"/>
  <c r="G397" i="146" s="1"/>
  <c r="G152" i="46"/>
  <c r="G156" i="46"/>
  <c r="G410" i="146" s="1"/>
  <c r="G160" i="46"/>
  <c r="G414" i="146" s="1"/>
  <c r="G166" i="46"/>
  <c r="G420" i="146" s="1"/>
  <c r="G169" i="46"/>
  <c r="G423" i="146" s="1"/>
  <c r="G173" i="46"/>
  <c r="G427" i="146" s="1"/>
  <c r="G185" i="46"/>
  <c r="G190" i="46"/>
  <c r="G195" i="46"/>
  <c r="G200" i="46"/>
  <c r="G454" i="146" s="1"/>
  <c r="G205" i="46"/>
  <c r="G459" i="146" s="1"/>
  <c r="G210" i="46"/>
  <c r="G464" i="146" s="1"/>
  <c r="G213" i="46"/>
  <c r="G467" i="146" s="1"/>
  <c r="G219" i="46"/>
  <c r="G223" i="46"/>
  <c r="G477" i="146" s="1"/>
  <c r="G227" i="46"/>
  <c r="G481" i="146" s="1"/>
  <c r="G236" i="46"/>
  <c r="G240" i="46"/>
  <c r="G494" i="146" s="1"/>
  <c r="G244" i="46"/>
  <c r="G498" i="146" s="1"/>
  <c r="G250" i="46"/>
  <c r="G504" i="146" s="1"/>
  <c r="G253" i="46"/>
  <c r="G507" i="146" s="1"/>
  <c r="G257" i="46"/>
  <c r="G511" i="146" s="1"/>
  <c r="E257" i="46"/>
  <c r="E253" i="46"/>
  <c r="E250" i="46"/>
  <c r="E504" i="146" s="1"/>
  <c r="E244" i="46"/>
  <c r="E498" i="146" s="1"/>
  <c r="E240" i="46"/>
  <c r="E236" i="46"/>
  <c r="E490" i="146" s="1"/>
  <c r="E227" i="46"/>
  <c r="E481" i="146" s="1"/>
  <c r="E223" i="46"/>
  <c r="E477" i="146" s="1"/>
  <c r="E219" i="46"/>
  <c r="E473" i="146" s="1"/>
  <c r="E213" i="46"/>
  <c r="E210" i="46"/>
  <c r="E464" i="146" s="1"/>
  <c r="E205" i="46"/>
  <c r="E459" i="146" s="1"/>
  <c r="E200" i="46"/>
  <c r="E195" i="46"/>
  <c r="E190" i="46"/>
  <c r="E444" i="146" s="1"/>
  <c r="E185" i="46"/>
  <c r="E184" i="46" s="1"/>
  <c r="E438" i="146" s="1"/>
  <c r="E173" i="46"/>
  <c r="E169" i="46"/>
  <c r="E166" i="46"/>
  <c r="E420" i="146" s="1"/>
  <c r="E160" i="46"/>
  <c r="E156" i="46"/>
  <c r="E152" i="46"/>
  <c r="E150" i="46" s="1"/>
  <c r="E143" i="46"/>
  <c r="E139" i="46"/>
  <c r="E393" i="146" s="1"/>
  <c r="E135" i="46"/>
  <c r="E133" i="46" s="1"/>
  <c r="E129" i="46"/>
  <c r="E126" i="46"/>
  <c r="E380" i="146" s="1"/>
  <c r="E121" i="46"/>
  <c r="E375" i="146" s="1"/>
  <c r="E116" i="46"/>
  <c r="E111" i="46"/>
  <c r="E365" i="146" s="1"/>
  <c r="E106" i="46"/>
  <c r="E360" i="146" s="1"/>
  <c r="E101" i="46"/>
  <c r="E355" i="146" s="1"/>
  <c r="E89" i="46"/>
  <c r="E85" i="46"/>
  <c r="E82" i="46"/>
  <c r="E336" i="146" s="1"/>
  <c r="E76" i="46"/>
  <c r="E330" i="146" s="1"/>
  <c r="E72" i="46"/>
  <c r="E326" i="146" s="1"/>
  <c r="E68" i="46"/>
  <c r="E59" i="46"/>
  <c r="E313" i="146" s="1"/>
  <c r="E55" i="46"/>
  <c r="E309" i="146" s="1"/>
  <c r="E51" i="46"/>
  <c r="E45" i="46"/>
  <c r="E299" i="146" s="1"/>
  <c r="E42" i="46"/>
  <c r="E296" i="146" s="1"/>
  <c r="E37" i="46"/>
  <c r="E291" i="146" s="1"/>
  <c r="E32" i="46"/>
  <c r="E286" i="146" s="1"/>
  <c r="E27" i="46"/>
  <c r="E281" i="146" s="1"/>
  <c r="E22" i="46"/>
  <c r="E17" i="46"/>
  <c r="Q143" i="170" l="1"/>
  <c r="Q1" i="146"/>
  <c r="O32" i="146"/>
  <c r="O10" i="146" s="1"/>
  <c r="O80" i="146" s="1"/>
  <c r="O286" i="146"/>
  <c r="O10" i="150"/>
  <c r="R32" i="150"/>
  <c r="R286" i="146" s="1"/>
  <c r="O432" i="146"/>
  <c r="R178" i="150"/>
  <c r="R432" i="146" s="1"/>
  <c r="O248" i="150"/>
  <c r="L32" i="146"/>
  <c r="L10" i="146" s="1"/>
  <c r="L80" i="146" s="1"/>
  <c r="J334" i="146"/>
  <c r="M80" i="150"/>
  <c r="M334" i="146" s="1"/>
  <c r="M94" i="150"/>
  <c r="M348" i="146" s="1"/>
  <c r="L348" i="146"/>
  <c r="L164" i="150"/>
  <c r="E21" i="46"/>
  <c r="E275" i="146" s="1"/>
  <c r="E276" i="146"/>
  <c r="H156" i="46"/>
  <c r="H410" i="146" s="1"/>
  <c r="E410" i="146"/>
  <c r="H173" i="46"/>
  <c r="H427" i="146" s="1"/>
  <c r="E427" i="146"/>
  <c r="H195" i="46"/>
  <c r="H449" i="146" s="1"/>
  <c r="E449" i="146"/>
  <c r="H213" i="46"/>
  <c r="H467" i="146" s="1"/>
  <c r="E467" i="146"/>
  <c r="H253" i="46"/>
  <c r="H507" i="146" s="1"/>
  <c r="E507" i="146"/>
  <c r="G189" i="46"/>
  <c r="G443" i="146" s="1"/>
  <c r="G444" i="146"/>
  <c r="G105" i="46"/>
  <c r="G359" i="146" s="1"/>
  <c r="G360" i="146"/>
  <c r="H59" i="46"/>
  <c r="H313" i="146" s="1"/>
  <c r="G313" i="146"/>
  <c r="H42" i="46"/>
  <c r="H296" i="146" s="1"/>
  <c r="G296" i="146"/>
  <c r="E66" i="46"/>
  <c r="E320" i="146" s="1"/>
  <c r="E322" i="146"/>
  <c r="E81" i="46"/>
  <c r="E335" i="146" s="1"/>
  <c r="E339" i="146"/>
  <c r="H129" i="46"/>
  <c r="H383" i="146" s="1"/>
  <c r="E383" i="146"/>
  <c r="H143" i="46"/>
  <c r="H397" i="146" s="1"/>
  <c r="E397" i="146"/>
  <c r="H160" i="46"/>
  <c r="H414" i="146" s="1"/>
  <c r="E414" i="146"/>
  <c r="H200" i="46"/>
  <c r="H454" i="146" s="1"/>
  <c r="E454" i="146"/>
  <c r="H240" i="46"/>
  <c r="H494" i="146" s="1"/>
  <c r="E494" i="146"/>
  <c r="H257" i="46"/>
  <c r="H511" i="146" s="1"/>
  <c r="E511" i="146"/>
  <c r="G184" i="46"/>
  <c r="H184" i="46" s="1"/>
  <c r="H438" i="146" s="1"/>
  <c r="G439" i="146"/>
  <c r="G100" i="46"/>
  <c r="G355" i="146"/>
  <c r="H76" i="46"/>
  <c r="H330" i="146" s="1"/>
  <c r="G330" i="146"/>
  <c r="H55" i="46"/>
  <c r="H309" i="146" s="1"/>
  <c r="G309" i="146"/>
  <c r="H37" i="46"/>
  <c r="H291" i="146" s="1"/>
  <c r="G291" i="146"/>
  <c r="E49" i="46"/>
  <c r="E305" i="146"/>
  <c r="H89" i="46"/>
  <c r="H343" i="146" s="1"/>
  <c r="E343" i="146"/>
  <c r="H116" i="46"/>
  <c r="H370" i="146" s="1"/>
  <c r="E370" i="146"/>
  <c r="E387" i="146"/>
  <c r="E404" i="146"/>
  <c r="H185" i="46"/>
  <c r="H439" i="146" s="1"/>
  <c r="E439" i="146"/>
  <c r="G217" i="46"/>
  <c r="G471" i="146" s="1"/>
  <c r="G473" i="146"/>
  <c r="G133" i="46"/>
  <c r="G387" i="146" s="1"/>
  <c r="G389" i="146"/>
  <c r="H72" i="46"/>
  <c r="H326" i="146" s="1"/>
  <c r="G326" i="146"/>
  <c r="H51" i="46"/>
  <c r="H305" i="146" s="1"/>
  <c r="G305" i="146"/>
  <c r="H32" i="46"/>
  <c r="H286" i="146" s="1"/>
  <c r="G286" i="146"/>
  <c r="E16" i="46"/>
  <c r="E271" i="146"/>
  <c r="H135" i="46"/>
  <c r="H389" i="146" s="1"/>
  <c r="E389" i="146"/>
  <c r="H152" i="46"/>
  <c r="H406" i="146" s="1"/>
  <c r="E406" i="146"/>
  <c r="H169" i="46"/>
  <c r="H423" i="146" s="1"/>
  <c r="E423" i="146"/>
  <c r="G234" i="46"/>
  <c r="G488" i="146" s="1"/>
  <c r="G490" i="146"/>
  <c r="G194" i="46"/>
  <c r="G448" i="146" s="1"/>
  <c r="G449" i="146"/>
  <c r="G150" i="46"/>
  <c r="G404" i="146" s="1"/>
  <c r="G406" i="146"/>
  <c r="G110" i="46"/>
  <c r="G364" i="146" s="1"/>
  <c r="G365" i="146"/>
  <c r="H85" i="46"/>
  <c r="H339" i="146" s="1"/>
  <c r="G339" i="146"/>
  <c r="H68" i="46"/>
  <c r="H322" i="146" s="1"/>
  <c r="G322" i="146"/>
  <c r="H45" i="46"/>
  <c r="H299" i="146" s="1"/>
  <c r="G299" i="146"/>
  <c r="G26" i="46"/>
  <c r="G280" i="146" s="1"/>
  <c r="G281" i="146"/>
  <c r="E110" i="46"/>
  <c r="H111" i="46"/>
  <c r="H365" i="146" s="1"/>
  <c r="E183" i="46"/>
  <c r="G16" i="46"/>
  <c r="G270" i="146" s="1"/>
  <c r="H17" i="46"/>
  <c r="H271" i="146" s="1"/>
  <c r="E217" i="46"/>
  <c r="H219" i="46"/>
  <c r="H473" i="146" s="1"/>
  <c r="G66" i="46"/>
  <c r="E100" i="46"/>
  <c r="E354" i="146" s="1"/>
  <c r="H101" i="46"/>
  <c r="H355" i="146" s="1"/>
  <c r="H121" i="46"/>
  <c r="H375" i="146" s="1"/>
  <c r="E189" i="46"/>
  <c r="H190" i="46"/>
  <c r="H444" i="146" s="1"/>
  <c r="H205" i="46"/>
  <c r="H459" i="146" s="1"/>
  <c r="H223" i="46"/>
  <c r="H477" i="146" s="1"/>
  <c r="H244" i="46"/>
  <c r="H498" i="146" s="1"/>
  <c r="E26" i="46"/>
  <c r="H27" i="46"/>
  <c r="H281" i="146" s="1"/>
  <c r="E234" i="46"/>
  <c r="E488" i="146" s="1"/>
  <c r="H236" i="46"/>
  <c r="H490" i="146" s="1"/>
  <c r="H166" i="46"/>
  <c r="H420" i="146" s="1"/>
  <c r="G81" i="46"/>
  <c r="H82" i="46"/>
  <c r="H336" i="146" s="1"/>
  <c r="G49" i="46"/>
  <c r="G303" i="146" s="1"/>
  <c r="E105" i="46"/>
  <c r="H106" i="46"/>
  <c r="H360" i="146" s="1"/>
  <c r="H126" i="46"/>
  <c r="H380" i="146" s="1"/>
  <c r="H139" i="46"/>
  <c r="H393" i="146" s="1"/>
  <c r="E194" i="46"/>
  <c r="H210" i="46"/>
  <c r="H464" i="146" s="1"/>
  <c r="H227" i="46"/>
  <c r="H481" i="146" s="1"/>
  <c r="H250" i="46"/>
  <c r="H504" i="146" s="1"/>
  <c r="G21" i="46"/>
  <c r="G275" i="146" s="1"/>
  <c r="H22" i="46"/>
  <c r="H276" i="146" s="1"/>
  <c r="E132" i="46"/>
  <c r="E386" i="146" s="1"/>
  <c r="E165" i="46"/>
  <c r="G165" i="46"/>
  <c r="G419" i="146" s="1"/>
  <c r="G149" i="46"/>
  <c r="E149" i="46"/>
  <c r="E403" i="146" s="1"/>
  <c r="E249" i="46"/>
  <c r="E503" i="146" s="1"/>
  <c r="G249" i="46"/>
  <c r="G503" i="146" s="1"/>
  <c r="G132" i="46"/>
  <c r="G233" i="46" l="1"/>
  <c r="G231" i="46" s="1"/>
  <c r="G485" i="146" s="1"/>
  <c r="O80" i="150"/>
  <c r="O264" i="146"/>
  <c r="R10" i="150"/>
  <c r="R264" i="146" s="1"/>
  <c r="R248" i="150"/>
  <c r="R502" i="146" s="1"/>
  <c r="O502" i="146"/>
  <c r="M164" i="150"/>
  <c r="M418" i="146" s="1"/>
  <c r="L418" i="146"/>
  <c r="G216" i="46"/>
  <c r="E65" i="46"/>
  <c r="E319" i="146" s="1"/>
  <c r="G120" i="46"/>
  <c r="G386" i="146"/>
  <c r="H194" i="46"/>
  <c r="H448" i="146" s="1"/>
  <c r="E448" i="146"/>
  <c r="H105" i="46"/>
  <c r="H359" i="146" s="1"/>
  <c r="E359" i="146"/>
  <c r="H81" i="46"/>
  <c r="H335" i="146" s="1"/>
  <c r="G335" i="146"/>
  <c r="H217" i="46"/>
  <c r="H471" i="146" s="1"/>
  <c r="E471" i="146"/>
  <c r="E120" i="46"/>
  <c r="E374" i="146" s="1"/>
  <c r="E216" i="46"/>
  <c r="G147" i="46"/>
  <c r="G401" i="146" s="1"/>
  <c r="G403" i="146"/>
  <c r="H21" i="46"/>
  <c r="H275" i="146" s="1"/>
  <c r="H26" i="46"/>
  <c r="H280" i="146" s="1"/>
  <c r="E280" i="146"/>
  <c r="E437" i="146"/>
  <c r="H150" i="46"/>
  <c r="H404" i="146" s="1"/>
  <c r="E48" i="46"/>
  <c r="E303" i="146"/>
  <c r="G99" i="46"/>
  <c r="G354" i="146"/>
  <c r="H189" i="46"/>
  <c r="H443" i="146" s="1"/>
  <c r="E443" i="146"/>
  <c r="G65" i="46"/>
  <c r="G320" i="146"/>
  <c r="H165" i="46"/>
  <c r="H419" i="146" s="1"/>
  <c r="E419" i="146"/>
  <c r="H110" i="46"/>
  <c r="H364" i="146" s="1"/>
  <c r="E364" i="146"/>
  <c r="E15" i="46"/>
  <c r="E270" i="146"/>
  <c r="H133" i="46"/>
  <c r="H387" i="146" s="1"/>
  <c r="G183" i="46"/>
  <c r="G438" i="146"/>
  <c r="H249" i="46"/>
  <c r="H503" i="146" s="1"/>
  <c r="H132" i="46"/>
  <c r="H386" i="146" s="1"/>
  <c r="G48" i="46"/>
  <c r="G302" i="146" s="1"/>
  <c r="H49" i="46"/>
  <c r="H303" i="146" s="1"/>
  <c r="E147" i="46"/>
  <c r="H149" i="46"/>
  <c r="H403" i="146" s="1"/>
  <c r="E182" i="46"/>
  <c r="E436" i="146" s="1"/>
  <c r="E233" i="46"/>
  <c r="E487" i="146" s="1"/>
  <c r="H234" i="46"/>
  <c r="H488" i="146" s="1"/>
  <c r="E99" i="46"/>
  <c r="E353" i="146" s="1"/>
  <c r="H100" i="46"/>
  <c r="H354" i="146" s="1"/>
  <c r="G15" i="46"/>
  <c r="G269" i="146" s="1"/>
  <c r="H16" i="46"/>
  <c r="H270" i="146" s="1"/>
  <c r="H65" i="46"/>
  <c r="H319" i="146" s="1"/>
  <c r="H66" i="46"/>
  <c r="H320" i="146" s="1"/>
  <c r="G487" i="146" l="1"/>
  <c r="O334" i="146"/>
  <c r="R80" i="150"/>
  <c r="R334" i="146" s="1"/>
  <c r="H120" i="46"/>
  <c r="H374" i="146" s="1"/>
  <c r="E63" i="46"/>
  <c r="E317" i="146" s="1"/>
  <c r="G470" i="146"/>
  <c r="G204" i="46"/>
  <c r="G437" i="146"/>
  <c r="G182" i="46"/>
  <c r="H182" i="46" s="1"/>
  <c r="H436" i="146" s="1"/>
  <c r="H183" i="46"/>
  <c r="H437" i="146" s="1"/>
  <c r="H147" i="46"/>
  <c r="H401" i="146" s="1"/>
  <c r="E401" i="146"/>
  <c r="E302" i="146"/>
  <c r="E36" i="46"/>
  <c r="G119" i="46"/>
  <c r="G22" i="170" s="1"/>
  <c r="G374" i="146"/>
  <c r="H216" i="46"/>
  <c r="H470" i="146" s="1"/>
  <c r="E470" i="146"/>
  <c r="E204" i="46"/>
  <c r="E269" i="146"/>
  <c r="E14" i="46"/>
  <c r="G63" i="46"/>
  <c r="G317" i="146" s="1"/>
  <c r="G319" i="146"/>
  <c r="G353" i="146"/>
  <c r="G98" i="46"/>
  <c r="G14" i="46"/>
  <c r="G268" i="146" s="1"/>
  <c r="H15" i="46"/>
  <c r="H269" i="146" s="1"/>
  <c r="E231" i="46"/>
  <c r="E485" i="146" s="1"/>
  <c r="H233" i="46"/>
  <c r="H487" i="146" s="1"/>
  <c r="E119" i="46"/>
  <c r="E178" i="46"/>
  <c r="H99" i="46"/>
  <c r="H353" i="146" s="1"/>
  <c r="E98" i="46"/>
  <c r="E352" i="146" s="1"/>
  <c r="H48" i="46"/>
  <c r="H302" i="146" s="1"/>
  <c r="G36" i="46"/>
  <c r="G290" i="146" s="1"/>
  <c r="E373" i="146" l="1"/>
  <c r="E22" i="170"/>
  <c r="G21" i="170"/>
  <c r="G10" i="170" s="1"/>
  <c r="G16" i="170" s="1"/>
  <c r="G11" i="170"/>
  <c r="G17" i="170" s="1"/>
  <c r="G203" i="46"/>
  <c r="G457" i="146" s="1"/>
  <c r="G458" i="146"/>
  <c r="E268" i="146"/>
  <c r="E10" i="46"/>
  <c r="E290" i="146"/>
  <c r="E35" i="46"/>
  <c r="E289" i="146" s="1"/>
  <c r="G178" i="46"/>
  <c r="G436" i="146"/>
  <c r="G94" i="46"/>
  <c r="G348" i="146" s="1"/>
  <c r="G352" i="146"/>
  <c r="E458" i="146"/>
  <c r="H204" i="46"/>
  <c r="H458" i="146" s="1"/>
  <c r="G164" i="46"/>
  <c r="G418" i="146" s="1"/>
  <c r="G373" i="146"/>
  <c r="H178" i="46"/>
  <c r="H432" i="146" s="1"/>
  <c r="E432" i="146"/>
  <c r="H63" i="46"/>
  <c r="H317" i="146" s="1"/>
  <c r="E94" i="46"/>
  <c r="H98" i="46"/>
  <c r="H352" i="146" s="1"/>
  <c r="H231" i="46"/>
  <c r="H485" i="146" s="1"/>
  <c r="E203" i="46"/>
  <c r="E457" i="146" s="1"/>
  <c r="G35" i="46"/>
  <c r="G289" i="146" s="1"/>
  <c r="H36" i="46"/>
  <c r="H290" i="146" s="1"/>
  <c r="G10" i="46"/>
  <c r="H14" i="46"/>
  <c r="H268" i="146" s="1"/>
  <c r="H119" i="46"/>
  <c r="G143" i="170" l="1"/>
  <c r="G1" i="146"/>
  <c r="H373" i="146"/>
  <c r="H22" i="170"/>
  <c r="E21" i="170"/>
  <c r="E10" i="170" s="1"/>
  <c r="E16" i="170" s="1"/>
  <c r="E11" i="170"/>
  <c r="E17" i="170" s="1"/>
  <c r="H94" i="46"/>
  <c r="H348" i="146" s="1"/>
  <c r="E348" i="146"/>
  <c r="H10" i="46"/>
  <c r="H264" i="146" s="1"/>
  <c r="G264" i="146"/>
  <c r="E264" i="146"/>
  <c r="E80" i="46"/>
  <c r="E334" i="146" s="1"/>
  <c r="G432" i="146"/>
  <c r="G248" i="46"/>
  <c r="G502" i="146" s="1"/>
  <c r="G80" i="46"/>
  <c r="H35" i="46"/>
  <c r="H289" i="146" s="1"/>
  <c r="E248" i="46"/>
  <c r="H203" i="46"/>
  <c r="H457" i="146" s="1"/>
  <c r="E164" i="46"/>
  <c r="E143" i="170" l="1"/>
  <c r="E1" i="146"/>
  <c r="H21" i="170"/>
  <c r="H10" i="170" s="1"/>
  <c r="H16" i="170" s="1"/>
  <c r="H11" i="170"/>
  <c r="H17" i="170" s="1"/>
  <c r="H164" i="46"/>
  <c r="H418" i="146" s="1"/>
  <c r="E418" i="146"/>
  <c r="H80" i="46"/>
  <c r="H334" i="146" s="1"/>
  <c r="G334" i="146"/>
  <c r="H248" i="46"/>
  <c r="H502" i="146" s="1"/>
  <c r="E502" i="146"/>
  <c r="H143" i="170" l="1"/>
  <c r="H1" i="146"/>
  <c r="C195" i="94"/>
  <c r="C194" i="94" s="1"/>
  <c r="C111" i="94"/>
  <c r="C110" i="94"/>
  <c r="C27" i="94"/>
  <c r="C26" i="94" s="1"/>
  <c r="C480" i="146" l="1"/>
  <c r="C226" i="146" s="1"/>
  <c r="C462" i="146"/>
  <c r="C208" i="146" s="1"/>
  <c r="C311" i="146"/>
  <c r="C460" i="146"/>
  <c r="C206" i="146" s="1"/>
  <c r="C461" i="146"/>
  <c r="C207" i="146" s="1"/>
  <c r="C479" i="146"/>
  <c r="C225" i="146" s="1"/>
  <c r="C74" i="170"/>
  <c r="C434" i="146"/>
  <c r="C501" i="146"/>
  <c r="C488" i="146"/>
  <c r="C423" i="146"/>
  <c r="C295" i="146"/>
  <c r="C339" i="146"/>
  <c r="C322" i="146"/>
  <c r="C276" i="146"/>
  <c r="C486" i="146"/>
  <c r="C232" i="146" s="1"/>
  <c r="C356" i="146"/>
  <c r="C466" i="146"/>
  <c r="C212" i="146" s="1"/>
  <c r="C195" i="54"/>
  <c r="C194" i="54" s="1"/>
  <c r="C111" i="54"/>
  <c r="C110" i="54" s="1"/>
  <c r="C27" i="54"/>
  <c r="C26" i="54" s="1"/>
  <c r="C195" i="17"/>
  <c r="C111" i="17"/>
  <c r="C110" i="17" s="1"/>
  <c r="C27" i="17"/>
  <c r="C26" i="17" s="1"/>
  <c r="C195" i="46"/>
  <c r="C111" i="46"/>
  <c r="C27" i="46"/>
  <c r="C26" i="46" s="1"/>
  <c r="C134" i="170"/>
  <c r="C133" i="170"/>
  <c r="C22" i="170"/>
  <c r="C21" i="170" s="1"/>
  <c r="C24" i="170"/>
  <c r="C23" i="170" s="1"/>
  <c r="C27" i="170"/>
  <c r="C26" i="170"/>
  <c r="C29" i="170"/>
  <c r="C28" i="170" s="1"/>
  <c r="C32" i="170"/>
  <c r="C31" i="170" s="1"/>
  <c r="C36" i="170"/>
  <c r="C35" i="170"/>
  <c r="C34" i="170"/>
  <c r="C38" i="170"/>
  <c r="C37" i="170" s="1"/>
  <c r="C47" i="170"/>
  <c r="C45" i="170"/>
  <c r="C44" i="170"/>
  <c r="C51" i="170"/>
  <c r="C50" i="170"/>
  <c r="C49" i="170"/>
  <c r="C58" i="170"/>
  <c r="C57" i="170"/>
  <c r="C54" i="170"/>
  <c r="C69" i="170"/>
  <c r="C15" i="170" s="1"/>
  <c r="C68" i="170"/>
  <c r="C67" i="170"/>
  <c r="C66" i="170"/>
  <c r="C65" i="170"/>
  <c r="C79" i="170"/>
  <c r="C78" i="170"/>
  <c r="C77" i="170"/>
  <c r="C84" i="170"/>
  <c r="C83" i="170"/>
  <c r="C82" i="170"/>
  <c r="C81" i="170"/>
  <c r="C88" i="170"/>
  <c r="C87" i="170"/>
  <c r="C94" i="170"/>
  <c r="C93" i="170"/>
  <c r="C92" i="170"/>
  <c r="C91" i="170"/>
  <c r="C98" i="170"/>
  <c r="C97" i="170"/>
  <c r="C96" i="170"/>
  <c r="C100" i="170"/>
  <c r="C99" i="170" s="1"/>
  <c r="C102" i="170"/>
  <c r="C101" i="170" s="1"/>
  <c r="C107" i="170"/>
  <c r="C106" i="170"/>
  <c r="C111" i="170"/>
  <c r="C110" i="170" s="1"/>
  <c r="C113" i="170"/>
  <c r="C112" i="170" s="1"/>
  <c r="C115" i="170"/>
  <c r="C114" i="170" s="1"/>
  <c r="C119" i="170"/>
  <c r="C118" i="170" s="1"/>
  <c r="C121" i="170"/>
  <c r="C120" i="170" s="1"/>
  <c r="C123" i="170"/>
  <c r="C122" i="170" s="1"/>
  <c r="C130" i="170"/>
  <c r="C125" i="170"/>
  <c r="C79" i="146"/>
  <c r="C69" i="146"/>
  <c r="C70" i="146"/>
  <c r="C71" i="146"/>
  <c r="C62" i="146"/>
  <c r="C52" i="146"/>
  <c r="C53" i="146"/>
  <c r="C54" i="146"/>
  <c r="C34" i="146"/>
  <c r="C18" i="146"/>
  <c r="C19" i="146"/>
  <c r="C20" i="146"/>
  <c r="C13" i="146"/>
  <c r="C101" i="146"/>
  <c r="C100" i="146" s="1"/>
  <c r="C99" i="146" s="1"/>
  <c r="C135" i="146"/>
  <c r="C152" i="146"/>
  <c r="C274" i="146"/>
  <c r="C277" i="146"/>
  <c r="C278" i="146"/>
  <c r="C279" i="146"/>
  <c r="C282" i="146"/>
  <c r="C283" i="146"/>
  <c r="C284" i="146"/>
  <c r="C285" i="146"/>
  <c r="C300" i="146"/>
  <c r="C304" i="146"/>
  <c r="C307" i="146"/>
  <c r="C308" i="146"/>
  <c r="C310" i="146"/>
  <c r="C315" i="146"/>
  <c r="C321" i="146"/>
  <c r="C323" i="146"/>
  <c r="C324" i="146"/>
  <c r="C325" i="146"/>
  <c r="C327" i="146"/>
  <c r="C330" i="146"/>
  <c r="C331" i="146"/>
  <c r="C332" i="146"/>
  <c r="C336" i="146"/>
  <c r="C337" i="146"/>
  <c r="C338" i="146"/>
  <c r="C340" i="146"/>
  <c r="C341" i="146"/>
  <c r="C342" i="146"/>
  <c r="C345" i="146"/>
  <c r="C346" i="146"/>
  <c r="C347" i="146"/>
  <c r="C350" i="146"/>
  <c r="C96" i="146" s="1"/>
  <c r="C351" i="146"/>
  <c r="C357" i="146"/>
  <c r="C358" i="146"/>
  <c r="C361" i="146"/>
  <c r="C107" i="146" s="1"/>
  <c r="C362" i="146"/>
  <c r="C108" i="146" s="1"/>
  <c r="C363" i="146"/>
  <c r="C109" i="146" s="1"/>
  <c r="C366" i="146"/>
  <c r="C112" i="146" s="1"/>
  <c r="C367" i="146"/>
  <c r="C113" i="146" s="1"/>
  <c r="C368" i="146"/>
  <c r="C114" i="146" s="1"/>
  <c r="C369" i="146"/>
  <c r="C115" i="146" s="1"/>
  <c r="C372" i="146"/>
  <c r="C379" i="146"/>
  <c r="C125" i="146" s="1"/>
  <c r="C381" i="146"/>
  <c r="C127" i="146" s="1"/>
  <c r="C384" i="146"/>
  <c r="C130" i="146" s="1"/>
  <c r="C388" i="146"/>
  <c r="C134" i="146" s="1"/>
  <c r="C391" i="146"/>
  <c r="C392" i="146"/>
  <c r="C394" i="146"/>
  <c r="C140" i="146" s="1"/>
  <c r="C395" i="146"/>
  <c r="C141" i="146" s="1"/>
  <c r="C398" i="146"/>
  <c r="C144" i="146" s="1"/>
  <c r="C399" i="146"/>
  <c r="C145" i="146" s="1"/>
  <c r="C400" i="146"/>
  <c r="C404" i="146"/>
  <c r="C405" i="146"/>
  <c r="C151" i="146" s="1"/>
  <c r="C150" i="146" s="1"/>
  <c r="C407" i="146"/>
  <c r="C408" i="146"/>
  <c r="C409" i="146"/>
  <c r="C410" i="146"/>
  <c r="C411" i="146"/>
  <c r="C157" i="146" s="1"/>
  <c r="C412" i="146"/>
  <c r="C158" i="146" s="1"/>
  <c r="C413" i="146"/>
  <c r="C159" i="146" s="1"/>
  <c r="C414" i="146"/>
  <c r="C415" i="146"/>
  <c r="C161" i="146" s="1"/>
  <c r="C416" i="146"/>
  <c r="C162" i="146" s="1"/>
  <c r="C417" i="146"/>
  <c r="C420" i="146"/>
  <c r="C421" i="146"/>
  <c r="C167" i="146" s="1"/>
  <c r="C422" i="146"/>
  <c r="C168" i="146" s="1"/>
  <c r="C424" i="146"/>
  <c r="C170" i="146" s="1"/>
  <c r="C425" i="146"/>
  <c r="C171" i="146" s="1"/>
  <c r="C426" i="146"/>
  <c r="C172" i="146" s="1"/>
  <c r="C429" i="146"/>
  <c r="C175" i="146" s="1"/>
  <c r="C430" i="146"/>
  <c r="C176" i="146" s="1"/>
  <c r="C431" i="146"/>
  <c r="C433" i="146"/>
  <c r="C179" i="146" s="1"/>
  <c r="C440" i="146"/>
  <c r="C441" i="146"/>
  <c r="C442" i="146"/>
  <c r="C445" i="146"/>
  <c r="C191" i="146" s="1"/>
  <c r="C446" i="146"/>
  <c r="C192" i="146" s="1"/>
  <c r="C447" i="146"/>
  <c r="C193" i="146" s="1"/>
  <c r="C450" i="146"/>
  <c r="C196" i="146" s="1"/>
  <c r="C451" i="146"/>
  <c r="C197" i="146" s="1"/>
  <c r="C452" i="146"/>
  <c r="C198" i="146" s="1"/>
  <c r="C453" i="146"/>
  <c r="C199" i="146" s="1"/>
  <c r="C463" i="146"/>
  <c r="C209" i="146" s="1"/>
  <c r="C468" i="146"/>
  <c r="C214" i="146" s="1"/>
  <c r="C472" i="146"/>
  <c r="C218" i="146" s="1"/>
  <c r="C474" i="146"/>
  <c r="C475" i="146"/>
  <c r="C476" i="146"/>
  <c r="C478" i="146"/>
  <c r="C224" i="146" s="1"/>
  <c r="C481" i="146"/>
  <c r="C483" i="146"/>
  <c r="C229" i="146" s="1"/>
  <c r="C489" i="146"/>
  <c r="C235" i="146" s="1"/>
  <c r="C490" i="146"/>
  <c r="C491" i="146"/>
  <c r="C492" i="146"/>
  <c r="C493" i="146"/>
  <c r="C495" i="146"/>
  <c r="C241" i="146" s="1"/>
  <c r="C498" i="146"/>
  <c r="C499" i="146"/>
  <c r="C245" i="146" s="1"/>
  <c r="C500" i="146"/>
  <c r="C246" i="146" s="1"/>
  <c r="C505" i="146"/>
  <c r="C251" i="146" s="1"/>
  <c r="C506" i="146"/>
  <c r="C252" i="146" s="1"/>
  <c r="C507" i="146"/>
  <c r="C508" i="146"/>
  <c r="C254" i="146" s="1"/>
  <c r="C509" i="146"/>
  <c r="C255" i="146" s="1"/>
  <c r="C510" i="146"/>
  <c r="C256" i="146" s="1"/>
  <c r="C512" i="146"/>
  <c r="C258" i="146" s="1"/>
  <c r="C513" i="146"/>
  <c r="C259" i="146" s="1"/>
  <c r="C514" i="146"/>
  <c r="C260" i="146" s="1"/>
  <c r="C219" i="146"/>
  <c r="C185" i="146"/>
  <c r="C184" i="146"/>
  <c r="C183" i="146" s="1"/>
  <c r="C236" i="146"/>
  <c r="C195" i="30"/>
  <c r="C194" i="30" s="1"/>
  <c r="C111" i="30"/>
  <c r="C110" i="30"/>
  <c r="C27" i="30"/>
  <c r="C26" i="30" s="1"/>
  <c r="C195" i="150"/>
  <c r="C194" i="150" s="1"/>
  <c r="C111" i="150"/>
  <c r="C110" i="150" s="1"/>
  <c r="C27" i="150"/>
  <c r="C26" i="150" s="1"/>
  <c r="C43" i="170" l="1"/>
  <c r="C95" i="170"/>
  <c r="C51" i="146"/>
  <c r="C234" i="146"/>
  <c r="C76" i="170"/>
  <c r="C33" i="170"/>
  <c r="C194" i="17"/>
  <c r="C504" i="146"/>
  <c r="C333" i="146"/>
  <c r="C443" i="146"/>
  <c r="C511" i="146"/>
  <c r="C482" i="146"/>
  <c r="C228" i="146" s="1"/>
  <c r="C60" i="146" s="1"/>
  <c r="C473" i="146"/>
  <c r="C444" i="146"/>
  <c r="C360" i="146"/>
  <c r="C471" i="146"/>
  <c r="C359" i="146"/>
  <c r="C449" i="146"/>
  <c r="C217" i="146"/>
  <c r="C17" i="146"/>
  <c r="C16" i="146" s="1"/>
  <c r="C15" i="146" s="1"/>
  <c r="C68" i="146"/>
  <c r="C48" i="170"/>
  <c r="C25" i="170"/>
  <c r="C124" i="170"/>
  <c r="C105" i="170"/>
  <c r="C86" i="170"/>
  <c r="C80" i="170"/>
  <c r="C64" i="170"/>
  <c r="C140" i="170"/>
  <c r="C90" i="170"/>
  <c r="C365" i="146"/>
  <c r="C281" i="146"/>
  <c r="C53" i="170"/>
  <c r="C166" i="146"/>
  <c r="C92" i="146"/>
  <c r="C61" i="146"/>
  <c r="C50" i="146"/>
  <c r="C133" i="146"/>
  <c r="C46" i="146"/>
  <c r="C41" i="146"/>
  <c r="C250" i="146"/>
  <c r="C244" i="146"/>
  <c r="C84" i="146"/>
  <c r="C77" i="146"/>
  <c r="C29" i="146"/>
  <c r="C160" i="146"/>
  <c r="C87" i="146"/>
  <c r="C257" i="146"/>
  <c r="C205" i="146"/>
  <c r="C91" i="146"/>
  <c r="C83" i="146"/>
  <c r="C78" i="146"/>
  <c r="C253" i="146"/>
  <c r="C195" i="146"/>
  <c r="C194" i="146" s="1"/>
  <c r="C30" i="146"/>
  <c r="C24" i="146"/>
  <c r="C88" i="146"/>
  <c r="C106" i="146"/>
  <c r="C105" i="146" s="1"/>
  <c r="C98" i="146" s="1"/>
  <c r="C23" i="146"/>
  <c r="C56" i="146"/>
  <c r="C223" i="146"/>
  <c r="C73" i="146"/>
  <c r="C156" i="146"/>
  <c r="C28" i="146"/>
  <c r="C111" i="146"/>
  <c r="C110" i="146" s="1"/>
  <c r="C190" i="146"/>
  <c r="C189" i="146" s="1"/>
  <c r="C169" i="146"/>
  <c r="C86" i="146"/>
  <c r="C57" i="146"/>
  <c r="C31" i="146"/>
  <c r="C25" i="146"/>
  <c r="C143" i="146"/>
  <c r="C67" i="146"/>
  <c r="C110" i="46"/>
  <c r="C194" i="46"/>
  <c r="C406" i="146"/>
  <c r="C403" i="146"/>
  <c r="C18" i="170"/>
  <c r="C142" i="170" s="1"/>
  <c r="C49" i="146" l="1"/>
  <c r="C280" i="146"/>
  <c r="C227" i="146"/>
  <c r="C216" i="146" s="1"/>
  <c r="C66" i="146"/>
  <c r="C82" i="146"/>
  <c r="C149" i="146"/>
  <c r="C85" i="146"/>
  <c r="C182" i="146"/>
  <c r="C59" i="146"/>
  <c r="C76" i="146"/>
  <c r="C249" i="146"/>
  <c r="C465" i="146"/>
  <c r="C211" i="146" s="1"/>
  <c r="C275" i="146"/>
  <c r="C273" i="146"/>
  <c r="C435" i="146"/>
  <c r="C180" i="146" s="1"/>
  <c r="C402" i="146"/>
  <c r="C148" i="146" s="1"/>
  <c r="C328" i="146"/>
  <c r="C456" i="146"/>
  <c r="C312" i="146"/>
  <c r="C266" i="146"/>
  <c r="C459" i="146"/>
  <c r="C385" i="146"/>
  <c r="C131" i="146" s="1"/>
  <c r="C293" i="146"/>
  <c r="C378" i="146"/>
  <c r="C124" i="146" s="1"/>
  <c r="C40" i="146" s="1"/>
  <c r="C382" i="146"/>
  <c r="C128" i="146" s="1"/>
  <c r="C448" i="146"/>
  <c r="C314" i="146"/>
  <c r="C390" i="146"/>
  <c r="C329" i="146"/>
  <c r="C371" i="146"/>
  <c r="C117" i="146" s="1"/>
  <c r="C301" i="146"/>
  <c r="C477" i="146"/>
  <c r="C318" i="146"/>
  <c r="C349" i="146"/>
  <c r="C95" i="146" s="1"/>
  <c r="C397" i="146"/>
  <c r="C272" i="146"/>
  <c r="C63" i="170"/>
  <c r="C14" i="170" s="1"/>
  <c r="C484" i="146"/>
  <c r="C364" i="146"/>
  <c r="C439" i="146"/>
  <c r="C27" i="146"/>
  <c r="C26" i="146" s="1"/>
  <c r="C22" i="146"/>
  <c r="C21" i="146" s="1"/>
  <c r="C288" i="146"/>
  <c r="C344" i="146"/>
  <c r="C396" i="146"/>
  <c r="C142" i="146" s="1"/>
  <c r="C470" i="146"/>
  <c r="C297" i="146"/>
  <c r="C503" i="146"/>
  <c r="C393" i="146"/>
  <c r="C267" i="146"/>
  <c r="C496" i="146"/>
  <c r="C242" i="146" s="1"/>
  <c r="C376" i="146"/>
  <c r="C122" i="146" s="1"/>
  <c r="C377" i="146"/>
  <c r="C123" i="146" s="1"/>
  <c r="C39" i="146" s="1"/>
  <c r="C497" i="146"/>
  <c r="C243" i="146" s="1"/>
  <c r="C75" i="146" s="1"/>
  <c r="C292" i="146"/>
  <c r="C428" i="146"/>
  <c r="C174" i="146" s="1"/>
  <c r="C355" i="146"/>
  <c r="C320" i="146"/>
  <c r="C469" i="146"/>
  <c r="C215" i="146" s="1"/>
  <c r="C213" i="146" s="1"/>
  <c r="C401" i="146" l="1"/>
  <c r="C14" i="146"/>
  <c r="C370" i="146"/>
  <c r="C389" i="146"/>
  <c r="C41" i="170"/>
  <c r="C298" i="146"/>
  <c r="C12" i="146"/>
  <c r="C494" i="146"/>
  <c r="C58" i="146"/>
  <c r="C55" i="146" s="1"/>
  <c r="C48" i="146" s="1"/>
  <c r="C139" i="146"/>
  <c r="C132" i="146" s="1"/>
  <c r="C316" i="146"/>
  <c r="C265" i="146"/>
  <c r="C42" i="170"/>
  <c r="C287" i="146"/>
  <c r="C306" i="146"/>
  <c r="C104" i="170"/>
  <c r="C103" i="170" s="1"/>
  <c r="C380" i="146"/>
  <c r="C147" i="146"/>
  <c r="C64" i="146"/>
  <c r="C210" i="146"/>
  <c r="C204" i="146" s="1"/>
  <c r="C43" i="146"/>
  <c r="C291" i="146"/>
  <c r="C47" i="146"/>
  <c r="C45" i="146" s="1"/>
  <c r="C129" i="146"/>
  <c r="C464" i="146"/>
  <c r="C427" i="146"/>
  <c r="C343" i="146"/>
  <c r="C271" i="146"/>
  <c r="C44" i="146"/>
  <c r="C126" i="146"/>
  <c r="C375" i="146"/>
  <c r="C309" i="146"/>
  <c r="C90" i="146"/>
  <c r="C89" i="146" s="1"/>
  <c r="C81" i="146" s="1"/>
  <c r="C173" i="146"/>
  <c r="C165" i="146" s="1"/>
  <c r="C240" i="146"/>
  <c r="C233" i="146" s="1"/>
  <c r="C231" i="146" s="1"/>
  <c r="C74" i="146"/>
  <c r="C72" i="146" s="1"/>
  <c r="C65" i="146" s="1"/>
  <c r="C438" i="146"/>
  <c r="C319" i="146"/>
  <c r="C326" i="146"/>
  <c r="C467" i="146"/>
  <c r="C354" i="146"/>
  <c r="C38" i="146"/>
  <c r="C37" i="146" s="1"/>
  <c r="C121" i="146"/>
  <c r="C455" i="146"/>
  <c r="C201" i="146" s="1"/>
  <c r="C200" i="146" s="1"/>
  <c r="C178" i="146" s="1"/>
  <c r="C11" i="146"/>
  <c r="C116" i="146"/>
  <c r="C94" i="146" s="1"/>
  <c r="C313" i="146"/>
  <c r="C294" i="146"/>
  <c r="C383" i="146"/>
  <c r="C296" i="146" l="1"/>
  <c r="C454" i="146"/>
  <c r="C270" i="146"/>
  <c r="C387" i="146"/>
  <c r="C33" i="146"/>
  <c r="C32" i="146" s="1"/>
  <c r="C10" i="146" s="1"/>
  <c r="C120" i="146"/>
  <c r="C119" i="146" s="1"/>
  <c r="C164" i="146" s="1"/>
  <c r="C63" i="146"/>
  <c r="C487" i="146"/>
  <c r="C12" i="170"/>
  <c r="C437" i="146"/>
  <c r="C335" i="146"/>
  <c r="C117" i="170"/>
  <c r="C116" i="170" s="1"/>
  <c r="C42" i="146"/>
  <c r="C36" i="146" s="1"/>
  <c r="C305" i="146"/>
  <c r="C458" i="146"/>
  <c r="C299" i="146"/>
  <c r="C353" i="146"/>
  <c r="C419" i="146"/>
  <c r="C203" i="146"/>
  <c r="C248" i="146" s="1"/>
  <c r="C286" i="146"/>
  <c r="C485" i="146" l="1"/>
  <c r="C352" i="146"/>
  <c r="C269" i="146"/>
  <c r="C317" i="146"/>
  <c r="C303" i="146"/>
  <c r="C35" i="146"/>
  <c r="C80" i="146" s="1"/>
  <c r="C61" i="170"/>
  <c r="C62" i="170"/>
  <c r="C457" i="146"/>
  <c r="C436" i="146"/>
  <c r="C386" i="146"/>
  <c r="C73" i="170" l="1"/>
  <c r="C13" i="170" s="1"/>
  <c r="C19" i="170" s="1"/>
  <c r="C432" i="146"/>
  <c r="C60" i="170"/>
  <c r="C268" i="146"/>
  <c r="C348" i="146"/>
  <c r="C374" i="146"/>
  <c r="C71" i="170"/>
  <c r="C302" i="146"/>
  <c r="C418" i="146" l="1"/>
  <c r="C264" i="146"/>
  <c r="C290" i="146"/>
  <c r="C70" i="170"/>
  <c r="C502" i="146"/>
  <c r="C40" i="170"/>
  <c r="C373" i="146"/>
  <c r="C39" i="170" l="1"/>
  <c r="C11" i="170"/>
  <c r="C17" i="170" s="1"/>
  <c r="C334" i="146"/>
  <c r="C289" i="146"/>
  <c r="C10" i="170" l="1"/>
  <c r="C16" i="170" s="1"/>
  <c r="C143" i="170" l="1"/>
  <c r="C144" i="170" s="1"/>
  <c r="C146" i="170" s="1"/>
  <c r="C131" i="170"/>
</calcChain>
</file>

<file path=xl/comments1.xml><?xml version="1.0" encoding="utf-8"?>
<comments xmlns="http://schemas.openxmlformats.org/spreadsheetml/2006/main">
  <authors>
    <author>Finanšu Ministrija</author>
  </authors>
  <commentList>
    <comment ref="A10" authorId="0">
      <text>
        <r>
          <rPr>
            <b/>
            <sz val="8"/>
            <color indexed="81"/>
            <rFont val="Tahoma"/>
            <family val="2"/>
            <charset val="186"/>
          </rPr>
          <t>Finanšu Ministrija:</t>
        </r>
        <r>
          <rPr>
            <sz val="8"/>
            <color indexed="81"/>
            <rFont val="Tahoma"/>
            <family val="2"/>
            <charset val="186"/>
          </rPr>
          <t xml:space="preserve">
</t>
        </r>
      </text>
    </comment>
  </commentList>
</comments>
</file>

<file path=xl/sharedStrings.xml><?xml version="1.0" encoding="utf-8"?>
<sst xmlns="http://schemas.openxmlformats.org/spreadsheetml/2006/main" count="16013" uniqueCount="1100">
  <si>
    <t>11.Ārlietu ministrija</t>
  </si>
  <si>
    <t>13.Finanšu ministrija</t>
  </si>
  <si>
    <t>17.Satiksmes ministrija</t>
  </si>
  <si>
    <t>18.Labklājības ministrija</t>
  </si>
  <si>
    <t>24.Valsts kontrole</t>
  </si>
  <si>
    <t>1000 - 4000;
 6000 - 7000</t>
  </si>
  <si>
    <t>1000; 2000</t>
  </si>
  <si>
    <t> 7140</t>
  </si>
  <si>
    <t> Valsts budžeta uzturēšanas izdevumu transferti no valsts speciālā budžeta uz valsts speciālo budžetu</t>
  </si>
  <si>
    <t xml:space="preserve">Valsts budžeta kapitālo izdevumu transferti </t>
  </si>
  <si>
    <t> 9150</t>
  </si>
  <si>
    <t>[1000 - 23000] - [1000 - 9000]</t>
  </si>
  <si>
    <t>29.Veselības ministrija</t>
  </si>
  <si>
    <t>12. Ekonomikas ministrija</t>
  </si>
  <si>
    <t>Bruto</t>
  </si>
  <si>
    <t>Valsts pamatbudžeta ieņēmumi</t>
  </si>
  <si>
    <t>Pamatbudžeta izdevumi - kopā (bruto)</t>
  </si>
  <si>
    <t>t.sk. konsolidējamā  pozīcija - atmaksa valsts pamatbudžetā par ES fondu finansējumu</t>
  </si>
  <si>
    <t>t.sk. konsolidējamā  pozīcija -  transferts uz valsts pamatbudžetu</t>
  </si>
  <si>
    <t>t.sk. transferti uz valsts speciālo budžetu</t>
  </si>
  <si>
    <t>01. Valsts prezidenta kanceleja</t>
  </si>
  <si>
    <t>02. Saeima</t>
  </si>
  <si>
    <t xml:space="preserve">03. Ministru kabinets           </t>
  </si>
  <si>
    <t xml:space="preserve">04. Korupcijas novēršanas un apkarošanas birojs </t>
  </si>
  <si>
    <t>10. Aizsardzības ministrija</t>
  </si>
  <si>
    <t xml:space="preserve">11. Ārlietu ministrija </t>
  </si>
  <si>
    <t>13. Finanšu ministrija</t>
  </si>
  <si>
    <t>t.sk. 31.02. (Valsts parāda vadība)</t>
  </si>
  <si>
    <t>t.sk. 41.01. (Iemaksas EK budžetā)</t>
  </si>
  <si>
    <t xml:space="preserve">14. Iekšlietu ministrija </t>
  </si>
  <si>
    <t xml:space="preserve">16. Zemkopības ministrija </t>
  </si>
  <si>
    <t>17. Satiksmes ministrija</t>
  </si>
  <si>
    <t xml:space="preserve">18. Labklājības ministrija </t>
  </si>
  <si>
    <t xml:space="preserve">24. Valsts kontrole </t>
  </si>
  <si>
    <t xml:space="preserve">28. Augstākā tiesa </t>
  </si>
  <si>
    <t>29. Veselības ministrija</t>
  </si>
  <si>
    <t xml:space="preserve">30. Satversmes tiesa </t>
  </si>
  <si>
    <t xml:space="preserve">32. Prokuratūra </t>
  </si>
  <si>
    <t xml:space="preserve">37. Centrālā zemes komisija </t>
  </si>
  <si>
    <t xml:space="preserve">47. Radio un televīzija </t>
  </si>
  <si>
    <t>64. Dotācija pašvaldībām</t>
  </si>
  <si>
    <t>Valsts pamatbudžeta finansiālā bilance</t>
  </si>
  <si>
    <t>Valsts speciālā budžeta ieņēmumi</t>
  </si>
  <si>
    <t>Valsts speciālā budžeta finansiālā bilance</t>
  </si>
  <si>
    <t>Neto</t>
  </si>
  <si>
    <t>22. Kultūras ministrija</t>
  </si>
  <si>
    <t>37. Centrālā zemes komisija</t>
  </si>
  <si>
    <t xml:space="preserve">Finansiālā bilance </t>
  </si>
  <si>
    <t>F 00 00 00 00</t>
  </si>
  <si>
    <t>Finansēšana</t>
  </si>
  <si>
    <t>F40 02 00 00</t>
  </si>
  <si>
    <t>Aizņēmumi</t>
  </si>
  <si>
    <t xml:space="preserve">F40 02 00 10 </t>
  </si>
  <si>
    <t>Saņemtie aizņēmumi</t>
  </si>
  <si>
    <t xml:space="preserve">F40 02 00 20 </t>
  </si>
  <si>
    <t>Saņemto aizņēmumu atmaksa</t>
  </si>
  <si>
    <t>F40 01 00 00</t>
  </si>
  <si>
    <t>Aizdevumi</t>
  </si>
  <si>
    <t xml:space="preserve">F40 01 00 10 </t>
  </si>
  <si>
    <t>Izsniegtie aizdevumi</t>
  </si>
  <si>
    <t xml:space="preserve">F40 01 00 20 </t>
  </si>
  <si>
    <t>Izsniegto aizdevumu saņemtā atmaksa</t>
  </si>
  <si>
    <t>F21 01 00 00</t>
  </si>
  <si>
    <t>Naudas līdzekļi</t>
  </si>
  <si>
    <t>F21 01 00 00 1</t>
  </si>
  <si>
    <t>Maksas pakalpojumu un citu pašu ieņēmumu naudas līdzekļu atlikumu izmaiņas palielinājums (-) vai samazinājums (+)</t>
  </si>
  <si>
    <t>F21 01 00 00 2</t>
  </si>
  <si>
    <t>Ārvalstu finanšu palīdzības naudas līdzekļu atlikumu izmaiņas palielinājums (-) vai samazinājums (+)</t>
  </si>
  <si>
    <t>F21 01 00 00 5</t>
  </si>
  <si>
    <t>Naudas līdzekļu aizdevumiem atlikumu izmaiņas palielinājums (-) vai samazinājums (+)</t>
  </si>
  <si>
    <t>Valsts speciālā budžeta naudas līdzekļu atlikumu izmaiņas palielinājums (-) vai samazinājums (+)</t>
  </si>
  <si>
    <t>62. Mērķdotācijas pašvaldībām</t>
  </si>
  <si>
    <t>16. Zemkopības ministrija</t>
  </si>
  <si>
    <t>18. Labklājības ministrija</t>
  </si>
  <si>
    <t>2000; 22500;</t>
  </si>
  <si>
    <t>Nodokļu ieņēmumi</t>
  </si>
  <si>
    <t>2000; 22500</t>
  </si>
  <si>
    <t>Sociālās apdrošināšanas iemaksas kopā</t>
  </si>
  <si>
    <t>22400; 22600</t>
  </si>
  <si>
    <t>Nenodokļu ieņēmumi</t>
  </si>
  <si>
    <t>F21 01 00 00 3</t>
  </si>
  <si>
    <t>05. Tiesībsarga birojs</t>
  </si>
  <si>
    <t>Ārvalstu finanšu palīdzība iestādes ieņēmumos</t>
  </si>
  <si>
    <t>Ieņēmumi - kopā</t>
  </si>
  <si>
    <t>14. Iekšlietu ministrija</t>
  </si>
  <si>
    <t>32. Prokuratūra</t>
  </si>
  <si>
    <t>35. Centrālā vēlēšanu komisija</t>
  </si>
  <si>
    <t>47.Radio un televīzija</t>
  </si>
  <si>
    <t>Resursi izdevumu segšanai</t>
  </si>
  <si>
    <t>21300; 21400; 22100 - 22300</t>
  </si>
  <si>
    <t xml:space="preserve">Ieņēmumi no maksas pakalpojumiem un citi pašu ieņēmumi </t>
  </si>
  <si>
    <t>21100; 21200</t>
  </si>
  <si>
    <t xml:space="preserve">Ārvalstu finanšu palīdzība iestādes ieņēmumos </t>
  </si>
  <si>
    <t>Ārvalstu finanšu palīdzība atmaksām valsts pamatbudžetam</t>
  </si>
  <si>
    <t>Transferti</t>
  </si>
  <si>
    <t>Valsts budžeta transferti</t>
  </si>
  <si>
    <t>Valsts pamatbudžeta savstarpējie transferti</t>
  </si>
  <si>
    <t>Dotācija no vispārējiem ieņēmumiem</t>
  </si>
  <si>
    <t>Vispārējā kārtībā sadalāmā dotācija no vispārējiem ieņēmumiem</t>
  </si>
  <si>
    <t>Dotācija no vispārējiem ieņēmumiem atmaksām valsts pamatbudžetā</t>
  </si>
  <si>
    <t>1000 - 9000</t>
  </si>
  <si>
    <t>Izdevumi - kopā</t>
  </si>
  <si>
    <t>1000 - 4000; 6000 - 7000</t>
  </si>
  <si>
    <t>Uzturēšanas izdevumi</t>
  </si>
  <si>
    <t>1000 - 2000</t>
  </si>
  <si>
    <t>Kārtējie izdevumi</t>
  </si>
  <si>
    <t xml:space="preserve">Atlīdzība </t>
  </si>
  <si>
    <t xml:space="preserve">   Atalgojums</t>
  </si>
  <si>
    <t>Preces un pakalpojumi</t>
  </si>
  <si>
    <t>3000; 6000</t>
  </si>
  <si>
    <t>Subsīdijas, dotācijas un sociālie pabalsti</t>
  </si>
  <si>
    <t>Subsīdijas un dotācijas</t>
  </si>
  <si>
    <t>Sociālie pabalsti</t>
  </si>
  <si>
    <t>7600 - 7700</t>
  </si>
  <si>
    <t> Starptautiskā sadarbība</t>
  </si>
  <si>
    <t>Uzturēšanas izdevumu transferti</t>
  </si>
  <si>
    <t> Valsts budžeta uzturēšanas izdevumu transferti</t>
  </si>
  <si>
    <t> 7120</t>
  </si>
  <si>
    <t xml:space="preserve">   Valsts budžeta uzturēšanas izdevumu transferti no valsts pamatbudžeta uz valsts speciālo budžetu</t>
  </si>
  <si>
    <t xml:space="preserve">   Valsts budžeta uzturēšanas izdevumu transferti no valsts pamatbudžeta uz valsts pamatbudžetu</t>
  </si>
  <si>
    <t xml:space="preserve">      Valsts budžeta uzturēšanas izdevumu transferti no valsts pamatbudžeta dotācijas no vispārējiem ieņēmumiem uz valsts pamatbudžetu</t>
  </si>
  <si>
    <t xml:space="preserve">      Valsts budžeta uzturēšanas izdevumu transferti no valsts pamatbudžeta ārvalstu finanšu palīdzības līdzekļiem uz valsts pamatbudžetu</t>
  </si>
  <si>
    <t>Kapitālie izdevumi</t>
  </si>
  <si>
    <t>Pamatkapitāla veidošana</t>
  </si>
  <si>
    <t xml:space="preserve">   Valsts budžeta kapitālo izdevumu transferti </t>
  </si>
  <si>
    <t> 9120</t>
  </si>
  <si>
    <t>02.Saeima</t>
  </si>
  <si>
    <t>28. Augstākā tiesa</t>
  </si>
  <si>
    <t>30. Satversmes tiesa</t>
  </si>
  <si>
    <t>19. Tieslietu ministrija</t>
  </si>
  <si>
    <t>04. Korupcijas novēršanas un apkarošanas birojs</t>
  </si>
  <si>
    <t>15. Izglītības un zinātnes ministrija</t>
  </si>
  <si>
    <t>Procentu izdevumi</t>
  </si>
  <si>
    <t>5000; 9000</t>
  </si>
  <si>
    <t xml:space="preserve">   Atmaksa valsts budžetā par veiktajiem kapitālajiem izdevumiem </t>
  </si>
  <si>
    <t>03.Ministru kabinets</t>
  </si>
  <si>
    <t>10.Aizsardzības ministrija</t>
  </si>
  <si>
    <t>latos</t>
  </si>
  <si>
    <t>74. Gadskārtējā valsts budžeta izpildes procesā pārdalāmais finansējums</t>
  </si>
  <si>
    <t>pamatfunkcijas</t>
  </si>
  <si>
    <t>ES politiku instrumenti</t>
  </si>
  <si>
    <t>Pamatbudžeta izdevumi - kopā (neto)</t>
  </si>
  <si>
    <t xml:space="preserve">74. Gadskārtējā valsts budžeta izpildes procesā pārdalāmais finansējums </t>
  </si>
  <si>
    <t>Valsts konsolidētā budžeta ieņēmumi</t>
  </si>
  <si>
    <t xml:space="preserve">Speciālā budžeta izdevumi </t>
  </si>
  <si>
    <t>Valsts konsolidētā budžeta finansiālā bilance</t>
  </si>
  <si>
    <t>Finansiālā bilance % no IKP</t>
  </si>
  <si>
    <t>21. Vides aizsardzības un reģionālās attīstības ministrija</t>
  </si>
  <si>
    <t> Valsts budžeta uzturēšanas izdevumu transferti no valsts speciālā budžeta uz valsts pamatbudžetu</t>
  </si>
  <si>
    <t>Valsts pensiju speciālais budžets</t>
  </si>
  <si>
    <t>Nodarbinātības speciālais budžets</t>
  </si>
  <si>
    <t>Darba negadījumu speciālais budžets</t>
  </si>
  <si>
    <t>Invaliditātes, maternitātes un slimības speciālais budžets</t>
  </si>
  <si>
    <t>Valsts sociālās apdrošināšanas aģentūras speciālais budžets</t>
  </si>
  <si>
    <t>08. Sabiedrības integrācijas fonds</t>
  </si>
  <si>
    <t>Valsts budžeta uzturēšanas izdevumu transferti citiem budžetiem noteiktam mērķim</t>
  </si>
  <si>
    <t>Valsts budžeta uzturēšanas izdevumu transferti pašvaldībām Eiropas Savienības politiku instrumentu un pārējās ārvalstu finanšu palīdzības līdzfinansētajiem projektiem (pasākumiem)</t>
  </si>
  <si>
    <t>Atmaksa valsts budžetā par veiktiem uzturēšanas izdevumiem</t>
  </si>
  <si>
    <t>09. Sabiedrisko pakalpojumu regulēšanas komisija</t>
  </si>
  <si>
    <t>Valsts pamatbudžeta iestāžu saņemtie transferti no valsts pamatbudžeta</t>
  </si>
  <si>
    <t>Valsts pamatbudžeta iestāžu saņemtie transferti no valsts pamatbudžeta dotācijas no vispārējiem ieņēmumiem</t>
  </si>
  <si>
    <t>Pārējie valsts budžeta uzturēšanas izdevumu transferti citiem budžetiem</t>
  </si>
  <si>
    <t>Pārējie valsts budžeta uzturēšanas izdevumu transferti pašvaldībām</t>
  </si>
  <si>
    <t>Valsts budžeta transferti valsts budžeta daļēji finansētām atvasinātajām publiskajām personām un budžeta nefinansētām iestādēm noteiktam mērķim</t>
  </si>
  <si>
    <t>Kapitālo izdevumu transferti</t>
  </si>
  <si>
    <t>Valsts budžeta transferti kapitālajiem izdevumiem citiem budžetiem noteiktam mērķim</t>
  </si>
  <si>
    <t>Valsts budžeta kapitālo izdevumu transferti pašvaldībām Eiropas Savienības politiku instrumentu un pārējās ārvalstu finanšu palīdzības līdzfinansētajiem projektiem (pasākumiem)</t>
  </si>
  <si>
    <t>Pārējie valsts budžeta uzturēšanas izdevumu transferti valsts budžeta daļēji finansētām atvasinātajām publiskajām personām un budžeta nefinansētajām iestādēm</t>
  </si>
  <si>
    <t>Akcijas un cita līdzdalība komersantu pašu kapitālā</t>
  </si>
  <si>
    <t>Valsts pamatbudžeta iestāžu saņemtie transferti no ārvalstu finanšu palīdzības līdzekļiem</t>
  </si>
  <si>
    <t>Valsts budžeta uzturēšanas izdevumu transferti pašvaldībām noteiktam mērķim</t>
  </si>
  <si>
    <t>Valsts budžeta kapitālo izdevumu transferti pašvaldībām noteiktam mērķim</t>
  </si>
  <si>
    <t>Valsts budžeta kapitālo izdevumu transferti valsts budžeta daļēji finansētām atvasinātajām publiskajām personām un budžeta nefinansētām iestādēm noteiktam mērķim</t>
  </si>
  <si>
    <t>Pašvaldību budžeta transferti</t>
  </si>
  <si>
    <t>Valsts budžeta iestāžu saņemtie transferti no pašvaldībām</t>
  </si>
  <si>
    <t>Valsts budžeta iestāžu saņemtie transferti (izņemot atmaksas) no pašvaldībām</t>
  </si>
  <si>
    <t>25. Pārresoru koordinācijas centrs</t>
  </si>
  <si>
    <t xml:space="preserve">21300; 21400 </t>
  </si>
  <si>
    <t>17000; 18000; 19000</t>
  </si>
  <si>
    <t>Pārējie valsts pamatbudžetā saņemtie transferti no valsts pamatbudžeta</t>
  </si>
  <si>
    <t>A520</t>
  </si>
  <si>
    <t>Valsts budžeta iestāžu saņemtā atmaksa no pašvaldībām par iepriekšējos gados saņemtajiem un neizlietotajiem valsts budžeta transfertiem</t>
  </si>
  <si>
    <t>Valsts budžeta iestāžu saņemtā atmaksa no pašvaldībām par Eiropas Savienības politiku instrumentu un pārējās ārvalstu finanšu palīdzības līdzfinansētajos projektos (pasākumos) neizlietotajiem piešķirtajiem līdzekļiem vai neatbilstoši veiktajiem izdevumiem</t>
  </si>
  <si>
    <t xml:space="preserve">Kārtējie maksājumi Eiropas Savienības budžetā un starptautiskā sadarbība </t>
  </si>
  <si>
    <t> Kārtējie maksājumi Eiropas Savienības budžetā</t>
  </si>
  <si>
    <t>7100 - 7500; 7800</t>
  </si>
  <si>
    <t> 7139</t>
  </si>
  <si>
    <t> Pārējie valsts budžeta uzturēšanas izdevumu transferti no valsts pamatbudžeta uz valsts pamatbudžetu</t>
  </si>
  <si>
    <t> 7310</t>
  </si>
  <si>
    <t> 7320</t>
  </si>
  <si>
    <t>Valsts budžeta kapitālo izdevumu transferti no valsts pamatbudžeta dotācijas no vispārējiem ieņēmumiem uz valsts pamatbudžetu</t>
  </si>
  <si>
    <t>Valsts budžeta kapitālo izdevumu transferti no valsts pamatbudžeta ārvalstu finanšu palīdzības līdzekļiem uz valsts pamatbudžetu</t>
  </si>
  <si>
    <t>Pārējie valsts budžeta kapitālo izdevumu transferti no valsts pamatbudžeta uz valsts pamatbudžetu</t>
  </si>
  <si>
    <t> 9510</t>
  </si>
  <si>
    <t>Pārējie valsts budžeta kapitālo izdevumu transferti citiem budžetiem</t>
  </si>
  <si>
    <t>Pārējie valsts budžeta kapitālo izdevumu transferti pašvaldībām</t>
  </si>
  <si>
    <t>Pārējie valsts budžeta transferti kapitālajiem izdevumiem valsts budžeta daļēji finansētām atvasinātajām publiskajām personām un budžeta nefinansētām iestādēm</t>
  </si>
  <si>
    <t>[17000 - 21700;
22100 - 22300] - [1000 - 9000]</t>
  </si>
  <si>
    <t>F50 01 00 00</t>
  </si>
  <si>
    <t>1. Valsts pamatfunkciju īstenošana</t>
  </si>
  <si>
    <t>2. ES politiku instrumentu un pārējās ārvalstu finanšu palīdzības līdzfinansēto projektu un pasākumu īstenošana</t>
  </si>
  <si>
    <t xml:space="preserve">17000 - 21700
</t>
  </si>
  <si>
    <t xml:space="preserve">2012.gada plāns </t>
  </si>
  <si>
    <r>
      <t xml:space="preserve">      Valsts budžeta kapitālo izdevumu transferti </t>
    </r>
    <r>
      <rPr>
        <b/>
        <sz val="9"/>
        <rFont val="Times New Roman"/>
        <family val="1"/>
        <charset val="186"/>
      </rPr>
      <t xml:space="preserve"> </t>
    </r>
    <r>
      <rPr>
        <sz val="9"/>
        <rFont val="Times New Roman"/>
        <family val="1"/>
        <charset val="186"/>
      </rPr>
      <t>no valsts pamatbudžeta uz valsts speciālo budžetu</t>
    </r>
  </si>
  <si>
    <r>
      <t xml:space="preserve">      Valsts budžeta kapitālo izdevumu transferti </t>
    </r>
    <r>
      <rPr>
        <b/>
        <sz val="9"/>
        <rFont val="Times New Roman"/>
        <family val="1"/>
        <charset val="186"/>
      </rPr>
      <t xml:space="preserve"> </t>
    </r>
    <r>
      <rPr>
        <sz val="9"/>
        <rFont val="Times New Roman"/>
        <family val="1"/>
        <charset val="186"/>
      </rPr>
      <t>no valsts pamatbudžeta uz valsts pamatbudžetu</t>
    </r>
  </si>
  <si>
    <t>2000; 22500;
22400; 22600;
21300; 21400; 
22100 - 22300;
21100; 21200;
18000; 19000; 17000</t>
  </si>
  <si>
    <t>18000; 19000; 17000</t>
  </si>
  <si>
    <t>7100 - 7400</t>
  </si>
  <si>
    <t> 7110</t>
  </si>
  <si>
    <t> 9110</t>
  </si>
  <si>
    <t>Valsts budžeta kapitālo izdevumu transferti no valsts speciālā budžeta uz valsts pamatbudžetu</t>
  </si>
  <si>
    <t>F21 01 00 00 4</t>
  </si>
  <si>
    <t>Naudas līdzekļu akcijām un citai līdzdalībai komersantu pašu kapitālā atlikumu izmaiņas palielinājums (-) vai samazinājums (+)</t>
  </si>
  <si>
    <t>EKK kods, Programmas, apakšpro- grammas kods</t>
  </si>
  <si>
    <r>
      <t xml:space="preserve">      Valsts budžeta kapitālo izdevumu transferti </t>
    </r>
    <r>
      <rPr>
        <b/>
        <sz val="9"/>
        <rFont val="Times New Roman"/>
        <family val="1"/>
      </rPr>
      <t xml:space="preserve"> </t>
    </r>
    <r>
      <rPr>
        <sz val="9"/>
        <rFont val="Times New Roman"/>
        <family val="1"/>
      </rPr>
      <t>no valsts pamatbudžeta uz valsts speciālo budžetu</t>
    </r>
  </si>
  <si>
    <r>
      <t xml:space="preserve">      Valsts budžeta kapitālo izdevumu transferti </t>
    </r>
    <r>
      <rPr>
        <b/>
        <sz val="9"/>
        <rFont val="Times New Roman"/>
        <family val="1"/>
      </rPr>
      <t xml:space="preserve"> </t>
    </r>
    <r>
      <rPr>
        <sz val="9"/>
        <rFont val="Times New Roman"/>
        <family val="1"/>
      </rPr>
      <t>no valsts pamatbudžeta uz valsts pamatbudžetu</t>
    </r>
  </si>
  <si>
    <t>No valsts budžeta daļēji finansēto atvasināto publisko personu un budžeta nefinansēto iestāžu transferti</t>
  </si>
  <si>
    <t>Valsts budžeta iestāžu saņemtie transferti no valsts budžeta daļēji finansētām atvasinātām publiskām personām un no budžeta nefinansētām iestādēm</t>
  </si>
  <si>
    <t>Valsts budžeta iestāžu saņemtie transferti no savas ministrijas, centrālās valsts iestādes padotībā esošām no valsts budžeta daļēji finansētām atvasinātām publiskām personām un budžeta nefinansētām iestādēm</t>
  </si>
  <si>
    <t>Valsts budžeta iestāžu saņemtie transferti no citas ministrijas, centrālās valsts iestādes padotībā esošām no valsts budžeta daļēji finansētām atvasinātām publiskām personām un budžeta nefinansētām iestādēm</t>
  </si>
  <si>
    <t>Valsts budžeta iestāžu saņemtie transferti par Eiropas Savienības politiku instrumentu un pārējās ārvalstu finanšu palīdzības līdzfinansēto projektu (pasākumu) īstenošanā neizlietotajiem piešķirtajiem līdzekļiem vai neatbilstoši veiktajiem izdevumiem no savas ministrijas, centrālās valsts iestādes padotībā esošām no valsts budžeta daļēji finansētām atvasinātām publiskām personām un budžeta nefinansētām iestādēm</t>
  </si>
  <si>
    <t>Valsts budžeta iestāžu saņemtie transferti par Eiropas Savienības politiku instrumentu un pārējās ārvalstu finanšu palīdzības līdzfinansēto projektu (pasākumu) īstenošanā neizlietotajiem piešķirtajiem līdzekļiem vai neatbilstoši veiktajiem izdevumiem no citas ministrijas, centrālās valsts iestādes padotībā esošām no valsts budžeta daļēji finansētām atvasinātām publiskām personām un budžeta nefinansētām iestādēm</t>
  </si>
  <si>
    <t>A530</t>
  </si>
  <si>
    <t>1.</t>
  </si>
  <si>
    <t>2.</t>
  </si>
  <si>
    <t>t.sk. 01.00. "Apropriācijas rezerve"</t>
  </si>
  <si>
    <t>t.sk.  02.00. "Līdzekļi neparedzētiem gadījumiem"</t>
  </si>
  <si>
    <t>t.sk.  03.00. "Latvijas Nacionālā eiro ieviešanas plāna pasākumi"</t>
  </si>
  <si>
    <t>Valsts konsolidētā budžeta izdevumi</t>
  </si>
  <si>
    <t>Iekšzemes kopprodukts</t>
  </si>
  <si>
    <r>
      <t xml:space="preserve"> Valsts budžeta kapitālo izdevumu transferti </t>
    </r>
    <r>
      <rPr>
        <b/>
        <sz val="9"/>
        <rFont val="Times New Roman"/>
        <family val="1"/>
      </rPr>
      <t xml:space="preserve"> </t>
    </r>
    <r>
      <rPr>
        <sz val="9"/>
        <rFont val="Times New Roman"/>
        <family val="1"/>
      </rPr>
      <t>no valsts speciālā budžeta uz valsts speciālo budžetu</t>
    </r>
  </si>
  <si>
    <t>Pamatbudžeta bāze 2013.gadam (uz 17.04.12)</t>
  </si>
  <si>
    <t>izmaiņas</t>
  </si>
  <si>
    <t>tehniski precizējumi</t>
  </si>
  <si>
    <t>Pamatbudžeta bāze 2014.gadam (uz 17.04.12)</t>
  </si>
  <si>
    <t>Pamatbudžeta bāze 2015.gadam (uz 17.04.12)</t>
  </si>
  <si>
    <t>I.</t>
  </si>
  <si>
    <t>Valsts pamatfunkciju īstenošana</t>
  </si>
  <si>
    <t>Izmaiņu skaidrojums:</t>
  </si>
  <si>
    <t>Tehniskie preizējumi:</t>
  </si>
  <si>
    <t>1.1.</t>
  </si>
  <si>
    <t>……………..</t>
  </si>
  <si>
    <t>Atbilstoši MK lēmumiem:</t>
  </si>
  <si>
    <t>2.1.</t>
  </si>
  <si>
    <t>…………………..</t>
  </si>
  <si>
    <t>II.</t>
  </si>
  <si>
    <t>Speciālā budžeta bāze 2013.gadam (uz 17.04.12)</t>
  </si>
  <si>
    <t>Speciālā budžeta bāze 2014.gadam (uz 17.04.12)</t>
  </si>
  <si>
    <t>Speciālā budžeta bāze 2015.gadam (uz 17.04.12)</t>
  </si>
  <si>
    <t>Papildu finansējums budžeta programmai 10.00.00 "Valsts robežsardzes darbība" šķidrā kurināmā iegādei (MK 17.04.2012. prot.Nr.20, 38.§ 28.p).</t>
  </si>
  <si>
    <t>2.2.</t>
  </si>
  <si>
    <t>Papildu finansējums budžeta apakšprogrammai 40.02.00 "Nekustamais īpašums un centralizētais iepirkums" šaujamieroču un lielas enerģijas pneimatisko ieroču, ar kuriem Valsts prezidents vai Ministru prezidents paredzējis apbalvot personu par īpašiem nopelniem Latvijas Republikas labā, iegādes izdevumu segšanai (MK 24.04.2012. prot.Nr.22, 6.§ 2.p).</t>
  </si>
  <si>
    <r>
      <t>Papildu finansējums budžeta apakšprogrammai 70.12.00 "Eiropas Savienības 7.ietvarprogrammas projektu un pasākumu īstenošana (2007-2013)", lai nodrošinātu projekta "Eiropas koordinācijas uzlabošana nacionālajām pētījumu programmām masu pasākumu drošības jomā" turpināšanu 2013.gadā (IeM 20.04.2012. vēstule Nr.1-40/1240 un IeM 08.05.2012. vēstule Nr.1-40/1400), tai skaitā</t>
    </r>
    <r>
      <rPr>
        <b/>
        <sz val="10"/>
        <color indexed="10"/>
        <rFont val="Times New Roman"/>
        <family val="1"/>
      </rPr>
      <t xml:space="preserve"> 4204 lati - pārdale no programmas 80.00.00.</t>
    </r>
  </si>
  <si>
    <t>1.2.</t>
  </si>
  <si>
    <t>Ārvalstu finanšu palīdzības iestādes ieņēmumos palielinājums budžeta apakšprogrammai 70.02.00 "Atmaksas valsts pamatbudžetā par Solidaritātes un migrācijas plūsmu pārvaldīšanas pamatprogrammas fondu finansējumu (2007-2013)", lai nodrošinātu atmaksu valsts budžetā par veiktajiem uzturēšanas izdevumiem (IeM 20.04.2012. vēstule Nr.1-40/1240).</t>
  </si>
  <si>
    <t>1.3.</t>
  </si>
  <si>
    <t>Ārvalstu finanšu palīdzības iestādes ieņēmumos palielinājums budžeta apakšprogrammai 67.02.00 "Atmaksas valsts pamatbudžetā par Eiropas Kopienas iniciatīvu fondu finansējumu", lai nodrošinātu atmaksu valsts budžetā par veiktajiem kapitālajiem izdevumiem (IeM 02.04.2012. vēstule Nr.1-40/1048).</t>
  </si>
  <si>
    <t>2.3.</t>
  </si>
  <si>
    <t xml:space="preserve">Palielināti ieņēmumi no maksas pakalpojumiem un citi pašu ieņēmumi no ārstniecības iestāžu veiktajiem riska maksājumiem un izdevumi sociālajiem pabalstiem, lai nodrošinātu pacientu prasījumus par viņu dzīvībai vai veselībai nodarīto kaitējumu, kā arī par morālo kaitējumu (izveidojot jaunu budžeta apakšprogrammu 45.02.00 "Ārstniecības riska fonda darbības nodrošināšana"), nodrošinot Ārstniecības riska fonda darbību no 2013.gada 25.februāra (atbilstoši MK 17.04.2012. prot.Nr.20, 38.§, 13.p.). </t>
  </si>
  <si>
    <t>Izdevumu palielinājums apakšprogrammā 70.06.00 "Citu ES politiku instrumentu projektu un pasākumu īstenošana (2007-2013)" programmas "Solidaritāte un migrācijas pārvaldība"  ietvaros izveidotās Eiropas bēgļu fonda 2011.gada programmas projekta Nr. IA/TA/EBF/2011/1 "Tiesu lēmumu pieņemšanas procesa uzlabošana patvēruma jautājumos" īstenošanai (no 80.00.00 programmas). (TM 28.04.2012. vēstule Nr.1-13.4/1662).</t>
  </si>
  <si>
    <t>Programmā 30.00.00 "Valsts aizsardzības politikas realizācija" palielināti izdevumi 2013.-2015.gadam no dotācijas no vispārējiem ieņēmumiem no Satiksmes ministrijas pārdalītā finansējuma 51 644 latu apmērā, lai nodrošinātu Informācijas tehnoloģiju drošības incidentu novēršanas institūcijas (CERT.LV) funkciju izpildi 2012.gada līmenī (MK 17.04.2012. prot. Nr.20 38.§ 23.punkts)</t>
  </si>
  <si>
    <t>Programmā 30.00.00 "Valsts aizsardzības politikas realizācija" palielināti izdevumi 2013.-2015.gadam no dotācijas no vispārējiem ieņēmumiem 174 355 latu apmērā, lai nodrošinātu Informācijas tehnoloģiju drošības incidentu novēršanas institūcijas (CERT.LV) funkciju izpildi 2012.gada līmenī (MK 17.04.2012. prot. Nr.20 38.§ 23.punkts)</t>
  </si>
  <si>
    <t>Saskaņā ar MK 17.04.2012. protokola Nr.20 31.punktu papildus finansējums Valsts vides dienestam degvielas iegādei pamatfunkciju izpildes nodrošināšanai 2013.– 2015.gadam;</t>
  </si>
  <si>
    <t>Nozares vadība</t>
  </si>
  <si>
    <t xml:space="preserve">      Resursi izdevumu segšanai</t>
  </si>
  <si>
    <t xml:space="preserve">        Ieņēmumi no maksas pakalpojumiem un citi pašu ieņēmumi – kopā</t>
  </si>
  <si>
    <t xml:space="preserve">        Dotācija no vispārējiem ieņēmumiem</t>
  </si>
  <si>
    <t xml:space="preserve">          Vispārējā kārtībā sadalāmā dotācija no vispārējiem ieņēmumiem</t>
  </si>
  <si>
    <t xml:space="preserve">      Izdevumi – kopā</t>
  </si>
  <si>
    <t xml:space="preserve">         Uzturēšanas izdevumi</t>
  </si>
  <si>
    <t xml:space="preserve">            Kārtējie izdevumi</t>
  </si>
  <si>
    <t xml:space="preserve">              Atlīdzība</t>
  </si>
  <si>
    <t xml:space="preserve">                Atalgojums</t>
  </si>
  <si>
    <t xml:space="preserve">              Preces un pakalpojumi</t>
  </si>
  <si>
    <t xml:space="preserve">           Uzturēšanas izdevumu transferti</t>
  </si>
  <si>
    <t xml:space="preserve">             Pārējie valsts budžeta uzturēšanas izdevumu transferti citiem budžetiem</t>
  </si>
  <si>
    <t xml:space="preserve">             Pārējie valsts budžeta uzturēšanas izdevumu transferti valsts budžeta daļēji finansētām atvasinātajām publiskajām personām un budžeta nefinansētajām iestādēm</t>
  </si>
  <si>
    <t xml:space="preserve">      Finansiālā bilance</t>
  </si>
  <si>
    <t xml:space="preserve">         Finansēšana</t>
  </si>
  <si>
    <t xml:space="preserve">        Naudas līdzekļi</t>
  </si>
  <si>
    <t xml:space="preserve">          Maksas pakalpojumu un citu pašu ieņēmumu naudas līdzekļu atlikumu izmaiņas palielinājums (-) vai samazinājums (+)</t>
  </si>
  <si>
    <t>1.4.</t>
  </si>
  <si>
    <r>
      <t>Papildu finansējums budžeta apakšprogrammai 67.08.00 "„Programmas „Eiropas civilā aizsardzība” projektu un pasākumu īstenošana (2007-2013)", lai nodrošinātu projekta „Eiropas Savienības Stratēģija Baltijas jūras reģionam, 14.3.makroreģionālā riska scenāriju izveide un trūkumu identificēšana” turpināšanu 2013.gadā (IeM 06.06.2012. vēstule Nr.1-40/1698 un IeM 06.06.2012. vēstule Nr.1-40/1699), tai skaitā</t>
    </r>
    <r>
      <rPr>
        <b/>
        <sz val="10"/>
        <color indexed="10"/>
        <rFont val="Times New Roman"/>
        <family val="1"/>
      </rPr>
      <t xml:space="preserve"> 11 244 lati - pārdale no programmas 80.00.00.</t>
    </r>
  </si>
  <si>
    <t>1.5.</t>
  </si>
  <si>
    <t>Ārvalstu finanšu palīdzības iestādes ieņēmumos palielinājums budžeta apakšprogrammai 67.02.00 "Atmaksas valsts pamatbudžetā par Eiropas Kopienas iniciatīvu fondu finansējumu", lai nodrošinātu atmaksu valsts budžetā par veiktajiem uzturēšanas izdevumiem (IeM 06.06.2012. vēstule Nr.1-40/1698 un IeM 06.06.2012. vēstule Nr.1-40/1699).</t>
  </si>
  <si>
    <t>1.6.</t>
  </si>
  <si>
    <t>Ārvalstu finanšu palīdzības iestādes ieņēmumos palielinājums budžeta apakšprogrammai 73.02.00 "Atmaksas valsts pamatbudžetā par Pārējās ārvalstu finanšu palīdzības līdzfinansētajiem projektiem", lai nodrošinātu atmaksu valsts budžetā par veiktajiem uzturēšanas izdevumiem (IeM 06.06.2012. vēstule Nr.1-40/1698 un IeM 06.06.2012. vēstule Nr.1-40/1699).</t>
  </si>
  <si>
    <t>1.7.</t>
  </si>
  <si>
    <t>Ārvalstu finanšu palīdzības iestādes ieņēmumos palielinājums budžeta apakšprogrammai 69.02.00 "Atmaksas valsts pamatbudžetā par 3.mērķa "Eiropas teritoriālā sadarbība" pārrobežu sadarbības programmas fondu finansējumu (2007-2013)", lai nodrošinātu atmaksu valsts budžetā par veiktajiem uzturēšanas  un kapitālajiem izdevumiem (IeM 06.06.2012. vēstule Nr.1-40/1698 un IeM 06.06.2012. vēstule Nr.1-40/1699).</t>
  </si>
  <si>
    <t>1.8.</t>
  </si>
  <si>
    <r>
      <t>Papildu finansējums budžeta apakšprogrammai 69.06.00 "3.mērķa "Eiropas teritoriālā sadarbība" pārrobežu sadarbības programmu, projektu un pasākumu īstenošana (2007-2013)", lai nodrošinātu 2012.gadā uzsākto projektu turpināšanu (IeM 06.06.2012. vēstule Nr.1-40/1698 un IeM 06.06.2012. vēstule Nr.1-40/1699), tai skaitā</t>
    </r>
    <r>
      <rPr>
        <b/>
        <sz val="10"/>
        <color indexed="10"/>
        <rFont val="Times New Roman"/>
        <family val="1"/>
      </rPr>
      <t xml:space="preserve"> pārdale no programmas 80.00.00. - 587 081 lats 2013.gadā un 520 latu - 2014.gadā.</t>
    </r>
  </si>
  <si>
    <t>Veterinārās un fitosanitārās kontroles punkta izveidei VAS "Starptautiskā lidosta "Rīga"", atbilstoši MK 5.06.2012. sēdē nolemtajam (prot. Nr.32, 24.§)</t>
  </si>
  <si>
    <t>Aizsardzības ministrija</t>
  </si>
  <si>
    <t>Satiksmes ministrija</t>
  </si>
  <si>
    <t>Atbilstoši 06.06.2012. MK rīkojumam Nr. 252 "Par finanšu līdzekļu nodrošināšanu Zemkopības ministrijas valsts budžeta apakšprogrammai "Kredītprocentu likmju pieauguma kompensācija valsts akciju sabiedrībai "Lauku attīstības fonds"", lai kompensētu valsts akciju sabiedrībai "Lauku attīstības fonds" kredītprocentu likmju pieaugumu</t>
  </si>
  <si>
    <r>
      <rPr>
        <b/>
        <u/>
        <sz val="10"/>
        <rFont val="Times New Roman"/>
        <family val="1"/>
      </rPr>
      <t xml:space="preserve">Zemkopības ministrijai </t>
    </r>
    <r>
      <rPr>
        <sz val="10"/>
        <rFont val="Times New Roman"/>
        <family val="1"/>
      </rPr>
      <t>- apakšprogrammai "Kredītprocentu likmju pieauguma kompensācija valsts akciju sabiedrībai "Lauku attīstības fonds"" atbilstoši 06.06.2012. MK rīkojumam Nr. 252, lai kompensētu valsts akciju sabiedrībai "Lauku attīstības fonds" kredītprocentu likmju pieaugumu</t>
    </r>
  </si>
  <si>
    <t>Izdevumiem no ieņēmumu no maksas pakalpojumiem un citu pašu ieņēmumu atlikumiem:</t>
  </si>
  <si>
    <t>Izdevumiem no ieņēmumiem no maksas pakalpojumiem un citiem pašu ieņēmumiem:</t>
  </si>
  <si>
    <r>
      <rPr>
        <b/>
        <u/>
        <sz val="10"/>
        <rFont val="Times New Roman"/>
        <family val="1"/>
      </rPr>
      <t xml:space="preserve">Veselības ministrijai </t>
    </r>
    <r>
      <rPr>
        <sz val="10"/>
        <rFont val="Times New Roman"/>
        <family val="1"/>
      </rPr>
      <t xml:space="preserve">- ieņēmumi no ārstniecības iestāžu veiktajiem riska maksājumiem un izdevumi sociālajiem pabalstiem, lai nodrošinātu pacientu prasījumus par viņu dzīvībai vai veselībai nodarīto kaitējumu, kā arī par morālo kaitējumu (izveidojot jaunu budžeta apakšprogrammu 45.02.00 "Ārstniecības riska fonda darbības nodrošināšana"), nodrošinot Ārstniecības riska fonda darbību no 2013.gada 25.februāra (atbilstoši MK 17.04.2012. prot.Nr.20, 38.§, 13.p.). </t>
    </r>
  </si>
  <si>
    <r>
      <rPr>
        <b/>
        <u/>
        <sz val="10"/>
        <rFont val="Times New Roman"/>
        <family val="1"/>
      </rPr>
      <t xml:space="preserve">Satiksmes ministrijai </t>
    </r>
    <r>
      <rPr>
        <sz val="10"/>
        <rFont val="Times New Roman"/>
        <family val="1"/>
      </rPr>
      <t>- 03.00.00 "Nozares vadība"palielināti izdevumi no maksas pakalpojumu un citu pašu ieņēmumu atlikuma uz 2013.gada 1.janvāri 160 000 latu apmērā, lai turpinātu AS "Air Baltic Corporation" kontroli un uzraudzību  (MK 17.04.2012. prot. Nr.20 38.§ 29.punkts).</t>
    </r>
  </si>
  <si>
    <r>
      <rPr>
        <b/>
        <u/>
        <sz val="10"/>
        <rFont val="Times New Roman"/>
        <family val="1"/>
      </rPr>
      <t>Satiksmes ministrijai</t>
    </r>
    <r>
      <rPr>
        <u/>
        <sz val="10"/>
        <rFont val="Times New Roman"/>
        <family val="1"/>
      </rPr>
      <t xml:space="preserve"> </t>
    </r>
    <r>
      <rPr>
        <sz val="10"/>
        <rFont val="Times New Roman"/>
        <family val="1"/>
      </rPr>
      <t>- 03.00.00 "Nozares vadība" samazināti izdevumi no maksas pakalpojumu un citu pašu ieņēmumu atlikuma 174 355 latu apmērā, jo Informācijas tehnoloģiju drošības incidentu novēršanas institūcijas (CERT.LV) funkciju izpildi 2012.gada līmenī nodrošinās Aizsardzības ministrija (MK 17.04.2012. prot. Nr.20 38.§ 23.punkts).</t>
    </r>
  </si>
  <si>
    <r>
      <rPr>
        <b/>
        <u/>
        <sz val="10"/>
        <rFont val="Times New Roman"/>
        <family val="1"/>
      </rPr>
      <t xml:space="preserve">Vides aizsardzības un reģionālās attīstības ministrijai </t>
    </r>
    <r>
      <rPr>
        <sz val="10"/>
        <rFont val="Times New Roman"/>
        <family val="1"/>
      </rPr>
      <t>- saskaņā ar MK 17.04.2012. protokola Nr.20 31.punktu Valsts vides dienestam degvielas iegādei pamatfunkciju izpildes nodrošināšanai 2013.– 2015.gadam</t>
    </r>
  </si>
  <si>
    <r>
      <rPr>
        <b/>
        <u/>
        <sz val="10"/>
        <rFont val="Times New Roman"/>
        <family val="1"/>
      </rPr>
      <t xml:space="preserve">Zemkopības ministrijai </t>
    </r>
    <r>
      <rPr>
        <sz val="10"/>
        <rFont val="Times New Roman"/>
        <family val="1"/>
      </rPr>
      <t>- Veterinārās un fitosanitārās kontroles punkta izveidei VAS "Starptautiskā lidosta "Rīga"", atbilstoši MK 5.06.2012. sēdē nolemtajam (prot. Nr.32, 24.§)</t>
    </r>
  </si>
  <si>
    <r>
      <rPr>
        <b/>
        <u/>
        <sz val="10"/>
        <rFont val="Times New Roman"/>
        <family val="1"/>
      </rPr>
      <t>Iekšlietu ministrijai</t>
    </r>
    <r>
      <rPr>
        <b/>
        <sz val="10"/>
        <rFont val="Times New Roman"/>
        <family val="1"/>
      </rPr>
      <t xml:space="preserve"> </t>
    </r>
    <r>
      <rPr>
        <sz val="10"/>
        <rFont val="Times New Roman"/>
        <family val="1"/>
      </rPr>
      <t>- 40.02.00 "Nekustamais īpašums un centralizētais iepirkums" šaujamieroču un lielas enerģijas pneimatisko ieroču iegādei, ar kuriem Valsts prezidents vai Ministru prezidents paredzējis apbalvot personu par īpašiem nopelniem Latvijas Republikas labā (MK 24.04.2012. prot.Nr.22, 6.§ 2.p).</t>
    </r>
  </si>
  <si>
    <r>
      <rPr>
        <b/>
        <u/>
        <sz val="10"/>
        <rFont val="Times New Roman"/>
        <family val="1"/>
      </rPr>
      <t>Iekšlietu ministrijai</t>
    </r>
    <r>
      <rPr>
        <sz val="10"/>
        <rFont val="Times New Roman"/>
        <family val="1"/>
      </rPr>
      <t xml:space="preserve"> - 10.00.00 "Valsts robežsardzes darbība" šķidrā kurināmā iegādei (MK 17.04.2012. prot.Nr.20, 38.§ 28.p).</t>
    </r>
  </si>
  <si>
    <r>
      <rPr>
        <b/>
        <u/>
        <sz val="10"/>
        <rFont val="Times New Roman"/>
        <family val="1"/>
      </rPr>
      <t>Aizsardzības ministrijai</t>
    </r>
    <r>
      <rPr>
        <b/>
        <sz val="10"/>
        <rFont val="Times New Roman"/>
        <family val="1"/>
      </rPr>
      <t xml:space="preserve"> - </t>
    </r>
    <r>
      <rPr>
        <sz val="10"/>
        <rFont val="Times New Roman"/>
        <family val="1"/>
      </rPr>
      <t>30.00.00 "Valsts aizsardzības politikas realizācija" - lai nodrošinātu Informācijas tehnoloģiju drošības incidentu novēršanas institūcijas (CERT.LV) funkciju izpildi 2012.gada līmenī (MK 17.04.2012. prot. Nr.20 38.§ 23.punkts)</t>
    </r>
  </si>
  <si>
    <r>
      <t xml:space="preserve">Pārdale </t>
    </r>
    <r>
      <rPr>
        <b/>
        <u/>
        <sz val="10"/>
        <color indexed="8"/>
        <rFont val="Times New Roman"/>
        <family val="1"/>
      </rPr>
      <t>no Satiksmes ministrijas</t>
    </r>
    <r>
      <rPr>
        <b/>
        <sz val="10"/>
        <color indexed="8"/>
        <rFont val="Times New Roman"/>
        <family val="1"/>
      </rPr>
      <t xml:space="preserve"> </t>
    </r>
    <r>
      <rPr>
        <sz val="10"/>
        <color indexed="8"/>
        <rFont val="Times New Roman"/>
        <family val="1"/>
      </rPr>
      <t>03.00.00 "Nozares vadība"</t>
    </r>
    <r>
      <rPr>
        <b/>
        <sz val="10"/>
        <color indexed="8"/>
        <rFont val="Times New Roman"/>
        <family val="1"/>
      </rPr>
      <t xml:space="preserve"> </t>
    </r>
    <r>
      <rPr>
        <b/>
        <u/>
        <sz val="10"/>
        <color indexed="8"/>
        <rFont val="Times New Roman"/>
        <family val="1"/>
      </rPr>
      <t>uz Aizsardzības ministriju</t>
    </r>
    <r>
      <rPr>
        <b/>
        <sz val="10"/>
        <color indexed="8"/>
        <rFont val="Times New Roman"/>
        <family val="1"/>
      </rPr>
      <t xml:space="preserve">  </t>
    </r>
    <r>
      <rPr>
        <sz val="10"/>
        <color indexed="8"/>
        <rFont val="Times New Roman"/>
        <family val="1"/>
      </rPr>
      <t>30.00.00 "Valsts aizsardzības politikas realizācija", lai nodrošinātu Informācijas tehnoloģiju drošības incidentu novēršanas institūcijas (CERT.LV) funkciju izpildi 2012.gada līmenī (MK 17.04.2012. prot. Nr.20 38.§ 23.punkts)</t>
    </r>
  </si>
  <si>
    <t>Pārdale no 80.00.00 (dotācija no vispārējiem ieņēmumiem):</t>
  </si>
  <si>
    <t>Izdevumiem no āfp atlikumiem:</t>
  </si>
  <si>
    <t>Izdevumiem no āfp ieņēmumiem:</t>
  </si>
  <si>
    <r>
      <rPr>
        <b/>
        <u/>
        <sz val="10"/>
        <rFont val="Times New Roman"/>
        <family val="1"/>
      </rPr>
      <t>Iekšlietu ministrijai</t>
    </r>
    <r>
      <rPr>
        <sz val="10"/>
        <rFont val="Times New Roman"/>
        <family val="1"/>
      </rPr>
      <t xml:space="preserve"> - 69.06.00 "3.mērķa "Eiropas teritoriālā sadarbība" pārrobežu sadarbības programmu, projektu un pasākumu īstenošana (2007-2013)"</t>
    </r>
  </si>
  <si>
    <r>
      <rPr>
        <b/>
        <u/>
        <sz val="10"/>
        <rFont val="Times New Roman"/>
        <family val="1"/>
      </rPr>
      <t xml:space="preserve">Iekšlietu ministrijai </t>
    </r>
    <r>
      <rPr>
        <sz val="10"/>
        <rFont val="Times New Roman"/>
        <family val="1"/>
      </rPr>
      <t>- 67.08.00 "„Programmas „Eiropas civilā aizsardzība” projektu un pasākumu īstenošana (2007-2013)"</t>
    </r>
  </si>
  <si>
    <r>
      <rPr>
        <b/>
        <u/>
        <sz val="10"/>
        <rFont val="Times New Roman"/>
        <family val="1"/>
      </rPr>
      <t xml:space="preserve">Iekšlietu ministrijai </t>
    </r>
    <r>
      <rPr>
        <sz val="10"/>
        <rFont val="Times New Roman"/>
        <family val="1"/>
      </rPr>
      <t>- 70.12.00 "Eiropas Savienības 7.ietvarprogrammas projektu un pasākumu īstenošana (2007-2013)"</t>
    </r>
  </si>
  <si>
    <t xml:space="preserve">tajā skaitā atmaksa pamatbudžetam </t>
  </si>
  <si>
    <r>
      <rPr>
        <b/>
        <u/>
        <sz val="10"/>
        <rFont val="Times New Roman"/>
        <family val="1"/>
      </rPr>
      <t>Iekšlietu ministrijai</t>
    </r>
    <r>
      <rPr>
        <u/>
        <sz val="10"/>
        <rFont val="Times New Roman"/>
        <family val="1"/>
      </rPr>
      <t xml:space="preserve"> </t>
    </r>
    <r>
      <rPr>
        <sz val="10"/>
        <rFont val="Times New Roman"/>
        <family val="1"/>
      </rPr>
      <t>- 70.02.00 "Atmaksas valsts pamatbudžetā par Solidaritātes un migrācijas plūsmu pārvaldīšanas pamatprogrammas fondu finansējumu (2007-2013)"</t>
    </r>
  </si>
  <si>
    <r>
      <rPr>
        <b/>
        <u/>
        <sz val="10"/>
        <rFont val="Times New Roman"/>
        <family val="1"/>
      </rPr>
      <t>Iekšlietu ministrijai</t>
    </r>
    <r>
      <rPr>
        <u/>
        <sz val="10"/>
        <rFont val="Times New Roman"/>
        <family val="1"/>
      </rPr>
      <t xml:space="preserve"> </t>
    </r>
    <r>
      <rPr>
        <sz val="10"/>
        <rFont val="Times New Roman"/>
        <family val="1"/>
      </rPr>
      <t>- 67.02.00 "Atmaksas valsts pamatbudžetā par Eiropas Kopienas iniciatīvu fondu finansējumu"</t>
    </r>
  </si>
  <si>
    <r>
      <rPr>
        <b/>
        <u/>
        <sz val="10"/>
        <rFont val="Times New Roman"/>
        <family val="1"/>
      </rPr>
      <t>Iekšlietu ministrijai</t>
    </r>
    <r>
      <rPr>
        <u/>
        <sz val="10"/>
        <rFont val="Times New Roman"/>
        <family val="1"/>
      </rPr>
      <t xml:space="preserve"> </t>
    </r>
    <r>
      <rPr>
        <sz val="10"/>
        <rFont val="Times New Roman"/>
        <family val="1"/>
      </rPr>
      <t>- 73.02.00 "Atmaksas valsts pamatbudžetā par Pārējās ārvalstu finanšu palīdzības līdzfinansētajiem projektiem"</t>
    </r>
  </si>
  <si>
    <r>
      <rPr>
        <b/>
        <u/>
        <sz val="10"/>
        <rFont val="Times New Roman"/>
        <family val="1"/>
      </rPr>
      <t>Iekšlietu ministrijai</t>
    </r>
    <r>
      <rPr>
        <u/>
        <sz val="10"/>
        <rFont val="Times New Roman"/>
        <family val="1"/>
      </rPr>
      <t xml:space="preserve"> </t>
    </r>
    <r>
      <rPr>
        <sz val="10"/>
        <rFont val="Times New Roman"/>
        <family val="1"/>
      </rPr>
      <t>-  69.02.00 "Atmaksas valsts pamatbudžetā par 3.mērķa "Eiropas teritoriālā sadarbība" pārrobežu sadarbības programmas fondu finansējumu (2007-2013)"</t>
    </r>
  </si>
  <si>
    <r>
      <rPr>
        <b/>
        <u/>
        <sz val="10"/>
        <rFont val="Times New Roman"/>
        <family val="1"/>
      </rPr>
      <t>Iekšlietu ministrijai</t>
    </r>
    <r>
      <rPr>
        <u/>
        <sz val="10"/>
        <rFont val="Times New Roman"/>
        <family val="1"/>
      </rPr>
      <t xml:space="preserve"> </t>
    </r>
    <r>
      <rPr>
        <sz val="10"/>
        <rFont val="Times New Roman"/>
        <family val="1"/>
      </rPr>
      <t>- 70.12.00 "Eiropas Savienības 7.ietvarprogrammas projektu un pasākumu īstenošana (2007-2013)"</t>
    </r>
  </si>
  <si>
    <t>Uz ministriju budžetiem no 80.00.00:</t>
  </si>
  <si>
    <t>Izdevumiem no āfp ieņēmumiem (neto):</t>
  </si>
  <si>
    <r>
      <rPr>
        <b/>
        <u/>
        <sz val="10"/>
        <rFont val="Times New Roman"/>
        <family val="1"/>
      </rPr>
      <t xml:space="preserve">Tieslietu ministrijai </t>
    </r>
    <r>
      <rPr>
        <sz val="10"/>
        <rFont val="Times New Roman"/>
        <family val="1"/>
      </rPr>
      <t xml:space="preserve">- 70.06.00 "Citu ES politiku instrumentu projektu un pasākumu īstenošana (2007-2013)" </t>
    </r>
  </si>
  <si>
    <r>
      <rPr>
        <b/>
        <u/>
        <sz val="10"/>
        <rFont val="Times New Roman"/>
        <family val="1"/>
      </rPr>
      <t>Ekonomikas ministrijai</t>
    </r>
    <r>
      <rPr>
        <sz val="10"/>
        <rFont val="Times New Roman"/>
        <family val="1"/>
      </rPr>
      <t xml:space="preserve"> - Latvijas dalības nodrošināšanai "Expo Milano 2015" izstādē Milānā, Itālijā (MK sēde 26.06.12.)</t>
    </r>
  </si>
  <si>
    <t>Apakšprogrammā 22.12.00 "Nacionālo bruņoto spēku uzturēšana" palielināti izdevumi 2013.-2015.gadam no dotācijas no vispārējiem ieņēmumiem 890 272 latu apmērā, lai nodrošinātu Jūras novērošanas sistēmas uzturēšanu pēc projeketa ieviešanas pabeigšanas (MK 17.04.2012. prot. Nr.20 38.§ 21.punkts. AM 22.06.2012. vēstule Nr.DVN/167)</t>
  </si>
  <si>
    <t>2.4.</t>
  </si>
  <si>
    <t>Apakšprogrammā 22.10.00 "Starptautisko operāciju un Nacionālo bruņoto spēku personālsastāva centralizētais atalgojums" palielināti izdevumi atlīdzībai 2013.-2015.gadam no dotācijas no vispārējiem ieņēmumiem 1 758 570 latu apmērā, lai nodrošinātu uzturdevas kompensāciju (dienas pamata uzturdeva) 5 latu apmērā  (MK 26.06.2012. prot. Nr.36)</t>
  </si>
  <si>
    <t>2.5.</t>
  </si>
  <si>
    <t>2.6.</t>
  </si>
  <si>
    <t>2.7.</t>
  </si>
  <si>
    <t>2.8.</t>
  </si>
  <si>
    <t>2.9.</t>
  </si>
  <si>
    <t>2.10.</t>
  </si>
  <si>
    <r>
      <rPr>
        <b/>
        <u/>
        <sz val="10"/>
        <rFont val="Times New Roman"/>
        <family val="1"/>
      </rPr>
      <t>Aizsardzības ministrijai</t>
    </r>
    <r>
      <rPr>
        <sz val="10"/>
        <rFont val="Times New Roman"/>
        <family val="1"/>
      </rPr>
      <t xml:space="preserve"> - 22.12.00 "Nacionālo bruņoto spēku uzturēšana", lai nodrošinātu Jūras novērošanas sistēmas uzturēšanu pēc projeketa ieviešanas pabeigšanas (MK 17.04.2012. prot. Nr.20 38.§ 21.punkts. AM 22.06.2012. vēstule Nr.DVN/167)</t>
    </r>
  </si>
  <si>
    <r>
      <rPr>
        <b/>
        <u/>
        <sz val="10"/>
        <rFont val="Times New Roman"/>
        <family val="1"/>
      </rPr>
      <t xml:space="preserve">Aizsardzības ministrijai </t>
    </r>
    <r>
      <rPr>
        <sz val="10"/>
        <rFont val="Times New Roman"/>
        <family val="1"/>
      </rPr>
      <t>- 22.10.00 "Starptautisko operāciju un Nacionālo bruņoto spēku personālsastāva centralizētais atalgojums", lai nodrošinātu uzturdevas kompensāciju (dienas pamata uzturdeva) 5 latu apmērā  (MK 26.06.2012. prot. Nr.36)</t>
    </r>
  </si>
  <si>
    <r>
      <rPr>
        <b/>
        <u/>
        <sz val="10"/>
        <rFont val="Times New Roman"/>
        <family val="1"/>
      </rPr>
      <t xml:space="preserve">Aizsardzības ministrijai </t>
    </r>
    <r>
      <rPr>
        <sz val="10"/>
        <rFont val="Times New Roman"/>
        <family val="1"/>
      </rPr>
      <t>- 30.00.00 "Valsts aizsardzības politikas realizācija", lai nodrošinātu uzturdevas kompensāciju (dienas pamata uzturdeva) 5 latu apmērā  (MK 26.06.2012. prot. Nr.36)</t>
    </r>
  </si>
  <si>
    <r>
      <rPr>
        <b/>
        <u/>
        <sz val="10"/>
        <rFont val="Times New Roman"/>
        <family val="1"/>
      </rPr>
      <t>Aizsardzības ministrijai</t>
    </r>
    <r>
      <rPr>
        <sz val="10"/>
        <rFont val="Times New Roman"/>
        <family val="1"/>
      </rPr>
      <t xml:space="preserve"> - 33.00.00 "Aizsardzības īpašumu pārvaldīšana", lai nodrošinātu uzturdevas kompensāciju (dienas pamata uzturdeva) 5 latu apmērā  (MK 26.06.2012. prot. Nr.36)</t>
    </r>
  </si>
  <si>
    <r>
      <rPr>
        <b/>
        <u/>
        <sz val="10"/>
        <rFont val="Times New Roman"/>
        <family val="1"/>
      </rPr>
      <t xml:space="preserve">Aizsardzības ministrijai </t>
    </r>
    <r>
      <rPr>
        <sz val="10"/>
        <rFont val="Times New Roman"/>
        <family val="1"/>
      </rPr>
      <t>- 34.00.00 "Jaunsardzes centrs", lai nodrošinātu uzturdevas kompensāciju (dienas pamata uzturdeva) 5 latu apmērā  (MK 26.06.2012. prot. Nr.36)</t>
    </r>
  </si>
  <si>
    <r>
      <rPr>
        <b/>
        <u/>
        <sz val="10"/>
        <rFont val="Times New Roman"/>
        <family val="1"/>
      </rPr>
      <t xml:space="preserve">Aizsardzības ministrijai </t>
    </r>
    <r>
      <rPr>
        <sz val="10"/>
        <rFont val="Times New Roman"/>
        <family val="1"/>
      </rPr>
      <t>- 35.00.00 "Militārie un aizsardzības pārstāvji ārvalstīs", lai nodrošinātu uzturdevas kompensāciju (dienas pamata uzturdeva) 5 latu apmērā  (MK 26.06.2012. prot. Nr.36)</t>
    </r>
  </si>
  <si>
    <r>
      <rPr>
        <b/>
        <u/>
        <sz val="10"/>
        <rFont val="Times New Roman"/>
        <family val="1"/>
      </rPr>
      <t xml:space="preserve">Aizsardzības ministrijai </t>
    </r>
    <r>
      <rPr>
        <sz val="10"/>
        <rFont val="Times New Roman"/>
        <family val="1"/>
      </rPr>
      <t>- 22.12.00 "Nacionālo bruņoto spēku uzturēšana" ilgtermiņa projektam "NBS sakaru sistēmas attīstība", lai nodrošinātu NBS regulāro uzdevumu izpildi (MK 26.06.2012. prot. Nr.36)</t>
    </r>
  </si>
  <si>
    <r>
      <rPr>
        <b/>
        <u/>
        <sz val="10"/>
        <rFont val="Times New Roman"/>
        <family val="1"/>
      </rPr>
      <t>Aizsardzības ministrijai -</t>
    </r>
    <r>
      <rPr>
        <sz val="10"/>
        <rFont val="Times New Roman"/>
        <family val="1"/>
      </rPr>
      <t xml:space="preserve"> 22.12.00 "Nacionālo bruņoto spēku uzturēšana" ilgtermiņa projektam "NBS ilgtermiņa līgumi", lai nodrošinātu NBS regulāro uzdevumu izpildi (MK 26.06.2012. prot. Nr.36)</t>
    </r>
  </si>
  <si>
    <t>Saskaņā ar KM 18.06.2012. vēstuli Nr.2-16/2320 precizēti bāzes izdevumi apakšprogrammā 67.06.00 "Eiropas Kopienas iniciatīvas projektu un pasākumu īstenošana" Latvijas Nacionālā kino centra projekta "Baltijas jūras dokumentu filmu forums" īstenošanai</t>
  </si>
  <si>
    <r>
      <rPr>
        <b/>
        <u/>
        <sz val="10"/>
        <rFont val="Times New Roman"/>
        <family val="1"/>
      </rPr>
      <t xml:space="preserve">Kultūras ministrijai </t>
    </r>
    <r>
      <rPr>
        <sz val="10"/>
        <rFont val="Times New Roman"/>
        <family val="1"/>
      </rPr>
      <t>- 67.06.00 "Eiropas Kopienas iniciatīvas projektu un pasākumu īstenošana" Latvijas Nacionālā kino centra projekta "Baltijas jūras dokumentu filmu forums" īstenošanai</t>
    </r>
  </si>
  <si>
    <t>2014.gada "bāzes izdevumu" projekts</t>
  </si>
  <si>
    <t>6=2+5</t>
  </si>
  <si>
    <t>2015.gada "bāzes izdevumu" projekts</t>
  </si>
  <si>
    <t>8=2+7</t>
  </si>
  <si>
    <t>2013.gada "bāzes izdevumu" projekts</t>
  </si>
  <si>
    <t>4=2+3</t>
  </si>
  <si>
    <t>uz 17.04.2012.</t>
  </si>
  <si>
    <r>
      <rPr>
        <b/>
        <u/>
        <sz val="10"/>
        <rFont val="Times New Roman"/>
        <family val="1"/>
      </rPr>
      <t>Ārlietu ministrijai</t>
    </r>
    <r>
      <rPr>
        <sz val="10"/>
        <rFont val="Times New Roman"/>
        <family val="1"/>
      </rPr>
      <t xml:space="preserve"> - saskaņā ar MK 17.04.2012. protokola Nr.20 25.punktu,  lai nodrošinātu algas pabalsta par dienestu ārvalstīs izmaksu 2013.– 2015.gadam</t>
    </r>
  </si>
  <si>
    <t>Programmā 30.00.00 "Valsts aizsardzības politikas realizācija" palielināti izdevumi atlīdzībai 2013.-2015.gadam no dotācijas no vispārējiem ieņēmumiem 12 045 latu apmērā, lai nodrošinātu uzturdevas kompensāciju (dienas pamata uzturdeva) 5 latu apmērā  (MK 26.06.2012. prot. Nr.36 4.§ 2.punkts)</t>
  </si>
  <si>
    <t>Programmā 33.00.00 "Aizsardzības īpašumu pārvaldīšana" palielināti izdevumi atlīdzībai 2013.-2015.gadam no dotācijas no vispārējiem ieņēmumiem 8 395 latu apmērā, lai nodrošinātu uzturdevas kompensāciju (dienas pamata uzturdeva) 5 latu apmērā  (MK 26.06.2012. prot. Nr.36 4.§ 2.punkts)</t>
  </si>
  <si>
    <t>Programmā 34.00.00 "Jaunsardzes centrs" palielināti izdevumi atlīdzībai 2013.-2015.gadam no dotācijas no vispārējiem ieņēmumiem 3 285 latu apmērā, lai nodrošinātu uzturdevas kompensāciju (dienas pamata uzturdeva) 5 latu apmērā (MK 26.06.2012. prot. Nr.36 4.§ 2.punkts)</t>
  </si>
  <si>
    <t>Programmā 35.00.00 "Militārie un aizsardzības pārstāvji ārvalstīs" palielināti izdevumi atlīdzībai 2013.-2015.gadam no dotācijas no vispārējiem ieņēmumiem 21 535 latu apmērā, lai nodrošinātu uzturdevas kompensāciju (dienas pamata uzturdeva) 5 latu apmērā  (MK 26.06.2012. prot. Nr.36 4.§ 2.punkts)</t>
  </si>
  <si>
    <t>Apakšprogrammā 22.12.00 "Nacionālo bruņoto spēku uzturēšana" ilgtermiņa projektam "NBS sakaru sistēmas attīstība" palielināti izdevumi no dotācijas no vispārējiem ieņēmumiem 2014.gadā 202 900 latu apmērā un 2015.gadā 1 961 700 latu apmērā, lai nodrošinātu NBS regulāro uzdevumu izpildi (MK 26.06.2012. prot. Nr.36 79.§)</t>
  </si>
  <si>
    <t>Apakšprogrammā 22.12.00 "Nacionālo bruņoto spēku uzturēšana" ilgtermiņa projektam "NBS ilgtermiņa līgumi" palielināti izdevumi no dotācijas no vispārējiem ieņēmumiem 2013.gadā 6 271 564 latu apmērā, 2014.gadā 3 145 005 latu apmērā un 2015.gadā 13 373 698 latu apmērā, lai nodrošinātu NBS regulāro uzdevumu izpildi (MK 26.06.2012. prot. Nr.36 79.§)</t>
  </si>
  <si>
    <t>2.11.</t>
  </si>
  <si>
    <t>Programmā 34.00.00 "Jaunsardzes centrs" palielināti izdevumi  2013.gadā  201 585 latu apmērā, 2014.gadā 230 566 latu apmērā un 2015.gadā 246 579 latu apmērā, lai nodrošinātu jaunsargu instruktoru 12 slodžu apjoma palielināšanu Rekrutēšanas un jaunsardzes centra jaunsargu apmācībai. (MK 10.07.2012. prot. Nr.39 51.§  10.punkts; AM 29.06.12. vēstule Nr.MV-N/1944)</t>
  </si>
  <si>
    <t>2.12.</t>
  </si>
  <si>
    <t xml:space="preserve">Kultūrizglītības iestādēs pedagogu atalgojumam, t.sk., atalgojuma izlīdzināšanai Kultūras ministrijas padotības iestādēs (MK 10.07.12) </t>
  </si>
  <si>
    <t>Profesionālās mākslas atbalstam (MK 10.07.12)</t>
  </si>
  <si>
    <t>Latvijas Nacionālās operas skatuves iekārtu un tehnikas uzlabošanai (MK 10.07.12)</t>
  </si>
  <si>
    <t>Prezidentūras izdevumi</t>
  </si>
  <si>
    <r>
      <rPr>
        <b/>
        <u/>
        <sz val="10"/>
        <rFont val="Times New Roman"/>
        <family val="1"/>
      </rPr>
      <t>Aizsardzības ministrijai</t>
    </r>
    <r>
      <rPr>
        <b/>
        <sz val="10"/>
        <rFont val="Times New Roman"/>
        <family val="1"/>
      </rPr>
      <t xml:space="preserve"> -</t>
    </r>
    <r>
      <rPr>
        <sz val="10"/>
        <rFont val="Times New Roman"/>
        <family val="1"/>
      </rPr>
      <t xml:space="preserve"> 34.00.00 "Jaunsardzes centrs", lai nodrošinātu jaunsargu instruktoru 12 slodžu apjoma palielināšanu Rekrutēšanas un jaunsardzes centra jaunsargu apmācībai. (MK 10.07.2012. prot. Nr.39 51.§  10.punkts; AM 29.06.12. vēstule Nr.MV-N/1944)</t>
    </r>
  </si>
  <si>
    <r>
      <rPr>
        <b/>
        <u/>
        <sz val="10"/>
        <rFont val="Times New Roman"/>
        <family val="1"/>
      </rPr>
      <t>Aizsardzības ministrijai</t>
    </r>
    <r>
      <rPr>
        <b/>
        <sz val="10"/>
        <rFont val="Times New Roman"/>
        <family val="1"/>
      </rPr>
      <t xml:space="preserve"> </t>
    </r>
    <r>
      <rPr>
        <sz val="10"/>
        <rFont val="Times New Roman"/>
        <family val="1"/>
      </rPr>
      <t xml:space="preserve">- programmai "Latvijas prezidentūras Eiropas Savienības Padomē 2015.gadā", lai sagatavotu un nodrošinātu Latvijas prezidentūru Eiropas Savienības Padomē 2015.gadā (MK 12.07.2012. </t>
    </r>
    <r>
      <rPr>
        <b/>
        <sz val="10"/>
        <rFont val="Times New Roman"/>
        <family val="1"/>
      </rPr>
      <t>rīk.Nr.334 1.1.p).</t>
    </r>
  </si>
  <si>
    <r>
      <rPr>
        <b/>
        <u/>
        <sz val="10"/>
        <rFont val="Times New Roman"/>
        <family val="1"/>
      </rPr>
      <t>Kultūras ministrijai -</t>
    </r>
    <r>
      <rPr>
        <sz val="10"/>
        <rFont val="Times New Roman"/>
        <family val="1"/>
      </rPr>
      <t xml:space="preserve"> kultūrizglītības iestādēs pedagogu atalgojumam, t.sk., atalgojuma izlīdzināšanai Kultūras ministrijas padotības iestādēs (MK 10.07.12) </t>
    </r>
  </si>
  <si>
    <r>
      <rPr>
        <b/>
        <u/>
        <sz val="10"/>
        <rFont val="Times New Roman"/>
        <family val="1"/>
      </rPr>
      <t>Kultūras ministrijai -</t>
    </r>
    <r>
      <rPr>
        <sz val="10"/>
        <rFont val="Times New Roman"/>
        <family val="1"/>
      </rPr>
      <t xml:space="preserve"> profesionālās mākslas atbalstam (MK 10.07.12)</t>
    </r>
  </si>
  <si>
    <r>
      <rPr>
        <b/>
        <u/>
        <sz val="10"/>
        <rFont val="Times New Roman"/>
        <family val="1"/>
      </rPr>
      <t xml:space="preserve">Kultūras ministrijai - </t>
    </r>
    <r>
      <rPr>
        <sz val="10"/>
        <rFont val="Times New Roman"/>
        <family val="1"/>
      </rPr>
      <t>Latvijas Nacionālās operas skatuves iekārtu un tehnikas uzlabošanai (MK 10.07.12)</t>
    </r>
  </si>
  <si>
    <r>
      <rPr>
        <b/>
        <u/>
        <sz val="10"/>
        <rFont val="Times New Roman"/>
        <family val="1"/>
      </rPr>
      <t>Kultūras ministrijai -</t>
    </r>
    <r>
      <rPr>
        <sz val="10"/>
        <rFont val="Times New Roman"/>
        <family val="1"/>
      </rPr>
      <t xml:space="preserve"> Prezidentūras izdevumi</t>
    </r>
  </si>
  <si>
    <t>Nacionālas nozīmes starptautisku sporta pasākumu organizēšana Latvijā un atalgojums treneriem (MK 10.07.12)</t>
  </si>
  <si>
    <t>Mērķdotācija Mālpils novadam Mālpils profesionālās vidusskolas uzturēšanai (MK 10.07.12)</t>
  </si>
  <si>
    <t>Invaliditātes likuma 12.panta 1.daļas 4.punkta izpildei (asistenta pakalpojumiem personai ar invaliditāti) (MK 10.07.12)</t>
  </si>
  <si>
    <r>
      <rPr>
        <b/>
        <u/>
        <sz val="10"/>
        <rFont val="Times New Roman"/>
        <family val="1"/>
      </rPr>
      <t xml:space="preserve">Izglītības un zinātnes ministrijai - </t>
    </r>
    <r>
      <rPr>
        <sz val="10"/>
        <rFont val="Times New Roman"/>
        <family val="1"/>
      </rPr>
      <t>nacionālas nozīmes starptautisku sporta pasākumu organizēšana Latvijā un atalgojums treneriem (MK 10.07.12)</t>
    </r>
  </si>
  <si>
    <r>
      <rPr>
        <b/>
        <u/>
        <sz val="10"/>
        <rFont val="Times New Roman"/>
        <family val="1"/>
      </rPr>
      <t>Izglītības un zinātnes ministrijai -</t>
    </r>
    <r>
      <rPr>
        <sz val="10"/>
        <rFont val="Times New Roman"/>
        <family val="1"/>
      </rPr>
      <t xml:space="preserve"> mērķdotācija Mālpils novadam Mālpils profesionālās vidusskolas uzturēšanai (MK 10.07.12)</t>
    </r>
  </si>
  <si>
    <r>
      <rPr>
        <b/>
        <u/>
        <sz val="10"/>
        <rFont val="Times New Roman"/>
        <family val="1"/>
      </rPr>
      <t xml:space="preserve">Izglītības un zinātnes ministrijai - </t>
    </r>
    <r>
      <rPr>
        <sz val="10"/>
        <rFont val="Times New Roman"/>
        <family val="1"/>
      </rPr>
      <t>Invaliditātes likuma 12.panta 1.daļas 4.punkta izpildei (asistenta pakalpojumiem personai ar invaliditāti) (MK 10.07.12)</t>
    </r>
  </si>
  <si>
    <r>
      <rPr>
        <b/>
        <u/>
        <sz val="10"/>
        <rFont val="Times New Roman"/>
        <family val="1"/>
      </rPr>
      <t>Izglītības un zinātnes ministrijai -</t>
    </r>
    <r>
      <rPr>
        <sz val="10"/>
        <rFont val="Times New Roman"/>
        <family val="1"/>
      </rPr>
      <t xml:space="preserve"> Invaliditātes likuma 12.panta 1.daļas 4.punkta izpildei (asistenta pakalpojumiem personai ar invaliditāti) (MK 10.07.12)</t>
    </r>
  </si>
  <si>
    <r>
      <rPr>
        <b/>
        <u/>
        <sz val="10"/>
        <rFont val="Times New Roman"/>
        <family val="1"/>
      </rPr>
      <t>Izglītības un zinātnes ministrijai -</t>
    </r>
    <r>
      <rPr>
        <sz val="10"/>
        <rFont val="Times New Roman"/>
        <family val="1"/>
      </rPr>
      <t xml:space="preserve"> Prezidentūras izdevumi</t>
    </r>
  </si>
  <si>
    <t>Palielināti izdevumi sociālajiem pabalstiem, lai nodrošinātu valsts sociālā nodrošinājuma pabalsta un valsts pabalsta ar celiakiju slimiem bērniem izmaksu 2013.gadā 500 619 latu apmērā, 2014.gadā 688 584 latu apmērā un 2015.gadā 843 060 latu apmērā (atbilstoši MK 2012.gada 10.jūlija sēdes protokola Nr.39, 51.§ 21.3.apakšpunktam)</t>
  </si>
  <si>
    <t>Palielināti izdevumi atlīdzībai (tai skaitā atalgojumam) pedagogu darba samaksas minimālās likmes paaugstināšanai 2013.gadā 10 796 latu apmērā (atalgojumam 8 700 latu apmērā), 2014.gadā 10 796 latu apmērā (atalgojumam 8 700 latu apmērā) un 2015.gadā 10 796 latu apmērā (atalgojumam 8 700 latu apmērā) (atbilstoši MK 2012.gada 10.jūlija sēdes protokola Nr.39, 51.§ 21.5.apakšpunktam)</t>
  </si>
  <si>
    <r>
      <rPr>
        <b/>
        <u/>
        <sz val="10"/>
        <rFont val="Times New Roman"/>
        <family val="1"/>
      </rPr>
      <t>Labklājības ministrijai -</t>
    </r>
    <r>
      <rPr>
        <sz val="10"/>
        <rFont val="Times New Roman"/>
        <family val="1"/>
      </rPr>
      <t xml:space="preserve"> transfertiem no valsts pamatbudžeta uz valsts speciālo budžetu, lai nodrošinātu valsts budžeta dotāciju piemaksām pie politiski represēto personu pensijām, ņemot vērā prognozēto kontingenta  un piemaksas vidējā apmēra mēnesī palielināšanos (atbilstoši MK 2012.gada 10.jūlija sēdes protokola Nr.39, 51.§ 21.2.apakšpunktam)</t>
    </r>
  </si>
  <si>
    <r>
      <rPr>
        <b/>
        <u/>
        <sz val="10"/>
        <rFont val="Times New Roman"/>
        <family val="1"/>
      </rPr>
      <t xml:space="preserve">Labklājības ministrijai </t>
    </r>
    <r>
      <rPr>
        <sz val="10"/>
        <rFont val="Times New Roman"/>
        <family val="1"/>
      </rPr>
      <t>- sociālajiem pabalstiem, lai nodrošinātu valsts sociālā nodrošinājuma pabalsta un valsts pabalsta ar celiakiju slimiem bērniem izmaksu (atbilstoši MK 2012.gada 10.jūlija sēdes protokola Nr.39, 51.§ 21.3.apakšpunktam)</t>
    </r>
  </si>
  <si>
    <r>
      <rPr>
        <b/>
        <u/>
        <sz val="10"/>
        <rFont val="Times New Roman"/>
        <family val="1"/>
      </rPr>
      <t>Labklājības ministrijai</t>
    </r>
    <r>
      <rPr>
        <sz val="10"/>
        <rFont val="Times New Roman"/>
        <family val="1"/>
      </rPr>
      <t xml:space="preserve"> - pedagogu darba samaksas minimālās likmes paaugstināšanai (atbilstoši MK 2012.gada 10.jūlija sēdes protokola Nr.39, 51.§ 21.5.apakšpunktam)</t>
    </r>
  </si>
  <si>
    <r>
      <rPr>
        <b/>
        <u/>
        <sz val="10"/>
        <rFont val="Times New Roman"/>
        <family val="1"/>
      </rPr>
      <t xml:space="preserve">Labklājības ministrijai </t>
    </r>
    <r>
      <rPr>
        <sz val="10"/>
        <rFont val="Times New Roman"/>
        <family val="1"/>
      </rPr>
      <t xml:space="preserve">- transferti pašvaldībām noteiktam mērķim surdotulka pakalpojuma līdz 10 stundām mēnesī saskarsmes ar citām juridiskām un fiziskām personām nodrošināšanai (Invaliditātes likuma 12.panta pirmās daļas 6.punkts) un asistenta pakalpojuma dzīvesvietā līdz 40 stundām nedēļā nodrošināšanai (Invaliditātes likuma 12.panta pirmās daļas 3.punkts) (atbilstoši MK 03.07.2012. sēdes protokola Nr.37, 44.§)
</t>
    </r>
  </si>
  <si>
    <r>
      <rPr>
        <b/>
        <u/>
        <sz val="10"/>
        <rFont val="Times New Roman"/>
        <family val="1"/>
      </rPr>
      <t xml:space="preserve">Labklājības ministrijai </t>
    </r>
    <r>
      <rPr>
        <sz val="10"/>
        <rFont val="Times New Roman"/>
        <family val="1"/>
      </rPr>
      <t>- lai nodrošinātu vienu papildu amata vietas izveidošanu Latvijas Republikas Patstāvīgajā pārstāvniecībā ES no 2013.gada 1.jūlija un komandējumu izdevumu segšanai, izveidojot jaunu programmu "Latvijas prezidentūras Eiropas Savienības Padomē nodrošināšana 2015.gadā"  (atbilstoši MK 2012.gada 12.jūlija rīkojumam Nr.334)</t>
    </r>
  </si>
  <si>
    <t>Izdevumu samazinājums budžeta programmā 07.00.00 "Ugunsdrošība, glābšana un civilā aizsardzība" atbilstoši likumprojekta "Grozījumi likumā "Par valsts budžetu 2012.gadam"" ietekmei (MK 10.07.2012. prot.Nr.39, 51.§ 3.p.; IeM 11.07.2012. vēstule Nr.1-38/2058).</t>
  </si>
  <si>
    <t>Papildu finansējums 15 911 180 latu apmērā ik gadu (tai skaitā, programmai 01.00.00 "Iekšlietu politikas plānošana" - 11 868 latu apmērā, apakšprogrammai 02.03.00 "Vienotās sakaru un informācijas sistēmas uzturēšana un vadība" - 36 844 latu apmērā, apakšprogrammai 06.01.00 "Valsts policija" - 9 078 064 latu apmērā, programmai 07.00.00 "Ugunsdrošības, glābšana un civilā aizsardzība" - 3 901 176 latu apmērā, programmai 10.00.00 "Valsts robežsardzes darbība" - 2 882 042 latu apmērā, apakšprogrammā 40.01.00 "Administrēšana" - 1186 latu apmērā ) uzturdevas kompensācijas (120 latu (bruto) + DD VSAOI) integrēšanai mēnešalgā (MK 10.07.2012. prot.Nr.39, 45.§ 3.p).</t>
  </si>
  <si>
    <r>
      <rPr>
        <b/>
        <u/>
        <sz val="10"/>
        <rFont val="Times New Roman"/>
        <family val="1"/>
      </rPr>
      <t xml:space="preserve">Iekšlietu ministrijai - </t>
    </r>
    <r>
      <rPr>
        <sz val="10"/>
        <rFont val="Times New Roman"/>
        <family val="1"/>
        <charset val="186"/>
      </rPr>
      <t>07.00.00 "Ugunsdrošība, glābšana un civilā aizsardzība" atbilstoši likumprojekta "Grozījumi likumā "Par valsts budžetu 2012.gadam"" ietekmei (MK 10.07.2012. prot.Nr.39, 51.§ 3.p.; IeM 11.07.2012. vēstule Nr.1-38/2058).</t>
    </r>
  </si>
  <si>
    <r>
      <rPr>
        <b/>
        <u/>
        <sz val="10"/>
        <rFont val="Times New Roman"/>
        <family val="1"/>
      </rPr>
      <t xml:space="preserve">Iekšlietu ministrijai - </t>
    </r>
    <r>
      <rPr>
        <sz val="10"/>
        <rFont val="Times New Roman"/>
        <family val="1"/>
      </rPr>
      <t>uzturdevas kompensācijas (120 latu (bruto) + DD VSAOI) integrēšanai mēnešalgā (MK 10.07.2012. prot.Nr.39, 45.§ 3.p).</t>
    </r>
  </si>
  <si>
    <r>
      <rPr>
        <b/>
        <u/>
        <sz val="10"/>
        <rFont val="Times New Roman"/>
        <family val="1"/>
      </rPr>
      <t>Iekšlietu ministrijai -</t>
    </r>
    <r>
      <rPr>
        <sz val="10"/>
        <rFont val="Times New Roman"/>
        <family val="1"/>
      </rPr>
      <t xml:space="preserve"> programmai "Latvijas prezidentūras Eiropas Savienības Padomē 2015.gadā", lai sagatavotu un nodrošinātu Latvijas prezidentūru Eiropas Savienības Padomē 2015.gadā (MK 12.07.2012. rīk.Nr.334 1.5.p).</t>
    </r>
  </si>
  <si>
    <t>Papildu finansējums, lai sagatavotu un nodrošinātu Latvijas prezidentūru Eiropas Savienības Padomē 2015.gadā budžeta programmu "Latvijas prezidentūras Eiropas Savienības Padomē nodrošināšana 2015.gadā" atbilstoši MK 12.07.2012. rīkojumam Nr.334 (prot. Nr.39, 47.§)</t>
  </si>
  <si>
    <r>
      <rPr>
        <b/>
        <u/>
        <sz val="10"/>
        <rFont val="Times New Roman"/>
        <family val="1"/>
      </rPr>
      <t>Zemkopības ministrijai -</t>
    </r>
    <r>
      <rPr>
        <sz val="10"/>
        <rFont val="Times New Roman"/>
        <family val="1"/>
      </rPr>
      <t xml:space="preserve"> lai sagatavotu un nodrošinātu Latvijas prezidentūru Eiropas Savienības Padomē 2015.gadā budžeta programmu "Latvijas prezidentūras Eiropas Savienības Padomē nodrošināšana 2015.gadā" atbilstoši MK 12.07.2012. rīkojumam Nr.334 (prot. Nr.39, 47.§)</t>
    </r>
  </si>
  <si>
    <r>
      <t>Palielināti izdevumi programmā 24.00.00 "Ieslodzījuma vietas" saistībā ar Ministru kabineta 2012.gada 10.jūlija sēdē atbalstīto (protokols  Nr.39 51</t>
    </r>
    <r>
      <rPr>
        <sz val="10"/>
        <rFont val="Times New Roman"/>
        <family val="1"/>
        <charset val="186"/>
      </rPr>
      <t>§ 25.punkts)</t>
    </r>
    <r>
      <rPr>
        <sz val="10"/>
        <rFont val="Times New Roman"/>
        <family val="1"/>
      </rPr>
      <t xml:space="preserve"> Ieslodzījuma vietu pārvaldes pedagogu darba samaksas minimālās likmes paaugstināšanai no 2012.gada 1.septembra un paredzēt papildu finansējumu 2013.gadā un turpmākos gados 6912 latu apmērā ik gadu. </t>
    </r>
  </si>
  <si>
    <t>Izdevumi – kopā</t>
  </si>
  <si>
    <t>Atlīdzība</t>
  </si>
  <si>
    <t>Atalgojums</t>
  </si>
  <si>
    <t>Palielināti izdevumi programmā 24.00.00 "Ieslodzījuma vietas" saistībā ar Ministru kabineta 2012.gada 10.jūlija sēdē atbalstīto (protokols  Nr.39 45§ 3.punkts) 3 384 391 latu apmērā ik gadu, lai nodrošinātu uzturdevas kompensācijas integrēšanu mēnešalgā.</t>
  </si>
  <si>
    <t>Palielināti izdevumi jaunā programmā "Latvijas prezidentūras Eiropas Savienības Padomē nodrošināšana 2015.gadā" saistībā ar Ministru kabineta 2012.gada 12.jūlija rīkojumu Nr. 334 (prot. Nr. 39 47.§) Latvijas prezidentūras Eiropas Savienības Padomē nodrošināšanai 2015.gadā.</t>
  </si>
  <si>
    <r>
      <rPr>
        <b/>
        <u/>
        <sz val="10"/>
        <rFont val="Times New Roman"/>
        <family val="1"/>
      </rPr>
      <t xml:space="preserve">Tieslietu ministrijai - </t>
    </r>
    <r>
      <rPr>
        <sz val="10"/>
        <rFont val="Times New Roman"/>
        <family val="1"/>
      </rPr>
      <t>24.00.00 "Ieslodzījuma vietas" saistībā ar Ministru kabineta 2012.gada 10.jūlija sēdē atbalstīto (protokols  Nr.39 51§ 25.punkts) Ieslodzījuma vietu pārvaldes pedagogu darba samaksas minimālās likmes paaugstināšanai no 2012.gada 1.septembra</t>
    </r>
  </si>
  <si>
    <r>
      <rPr>
        <b/>
        <u/>
        <sz val="10"/>
        <rFont val="Times New Roman"/>
        <family val="1"/>
      </rPr>
      <t xml:space="preserve">Tieslietu ministrijai - </t>
    </r>
    <r>
      <rPr>
        <sz val="10"/>
        <rFont val="Times New Roman"/>
        <family val="1"/>
      </rPr>
      <t>24.00.00 "Ieslodzījuma vietas" saistībā ar Ministru kabineta 2012.gada 10.jūlija sēdē atbalstīto (protokols  Nr.39 45§ 3.punkts), lai nodrošinātu uzturdevas kompensācijas integrēšanu mēnešalgā</t>
    </r>
  </si>
  <si>
    <r>
      <rPr>
        <b/>
        <u/>
        <sz val="10"/>
        <rFont val="Times New Roman"/>
        <family val="1"/>
      </rPr>
      <t xml:space="preserve">Tieslietu ministrijai - </t>
    </r>
    <r>
      <rPr>
        <sz val="10"/>
        <rFont val="Times New Roman"/>
        <family val="1"/>
      </rPr>
      <t>jaunā programmā "Latvijas prezidentūras Eiropas Savienības Padomē nodrošināšana 2015.gadā" saistībā ar Ministru kabineta 2012.gada 12.jūlija rīkojumu Nr. 334 (prot. Nr. 39 47.§) Latvijas prezidentūras Eiropas Savienības Padomē nodrošināšanai 2015.gadā</t>
    </r>
  </si>
  <si>
    <r>
      <rPr>
        <b/>
        <u/>
        <sz val="10"/>
        <rFont val="Times New Roman"/>
        <family val="1"/>
      </rPr>
      <t xml:space="preserve">Veselības ministrijai - </t>
    </r>
    <r>
      <rPr>
        <sz val="10"/>
        <rFont val="Times New Roman"/>
        <family val="1"/>
      </rPr>
      <t>Mātes un bērna veselības uzlabošanas plāna 2012.-2014.gadam realizācijai (atbilstoši MK 10.07.2012. prot.Nr.39 51.§ 33.p.)</t>
    </r>
  </si>
  <si>
    <r>
      <rPr>
        <b/>
        <u/>
        <sz val="10"/>
        <rFont val="Times New Roman"/>
        <family val="1"/>
      </rPr>
      <t>Veselības ministrijai -</t>
    </r>
    <r>
      <rPr>
        <sz val="10"/>
        <rFont val="Times New Roman"/>
        <family val="1"/>
      </rPr>
      <t xml:space="preserve"> jaunu budžeta programmu "Latvijas prezidentūras Eiropas Savienības Padomē nodrošināšana 2015.gadā" (atbilstoši MK 12.07.2012. rīkojuma Nr.334 "Par papildu finansējumu, lai sagatavotu un nodrošinātu Latvijas prezidentūru Eiropas Savienības Padomē 2015.gadā”  1. un 1.11.punktam). </t>
    </r>
  </si>
  <si>
    <t>"Latvijas prezidentūras Eiropas Savienības Padomē nodrošināšana 2015.gadā"</t>
  </si>
  <si>
    <r>
      <rPr>
        <b/>
        <u/>
        <sz val="10"/>
        <rFont val="Times New Roman"/>
        <family val="1"/>
      </rPr>
      <t xml:space="preserve">Satiksmes ministrijai </t>
    </r>
    <r>
      <rPr>
        <b/>
        <sz val="10"/>
        <rFont val="Times New Roman"/>
        <family val="1"/>
      </rPr>
      <t xml:space="preserve"> -</t>
    </r>
    <r>
      <rPr>
        <sz val="10"/>
        <rFont val="Times New Roman"/>
        <family val="1"/>
      </rPr>
      <t xml:space="preserve"> jaunā programmā "Latvijas prezidentūras Eiropas Savienības Padomē nodrošināšana 2015.gadā" paredzēti izdevumi atbilstoši MK 12.07.1012. rīkojuma Nr.334 1.9.1., 1.9.2., 1.9.3.apakšpunktiem.</t>
    </r>
  </si>
  <si>
    <r>
      <t xml:space="preserve">Jaunā programmā </t>
    </r>
    <r>
      <rPr>
        <b/>
        <sz val="10"/>
        <rFont val="Times New Roman"/>
        <family val="1"/>
        <charset val="186"/>
      </rPr>
      <t>"Latvijas prezidentūras Eiropas Savienības Padomē nodrošināšana 2015.gadā"</t>
    </r>
    <r>
      <rPr>
        <sz val="10"/>
        <rFont val="Times New Roman"/>
        <family val="1"/>
      </rPr>
      <t xml:space="preserve"> paredzēti izdevumi atbilstoši MK 12.07.1012. rīkojuma Nr.334 1.3.1., 1.3.2., 1.3.3., 1.3.4. apakšpunktiem.</t>
    </r>
  </si>
  <si>
    <t>Latvijas prezidentūras Eiropas Savienības Padomē nodrošināšana 2015.gadā</t>
  </si>
  <si>
    <r>
      <rPr>
        <b/>
        <u/>
        <sz val="10"/>
        <rFont val="Times New Roman"/>
        <family val="1"/>
      </rPr>
      <t>Ekonomikas ministrijai -</t>
    </r>
    <r>
      <rPr>
        <sz val="10"/>
        <rFont val="Times New Roman"/>
        <family val="1"/>
      </rPr>
      <t xml:space="preserve"> naftas produktu rezervju sistēmas uzturēšanai (MK sēde 10.07.12.)</t>
    </r>
  </si>
  <si>
    <r>
      <rPr>
        <b/>
        <u/>
        <sz val="10"/>
        <rFont val="Times New Roman"/>
        <family val="1"/>
      </rPr>
      <t xml:space="preserve">Ekonomikas ministrijai </t>
    </r>
    <r>
      <rPr>
        <u/>
        <sz val="10"/>
        <rFont val="Times New Roman"/>
        <family val="1"/>
      </rPr>
      <t>-</t>
    </r>
    <r>
      <rPr>
        <sz val="10"/>
        <rFont val="Times New Roman"/>
        <family val="1"/>
      </rPr>
      <t xml:space="preserve"> jaunā programmā "Latvijas prezidentūras Eiropas Savienības Padomē nodrošināšana 2015.gadā" paredzēti izdevumi atbilstoši MK 12.07.1012. rīkojuma Nr.334 1.3.1., 1.3.2., 1.3.3., 1.3.4. apakšpunktiem.</t>
    </r>
  </si>
  <si>
    <r>
      <rPr>
        <b/>
        <u/>
        <sz val="10"/>
        <rFont val="Times New Roman"/>
        <family val="1"/>
      </rPr>
      <t xml:space="preserve">Vides aizsardzības un reģionālās attīstības ministrijai </t>
    </r>
    <r>
      <rPr>
        <sz val="10"/>
        <rFont val="Times New Roman"/>
        <family val="1"/>
      </rPr>
      <t>- saskaņā ar MK 12.07.2012 rīkojuma Nr.334 1.12. punktu (prot.Nr.39 47§) trīs papildu amata vietu izveidošanai VRAA, lai nodrošinātu valsts informācijas sistēmas un vienotā datortīkla  izveidošanas projekta vadību un īstenošanu, un divu papildu amata vietu izveidošanai LR Pastāvīgajā pārstāvniecībā ES.</t>
    </r>
  </si>
  <si>
    <t>Atbilstoši MK 2012.gada 10,jūlija  sēdes protokolam Nr.39  51.§ palielināts finansējums pasākumu nodrošināšanai, kas saistīti ar sabiedrības saliedēšanu, nacionālās identitātes un valsts valodas pozīcijas nostiprināšanu</t>
  </si>
  <si>
    <t>Atbilstoši MK 2012.gada 10,jūlija  sēdes protokolam Nr.39  51.§ palielināts finansējums Valsts kancelejas funkciju nodrošināšanai (4 amata vietas, MK 2012.gada 8.maija noteikumi Nr.328)</t>
  </si>
  <si>
    <t>Atbilstoši MK rīkojumam 2012.gada 12,jūlija Nr.334 "Par papildu finansējumu, lai sagatavotu un nodrošinātu Latvijas prezidentūru ES Padomē 2015.gadā" palielināts finasējums</t>
  </si>
  <si>
    <r>
      <rPr>
        <b/>
        <u/>
        <sz val="10"/>
        <rFont val="Times New Roman"/>
        <family val="1"/>
      </rPr>
      <t>Ministru kabinetam -</t>
    </r>
    <r>
      <rPr>
        <sz val="10"/>
        <rFont val="Times New Roman"/>
        <family val="1"/>
      </rPr>
      <t xml:space="preserve"> atbilstoši MK 2012.gada 10,jūlija  sēdes protokolam Nr.39  51.§ palielināts finansējums pasākumu nodrošināšanai, kas saistīti ar sabiedrības saliedēšanu, nacionālās identitātes un valsts valodas pozīcijas nostiprināšanu</t>
    </r>
  </si>
  <si>
    <r>
      <rPr>
        <b/>
        <u/>
        <sz val="10"/>
        <rFont val="Times New Roman"/>
        <family val="1"/>
      </rPr>
      <t>Ministru kabinetam -</t>
    </r>
    <r>
      <rPr>
        <sz val="10"/>
        <rFont val="Times New Roman"/>
        <family val="1"/>
      </rPr>
      <t xml:space="preserve"> atbilstoši MK 2012.gada 10,jūlija  sēdes protokolam Nr.39  51.§ palielināts finansējums Valsts kancelejas funkciju nodrošināšanai (4 amata vietas, MK 2012.gada 8.maija noteikumi Nr.328)</t>
    </r>
  </si>
  <si>
    <r>
      <rPr>
        <b/>
        <u/>
        <sz val="10"/>
        <rFont val="Times New Roman"/>
        <family val="1"/>
      </rPr>
      <t>Ministru kabinetam -</t>
    </r>
    <r>
      <rPr>
        <sz val="10"/>
        <rFont val="Times New Roman"/>
        <family val="1"/>
      </rPr>
      <t xml:space="preserve"> atbilstoši MK rīkojumam 2012.gada 12,jūlija Nr.334 "Par papildu finansējumu, lai sagatavotu un nodrošinātu Latvijas prezidentūru ES Padomē 2015.gadā" palielināts finasējums</t>
    </r>
  </si>
  <si>
    <r>
      <rPr>
        <b/>
        <u/>
        <sz val="10"/>
        <rFont val="Times New Roman"/>
        <family val="1"/>
      </rPr>
      <t>Korupcijas novēršamas un apkarošanas birojam -</t>
    </r>
    <r>
      <rPr>
        <sz val="10"/>
        <rFont val="Times New Roman"/>
        <family val="1"/>
      </rPr>
      <t xml:space="preserve"> atbilstoši MK 2012.gada 10,jūlija  sēdes protokolam Nr.39  51.§ samazināts finansējums disku masīva kofidenciālajam tīklam iegādei</t>
    </r>
  </si>
  <si>
    <r>
      <rPr>
        <b/>
        <u/>
        <sz val="10"/>
        <rFont val="Times New Roman"/>
        <family val="1"/>
      </rPr>
      <t>Ārlietu ministrijai -</t>
    </r>
    <r>
      <rPr>
        <sz val="10"/>
        <rFont val="Times New Roman"/>
        <family val="1"/>
      </rPr>
      <t xml:space="preserve"> atbilstoši MK rīkojumam 2012.gada 12,jūlija Nr.334 "Par papildu finansējumu, lai sagatavotu un nodrošinātu Latvijas prezidentūru ES Padomē 2015.gadā" palielināts finasējums</t>
    </r>
  </si>
  <si>
    <r>
      <rPr>
        <b/>
        <u/>
        <sz val="10"/>
        <rFont val="Times New Roman"/>
        <family val="1"/>
      </rPr>
      <t>Ārlietu ministrijai -</t>
    </r>
    <r>
      <rPr>
        <sz val="10"/>
        <rFont val="Times New Roman"/>
        <family val="1"/>
      </rPr>
      <t xml:space="preserve"> atbilstoši MK 2012.gada 10.jūlija  sēdes protokolam Nr.39  51.§ palielināts finansējums. lai nodrošinātu pilnvērtīgu Latvijas interešu pārstāvēšanu  Ekonomiskās sadarbības un attīstības organizācijā OECD (papildu 2 amata vietas), kā arī komandējumu izdevumu segšanai, tai skaitā saistībā ar sarunām par Eiropas Savienības Daudzgadu budžetu</t>
    </r>
  </si>
  <si>
    <r>
      <rPr>
        <b/>
        <u/>
        <sz val="10"/>
        <rFont val="Times New Roman"/>
        <family val="1"/>
      </rPr>
      <t>Ārlietu ministrijai -</t>
    </r>
    <r>
      <rPr>
        <sz val="10"/>
        <rFont val="Times New Roman"/>
        <family val="1"/>
      </rPr>
      <t xml:space="preserve"> atbilstoši MK 2012.gada 10.jūlija sēdes protokolam Nr.39  51.§ palielināts finansējums Latviešu kultūras un izglītības pieejamībai no Latvijas izbraukušo iedzīvotāju bērniem un atbalsts latviešu biedrībām un organizācijām ārvalstīs</t>
    </r>
  </si>
  <si>
    <r>
      <rPr>
        <b/>
        <u/>
        <sz val="10"/>
        <rFont val="Times New Roman"/>
        <family val="1"/>
      </rPr>
      <t xml:space="preserve">Finanšu ministrijai </t>
    </r>
    <r>
      <rPr>
        <sz val="10"/>
        <rFont val="Times New Roman"/>
        <family val="1"/>
      </rPr>
      <t>- atbilstoši MK rīkojumam 2012.gada 12,jūlija Nr.334 "Par papildu finansējumu, lai sagatavotu un nodrošinātu Latvijas prezidentūru ES Padomē 2015.gadā" palielināts finasējums</t>
    </r>
  </si>
  <si>
    <t>Atbilstoši MK 2012.gada 10,jūlija  sēdes protokolam Nr.39  51.§ palielināts finansējums interneta vēlēšanu sistēmas izveidei (papildus 1 amata vieta)</t>
  </si>
  <si>
    <t>Groz.ietekme</t>
  </si>
  <si>
    <t>Izdevumiem no dotācijas no vispārējiem ieņēmumiem, tajā skaitā:</t>
  </si>
  <si>
    <t xml:space="preserve"> - grozījumu ietekme</t>
  </si>
  <si>
    <t xml:space="preserve"> - Prezidentūra ES</t>
  </si>
  <si>
    <t>Atbilstoši MK 2012.gada 3.jūlija sēdes protokolam Nr.37 41.§ palielināts finansējums iemaksu veikšanai Eiropas Kopienas budžetā</t>
  </si>
  <si>
    <r>
      <rPr>
        <b/>
        <u/>
        <sz val="10"/>
        <rFont val="Times New Roman"/>
        <family val="1"/>
      </rPr>
      <t xml:space="preserve">Finanšu ministrijai </t>
    </r>
    <r>
      <rPr>
        <sz val="10"/>
        <rFont val="Times New Roman"/>
        <family val="1"/>
      </rPr>
      <t>- atbilstoši MK 2012.gada 3.jūlija sēdes protokolam Nr.37 41.§ palielināts finansējums iemaksu veikšanai Eiropas Kopienas budžetā</t>
    </r>
  </si>
  <si>
    <t>Palielināti izdevumi programmā 04.00.00 "Valsts atbalsts sociālajai apdrošināšanai" valsts budžeta uzturēšanas izdevumu transfertiem no valsts pamatbudžeta uz valsts speciālo budžetu 2013.gadā 2 457 230 latu apmērā, 2014.gadā 2 094 445 latu apmērā un 2015.gadā 1 703 419 latu apmērā, lai nodrošinātu valsts budžeta dotāciju piemaksām pie politiski represēto personu pensijām, ņemot vērā prognozēto kontingenta  un piemaksas vidējā apmēra mēnesī palielināšanos (atbilstoši MK 2012.gada 10.jūlija sēdes protokola Nr.39, 51.§ 21.2.apakšpunktam)</t>
  </si>
  <si>
    <t>Palielināti izdevumi programmā 04.00.00 "Valsts atbalsts sociālajai apdrošināšanai" valsts budžeta uzturēšanas izdevumu transfertiem no valsts pamatbudžeta uz valsts speciālo budžetu 2013.gadā 8 117 latu apmērā, 2014.gadā 35 402 latu apmērā un 2015.gadā 33 327 latu apmērā, lai nodrošinātu izdevumus valsts iemaksām apdrošināšanai bezdarba gadījumam par personām, kuras kopj bērnu vecumā līdz 1,5 gadiem un saņem bērna kopšanas pabalstu, izdevumus valsts iemaksām invaliditātes apdrošināšanai par personām, kuras kopj bērnu vecumā līdz 1,5 gadiem un saņem bērna kopšanas pabalstu, un izdevumus valsts iemaksām apdrošināšanai bezdarba gadījumam par personām, kas saņem atlīdzību par adoptējamā bērna aprūpi, ņemot vērā  piemaksas vidējā apmēra mēnesī prognozētās izmaiņas atbilstoši LM sniegtajai informācijai</t>
  </si>
  <si>
    <r>
      <rPr>
        <b/>
        <u/>
        <sz val="10"/>
        <rFont val="Times New Roman"/>
        <family val="1"/>
      </rPr>
      <t>Labklājības ministrijai</t>
    </r>
    <r>
      <rPr>
        <sz val="10"/>
        <rFont val="Times New Roman"/>
        <family val="1"/>
      </rPr>
      <t xml:space="preserve"> - Samazināti izdevumi piemaksām pie vecuma un invaliditātes pensijām, ņemot vērā vecuma un invaliditātes pensiju saņēmēju skaita prognozētās izmaiņas (atbilstoši LM 2012.gada 25.jūlija vēstulei Nr.12.2-10/54)</t>
    </r>
  </si>
  <si>
    <r>
      <rPr>
        <b/>
        <u/>
        <sz val="10"/>
        <rFont val="Times New Roman"/>
        <family val="1"/>
      </rPr>
      <t xml:space="preserve">Labklājības ministrijai </t>
    </r>
    <r>
      <rPr>
        <sz val="10"/>
        <rFont val="Times New Roman"/>
        <family val="1"/>
      </rPr>
      <t>- palielināti izdevumi sociālajiem pabalstiem 2013.gadā, samazināti 2014.gadā un  2015.gadā saistībā ar  atsevišķu pabalstu saņēmēju skaita prognozētajām izmaiņām (atbilstoši LM 2012.gada 25.jūlija vēstulei Nr.12.2-10/54)</t>
    </r>
  </si>
  <si>
    <r>
      <rPr>
        <b/>
        <u/>
        <sz val="10"/>
        <rFont val="Times New Roman"/>
        <family val="1"/>
      </rPr>
      <t>Labklājības ministrijai -</t>
    </r>
    <r>
      <rPr>
        <sz val="10"/>
        <rFont val="Times New Roman"/>
        <family val="1"/>
      </rPr>
      <t xml:space="preserve"> palielināti izdevumi sociālajiem pabalstiem saistībā ar izdienas pensiju vidējā apmēra mēnesī palielināšanos un pensijas saņēmēju skaitā palielināšanos (atbilstoši LM 2012.gada 25.jūlija vēstulei Nr.12.2-10/54)</t>
    </r>
  </si>
  <si>
    <r>
      <rPr>
        <b/>
        <u/>
        <sz val="10"/>
        <rFont val="Times New Roman"/>
        <family val="1"/>
      </rPr>
      <t xml:space="preserve">Labklājības ministrijai </t>
    </r>
    <r>
      <rPr>
        <sz val="10"/>
        <rFont val="Times New Roman"/>
        <family val="1"/>
      </rPr>
      <t>- palielināti izdevumi sociālajiem pabalstiem saistībā ar ģimenes valsts pabalsta apmēra diferencēšanu atkarībā no bērnu skaita ģimenē sākot ar 2015.gada 1.janvāri (par pirmo bērnu 8 lati, par otro bērnu pabalsts divas reizes, bet par trešo un nākamajiem bērniem - trīs reizes lielāks nekā par pirmo bērnu ģimenē) atbilstoši  Ministru kabineta 2012.gada 10.jūlija sēdes protokola Nr.39 46.§ un ņemot vērā LM 2012.gada 25.jūlija vēstulē Nr.12.2-10/54 iesniegto precizēto izdevumu apmēru ģimenes valsts pabalstu nodrošināšanai</t>
    </r>
  </si>
  <si>
    <r>
      <rPr>
        <b/>
        <u/>
        <sz val="10"/>
        <rFont val="Times New Roman"/>
        <family val="1"/>
      </rPr>
      <t xml:space="preserve">Labklājības ministrijai </t>
    </r>
    <r>
      <rPr>
        <sz val="10"/>
        <rFont val="Times New Roman"/>
        <family val="1"/>
      </rPr>
      <t>- palielināti izdevumi valsts budžeta uzturēšanas izdevumu transfertiem no valsts pamatbudžeta uz valsts speciālo budžetu, lai nodrošinātu izdevumus valsts iemaksām apdrošināšanai bezdarba gadījumam par personām, kuras kopj bērnu vecumā līdz 1,5 gadiem un saņem bērna kopšanas pabalstu, izdevumus valsts iemaksām invaliditātes apdrošināšanai par personām, kuras kopj bērnu vecumā līdz 1,5 gadiem un saņem bērna kopšanas pabalstu, un izdevumus valsts iemaksām apdrošināšanai bezdarba gadījumam par personām, kas saņem atlīdzību par adoptējamā bērna aprūpi, ņemot vērā  piemaksas vidējā apmēra mēnesī prognozētās izmaiņas atbilstoši LM sniegtajai informācijai</t>
    </r>
  </si>
  <si>
    <t>Tehniskie precizējumi:</t>
  </si>
  <si>
    <t>1.1.1.</t>
  </si>
  <si>
    <t>1.1.2.</t>
  </si>
  <si>
    <t>1.1.3.</t>
  </si>
  <si>
    <t xml:space="preserve"> izdevumu palielinājums izdienas pensijām saistībā ar pensijas apmēra prognozēto palielināšanos vidēji mēnesī</t>
  </si>
  <si>
    <t>1.1.4.</t>
  </si>
  <si>
    <t xml:space="preserve"> izdevumu palielinājums apbedīšanas pabalstiem saistībā ar pabalsta apmēra un saņēmēju skaita prognozētām izmaiņām vidēji mēnesī</t>
  </si>
  <si>
    <t>1.1.5.</t>
  </si>
  <si>
    <t xml:space="preserve"> izdevumu palielinājums pabalstam pensijas saņēmēja nāves gadījumā pārdzīvojušam laulātajam saistībā ar pabalsta apmēra un saņēmēju skaita prognozēto palielināšanos vidēji mēnesī</t>
  </si>
  <si>
    <t>1.1.6.</t>
  </si>
  <si>
    <t xml:space="preserve"> izdevumu palielinājums Eiropas Savienības pensiju shēmas dalībnieku Latvijas valsts obligātajā pensiju apdrošināšanas sistēmā uzkrāto pensijas kapitālam, ko nodod Eiropas Savienības pensiju shēmai</t>
  </si>
  <si>
    <t>1.1.7.</t>
  </si>
  <si>
    <t xml:space="preserve"> izdevumu samazinājums pārmaksāto sociālās apdrošināšanas iemaksu atmaksai saistībā ar prognozētām valsts pensiju speciālā budžeta ieņēmumu īpatsvara izmaiņām</t>
  </si>
  <si>
    <t>Apakšprogrammā 04.01.00 "Valsts pensiju speciālais budžets" samazināti procentu izdevumi</t>
  </si>
  <si>
    <t>Apakšprogrammā 04.01.00 "Valsts pensiju speciālais budžets" samazināti izdevumi valsts budžeta transfertam uz Valsts sociālās apdrošināšanas aģentūras speciālo budžetu saistībā ar valsts pensiju speciālā budžeta īpatsvara izmaiņām (konsolidējamā pozīcija)</t>
  </si>
  <si>
    <t>Apakšprogrammā 04.02.00 "Nodarbinātības speciālais budžets" palielināti izdevumi valsts budžeta transfertam no valsts speciālā budžeta uz valsts speciālo budžetu saistībā ar nodarbinātības speciālā budžeta īpatsvara izmaiņām (konsolidējamā pozīcija)</t>
  </si>
  <si>
    <t xml:space="preserve"> izdevumu palielinājums pārmaksāto sociālās apdrošināšanas iemaksu atmaksai saistībā ar prognozētām nodarbinātības speciālā budžeta ieņēmumu īpatsvara izmaiņām</t>
  </si>
  <si>
    <t xml:space="preserve"> izdevumu palielinājums apbedīšanas pabalstiem saistībā ar pabalsta apmēra prognozēto palielināšanos vidēji mēnesī</t>
  </si>
  <si>
    <t xml:space="preserve"> izdevumu izmaiņas pārmaksāto sociālās apdrošināšanas iemaksu atmaksai saistībā ar prognozētām darba negadījumu speciālā budžeta ieņēmumu īpatsvara izmaiņām</t>
  </si>
  <si>
    <t xml:space="preserve"> izdevumu izmaiņas atlīdzībām par apgādnieka zaudējumu saistībā ar atlīdzības vidējā apmēra mēnesī prognozētām izmaiņām</t>
  </si>
  <si>
    <t>1.9.</t>
  </si>
  <si>
    <t>1.10.</t>
  </si>
  <si>
    <t xml:space="preserve"> izdevumu izmaiņas apbedīšanas pabalstiem saistībā ar pabalsta apmēra un saņēmēju skaita prognozētām izmaiņām vidēji mēnesī</t>
  </si>
  <si>
    <t>izdevumu palielinājums pārmaksāto sociālās apdrošināšanas iemaksu atmaksai saistībā ar prognozētām invaliditātes, maternitātes un slimības speciālā budžeta ieņēmumu īpatsvara izmaiņām</t>
  </si>
  <si>
    <t xml:space="preserve"> izdevumu samazinājums maternitātes pabalstiem saistībā ar pabalsta apmēra un saņēmēju skaita prognozētām izmaiņām vidēji mēnesī</t>
  </si>
  <si>
    <t xml:space="preserve"> izdevumu samazinājums vecāku pabalstiem saistībā ar pabalsta apmēra un saņēmēju skaita prognozētām izmaiņām vidēji mēnesī</t>
  </si>
  <si>
    <t xml:space="preserve"> izdevumu samazinājums kaitējuma atlīdzībām Černobiļas AES avārijas rezultātā cietušajām personām saistībā ar atlīdzības apmēra un saņēmēju skaita prognozētām izmaiņām vidēji mēnesī</t>
  </si>
  <si>
    <t xml:space="preserve"> izdevumu samazinājums darbā nodarītā kaitējuma atlīdzībām saistībā ar atlīdzības apmēra un saņēmēju skaita prognozētām izmaiņām vidēji mēnesī</t>
  </si>
  <si>
    <t xml:space="preserve"> izdevumu samazinājums pabalstiem pensijas saņēmēja nāves gadījumā pārdzīvojušam laulātajam saistībā ar pabalsta apmēra un saņēmēju skaita prognozētām izmaiņām vidēji mēnesī</t>
  </si>
  <si>
    <t>Apakšprogrammā 04.04.00 "Invaliditātes, maternitātes un slimības speciālais budžets" samazināti procentu izdevumi</t>
  </si>
  <si>
    <t>Veikta pārdale starp izdevumu kodiem atbilstoši ekonomiskajām kategorijām apakšprogrammā 20.03.00 "Piemaksas pie vecuma un invaliditātes pensijām", samazinot izdevumus sociālajiem pabalstiem  2014.gadā 127 056 708 latu apmērā un 2015.gadā 122 414 694 latu apmērā, un attiecīgi palielinot izdevumus valsts budžeta uzturēšanas izdevumu transfertiem no valsts pamatbudžeta uz valsts speciālo budžetu, atbilstoši likumam "Grozījumi likumā "Par valsts pensijām"", kas paredz valsts pamatbudžetā ar 2014.gada 1.janvāri valsts budžeta uzturēšanas izdevumu transfertu no valsts pamatbudžtea un valsts speciālo budžetu, lai nodrošinātu līdz 2011.gada 31.decembrim piešķirto piemaksu pie vecuma un invaliditātes pensijas izmaksas (atbilstoši LM 2012.gada 25.jūlija vēstulei Nr.12.2-10/54)</t>
  </si>
  <si>
    <t>Samazināti izdevumi sociālajiem pabalstiem 2014.gadā 3 168 196 latu apmērā un 2015.gadā 3 537 821 lata apmērā apakšprogrammā 20.03.00 "Piemaksas pie vecuma un invaliditātes pensijām" piemaksām pie vecuma un invaliditātes pensijām, ņemot vērā vecuma un invaliditātes pensiju saņēmēju skaita un apmēra prognozētās izmaiņas (atbilstoši LM 2012.gada 25.jūlija vēstulei Nr.12.2-10/54)</t>
  </si>
  <si>
    <t>Apakšprogrammā 20.01.00 "Valsts sociālie pabalsti" palielināti izdevumi sociālajiem pabalstiem 2013.gadā 178 669 latu apmērā, samazināti izdevumi sociālajiem pabalstiem 2014.gadā 8 549 latu apmērā un  2015.gadā 65 284 latu apmērā saistībā ar  atsevišķu pabalstu saņēmēju skaita prognozētajām izmaiņām (atbilstoši LM 2012.gada 25.jūlija vēstulei Nr.12.2-10/54)</t>
  </si>
  <si>
    <t>Palielināti izdevumi sociālajiem pabalstiem apakšprogrammā 20.02.00 "Izdienas pensijas" 2013.gadā 577 327 latu apmērā, 2014.gadā 795 725 latu apmērā un 2015.gadā 1 066 661 lata apmērā saistībā ar izdienas pensiju vidējā apmēra mēnesī palielināšanos un pensijas saņēmēju skaita palielināšanos (atbilstoši LM 2012.gada 25.jūlija vēstulei Nr.12.2-10/54)</t>
  </si>
  <si>
    <t>Palielināti izdevumi sociālajiem pabalstiem 2015.gadā 17 995 176 latu apmērā saistībā ar ģimenes valsts pabalsta apmēra diferencēšanu atkarībā no bērnu skaita ģimenē sākot ar 2015.gada 1.janvāri (par pirmo bērnu 8 lati, par otro bērnu pabalsts divas reizes, bet par trešo un nākamajiem bērniem - trīs reizes lielāks nekā par pirmo bērnu ģimenē) atbilstoši  Ministru kabineta 2012.gada 10.jūlija sēdes protokola Nr.39 46.§ "Informatīvais ziņojums "Par sociālās aizsardzības jomas tiesību normu, kurām jāsāk darboties 2013.-2015.gadā, ieviešanas izvērtējumu"" un ņemot vērā LM 2012.gada 25.jūlija vēstulē Nr.12.2-10/54 iesniegto precizēto izdevumu apmēru ģimenes valsts pabalstu izmaksu nodrošināšanai</t>
  </si>
  <si>
    <t xml:space="preserve"> izdevumu palielinājums pensijām apgādnieka zaudējuma gadījumā saistībā ar pensijas apmēra prognozēto palielināšanos un saņēmēju skaita prognozētām izmaiņām vidēji mēnesī</t>
  </si>
  <si>
    <t>1.5.1.</t>
  </si>
  <si>
    <t>1.5.2.</t>
  </si>
  <si>
    <t xml:space="preserve"> izdevumu izmaiņas pensijām saskaņā ar speciāliem lēmumiem saistībā ar pensijas apmēra un saņēmēju skaita vidēji mēnesī prognozētām izmaiņām </t>
  </si>
  <si>
    <t xml:space="preserve"> izdevumu izmaiņas paternitātes pabalstiem saistībā ar pabalsta apmēra un saņēmēju skaita prognozētām izmaiņām vidēji mēnesī</t>
  </si>
  <si>
    <t>1.11.</t>
  </si>
  <si>
    <t>Papildu finansējums apakšprogrammai 11.01.00 "Pilsonības un migrācijas lietu pārvalde", lai nodrošinātu Latvijas iemaksu Starptautiskās Migrācijas organizācijas (IOM) budžetā kārtējam gadam veikšanu (MK 24.07.2012. rīk.Nr.346 1.p).</t>
  </si>
  <si>
    <r>
      <t>Papildu finansējums budžeta apakšprogrammai 67.06.00 "Pamatprogrammas „Drošība un brīvību garantēšana” projektu un pasākumu īstenošana (2007–2013)", lai nodrošinātu projekta "ES acquis un citu instrumentu ieviešana un piemērošana, lai pilnveidotu starptautisko sadarbību" turpināšanu 2013.gadā (IeM 08.08.2012. vēstule Nr.1-40/2307), tai skaitā</t>
    </r>
    <r>
      <rPr>
        <b/>
        <sz val="10"/>
        <color indexed="10"/>
        <rFont val="Times New Roman"/>
        <family val="1"/>
      </rPr>
      <t xml:space="preserve"> 12 890 latu - pārdale no programmas 80.00.00.</t>
    </r>
  </si>
  <si>
    <t>Ārvalstu finanšu palīdzības iestādes ieņēmumos palielinājums budžeta apakšprogrammai 67.02.00 "Atmaksas valsts pamatbudžetā par Eiropas Kopienas iniciatīvu fondu finansējumu", lai nodrošinātu atmaksu valsts budžetā par veiktajiem uzturēšanas izdevumiem (IeM 08.08.2012. vēstule Nr.1-40/2307).</t>
  </si>
  <si>
    <t xml:space="preserve">Izdevumu palielinājums apakšprogrammā 62.06.00 "Eiropas Reģionālās attīstības fonda (ERAF) projektu un pasākumu īstenošana (2007-2013) projekta „Valsts zemes dienesta ģeotelpisko datu ģeotelpiskās informācijas sistēmas izveide” īstenošanai (pārdale no 80.00.00 programmas). (TM 07.08.2012. vēstule Nr.1-13.4/2949). </t>
  </si>
  <si>
    <t xml:space="preserve">Izdevumu palielinājums apakšprogrammā 62.06.00 "Eiropas Reģionālās attīstības fonda (ERAF) projektu un pasākumu īstenošana (2007-2013) projekta „Uzņēmumu reģistra informācijas sistēmas izveide” īstenošanai (pārdale no 80.00.00 programmas). (TM 07.08.2012. vēstule Nr.1-13.4/2949). </t>
  </si>
  <si>
    <t xml:space="preserve">Izdevumu palielinājums apakšprogrammā 70.06.00 "Citu ES politiku instrumentu projektu un pasākumu īstenošana (2007-2013)" projekta  „Atbalsts Azerbaidžānas republikas valsts zemes un kartogrāfijas komitejai modernas valsts zemes kadastra informācijas sistēmas izveidē, uzlabojot noteikumus attiecībā uz zemes vērtēšanu un novērtēt zemi saskaņā ar Eiropas Savienības novērtēšanas standartiem” īstenošanai (no ārvalstu finanšu palīdzības līdzekļiem). (TM 07.08.2012. vēstule Nr.1-13.4/2949). </t>
  </si>
  <si>
    <t>Izdevumu palielinājums apakšprogrammā 73.06.00 "Pārējās ārvalstu finanšu palīdzības līdzfinansētie projekti (2007-2013) projekta „Uzturlīdzekļu pārrobežu piedziņa Zviedrijā, Somijā un Latvijā” īstenošanai (no ārvalstu finanšu palīdzības līdzekļiem). (TM 07.08.2012. vēstule Nr.1-13.4/2949). Projekta īstenošana uzsākta saskaņā ar FM 11.07.2012.rīkojumu Nr. 373 un 13.07.2012.g.rīkojumu Nr. 377.</t>
  </si>
  <si>
    <t>8=4+5+6+7</t>
  </si>
  <si>
    <t>13=9+10+11+12</t>
  </si>
  <si>
    <t>18=14+15+16+17</t>
  </si>
  <si>
    <t>prioritārie pasākumi (MK 16.08.12.)</t>
  </si>
  <si>
    <t>Maksimāli pieļaujamais valsts pamatbudžeta izdevumu apjoms 2013.gadam</t>
  </si>
  <si>
    <t>Maksimāli pieļaujamais valsts pamatbudžeta izdevumu apjoms 2014.gadam</t>
  </si>
  <si>
    <t>Maksimāli pieļaujamais valsts pamatbudžeta izdevumu apjoms 2015.gadam</t>
  </si>
  <si>
    <t>2013., 2014. un 2015.gada maksimāli pieļaujamais valsts pamatbudžeta izdevumu apjoms</t>
  </si>
  <si>
    <t>2013., 2014. un 2015.gada maksimāli pieļaujamais valsts speciālā budžeta izdevumu apjoms</t>
  </si>
  <si>
    <t>Maksimāli pieļaujamais valsts speciālā budžeta izdevumu apjoms 2013.gadam</t>
  </si>
  <si>
    <t>Maksimāli pieļaujamais valsts speciālā budžeta izdevumu apjoms 2014.gadam</t>
  </si>
  <si>
    <t>Maksimāli pieļaujamais valsts speciālā budžeta izdevumu apjoms 2015.gadam</t>
  </si>
  <si>
    <t>t.sk. Latvijas prezidentūru ES Padomē 2015.gadā</t>
  </si>
  <si>
    <t>2013., 2014. un 2015.gada maksimāli pieļaujamais valsts budžeta izdevumu apjoms</t>
  </si>
  <si>
    <t>atbilstoši MK lēmumiem līdz 16.08.12.</t>
  </si>
  <si>
    <r>
      <t>Apakšprogrammā 33.01.00 "Ārstniecība" palielināti izdevumi subsīdijām un dotācijām ārstniecības iestādēm, kurām noslēgts līgums ar Nacionālo veselības dienestu par pakalpojumu sniegšanu, lai nodrošinātu riska maksājumus Ārstniecības riska fondā,  nodrošinot Ārstniecības riska fonda darbību no 2013.gada 25.oktobra (atbilstoši MK 17.04.2012. prot.Nr.20, 38.</t>
    </r>
    <r>
      <rPr>
        <sz val="10"/>
        <rFont val="Times New Roman"/>
        <family val="1"/>
        <charset val="186"/>
      </rPr>
      <t xml:space="preserve">§, 13.p.). </t>
    </r>
  </si>
  <si>
    <t xml:space="preserve">Palielināti izdevumi precēm un pakalpojumiem valsts budžeta ārstniecības iestādēm (Sporta medicīnas valsts aģentūrai, Valsts asinsdonoru centram, Neatliekamās medicīniskās palīdzības dienestam), lai nodrošinātu riska maksājumus Ārstniecības riska fondā, nodrošinot Ārstniecības riska fonda darbību no 2013.gada 25.oktobra (atbilstoši MK 17.04.2012. prot.Nr.20, 38.§, 13.p.), tai skaitā:
apakšprogrammā 39.02.00 "Sporta medicīnas nodrošināšana" - 2013.gadā 289 lati, 2014.gadā 1553 lati, 2015.gadā 1553 lati, 
apakšprogrammā 39.03.00 "Asins un asins komponentu nodrošināšana" - 2013.gadā 248 lati, 2014.gadā 1332 lati, 2015.gadā 1332 lati,
apakšprogrammā 39.04.00 "Neatliekamā medicīniskā palīdzība" - 2013.gadā 7452 lati, 2014.gadā 39 997 lati, 2015.gadā            
39 997 lati).  </t>
  </si>
  <si>
    <r>
      <rPr>
        <b/>
        <u/>
        <sz val="10"/>
        <rFont val="Times New Roman"/>
        <family val="1"/>
      </rPr>
      <t>Veselības ministrijai</t>
    </r>
    <r>
      <rPr>
        <b/>
        <sz val="10"/>
        <rFont val="Times New Roman"/>
        <family val="1"/>
      </rPr>
      <t xml:space="preserve"> </t>
    </r>
    <r>
      <rPr>
        <sz val="10"/>
        <rFont val="Times New Roman"/>
        <family val="1"/>
      </rPr>
      <t>- 33.01.00 "Ārstniecība" ārstniecības iestādēm, kurām noslēgts līgums ar Nacionālo veselības dienestu par pakalpojumu sniegšanu, lai nodrošinātu riska maksājumus Ārstniecības riska fondā,  nodrošinot Ārstniecības riska fonda darbību no 2013.gada 25.oktobra (atbilstoši MK 17.04.2012. prot.Nr.20, 38.§, 13.p.)</t>
    </r>
  </si>
  <si>
    <r>
      <rPr>
        <b/>
        <u/>
        <sz val="10"/>
        <rFont val="Times New Roman"/>
        <family val="1"/>
      </rPr>
      <t>Veselības ministrijai</t>
    </r>
    <r>
      <rPr>
        <b/>
        <sz val="10"/>
        <rFont val="Times New Roman"/>
        <family val="1"/>
      </rPr>
      <t xml:space="preserve"> </t>
    </r>
    <r>
      <rPr>
        <sz val="10"/>
        <rFont val="Times New Roman"/>
        <family val="1"/>
      </rPr>
      <t>- ārstniecības iestādēm (Sporta medicīnas valsts aģentūrai, Valsts asinsdonoru centram, Neatliekamās medicīniskās palīdzības dienestam), lai nodrošinātu riska maksājumus Ārstniecības riska fondā, nodrošinot Ārstniecības riska fonda darbību no 2013.gada 25.oktobra (atbilstoši MK 17.04.2012. prot.Nr.20, 38.§, 13.p.)</t>
    </r>
  </si>
  <si>
    <t>palielināti izdevumi atalgojumam atlīdzības ietvaros un attiecīgi samazināti budžeta izdevumu klasifikācijas kodā 1200 „Darba devēja valsts sociālās apdrošināšanas obligātās iemaksas, sociālā rakstura pabalsti un kompensācijas”  atbilstoši 2005. gada 27. decembra Ministru kabineta noteikumiem Nr.1031 „Noteikumi par budžetu izdevumu klasifikāciju atbilstoši ekonomiskajām kategorijām”</t>
  </si>
  <si>
    <t>Saskaņā ar Ministru kabineta 2012.gada 17.aprīļa sēdes protokola Nr.20 25.punktu papildus finansējums,  lai nodrošinātu algas pabalsta par dienestu ārvalstīs izmaksu 2013.– 2015.gadam.</t>
  </si>
  <si>
    <t>2.2</t>
  </si>
  <si>
    <t>Atbilstoši Ministru kabineta 2012.gada 12.jūlija rīkojumam Nr.334 "Par papildu finansējumu, lai sagatavotu un nodrošinātu Latvijas prezidentūru ES Padomē 2015.gadā" palielināts finasējums.</t>
  </si>
  <si>
    <t>2.3</t>
  </si>
  <si>
    <t>2.4</t>
  </si>
  <si>
    <t>Atbilstoši Ministru kabineta 2012.gada 10.jūlija sēdes protokolam Nr.39  51.§ palielināts finansējums Latviešu kultūras un izglītības pieejamībai no Latvijas izbraukušo iedzīvotāju bērniem un atbalsts latviešu biedrībām un organizācijām ārvalstīs.</t>
  </si>
  <si>
    <t>2.5</t>
  </si>
  <si>
    <t>2.6</t>
  </si>
  <si>
    <t>Atbilstoši Ministru kabineta  2012.gada 16.augusta sēdē nolemtajam palielināts finansējums ārlietu dienesta funkciju nodrošināšana, OECD, EMU un ES Prezidentūras lobija trešajās valstīs nodrošināšanai un īstenošanai.</t>
  </si>
  <si>
    <t>2.7</t>
  </si>
  <si>
    <t xml:space="preserve">Atbilstoši Ministru kabineta  2012.gada 16.augusta sēdē nolemtajam palielināts finansējums materiālās palīdzības fonda nodrošināšanai un administrēšanai. </t>
  </si>
  <si>
    <t>2.8</t>
  </si>
  <si>
    <t>Atbilstoši Ministru kabineta  2012.gada 16.augusta sēdē nolemtajam palielināts finansējums vīzu pārstāvībai Latvijas Republikas konsulātā Vitebskā.</t>
  </si>
  <si>
    <t>2.9</t>
  </si>
  <si>
    <t>Atbilstoši Ministru kabineta  2012.gada 16.augusta sēdē nolemtajam palielināts finansējums ar pasākuma „Rīga-2014.gada Eiropas kultūras galvaspilsēta” saistīto organizatorisko izdevumu nodrošināšanai.</t>
  </si>
  <si>
    <t>2.10</t>
  </si>
  <si>
    <t xml:space="preserve">Atbilstoši Ministru kabineta  2012.gada 16.augusta sēdē nolemtajam palielināts finansējums Latvijas prezidentūras ES Padomē sagatavošanas sekretariāta darbības nodrošināšanai. </t>
  </si>
  <si>
    <t>2.11</t>
  </si>
  <si>
    <t xml:space="preserve">Atbilstoši Ministru kabineta  2012.gada 16.augusta sēdē nolemtajam palielināti bāzes izdevumi 2013.- 2015.gadam budžeta programmā „Latvijas prezidentūras Eiropas Savienības Padomē nodrošināšana 2015. gadā” piecu papildus amata vietu izveidošanai centrālajā aparātā Latvijas prezidentūras Eiropas Savienības Padomē sagatavošanas nodrošināšanai. </t>
  </si>
  <si>
    <t>2.12</t>
  </si>
  <si>
    <t>Zemkopības ministrijas 2013., 2014. un 2015.gada maksimāli pieļaujamais valsts pamatbudžeta izdevumu apjoms</t>
  </si>
  <si>
    <t>Valsts atbalsts lauksaimniecībai (subsīdijām) sējumu apdrošināšanas prēmiju kompensācijām, atbilstoši MK 16.08.2012.sēdē nolemtajam</t>
  </si>
  <si>
    <t>Zemnieku interešu pārstāvībai Briselē, kas saistīta ar kopējās lauksaimniecības un zivsaimniecības politikas reformām, atbilstoši MK 16.08.2012.sēdē nolemtajam</t>
  </si>
  <si>
    <t>VSIA "Zemkopības ministrijas nekustamie īpašumi" Meliorācijas likumā  deleģēto funkciju izpildei, atbilstoši MK 16.08.2012.sēdē nolemtajam</t>
  </si>
  <si>
    <t xml:space="preserve">Meža ugunsdrošība un ugunsapsardzība, atbilstoši MK 16.08.2012.sēdē nolemtajam </t>
  </si>
  <si>
    <t>Papildus finansējums Latvijas prezidentūras Eiropas Savienības Padomē 2015.gadā sagatavošanai un nodrošināšanai, atbilstoši MK 16.08.2012.sēdē nolemtajam</t>
  </si>
  <si>
    <t>XXXV Vispārējie latviešu Dzziesmu unXV deju svētki</t>
  </si>
  <si>
    <t>1.2</t>
  </si>
  <si>
    <t>Eiropas kultūras galvaspilsēta 2014.gads</t>
  </si>
  <si>
    <t>XVII Baltijas studentu dziesmu un deju svētku "Gaudeamus" un XI Skolēnu dziesmu un deju svētkiem</t>
  </si>
  <si>
    <t>1.4</t>
  </si>
  <si>
    <t>Atalgojuma palielināšana padomes priekšēdētājam un locekļiem</t>
  </si>
  <si>
    <t>1.5</t>
  </si>
  <si>
    <t>Autortiesību maksājumi, lai nodrošinātu latviešu orģinālprodukcijas izrādīšanu ēterā un izvietošanu ēterā</t>
  </si>
  <si>
    <t>1.6</t>
  </si>
  <si>
    <t>Autortiesību maksājums saskaņā ar Ausgtākās tiesas tiesas lēmumu AKKA/LAA strīdā par muzikālo darbu izmatošanu</t>
  </si>
  <si>
    <t>1.7</t>
  </si>
  <si>
    <t>Kompensācija priekšvēlēšanu aģitācijas aizlieguma ieviešanai LTV</t>
  </si>
  <si>
    <t>Sabiedrības saliedēšanas,naciolāas identitātes un valsts valodas stiprināšanai</t>
  </si>
  <si>
    <t>Finansējums programmai 96.00.00 "Latvijas prezidentūras Eiropas Savienības Padomē nodrošināšana 2015.gadā"  2013.gadā 194 719 latu apmērā, 2014.gadā 111 340 latu apmērā un 2015.gadā 123 248 latu apmērā divu papildu amata vietu izveidošanai Latvijas republikas Pastāvīgajā pārstāvniecībā Eiropas Savienībā, komandējumu izdevumiem un piemaksām (MK 12.07.2012. rīk. Nr.334 1.1.apakšp.; atbilstoši MK 16.08.2012. sēdē nolemtajam)</t>
  </si>
  <si>
    <t>2.13.</t>
  </si>
  <si>
    <t>Apakšprogrammā 22.12.00 "Nacionālo bruņoto spēku uzturēšana" palielināti izdevumi  2013.gadā 190 050 latu apmērā, 2014.gadā 211 603 latu apmērā un 2015.gadā 646 873 latu apmērā, lai nodrošinātu nacionālo atbalstu gaisa telpas patrulēšanai Baltijas valstu gaisa telpā (atbilstoši MK 16.08.2012. sēdē nolemtajam)</t>
  </si>
  <si>
    <t>2.14.</t>
  </si>
  <si>
    <t>Apakšprogrammā 22.12.00 "Nacionālo bruņoto spēku uzturēšana" palielināti izdevumi 2013.gadā 1 343 500 latu apmērā, 2014.gadā 427 200 latu apmērā un 2015.gadā 107 300 latu apmērā, lai nodrošinātu operāciju vadību gaisa telpas patrulēšanai Baltijas valstu gaisa telpā (atbilstoši MK 16.08.2012. sēdē nolemtajam)</t>
  </si>
  <si>
    <t>2.15.</t>
  </si>
  <si>
    <t>Apakšprogrammā 22.12.00 "Nacionālo bruņoto spēku uzturēšana" palielināti izdevumi 2013.gadā 351 400 latu apmērā, lai nodrošinātu NBS dalību militārajās mācībās (Militārās mācības STEADFAST JAZZ 2013) (atbilstoši MK 16.08.2012. sēdē nolemtajam)</t>
  </si>
  <si>
    <t>2.16.</t>
  </si>
  <si>
    <t>Programmā 33.00.00 "Aizsardzības īpašumu pārvaldīšana" palielināti izdevumi 2013.gadā 1 090 000 latu apmērā, 2014.gadā 2 500 000 latu apmērā un 2015.gadā 1 260 000 latu apmērā, lai nodrošinātu infrastruktūras attīstību (atbilstoši MK 16.08.2012. sēdē nolemtajam)</t>
  </si>
  <si>
    <t>2.17.</t>
  </si>
  <si>
    <t>Programmā 06.00.00 "Valsts drošības aizsardzība" palielināti izdevumi 2013.-2015.gadam 1 014 582 latu apmērā, lai nodrošinātu Militārās izlūkošanas un drošības dienesta darbību (atbilstoši MK 16.08.2012. sēdē nolemtajam)</t>
  </si>
  <si>
    <t>2.18.</t>
  </si>
  <si>
    <t>Programmā 28.00.00 "Ģeodēzija un kartogrāfija" palielināti izdevumi 2013.-2015.gadam 286 790 latu apmērā, lai nodrošinātu Topogrāfiskās kartes mērogā 1:10 000 aktualizāciju, t.sk. Latvijas teritorijas aerofotografēšanas 5.ciklu (atbilstoši MK 16.08.2012. sēdē nolemtajam)</t>
  </si>
  <si>
    <t>2.19.</t>
  </si>
  <si>
    <t>Programmā 12.00.00 "Kara muzejs" palielināti izdevumi 2013.-2015.gadam 56 320 latu apmērā, pārskaitīšanai biedrībai „Brāļu kapu komiteja”, lai nodrošinātu kara upuru apbedījumu vietu apsekošanu un piemiņas vietu iekārtošanu (atbilstoši MK 16.08.2012. sēdē nolemtajam)</t>
  </si>
  <si>
    <t>2.20.</t>
  </si>
  <si>
    <t>Apakšprogrammā 22.12.00 "Nacionālo bruņoto spēku uzturēšana" palielināti izdevumi  2014.gadā 59 385 latu apmērā, lai pasākuma "Rīga - 2014.gada Eiropas Kultūras galvaspilsēta" ietvaros nodrošinātu dalību Starptautiskajā militārās mūzikas festivālā (atbilstoši MK 16.08.2012. sēdē nolemtajam)</t>
  </si>
  <si>
    <t>2.21.</t>
  </si>
  <si>
    <t>Programmā 28.00.00 "Ģeodēzija un kartogrāfija" samazināti izdevumi  2013.gadā 165 538 latu apmērā, palielināti izdevumi 2014.gadā 80 990 latu apmērā un 2015.gadā 84 548 latu apmērā, lai nodrošinātu Latvijas un Krievijas kopīgās demarkācijas komisijas darbu un tās lēmumu īstenošanu (MK 14.08.2012. prot. Nr.45 27.§ 2.punkts)</t>
  </si>
  <si>
    <t>Valsts budžeta iestāžu saņemtie transferti par Eiropas Savienības politiku instrumentu un pārējās ārvalstu finanšu palīdzības līdzfinansēto projektu (pasākumu) īstenošanā neizlietotajiem piešķirtajiem līdzekļiem vai neatbilstoši veiktajiem izdevumiem no s</t>
  </si>
  <si>
    <t>Valsts budžeta iestāžu saņemtie transferti par Eiropas Savienības politiku instrumentu un pārējās ārvalstu finanšu palīdzības līdzfinansēto projektu (pasākumu) īstenošanā neizlietotajiem piešķirtajiem līdzekļiem vai neatbilstoši veiktajiem izdevumiem no c</t>
  </si>
  <si>
    <t>Pašu ieņēmumi 2013.gadā palielināti par Ls 65 170, kas ir 2012.gadā uzsāktā Twinning projekta finansējums 2013.gadam. 2014.-2015.gadā pašu ieņēmumu bāze paliek nemainīga</t>
  </si>
  <si>
    <t>Kopējie izdevumi 2013.gadā palielināti par Ls 65 170, kas ir 2012.gadā uzsāktā Twinning projekta finansējums 2013.gadam. 2014.-2015.gadā kopējo izdevumu bāze paliek nemainīga</t>
  </si>
  <si>
    <t>Atlīdzība 2013.gadā palielināta par Ls 155 421, tai skaitā Ls 116 201 sakarā ar Komisijas darbinieku skaita palielināšanu un Ls 39 220 Twinning projekta ekspertu darba samaksai. 2014.-2015.gadā atlīdzība palielināta par Ls 116 201 Komisijas darbinieku darba samaksas segšanai</t>
  </si>
  <si>
    <t>Atalgojums 2013.gadā palielināts par Ls 53 430, tai skaitā Ls 21 800 sakarā ar Komisijas darbinieku skaita palielināšanu un Ls 31 630 Twinning projekta ekspertu darba samaksai. 2014.-2015.gadā atalgojums palielināts par Ls 21 800 Komisijas darbinieku darba samaksas segšanai</t>
  </si>
  <si>
    <t>Preces un pakalpojumu pozīcija 2013.gadā samazināta par Ls 23 629, tai skaitā samazinājums par Ls 49 579 Komisijas preču un pakalpojumu apmaksai un palielinājums Ls 25 950 Twinning projekta komandējuma izdevumu segšanai. 2014.-2015.gadā preču un pakalpojumu pozīcija samazināta par Ls 23 629.</t>
  </si>
  <si>
    <t>Kapitālo izdevumu pozīcija 2013.gadā samazināta par Ls 66 622 Komisijas kapitālo izdevumu segšanai. 2014.-2015.gadā preču un pakalpojumu pozīcija samazināta par Ls 66 622.</t>
  </si>
  <si>
    <r>
      <t>Atbilstoši MK 2012.gada 16.augusta sēdes protokola Nr.46 11.</t>
    </r>
    <r>
      <rPr>
        <sz val="8"/>
        <rFont val="Calibri"/>
        <family val="2"/>
        <charset val="186"/>
      </rPr>
      <t>§</t>
    </r>
    <r>
      <rPr>
        <sz val="6.4"/>
        <rFont val="Times New Roman"/>
        <family val="1"/>
      </rPr>
      <t xml:space="preserve"> </t>
    </r>
    <r>
      <rPr>
        <sz val="10"/>
        <rFont val="Times New Roman"/>
        <family val="1"/>
      </rPr>
      <t>palielināts finansējums Ministru kabineta Mazās apspriežu zāles un Viesu salona remontam un tehniskajai labiekārtošanai</t>
    </r>
  </si>
  <si>
    <r>
      <t>Atbilstoši MK 2012.gada 16.augusta sēdes protokola Nr.46 11.</t>
    </r>
    <r>
      <rPr>
        <sz val="8"/>
        <rFont val="Calibri"/>
        <family val="2"/>
        <charset val="186"/>
      </rPr>
      <t>§</t>
    </r>
    <r>
      <rPr>
        <sz val="6.4"/>
        <rFont val="Times New Roman"/>
        <family val="1"/>
      </rPr>
      <t xml:space="preserve"> </t>
    </r>
    <r>
      <rPr>
        <sz val="10"/>
        <rFont val="Times New Roman"/>
        <family val="1"/>
      </rPr>
      <t>palielināts finansējums Valsts administrācijas skolai starptautiskajām iemaksām NORDEN Ierēdņu apmaiņas programmas īstenošanai</t>
    </r>
  </si>
  <si>
    <r>
      <t>Atbilstoši MK 2012.gada 16.augusta sēdes protokola Nr.46 11.</t>
    </r>
    <r>
      <rPr>
        <sz val="8"/>
        <rFont val="Calibri"/>
        <family val="2"/>
        <charset val="186"/>
      </rPr>
      <t>§</t>
    </r>
    <r>
      <rPr>
        <sz val="6.4"/>
        <rFont val="Times New Roman"/>
        <family val="1"/>
      </rPr>
      <t xml:space="preserve"> </t>
    </r>
    <r>
      <rPr>
        <sz val="10"/>
        <rFont val="Times New Roman"/>
        <family val="1"/>
      </rPr>
      <t>palielināts finansējums PKC darbības nodrošināšanai (telpu nomas izmaksām)</t>
    </r>
  </si>
  <si>
    <t>2012.gada 16.augusta Ministru kabineta lēmums demogrāfijas pasākumu īstenošanai</t>
  </si>
  <si>
    <t>Sabiedrības integrācijas fonda sekratariāta direktore</t>
  </si>
  <si>
    <t>Aija Bauere</t>
  </si>
  <si>
    <t xml:space="preserve">Finanšu un budžeta vadības nodaļas vadītāja </t>
  </si>
  <si>
    <t>Inta Sausā</t>
  </si>
  <si>
    <t>Tālr.67243129</t>
  </si>
  <si>
    <t>e-pasts: inta.sausa@sif.lv</t>
  </si>
  <si>
    <t>2012.gada 17.augustā</t>
  </si>
  <si>
    <r>
      <rPr>
        <b/>
        <sz val="10"/>
        <rFont val="Times New Roman"/>
        <family val="1"/>
        <charset val="186"/>
      </rPr>
      <t>Latvijas dalības nodrošināšanai "Expo Milano 2015" izstādē Milānā, Itālijā</t>
    </r>
    <r>
      <rPr>
        <sz val="10"/>
        <rFont val="Times New Roman"/>
        <family val="1"/>
      </rPr>
      <t xml:space="preserve"> (MK 26.06.12. sēdes prot.Nr.36)</t>
    </r>
  </si>
  <si>
    <r>
      <rPr>
        <b/>
        <sz val="10"/>
        <rFont val="Times New Roman"/>
        <family val="1"/>
        <charset val="186"/>
      </rPr>
      <t>Naftas produktu rezervju sistēmas uzturēšanai</t>
    </r>
    <r>
      <rPr>
        <sz val="10"/>
        <rFont val="Times New Roman"/>
        <family val="1"/>
      </rPr>
      <t xml:space="preserve"> (MK 10.07.12. sēdes prot.Nr.39)</t>
    </r>
  </si>
  <si>
    <r>
      <rPr>
        <b/>
        <sz val="10"/>
        <rFont val="Times New Roman"/>
        <family val="1"/>
        <charset val="186"/>
      </rPr>
      <t>Preču un pakalpojumu tirgus uzraudzības stiprināšana</t>
    </r>
    <r>
      <rPr>
        <sz val="10"/>
        <rFont val="Times New Roman"/>
        <family val="1"/>
      </rPr>
      <t xml:space="preserve"> (MK sēde 16.08.12.)</t>
    </r>
  </si>
  <si>
    <r>
      <rPr>
        <b/>
        <sz val="10"/>
        <rFont val="Times New Roman"/>
        <family val="1"/>
        <charset val="186"/>
      </rPr>
      <t>Komunālo maksājumu veikšanai
(sakarā ar SPRK)</t>
    </r>
    <r>
      <rPr>
        <sz val="10"/>
        <rFont val="Times New Roman"/>
        <family val="1"/>
      </rPr>
      <t xml:space="preserve"> (MK sēde 16.08.12.)</t>
    </r>
  </si>
  <si>
    <r>
      <rPr>
        <b/>
        <sz val="10"/>
        <rFont val="Times New Roman"/>
        <family val="1"/>
        <charset val="186"/>
      </rPr>
      <t>Eiropas Kultūras galvaspilsēta 2014.gads</t>
    </r>
    <r>
      <rPr>
        <sz val="10"/>
        <rFont val="Times New Roman"/>
        <family val="1"/>
      </rPr>
      <t xml:space="preserve"> (MK sēde 16.08.12.)</t>
    </r>
  </si>
  <si>
    <r>
      <rPr>
        <b/>
        <sz val="10"/>
        <rFont val="Times New Roman"/>
        <family val="1"/>
        <charset val="186"/>
      </rPr>
      <t>Papildus finansējums Latvijas prezidentūras Eiropas Savienības Padomē 2015.gadā sagatavošanai un nodrošināšanai</t>
    </r>
    <r>
      <rPr>
        <sz val="10"/>
        <rFont val="Times New Roman"/>
        <family val="1"/>
      </rPr>
      <t xml:space="preserve"> (MK sēde 16.08.12.)</t>
    </r>
  </si>
  <si>
    <t xml:space="preserve">Norvēģijas finanšu instrumenta līdzfinansētās programmas "Inovācijas zaļās ražošanas jomā" īstenošanai. </t>
  </si>
  <si>
    <t xml:space="preserve">            Subsīdijas, dotācijas un sociālie pabalsti</t>
  </si>
  <si>
    <t xml:space="preserve">              Subsīdijas un dotācijas</t>
  </si>
  <si>
    <t>Citu Eiropas Kopienas iniciatīvu projekts "Jaunā Patērētāju kreditēšanas direktīva: ieviešana, piemērošana, uzraudzība, negodīga komercprakse un netaisnīgi līguma noteikumi"</t>
  </si>
  <si>
    <t xml:space="preserve">        Ārvalstu finanšu palīdzība iestādes ieņēmumos </t>
  </si>
  <si>
    <t xml:space="preserve">            Kārtējie maksājumi Eiropas Savienības budžetā un starptautiskā sadarbība </t>
  </si>
  <si>
    <t xml:space="preserve">               Starptautiskā sadarbība</t>
  </si>
  <si>
    <r>
      <t>Atbilstoši MK 2012.gada 16.augusta  sēdes protokolam Nr.46 11.</t>
    </r>
    <r>
      <rPr>
        <sz val="10"/>
        <rFont val="Calibri"/>
        <family val="2"/>
        <charset val="186"/>
      </rPr>
      <t>§</t>
    </r>
    <r>
      <rPr>
        <sz val="8"/>
        <rFont val="Times New Roman"/>
        <family val="1"/>
      </rPr>
      <t xml:space="preserve"> </t>
    </r>
    <r>
      <rPr>
        <sz val="10"/>
        <rFont val="Times New Roman"/>
        <family val="1"/>
      </rPr>
      <t>palielināts finansējums biroja telpu nomas izmaksām</t>
    </r>
  </si>
  <si>
    <r>
      <t>Atbilstoši MK 2012.gada 16.augusta  sēdes protokolam Nr.46 11.</t>
    </r>
    <r>
      <rPr>
        <sz val="10"/>
        <rFont val="Calibri"/>
        <family val="2"/>
        <charset val="186"/>
      </rPr>
      <t>§</t>
    </r>
    <r>
      <rPr>
        <sz val="8"/>
        <rFont val="Times New Roman"/>
        <family val="1"/>
      </rPr>
      <t xml:space="preserve"> </t>
    </r>
    <r>
      <rPr>
        <sz val="10"/>
        <rFont val="Times New Roman"/>
        <family val="1"/>
      </rPr>
      <t>palielināts finansējums automašīnu nomai un degvielai</t>
    </r>
  </si>
  <si>
    <r>
      <t>Atbilstoši MK 2012.gada 16.augusta  sēdes protokolam Nr.46 11.</t>
    </r>
    <r>
      <rPr>
        <sz val="10"/>
        <rFont val="Calibri"/>
        <family val="2"/>
        <charset val="186"/>
      </rPr>
      <t>§</t>
    </r>
    <r>
      <rPr>
        <sz val="8"/>
        <rFont val="Times New Roman"/>
        <family val="1"/>
      </rPr>
      <t xml:space="preserve"> </t>
    </r>
    <r>
      <rPr>
        <sz val="10"/>
        <rFont val="Times New Roman"/>
        <family val="1"/>
      </rPr>
      <t>palielināts finansējums Saeimas un pašvaldību priekšvēlēšanu monitoringa veikšanai</t>
    </r>
  </si>
  <si>
    <t>Atbilstoši MK 2012.gada 16.augusta sēdes protokola Nr.46 11.§ palielināts finansējums vēlēšanu kastu iegādei</t>
  </si>
  <si>
    <r>
      <t xml:space="preserve">Programmā </t>
    </r>
    <r>
      <rPr>
        <b/>
        <sz val="10"/>
        <rFont val="Times New Roman"/>
        <family val="1"/>
        <charset val="186"/>
      </rPr>
      <t>03.00.00 "Nozares vadība"</t>
    </r>
    <r>
      <rPr>
        <sz val="10"/>
        <rFont val="Times New Roman"/>
        <family val="1"/>
      </rPr>
      <t xml:space="preserve"> samazināti resursi un izdevumi 2013.-2015.gadam no dotācijas no vispārējiem ieņēmumiem  51 644 latu apmērā, kā arī izdevumi no maksas pakalpojumu un citu pašu ieņēmumu atlikuma 174 355 latu apmērā, jo Informācijas tehnoloģiju droššibas incidentu novēršanas institūcijas   (CERT.LV) funkciju izpildi 2012.gada līmenī 225 999 latu apmērā nodrošinās Aizsardzības ministrija (MK 17.04.2012. prot. Nr.20 38.</t>
    </r>
    <r>
      <rPr>
        <sz val="10"/>
        <rFont val="Times New Roman"/>
        <family val="1"/>
        <charset val="186"/>
      </rPr>
      <t>§ 23.punkts)</t>
    </r>
  </si>
  <si>
    <r>
      <t xml:space="preserve">Programmā </t>
    </r>
    <r>
      <rPr>
        <b/>
        <sz val="10"/>
        <rFont val="Times New Roman"/>
        <family val="1"/>
        <charset val="186"/>
      </rPr>
      <t>03.00.00</t>
    </r>
    <r>
      <rPr>
        <sz val="10"/>
        <rFont val="Times New Roman"/>
        <family val="1"/>
      </rPr>
      <t xml:space="preserve"> </t>
    </r>
    <r>
      <rPr>
        <b/>
        <sz val="10"/>
        <rFont val="Times New Roman"/>
        <family val="1"/>
        <charset val="186"/>
      </rPr>
      <t>"Nozares vadība"</t>
    </r>
    <r>
      <rPr>
        <sz val="10"/>
        <rFont val="Times New Roman"/>
        <family val="1"/>
        <charset val="186"/>
      </rPr>
      <t xml:space="preserve">palielināti </t>
    </r>
    <r>
      <rPr>
        <sz val="10"/>
        <rFont val="Times New Roman"/>
        <family val="1"/>
      </rPr>
      <t>izdevumi 2013.-2015.gadam no maksas pakalpojumu un citu pašu ieņēmumu atlikuma uz 2013.gada 1.janvāri 160 000 latu apmērā, lai turpinātu AS "Air Baltic Corporation" kontroli un uzraudzību  (MK 17.04.2012. prot. Nr.20 38.</t>
    </r>
    <r>
      <rPr>
        <sz val="10"/>
        <rFont val="Times New Roman"/>
        <family val="1"/>
        <charset val="186"/>
      </rPr>
      <t>§ 29.punkts)</t>
    </r>
  </si>
  <si>
    <r>
      <t xml:space="preserve">Jaunā programmā </t>
    </r>
    <r>
      <rPr>
        <b/>
        <sz val="10"/>
        <rFont val="Times New Roman"/>
        <family val="1"/>
        <charset val="186"/>
      </rPr>
      <t xml:space="preserve">96.00.00"Latvijas prezidentūras Eiropas Savienības Padomē nodrošināšana 2015.gadā" </t>
    </r>
    <r>
      <rPr>
        <sz val="10"/>
        <rFont val="Times New Roman"/>
        <family val="1"/>
        <charset val="186"/>
      </rPr>
      <t>paredzēti izdevumi atbilstoši</t>
    </r>
    <r>
      <rPr>
        <b/>
        <sz val="10"/>
        <rFont val="Times New Roman"/>
        <family val="1"/>
        <charset val="186"/>
      </rPr>
      <t xml:space="preserve"> </t>
    </r>
    <r>
      <rPr>
        <sz val="10"/>
        <rFont val="Times New Roman"/>
        <family val="1"/>
        <charset val="186"/>
      </rPr>
      <t>MK 12.07.1012. rīkojuma Nr.334 1.9.1., 1.9.2., 1.9.3.apakšpunktiem.</t>
    </r>
  </si>
  <si>
    <r>
      <t xml:space="preserve">Programma </t>
    </r>
    <r>
      <rPr>
        <b/>
        <sz val="10"/>
        <rFont val="Times New Roman"/>
        <family val="1"/>
        <charset val="186"/>
      </rPr>
      <t>31.00.00 Sabiedriskais transports</t>
    </r>
    <r>
      <rPr>
        <sz val="10"/>
        <rFont val="Times New Roman"/>
        <family val="1"/>
      </rPr>
      <t xml:space="preserve"> </t>
    </r>
  </si>
  <si>
    <r>
      <t xml:space="preserve">31.05.00 Dotācija Autransporta direkcijai sabiedriskā transporta pakalpojumu organizēšanai </t>
    </r>
    <r>
      <rPr>
        <sz val="10"/>
        <rFont val="Times New Roman"/>
        <family val="1"/>
        <charset val="186"/>
      </rPr>
      <t xml:space="preserve">(MK 16.08.12. sēdes prot.)sakarā ar funkciju pārņemšanu no VARAM (jāsamazina 200 000 latu), lai Autotransportu direkcija varētu veikt papildus funkcijas valsts budžeta līdzekļu sadalē plānošanas reģioniem. </t>
    </r>
  </si>
  <si>
    <r>
      <t xml:space="preserve">31.06.00 Dotācija zaudējumu segšanai sab.tr.pakalpojumu sniedzējiem </t>
    </r>
    <r>
      <rPr>
        <sz val="10"/>
        <rFont val="Times New Roman"/>
        <family val="1"/>
        <charset val="186"/>
      </rPr>
      <t>(MK 16.08.12. sēdes prot.)</t>
    </r>
  </si>
  <si>
    <t>Valsts budžeta uzturēšanas izdevumu transferti citiem budžetiem noteiktam mērķim-7310</t>
  </si>
  <si>
    <t>Pārējie valsts budžeta uzturēšanas izdevumu transferti citiem budžetiem-7470</t>
  </si>
  <si>
    <r>
      <t xml:space="preserve">Programma </t>
    </r>
    <r>
      <rPr>
        <b/>
        <sz val="10"/>
        <rFont val="Times New Roman"/>
        <family val="1"/>
        <charset val="186"/>
      </rPr>
      <t>31.00.00 Sabiedriskais transports</t>
    </r>
    <r>
      <rPr>
        <sz val="10"/>
        <rFont val="Times New Roman"/>
        <family val="1"/>
      </rPr>
      <t xml:space="preserve"> (MK 16.08.12. sēdes prot.).</t>
    </r>
  </si>
  <si>
    <t>31.07.00 Sociālās drošības tīkla stratēģijas pasākumu nodrošināšanai</t>
  </si>
  <si>
    <r>
      <t xml:space="preserve">Programmā </t>
    </r>
    <r>
      <rPr>
        <b/>
        <sz val="10"/>
        <rFont val="Times New Roman"/>
        <family val="1"/>
        <charset val="186"/>
      </rPr>
      <t xml:space="preserve">23.00.00 Valsts autoceļu fonds </t>
    </r>
    <r>
      <rPr>
        <sz val="10"/>
        <rFont val="Times New Roman"/>
        <family val="1"/>
      </rPr>
      <t xml:space="preserve"> (MK 16.08.12. sēdes prot.)</t>
    </r>
  </si>
  <si>
    <t>23.00.00 Valsts autoceļu fonds</t>
  </si>
  <si>
    <t>Uzturēšanas izdevumu transferti-7310 (Mērķdotācija pašvaldībām)</t>
  </si>
  <si>
    <t xml:space="preserve">Palielināti izdevumi programmā 01.00.00 "Tiesa" saistībā ar Ministru kabineta 2012.gada 16.augusta sēdē atbalstīto - Tiesu prakses pētījumiem. </t>
  </si>
  <si>
    <t xml:space="preserve">Palielināti izdevumi programmā 01.00.00 "Tiesa" saistībā ar Ministru kabineta 2012.gada 16.augusta sēdē atbalstīto - Augstākās tiesas darbinieku veselības apdrošināšanai. </t>
  </si>
  <si>
    <t>Palielināti izdevumi programmā 01.00.00 "Tiesa" saistībā ar Ministru kabineta 2012.gada 16.augusta sēdē atbalstīto - Tieslietu padomes darba nodrošināšanai</t>
  </si>
  <si>
    <t xml:space="preserve">                  Preces un pakalpojumi</t>
  </si>
  <si>
    <t>Palielināti izdevumi programmā 01.00.00 "Tiesa" saistībā ar Ministru kabineta 2012.gada 16.augusta sēdē atbalstīto - Augstākās tiesas darbinieku darba samaksas nodrošināšanai atbilstoši darbinieku kvalifikācijas līmenim un novērtējumam</t>
  </si>
  <si>
    <t>Palielināti izdevumi programmā 01.00.00 "Tiesa" saistībā ar Ministru kabineta 2012.gada 16.augusta sēdē atbalstīto - Atvaļinājuma pabalstu nodrošināšanai Augstākās tiesas darbiniekiem</t>
  </si>
  <si>
    <t>Palielināti izdevumi programmā 01.00.00 "Tiesa" saistībā ar Ministru kabineta 2012.gada 16.augusta sēdē atbalstīto - Augstākās tiesas tiesnešu apmācībai un starptautiskajai sadarbībai</t>
  </si>
  <si>
    <t>Palielināti ieņēmumi no maksas pakalpojumiem un citiem pašu ieņēmumiem 5 460 latu apmērā sakarā ar plānoto jaunu telpu nomas līgumu ar Iekšlietu ministrijas Pilsonības un migrācijas lietu pārvaldi, izdevumi paredzēti PVN nomaksai valsts budžetā 948 latu apmērā un komunālajiem pakalpojumiem 4512 latu apmērā.</t>
  </si>
  <si>
    <t>Palielināti izdevumi programmā 01.00.00 "Tiesa" saskaņā ar Ministru kabineta 2012.gada 16.augusta ārkārtas sēdē atbalstīto prioritāro pasākumu "Satversmes tiesas ēkas neatliekamie remontdarbi".</t>
  </si>
  <si>
    <t>Ministru kabineta 2012.gada 16.augusta sēdē atbalstīts finansējums Prokuroru veselības apdrošināšanai.</t>
  </si>
  <si>
    <t>Ministru kabineta 2012.gada 16.augusta sēdē atbalstīts finansējums prokuroru palīgu un tulku veselības apdrošināšanai.</t>
  </si>
  <si>
    <t xml:space="preserve">Ministru kabineta 2012.gada 16.augusta sēdē atbalstīts finansējums prokuroru un prokuroru amata kandidātu apmācībām. </t>
  </si>
  <si>
    <t>Papildu finansējums programmai 96.00.00 "Latvijas prezidentūras Eiropas Savienības Padomē nodrošināšana 2015.gadā", lai sagatavotu un nodrošinātu Latvijas prezidentūru Eiropas Savienības Padomē 2015.gadā (MK 12.07.2012. rīk.Nr.334 1.5.p).</t>
  </si>
  <si>
    <t>III..</t>
  </si>
  <si>
    <t>Atbilstoši MK 16.08.2012.sēdē nolemtajam:</t>
  </si>
  <si>
    <t xml:space="preserve">Papildu finansējums apakšprogrammai 11.01.00 "Pilsonības un migrācijas lietu pārvalde" pašvaldību vēlēšanu nodrošināšanai 2013.gadā </t>
  </si>
  <si>
    <t xml:space="preserve">Papildu finansējums programmai 09.00.00 "Drošības policijas darbība" Drošības policijas kapacitātes attīstībai virtuālajā vidē </t>
  </si>
  <si>
    <t xml:space="preserve">Papildu finansējums programmai 09.00.00 "Drošības policijas darbība" piemaksu par izdienu un dienesta specifiku nodrošināšanai Drošības policijas amatpersonām </t>
  </si>
  <si>
    <t xml:space="preserve">Papildu finansējums apakšprogrammai 02.03.00 "Vienotās sakaru un informācijas sistēmas uzturēšana un vadība" datortehnikas nomaiņas un uzturēšanas nodrošināšanai (Šengenas Informācijas sistēmas (SIS) izmantošana) </t>
  </si>
  <si>
    <t xml:space="preserve">Papildu finansējums apakšprogrammai 06.01.00 "Valsts policija" jauna tehniskā aprīkojuma iegādei Valsts policijas Kriminālistikas pārvaldes ekspertīžu laboratorijai </t>
  </si>
  <si>
    <t xml:space="preserve">Papildu finansējums programmai 10.00.00 "Valsts robežsardzes darbība" videonovērošanas un tehniskās uzraudzības sistēmu remontiem un darbības nodrošināšanai  </t>
  </si>
  <si>
    <t>Papildu finansējums apakšprogrammai 02.03.00 "Vienotās sakaru un informācijas sistēmas uzturēšana un vadība" elektromagnētiskās saderības nodrošināšanai (</t>
  </si>
  <si>
    <t xml:space="preserve">Papildu finansējums programmai 07.00.00 "Ugunsdrošība, glābšana un civilā aizsardzība"  speciālā ugunsdzēsības un glābšanas aprīkojuma iegādei </t>
  </si>
  <si>
    <t xml:space="preserve">Papildu finansējums apakšprogrammai 11.01.00 "Pilsonības un migrācijas lietu pārvalde" klientu apkalpošanas kapacitātes paaugstināšanai </t>
  </si>
  <si>
    <t xml:space="preserve">Papildu finansējums apakšprogrammai 11.01.00 "Pilsonības un migrācijas lietu pārvalde" iemaksu starptautiskajās institūcijās un programmās nodrošināšanai </t>
  </si>
  <si>
    <t xml:space="preserve">Papildu finansējums  XXV Vispārējo latviešu Dziesmu un XV deju svētku norises nodrošināšanai 2013.gadā (tai skaitā apakšprogrammai 06.01.00 "Valsts policija"  - 166038 latu apmērā, programmai 07.00.00 "Ugunsdrošība glābšana un civilā aizsardzība" - 5254 latu apmērā un 09.00.00 "Drošības policijas darbība" -1913 latu apmērā) </t>
  </si>
  <si>
    <t xml:space="preserve">Papildu finansējums pasākuma Eiropas Kultūras galvaspilsēta 2014.gadā norises nodrošināšanai (tai skaitā apakšprogrammai 06.01.00 "Valsts policija"  - 375853 latu apmērā, programmai 07.00.00 "Ugunsdrošība glābšana un civilā aizsardzība" - 9555 latu apmērā) </t>
  </si>
  <si>
    <t xml:space="preserve">Papildu finansējums  XVII Baltijas studentu dziesmu un deju svētku „Gaudeamus” un XI Skolēnu Dziesmu un Deju svētku norises nodrošināšanai 2014.gadā 6548 lati, 2015.gadā 80886 lati (tai skaitā apakšprogrammai 06.01.00 "Valsts policija" 2014.gadā - 5659 latu apmērā, 2015.gadā - 75554 latu apmērā, programmai 07.00.00 "Ugunsdrošība glābšana un civilā aizsardzība" 2014.gadā - 889 latu apmērā, 2015.gadā 5332 latu apmērā) </t>
  </si>
  <si>
    <t xml:space="preserve">Papildu finansējums apakšprogrammai 11.01.00 "Pilsonības un migrācijas lietu pārvalde" Likumprojekts  "Grozījumi likumā "Par nekustamā īpašuma nodokli" - atvieglojumu daudzbērnu ģimenēm piemērošanai  </t>
  </si>
  <si>
    <t xml:space="preserve">Papildu finansējums programmai 96.00.00 "Latvijas prezidentūras Eiropas Savienības Padomē nodrošināšana 2015.gadā" Latvijas prezidentūras Eiropas Savienības Padomē 2015.gadā sagatavošanai un nodrošināšanai </t>
  </si>
  <si>
    <t>Precizēti izdevumi pa EKK apakšprogrammā 01.01.00 "Ministrijas vadība un administrācija", lai nodrošinātu vienotās resursu vadības sistēmas „Horizon” licenču apmaksu un programmatūras uzturēšanu.</t>
  </si>
  <si>
    <t xml:space="preserve">           'Preces un pakalpojumi</t>
  </si>
  <si>
    <t xml:space="preserve"> 'Kapitālie izdevumi</t>
  </si>
  <si>
    <t>Samazināti izdevumi, pārdalot finansējumu no apakšprogrammas 54.01.00 "Uzturlīdzekļu garantiju fonda administrācija"  uz apakšprogrammu 73.06.00 "Pārējās ārvalstu finanšu palīdzības līdzfinansētie projekti (2007-2013)", lai nodrošinātu projekta "Uzturlīdzekļu pārrobežu piedziņa Zviedrijā, Somijā un Latvijā" īstenošanu.</t>
  </si>
  <si>
    <t>Palielināti izdevumi programmā 08.00.00 "Valsts valodas centrs" saistībā ar Ministru kabineta 2012.gada 16.jūlija sēdē atbalstīto (protokols  Nr.46 11.§) Valsts valodas centra kapacitātes stiprināšanai.</t>
  </si>
  <si>
    <t>Palielināti izdevumi programmā 11.00.00 "Tiesu ekspertīžu zinātniskā pētniecība" saistībā ar Ministru kabineta 2012.gada 16.jūlija sēdē atbalstīto (protokols  Nr.46 11.§) Valsts tiesu ekspertīžu biroja kapacitātes paaugstināšanai.</t>
  </si>
  <si>
    <t>Palielināti izdevumi apakšprogrammā 36.02.00 "Apgabaltiesas un rajona (pilsētas) tiesas" saistībā ar Ministru kabineta 2012.gada 16.jūlija sēdē atbalstīto (protokols  Nr.46 11.§) tiesu darbinieku mēnešalgas palielināšanai par 40 latiem un tiesu darbinieku apdrošināšanas nodrošināšanai.</t>
  </si>
  <si>
    <t>Palielināti izdevumi programmā 39.00.00 "Dotācija Latvijas Politiski represēto biedrībai" saistībā ar Ministru kabineta 2012.gada 16.jūlija sēdē atbalstīto (protokols  Nr.46 11.§), lai kopējais izdevumu apjoms pret 2012.gadu netiktu samazināts, bet paliktu 2012.gada līmenī.</t>
  </si>
  <si>
    <t>Palielināti izdevumi programmā 57.00.00 "Valsts zemes dienests" saistībā ar Ministru kabineta 2012.gada 14.jūlija sēdē atbalstīto (protokols  Nr.45 27.§) Latvijas - Krievijas robežas demarkācijas nodrošināšanai</t>
  </si>
  <si>
    <t>3.</t>
  </si>
  <si>
    <t>Prioritārie pasākumi (MK 16.08.12):</t>
  </si>
  <si>
    <t>3.1.</t>
  </si>
  <si>
    <t>Palielināti izdevumi programmā 24.00.00 "Ieslodzījuma vietas" saistībā ar Ministru kabineta 2012.gada 16.jūlija sēdē atbalstīto (protokols  Nr.46 11.§)  Ieslodzījuma vietu pārvaldes darbības nodrošināšanai - preču un pakalpojumu apmaksai.</t>
  </si>
  <si>
    <t>3.2.</t>
  </si>
  <si>
    <t>Palielināti izdevumi programmā 24.00.00 "Ieslodzījuma vietas" saistībā ar Ministru kabineta 2012.gada 16.jūlija sēdē atbalstīto (protokols  Nr.46 11.§) jauna cietuma būvniecībai Olainē.</t>
  </si>
  <si>
    <t>3.3.</t>
  </si>
  <si>
    <t>Palielināti izdevumi programmā 24.00.00 "Ieslodzījuma vietas" saistībā ar Ministru kabineta 2012.gada 16.jūlija sēdē atbalstīto (protokols  Nr.46 11.§)  pedagogu zemākās mēnešalgas likmes paaugstināšanai no 2012.gada 1.septembra.</t>
  </si>
  <si>
    <t>3.4.</t>
  </si>
  <si>
    <t>Palielināti izdevumi programmā 34.00.00 "Probācijas dienests" saistībā ar Ministru kabineta 2012.gada 16.jūlija sēdē atbalstīto (protokols  Nr.46 11.§) probācijas funkciju atjaunošanai, kas tika samazinātas 2009.gadā vienlaicīgi ar budžeta izdevumu samazinājumu.</t>
  </si>
  <si>
    <t>3.5.</t>
  </si>
  <si>
    <t>Palielināti izdevumi programmā 34.00.00 "Probācijas dienests" saistībā ar Ministru kabineta 2012.gada 16.jūlija sēdē atbalstīto (protokols  Nr.46 11.§) probācijas dienesta darbinieku apdrošināšanai, kuri ir pakļauti dzīvības vai veselības apdraudējumam (riskam), veicot amata pienākumiem noteiktās funkcijas.</t>
  </si>
  <si>
    <t>3.6.</t>
  </si>
  <si>
    <t>Palielināti izdevumi programmā 45.00.00 "Juridiskās palīdzības nodrošināšana" saistībā ar Ministru kabineta 2012.gada 16.jūlija sēdē atbalstīto (protokols  Nr.46 11.§) valsts kompensācijas palielinājums noziedzīgā nodarījumā cietušajām personām.</t>
  </si>
  <si>
    <t>3.7.</t>
  </si>
  <si>
    <t>Palielināti izdevumi apakšprogrammā 54.02.00 "Uzturlīdzekļu fonds" saistībā ar Ministru kabineta 2012.gada 16.jūlija sēdē atbalstīto (protokols  Nr.46 11.§) uzturlīdzekļu izmaksas apmēra palielinājums.</t>
  </si>
  <si>
    <t>3.8.</t>
  </si>
  <si>
    <t>Palielināti izdevumi apakšprogrammā 36.01.00 "Tiesu administrācija" saistībā ar Ministru kabineta 2012.gada 16.jūlija sēdē atbalstīto (protokols  Nr.46 11.§) likumprojekta "Grozījumi likumā "Par nekustamā īpašuma nodokli" nodrošināšanai - atvieglojumu daudzbērnu ģimenēm piemērošanai.</t>
  </si>
  <si>
    <t>3.9.</t>
  </si>
  <si>
    <t>Palielināti izdevumi programmā 01.01.00 "Ministrijas vadība un administrācija" saistībā ar Ministru kabineta 2012.gada 16.jūlija sēdē atbalstīto (protokols  Nr.46 11.§) 2013.gadā Latvijas prezidentūras Eiropas Savienības Padomē 2015.gadā sagatavošanai un nodrošināšanai.</t>
  </si>
  <si>
    <t>Izdevumu palielinājums un līdzfinansējuma pārdale no apakšprogrammas 54.01.00 "Uzturlīdzekļu garantiju fonda administrācija" uz apakšprogrammu 73.06.00 "Pārējās ārvalstu finanšu palīdzības līdzfinansētie projekti (2007-2013)", lai nodrošinātu projekta "Uzturlīdzekļu pārrobežu piedziņa Zviedrijā, Somijā un Latvijā" īstenošanu.</t>
  </si>
  <si>
    <t>Apakšprogrammā 04.01.00 "Valsts pensiju speciālais budžets" palielināti izdevumi sociāliem pabalstiem, tai skaitā:</t>
  </si>
  <si>
    <t xml:space="preserve"> izdevumu palielinājums vecuma pensijām saistībā ar pensijas apmēra un saņēmēju skaita prognozēto palielināšanos vidēji mēnesī, t.sk. izdevumu palielinājums 2014.gadā (transferts no LM pamatbudžeta 120 903 756 Ls) un 2015.gadā (transferts no LM pamatbudžeta 116 813 520 Ls) saistībā ar piemaksu pie vecuma pensijas izmaksām atbilstoši likumam "Grozījumi likumā "Par valsts pensijām"", kas valsts pamatbudžetā ar 2014.gada 1.janvāri paredz valsts budžeta uzturēšanas izdevumu transfertu no valsts pamatbudžeta uz valsts speciālo budžetu, lai nodrošinātu līdz 2011.gada 31.decembrim piešķirto piemaksu pie vecuma pensijas izmaksas no valsts pensiju speciālā budžeta un izdevumu palielinājums 2013.gadā (transferts no LM pamatbudžeta 2 457 230 Ls), 2014.gadā (transferts no LM pamatbudžeta 2 094 445 Ls) un 2015.gadā (transferts no LM pamatbudžeta 1 703 419 Ls) politiski represēto personu pensiju atvieglojumiem</t>
  </si>
  <si>
    <t>Apakšprogrammā 04.02.00 "Nodarbinātības speciālais budžets" samazināti izdevumi sociāliem pabalstiem, tai skaitā:</t>
  </si>
  <si>
    <t xml:space="preserve"> izdevumu samazinājums bezdarbnieku pabalstiem saistībā ar pabalsta apmēra prognozēto samazināšanos vidēji mēnesī</t>
  </si>
  <si>
    <t>Apakšprogrammā 04.02.00 "Nodarbinātības speciālais budžets" 2014.gadā samazināti procentu izdevumi</t>
  </si>
  <si>
    <t>Apakšprogrammā 04.02.00 "Nodarbinātības speciālais budžets" 2015.gadā veikta pārdale starp izdevumu kodiem atbilstoši ekonomiskajām kategorijām, palielinot izdevumus precēm un pakalpojumiem 134 067 latu apmērā, un samazinot izdevumus subsīdijām un dotācijām 100 977 latu apmērā, valsts budžeta uzturēšanas izdevumus transfertam pašvaldībām noteiktam mērķim 32 490 latu apmērā un valsts budžeta transfertam valsts budžeta daļēji finansētām atvasinātajām publiskajām personām un budžeta nefinansētām iestādēm noteiktam mērķim 600 latu apmērā, lai nodrošinātu aktīvo nodarbinātības pasākumu īstenošanu</t>
  </si>
  <si>
    <t>Apakšprogrammā 04.03.00 "Darba negadījumu speciālais budžets" 2013. un 2014.gadā palielināti un 2015.gadā samazināti izdevumi sociāliem pabalstiem, tai skaitā:</t>
  </si>
  <si>
    <t>1.8.1.</t>
  </si>
  <si>
    <t xml:space="preserve"> izdevumu palielinājums slimības pabalstiem saistībā ar pabalsta apmēra prognozēto palielināšanos vidēji mēnesī</t>
  </si>
  <si>
    <t>1.8.2.</t>
  </si>
  <si>
    <t xml:space="preserve"> izdevumu izmaiņas atlīdzībām par darbspēju zaudējumu saistībā ar atlīdzības apmēra un saņēmēju skaita prognozētām izmaiņām vidēji mēnesī</t>
  </si>
  <si>
    <t>1.8.3.</t>
  </si>
  <si>
    <t>1.8.4.</t>
  </si>
  <si>
    <t xml:space="preserve"> izdevumu palielinājums pārējiem pabalstiem saistībā ar pabalstu saņēmēju skaita prognozēto palielināšanos un apmēra prognozēto samazināšanos vidēji mēnesī</t>
  </si>
  <si>
    <t>1.8.5.</t>
  </si>
  <si>
    <t>1.8.6.</t>
  </si>
  <si>
    <t>Apakšprogrammā 04.03.00 "Darba negadījumu speciālais budžets"  2013. un 2014.gadā palielināti un 2015.gadā samazināti izdevumi valsts budžeta transfertam no valsts speciālā budžeta uz valsts speciālo budžetu saistībā ar darba negadījumu speciālā budžeta īpatsvara izmaiņām (konsolidējamā pozīcija)</t>
  </si>
  <si>
    <t>Apakšprogrammā 04.03.00 "Darba negadījumu speciālais budžets"  2015.gadā samazināti valsts budžeta uzturēšanas izdevumu transferti valsts budžeta daļēji finansētām atvasinātajām publiskajām personām un budžeta nefinansētām iestādēm noteiktam mērķim</t>
  </si>
  <si>
    <t>Apakšprogrammā 04.04.00 "Invaliditātes, maternitātes un slimības speciālais budžets" samazināti izdevumi sociāliem pabalstiem, tai skaitā:</t>
  </si>
  <si>
    <t>1.11.1.</t>
  </si>
  <si>
    <t xml:space="preserve"> izdevumu palielinājums invaliditātes pensijām saistībā ar pensijas apmēra un saņēmēju skaita prognozēto palielināšanos vidēji mēnesī, t.sk. izdevumu palielinājums 2014.gadā (transferts no LM pamatbudžeta 6 152 952 Ls) un 2015.gadā (transferts no LM pamatbudžeta 5 601 174 Ls) saistībā ar piemaksu pie invaliditātes pensijas izmaksām atbilstoši likumam "Grozījumi likumā "Par valsts pensijām"", kas valsts pamatbudžetā ar 2014.gada 1.janvāri paredz valsts budžeta uzturēšanas izdevumu transfertu no valsts pamatbudžeta uz valsts speciālo budžetu, lai nodrošinātu līdz 2011.gada 31.decembrim piešķirto piemaksu pie invaliditātes pensijas izmaksas no invaliditātes, maternitātes un slimības speciālā budžeta</t>
  </si>
  <si>
    <t>1.11.2.</t>
  </si>
  <si>
    <t>1.11.3.</t>
  </si>
  <si>
    <t xml:space="preserve"> izdevumu palielinājums slimības pabalstiem saistībā ar pabalsta apmēra prognozēto palielināšanos un saņēmēju skaita prognozēto samazināšanos vidēji mēnesī</t>
  </si>
  <si>
    <t>1.11.4.</t>
  </si>
  <si>
    <t>1.11.5.</t>
  </si>
  <si>
    <t>1.11.6.</t>
  </si>
  <si>
    <t>1.11.7.</t>
  </si>
  <si>
    <t>1.11.8.</t>
  </si>
  <si>
    <t>1.11.9.</t>
  </si>
  <si>
    <t>1.11.10.</t>
  </si>
  <si>
    <t>1.11.11.</t>
  </si>
  <si>
    <t>1.12.</t>
  </si>
  <si>
    <t>Apakšprogrammā 04.04.00 "Invaliditātes, maternitātes un slimības speciālais budžets"  palielināti izdevumi valsts budžeta transfertam no valsts speciālā budžeta uz valsts speciālo budžetu saistībā ar invaliditātes, maternitātes un slimības speciālā budžeta īpatsvara izmaiņām (konsolidējamā pozīcija)</t>
  </si>
  <si>
    <t>1.13.</t>
  </si>
  <si>
    <t>Apakšprogrammā 04.01.00 "Valsts pensiju speciālais budžets" palielināti ieņēmumi iemaksām valsts pensiju apdrošināšanai par personām, kuras veic algotos pagaidu sabiedriskos darbus (transferts no LM pamatbudžeta)</t>
  </si>
  <si>
    <t>1.15.</t>
  </si>
  <si>
    <t>Apakšprogrammā 04.01.00 "Valsts pensiju speciālais budžets" palielināti ieņēmumi iemaksām valsts pensiju apdrošināšanai saistībā ar sociālās apdrošināšanas iemaksas pensiju apdrošināšanai no valsts pamatbudžeta paaugstināšanu (no 50 latiem līdz 100 latiem) par personu, kura kopj bērnu, kas nav sasniedzis pusotra  gada vecumu (transferts no LM pamatbudžeta)</t>
  </si>
  <si>
    <t>1.16.</t>
  </si>
  <si>
    <t>Apakšprogrammā 04.02.00 "Nodarbinātības speciālais budžets" 2013.gadā samazināti un 2014., 2015.gadā palielināti ieņēmumi valsts iemaksām sociālajai apdrošināšanai bezdarba gadījumam (transferts no LM pamatbudžeta)</t>
  </si>
  <si>
    <t>1.17.</t>
  </si>
  <si>
    <t>Apakšprogrammā 04.04.00 "Invaliditātes, maternitātes un slimības speciālais budžets" palielināti ieņēmumi valsts iemaksām sociālajai apdrošināšanai invaliditātes gadījumam (transferts no LM pamatbudžeta)</t>
  </si>
  <si>
    <t>1.18.</t>
  </si>
  <si>
    <t>Ieņēmumu palielinājums saistībā ar sociālās apdrošināšanas iemaksu apmēra pieaugumu</t>
  </si>
  <si>
    <t>Apakšprogrammā 04.02.00 "Nodarbinātības speciālais budžets" palielināti izdevumi sociāliem pabalstiem, lai nodrošinātu bezdarbnieka pabalstu izmaksu 2013.gadā 2 845 517 latu apmērā, 2014.gadā 5 945 691 lata apmērā un 2015.gadā 6 475 572 latu apmērā saistībā ar bezdarbnieka pabalsta saņemšanas ilguma pagarināšanu visiem līdz 9 mēnešiem, sākot ar 2013.gada 1.janvāri (atbilstoši MK 2012.gada 10.jūlija sēdes protokola Nr.39, 46.§ 3.punktam)</t>
  </si>
  <si>
    <t>Apakšprogrammā 04.04.00 "Invaliditātes, maternitātes un slimības speciālais budžets" palielināti izdevumi sociāliem pabalstiem, lai nodrošinātu vecāku pabalstu izmaksu 2013.gadā 3 702 119 latu apmērā, 2014.gadā 3 844 597 latu apmērā saistībā ar vecāku pabalsta izmaksu apmēra ierobežojuma noteikšanu 23,02 lati kalendāra dienā un 50 procenti no piešķirtās pabalsta summas, kas vienā kalendāra dienā pārsniedz 23,02 latus, sākot ar 2013.gada 1.janvāri (atbilstoši MK 2012.gada 10.jūlija sēdes protokola Nr.39, 46.§ 3.punktam)</t>
  </si>
  <si>
    <t>Apakšprogrammā 04.04.00 "Invaliditātes, maternitātes un slimības speciālais budžets" palielināti izdevumi sociāliem pabalstiem, lai nodrošinātu maternitātes pabalstu izmaksu 2013.gadā 2 472 044 latu apmērā, 2014.gadā 2 567 161 lata apmērā saistībā ar maternitātes pabalsta izmaksu apmēra ierobežojuma noteikšanu 23,02 lati kalendāra dienā un 50 procenti no piešķirtās pabalsta summas, kas vienā kalendāra dienā pārsniedz 23,02 latus, sākot ar 2013.gada 1.janvāri (atbilstoši MK 2012.gada 10.jūlija sēdes protokola Nr.39, 46.§ 3.punktam)</t>
  </si>
  <si>
    <t>Apakšprogrammā 04.04.00 "Invaliditātes, maternitātes un slimības speciālais budžets" palielināti izdevumi sociāliem pabalstiem, lai nodrošinātu paternitātes pabalstu izmaksu 2013.gadā 304 778 latu apmērā, 2014.gadā 316 520 latu apmērā saistībā ar paternitātes pabalsta izmaksu apmēra ierobežojuma noteikšanu 23,02 lati kalendāra dienā un 50 procenti no piešķirtās pabalsta summas, kas vienā kalendāra dienā pārsniedz 23,02 latus, sākot ar 2013.gada 1.janvāri (atbilstoši MK 2012.gada 10.jūlija sēdes protokola Nr.39, 46.§ 3.punktam)</t>
  </si>
  <si>
    <t>programmā 30.00.00 "Finansiālās un fiskālās politikas veidošana un valsts budžeta izstrāde" samazināti izdevumi atalgojumam atlīdzības ietvaros un attiecīgi palielināti budžeta izdevumu klasifikācijas kodā 1200 „Darba devēja valsts sociālās apdrošināšanas obligātajām iemaksām, sociāla rakstura pabalstiem un kompensācijām”, lai nodrošinātu Finanšu ministrijas darbiniekiem atvaļinājuma pabalstu izmaksu</t>
  </si>
  <si>
    <t>Atbilstoši MK 2012.gada 12,jūlija rīkojumam Nr.334 "Par papildu finansējumu, lai sagatavotu un nodrošinātu Latvijas prezidentūru ES Padomē 2015.gadā" palielināts finasējums</t>
  </si>
  <si>
    <t>1,1.</t>
  </si>
  <si>
    <t>apakšprogrammai  71.05.00 "Tehniskā palīdzība Eiropas Ekonomikas zonas finanšu instrumenta un Norvēģijas valdības divpusējā finanšu instrumenta apgūšanai" palielināts finansējums (pārdale no 80.00.00)</t>
  </si>
  <si>
    <t>apakšprogrammā  71.05.00 "Tehniskā palīdzība Eiropas Ekonomikas zonas finanšu instrumenta un Norvēģijas valdības divpusējā finanšu instrumenta apgūšanai" samazināti izdevumi precēm un pakalpojumiem un attiecīgi palielināti atalgojumam, lai nodrošinātu darbiniekiem atvaļinājuma pabalstu izmaksu</t>
  </si>
  <si>
    <t>apakšprogrammā 73.06.00 "Eiropas Komisijas (kopā ar iesaistītajām dalībvalstīm) un tabakas ražotāju nolīgumu ietvaros piešķirtie finanšu līdzekļi" samazināti izdevumi precēm un pakalpojumiem un attiecīgi palielināti kapitāliem izdevumiem</t>
  </si>
  <si>
    <t>Samazināti ieņēmumi no maksas pakalpojumiem un citi pašu ieņēmumi un tiem atbilstošie izdevumi precēm un pakalpojumiem apakšprogrammā 39.03.00 "Asins un asins komponentu nodrošināšana", samazinot virusoloģisko izmeklējumu skaitu plazmas donoriem atbilstoši pieprasījumam un samazinot ieņēmumus no telpu nomas.</t>
  </si>
  <si>
    <t>Samazināta dotācija no vispārējiem ieņēmumiem 1 512 latu apmērā apakšprogrammā 46.01.00 "Uzraudzība un kontrole" saistībā ar Veselības inspekcijas pārvaldes uzdevuma - veikt kompetentajai iestādei paredzētos uzdevumus atbilstoši prasībām, ko nosaka Eiropas Parlamenta un Padomes 2006.gada 20.decembra Regula Nr.1924/2006 par uzturvērtības un veselīguma norādēm uz pārtikas produktiem attiecībā uz sadarbību ar EK un Eiropas Pārtikas nekautīguma iestādi - nodošanu Pārtikas un veterinārajam dienestam ar 2012.gada 1.aprīli atbilstoši 21.02.2012 MK rīkojumam Nr.101, tai skaitā 1 423 lati  atlīdzībai (1 147 lati atalgojumam),77 lati precēm un pakalpojumiem, 12 lati kapitāliem izdevumiem. Vienlaicīgi tiks veiktas izmaiņas budžeta 2.pielikumā "Pamatbudžetā iemaksājamās valsts nodevas un citi maksājumi no valsts institūciju sniegtajiem pakalpojumiem un veiktās darbības", samazinot Veselības ministrijas citas nodevas par juridiskajiem un citiem pakalpojumiem apmēru no 5 012 latiem uz 3 500 latiem.</t>
  </si>
  <si>
    <t xml:space="preserve">Izdevumu samazinājums subsīdijām un dotācijām un atbilstošs palielinājums precēm un pakalpojumiem par 106 352 latiem, pārceļot finansējumu laboratorisko izmeklējumu apmaksai un HIV profilakses punktiem nepieciešamo zāļu iepirkumam, kas v/a „Latvijas infektoloģijas centrs” reorganizācijas procesā tika novirzīts uz apakšprogrammu 33.01.00, Slimību profilakses un kontroles centram uz apakšprogrammu 46.03.00 "Slimību profilakses nodrošināšana" </t>
  </si>
  <si>
    <t>Veikta līdzekļu pārdale, samazinot izdevumus precēm un pakalpojumiem apakšprogrammā 46.03.00 "Slimību profilakses nodrošināšana" un palielinot izdevumus subsīdijām un dotācijām apakšprogrammā 33.04.00 "Centralizēta medikamentu un materiālu iegāde" 223 498 latu apmērā, lai Nacionālais veselības dienests nodrošinātu imūnbioloģisko preparātu iepirkuma veikšanu.</t>
  </si>
  <si>
    <r>
      <t xml:space="preserve">Palielināti izdevumi subsīdijām un dotācijām un izdevumi precēm un pakalpojumiem Mātes un bērna veselības uzlabošanas plāna 2012.-2014.gadam realizācijai (atbilstoši MK 10.07.2012. prot.Nr.39 51.§ 33.p.), tai skaitā: 
</t>
    </r>
    <r>
      <rPr>
        <i/>
        <sz val="10"/>
        <rFont val="Times New Roman"/>
        <family val="1"/>
        <charset val="186"/>
      </rPr>
      <t>apakšprogrammā 33.01.00 "Ārstniecība"</t>
    </r>
    <r>
      <rPr>
        <sz val="10"/>
        <rFont val="Times New Roman"/>
        <family val="1"/>
      </rPr>
      <t xml:space="preserve"> izdevumi subsīdijām un dotācijām - 2013.gadā 2 375 380 latu apmērā, 2014.gadā - 2 644 880 latu apmērā,
</t>
    </r>
    <r>
      <rPr>
        <i/>
        <sz val="10"/>
        <rFont val="Times New Roman"/>
        <family val="1"/>
        <charset val="186"/>
      </rPr>
      <t>apakšprogrammā 33.03.00 "Kompensējamo medikamentu un materiālu apmaksāšana"</t>
    </r>
    <r>
      <rPr>
        <sz val="10"/>
        <rFont val="Times New Roman"/>
        <family val="1"/>
      </rPr>
      <t xml:space="preserve"> izdevumi subsīdijām un dotācijām - 2013.gadā 388 851 lata apmērā, 2014.gadā - 696 851 lata apmērā,
</t>
    </r>
    <r>
      <rPr>
        <i/>
        <sz val="10"/>
        <rFont val="Times New Roman"/>
        <family val="1"/>
        <charset val="186"/>
      </rPr>
      <t>programmā 45.00.00 "Veselības aprūpes finansējuma administrēšana un ekonomiskā novērtēšana"</t>
    </r>
    <r>
      <rPr>
        <sz val="10"/>
        <rFont val="Times New Roman"/>
        <family val="1"/>
      </rPr>
      <t xml:space="preserve"> izdevumi precēm un pakalpojumiem - 2013.gadā 28 001 lata apmērā, 2014.gadā - 26 001 lata apmērā,</t>
    </r>
    <r>
      <rPr>
        <i/>
        <sz val="10"/>
        <rFont val="Times New Roman"/>
        <family val="1"/>
        <charset val="186"/>
      </rPr>
      <t xml:space="preserve"> apakšprogrammā 46.03.00 "Slimību profilakses nodrošināšana"</t>
    </r>
    <r>
      <rPr>
        <sz val="10"/>
        <rFont val="Times New Roman"/>
        <family val="1"/>
      </rPr>
      <t xml:space="preserve"> izdevumi precēm un pakalpojumiem - 2013., 2014.gadā 79 260 latu apmērā</t>
    </r>
  </si>
  <si>
    <t>Palielināti izdevumi precēm un pakalpojumiem 2013.gadā 79 088 latu apmērā, tai skaitā komandējumu izdevumu segšanai 38 934 latu apmērā un apmācībām profesionālās kvalifikācijas celšanai nozares jautājumos 40 154 latu apmērā, izveidojot jaunu budžeta programmu "Latvijas prezidentūras Eiropas Savienības Padomē nodrošināšana 2015.gadā" (atbilstoši MK 12.07.2012. rīkojuma Nr.334 "Par papildu finansējumu, lai sagatavotu un nodrošinātu Latvijas prezidentūru Eiropas Savienības Padomē 2015.gadā”  1. un 1.11.punktam).</t>
  </si>
  <si>
    <r>
      <t xml:space="preserve">Palielināti izdevumi atbilstoši Ministru kabineta 16.08.2012 ārkārtas sēdes lēmumam (prot.Nr.46) veselības aprūpes pakalpojumu un medikamentu nodrošināšanai, lai saglabātu pieejamību 2012.gada līmenī , tai skaitā:
</t>
    </r>
    <r>
      <rPr>
        <i/>
        <sz val="10"/>
        <rFont val="Times New Roman"/>
        <family val="1"/>
        <charset val="186"/>
      </rPr>
      <t>apakšprogrammā 33.01.00 "Ārstniecība"</t>
    </r>
    <r>
      <rPr>
        <sz val="10"/>
        <rFont val="Times New Roman"/>
        <family val="1"/>
      </rPr>
      <t xml:space="preserve">
5 005 908 lati subsīdijām un dotācijām 2013.-2015.gadā ik gadu,
</t>
    </r>
    <r>
      <rPr>
        <i/>
        <sz val="10"/>
        <rFont val="Times New Roman"/>
        <family val="1"/>
        <charset val="186"/>
      </rPr>
      <t>apakšprogrammā 33.03.00 "Kompensējamo medikamentu un materiālu apmaksāšana"</t>
    </r>
    <r>
      <rPr>
        <sz val="10"/>
        <rFont val="Times New Roman"/>
        <family val="1"/>
      </rPr>
      <t xml:space="preserve">  
3 380 348 lati subsīdijām un dotācijām 2013.-2015.gadā ik gadu,
</t>
    </r>
    <r>
      <rPr>
        <i/>
        <sz val="10"/>
        <rFont val="Times New Roman"/>
        <family val="1"/>
        <charset val="186"/>
      </rPr>
      <t>apakšprogrammā 33.04.00 "Centralizēta medikamentu un materiālu iegāde"</t>
    </r>
    <r>
      <rPr>
        <sz val="10"/>
        <rFont val="Times New Roman"/>
        <family val="1"/>
      </rPr>
      <t xml:space="preserve"> 201 122 lati subsīdijām un dotācijām 2013.-2015.gadā ik gadu, 
</t>
    </r>
    <r>
      <rPr>
        <i/>
        <sz val="10"/>
        <rFont val="Times New Roman"/>
        <family val="1"/>
        <charset val="186"/>
      </rPr>
      <t>apakšprogrammā 39.04.00 "Neatliekamā medicīniskā palīdzība"</t>
    </r>
    <r>
      <rPr>
        <sz val="10"/>
        <rFont val="Times New Roman"/>
        <family val="1"/>
      </rPr>
      <t xml:space="preserve"> 1 412 622 lati precēm un pakalpojumiem 2013.-2015.gadā ik gadu.</t>
    </r>
  </si>
  <si>
    <t>Palielināti izdevumi atbilstoši Ministru kabineta 16.08.2012 ārkārtas sēdes lēmumam (prot.Nr.46) Sociālās drošības tīkla stratēģijas pasākumu īstenošanai veselības aprūpes jomā, tai skaitā:
apakšprogrammā 33.01.00 "Ārstniecība" 
subsīdijām un dotācijām 2013.gadā 12 720 906 lati, 2014.gadā - 13 133 934 lati, 2015.gadā - 
13 133 934 lati.
apakšprogrammā 33.03.00 "Kompensējamo medikamentu un materiālu apmaksāšana"  
subsīdijām un dotācijām 2013.gadā 3 430 318 lati, 2014.gadā 3 430 318, 2015.gadā 3 430 318 lati.</t>
  </si>
  <si>
    <t>Palielināti izdevumi atbilstoši Ministru kabineta 16.08.2012 ārkārtas sēdes lēmumam (prot.Nr.46) ambulatorajai ārstēšanai paredzēto zāļu un medicīnisko ierīču izdevumu kompensācijai apakšprogrammā 33.03.00 "Kompensējamo medikamentu un materiālu apmaksāšana" subsīdijām un dotācijām 2013.gadā 3 589 033 lati, 2014.gadā 3 589 033 lati, 2015.gadā 3 589 033 lati.</t>
  </si>
  <si>
    <t>Palielināti izdevumi atbilstoši Ministru kabineta 16.08.2012 ārkārtas sēdes lēmumam (prot.Nr.46) vakcīnu, peritoneālās dialīzes līdzekļu un bērnu redzes korekcijas līdzekļu iegādei apakšprogrammā 33.04.00 "Centralizēta medikamentu un materiālu iegāde" subsīdijām un dotācijām 2013.gadā 382 970 lati, 2014.gadā 382 970 lati, 2015.gadā 382 970 lati.</t>
  </si>
  <si>
    <t>Palielināti izdevumi atbilstoši Ministru kabineta 16.08.2012 ārkārtas sēdes lēmumam (prot.Nr.46) observācijas gultu uzturēšanas izdevumu segšanai stacionāros apakšprogrammā 33.01.00 "Ārstniecība" subsīdijām un dotācijām 2013.gadā 678 501 lats, 2014.gadā 678 501 lats, 2015.gadā 678 501 lats.</t>
  </si>
  <si>
    <t>Palielināti izdevumi atbilstoši Ministru kabineta 16.08.2012 ārkārtas sēdes lēmumam (prot.Nr.46) Bērnu klīniskajai universitātes slimnīcai papildu speciālistu nodrošināšanai uzņemšanas nodaļā apakšprogrammā 33.01.00 "Ārstniecība" subsīdijām un dotācijām 2013.gadā 367 203 lati, 2014.gadā 367 203 lati, 2015.gadā 367 203 lati.</t>
  </si>
  <si>
    <t>Palielināti izdevumi atbilstoši Ministru kabineta 16.08.2012 ārkārtas sēdes lēmumam (prot.Nr.46) rindu mazināšanai uz medicīnisko rehabilitāciju stacionārā apakšprogrammā 33.01.00 "Ārstniecība"subsīdijām un dotācijām 2013.gadā 356 382 lati, 2014.gadā 712 764 lati, 2015.gadā 712 764 lati.</t>
  </si>
  <si>
    <t>Palielināti izdevumi  atbilstoši Ministru kabineta 16.08.2012 ārkārtas sēdes lēmumam (prot.Nr.46) speciālistu konsultāciju un dienas stacionāros sniegto pakalpojumu apmaksai apakšprogrammā 33.01.00 "Ārstniecība" subsīdijām un dotācijām 2013.gadā 4 984 399 lati, 2014.gadā 7 649 238 lati, 2015.gadā 4 405 122 lati.</t>
  </si>
  <si>
    <t>Palielināti izdevumi  atbilstoši Ministru kabineta 16.08.2012 ārkārtas sēdes lēmumam (prot.Nr.46) diagnostisko un laboratorisko izmeklējumu nodrošināšanai apakšprogrammā 33.01.00 "Ārstniecība" subsīdijām un dotācijām 2013.gadā 6 087 960 lati, 2014.gadā 6 655 772 lati, 2015.gadā 5 892 896 lati.</t>
  </si>
  <si>
    <t>Palielināti izdevumi  atbilstoši Ministru kabineta 16.08.2012 ārkārtas sēdes lēmumam (prot.Nr.46) prognozējamās invaliditātes novēršanas pasākumiem apakšprogrammā 33.01.00 "Ārstniecība" subsīdijām un dotācijām 2013.gadā 704 109 lati, 2014.gadā 704 109 lati, 2015.gadā 704 109 lati.</t>
  </si>
  <si>
    <t>Palielināti izdevumi  atbilstoši Ministru kabineta 16.08.2012 ārkārtas sēdes lēmumam (prot.Nr.46) feldšerpunktu darbības nodrošināšanai apakšprogrammā 33.01.00 "Ārstniecība" subsīdijām un dotācijām 2013.gadā 747 484 lati, 2014.gadā 747 484 lati, 2015.gadā 747 484 lati.</t>
  </si>
  <si>
    <t>Palielināti izdevumi  atbilstoši Ministru kabineta 16.08.2012 ārkārtas sēdes lēmumam (prot.Nr.46) gaidīšanas rindu samazināšanai invazīvajai kardioloģijai, mikroķirurģijai pieaugušajiem un izgulējumu ārstēšanaiapakšprogrammā 33.01.00 "Ārstniecība" subsīdijām un dotācijām 2013.gadā 708 162 lati, 2014.gadā 708 162 lati, 2015.gadā 708 162 lati.</t>
  </si>
  <si>
    <t>Palielināti izdevumi atbilstoši Ministru kabineta 16.08.2012 ārkārtas sēdes lēmumam (prot.Nr.46) bērnu vakcinācijai pret rota vīrusu apakšprogrammā 33.04.00 "Centralizēta medikamentu un materiālu iegāde"  subsīdijām un dotācijām 2013.gadā 382 970 lati, 2014.gadā 382 970 lati, 2015.gadā 382 970 lati.</t>
  </si>
  <si>
    <t>Palielināti izdevumi atbilstoši Ministru kabineta 16.08.2012 ārkārtas sēdes lēmumam (prot.Nr.46) Mātes un bērna veselības uzlabošanas plāna 2012.-2014.gadam ietvaros uzsākto pasākumu turpināšanai pēc 2014.gada , tai skaitā: 
apakšprogrammā 33.01.00 "Ārstniecība" izdevumi subsīdijām un dotācijām - 2015.gadā  2 644 880 latu apmērā,
apakšprogrammā 33.03.00 "Kompensējamo medikamentu un materiālu apmaksāšana" izdevumi subsīdijām un dotācijām - 2015.gadā  696 851 lata apmērā,
apakšprogrammā 45.01.00 "Veselības aprūpes finansējuma administrēšana un ekonomiskā novērtēšana" izdevumi precēm un pakalpojumiem - 2015.gadā  26 001 lata apmērā;
apakšprogrammā 46.03.00 "Slimību profilakses nodrošināšana" izdevumi precēm un pakalpojumiem  - 2015.gadā  79 260 latu apmērā.</t>
  </si>
  <si>
    <t>Palielināti izdevumi atbilstoši Ministru kabineta 16.08.2012 ārkārtas sēdes lēmumam (prot.Nr.46) neatliekamās medicīniskās palīdzības nodrošināšanai XXV Vispārējo latviešu Dziesmu un XV Deju svētku laikā - apakšprogrammā 39.04.00 "Neatliekamā medicīniskā palīdzība" - 2013.gadā 72 439 latu apmērā, tai skaitā 22 058 lati atlīdzībai (17 760 lati atalgojumam), 47 542 lati precēm un pakalpojumiem, 2839 lati kapitāliem izdevumiem.</t>
  </si>
  <si>
    <t>Palielināti izdevumi atbilstoši Ministru kabineta 16.08.2012 ārkārtas sēdes lēmumam (prot.Nr.46) Rīga - Eiropas kultūras galvaspilsēta pasākumu nodrošināšanai: 2013.gadā 32 100 latu apmērā un 2014.gadā 415 307 latu apmērā, tai skaitā:
apakšprogrammā 06.02.00 "Medicīnas vēstures muzejs" 2013.gadā 32 100 latu (9 302 lati atlīdzībai, tai skaitā 7 501 lats atalgojumam, 22 798 lati precēm un pakalpojumiem), 2014.gadā 43 657 lati (19 346 lati atlīdzībai, tai skaitā 15 601 lats atalgojumam, 24 311 lati precēm un pakalpojumiem);
apakšprogrammā 39.04.00 "Neatliekamā medicīniskā palīdzība" - 2014.gadā  371 650 latu apmērā, tai skaitā 204 953 lati atlīdzībai (165 166 lati atalgojumam), 164 986 lati precēm un pakalpojumiem, 1 711 lati kapitāliem izdevumiem.</t>
  </si>
  <si>
    <t>2.22.</t>
  </si>
  <si>
    <t>Palielināti izdevumi atbilstoši Ministru kabineta 16.08.2012 ārkārtas sēdes lēmumam (prot.Nr.46) neatliekamās medicīniskās palīdzības nodrošināšanai XVII Baltijas studentu dziesmu un deju svētkos „Gaudeamus” 2014.gadā un XI Latvijas skolu jaunatnes dziesmu un deju svētkos 2015.gadā  apakšprogrammā 39.04.00 "Neatliekamā medicīniskā palīdzība": 
2014.gadā 8 500 latu apmērā, tai skaitā 3 078 lati atlīdzībai (2 478 lati atalgojumam), 5 339 lati precēm un pakalpojumiem, 83 lati kapitāliem izdevumiem,
2015.gadā 65 000 latu apmērā, tai skaitā 21 741 lats atlīdzībai (17 505 lati atalgojumam), 42 694 lati precēm un pakalpojumiem, 565 lati kapitāliem izdevumiem.</t>
  </si>
  <si>
    <t>2.23.</t>
  </si>
  <si>
    <t>Palielināti izdevumi atbilstoši Ministru kabineta 16.08.2012 ārkārtas sēdes lēmumam (prot.Nr.46) programmā 96.00.00 "Latvijas prezidentūras Eiropas Savienības Padomē nodrošināšana 2015.gadā" 1932 latu apmērā, lai nodrošinātu piemaksas par papildu darba uzdevumiem 2013.gadā tieši ar Prezidentūras jautājumiem strādājošiem Veselības ministrijas darbiniekiem (1932 lati atlīdzībai, tai skaitā 1557 lati atalgojumam).</t>
  </si>
  <si>
    <t>Apapkšprogrammas 70.06.00 " Narkotiku uzraudzības monitoringa fokālā punkta darbības nodrošināšana"  ietvaros veikta pārdale starp izdevumiem atbilstoši ekonomiskajām kategorijām, samazinot izdevumus precēm un pakalpojumiem 3 015 latu apmērā un palielinot izdevumus atlīdzībai 3 015 latu apmērā, tai skaitā atalgojumam 2 430 latu apmērā, lai Citu Eiropas Savienības politikas instrumentu  līdzfinansētajam projekta CESPI/VM/002 „Narkotiku uzraudzības monitoringa fokālais punkts” ietvaros nodrošinātu atlīdzību 3 amata vietām.</t>
  </si>
  <si>
    <t>Palielināti izdevumi 2013.gadā 42 103 latu apmērā (tai skaitā precēm un pakalpojumiem 21 149 latu apmērā, atlīdzībai 20 954 latu apmērā (atalgojumam 5 826 latu apmērā)), 2014.gadā 64 741 latu apmērā ( tai skaitā precēm un pakalpojumiem 24 782 latu apmērā, atlīdzībai 39 959 latu apmērā (atalgojumam 11 652 latu apmērā)) un 2015.gadā 38 839 latu apmērā (tai skaitā precēm un pakalpojumiem 15 530 latu apmērā, atlīdzībai 23 309 latu apmērā (atalgojumam 6 797 latu apmērā)), lai nodrošinātu vienu papildu amata vietas izveidošanu Latvijas Republikas Patstāvīgajā pārstāvniecībā Eiropas Savienībā no 2013.gada 1.jūlija un 2013.gadā palielināti izdevumi precēm un pakalpojumiem 37 050 latu apmērā komandējumu izdevumu segšanai, izveidojot jaunu programmu 96.00.00 "Latvijas prezidentūras Eiropas Savienības Padomē nodrošināšana 2015.gadā"  (atbilstoši MK 2012.gada 12.jūlija rīkojumam Nr.334)</t>
  </si>
  <si>
    <t>Izdevumi sociālās apdrošināšanas iemaksu no valsts pamatbudžeta paaugstināšanai no 50 latiem līdz 100 latiem par personu, kura kopj bērnu, kas nav sasniedzis pusotra  gada vecumu (apakšprogrammā 04.00.00 "Valsts atbalsts sociālajai apdrošināšanai" izdevumi valsts budžeta uzturēšanas izdevumu transfertiem no valsts pamatbudžeta uz valsts speciālo budžetu 2013.gadā un turpmāk ik gadu 1 476 000 latu apmērā)</t>
  </si>
  <si>
    <t>Tehnisko palīglīdzekļu nodrošināšanai (apakšprogrammā 05.01.00 "Sociālās rehabilitācijas valsts programmas" izdevumi subsīdijām un dotācijām 2013.gadā un turpmāk ik gadu 749 646 latu apmērā)</t>
  </si>
  <si>
    <t>2.10.1.</t>
  </si>
  <si>
    <t>Atalgojuma un piemaksu par darbu, kas saistīts ar īpašu risku,  pieauguma nodrošināšanai darbiniekiem, kuru darba pienākumi ir cieši saistīti ar VSAC klientu aprūpi, sniedzot tiem ikdienas aprūpi un rehabilitāciju (2013.gadā un turpmāk ik gadu izdevumi atlīdzībai 3 378 470 latu apmērā (atalgojumam 2 722 597 latu apmērā))</t>
  </si>
  <si>
    <t>2.10.2.</t>
  </si>
  <si>
    <t>Izdevumi precēm un pakalpojumiem izmēģinājumprojekta „Priekšlikumu klientu grupēšanai un nepieciešamā pakalpojuma apjoma noteikšanai” pabeigšanai  2013.gadā, lai segtu pilotprojekta realizācijai pieaicināto veselības un sociālās aprūpes ekspertu izdevumus (2013.gadā izdevumi precēm un pakalpojumiem 36 918 latu apmērā)</t>
  </si>
  <si>
    <t>2.10.3.</t>
  </si>
  <si>
    <t>Izdevumi pārtikai, lai nodrošinātu pieaugošo pārtikas cenu ietekmes samazināšanu uz pakalpojumu kvalitāti ( 2013.gadā un turpmāk ik gadu izdevumi precēm un pakalpojumiem 269 911 latu apmērā)</t>
  </si>
  <si>
    <t xml:space="preserve">Valsts darba inspekcijas kapacitātes uzlabošana (apakšprogrammā 21.01.00 "Darba tiesisko attiecību un darba apstākļu kontrole un uzraudzība",  2013.gadā palielināti izdevumi 411 961 lata apmērā, tai skaitā izdevumi atlīdzībai 279 241 lata apmērā (atalgojumam 224 444 latu apmērā), precēm un pakalpojumiem 132 720 latu apmērā, 2014.gadā palielināti izdevumi 422 614 latu apmērā, tai skaitā izdevumi atlīdzībai 289 894 latu apmērā (atalgojumam 232 364 latu apmērā), precēm un pakalpojumiem 132 720 latu apmērā un 2015.gadā palielināti izdevumi 422 614 latu apmērā, tai skaitā  izdevumi atlīdzībai 289 894 latu apmērā (atalgojumam 232 364 latu apmērā), precēm un pakalpojumiem 132 720 latu apmērā), tai skaitā par pasākumiem:
</t>
  </si>
  <si>
    <t>2.11.1.</t>
  </si>
  <si>
    <t>Atalgojumu palielināšanai Valsts darba inspekcijas inspektoriem (2013.gadā un turpmāk ik gadu palielināti izdevumi atlīdzībai 150 950 latu apmērā (atalgojumam 2013.gadā 121 328 latu apmērā un 2014.gadā un turpmāk ik gadu 120 994 latu apmērā))</t>
  </si>
  <si>
    <t>2.11.2.</t>
  </si>
  <si>
    <t>Valsts darba inspekcijai 20 inspektoru amata vietu izveidei (2013.gadā palielināti izdevumi atlīdzībai 113 921 lata apmērā (atalgojumam 91 566 latu apmērā) , 2014.gadā izdevumi atlīdzībai 123 605 latu apmērā (atalgojumam 99 075 latu apmērā), 2015.gadā izdevumi atlīdzībai 123 605 latu apmērā (atalgojumam 99 075 latu apmērā)</t>
  </si>
  <si>
    <t>2.11.3.</t>
  </si>
  <si>
    <t>Valsts darba inspekcijai 2 juriskonsultu amata vietu izveidei ( 2013.gadā palielināti izdevumi atlīdzībai 14 370 latu apmērā (atalgojumam 11 550 latu apmērā), 2014.gadā palielināti izdevumi atlīdzībai 15 339 latu apmērā (atalgojumam 12 295 latu apmērā), 2015.gadā palielināti izdevumi atlīdzībai 15 339 latu apmērā (atalgojumam 12 295 latu apmērā)</t>
  </si>
  <si>
    <t>2.11.4.</t>
  </si>
  <si>
    <t>Valsts darba inspekcijai 24 autotransportu nomai, lai veicinātu efektīvu normatīvo aktu ievērošanas kontroli un nodrošinātu apsekojumu veikšanu (2013.gadā un turpmāk ik gadu palielināti izdevumi precēm un pakalpojumiem 132 720 latu apmērā)</t>
  </si>
  <si>
    <t>Pedagogu zemākās mēnešalgas likmes paaugstināšana no 01.09.2012. (apakšprogrammā 05.37.00 "Sociālās integrācijas valsts aģentūras administrēšanas un profesionālās un sociālās rehabilitācijas pakalpojumu nodrošināšana" 2013.gadā palielināti izdevumi atlīdzībai 1 934 latu apmērā (atalgojumam 1 559 latu apmērā), 2014.gadā un turpmāk ik gadu izdevumi atlīdzībai 5 802 latu apmērā (atalgojumam 4 676 latu apmērā)</t>
  </si>
  <si>
    <t>Atbalsts bērna pieskatīšanai (50 Ls) - alternatīva ģimenēm, kurām nav iespēja bērnus atstāt bērnudārzā, sākot ar 2013.gada 1.septembri (apakšprogrammā 05.66.00 "Demogrāfijas pasākumu īstenošana" 2013.gadā palielināti izdevumi subsīdijām un dotācijām 3 829 000 latu apmērā, 2014.gadā un turpmāk ik gadu palielināti izdevumi subsīdijām un dotācijām 11 487 000 latu apmērā)</t>
  </si>
  <si>
    <t>Papildu finansējums Latvijas prezidentūras Eiropas Savienības Padomē 2015.gadā sagatavošanai un nodrošināšanai (apakšprogrammā 96.00.00 "Latvijas prezidentūras Eiropas Savienības Padomē nodrošināšana 2015.gadā" 2013.gadā palielināti izdevumi atlīdzībai 4 663 latu apmērā (atalgojumam 3 758 latu apmērā)</t>
  </si>
  <si>
    <t>2013.gadā apakšprogrammā 63.06.00 "Eiropas Sociālā fonda (ESF) projektu īstenošana (2007-2013)" projekta "Darbspēju vērtēšanas sistēmas pilnveidošana" īstenošanai palielināti izdevumi 516 173 latu apmērā (tai skaitā izdevumi atlīdzībai 1 356 latu apmērā, atalgojumama 1 090 latu apmērā, precēm un pakalpojumiem 514 817 latu apmērā)  (atbilstoši LM 13.08.2012. vēstulei Nr.12.2-15/67)</t>
  </si>
  <si>
    <t xml:space="preserve"> Apakšprogrammā 63.06.00 "Eiropas Sociālā fonda (ESF) projektu īstenošana (2007-2013)" ESF projektiem veikta izdevumu pārdale starp izdevumu kodiem atbilstoši ekonomiskajām kategorijām, t.sk:
- 2013.gadā projektam "Sociālās rehabilitācijas pakalpojumu attīstība personām ar redzes traucējumiem Latvijā" samazināti izdevumi precēm un pakalpojumiem 20 000 latu apmērā un attiecīgi palielināti izdevumi subsīdijām un dotācijām,
- 2013.gadā projektam "Alternatīvu sociālās rehabilitācijas pakalpojumu programmu izstrāde un pilnveidošana - fizisko, intelektuālo, sociālo komunikāciju un pamatprasmju attīstīšana personām ar funkcionālajiem traucējumiem VSAC "Latgale" filiālē "Kalkūni"" samazināti izdevumi atlīdzībai 4 207 latu apmērā, tai skaitā atalgojumam 3 391 lata apmērā, un attiecīgi palielināti izdevumi precēm un pakalpojumiem 4 207 latu apmērā.
2014.gadā  projektam "Alternatīvu sociālās rehabilitācijas pakalpojumu programmu izstrāde un pilnveidošana - fizisko, intelektuālo, sociālo komunikāciju un pamatprasmju attīstīšana personām ar funkcionālajiem traucējumiem VSAC "Latgale" filiālē "Kalkūni"" samazināti izdevumi atlīdzībai 1 060 latu apmērā (atalgojumam 854 latu) un attiecīgi palielināti izdevumi precēm un pakalpojumiem (atbilstoši LM 13.08.2012. vēstulei Nr.12.2-15/67)
</t>
  </si>
  <si>
    <t>2013.gadā samazināti valsts pamatbudžeta iestāžu saņemtie transferta pārskaitījumi no valsts pamatbudžeta dotācijas no vispārējiem ieņēmumiem 73 latu apmērā un palielināta vispārējā kārtībā sadalāmā dotācija no vispārējiem ieņēmumiem, veicot tehnisku precizējumu, lai nodrošinātu projekta "Sākotnējās profesionālās izglītības pievilcības veicināšana" īstenošanu (atbilstoši LM 13.08.2012. vēstulei Nr.12.2-15/67)</t>
  </si>
  <si>
    <t>Apakšprogrammā 70.05.00 "Tehniskā palīdzība ERAF, ESF, KF apgūšanai (2007-2013)" projekta "Eiropas Savienības fondu administrēšana Labklājības ministrijā 2007.-2013.gada plānošanas periodā (2012.-2015.gads)" īstenošanai 2013.gadā palielināti izdevumi 165 latu apmērā (izdevumi pamatkapitāla veidošanai), 2014.gadā palielināti izdevumi 47 365 latu apmērā (tai skaitā izdevumi atlīdzībai 47 365 latu apmērā, tai skaitā atalgojumam 37 070 latu apmērā), un 2015.gadā palielināti izdevumi 206 740 latu apmērā (izdevumi precēm un pakalpojumiem 1 533 latu apmērā, atlīdzībai 205 187 latu apmērā (atalgojumam 164 888 latu apmērā)). Vienlaikus 2014.gadā projektam veikta pārdale starp izdevumu kodiem atbilstoši ekonomiskajām kategorijām, samazinot izdevumus precēm un pakalpojumiem 335 latu apmērā un attiecīgi palielinot izdevumus atlīdzībai (atbilstoši LM 13.08.2012. vēstulei Nr.12.2-15/67)</t>
  </si>
  <si>
    <t>Apakšprogrammā 63.02.00 "Atmaksa valsts pamatbudžetā par Eiropas Sociālā fonda (ESF) fiansējumu (2007-2013)" palielināti izdevumi atmaksai valsts pamatbudžetā par ESF līdzfinansējumu 2013.gadā 11 020 118 latu apmērā, 2014.gadā 9 541 605 latu apmērā un 2015.gadā 2 659 930 latu apmērā (atbilstoši LM 13.08.2012.gada vēstulei Nr.12.2-15/69)</t>
  </si>
  <si>
    <t xml:space="preserve">1.10. </t>
  </si>
  <si>
    <t>Apakšprogrammā 63.06.00 "Eiropas Sociālā fonda (ESF) projektu īstenošana (2007-2013)" 2015.gadā palielināti izdevumi 3 120 542 latu apmērā projektam „Bezdarbnieku un darba meklētāju apmācība Latvijā-2” (izdevumi valsts budžeta uzturēšanas izdevumu transfertiem pašvaldībām ES politiku instrumentu un pārējās ārvalstu finanšu palīdzības līdzfinansētajiem projektiem (pasākumiem) 300 000, subsīdijām un dotācijām 2 441 002 lati, precēm un pakalpojumiem 100 000 lati, atlīdzībai 279 540 lati (atalgojumam 225 272 lati)) (atbilstoši LM 13.08.2012. vēstulei Nr.12.2-15/69).</t>
  </si>
  <si>
    <r>
      <rPr>
        <b/>
        <sz val="10"/>
        <rFont val="Times New Roman"/>
        <family val="1"/>
      </rPr>
      <t>SIF -</t>
    </r>
    <r>
      <rPr>
        <sz val="10"/>
        <rFont val="Times New Roman"/>
        <family val="1"/>
      </rPr>
      <t xml:space="preserve"> 2012.gada 16.augusta Ministru kabineta lēmums demogrāfijas pasākumu īstenošanai</t>
    </r>
  </si>
  <si>
    <r>
      <rPr>
        <b/>
        <sz val="10"/>
        <rFont val="Times New Roman"/>
        <family val="1"/>
      </rPr>
      <t>EM -</t>
    </r>
    <r>
      <rPr>
        <sz val="10"/>
        <rFont val="Times New Roman"/>
        <family val="1"/>
      </rPr>
      <t xml:space="preserve"> Preču un pakalpojumu tirgus uzraudzības stiprināšana (MK sēde 16.08.12.)</t>
    </r>
  </si>
  <si>
    <r>
      <rPr>
        <b/>
        <sz val="10"/>
        <rFont val="Times New Roman"/>
        <family val="1"/>
      </rPr>
      <t>EM -</t>
    </r>
    <r>
      <rPr>
        <sz val="10"/>
        <rFont val="Times New Roman"/>
        <family val="1"/>
      </rPr>
      <t xml:space="preserve"> Komunālo maksājumu veikšanai
(sakarā ar SPRK) (MK sēde 16.08.12.)</t>
    </r>
  </si>
  <si>
    <r>
      <rPr>
        <b/>
        <sz val="10"/>
        <rFont val="Times New Roman"/>
        <family val="1"/>
      </rPr>
      <t xml:space="preserve">EM </t>
    </r>
    <r>
      <rPr>
        <sz val="10"/>
        <rFont val="Times New Roman"/>
        <family val="1"/>
      </rPr>
      <t>- Eiropas Kultūras galvaspilsēta 2014.gads (MK sēde 16.08.12.)</t>
    </r>
  </si>
  <si>
    <r>
      <rPr>
        <b/>
        <sz val="10"/>
        <rFont val="Times New Roman"/>
        <family val="1"/>
      </rPr>
      <t xml:space="preserve">EM </t>
    </r>
    <r>
      <rPr>
        <sz val="10"/>
        <rFont val="Times New Roman"/>
        <family val="1"/>
      </rPr>
      <t>- Papildus finansējums Latvijas prezidentūras Eiropas Savienības Padomē 2015.gadā sagatavošanai un nodrošināšanai (MK sēde 16.08.12.)</t>
    </r>
  </si>
  <si>
    <r>
      <rPr>
        <b/>
        <sz val="10"/>
        <rFont val="Times New Roman"/>
        <family val="1"/>
      </rPr>
      <t>MK</t>
    </r>
    <r>
      <rPr>
        <sz val="10"/>
        <rFont val="Times New Roman"/>
        <family val="1"/>
      </rPr>
      <t>- Atbilstoši MK 2012.gada 16.augusta sēdes protokola Nr.46 11.</t>
    </r>
    <r>
      <rPr>
        <sz val="10"/>
        <rFont val="Calibri"/>
        <family val="2"/>
        <charset val="186"/>
      </rPr>
      <t>§</t>
    </r>
    <r>
      <rPr>
        <sz val="10"/>
        <rFont val="Times New Roman"/>
        <family val="1"/>
      </rPr>
      <t xml:space="preserve"> palielināts finansējums Ministru kabineta Mazās apspriežu zāles un Viesu salona remontam un tehniskajai labiekārtošanai</t>
    </r>
  </si>
  <si>
    <r>
      <rPr>
        <b/>
        <sz val="10"/>
        <rFont val="Times New Roman"/>
        <family val="1"/>
      </rPr>
      <t xml:space="preserve">MK </t>
    </r>
    <r>
      <rPr>
        <sz val="10"/>
        <rFont val="Times New Roman"/>
        <family val="1"/>
      </rPr>
      <t>- Atbilstoši MK 2012.gada 16.augusta sēdes protokola Nr.46 11.</t>
    </r>
    <r>
      <rPr>
        <sz val="10"/>
        <rFont val="Calibri"/>
        <family val="2"/>
        <charset val="186"/>
      </rPr>
      <t>§</t>
    </r>
    <r>
      <rPr>
        <sz val="10"/>
        <rFont val="Times New Roman"/>
        <family val="1"/>
      </rPr>
      <t xml:space="preserve"> palielināts finansējums Valsts administrācijas skolai starptautiskajām iemaksām NORDEN Ierēdņu apmaiņas programmas īstenošanai</t>
    </r>
  </si>
  <si>
    <r>
      <rPr>
        <b/>
        <sz val="10"/>
        <rFont val="Times New Roman"/>
        <family val="1"/>
      </rPr>
      <t>KNAB -</t>
    </r>
    <r>
      <rPr>
        <sz val="10"/>
        <rFont val="Times New Roman"/>
        <family val="1"/>
      </rPr>
      <t xml:space="preserve"> Atbilstoši MK 2012.gada 16.augusta  sēdes protokolam Nr.46 11.</t>
    </r>
    <r>
      <rPr>
        <sz val="10"/>
        <rFont val="Calibri"/>
        <family val="2"/>
        <charset val="186"/>
      </rPr>
      <t>§</t>
    </r>
    <r>
      <rPr>
        <sz val="10"/>
        <rFont val="Times New Roman"/>
        <family val="1"/>
      </rPr>
      <t xml:space="preserve"> palielināts finansējums biroja telpu nomas izmaksām</t>
    </r>
  </si>
  <si>
    <r>
      <rPr>
        <b/>
        <sz val="10"/>
        <rFont val="Times New Roman"/>
        <family val="1"/>
      </rPr>
      <t xml:space="preserve">KNAB - </t>
    </r>
    <r>
      <rPr>
        <sz val="10"/>
        <rFont val="Times New Roman"/>
        <family val="1"/>
      </rPr>
      <t>Atbilstoši MK 2012.gada 16.augusta  sēdes protokolam Nr.46 11.</t>
    </r>
    <r>
      <rPr>
        <sz val="10"/>
        <rFont val="Calibri"/>
        <family val="2"/>
        <charset val="186"/>
      </rPr>
      <t>§</t>
    </r>
    <r>
      <rPr>
        <sz val="10"/>
        <rFont val="Times New Roman"/>
        <family val="1"/>
      </rPr>
      <t xml:space="preserve"> palielināts finansējums automašīnu nomai un degvielai</t>
    </r>
  </si>
  <si>
    <r>
      <rPr>
        <b/>
        <sz val="10"/>
        <rFont val="Times New Roman"/>
        <family val="1"/>
      </rPr>
      <t xml:space="preserve">KNAB - </t>
    </r>
    <r>
      <rPr>
        <sz val="10"/>
        <rFont val="Times New Roman"/>
        <family val="1"/>
      </rPr>
      <t>Atbilstoši MK 2012.gada 16.augusta  sēdes protokolam Nr.46 11.</t>
    </r>
    <r>
      <rPr>
        <sz val="10"/>
        <rFont val="Calibri"/>
        <family val="2"/>
        <charset val="186"/>
      </rPr>
      <t>§</t>
    </r>
    <r>
      <rPr>
        <sz val="10"/>
        <rFont val="Times New Roman"/>
        <family val="1"/>
      </rPr>
      <t xml:space="preserve"> palielināts finansējums Saeimas un pašvaldību priekšvēlēšanu monitoringa veikšanai</t>
    </r>
  </si>
  <si>
    <r>
      <t xml:space="preserve">AiM - </t>
    </r>
    <r>
      <rPr>
        <sz val="10"/>
        <rFont val="Times New Roman"/>
        <family val="1"/>
      </rPr>
      <t>96.00.00 "Latvijas prezidentūras Eiropas Savienības Padomē nodrošināšana 2015.gadā"  divu papildu amata vietu izveidošanai Latvijas republikas Pastāvīgajā pārstāvniecībā Eiropas Savienībā, komandējumu izdevumiem un piemaksām (MK 12.07.2012. rīk. Nr.334 1.1.apakšp.; atbilstoši MK 16.08.2012. sēdē nolemtajam)</t>
    </r>
  </si>
  <si>
    <r>
      <t xml:space="preserve">AiM - </t>
    </r>
    <r>
      <rPr>
        <sz val="10"/>
        <rFont val="Times New Roman"/>
        <family val="1"/>
      </rPr>
      <t>22.12.00 "Nacionālo bruņoto spēku uzturēšana", lai nodrošinātu nacionālo atbalstu gaisa telpas patrulēšanai Baltijas valstu gaisa telpā (atbilstoši MK 16.08.2012. sēdē nolemtajam)</t>
    </r>
  </si>
  <si>
    <r>
      <t xml:space="preserve">AiM - </t>
    </r>
    <r>
      <rPr>
        <sz val="10"/>
        <rFont val="Times New Roman"/>
        <family val="1"/>
      </rPr>
      <t>22.12.00 "Nacionālo bruņoto spēku uzturēšana", lai nodrošinātu operāciju vadību gaisa telpas patrulēšanai Baltijas valstu gaisa telpā (atbilstoši MK 16.08.2012. sēdē nolemtajam)</t>
    </r>
  </si>
  <si>
    <r>
      <t>AiM -</t>
    </r>
    <r>
      <rPr>
        <sz val="10"/>
        <rFont val="Times New Roman"/>
        <family val="1"/>
      </rPr>
      <t xml:space="preserve"> 22.12.00 "Nacionālo bruņoto spēku uzturēšana", lai nodrošinātu NBS dalību militārajās mācībās (Militārās mācības STEADFAST JAZZ 2013) (atbilstoši MK 16.08.2012. sēdē nolemtajam)</t>
    </r>
  </si>
  <si>
    <r>
      <t xml:space="preserve">AiM - </t>
    </r>
    <r>
      <rPr>
        <sz val="10"/>
        <rFont val="Times New Roman"/>
        <family val="1"/>
      </rPr>
      <t>33.00.00 "Aizsardzības īpašumu pārvaldīšana", lai nodrošinātu infrastruktūras attīstību (atbilstoši MK 16.08.2012. sēdē nolemtajam)</t>
    </r>
  </si>
  <si>
    <r>
      <t xml:space="preserve">AiM - </t>
    </r>
    <r>
      <rPr>
        <sz val="10"/>
        <rFont val="Times New Roman"/>
        <family val="1"/>
      </rPr>
      <t>06.00.00 "Valsts drošības aizsardzība", lai nodrošinātu Militārās izlūkošanas un drošības dienesta darbību (atbilstoši MK 16.08.2012. sēdē nolemtajam)</t>
    </r>
  </si>
  <si>
    <r>
      <t xml:space="preserve">AiM - </t>
    </r>
    <r>
      <rPr>
        <sz val="10"/>
        <rFont val="Times New Roman"/>
        <family val="1"/>
      </rPr>
      <t>28.00.00 "Ģeodēzija un kartogrāfija", lai nodrošinātu Topogrāfiskās kartes mērogā 1:10 000 aktualizāciju, t.sk. Latvijas teritorijas aerofotografēšanas 5.ciklu (atbilstoši MK 16.08.2012. sēdē nolemtajam)</t>
    </r>
  </si>
  <si>
    <r>
      <t xml:space="preserve">AiM - </t>
    </r>
    <r>
      <rPr>
        <sz val="10"/>
        <rFont val="Times New Roman"/>
        <family val="1"/>
      </rPr>
      <t>12.00.00 "Kara muzejs", pārskaitīšanai biedrībai „Brāļu kapu komiteja”, lai nodrošinātu kara upuru apbedījumu vietu apsekošanu un piemiņas vietu iekārtošanu (atbilstoši MK 16.08.2012. sēdē nolemtajam)</t>
    </r>
  </si>
  <si>
    <r>
      <t>AiM -</t>
    </r>
    <r>
      <rPr>
        <sz val="10"/>
        <rFont val="Times New Roman"/>
        <family val="1"/>
      </rPr>
      <t xml:space="preserve"> 22.12.00 "Nacionālo bruņoto spēku uzturēšana", lai pasākuma "Rīga - 2014.gada Eiropas Kultūras galvaspilsēta" ietvaros nodrošinātu dalību Starptautiskajā militārās mūzikas festivālā (atbilstoši MK 16.08.2012. sēdē nolemtajam)</t>
    </r>
  </si>
  <si>
    <r>
      <rPr>
        <b/>
        <sz val="10"/>
        <rFont val="Times New Roman"/>
        <family val="1"/>
      </rPr>
      <t>ĀM -</t>
    </r>
    <r>
      <rPr>
        <sz val="10"/>
        <rFont val="Times New Roman"/>
        <family val="1"/>
      </rPr>
      <t xml:space="preserve"> Atbilstoši Ministru kabineta  2012.gada 16.augusta sēdē nolemtajam palielināts finansējums ārlietu dienesta funkciju nodrošināšana, OECD, EMU un ES Prezidentūras lobija trešajās valstīs nodrošināšanai un īstenošanai.</t>
    </r>
  </si>
  <si>
    <r>
      <rPr>
        <b/>
        <sz val="10"/>
        <rFont val="Times New Roman"/>
        <family val="1"/>
      </rPr>
      <t xml:space="preserve">ĀM - </t>
    </r>
    <r>
      <rPr>
        <sz val="10"/>
        <rFont val="Times New Roman"/>
        <family val="1"/>
      </rPr>
      <t xml:space="preserve">Atbilstoši Ministru kabineta  2012.gada 16.augusta sēdē nolemtajam palielināts finansējums materiālās palīdzības fonda nodrošināšanai un administrēšanai. </t>
    </r>
  </si>
  <si>
    <r>
      <rPr>
        <b/>
        <sz val="10"/>
        <rFont val="Times New Roman"/>
        <family val="1"/>
      </rPr>
      <t>ĀM -</t>
    </r>
    <r>
      <rPr>
        <sz val="10"/>
        <rFont val="Times New Roman"/>
        <family val="1"/>
      </rPr>
      <t xml:space="preserve"> Atbilstoši Ministru kabineta  2012.gada 16.augusta sēdē nolemtajam palielināts finansējums vīzu pārstāvībai Latvijas Republikas konsulātā Vitebskā.</t>
    </r>
  </si>
  <si>
    <r>
      <rPr>
        <b/>
        <sz val="10"/>
        <rFont val="Times New Roman"/>
        <family val="1"/>
      </rPr>
      <t>ĀM -</t>
    </r>
    <r>
      <rPr>
        <sz val="10"/>
        <rFont val="Times New Roman"/>
        <family val="1"/>
      </rPr>
      <t xml:space="preserve"> Atbilstoši Ministru kabineta  2012.gada 16.augusta sēdē nolemtajam palielināts finansējums ar pasākuma „Rīga-2014.gada Eiropas kultūras galvaspilsēta” saistīto organizatorisko izdevumu nodrošināšanai.</t>
    </r>
  </si>
  <si>
    <r>
      <rPr>
        <b/>
        <sz val="10"/>
        <rFont val="Times New Roman"/>
        <family val="1"/>
      </rPr>
      <t xml:space="preserve">ĀM </t>
    </r>
    <r>
      <rPr>
        <sz val="10"/>
        <rFont val="Times New Roman"/>
        <family val="1"/>
      </rPr>
      <t xml:space="preserve">- Atbilstoši Ministru kabineta  2012.gada 16.augusta sēdē nolemtajam palielināts finansējums Latvijas prezidentūras ES Padomē sagatavošanas sekretariāta darbības nodrošināšanai. </t>
    </r>
  </si>
  <si>
    <r>
      <rPr>
        <b/>
        <sz val="10"/>
        <rFont val="Times New Roman"/>
        <family val="1"/>
      </rPr>
      <t xml:space="preserve">ĀM </t>
    </r>
    <r>
      <rPr>
        <sz val="10"/>
        <rFont val="Times New Roman"/>
        <family val="1"/>
      </rPr>
      <t xml:space="preserve">- Atbilstoši Ministru kabineta  2012.gada 16.augusta sēdē nolemtajam palielināti bāzes izdevumi 2013.- 2015.gadam budžeta programmā „Latvijas prezidentūras Eiropas Savienības Padomē nodrošināšana 2015. gadā” piecu papildus amata vietu izveidošanai centrālajā aparātā Latvijas prezidentūras Eiropas Savienības Padomē sagatavošanas nodrošināšanai. </t>
    </r>
  </si>
  <si>
    <r>
      <rPr>
        <b/>
        <sz val="10"/>
        <rFont val="Times New Roman"/>
        <family val="1"/>
      </rPr>
      <t>ĀM -</t>
    </r>
    <r>
      <rPr>
        <sz val="10"/>
        <rFont val="Times New Roman"/>
        <family val="1"/>
      </rPr>
      <t xml:space="preserve"> Atbilstoši Ministru kabineta  2012.gada 16.augusta sēdē nolemtajam palielināts finansējums Latvijas prezidentūras Eiropas Savienības Padomē sekretariātam Latvijas prezidentūras kultūras programmas sagatavošanai (finansējums valsts aģentūras „Latvijas Nacionālais mākslas muzejs” izstādes Beļģijā „Iespaidi un paralēles: beļģu un latviešu glezniecība no Latvijas Nacionālā mākslas muzeja kolekcijas. 20.gadsimta pirmā puse” sagatavošanai) </t>
    </r>
  </si>
  <si>
    <r>
      <rPr>
        <b/>
        <sz val="10"/>
        <rFont val="Times New Roman"/>
        <family val="1"/>
      </rPr>
      <t>FM -</t>
    </r>
    <r>
      <rPr>
        <sz val="10"/>
        <rFont val="Times New Roman"/>
        <family val="1"/>
      </rPr>
      <t xml:space="preserve"> Atbilstoši MK 2012.gada 16,augusta sēdē nolemtejam par valsts budžeta prioritārajiem pasākumiem 2013.-2015.gadam palielināts finasējums administratīvo pārkāpumu un sodu piemērošanas funkciju izpildes nodrošināšanai</t>
    </r>
  </si>
  <si>
    <r>
      <rPr>
        <b/>
        <sz val="10"/>
        <rFont val="Times New Roman"/>
        <family val="1"/>
      </rPr>
      <t xml:space="preserve">IeM </t>
    </r>
    <r>
      <rPr>
        <sz val="10"/>
        <rFont val="Times New Roman"/>
        <family val="1"/>
      </rPr>
      <t xml:space="preserve">-  09.00.00 "Drošības policijas darbība" piemaksu par izdienu un dienesta specifiku nodrošināšanai Drošības policijas amatpersonām </t>
    </r>
  </si>
  <si>
    <r>
      <rPr>
        <b/>
        <sz val="10"/>
        <rFont val="Times New Roman"/>
        <family val="1"/>
      </rPr>
      <t xml:space="preserve">IeM </t>
    </r>
    <r>
      <rPr>
        <sz val="10"/>
        <rFont val="Times New Roman"/>
        <family val="1"/>
      </rPr>
      <t xml:space="preserve">- 09.00.00 "Drošības policijas darbība" Drošības policijas kapacitātes attīstībai virtuālajā vidē </t>
    </r>
  </si>
  <si>
    <r>
      <rPr>
        <b/>
        <sz val="10"/>
        <rFont val="Times New Roman"/>
        <family val="1"/>
      </rPr>
      <t xml:space="preserve">IeM </t>
    </r>
    <r>
      <rPr>
        <sz val="10"/>
        <rFont val="Times New Roman"/>
        <family val="1"/>
      </rPr>
      <t xml:space="preserve">- 11.01.00 "Pilsonības un migrācijas lietu pārvalde" pašvaldību vēlēšanu nodrošināšanai 2013.gadā </t>
    </r>
  </si>
  <si>
    <r>
      <rPr>
        <b/>
        <sz val="10"/>
        <rFont val="Times New Roman"/>
        <family val="1"/>
      </rPr>
      <t xml:space="preserve">FM </t>
    </r>
    <r>
      <rPr>
        <sz val="10"/>
        <rFont val="Times New Roman"/>
        <family val="1"/>
      </rPr>
      <t>- Atbilstoši MK 2012.gada 16,augusta sēdē nolemtejam par valsts budžeta prioritārajiem pasākumiem 2013.-2015.gadam iemaksai Eiropas Investīciju bankas kapitāla palielināšanai (pasākums neietekmē kopējos izdevumus)</t>
    </r>
  </si>
  <si>
    <r>
      <rPr>
        <b/>
        <sz val="10"/>
        <rFont val="Times New Roman"/>
        <family val="1"/>
      </rPr>
      <t>FM</t>
    </r>
    <r>
      <rPr>
        <sz val="10"/>
        <rFont val="Times New Roman"/>
        <family val="1"/>
      </rPr>
      <t xml:space="preserve"> - Atbilstoši MK 2012.gada 16,augusta sēdē nolemtejam par valsts budžeta prioritārajiem pasākumiem 2013.-2015.gadam  VAS "Valsts nekustamie īpašumi" KNAB pārcelšanās uz A.Briāna ielu nodrošināšanai</t>
    </r>
  </si>
  <si>
    <r>
      <rPr>
        <b/>
        <sz val="10"/>
        <rFont val="Times New Roman"/>
        <family val="1"/>
      </rPr>
      <t>FM</t>
    </r>
    <r>
      <rPr>
        <sz val="10"/>
        <rFont val="Times New Roman"/>
        <family val="1"/>
      </rPr>
      <t xml:space="preserve"> - Atbilstoši MK 2012.gada 16,augusta sēdē nolemtejam par valsts budžeta prioritārajiem pasākumiem 2013.-2015.gadam  VAS "Valsts nekustamie īpašumi" Jaunā Rīgas teātra ēkas rekonstrukcijai</t>
    </r>
  </si>
  <si>
    <r>
      <rPr>
        <b/>
        <sz val="10"/>
        <rFont val="Times New Roman"/>
        <family val="1"/>
      </rPr>
      <t>FM -</t>
    </r>
    <r>
      <rPr>
        <sz val="10"/>
        <rFont val="Times New Roman"/>
        <family val="1"/>
      </rPr>
      <t xml:space="preserve"> Atbilstoši MK 2012.gada 16,augusta sēdē nolemtejam par valsts budžeta prioritārajiem pasākumiem 2013.-2015.gadam VAS "Valsts nekustamie īpašumi" būvniecībai Jūras ielā 34, Ventspilī</t>
    </r>
  </si>
  <si>
    <r>
      <rPr>
        <b/>
        <sz val="10"/>
        <rFont val="Times New Roman"/>
        <family val="1"/>
      </rPr>
      <t>FM</t>
    </r>
    <r>
      <rPr>
        <sz val="10"/>
        <rFont val="Times New Roman"/>
        <family val="1"/>
      </rPr>
      <t xml:space="preserve"> - Atbilstoši MK 2012.gada 16,augusta sēdē nolemtejam par valsts budžeta prioritārajiem pasākumiem 2013.-2015.gadam  VAS "Valsts nekustamie īpašumi" Muzeju krātuvju kompleksa būvniecībai Pulka ielā 8, Rīgā (attīstības I posms - būvniecības I kārta - muzeja krātuvju korpusa (ēkas) un komunikāciju tīkla izbūve)</t>
    </r>
  </si>
  <si>
    <r>
      <rPr>
        <b/>
        <sz val="10"/>
        <rFont val="Times New Roman"/>
        <family val="1"/>
      </rPr>
      <t xml:space="preserve">FM </t>
    </r>
    <r>
      <rPr>
        <sz val="10"/>
        <rFont val="Times New Roman"/>
        <family val="1"/>
      </rPr>
      <t>- Atbilstoši MK 2012.gada 16,augusta sēdē nolemtejam par valsts budžeta prioritārajiem pasākumiem 2013.-2015.gadam VAS "Valsts nekustamie īpašumi" Rīgas pils restaurācijai un rekonstrukcijai Pils laukumā 3, Rīgā (būvniecības II kārta - Konventa nodrošināšana)</t>
    </r>
  </si>
  <si>
    <r>
      <rPr>
        <b/>
        <sz val="10"/>
        <rFont val="Times New Roman"/>
        <family val="1"/>
      </rPr>
      <t>FM -</t>
    </r>
    <r>
      <rPr>
        <sz val="10"/>
        <rFont val="Times New Roman"/>
        <family val="1"/>
      </rPr>
      <t xml:space="preserve"> Atbilstoši MK 2012.gada 16,augusta sēdē nolemtejam par valsts budžeta prioritārajiem pasākumiem 2013.-2015.gadam uzlabojumu nodrošināšanai elektroniskās deklarēšanas sistēmā</t>
    </r>
  </si>
  <si>
    <r>
      <rPr>
        <b/>
        <sz val="10"/>
        <rFont val="Times New Roman"/>
        <family val="1"/>
      </rPr>
      <t xml:space="preserve">FM - </t>
    </r>
    <r>
      <rPr>
        <sz val="10"/>
        <rFont val="Times New Roman"/>
        <family val="1"/>
      </rPr>
      <t>Atbilstoši MK 2012.gada 16,augusta sēdē nolemtejam par valsts budžeta prioritārajiem pasākumiem 2013.-2015.gadam kravas skeneru uzturēšanai</t>
    </r>
  </si>
  <si>
    <r>
      <rPr>
        <b/>
        <sz val="10"/>
        <rFont val="Times New Roman"/>
        <family val="1"/>
      </rPr>
      <t xml:space="preserve">FM </t>
    </r>
    <r>
      <rPr>
        <sz val="10"/>
        <rFont val="Times New Roman"/>
        <family val="1"/>
      </rPr>
      <t>- Atbilstoši MK 2012.gada 16,augusta sēdē nolemtejam par valsts budžeta prioritārajiem pasākumiem 2013.-2015.gadam kravu skenēšanas sistēmu iegādei</t>
    </r>
  </si>
  <si>
    <r>
      <rPr>
        <b/>
        <sz val="10"/>
        <rFont val="Times New Roman"/>
        <family val="1"/>
      </rPr>
      <t xml:space="preserve">FM - </t>
    </r>
    <r>
      <rPr>
        <sz val="10"/>
        <rFont val="Times New Roman"/>
        <family val="1"/>
      </rPr>
      <t>Atbilstoši MK 2012.gada 16,augusta sēdē nolemtejam par valsts budžeta prioritārajiem pasākumiem 2013.-2015.gadam Valsts ieņēmumu dienesta laboratorijas tehniskā aprīkojuma iegādei</t>
    </r>
  </si>
  <si>
    <r>
      <rPr>
        <b/>
        <sz val="10"/>
        <rFont val="Times New Roman"/>
        <family val="1"/>
      </rPr>
      <t>FM -</t>
    </r>
    <r>
      <rPr>
        <sz val="10"/>
        <rFont val="Times New Roman"/>
        <family val="1"/>
      </rPr>
      <t xml:space="preserve"> Atbilstoši MK 2012.gada 16,augusta sēdē nolemtejam par valsts budžeta prioritārajiem pasākumiem 2013.-2015.gadam Valsts ieņēmumu dienesta administratīvās ēkas Tālejas iela 1, Rīgā, telpu nomas maksas, aprīkojuma iegādes, pārcelšanās un uzturēšanas izdevumu segšanai</t>
    </r>
  </si>
  <si>
    <r>
      <rPr>
        <b/>
        <sz val="10"/>
        <rFont val="Times New Roman"/>
        <family val="1"/>
      </rPr>
      <t xml:space="preserve">IeM </t>
    </r>
    <r>
      <rPr>
        <sz val="10"/>
        <rFont val="Times New Roman"/>
        <family val="1"/>
      </rPr>
      <t xml:space="preserve">- 02.03.00 "Vienotās sakaru un informācijas sistēmas uzturēšana un vadība" datortehnikas nomaiņas un uzturēšanas nodrošināšanai (Šengenas Informācijas sistēmas (SIS) izmantošana) </t>
    </r>
  </si>
  <si>
    <r>
      <rPr>
        <b/>
        <sz val="10"/>
        <rFont val="Times New Roman"/>
        <family val="1"/>
      </rPr>
      <t xml:space="preserve">IeM </t>
    </r>
    <r>
      <rPr>
        <sz val="10"/>
        <rFont val="Times New Roman"/>
        <family val="1"/>
      </rPr>
      <t xml:space="preserve">- 06.01.00 "Valsts policija" jauna tehniskā aprīkojuma iegādei Valsts policijas Kriminālistikas pārvaldes ekspertīžu laboratorijai </t>
    </r>
  </si>
  <si>
    <r>
      <rPr>
        <b/>
        <sz val="10"/>
        <rFont val="Times New Roman"/>
        <family val="1"/>
      </rPr>
      <t xml:space="preserve">IeM </t>
    </r>
    <r>
      <rPr>
        <sz val="10"/>
        <rFont val="Times New Roman"/>
        <family val="1"/>
      </rPr>
      <t xml:space="preserve">- 10.00.00 "Valsts robežsardzes darbība" videonovērošanas un tehniskās uzraudzības sistēmu remontiem un darbības nodrošināšanai  </t>
    </r>
  </si>
  <si>
    <r>
      <rPr>
        <b/>
        <sz val="10"/>
        <rFont val="Times New Roman"/>
        <family val="1"/>
      </rPr>
      <t xml:space="preserve">IeM </t>
    </r>
    <r>
      <rPr>
        <sz val="10"/>
        <rFont val="Times New Roman"/>
        <family val="1"/>
      </rPr>
      <t>- 02.03.00 "Vienotās sakaru un informācijas sistēmas uzturēšana un vadība" elektromagnētiskās saderības nodrošināšanai (</t>
    </r>
  </si>
  <si>
    <r>
      <rPr>
        <b/>
        <sz val="10"/>
        <rFont val="Times New Roman"/>
        <family val="1"/>
      </rPr>
      <t>IeM</t>
    </r>
    <r>
      <rPr>
        <sz val="10"/>
        <rFont val="Times New Roman"/>
        <family val="1"/>
      </rPr>
      <t xml:space="preserve"> - 07.00.00 "Ugunsdrošība, glābšana un civilā aizsardzība"  speciālā ugunsdzēsības un glābšanas aprīkojuma iegādei </t>
    </r>
  </si>
  <si>
    <r>
      <rPr>
        <b/>
        <sz val="10"/>
        <rFont val="Times New Roman"/>
        <family val="1"/>
      </rPr>
      <t>IeM</t>
    </r>
    <r>
      <rPr>
        <sz val="10"/>
        <rFont val="Times New Roman"/>
        <family val="1"/>
      </rPr>
      <t xml:space="preserve"> - 11.01.00 "Pilsonības un migrācijas lietu pārvalde" klientu apkalpošanas kapacitātes paaugstināšanai </t>
    </r>
  </si>
  <si>
    <r>
      <rPr>
        <b/>
        <sz val="10"/>
        <rFont val="Times New Roman"/>
        <family val="1"/>
      </rPr>
      <t xml:space="preserve">IeM </t>
    </r>
    <r>
      <rPr>
        <sz val="10"/>
        <rFont val="Times New Roman"/>
        <family val="1"/>
      </rPr>
      <t xml:space="preserve">- 11.01.00 "Pilsonības un migrācijas lietu pārvalde" iemaksu starptautiskajās institūcijās un programmās nodrošināšanai </t>
    </r>
  </si>
  <si>
    <r>
      <rPr>
        <b/>
        <sz val="10"/>
        <rFont val="Times New Roman"/>
        <family val="1"/>
      </rPr>
      <t xml:space="preserve">IeM </t>
    </r>
    <r>
      <rPr>
        <sz val="10"/>
        <rFont val="Times New Roman"/>
        <family val="1"/>
      </rPr>
      <t xml:space="preserve">- XXV Vispārējo latviešu Dziesmu un XV deju svētku norises nodrošināšanai 2013.gadā (tai skaitā apakšprogrammai 06.01.00 "Valsts policija"  - 166038 latu apmērā, programmai 07.00.00 "Ugunsdrošība glābšana un civilā aizsardzība" - 5254 latu apmērā un 09.00.00 "Drošības policijas darbība" -1913 latu apmērā) </t>
    </r>
  </si>
  <si>
    <r>
      <rPr>
        <b/>
        <sz val="10"/>
        <rFont val="Times New Roman"/>
        <family val="1"/>
      </rPr>
      <t>IeM</t>
    </r>
    <r>
      <rPr>
        <sz val="10"/>
        <rFont val="Times New Roman"/>
        <family val="1"/>
      </rPr>
      <t xml:space="preserve"> - pasākuma Eiropas Kultūras galvaspilsēta 2014.gadā norises nodrošināšanai (tai skaitā apakšprogrammai 06.01.00 "Valsts policija"  - 375853 latu apmērā, programmai 07.00.00 "Ugunsdrošība glābšana un civilā aizsardzība" - 9555 latu apmērā) </t>
    </r>
  </si>
  <si>
    <r>
      <rPr>
        <b/>
        <sz val="10"/>
        <rFont val="Times New Roman"/>
        <family val="1"/>
      </rPr>
      <t>IeM -</t>
    </r>
    <r>
      <rPr>
        <sz val="10"/>
        <rFont val="Times New Roman"/>
        <family val="1"/>
      </rPr>
      <t xml:space="preserve"> XVII Baltijas studentu dziesmu un deju svētku „Gaudeamus” un XI Skolēnu Dziesmu un Deju svētku norises nodrošināšanai 2014.gadā 6548 lati, 2015.gadā 80886 lati (tai skaitā apakšprogrammai 06.01.00 "Valsts policija" 2014.gadā - 5659 latu apmērā, 2015.gadā - 75554 latu apmērā, programmai 07.00.00 "Ugunsdrošība glābšana un civilā aizsardzība" 2014.gadā - 889 latu apmērā, 2015.gadā 5332 latu apmērā) </t>
    </r>
  </si>
  <si>
    <r>
      <rPr>
        <b/>
        <sz val="10"/>
        <rFont val="Times New Roman"/>
        <family val="1"/>
      </rPr>
      <t xml:space="preserve">IeM </t>
    </r>
    <r>
      <rPr>
        <sz val="10"/>
        <rFont val="Times New Roman"/>
        <family val="1"/>
      </rPr>
      <t xml:space="preserve">- 11.01.00 "Pilsonības un migrācijas lietu pārvalde" Likumprojekts  "Grozījumi likumā "Par nekustamā īpašuma nodokli" - atvieglojumu daudzbērnu ģimenēm piemērošanai  </t>
    </r>
  </si>
  <si>
    <r>
      <rPr>
        <b/>
        <sz val="10"/>
        <rFont val="Times New Roman"/>
        <family val="1"/>
      </rPr>
      <t>IeM</t>
    </r>
    <r>
      <rPr>
        <sz val="10"/>
        <rFont val="Times New Roman"/>
        <family val="1"/>
      </rPr>
      <t xml:space="preserve"> - 96.00.00 "Latvijas prezidentūras Eiropas Savienības Padomē nodrošināšana 2015.gadā" Latvijas prezidentūras Eiropas Savienības Padomē 2015.gadā sagatavošanai un nodrošināšanai </t>
    </r>
  </si>
  <si>
    <r>
      <rPr>
        <b/>
        <sz val="10"/>
        <rFont val="Times New Roman"/>
        <family val="1"/>
      </rPr>
      <t>ZM</t>
    </r>
    <r>
      <rPr>
        <sz val="10"/>
        <rFont val="Times New Roman"/>
        <family val="1"/>
      </rPr>
      <t xml:space="preserve"> - Valsts atbalsts lauksaimniecībai (subsīdijām) sējumu apdrošināšanas prēmiju kompensācijām, atbilstoši MK 16.08.2012.sēdē nolemtajam</t>
    </r>
  </si>
  <si>
    <r>
      <rPr>
        <b/>
        <sz val="10"/>
        <rFont val="Times New Roman"/>
        <family val="1"/>
      </rPr>
      <t>ZM</t>
    </r>
    <r>
      <rPr>
        <sz val="10"/>
        <rFont val="Times New Roman"/>
        <family val="1"/>
      </rPr>
      <t xml:space="preserve"> - Zemnieku interešu pārstāvībai Briselē, kas saistīta ar kopējās lauksaimniecības un zivsaimniecības politikas reformām, atbilstoši MK 16.08.2012.sēdē nolemtajam</t>
    </r>
  </si>
  <si>
    <r>
      <rPr>
        <b/>
        <sz val="10"/>
        <rFont val="Times New Roman"/>
        <family val="1"/>
      </rPr>
      <t>ZM</t>
    </r>
    <r>
      <rPr>
        <sz val="10"/>
        <rFont val="Times New Roman"/>
        <family val="1"/>
      </rPr>
      <t xml:space="preserve"> - VSIA "Zemkopības ministrijas nekustamie īpašumi" Meliorācijas likumā  deleģēto funkciju izpildei, atbilstoši MK 16.08.2012.sēdē nolemtajam</t>
    </r>
  </si>
  <si>
    <r>
      <rPr>
        <b/>
        <sz val="10"/>
        <rFont val="Times New Roman"/>
        <family val="1"/>
      </rPr>
      <t xml:space="preserve">ZM </t>
    </r>
    <r>
      <rPr>
        <sz val="10"/>
        <rFont val="Times New Roman"/>
        <family val="1"/>
      </rPr>
      <t xml:space="preserve">- Meža ugunsdrošība un ugunsapsardzība, atbilstoši MK 16.08.2012.sēdē nolemtajam </t>
    </r>
  </si>
  <si>
    <r>
      <rPr>
        <b/>
        <sz val="10"/>
        <rFont val="Times New Roman"/>
        <family val="1"/>
      </rPr>
      <t xml:space="preserve">ZM </t>
    </r>
    <r>
      <rPr>
        <sz val="10"/>
        <rFont val="Times New Roman"/>
        <family val="1"/>
      </rPr>
      <t>-  Papildus finansējums Latvijas prezidentūras Eiropas Savienības Padomē 2015.gadā sagatavošanai un nodrošināšanai, atbilstoši MK 16.08.2012.sēdē nolemtajam</t>
    </r>
  </si>
  <si>
    <r>
      <rPr>
        <b/>
        <sz val="10"/>
        <rFont val="Times New Roman"/>
        <family val="1"/>
      </rPr>
      <t>SM</t>
    </r>
    <r>
      <rPr>
        <sz val="10"/>
        <rFont val="Times New Roman"/>
        <family val="1"/>
      </rPr>
      <t xml:space="preserve"> - "Latvijas prezidentūras Eiropas Savienības Padomē nodrošināšana 2015.gadā"</t>
    </r>
  </si>
  <si>
    <r>
      <t xml:space="preserve">SM - </t>
    </r>
    <r>
      <rPr>
        <sz val="10"/>
        <rFont val="Times New Roman"/>
        <family val="1"/>
      </rPr>
      <t>31.06.00 Dotācija zaudējumu segšanai sab.tr.pakalpojumu sniedzējiem (MK 16.08.12. sēdes prot.)</t>
    </r>
  </si>
  <si>
    <r>
      <t xml:space="preserve">SM - </t>
    </r>
    <r>
      <rPr>
        <sz val="10"/>
        <rFont val="Times New Roman"/>
        <family val="1"/>
      </rPr>
      <t>31.07.00 Sociālās drošības tīkla stratēģijas pasākumu nodrošināšanai</t>
    </r>
  </si>
  <si>
    <r>
      <rPr>
        <b/>
        <sz val="10"/>
        <rFont val="Times New Roman"/>
        <family val="1"/>
      </rPr>
      <t xml:space="preserve">SM </t>
    </r>
    <r>
      <rPr>
        <sz val="10"/>
        <rFont val="Times New Roman"/>
        <family val="1"/>
      </rPr>
      <t>- 23.00.00 Valsts autoceļu fonds  (MK 16.08.12. sēdes prot.)</t>
    </r>
  </si>
  <si>
    <r>
      <t xml:space="preserve">LM - </t>
    </r>
    <r>
      <rPr>
        <sz val="10"/>
        <rFont val="Times New Roman"/>
        <family val="1"/>
      </rPr>
      <t>Izdevumi sociālās apdrošināšanas iemaksu no valsts pamatbudžeta paaugstināšanai no 50 latiem līdz 100 latiem par personu, kura kopj bērnu, kas nav sasniedzis pusotra  gada vecumu (apakšprogrammā 04.00.00 "Valsts atbalsts sociālajai apdrošināšanai" izdevumi valsts budžeta uzturēšanas izdevumu transfertiem no valsts pamatbudžeta uz valsts speciālo budžetu 2013.gadā un turpmāk ik gadu 1 476 000 latu apmērā)</t>
    </r>
  </si>
  <si>
    <r>
      <rPr>
        <b/>
        <sz val="10"/>
        <rFont val="Times New Roman"/>
        <family val="1"/>
      </rPr>
      <t>LM -</t>
    </r>
    <r>
      <rPr>
        <sz val="10"/>
        <rFont val="Times New Roman"/>
        <family val="1"/>
      </rPr>
      <t xml:space="preserve"> Tehnisko palīglīdzekļu nodrošināšanai (apakšprogrammā 05.01.00 "Sociālās rehabilitācijas valsts programmas" izdevumi subsīdijām un dotācijām 2013.gadā un turpmāk ik gadu 749 646 latu apmērā)</t>
    </r>
  </si>
  <si>
    <r>
      <t xml:space="preserve">LM - </t>
    </r>
    <r>
      <rPr>
        <sz val="10"/>
        <rFont val="Times New Roman"/>
        <family val="1"/>
      </rPr>
      <t xml:space="preserve">Valsts sociālās aprūpes centru problēmu risināšana (apakšprogrammā 05.03.00 "Aprūpe valsts sociālās aprūpes centros") </t>
    </r>
  </si>
  <si>
    <r>
      <t xml:space="preserve">LM - </t>
    </r>
    <r>
      <rPr>
        <sz val="10"/>
        <rFont val="Times New Roman"/>
        <family val="1"/>
      </rPr>
      <t xml:space="preserve">Valsts darba inspekcijas kapacitātes uzlabošana (apakšprogrammā 21.01.00 "Darba tiesisko attiecību un darba apstākļu kontrole un uzraudzība")
</t>
    </r>
  </si>
  <si>
    <r>
      <t xml:space="preserve">LM - </t>
    </r>
    <r>
      <rPr>
        <sz val="10"/>
        <rFont val="Times New Roman"/>
        <family val="1"/>
      </rPr>
      <t>Pedagogu zemākās mēnešalgas likmes paaugstināšana no 01.09.2012. (apakšprogrammā 05.37.00 "Sociālās integrācijas valsts aģentūras administrēšanas un profesionālās un sociālās rehabilitācijas pakalpojumu nodrošināšana")</t>
    </r>
  </si>
  <si>
    <r>
      <t xml:space="preserve">LM - </t>
    </r>
    <r>
      <rPr>
        <sz val="10"/>
        <rFont val="Times New Roman"/>
        <family val="1"/>
      </rPr>
      <t>Atbalsts bērna pieskatīšanai (50 Ls) - alternatīva ģimenēm, kurām nav iespēja bērnus atstāt bērnudārzā, sākot ar 2013.gada 1.septembri (apakšprogrammā 05.66.00 "Demogrāfijas pasākumu īstenošana")</t>
    </r>
  </si>
  <si>
    <r>
      <t xml:space="preserve">LM - </t>
    </r>
    <r>
      <rPr>
        <sz val="10"/>
        <rFont val="Times New Roman"/>
        <family val="1"/>
      </rPr>
      <t>Latvijas prezidentūras Eiropas Savienības Padomē 2015.gadā sagatavošanai un nodrošināšanai (apakšprogrammā 96.00.00 "Latvijas prezidentūras Eiropas Savienības Padomē nodrošināšana 2015.gadā")</t>
    </r>
  </si>
  <si>
    <r>
      <rPr>
        <b/>
        <sz val="10"/>
        <rFont val="Times New Roman"/>
        <family val="1"/>
      </rPr>
      <t>TM</t>
    </r>
    <r>
      <rPr>
        <sz val="10"/>
        <rFont val="Times New Roman"/>
        <family val="1"/>
      </rPr>
      <t xml:space="preserve"> - 24.00.00 "Ieslodzījuma vietas" saistībā ar Ministru kabineta 2012.gada 16.jūlija sēdē atbalstīto (protokols  Nr.46 11.§)  Ieslodzījuma vietu pārvaldes darbības nodrošināšanai - preču un pakalpojumu apmaksai.</t>
    </r>
  </si>
  <si>
    <r>
      <rPr>
        <b/>
        <sz val="10"/>
        <rFont val="Times New Roman"/>
        <family val="1"/>
      </rPr>
      <t>TM -</t>
    </r>
    <r>
      <rPr>
        <sz val="10"/>
        <rFont val="Times New Roman"/>
        <family val="1"/>
      </rPr>
      <t xml:space="preserve"> 24.00.00 "Ieslodzījuma vietas" saistībā ar Ministru kabineta 2012.gada 16.jūlija sēdē atbalstīto (protokols  Nr.46 11.§) jauna cietuma būvniecībai Olainē.</t>
    </r>
  </si>
  <si>
    <r>
      <rPr>
        <b/>
        <sz val="10"/>
        <rFont val="Times New Roman"/>
        <family val="1"/>
      </rPr>
      <t xml:space="preserve">TM - </t>
    </r>
    <r>
      <rPr>
        <sz val="10"/>
        <rFont val="Times New Roman"/>
        <family val="1"/>
      </rPr>
      <t>24.00.00 "Ieslodzījuma vietas" saistībā ar Ministru kabineta 2012.gada 16.jūlija sēdē atbalstīto (protokols  Nr.46 11.§)  pedagogu zemākās mēnešalgas likmes paaugstināšanai no 2012.gada 1.septembra.</t>
    </r>
  </si>
  <si>
    <r>
      <rPr>
        <b/>
        <sz val="10"/>
        <rFont val="Times New Roman"/>
        <family val="1"/>
      </rPr>
      <t>TM -</t>
    </r>
    <r>
      <rPr>
        <sz val="10"/>
        <rFont val="Times New Roman"/>
        <family val="1"/>
      </rPr>
      <t xml:space="preserve"> 34.00.00 "Probācijas dienests" saistībā ar Ministru kabineta 2012.gada 16.jūlija sēdē atbalstīto (protokols  Nr.46 11.§) probācijas funkciju atjaunošanai, kas tika samazinātas 2009.gadā vienlaicīgi ar budžeta izdevumu samazinājumu.</t>
    </r>
  </si>
  <si>
    <r>
      <rPr>
        <b/>
        <sz val="10"/>
        <rFont val="Times New Roman"/>
        <family val="1"/>
      </rPr>
      <t xml:space="preserve">TM </t>
    </r>
    <r>
      <rPr>
        <sz val="10"/>
        <rFont val="Times New Roman"/>
        <family val="1"/>
      </rPr>
      <t>- 34.00.00 "Probācijas dienests" saistībā ar Ministru kabineta 2012.gada 16.jūlija sēdē atbalstīto (protokols  Nr.46 11.§) probācijas dienesta darbinieku apdrošināšanai, kuri ir pakļauti dzīvības vai veselības apdraudējumam (riskam), veicot amata pienākumiem noteiktās funkcijas.</t>
    </r>
  </si>
  <si>
    <r>
      <rPr>
        <b/>
        <sz val="10"/>
        <rFont val="Times New Roman"/>
        <family val="1"/>
      </rPr>
      <t xml:space="preserve">TM </t>
    </r>
    <r>
      <rPr>
        <sz val="10"/>
        <rFont val="Times New Roman"/>
        <family val="1"/>
      </rPr>
      <t>- 45.00.00 "Juridiskās palīdzības nodrošināšana" saistībā ar Ministru kabineta 2012.gada 16.jūlija sēdē atbalstīto (protokols  Nr.46 11.§) valsts kompensācijas palielinājums noziedzīgā nodarījumā cietušajām personām.</t>
    </r>
  </si>
  <si>
    <r>
      <rPr>
        <b/>
        <sz val="10"/>
        <rFont val="Times New Roman"/>
        <family val="1"/>
      </rPr>
      <t>TM -</t>
    </r>
    <r>
      <rPr>
        <sz val="10"/>
        <rFont val="Times New Roman"/>
        <family val="1"/>
      </rPr>
      <t xml:space="preserve"> 54.02.00 "Uzturlīdzekļu fonds" saistībā ar Ministru kabineta 2012.gada 16.jūlija sēdē atbalstīto (protokols  Nr.46 11.§) uzturlīdzekļu izmaksas apmēra palielinājums.</t>
    </r>
  </si>
  <si>
    <r>
      <rPr>
        <b/>
        <sz val="10"/>
        <rFont val="Times New Roman"/>
        <family val="1"/>
      </rPr>
      <t>TM -</t>
    </r>
    <r>
      <rPr>
        <sz val="10"/>
        <rFont val="Times New Roman"/>
        <family val="1"/>
      </rPr>
      <t xml:space="preserve"> 36.01.00 "Tiesu administrācija" saistībā ar Ministru kabineta 2012.gada 16.jūlija sēdē atbalstīto (protokols  Nr.46 11.§) likumprojekta "Grozījumi likumā "Par nekustamā īpašuma nodokli" nodrošināšanai - atvieglojumu daudzbērnu ģimenēm piemērošanai.</t>
    </r>
  </si>
  <si>
    <r>
      <rPr>
        <b/>
        <sz val="10"/>
        <rFont val="Times New Roman"/>
        <family val="1"/>
      </rPr>
      <t>TM</t>
    </r>
    <r>
      <rPr>
        <sz val="10"/>
        <rFont val="Times New Roman"/>
        <family val="1"/>
      </rPr>
      <t xml:space="preserve"> - 01.01.00 "Ministrijas vadība un administrācija" saistībā ar Ministru kabineta 2012.gada 16.jūlija sēdē atbalstīto (protokols  Nr.46 11.§) 2013.gadā Latvijas prezidentūras Eiropas Savienības Padomē 2015.gadā sagatavošanai un nodrošināšanai.</t>
    </r>
  </si>
  <si>
    <r>
      <rPr>
        <b/>
        <sz val="10"/>
        <rFont val="Times New Roman"/>
        <family val="1"/>
      </rPr>
      <t>PKC-</t>
    </r>
    <r>
      <rPr>
        <sz val="10"/>
        <rFont val="Times New Roman"/>
        <family val="1"/>
      </rPr>
      <t xml:space="preserve"> Atbilstoši MK 2012.gada 16.augusta sēdes protokola Nr.46 11.</t>
    </r>
    <r>
      <rPr>
        <sz val="10"/>
        <rFont val="Calibri"/>
        <family val="2"/>
        <charset val="186"/>
      </rPr>
      <t>§</t>
    </r>
    <r>
      <rPr>
        <sz val="10"/>
        <rFont val="Times New Roman"/>
        <family val="1"/>
      </rPr>
      <t xml:space="preserve"> palielināts finansējums PKC darbības nodrošināšanai (telpu nomas izmaksām)</t>
    </r>
  </si>
  <si>
    <r>
      <t>AT -</t>
    </r>
    <r>
      <rPr>
        <sz val="10"/>
        <rFont val="Times New Roman"/>
        <family val="1"/>
      </rPr>
      <t xml:space="preserve"> 01.00.00 "Tiesa" saistībā ar Ministru kabineta 2012.gada 16.augusta sēdē atbalstīto - Tiesu prakses pētījumiem. </t>
    </r>
  </si>
  <si>
    <r>
      <t xml:space="preserve">AT - </t>
    </r>
    <r>
      <rPr>
        <sz val="10"/>
        <rFont val="Times New Roman"/>
        <family val="1"/>
      </rPr>
      <t xml:space="preserve">01.00.00 "Tiesa" saistībā ar Ministru kabineta 2012.gada 16.augusta sēdē atbalstīto - Augstākās tiesas darbinieku veselības apdrošināšanai. </t>
    </r>
  </si>
  <si>
    <r>
      <t xml:space="preserve">AT - </t>
    </r>
    <r>
      <rPr>
        <sz val="10"/>
        <rFont val="Times New Roman"/>
        <family val="1"/>
      </rPr>
      <t>01.00.00 "Tiesa" saistībā ar Ministru kabineta 2012.gada 16.augusta sēdē atbalstīto - Tieslietu padomes darba nodrošināšanai</t>
    </r>
  </si>
  <si>
    <r>
      <t xml:space="preserve">AT - </t>
    </r>
    <r>
      <rPr>
        <sz val="10"/>
        <rFont val="Times New Roman"/>
        <family val="1"/>
      </rPr>
      <t>01.00.00 "Tiesa" saistībā ar Ministru kabineta 2012.gada 16.augusta sēdē atbalstīto - Augstākās tiesas darbinieku darba samaksas nodrošināšanai atbilstoši darbinieku kvalifikācijas līmenim un novērtējumam</t>
    </r>
  </si>
  <si>
    <r>
      <t xml:space="preserve">AT - </t>
    </r>
    <r>
      <rPr>
        <sz val="10"/>
        <rFont val="Times New Roman"/>
        <family val="1"/>
      </rPr>
      <t>01.00.00 "Tiesa" saistībā ar Ministru kabineta 2012.gada 16.augusta sēdē atbalstīto - Atvaļinājuma pabalstu nodrošināšanai Augstākās tiesas darbiniekiem</t>
    </r>
  </si>
  <si>
    <r>
      <t xml:space="preserve">AT - </t>
    </r>
    <r>
      <rPr>
        <sz val="10"/>
        <rFont val="Times New Roman"/>
        <family val="1"/>
      </rPr>
      <t>01.00.00 "Tiesa" saistībā ar Ministru kabineta 2012.gada 16.augusta sēdē atbalstīto - Augstākās tiesas tiesnešu apmācībai un starptautiskajai sadarbībai</t>
    </r>
  </si>
  <si>
    <r>
      <rPr>
        <b/>
        <sz val="10"/>
        <rFont val="Times New Roman"/>
        <family val="1"/>
      </rPr>
      <t xml:space="preserve">VM </t>
    </r>
    <r>
      <rPr>
        <sz val="10"/>
        <rFont val="Times New Roman"/>
        <family val="1"/>
      </rPr>
      <t xml:space="preserve">- atbilstoši Ministru kabineta 16.08.2012 ārkārtas sēdes lēmumam (prot.Nr.46) veselības aprūpes pakalpojumu un medikamentu nodrošināšanai, lai saglabātu pieejamību 2012.gada līmenī </t>
    </r>
  </si>
  <si>
    <r>
      <rPr>
        <b/>
        <sz val="10"/>
        <rFont val="Times New Roman"/>
        <family val="1"/>
      </rPr>
      <t xml:space="preserve">VM </t>
    </r>
    <r>
      <rPr>
        <sz val="10"/>
        <rFont val="Times New Roman"/>
        <family val="1"/>
        <charset val="186"/>
      </rPr>
      <t>- atbilstoši Ministru kabineta 16.08.2012 ārkārtas sēdes lēmumam (prot.Nr.46) Sociālās drošības tīkla stratēģijas pasākumu īstenošanai veselības aprūpes jomā</t>
    </r>
  </si>
  <si>
    <r>
      <rPr>
        <b/>
        <sz val="10"/>
        <rFont val="Times New Roman"/>
        <family val="1"/>
      </rPr>
      <t>VM</t>
    </r>
    <r>
      <rPr>
        <sz val="10"/>
        <rFont val="Times New Roman"/>
        <family val="1"/>
      </rPr>
      <t xml:space="preserve"> - atbilstoši Ministru kabineta 16.08.2012 ārkārtas sēdes lēmumam (prot.Nr.46) ambulatorajai ārstēšanai paredzēto zāļu un medicīnisko ierīču izdevumu kompensācijai apakšprogrammā 33.03.00 "Kompensējamo medikamentu un materiālu apmaksāšana" </t>
    </r>
  </si>
  <si>
    <r>
      <rPr>
        <b/>
        <sz val="10"/>
        <rFont val="Times New Roman"/>
        <family val="1"/>
      </rPr>
      <t xml:space="preserve">VM </t>
    </r>
    <r>
      <rPr>
        <sz val="10"/>
        <rFont val="Times New Roman"/>
        <family val="1"/>
      </rPr>
      <t xml:space="preserve">- atbilstoši Ministru kabineta 16.08.2012 ārkārtas sēdes lēmumam (prot.Nr.46) vakcīnu, peritoneālās dialīzes līdzekļu un bērnu redzes korekcijas līdzekļu iegādei apakšprogrammā 33.04.00 "Centralizēta medikamentu un materiālu iegāde" </t>
    </r>
  </si>
  <si>
    <r>
      <rPr>
        <b/>
        <sz val="10"/>
        <rFont val="Times New Roman"/>
        <family val="1"/>
      </rPr>
      <t>VM -</t>
    </r>
    <r>
      <rPr>
        <sz val="10"/>
        <rFont val="Times New Roman"/>
        <family val="1"/>
      </rPr>
      <t xml:space="preserve"> atbilstoši Ministru kabineta 16.08.2012 ārkārtas sēdes lēmumam (prot.Nr.46) observācijas gultu uzturēšanas izdevumu segšanai stacionāros apakšprogrammā 33.01.00 "Ārstniecība" </t>
    </r>
  </si>
  <si>
    <r>
      <rPr>
        <b/>
        <sz val="10"/>
        <rFont val="Times New Roman"/>
        <family val="1"/>
      </rPr>
      <t>VM</t>
    </r>
    <r>
      <rPr>
        <sz val="10"/>
        <rFont val="Times New Roman"/>
        <family val="1"/>
      </rPr>
      <t xml:space="preserve"> - atbilstoši Ministru kabineta 16.08.2012 ārkārtas sēdes lēmumam (prot.Nr.46) Bērnu klīniskajai universitātes slimnīcai papildu speciālistu nodrošināšanai uzņemšanas nodaļā apakšprogrammā 33.01.00 "Ārstniecība" subsīdijām un dotācijām 2013.gadā 367 203 lati, 2014.gadā 367 203 lati, 2015.gadā 367 203 lati.</t>
    </r>
  </si>
  <si>
    <r>
      <rPr>
        <b/>
        <sz val="10"/>
        <rFont val="Times New Roman"/>
        <family val="1"/>
      </rPr>
      <t>VM -</t>
    </r>
    <r>
      <rPr>
        <sz val="10"/>
        <rFont val="Times New Roman"/>
        <family val="1"/>
      </rPr>
      <t xml:space="preserve"> atbilstoši Ministru kabineta 16.08.2012 ārkārtas sēdes lēmumam (prot.Nr.46) rindu mazināšanai uz medicīnisko rehabilitāciju stacionārā apakšprogrammā 33.01.00 "Ārstniecība"subsīdijām un dotācijām 2013.gadā 356 382 lati, 2014.gadā 712 764 lati, 2015.gadā 712 764 lati.</t>
    </r>
  </si>
  <si>
    <r>
      <rPr>
        <b/>
        <sz val="10"/>
        <rFont val="Times New Roman"/>
        <family val="1"/>
      </rPr>
      <t>VM</t>
    </r>
    <r>
      <rPr>
        <sz val="10"/>
        <rFont val="Times New Roman"/>
        <family val="1"/>
      </rPr>
      <t xml:space="preserve"> - atbilstoši Ministru kabineta 16.08.2012 ārkārtas sēdes lēmumam (prot.Nr.46) diagnostisko un laboratorisko izmeklējumu nodrošināšanai apakšprogrammā 33.01.00 "Ārstniecība" </t>
    </r>
  </si>
  <si>
    <r>
      <rPr>
        <b/>
        <sz val="10"/>
        <rFont val="Times New Roman"/>
        <family val="1"/>
      </rPr>
      <t xml:space="preserve">VM </t>
    </r>
    <r>
      <rPr>
        <sz val="10"/>
        <rFont val="Times New Roman"/>
        <family val="1"/>
      </rPr>
      <t xml:space="preserve">- atbilstoši Ministru kabineta 16.08.2012 ārkārtas sēdes lēmumam (prot.Nr.46) speciālistu konsultāciju un dienas stacionāros sniegto pakalpojumu apmaksai apakšprogrammā 33.01.00 "Ārstniecība" </t>
    </r>
  </si>
  <si>
    <r>
      <rPr>
        <b/>
        <sz val="10"/>
        <rFont val="Times New Roman"/>
        <family val="1"/>
      </rPr>
      <t>VM</t>
    </r>
    <r>
      <rPr>
        <sz val="10"/>
        <rFont val="Times New Roman"/>
        <family val="1"/>
      </rPr>
      <t xml:space="preserve"> - atbilstoši Ministru kabineta 16.08.2012 ārkārtas sēdes lēmumam (prot.Nr.46) prognozējamās invaliditātes novēršanas pasākumiem apakšprogrammā 33.01.00 "Ārstniecība" </t>
    </r>
  </si>
  <si>
    <r>
      <rPr>
        <b/>
        <sz val="10"/>
        <rFont val="Times New Roman"/>
        <family val="1"/>
      </rPr>
      <t>VM</t>
    </r>
    <r>
      <rPr>
        <sz val="10"/>
        <rFont val="Times New Roman"/>
        <family val="1"/>
      </rPr>
      <t xml:space="preserve"> - atbilstoši Ministru kabineta 16.08.2012 ārkārtas sēdes lēmumam (prot.Nr.46) feldšerpunktu darbības nodrošināšanai apakšprogrammā 33.01.00 "Ārstniecība" </t>
    </r>
  </si>
  <si>
    <r>
      <rPr>
        <b/>
        <sz val="10"/>
        <rFont val="Times New Roman"/>
        <family val="1"/>
      </rPr>
      <t xml:space="preserve">VM </t>
    </r>
    <r>
      <rPr>
        <sz val="10"/>
        <rFont val="Times New Roman"/>
        <family val="1"/>
      </rPr>
      <t>- atbilstoši Ministru kabineta 16.08.2012 ārkārtas sēdes lēmumam (prot.Nr.46) gaidīšanas rindu samazināšanai invazīvajai kardioloģijai, mikroķirurģijai pieaugušajiem un izgulējumu ārstēšanaiapakšprogrammā 33.01.00 "Ārstniecība"</t>
    </r>
  </si>
  <si>
    <r>
      <rPr>
        <b/>
        <sz val="10"/>
        <rFont val="Times New Roman"/>
        <family val="1"/>
      </rPr>
      <t>VM</t>
    </r>
    <r>
      <rPr>
        <sz val="10"/>
        <rFont val="Times New Roman"/>
        <family val="1"/>
      </rPr>
      <t xml:space="preserve"> - atbilstoši Ministru kabineta 16.08.2012 ārkārtas sēdes lēmumam (prot.Nr.46) bērnu vakcinācijai pret rota vīrusu apakšprogrammā 33.04.00 "Centralizēta medikamentu un materiālu iegāde"  </t>
    </r>
  </si>
  <si>
    <r>
      <rPr>
        <b/>
        <sz val="10"/>
        <rFont val="Times New Roman"/>
        <family val="1"/>
      </rPr>
      <t xml:space="preserve">VM </t>
    </r>
    <r>
      <rPr>
        <sz val="10"/>
        <rFont val="Times New Roman"/>
        <family val="1"/>
        <charset val="186"/>
      </rPr>
      <t xml:space="preserve">- atbilstoši Ministru kabineta 16.08.2012 ārkārtas sēdes lēmumam (prot.Nr.46) Mātes un bērna veselības uzlabošanas plāna 2012.-2014.gadam ietvaros uzsākto pasākumu turpināšanai pēc 2014.gada </t>
    </r>
  </si>
  <si>
    <r>
      <rPr>
        <b/>
        <sz val="10"/>
        <rFont val="Times New Roman"/>
        <family val="1"/>
      </rPr>
      <t>VM</t>
    </r>
    <r>
      <rPr>
        <sz val="10"/>
        <rFont val="Times New Roman"/>
        <family val="1"/>
        <charset val="186"/>
      </rPr>
      <t xml:space="preserve"> - atbilstoši Ministru kabineta 16.08.2012 ārkārtas sēdes lēmumam (prot.Nr.46) neatliekamās medicīniskās palīdzības nodrošināšanai XXV Vispārējo latviešu Dziesmu un XV Deju svētku laikā - apakšprogrammā 39.04.00 "Neatliekamā medicīniskā palīdzība" </t>
    </r>
  </si>
  <si>
    <r>
      <rPr>
        <b/>
        <sz val="10"/>
        <rFont val="Times New Roman"/>
        <family val="1"/>
      </rPr>
      <t>VM</t>
    </r>
    <r>
      <rPr>
        <sz val="10"/>
        <rFont val="Times New Roman"/>
        <family val="1"/>
        <charset val="186"/>
      </rPr>
      <t xml:space="preserve"> - atbilstoši Ministru kabineta 16.08.2012 ārkārtas sēdes lēmumam (prot.Nr.46) Rīga - Eiropas kultūras galvaspilsēta pasākumu nodrošināšanai</t>
    </r>
  </si>
  <si>
    <r>
      <rPr>
        <b/>
        <sz val="10"/>
        <rFont val="Times New Roman"/>
        <family val="1"/>
      </rPr>
      <t>VM</t>
    </r>
    <r>
      <rPr>
        <sz val="10"/>
        <rFont val="Times New Roman"/>
        <family val="1"/>
        <charset val="186"/>
      </rPr>
      <t xml:space="preserve"> -atbilstoši Ministru kabineta 16.08.2012 ārkārtas sēdes lēmumam (prot.Nr.46) neatliekamās medicīniskās palīdzības nodrošināšanai XVII Baltijas studentu dziesmu un deju svētkos „Gaudeamus” 2014.gadā un XI Latvijas skolu jaunatnes dziesmu un deju svētkos 2015.gadā  apakšprogrammā 39.04.00 "Neatliekamā medicīniskā palīdzība"</t>
    </r>
  </si>
  <si>
    <r>
      <rPr>
        <b/>
        <sz val="10"/>
        <rFont val="Times New Roman"/>
        <family val="1"/>
      </rPr>
      <t xml:space="preserve">VM </t>
    </r>
    <r>
      <rPr>
        <sz val="10"/>
        <rFont val="Times New Roman"/>
        <family val="1"/>
      </rPr>
      <t xml:space="preserve">- atbilstoši Ministru kabineta 16.08.2012 ārkārtas sēdes lēmumam (prot.Nr.46) programmā 96.00.00 "Latvijas prezidentūras Eiropas Savienības Padomē nodrošināšana 2015.gadā" </t>
    </r>
  </si>
  <si>
    <r>
      <rPr>
        <b/>
        <sz val="10"/>
        <rFont val="Times New Roman"/>
        <family val="1"/>
      </rPr>
      <t xml:space="preserve">ST </t>
    </r>
    <r>
      <rPr>
        <sz val="10"/>
        <rFont val="Times New Roman"/>
        <family val="1"/>
      </rPr>
      <t>- 01.00.00 "Tiesa" saskaņā ar Ministru kabineta 2012.gada 16.augusta ārkārtas sēdē atbalstīto prioritāro pasākumu "Satversmes tiesas ēkas neatliekamie remontdarbi".</t>
    </r>
  </si>
  <si>
    <r>
      <rPr>
        <b/>
        <sz val="10"/>
        <rFont val="Times New Roman"/>
        <family val="1"/>
      </rPr>
      <t>Prok -</t>
    </r>
    <r>
      <rPr>
        <sz val="10"/>
        <rFont val="Times New Roman"/>
        <family val="1"/>
        <charset val="186"/>
      </rPr>
      <t xml:space="preserve"> Ministru kabineta 2012.gada 16.augusta sēdē atbalstīts finansējums Prokuroru veselības apdrošināšanai.</t>
    </r>
  </si>
  <si>
    <r>
      <rPr>
        <b/>
        <sz val="10"/>
        <rFont val="Times New Roman"/>
        <family val="1"/>
      </rPr>
      <t xml:space="preserve">Prok - </t>
    </r>
    <r>
      <rPr>
        <sz val="10"/>
        <rFont val="Times New Roman"/>
        <family val="1"/>
        <charset val="186"/>
      </rPr>
      <t>Ministru kabineta 2012.gada 16.augusta sēdē atbalstīts finansējums prokuroru palīgu un tulku veselības apdrošināšanai.</t>
    </r>
  </si>
  <si>
    <r>
      <rPr>
        <b/>
        <sz val="10"/>
        <rFont val="Times New Roman"/>
        <family val="1"/>
      </rPr>
      <t>Prok -</t>
    </r>
    <r>
      <rPr>
        <sz val="10"/>
        <rFont val="Times New Roman"/>
        <family val="1"/>
        <charset val="186"/>
      </rPr>
      <t xml:space="preserve"> Ministru kabineta 2012.gada 16.augusta sēdē atbalstīts finansējums prokuroru un prokuroru amata kandidātu apmācībām. </t>
    </r>
  </si>
  <si>
    <r>
      <rPr>
        <b/>
        <sz val="10"/>
        <rFont val="Times New Roman"/>
        <family val="1"/>
      </rPr>
      <t xml:space="preserve">CVK </t>
    </r>
    <r>
      <rPr>
        <sz val="10"/>
        <rFont val="Times New Roman"/>
        <family val="1"/>
      </rPr>
      <t>- Atbilstoši MK 2012.gada 16.augusta sēdes protokola Nr.46 11.§ palielināts finansējums autonomu pašvaldību vēlēšanu nodrošināšanai un vēlēšanu kastu iegāde</t>
    </r>
  </si>
  <si>
    <r>
      <rPr>
        <b/>
        <sz val="10"/>
        <rFont val="Times New Roman"/>
        <family val="1"/>
      </rPr>
      <t>CVK</t>
    </r>
    <r>
      <rPr>
        <sz val="10"/>
        <rFont val="Times New Roman"/>
        <family val="1"/>
      </rPr>
      <t xml:space="preserve"> - Atbilstoši MK 2012.gada 16.augusta sēdes protokola Nr.46 11.§ palielināts finansējums vēlēšanu kastu iegādei</t>
    </r>
  </si>
  <si>
    <r>
      <rPr>
        <b/>
        <sz val="10"/>
        <rFont val="Times New Roman"/>
        <family val="1"/>
      </rPr>
      <t>RT</t>
    </r>
    <r>
      <rPr>
        <sz val="10"/>
        <rFont val="Times New Roman"/>
        <family val="1"/>
      </rPr>
      <t xml:space="preserve"> - XXXV Vispārējie latviešu Dzziesmu unXV deju svētki</t>
    </r>
  </si>
  <si>
    <r>
      <rPr>
        <b/>
        <sz val="10"/>
        <rFont val="Times New Roman"/>
        <family val="1"/>
      </rPr>
      <t>RT</t>
    </r>
    <r>
      <rPr>
        <sz val="10"/>
        <rFont val="Times New Roman"/>
        <family val="1"/>
      </rPr>
      <t>- Eiropas kultūras galvaspilsēta 2014.gads</t>
    </r>
  </si>
  <si>
    <r>
      <rPr>
        <b/>
        <sz val="10"/>
        <rFont val="Times New Roman"/>
        <family val="1"/>
      </rPr>
      <t>RT</t>
    </r>
    <r>
      <rPr>
        <sz val="10"/>
        <rFont val="Times New Roman"/>
        <family val="1"/>
      </rPr>
      <t xml:space="preserve"> - Autortiesību maksājums saskaņā ar Ausgtākās tiesas tiesas lēmumu AKKA/LAA strīdā par muzikālo darbu izmatošanu</t>
    </r>
  </si>
  <si>
    <r>
      <rPr>
        <b/>
        <sz val="10"/>
        <rFont val="Times New Roman"/>
        <family val="1"/>
      </rPr>
      <t>RT</t>
    </r>
    <r>
      <rPr>
        <sz val="10"/>
        <rFont val="Times New Roman"/>
        <family val="1"/>
        <charset val="186"/>
      </rPr>
      <t xml:space="preserve"> - Kompensācija priekšvēlēšanu aģitācijas aizlieguma ieviešanai LTV</t>
    </r>
  </si>
  <si>
    <r>
      <rPr>
        <b/>
        <sz val="10"/>
        <rFont val="Times New Roman"/>
        <family val="1"/>
      </rPr>
      <t xml:space="preserve">RT </t>
    </r>
    <r>
      <rPr>
        <sz val="10"/>
        <rFont val="Times New Roman"/>
        <family val="1"/>
      </rPr>
      <t>- Sabiedrības saliedēšanas, naciolāas identitātes un valsts valodas stiprināšanai</t>
    </r>
  </si>
  <si>
    <r>
      <rPr>
        <b/>
        <sz val="10"/>
        <rFont val="Times New Roman"/>
        <family val="1"/>
      </rPr>
      <t xml:space="preserve">RT </t>
    </r>
    <r>
      <rPr>
        <sz val="10"/>
        <rFont val="Times New Roman"/>
        <family val="1"/>
      </rPr>
      <t>- Autortiesību maksājumi, lai nodrošinātu latviešu orģinālprodukcijas izrādīšanu ēterā un izvietošanu ēterā</t>
    </r>
  </si>
  <si>
    <r>
      <rPr>
        <b/>
        <sz val="10"/>
        <rFont val="Times New Roman"/>
        <family val="1"/>
      </rPr>
      <t>RT</t>
    </r>
    <r>
      <rPr>
        <sz val="10"/>
        <rFont val="Times New Roman"/>
        <family val="1"/>
        <charset val="186"/>
      </rPr>
      <t xml:space="preserve"> - Atalgojuma palielināšana padomes priekšēdētājam un locekļiem</t>
    </r>
  </si>
  <si>
    <r>
      <rPr>
        <b/>
        <sz val="10"/>
        <rFont val="Times New Roman"/>
        <family val="1"/>
      </rPr>
      <t>RT</t>
    </r>
    <r>
      <rPr>
        <sz val="10"/>
        <rFont val="Times New Roman"/>
        <family val="1"/>
        <charset val="186"/>
      </rPr>
      <t xml:space="preserve"> - XVII Baltijas studentu dziesmu un deju svētku "Gaudeamus" un XI Skolēnu dziesmu un deju svētkiem</t>
    </r>
  </si>
  <si>
    <r>
      <t xml:space="preserve">SM - </t>
    </r>
    <r>
      <rPr>
        <sz val="10"/>
        <rFont val="Times New Roman"/>
        <family val="1"/>
      </rPr>
      <t xml:space="preserve">03.00.00 "Nozares vadība"palielināti izdevumi 2013.-2015.gadam no maksas pakalpojumu un citu pašu ieņēmumu atlikuma uz 2013.gada 1.janvāri </t>
    </r>
  </si>
  <si>
    <t>Atbilstoši MK 2012.gada 10,jūlija  sēdes protokolam Nr.39  51.§ samazināts finansējums disku masīva konfidenciālajam tīklam iegādei</t>
  </si>
  <si>
    <r>
      <rPr>
        <b/>
        <sz val="10"/>
        <rFont val="Times New Roman"/>
        <family val="1"/>
      </rPr>
      <t>SPRK</t>
    </r>
    <r>
      <rPr>
        <sz val="10"/>
        <rFont val="Times New Roman"/>
        <family val="1"/>
      </rPr>
      <t xml:space="preserve"> - Pašu ieņēmumi 2013.gadā palielināti par Ls 65 170, kas ir 2012.gadā uzsāktā Twinning projekta finansējums 2013.gadam. </t>
    </r>
  </si>
  <si>
    <r>
      <rPr>
        <b/>
        <sz val="10"/>
        <rFont val="Times New Roman"/>
        <family val="1"/>
      </rPr>
      <t xml:space="preserve">AiM - </t>
    </r>
    <r>
      <rPr>
        <sz val="10"/>
        <rFont val="Times New Roman"/>
        <family val="1"/>
      </rPr>
      <t>28.00.00 "Ģeodēzija un kartogrāfija" samazināti izdevumi  2013.gadā, palielināti izdevumi 2014.gadā un 2015.gadā , lai nodrošinātu Latvijas un Krievijas kopīgās demarkācijas komisijas darbu un tās lēmumu īstenošanu (MK 14.08.2012. prot. Nr.45 27.§ 2.punkts)</t>
    </r>
  </si>
  <si>
    <r>
      <rPr>
        <b/>
        <sz val="10"/>
        <rFont val="Times New Roman"/>
        <family val="1"/>
      </rPr>
      <t>EM</t>
    </r>
    <r>
      <rPr>
        <sz val="10"/>
        <rFont val="Times New Roman"/>
        <family val="1"/>
      </rPr>
      <t xml:space="preserve"> - Citu Eiropas Kopienas iniciatīvu projekts "Jaunā Patērētāju kreditēšanas direktīva: ieviešana, piemērošana, uzraudzība, negodīga komercprakse un netaisnīgi līguma noteikumi"</t>
    </r>
  </si>
  <si>
    <r>
      <t xml:space="preserve">SM - </t>
    </r>
    <r>
      <rPr>
        <sz val="10"/>
        <rFont val="Times New Roman"/>
        <family val="1"/>
      </rPr>
      <t xml:space="preserve">31.05.00 Dotācija Autransporta direkcijai sabiedriskā transporta pakalpojumu organizēšanai (MK 16.08.12. sēdes prot.)sakarā ar funkciju pārņemšanu no VARAM (jāsamazina 200 000 latu), lai Autotransportu direkcija varētu veikt papildus funkcijas valsts budžeta līdzekļu sadalē plānošanas reģioniem. </t>
    </r>
  </si>
  <si>
    <r>
      <rPr>
        <b/>
        <sz val="10"/>
        <rFont val="Times New Roman"/>
        <family val="1"/>
      </rPr>
      <t>LM</t>
    </r>
    <r>
      <rPr>
        <sz val="10"/>
        <rFont val="Times New Roman"/>
        <family val="1"/>
      </rPr>
      <t xml:space="preserve"> - 63.02.00 "Atmaksa valsts pamatbudžetā par Eiropas Sociālā fonda (ESF) fiansējumu (2007-2013)" palielināti izdevumi atmaksai valsts pamatbudžetā par ESF līdzfinansējumu </t>
    </r>
  </si>
  <si>
    <t>Atmaksa pamatbudžetam (dotācija no vispārējiem ieņēmumiem) :</t>
  </si>
  <si>
    <r>
      <rPr>
        <b/>
        <u/>
        <sz val="10"/>
        <rFont val="Times New Roman"/>
        <family val="1"/>
      </rPr>
      <t xml:space="preserve"> Gadskārtējā valsts budžeta izpildes procesā pārdalāmajam finansējumam</t>
    </r>
    <r>
      <rPr>
        <sz val="10"/>
        <rFont val="Times New Roman"/>
        <family val="1"/>
      </rPr>
      <t xml:space="preserve"> - jaunā programmā "Latvijas prezidentūras Eiropas Savienības Padomē nodrošināšana 2015.gadā" saistībā ar Ministru kabineta 2012.gada 12.jūlija rīkojumu Nr. 334 (prot. Nr. 39 47.§) Latvijas prezidentūras Eiropas Savienības Padomē nodrošināšanai 2015.gadā </t>
    </r>
  </si>
  <si>
    <r>
      <rPr>
        <b/>
        <u/>
        <sz val="10"/>
        <rFont val="Times New Roman"/>
        <family val="1"/>
      </rPr>
      <t>Centrālajai vēlēšanu komisijai</t>
    </r>
    <r>
      <rPr>
        <sz val="10"/>
        <rFont val="Times New Roman"/>
        <family val="1"/>
      </rPr>
      <t xml:space="preserve"> - atbilstoši MK 2012.gada 10,jūlija  sēdes protokolam Nr.39  51.§ palielināts finansējums interneta vēlēšanu sistēmas izveidei (papildus 1 amata vieta)</t>
    </r>
  </si>
  <si>
    <r>
      <rPr>
        <b/>
        <sz val="10"/>
        <rFont val="Times New Roman"/>
        <family val="1"/>
      </rPr>
      <t xml:space="preserve">TM </t>
    </r>
    <r>
      <rPr>
        <sz val="10"/>
        <rFont val="Times New Roman"/>
        <family val="1"/>
      </rPr>
      <t>- 08.00.00 "Valsts valodas centrs" saistībā ar Ministru kabineta 2012.gada 16.jūlija sēdē atbalstīto (protokols  Nr.46 11.§) Valsts valodas centra kapacitātes stiprināšanai.</t>
    </r>
  </si>
  <si>
    <r>
      <rPr>
        <b/>
        <sz val="10"/>
        <rFont val="Times New Roman"/>
        <family val="1"/>
      </rPr>
      <t xml:space="preserve">TM </t>
    </r>
    <r>
      <rPr>
        <sz val="10"/>
        <rFont val="Times New Roman"/>
        <family val="1"/>
      </rPr>
      <t>- 11.00.00 "Tiesu ekspertīžu zinātniskā pētniecība" saistībā ar Ministru kabineta 2012.gada 16.jūlija sēdē atbalstīto (protokols  Nr.46 11.§) Valsts tiesu ekspertīžu biroja kapacitātes paaugstināšanai.</t>
    </r>
  </si>
  <si>
    <r>
      <rPr>
        <b/>
        <sz val="10"/>
        <rFont val="Times New Roman"/>
        <family val="1"/>
      </rPr>
      <t xml:space="preserve">TM </t>
    </r>
    <r>
      <rPr>
        <sz val="10"/>
        <rFont val="Times New Roman"/>
        <family val="1"/>
      </rPr>
      <t>- 36.02.00 "Apgabaltiesas un rajona (pilsētas) tiesas" saistībā ar Ministru kabineta 2012.gada 16.jūlija sēdē atbalstīto (protokols  Nr.46 11.§) tiesu darbinieku mēnešalgas palielināšanai par 40 latiem un tiesu darbinieku apdrošināšanas nodrošināšanai.</t>
    </r>
  </si>
  <si>
    <r>
      <rPr>
        <b/>
        <sz val="10"/>
        <rFont val="Times New Roman"/>
        <family val="1"/>
      </rPr>
      <t>TM</t>
    </r>
    <r>
      <rPr>
        <sz val="10"/>
        <rFont val="Times New Roman"/>
        <family val="1"/>
      </rPr>
      <t xml:space="preserve"> - 39.00.00 "Dotācija Latvijas Politiski represēto biedrībai" saistībā ar Ministru kabineta 2012.gada 16.jūlija sēdē atbalstīto (protokols  Nr.46 11.§), lai kopējais izdevumu apjoms pret 2012.gadu netiktu samazināts, bet paliktu 2012.gada līmenī.</t>
    </r>
  </si>
  <si>
    <r>
      <rPr>
        <b/>
        <sz val="10"/>
        <rFont val="Times New Roman"/>
        <family val="1"/>
      </rPr>
      <t>TM -</t>
    </r>
    <r>
      <rPr>
        <sz val="10"/>
        <rFont val="Times New Roman"/>
        <family val="1"/>
      </rPr>
      <t xml:space="preserve"> 57.00.00 "Valsts zemes dienests" saistībā ar Ministru kabineta 2012.gada 14.jūlija sēdē atbalstīto (protokols  Nr.45 27.§) Latvijas - Krievijas robežas demarkācijas nodrošināšanai</t>
    </r>
  </si>
  <si>
    <r>
      <rPr>
        <b/>
        <sz val="10"/>
        <rFont val="Times New Roman"/>
        <family val="1"/>
      </rPr>
      <t xml:space="preserve">VM </t>
    </r>
    <r>
      <rPr>
        <sz val="10"/>
        <rFont val="Times New Roman"/>
        <family val="1"/>
      </rPr>
      <t>- samazināti ieņēmumi no maksas pakalpojumiem un citi pašu ieņēmumi un tiem atbilstošie izdevumi precēm un pakalpojumiem apakšprogrammā 39.03.00 "Asins un asins komponentu nodrošināšana", samazinot virusoloģisko izmeklējumu skaitu plazmas donoriem atbilstoši pieprasījumam un samazinot ieņēmumus no telpu nomas.</t>
    </r>
  </si>
  <si>
    <r>
      <rPr>
        <b/>
        <sz val="10"/>
        <rFont val="Times New Roman"/>
        <family val="1"/>
      </rPr>
      <t>VM</t>
    </r>
    <r>
      <rPr>
        <sz val="10"/>
        <rFont val="Times New Roman"/>
        <family val="1"/>
      </rPr>
      <t>- samazināta dotācija no vispārējiem ieņēmumiem  46.01.00 "Uzraudzība un kontrole" saistībā ar Veselības inspekcijas pārvaldes uzdevuma - veikt kompetentajai iestādei paredzētos uzdevumus atbilstoši prasībām, - nodošanu Pārtikas un veterinārajam dienestam ar 2012.gada 1.aprīli atbilstoši 21.02.2012 MK rīkojumam Nr.101. Vienlaicīgi tiks veiktas izmaiņas budžeta 2.pielikumā "Pamatbudžetā iemaksājamās valsts nodevas un citi maksājumi no valsts institūciju sniegtajiem pakalpojumiem un veiktās darbības".</t>
    </r>
  </si>
  <si>
    <r>
      <rPr>
        <b/>
        <sz val="10"/>
        <rFont val="Times New Roman"/>
        <family val="1"/>
      </rPr>
      <t>ST</t>
    </r>
    <r>
      <rPr>
        <sz val="10"/>
        <rFont val="Times New Roman"/>
        <family val="1"/>
      </rPr>
      <t xml:space="preserve"> - Palielināti ieņēmumi no maksas pakalpojumiem un citiem pašu ieņēmumiem sakarā ar plānoto jaunu telpu nomas līgumu ar Iekšlietu ministrijas Pilsonības un migrācijas lietu pārvaldi, izdevumi paredzēti PVN nomaksai valsts budžetā 948 latu apmērā un komunālajiem pakalpojumiem 4512 latu apmērā.</t>
    </r>
  </si>
  <si>
    <t>samazināti izdevumi precēm un pakalpjumiem un attiecīgi palielināti kapitālie izdevumi, lai nodrošinātu morāli un fiziski nolietotās tehnikas nomaiņu, kuras uzturēšanas un ekspluatācijas izdevumi, veicot nepārtrauktus remontus, nav ekonomiski izdevīgi, lietderīgi un pārsniedz līdzvērtīgas jaunas tehnikas iegādes izmaksas.</t>
  </si>
  <si>
    <t>Atbilstoši Ministru kabineta 2012.gada 10.jūlija sēdes protokolam Nr.39  51.§ palielināts finansējums, lai nodrošinātu pilnvērtīgu Latvijas interešu pārstāvēšanu  Ekonomiskās sadarbības un attīstības organizācijā OECD (papildu 2 amata vietas), kā arī komandējumu izdevumu segšanai, tai skaitā saistībā ar sarunām par Eiropas Savienības Daudzgadu budžetu.</t>
  </si>
  <si>
    <t>Atbilstoši Ministru kabineta  2012.gada 16.augusta sēdē nolemtajam palielināts finansējums Latvijas prezidentūras Eiropas Savienības Padomē sekretariātam Latvijas prezidentūras kultūras programmas sagatavošanai (finansējums valsts aģentūras „Latvijas Nacionālais mākslas muzejs” izstādes Beļģijā „Iespaidi un paralēles: beļģu un latviešu glezniecība no Latvijas Nacionālā mākslas muzeja kolekcijas. 20.gadsimta pirmā puse” sagatavošanai) transferts uz KM</t>
  </si>
  <si>
    <t xml:space="preserve">Atbilstoši MK 2012.gada 16.augusta sēdes protokola Nr.46 11.§ palielināts finansējums autonomu pašvaldību vēlēšanu nodrošināšanai </t>
  </si>
  <si>
    <t>Atbilstoši MK 2012.gada 16.augusta sēdē nolemtajam palielināts finansējums Latvijas prezidentūras Eiropas Savienības Padomē 2015.gadā sagatavošanai un nodrošināšanai (vienas jaunas amata vietas izveidei) centrālajā aparātā un piemaksu nodrošināšanai darbiniekiem, kuri papildus saviem tiešajiem pienākumiem veic ar Latvijas prezidentūras Eiropas Savienības Padomē sagatavošanas nodrošināšanu 2015.gadā saistītus pienākumus</t>
  </si>
  <si>
    <t>Atbilstoši MK 2012.gada 16.augusta sēdē nolemtajam palielināts finasējums Valsts ieņēmumu dienesta administratīvās ēkas Talejas iela 1, Rīgā, telpu nomas maksas, aprīkojuma iegādes, pārcelšanās un uzturēšanas izdevumu segšanai</t>
  </si>
  <si>
    <t>Atbilstoši MK 2012.gada 16.augusta sēdē nolemtajam palielināts finasējums Valsts ieņēmumu dienesta laboratorijas tehniskā aprīkojuma iegādei</t>
  </si>
  <si>
    <t>Atbilstoši MK 2012.gada 16.augusta sēdē nolemtajam palielināts finasējums administratīvo pārkāpumu un sodu piemērošanas funkciju izpildes nodrošināšanai</t>
  </si>
  <si>
    <t>Atbilstoši MK 2012.gada 16.augusta sēdē nolemtajam palielināts finasējums kravu skenēšanas sistēmu iegādei</t>
  </si>
  <si>
    <t>Atbilstoši MK 2012.gada 16.augusta sēdē nolemtajam palielināts finasējums kravas skeneru uzturēšanai</t>
  </si>
  <si>
    <t>Atbilstoši MK 2012.gada 16.augusta sēdē nolemtajam palielināts finasējums uzlabojumu nodrošināšanai elektroniskās deklarēšanas sistēmā</t>
  </si>
  <si>
    <t>Atbilstoši MK 2012.gada 16.augusta sēdē nolemtajam  palielināts finasējums VAS "Valsts nekustamie īpašumi" Rīgas pils restaurācijai un rekonstrukcijai Pils laukumā 3, Rīgā (būvniecības II kārta - Konventa nodrošināšana)</t>
  </si>
  <si>
    <t>Atbilstoši MK 2012.gada 16.augusta sēdē nolemtajam par valsts budžeta prioritārajiem pasākumiem 2013.-2015.gadam palielināts finasējums VAS "Valsts nekustamie īpašumi" Muzeju krātuvju kompleksa būvniecībai Pulka ielā 8, Rīgā (attīstības I posms - būvniecības I kārta - muzeja krātuvju korpusa (ēkas) un komunikāciju tīkla izbūve)</t>
  </si>
  <si>
    <t>Atbilstoši MK 2012.gada 16.augusta sēdē nolemtajam palielināts finasējums VAS "Valsts nekustamie īpašumi" būvniecībai Jūras ielā 34, Ventspilī</t>
  </si>
  <si>
    <t>Atbilstoši MK 2012.gada 16.augusta sēdē nolemtajam palielināts finasējums VAS "Valsts nekustamie īpašumi" Jaunā Rīgas teātra ēkas rekonstrukcijai</t>
  </si>
  <si>
    <t>Atbilstoši MK 2012.gada 16.augusta sēdē nolemtajam palielināts finasējums VAS "Valsts nekustamie īpašumi" KNAB pārcelšanās uz A.Briāna ielu nodrošināšanai</t>
  </si>
  <si>
    <t>Atbilstoši MK 2012.gada 16.augusta sēdē nolemtajam palielināts finasējums iemaksai Eiropas Investīciju bankas kapitāla palielināšanai (pasākums neietekmē kopējos izdevumus)</t>
  </si>
  <si>
    <r>
      <t xml:space="preserve">Palielināti izdevumi apakšprogrammā 62.06.00 "Eiropas Reģionālās attīstības fonda (ERAF) īstenotie projekti labklājības nozarē (2007-2013)" projekta "Vienotās Labklājības informācijas sistēmas (LabIS), nozares centralizēto funkciju informācijas sistēmu un centralizētas IKT infrastruktūras attīstība" īstenošanai 2013.gadā </t>
    </r>
    <r>
      <rPr>
        <i/>
        <sz val="9"/>
        <rFont val="Times New Roman"/>
        <family val="1"/>
        <charset val="186"/>
      </rPr>
      <t>1 050 000 latu</t>
    </r>
    <r>
      <rPr>
        <sz val="9"/>
        <rFont val="Times New Roman"/>
        <family val="1"/>
        <charset val="186"/>
      </rPr>
      <t xml:space="preserve"> apmērā (tai skaitā 500 latu apmērā preces un pakalpojumi un 1 049 500 latu apmērā  izdevumi pamatkapitāla veidošanai), 2014.gadā </t>
    </r>
    <r>
      <rPr>
        <i/>
        <sz val="9"/>
        <rFont val="Times New Roman"/>
        <family val="1"/>
        <charset val="186"/>
      </rPr>
      <t>1 360 000 latu apmērā</t>
    </r>
    <r>
      <rPr>
        <sz val="9"/>
        <rFont val="Times New Roman"/>
        <family val="1"/>
        <charset val="186"/>
      </rPr>
      <t xml:space="preserve"> (izdevumi pamatkapitāla veidošanai) un 2015.gadā </t>
    </r>
    <r>
      <rPr>
        <i/>
        <sz val="9"/>
        <rFont val="Times New Roman"/>
        <family val="1"/>
        <charset val="186"/>
      </rPr>
      <t>250 028 latu</t>
    </r>
    <r>
      <rPr>
        <sz val="9"/>
        <rFont val="Times New Roman"/>
        <family val="1"/>
        <charset val="186"/>
      </rPr>
      <t xml:space="preserve"> apmērā (tai skaitā 31 500 latu apmērā precēm un pakalpojumiem un 218 528 latu apmērā pamatkapitāla veidošanai) (atbilstoši LM 13.08.2012. vēstulei Nr.12.2-15/67)</t>
    </r>
  </si>
  <si>
    <t>Palielināti valsts budžeta uzturēšanas izdevumu transferti pašvaldībām noteiktam mērķim surdotulka pakalpojuma līdz 10 stundām mēnesī saskarsmes ar citām juridiskām un fiziskām personām nodrošināšanai (Invaliditātes likuma 12.panta pirmās daļas 6.punkts) 2013.gadā 459 679 latu apmērā, 2014.gadā 459 679 latu apmērā un 2015.gadā 459 679 latu apmērā un asistenta pakalpojuma dzīvesvietā līdz 40 stundām nedēļā nodrošināšanai (Invaliditātes likuma 12.panta pirmās daļas 3.punkts) 2013.gadā 1 866 454 latu apmērā, 2014.gadā 1 903 783 latu apmērā un 2015.gadā 3 183 968 latu apmērā (atbilstoši MK 03.07.2012. sēdes protokola Nr.37, 44.§)</t>
  </si>
  <si>
    <t xml:space="preserve">Finansējums bāzes izdevumu atjaunošanai, kuri 2012.gadā tika pārdalīti (MK.16.08.12.) </t>
  </si>
  <si>
    <t>Valsts Kultūrkapitāla fonds (MK 16.08.12.)</t>
  </si>
  <si>
    <t>Latvijas Nacionālās bibliotēkas sagatavošanās un darbībai jaunajā ēkā (lai atjaunotu pilnu slodzi 300 darbiniekiem un turpināt nodarbināt uz pilnu slodzi 32 darbiniekus no 2013.gada 1.jūlija, uzturēšanas izdevumu segšanai, komunālo maksājumu un  informācijas tehnoloģiju izdevumu segšanai) (MK 16.08.12.)</t>
  </si>
  <si>
    <t>Profesionālās mākslas atbalstam (MK 16.08.12.)</t>
  </si>
  <si>
    <t>Valstiski nozīmīgi pasākumi, tajā skaitā MK balvas pasniegšanai (MK 16.08.12.)</t>
  </si>
  <si>
    <t>Radošo industriju stratēģijas nodrošināšanai (MK 16.08.12.)</t>
  </si>
  <si>
    <t>Rotko centrs Daugavpilī, 2013.gada 2.pusgadam (MK 16.08.12.)</t>
  </si>
  <si>
    <t>Uzturēšanas izdevumi kultūras iestādēs (MK 16.08.12.)</t>
  </si>
  <si>
    <t>XXV Vispārējie latviešu Dziesmu un XV deju svētki (MK 16.08.12.)</t>
  </si>
  <si>
    <t>Eiropas Kultūras galvaspilsēta 2014.gads (MK 16.08.12.)</t>
  </si>
  <si>
    <t>Pedagogu zemākās mēnešalgas likmes paaugstināšana no 01.09.2012. (MK 16.08.12.)</t>
  </si>
  <si>
    <t>Papildus finansējums Latvijas prezidentūras Eiropas Savienības Padomē 2015.gadā sagatavošanai un nodrošināšanai (MK 16.08.12.)</t>
  </si>
  <si>
    <r>
      <t xml:space="preserve">Saskaņā ar Finanšu ministrijas 03.05.2012. rīkojumu Nr.212 Jelgavas Mūzikas vidusskolas projekta „Mūzikas iedvesmas pārrobežu sadarbības un kultūras dialogs” īstenošanai </t>
    </r>
    <r>
      <rPr>
        <b/>
        <sz val="10"/>
        <rFont val="Times New Roman"/>
        <family val="1"/>
        <charset val="186"/>
      </rPr>
      <t>(no 80.00.00 programmas, ir atzinums noVARAM)</t>
    </r>
  </si>
  <si>
    <r>
      <t xml:space="preserve">Saskaņā ar MK 24.04.2012. protokollēmuma Nr.22 31.§ 3.punktu LNB projektu īstenošanai </t>
    </r>
    <r>
      <rPr>
        <b/>
        <sz val="10"/>
        <rFont val="Times New Roman"/>
        <family val="1"/>
        <charset val="186"/>
      </rPr>
      <t>(No 80.00.00 programmas)</t>
    </r>
  </si>
  <si>
    <t>Latvijas Nacionālās bibliotēkas ārvalstu finanšu palīdzības projekta „Tiesiskās vides izveide e-grāmatu izsniegšanai Latvijas bibliotēkās” īstenošanai (budžeta apakšprogrammā 73.06.00)</t>
  </si>
  <si>
    <t>Dziesmu un deju svētku procesa nodrošināšanai finansējums pašvaldībām (MK 16.08.12.)</t>
  </si>
  <si>
    <t>Izmaiņas līdz 31.07.2012.</t>
  </si>
  <si>
    <t>Pēc 31.07.2012.</t>
  </si>
  <si>
    <r>
      <rPr>
        <b/>
        <sz val="10"/>
        <rFont val="Times New Roman"/>
        <family val="1"/>
      </rPr>
      <t xml:space="preserve">FM </t>
    </r>
    <r>
      <rPr>
        <sz val="10"/>
        <rFont val="Times New Roman"/>
        <family val="1"/>
      </rPr>
      <t>- Atbilstoši MK 2012.gada 16.augusta sēdē nolemtajam Latvijas prezidentūras Eiropas Savienības Padomē 2015.gadā sagatavošanai un nodrošināšanai (vienas jaunas amata vietas izveidei) centrālajā aparātā un piemaksu nodrošināšanai darbiniekiem, kuri papildus saviem tiešajiem pienākumiem veic ar Latvijas prezidentūras Eiropas Savienības Padomē sagatavošanas nodrošināšanu 2015.gadā saistītus pienākumus</t>
    </r>
  </si>
  <si>
    <r>
      <rPr>
        <b/>
        <sz val="10"/>
        <rFont val="Times New Roman"/>
        <family val="1"/>
      </rPr>
      <t>KM -</t>
    </r>
    <r>
      <rPr>
        <sz val="10"/>
        <rFont val="Times New Roman"/>
        <family val="1"/>
      </rPr>
      <t xml:space="preserve"> Finansējums bāzes izdevumu atjaunošanai, kuri 2012.gadā tika pārdalīti (MK.16.08.12.) </t>
    </r>
  </si>
  <si>
    <r>
      <rPr>
        <b/>
        <sz val="10"/>
        <rFont val="Times New Roman"/>
        <family val="1"/>
      </rPr>
      <t>KM -</t>
    </r>
    <r>
      <rPr>
        <sz val="10"/>
        <rFont val="Times New Roman"/>
        <family val="1"/>
      </rPr>
      <t xml:space="preserve"> Valsts Kultūrkapitāla fonds (MK 16.08.12.)</t>
    </r>
  </si>
  <si>
    <r>
      <rPr>
        <b/>
        <sz val="10"/>
        <rFont val="Times New Roman"/>
        <family val="1"/>
      </rPr>
      <t>KM</t>
    </r>
    <r>
      <rPr>
        <sz val="10"/>
        <rFont val="Times New Roman"/>
        <family val="1"/>
      </rPr>
      <t xml:space="preserve"> - Latvijas Nacionālās bibliotēkas sagatavošanās un darbībai jaunajā ēkā (lai atjaunotu pilnu slodzi 300 darbiniekiem un turpināt nodarbināt uz pilnu slodzi 32 darbiniekus no 2013.gada 1.jūlija, uzturēšanas izdevumu segšanai, komunālo maksājumu un  informācijas tehnoloģiju izdevumu segšanai) (MK 16.08.12.)</t>
    </r>
  </si>
  <si>
    <r>
      <rPr>
        <b/>
        <sz val="10"/>
        <rFont val="Times New Roman"/>
        <family val="1"/>
      </rPr>
      <t>KM</t>
    </r>
    <r>
      <rPr>
        <sz val="10"/>
        <rFont val="Times New Roman"/>
        <family val="1"/>
      </rPr>
      <t xml:space="preserve"> - Profesionālās mākslas atbalstam (MK 16.08.12.)</t>
    </r>
  </si>
  <si>
    <r>
      <rPr>
        <b/>
        <sz val="10"/>
        <rFont val="Times New Roman"/>
        <family val="1"/>
      </rPr>
      <t xml:space="preserve">KM </t>
    </r>
    <r>
      <rPr>
        <sz val="10"/>
        <rFont val="Times New Roman"/>
        <family val="1"/>
      </rPr>
      <t>- Valstiski nozīmīgi pasākumi, tajā skaitā MK balvas pasniegšanai (MK 16.08.12.)</t>
    </r>
  </si>
  <si>
    <r>
      <rPr>
        <b/>
        <sz val="10"/>
        <rFont val="Times New Roman"/>
        <family val="1"/>
      </rPr>
      <t>KM</t>
    </r>
    <r>
      <rPr>
        <sz val="10"/>
        <rFont val="Times New Roman"/>
        <family val="1"/>
      </rPr>
      <t xml:space="preserve"> - Radošo industriju stratēģijas nodrošināšanai (MK 16.08.12.)</t>
    </r>
  </si>
  <si>
    <r>
      <rPr>
        <b/>
        <sz val="10"/>
        <rFont val="Times New Roman"/>
        <family val="1"/>
      </rPr>
      <t>KM</t>
    </r>
    <r>
      <rPr>
        <sz val="10"/>
        <rFont val="Times New Roman"/>
        <family val="1"/>
      </rPr>
      <t xml:space="preserve"> - Rotko centrs Daugavpilī, 2013.gada 2.pusgadam (MK 16.08.12.)</t>
    </r>
  </si>
  <si>
    <r>
      <rPr>
        <b/>
        <sz val="10"/>
        <rFont val="Times New Roman"/>
        <family val="1"/>
      </rPr>
      <t xml:space="preserve">KM </t>
    </r>
    <r>
      <rPr>
        <sz val="10"/>
        <rFont val="Times New Roman"/>
        <family val="1"/>
      </rPr>
      <t>- Uzturēšanas izdevumi kultūras iestādēs (MK 16.08.12.)</t>
    </r>
  </si>
  <si>
    <r>
      <rPr>
        <b/>
        <sz val="10"/>
        <rFont val="Times New Roman"/>
        <family val="1"/>
      </rPr>
      <t>KM</t>
    </r>
    <r>
      <rPr>
        <sz val="10"/>
        <rFont val="Times New Roman"/>
        <family val="1"/>
      </rPr>
      <t xml:space="preserve"> - XXV Vispārējie latviešu Dziesmu un XV deju svētki (MK 16.08.12.)</t>
    </r>
  </si>
  <si>
    <r>
      <rPr>
        <b/>
        <sz val="10"/>
        <rFont val="Times New Roman"/>
        <family val="1"/>
      </rPr>
      <t xml:space="preserve">KM </t>
    </r>
    <r>
      <rPr>
        <sz val="10"/>
        <rFont val="Times New Roman"/>
        <family val="1"/>
      </rPr>
      <t>- Eiropas Kultūras galvaspilsēta 2014.gads (MK 16.08.12.)</t>
    </r>
  </si>
  <si>
    <r>
      <rPr>
        <b/>
        <sz val="10"/>
        <rFont val="Times New Roman"/>
        <family val="1"/>
      </rPr>
      <t>KM</t>
    </r>
    <r>
      <rPr>
        <sz val="10"/>
        <rFont val="Times New Roman"/>
        <family val="1"/>
      </rPr>
      <t xml:space="preserve"> - Pedagogu zemākās mēnešalgas likmes paaugstināšana no 01.09.2012. (MK 16.08.12.)</t>
    </r>
  </si>
  <si>
    <t>Lai nodrošinātu 2013.gadā darba samaksu ierēdniem, kurus 2012.gadā pārcela darba uz ministrijas padotības iestādēm veiktā atlīdzības izdevumu pārdale no apakšprogrammas 06.08.00"Nozares politikas veidošana un uzraudzība" 74648 latu apmērā, no tiem atalgojums 60156 Ls uz apakšprogrammu 42.01.00"Iestāžu darbības nodrošināšana" 56 451 Ls apmērā, no tiem atalgojums 45492, uz apakšprogrammu 70.10.00"Jaunatnes starptautisko programmu aģentūra"18197 Ls apmērā, no tiem atalgojums 14664 Ls.</t>
  </si>
  <si>
    <t>palielinās ieņēmumi no maksas pakalpojumiem un citiem pašu ieņēmumiem un attiecīgi izdevumi</t>
  </si>
  <si>
    <t>tajā skaitā;</t>
  </si>
  <si>
    <t xml:space="preserve">Apakšprogrammā 02.01."Profesionālās izglītības programmu īstenošana" 101604 latu apmŗā, apakšprogrammā 03.11.00"Koledžas " 32060 latu apmērā </t>
  </si>
  <si>
    <t xml:space="preserve">Pedagogu zemākās mēnešalgas likmes paaugstināšana no 01.09.2012.(Ministru kabinets 16.08.2012.g.) un </t>
  </si>
  <si>
    <t xml:space="preserve">tatajā skaitā : </t>
  </si>
  <si>
    <t>apakšprogrammā 01.05.00"Dotācija privātajām mācību iestādēm ( subsīdijas un dotācijas)</t>
  </si>
  <si>
    <t>apakšprogrammā  02.01.00"Profesionālās izglītības programmu īstenošana" (2013.gadā - atlīdzība  1261873 lati, subsīdijas un dotācijas 138834 lati, transferti atvasinātajām publiskajām personām 20528 lati, 2014. gadā atlīdzība 2455 619 lati, subsīdijas un dotācijas 268502 lati, transferti atvasinātajām publiskajām personām 36184 lati; 2015.gadā - atlīdzība 2455619 lati, subsīdijas un dotācijas 268502 lati, transfert atvasinātajām publiskajām personām 36184 lati).</t>
  </si>
  <si>
    <t>apakšprogrammā 09.10.00"Murjāņu sporta ģimnāzija" (atlīdzība)</t>
  </si>
  <si>
    <t>apakšprogrammā 09.19.00 Finansējums profesionālās ievirzes sporta izglītības programmu pedagogu darba samaksai un valsts sociālās apdrošināšanas obligātajām iemaksām (transferti pašvaldībām)</t>
  </si>
  <si>
    <t>Profesionālās izglītības iestāžu pedagogu darba slodzes samazināšanai no 840 h uz 756 h apakšprogrammā 02.01.00"Profesionālās izglītības programmu īstenošana"</t>
  </si>
  <si>
    <t>Bobsleja un kamaniņu trass "Sigulda"rekonstrukcija apakšprogrammā 09.04.00"Sporta būves" (Ministru kabinets 17.08.2012.g.) (subsīdijas un dotācijas)</t>
  </si>
  <si>
    <t>Aktīva jaunatnes politika reģionos - darba ar jaunatni kvalitātes pilnveide, nodrošinot tā vienmērīgu pārklājumu visā Latvijas teritorijā  - apakšprogramma 06.05.00"Jaunatnes politikas valsts programma (Ministru kabinets 17.08.2012.g.)</t>
  </si>
  <si>
    <t xml:space="preserve">Parāda piedziņas nodrošināšana sakarā ar studiju kredīta atmaksas parādnieku lielo skaitu apakšprogramma 42.01.00 "Iestādes darbības nodrošināšana"(Ministru kabinets 17.08.2012.g.) atlīdzībai 59563 lati, precēm un pakalpojumiem 4000 lati) </t>
  </si>
  <si>
    <t>Latviešu valodas kā sabiedrības saliedētības ilgtspējas nodrošināšanas faktora prioritārie pasākumi : latviešu valodas apguves veicināšana pirmsskolā, pieaugušajiem mūžizglītības kontekstā, diasporā un ārvalstu augstskolās (Ministru kabinets 17.08.2012.g.); atlīdzībai 66200 lati precēm un pakalpojumiem 165800 lati.</t>
  </si>
  <si>
    <t>XVII Balstikas studentu dzies,u un deju svētku "Gaudeamus"un XI Skolēnu Dziesmu un Deju svētku nodrošināšanai apakšprogramma 42.03."Skolēnu jaunatnes dziesmu un deju svētki"(Ministru kabinets 17.08.2012.g.); atlīdzībai  2013.gadā - 43322 lati, 2014.gadā -61067 lati, 2015.gadā 530315 lati, pārējie izdevumi precēm un pakalpojumiem.</t>
  </si>
  <si>
    <t>Papildus finansējums Latvijas prezidentūras Eiropas Savienības Padomē 2015.gada sagatavošanai un nodrošināšanai(Ministru kabinets 17.08.2012.g.)</t>
  </si>
  <si>
    <t>Murjānu sporta ģimnāzijas rekonstrukcija apakšprogramma 09.10.00"Murjāņu sporta ģimnāzija</t>
  </si>
  <si>
    <t>Lai nodrošinātu 2013.gadā darba samaksu ierēdnim, kuru 2012.gadā pārcela darba uz ministrijas padotības iestādi veiktā atlīdzības izdevumu pārdale no apakšprogrammas 06.08.00"Nozares politikas veidošana un uzraudzība" 18197 latu apmērā, no tiem atalgojums 14664 Ls  70.10.00"Jaunatnes starptautisko programmu aģentūra".</t>
  </si>
  <si>
    <t xml:space="preserve">63.06.00 apakšprogrammā izmaiņas pa EKK, kodiem pamatojoties uz LM transferta saskaņojumu; </t>
  </si>
  <si>
    <t>70.07.00 apakšprogrammas izmaiņas pa EKKpamatojoties uz KM un IeM transfertu saskaņojumiem</t>
  </si>
  <si>
    <r>
      <rPr>
        <b/>
        <sz val="10"/>
        <color indexed="8"/>
        <rFont val="Times New Roman"/>
        <family val="1"/>
      </rPr>
      <t>IZM</t>
    </r>
    <r>
      <rPr>
        <b/>
        <u/>
        <sz val="10"/>
        <color indexed="8"/>
        <rFont val="Times New Roman"/>
        <family val="1"/>
      </rPr>
      <t xml:space="preserve"> </t>
    </r>
    <r>
      <rPr>
        <sz val="10"/>
        <color indexed="8"/>
        <rFont val="Times New Roman"/>
        <family val="1"/>
      </rPr>
      <t xml:space="preserve">- Pedagogu zemākās mēnešalgas likmes paaugstināšana no 01.09.2012.(Ministru kabinets 16.08.2012.g.) un </t>
    </r>
  </si>
  <si>
    <r>
      <rPr>
        <b/>
        <sz val="10"/>
        <rFont val="Times New Roman"/>
        <family val="1"/>
      </rPr>
      <t>IZM</t>
    </r>
    <r>
      <rPr>
        <sz val="10"/>
        <rFont val="Times New Roman"/>
        <family val="1"/>
      </rPr>
      <t xml:space="preserve"> - Bobsleja un kamaniņu trass "Sigulda"rekonstrukcija apakšprogrammā 09.04.00"Sporta būves" (Ministru kabinets 17.08.2012.g.) (subsīdijas un dotācijas)</t>
    </r>
  </si>
  <si>
    <r>
      <rPr>
        <b/>
        <sz val="10"/>
        <color indexed="8"/>
        <rFont val="Times New Roman"/>
        <family val="1"/>
      </rPr>
      <t>IZM</t>
    </r>
    <r>
      <rPr>
        <sz val="10"/>
        <color indexed="8"/>
        <rFont val="Times New Roman"/>
        <family val="1"/>
      </rPr>
      <t xml:space="preserve"> - Aktīva jaunatnes politika reģionos - darba ar jaunatni kvalitātes pilnveide, nodrošinot tā vienmērīgu pārklājumu visā Latvijas teritorijā  - apakšprogramma 06.05.00"Jaunatnes politikas valsts programma (Ministru kabinets 17.08.2012.g.)</t>
    </r>
  </si>
  <si>
    <r>
      <rPr>
        <b/>
        <sz val="10"/>
        <color indexed="8"/>
        <rFont val="Times New Roman"/>
        <family val="1"/>
      </rPr>
      <t>IZM</t>
    </r>
    <r>
      <rPr>
        <sz val="10"/>
        <color indexed="8"/>
        <rFont val="Times New Roman"/>
        <family val="1"/>
      </rPr>
      <t xml:space="preserve"> - Parāda piedziņas nodrošināšana sakarā ar studiju kredīta atmaksas parādnieku lielo skaitu apakšprogramma 42.01.00 "Iestādes darbības nodrošināšana"(Ministru kabinets 17.08.2012.g.) atlīdzībai 59563 lati, precēm un pakalpojumiem 4000 lati) </t>
    </r>
  </si>
  <si>
    <r>
      <rPr>
        <b/>
        <sz val="10"/>
        <rFont val="Times New Roman"/>
        <family val="1"/>
      </rPr>
      <t>IZM</t>
    </r>
    <r>
      <rPr>
        <sz val="10"/>
        <rFont val="Times New Roman"/>
        <family val="1"/>
      </rPr>
      <t xml:space="preserve"> - Latviešu valodas kā sabiedrības saliedētības ilgtspējas nodrošināšanas faktora prioritārie pasākumi : latviešu valodas apguves veicināšana pirmsskolā, pieaugušajiem mūžizglītības kontekstā, diasporā un ārvalstu augstskolās (Ministru kabinets 17.08.2012.g.); atlīdzībai 66200 lati precēm un pakalpojumiem 165800 lati.</t>
    </r>
  </si>
  <si>
    <r>
      <rPr>
        <b/>
        <sz val="10"/>
        <rFont val="Times New Roman"/>
        <family val="1"/>
      </rPr>
      <t>IZM</t>
    </r>
    <r>
      <rPr>
        <sz val="10"/>
        <rFont val="Times New Roman"/>
        <family val="1"/>
      </rPr>
      <t xml:space="preserve"> - XVII Balstikas studentu dzies,u un deju svētku "Gaudeamus"un XI Skolēnu Dziesmu un Deju svētku nodrošināšanai apakšprogramma 42.03."Skolēnu jaunatnes dziesmu un deju svētki"(Ministru kabinets 17.08.2012.g.); atlīdzībai  2013.gadā - 43322 lati, 2014.gadā -61067 lati, 2015.gadā 530315 lati, pārējie izdevumi precēm un pakalpojumiem.</t>
    </r>
  </si>
  <si>
    <r>
      <rPr>
        <b/>
        <sz val="10"/>
        <rFont val="Times New Roman"/>
        <family val="1"/>
      </rPr>
      <t xml:space="preserve">IZM </t>
    </r>
    <r>
      <rPr>
        <sz val="10"/>
        <rFont val="Times New Roman"/>
        <family val="1"/>
      </rPr>
      <t>- Papildus finansējums Latvijas prezidentūras Eiropas Savienības Padomē 2015.gada sagatavošanai un nodrošināšanai(Ministru kabinets 17.08.2012.g.)</t>
    </r>
  </si>
  <si>
    <r>
      <rPr>
        <b/>
        <sz val="10"/>
        <rFont val="Times New Roman"/>
        <family val="1"/>
      </rPr>
      <t>IZM</t>
    </r>
    <r>
      <rPr>
        <sz val="10"/>
        <rFont val="Times New Roman"/>
        <family val="1"/>
      </rPr>
      <t xml:space="preserve"> - Murjānu sporta ģimnāzijas rekonstrukcija apakšprogramma 09.10.00"Murjāņu sporta ģimnāzija</t>
    </r>
  </si>
  <si>
    <r>
      <rPr>
        <b/>
        <u/>
        <sz val="10"/>
        <rFont val="Times New Roman"/>
        <family val="1"/>
      </rPr>
      <t>IeM</t>
    </r>
    <r>
      <rPr>
        <sz val="10"/>
        <rFont val="Times New Roman"/>
        <family val="1"/>
      </rPr>
      <t xml:space="preserve"> - 67.06.00 "Pamatprogrammas „Drošība un brīvību garantēšana” projektu un pasākumu īstenošana (2007–2013)", lai nodrošinātu projekta "ES acquis un citu instrumentu ieviešana un piemērošana, lai pilnveidotu starptautisko sadarbību" turpināšanu 2013.gadā - pārdale no 80.00.00.</t>
    </r>
  </si>
  <si>
    <r>
      <rPr>
        <b/>
        <u/>
        <sz val="10"/>
        <rFont val="Times New Roman"/>
        <family val="1"/>
      </rPr>
      <t>LM</t>
    </r>
    <r>
      <rPr>
        <b/>
        <sz val="10"/>
        <rFont val="Times New Roman"/>
        <family val="1"/>
      </rPr>
      <t xml:space="preserve"> </t>
    </r>
    <r>
      <rPr>
        <sz val="10"/>
        <rFont val="Times New Roman"/>
        <family val="1"/>
      </rPr>
      <t xml:space="preserve">- 62.06.00 "Eiropas Reģionālās attīstības fonda (ERAF) īstenotie projekti labklājības nozarē (2007-2013)" projekta "Vienotās Labklājības informācijas sistēmas (LabIS), nozares centralizēto funkciju informācijas sistēmu un centralizētas IKT infrastruktūras attīstība" </t>
    </r>
  </si>
  <si>
    <r>
      <rPr>
        <b/>
        <u/>
        <sz val="10"/>
        <rFont val="Times New Roman"/>
        <family val="1"/>
      </rPr>
      <t>LM</t>
    </r>
    <r>
      <rPr>
        <b/>
        <sz val="10"/>
        <rFont val="Times New Roman"/>
        <family val="1"/>
      </rPr>
      <t xml:space="preserve"> </t>
    </r>
    <r>
      <rPr>
        <sz val="10"/>
        <rFont val="Times New Roman"/>
        <family val="1"/>
      </rPr>
      <t xml:space="preserve">- 63.06.00 "Eiropas Sociālā fonda (ESF) projektu īstenošana (2007-2013)" projekta "Darbspēju vērtēšanas sistēmas pilnveidošana" īstenošanai </t>
    </r>
  </si>
  <si>
    <r>
      <rPr>
        <b/>
        <u/>
        <sz val="10"/>
        <rFont val="Times New Roman"/>
        <family val="1"/>
      </rPr>
      <t xml:space="preserve">LM </t>
    </r>
    <r>
      <rPr>
        <sz val="10"/>
        <rFont val="Times New Roman"/>
        <family val="1"/>
      </rPr>
      <t>- 2013.gadā samazināti valsts pamatbudžeta iestāžu saņemtie transferta pārskaitījumi no valsts pamatbudžeta dotācijas no vispārējiem ieņēmumiem 73 latu apmērā un palielināta vispārējā kārtībā sadalāmā dotācija no vispārējiem ieņēmumiem, veicot tehnisku precizējumu, lai nodrošinātu projekta "Sākotnējās profesionālās izglītības pievilcības veicināšana" īstenošanu (atbilstoši LM 13.08.2012. vēstulei Nr.12.2-15/67)</t>
    </r>
  </si>
  <si>
    <r>
      <rPr>
        <b/>
        <u/>
        <sz val="10"/>
        <rFont val="Times New Roman"/>
        <family val="1"/>
      </rPr>
      <t xml:space="preserve">LM </t>
    </r>
    <r>
      <rPr>
        <sz val="10"/>
        <rFont val="Times New Roman"/>
        <family val="1"/>
      </rPr>
      <t xml:space="preserve">- 70.05.00 "Tehniskā palīdzība ERAF, ESF, KF apgūšanai (2007-2013)" projekta "Eiropas Savienības fondu administrēšana Labklājības ministrijā 2007.-2013.gada plānošanas periodā (2012.-2015.gads)" īstenošanai </t>
    </r>
  </si>
  <si>
    <r>
      <rPr>
        <b/>
        <u/>
        <sz val="10"/>
        <rFont val="Times New Roman"/>
        <family val="1"/>
      </rPr>
      <t xml:space="preserve">LM </t>
    </r>
    <r>
      <rPr>
        <sz val="10"/>
        <rFont val="Times New Roman"/>
        <family val="1"/>
      </rPr>
      <t xml:space="preserve">- 63.06.00 "Eiropas Sociālā fonda (ESF) projektu īstenošana (2007-2013)" </t>
    </r>
  </si>
  <si>
    <r>
      <rPr>
        <b/>
        <u/>
        <sz val="10"/>
        <rFont val="Times New Roman"/>
        <family val="1"/>
      </rPr>
      <t xml:space="preserve">TM </t>
    </r>
    <r>
      <rPr>
        <sz val="10"/>
        <rFont val="Times New Roman"/>
        <family val="1"/>
      </rPr>
      <t>- 62.06.00 "Eiropas Reģionālās attīstības fonda (ERAF) projektu un pasākumu īstenošana (2007-2013) projekta „Valsts zemes dienesta ģeotelpisko datu ģeotelpiskās informācijas sistēmas izveide” īstenošanai (pārdale no 80.00.00 programmas)</t>
    </r>
  </si>
  <si>
    <r>
      <rPr>
        <b/>
        <u/>
        <sz val="10"/>
        <rFont val="Times New Roman"/>
        <family val="1"/>
      </rPr>
      <t xml:space="preserve">TM  </t>
    </r>
    <r>
      <rPr>
        <sz val="10"/>
        <rFont val="Times New Roman"/>
        <family val="1"/>
      </rPr>
      <t>- 62.06.00 "Eiropas Reģionālās attīstības fonda (ERAF) projektu un pasākumu īstenošana (2007-2013) projekta „Uzņēmumu reģistra informācijas sistēmas izveide” īstenošanai (pārdale no 80.00.00 programmas)</t>
    </r>
  </si>
  <si>
    <r>
      <rPr>
        <b/>
        <u/>
        <sz val="10"/>
        <rFont val="Times New Roman"/>
        <family val="1"/>
      </rPr>
      <t xml:space="preserve">IeM </t>
    </r>
    <r>
      <rPr>
        <sz val="10"/>
        <rFont val="Times New Roman"/>
        <family val="1"/>
      </rPr>
      <t xml:space="preserve">- 67.02.00 "Atmaksas valsts pamatbudžetā par Eiropas Kopienas iniciatīvu fondu finansējumu", lai nodrošinātu atmaksu valsts budžetā par veiktajiem uzturēšanas izdevumiem </t>
    </r>
  </si>
  <si>
    <r>
      <rPr>
        <b/>
        <u/>
        <sz val="10"/>
        <rFont val="Times New Roman"/>
        <family val="1"/>
      </rPr>
      <t>TM -</t>
    </r>
    <r>
      <rPr>
        <sz val="10"/>
        <rFont val="Times New Roman"/>
        <family val="1"/>
      </rPr>
      <t xml:space="preserve"> 70.06.00 "Citu ES politiku instrumentu projektu un pasākumu īstenošana (2007-2013)" projekta  „Atbalsts Azerbaidžānas republikas valsts zemes un kartogrāfijas komitejai modernas valsts zemes kadastra informācijas sistēmas izveidē, uzlabojot noteikumus attiecībā uz zemes vērtēšanu un novērtēt zemi saskaņā ar Eiropas Savienības novērtēšanas standartiem” īstenošanai (no ārvalstu finanšu palīdzības līdzekļiem)</t>
    </r>
  </si>
  <si>
    <r>
      <rPr>
        <b/>
        <u/>
        <sz val="10"/>
        <rFont val="Times New Roman"/>
        <family val="1"/>
      </rPr>
      <t>TM -</t>
    </r>
    <r>
      <rPr>
        <sz val="10"/>
        <rFont val="Times New Roman"/>
        <family val="1"/>
      </rPr>
      <t xml:space="preserve"> 73.06.00 "Pārējās ārvalstu finanšu palīdzības līdzfinansētie projekti (2007-2013) projekta „Uzturlīdzekļu pārrobežu piedziņa Zviedrijā, Somijā un Latvijā” īstenošanai (no ārvalstu finanšu palīdzības līdzekļiem). </t>
    </r>
  </si>
  <si>
    <r>
      <rPr>
        <b/>
        <u/>
        <sz val="10"/>
        <rFont val="Times New Roman"/>
        <family val="1"/>
      </rPr>
      <t>KM</t>
    </r>
    <r>
      <rPr>
        <sz val="10"/>
        <rFont val="Times New Roman"/>
        <family val="1"/>
      </rPr>
      <t xml:space="preserve"> - Latvijas Nacionālās bibliotēkas ārvalstu finanšu palīdzības projekta „Tiesiskās vides izveide e-grāmatu izsniegšanai Latvijas bibliotēkās” īstenošanai (budžeta apakšprogrammā 73.06.00)</t>
    </r>
  </si>
  <si>
    <r>
      <rPr>
        <b/>
        <u/>
        <sz val="10"/>
        <rFont val="Times New Roman"/>
        <family val="1"/>
      </rPr>
      <t xml:space="preserve">KM </t>
    </r>
    <r>
      <rPr>
        <sz val="10"/>
        <rFont val="Times New Roman"/>
        <family val="1"/>
      </rPr>
      <t>- Saskaņā ar Finanšu ministrijas 03.05.2012. rīkojumu Nr.212 Jelgavas Mūzikas vidusskolas projekta „Mūzikas iedvesmas pārrobežu sadarbības un kultūras dialogs” īstenošanai (no 80.00.00 programmas, ir atzinums noVARAM)</t>
    </r>
  </si>
  <si>
    <r>
      <rPr>
        <b/>
        <u/>
        <sz val="10"/>
        <rFont val="Times New Roman"/>
        <family val="1"/>
      </rPr>
      <t>KM</t>
    </r>
    <r>
      <rPr>
        <b/>
        <sz val="10"/>
        <rFont val="Times New Roman"/>
        <family val="1"/>
      </rPr>
      <t xml:space="preserve"> </t>
    </r>
    <r>
      <rPr>
        <sz val="10"/>
        <rFont val="Times New Roman"/>
        <family val="1"/>
      </rPr>
      <t>- Saskaņā ar MK 24.04.2012. protokollēmuma Nr.22 31.§ 3.punktu LNB projektu īstenošanai (No 80.00.00 programmas)</t>
    </r>
  </si>
  <si>
    <r>
      <rPr>
        <b/>
        <sz val="10"/>
        <rFont val="Times New Roman"/>
        <family val="1"/>
      </rPr>
      <t>IeM</t>
    </r>
    <r>
      <rPr>
        <b/>
        <u/>
        <sz val="10"/>
        <rFont val="Times New Roman"/>
        <family val="1"/>
      </rPr>
      <t xml:space="preserve"> </t>
    </r>
    <r>
      <rPr>
        <sz val="10"/>
        <rFont val="Times New Roman"/>
        <family val="1"/>
      </rPr>
      <t>- 11.01.00 "Pilsonības un migrācijas lietu pārvalde", lai nodrošinātu Latvijas iemaksu Starptautiskās Migrācijas organizācijas (IOM) budžetā kārtējam gadam veikšanu (MK 24.07.2012. rīk.Nr.346 1.p).</t>
    </r>
  </si>
  <si>
    <r>
      <rPr>
        <b/>
        <u/>
        <sz val="10"/>
        <rFont val="Times New Roman"/>
        <family val="1"/>
      </rPr>
      <t>EM</t>
    </r>
    <r>
      <rPr>
        <b/>
        <sz val="10"/>
        <rFont val="Times New Roman"/>
        <family val="1"/>
      </rPr>
      <t xml:space="preserve"> </t>
    </r>
    <r>
      <rPr>
        <sz val="10"/>
        <rFont val="Times New Roman"/>
        <family val="1"/>
      </rPr>
      <t xml:space="preserve">-  Norvēģijas finanšu instrumenta līdzfinansētās programmas "Inovācijas zaļās ražošanas jomā" īstenošanai. </t>
    </r>
  </si>
  <si>
    <r>
      <rPr>
        <b/>
        <u/>
        <sz val="10"/>
        <rFont val="Times New Roman"/>
        <family val="1"/>
      </rPr>
      <t>FM</t>
    </r>
    <r>
      <rPr>
        <sz val="10"/>
        <rFont val="Times New Roman"/>
        <family val="1"/>
      </rPr>
      <t xml:space="preserve"> - 71.05.00 "Tehniskā palīdzība Eiropas Ekonomikas zonas finanšu instrumenta un Norvēģijas valdības divpusējā finanšu instrumenta apgūšanai" palielināts finansējums (pārdale no 80.00.00)</t>
    </r>
  </si>
  <si>
    <t>Pēc 31.07.12.</t>
  </si>
  <si>
    <t>70.11.00 „Dalība Eiropas Savienības izglītības sadarbības projektos” 2013.gadā nepieciešams palielināt ārvalstu finanšu palīdzību iestādes ieņēmumos par 36 707 latiem mūžizglītības programmas projektu „Eiropas programmas īstenošana pieaugušo izglītības jomā” īstenošanai un par 9 733 latiem projektu „Pieredzes pārnese profesionālās izglītības sistēmas ilgtspējīgai attīstībai EURO-Nach II” turpināšanai</t>
  </si>
  <si>
    <r>
      <rPr>
        <b/>
        <u/>
        <sz val="10"/>
        <rFont val="Times New Roman"/>
        <family val="1"/>
      </rPr>
      <t xml:space="preserve">IZM </t>
    </r>
    <r>
      <rPr>
        <sz val="10"/>
        <rFont val="Times New Roman"/>
        <family val="1"/>
      </rPr>
      <t>- 70.11.00 „Dalība Eiropas Savienības izglītības sadarbības projektos” 2013.gadā nepieciešams palielināt ārvalstu finanšu palīdzību iestādes ieņēmumos par 36 707 latiem mūžizglītības programmas projektu „Eiropas programmas īstenošana pieaugušo izglītības jomā” īstenošanai un par 9 733 latiem projektu „Pieredzes pārnese profesionālās izglītības sistēmas ilgtspējīgai attīstībai EURO-Nach II” turpināšanai</t>
    </r>
  </si>
  <si>
    <t>Pedagogu zemākās mēnešalgas likmes paaugstināšana no 01.09.2012.</t>
  </si>
  <si>
    <t>Pedagogu, kuri ieguvuši 3.kvalitātes pakāpi piemaksas nodrošināšana no 2013.gada 1.septembra</t>
  </si>
  <si>
    <r>
      <rPr>
        <b/>
        <u/>
        <sz val="10"/>
        <rFont val="Times New Roman"/>
        <family val="1"/>
      </rPr>
      <t>IZM</t>
    </r>
    <r>
      <rPr>
        <sz val="10"/>
        <rFont val="Times New Roman"/>
        <family val="1"/>
      </rPr>
      <t xml:space="preserve"> - Samazinājums apakšprogrammā 63.07.00"Atmaksas un avansi pašvaldībām vai citiem struktūrfondu finansējuma saņēmējiem par Eiropas Sociālā fonda (ESF) projektu īstenošanu (2007-2013)</t>
    </r>
  </si>
  <si>
    <r>
      <rPr>
        <b/>
        <sz val="10"/>
        <rFont val="Times New Roman"/>
        <family val="1"/>
      </rPr>
      <t>IZM</t>
    </r>
    <r>
      <rPr>
        <sz val="10"/>
        <rFont val="Times New Roman"/>
        <family val="1"/>
      </rPr>
      <t xml:space="preserve"> - palielinās ieņēmumi no maksas pakalpojumiem un citiem pašu ieņēmumiem un attiecīgi izdevumi</t>
    </r>
  </si>
  <si>
    <r>
      <rPr>
        <b/>
        <sz val="10"/>
        <rFont val="Times New Roman"/>
        <family val="1"/>
      </rPr>
      <t>62</t>
    </r>
    <r>
      <rPr>
        <sz val="10"/>
        <rFont val="Times New Roman"/>
        <family val="1"/>
        <charset val="186"/>
      </rPr>
      <t xml:space="preserve"> - Pedagogu zemākās mēnešalgas likmes paaugstināšana no 01.09.2012.</t>
    </r>
  </si>
  <si>
    <r>
      <rPr>
        <b/>
        <sz val="10"/>
        <rFont val="Times New Roman"/>
        <family val="1"/>
      </rPr>
      <t>62</t>
    </r>
    <r>
      <rPr>
        <sz val="10"/>
        <rFont val="Times New Roman"/>
        <family val="1"/>
        <charset val="186"/>
      </rPr>
      <t xml:space="preserve"> - Pedagogu, kuri ieguvuši 3.kvalitātes pakāpi piemaksas nodrošināšana no 2013.gada 1.septembra</t>
    </r>
  </si>
  <si>
    <r>
      <rPr>
        <b/>
        <sz val="10"/>
        <rFont val="Times New Roman"/>
        <family val="1"/>
      </rPr>
      <t xml:space="preserve">62 </t>
    </r>
    <r>
      <rPr>
        <sz val="10"/>
        <rFont val="Times New Roman"/>
        <family val="1"/>
        <charset val="186"/>
      </rPr>
      <t>- Dziesmu un deju svētku procesa nodrošināšanai finansējums pašvaldībām (MK 16.08.12.)</t>
    </r>
  </si>
  <si>
    <t>Likvidēta apakšprogramma 21.20.00. "Iemaksas starptautiskajās organizācijās", pārdalot finansējuma daļu uz 21.13.00 apakšprogrammu precēm un pakalpojumiem (2000 kods) un daļa izdevumi pārdalīti uz 01.00.00. programmas "Nozaru vadība"  jaunizveidotu apakšprogrammu 01.01.00. "Iemaksas starptautiskajās organizācijās"  starptautisko iemaksu nodrošināšanai ( 7700 kods).</t>
  </si>
  <si>
    <t xml:space="preserve">Apakšprogrammā 27.01.00 "Klimata pārmaiņu finanšu instrumenta administrācija" izdevumi precizēti atbilstoši noslēgto līgumu par noteiktā daudzuma vienību pārdošanas nosacījumiem. </t>
  </si>
  <si>
    <t>Apakšprogrammā 27.02.00 "Klimata pārmaiņu finanšu instrumenta projekti " izdevumi precizēti atbilstoši noslēgto līgumu par noteiktā daudzuma vienību pārdošanas nosacījumiem.</t>
  </si>
  <si>
    <r>
      <t>Saskaņā ar MK 12.07.2012 rīkojuma Nr.334 1.12. punktu (prot.Nr.39 47§</t>
    </r>
    <r>
      <rPr>
        <b/>
        <sz val="8"/>
        <rFont val="Times New Roman"/>
        <family val="1"/>
        <charset val="186"/>
      </rPr>
      <t>)</t>
    </r>
    <r>
      <rPr>
        <b/>
        <sz val="10"/>
        <rFont val="Times New Roman"/>
        <family val="1"/>
        <charset val="186"/>
      </rPr>
      <t xml:space="preserve"> papildus finansējums 2013.-2015.gadā trīs papildu amata vietu izveidošanai VRAA, lai nodrošinātu valsts informācijas sistēmas un vienotā datortīkla  izveidošanas projekta vadību un īstenošanu, un divu papildu amata vietu izveidošanai LR Pastāvīgajā pārstāvniecībā ES.</t>
    </r>
  </si>
  <si>
    <t>Saskaņā ar MK 16.08.2012. sēdē lemto  „Par sabiedriskā transporta pakalpojumu plānošanā iesaistīto institūciju kompetences izmaiņām”</t>
  </si>
  <si>
    <t>Prioritārie pasākumi (MK 16.08.12.)</t>
  </si>
  <si>
    <t>t.sk.:</t>
  </si>
  <si>
    <t>2.4.1.</t>
  </si>
  <si>
    <t xml:space="preserve">Vides un dabas aizsardzības funkciju nodrošināšanas neatliekamie pasākumi </t>
  </si>
  <si>
    <t>2.4.2.</t>
  </si>
  <si>
    <t xml:space="preserve">Kompensācijas izmaksa </t>
  </si>
  <si>
    <t>2.4.3.</t>
  </si>
  <si>
    <t xml:space="preserve">Monitoringa programmu īstenošana </t>
  </si>
  <si>
    <t>2.4.3.1</t>
  </si>
  <si>
    <t>Zvejas kontroles nodrošināšana atbilstoši ES tiesību aktiem</t>
  </si>
  <si>
    <t>2.4.3.2</t>
  </si>
  <si>
    <t>2.4.3.3</t>
  </si>
  <si>
    <t>Natura 2000 un fona monitorings.</t>
  </si>
  <si>
    <t>2.4.3.4</t>
  </si>
  <si>
    <t>Ūdens monitorings</t>
  </si>
  <si>
    <t>2.4.4.</t>
  </si>
  <si>
    <t>Latgales reģiona investīciju piesaistes atbalsta nodrošinājums</t>
  </si>
  <si>
    <t>2.4.5.</t>
  </si>
  <si>
    <t>Eiropas Kultūras galvaspilsēta 2014.gads</t>
  </si>
  <si>
    <t>2.4.6.</t>
  </si>
  <si>
    <t xml:space="preserve">Likumprojekts  "Grozījumi likumā "Par nekustamā īpašuma nodokli" - atvieglojumu daudzbērnu ģimenēm piemērošanai </t>
  </si>
  <si>
    <t>2.4.7.</t>
  </si>
  <si>
    <t>Papildus finansējums Latvijas prezidentūras Eiropas Savienības Padomē 2015.gadā sagatavošanai un nodrošināšanai</t>
  </si>
  <si>
    <t xml:space="preserve">1.5. </t>
  </si>
  <si>
    <t>Veikta bāzes precizēšana apakšprogrammā 63.02.00 "Atmaksas valsts pamatbudžetā par Eiropas Sociālā fonda (ESF) finansējumu (2007-2013)", lai nodrošinātu atmaksu veikšanu valsts pamatbudžetā par ieviešanā esošajiem projektiem</t>
  </si>
  <si>
    <t>Veikta bāzes precizēšana apakšprogrammā 63.06.00 "Eiropas Sociālais fonda (ESF) projekti (2007 - 2013), palielināti izdevumi, lai nodrošinātu  2012. gadā uzsāktā Rīgas plānošanas reģiona ESF projekta ieviešanu</t>
  </si>
  <si>
    <t>Valsts sociālās aprūpes centru problēmu risināšana (apakšprogrammā 05.03.00 "Aprūpe valsts sociālās aprūpes centros" 2013.gadā 3 685 299 latu apmērā, tai skaitā izdevumi atlīdzībai 3 378 470 latu apmērā (atalgojumam 2 722 597 lati), precēm un pakalpojumiem 306 829 latu apmērā, 2014.gadā 3 648 381 lata apmērā, tai skaitā izdevumi atlīdzībai 3 378 470 latu apmērā (atalgojumam 2 722 597 lati), precēm un pakalpojumiem 269 911 latu apmērā, 2015.gadā  3 648 381 lata apmērā, tai skaitā izdevumi atlīdzībai 3 378 470 latu apmērā (atalgojumam 2 722 597 lati), precēm un pakalpojumiem 269 911 latu apmērā), tai skaitā par pasākumiem:</t>
  </si>
  <si>
    <r>
      <rPr>
        <b/>
        <sz val="10"/>
        <rFont val="Times New Roman"/>
        <family val="1"/>
      </rPr>
      <t xml:space="preserve">VARAM - </t>
    </r>
    <r>
      <rPr>
        <sz val="10"/>
        <rFont val="Times New Roman"/>
        <family val="1"/>
      </rPr>
      <t xml:space="preserve">Vides un dabas aizsardzības funkciju nodrošināšanas neatliekamie pasākumi </t>
    </r>
  </si>
  <si>
    <r>
      <rPr>
        <b/>
        <sz val="10"/>
        <rFont val="Times New Roman"/>
        <family val="1"/>
      </rPr>
      <t>VARAM</t>
    </r>
    <r>
      <rPr>
        <sz val="10"/>
        <rFont val="Times New Roman"/>
        <family val="1"/>
      </rPr>
      <t xml:space="preserve"> - Kompensācijas izmaksa </t>
    </r>
  </si>
  <si>
    <r>
      <rPr>
        <b/>
        <sz val="10"/>
        <rFont val="Times New Roman"/>
        <family val="1"/>
      </rPr>
      <t>VARAM -</t>
    </r>
    <r>
      <rPr>
        <sz val="10"/>
        <rFont val="Times New Roman"/>
        <family val="1"/>
      </rPr>
      <t xml:space="preserve"> Monitoringa programmu īstenošana </t>
    </r>
  </si>
  <si>
    <r>
      <rPr>
        <b/>
        <sz val="10"/>
        <rFont val="Times New Roman"/>
        <family val="1"/>
      </rPr>
      <t>VARAM</t>
    </r>
    <r>
      <rPr>
        <sz val="10"/>
        <rFont val="Times New Roman"/>
        <family val="1"/>
      </rPr>
      <t xml:space="preserve"> - Latgales reģiona investīciju piesaistes atbalsta nodrošinājums</t>
    </r>
  </si>
  <si>
    <r>
      <rPr>
        <b/>
        <sz val="10"/>
        <rFont val="Times New Roman"/>
        <family val="1"/>
      </rPr>
      <t xml:space="preserve">VARAM </t>
    </r>
    <r>
      <rPr>
        <sz val="10"/>
        <rFont val="Times New Roman"/>
        <family val="1"/>
      </rPr>
      <t>- Eiropas Kultūras galvaspilsēta 2014.gads</t>
    </r>
  </si>
  <si>
    <r>
      <rPr>
        <b/>
        <sz val="10"/>
        <rFont val="Times New Roman"/>
        <family val="1"/>
      </rPr>
      <t>VARAM -</t>
    </r>
    <r>
      <rPr>
        <sz val="10"/>
        <rFont val="Times New Roman"/>
        <family val="1"/>
      </rPr>
      <t xml:space="preserve"> Likumprojekts  "Grozījumi likumā "Par nekustamā īpašuma nodokli" - atvieglojumu daudzbērnu ģimenēm piemērošanai </t>
    </r>
  </si>
  <si>
    <r>
      <rPr>
        <b/>
        <sz val="10"/>
        <rFont val="Times New Roman"/>
        <family val="1"/>
      </rPr>
      <t>VARAM</t>
    </r>
    <r>
      <rPr>
        <sz val="10"/>
        <rFont val="Times New Roman"/>
        <family val="1"/>
      </rPr>
      <t xml:space="preserve"> - Papildus finansējums Latvijas prezidentūras Eiropas Savienības Padomē 2015.gadā sagatavošanai un nodrošināšanai</t>
    </r>
  </si>
  <si>
    <r>
      <rPr>
        <b/>
        <sz val="10"/>
        <rFont val="Times New Roman"/>
        <family val="1"/>
      </rPr>
      <t>KM</t>
    </r>
    <r>
      <rPr>
        <sz val="10"/>
        <rFont val="Times New Roman"/>
        <family val="1"/>
      </rPr>
      <t xml:space="preserve"> - Papildus finansējums Latvijas prezidentūras Eiropas Savienības Padomē 2015.gadā sagatavošanai un nodrošināšanai (MK 16.08.12.) </t>
    </r>
    <r>
      <rPr>
        <b/>
        <sz val="10"/>
        <color rgb="FFFF0000"/>
        <rFont val="Times New Roman"/>
        <family val="1"/>
      </rPr>
      <t>(tajā skaitā 20 000 latu transferts no Ārlietu ministrijas)</t>
    </r>
  </si>
  <si>
    <t>Naudas līdzekļu atlikums deponenta kontā no pašu ieņēmumiem ( 23.02. Vides pārraudzības valsts birojs)</t>
  </si>
  <si>
    <r>
      <rPr>
        <b/>
        <sz val="10"/>
        <rFont val="Times New Roman"/>
        <family val="1"/>
      </rPr>
      <t>VARAM</t>
    </r>
    <r>
      <rPr>
        <sz val="10"/>
        <rFont val="Times New Roman"/>
        <family val="1"/>
      </rPr>
      <t xml:space="preserve"> - Saskaņā ar MK 16.08.2012. sēdē lemto  „Par sabiedriskā transporta pakalpojumu plānošanā iesaistīto institūciju kompetences izmaiņām”</t>
    </r>
  </si>
  <si>
    <t>Atbilstoši Ministru kabineta 2012.gada 14.augusta sēdes protokolam Nr.45  27.§, precizēti Ārlietu ministrijas bāzes izdevumi ilgtermiņa saistībām 2013.-2015.gadam pasākumam „Latvijas Republikas un Krievijas Federācijas valsts robežas demarkācija”.</t>
  </si>
  <si>
    <t>Tehniskie preizējumi: nav</t>
  </si>
  <si>
    <r>
      <t xml:space="preserve">Veikta bāzes precizēšana apakšprogrammā 69.02.00 Atmaksas valsts pamatbudžetā par 3.mērķa "Eiropas teritoriālā sadarbība" pārrobežu sadarbības programmu, projektu un pasākumu finansējumu (2007-2013) "palielināti izdevumi subsīdijām un dotācijām , lai nodrošinātu atmaksas valsts pamatbudžetā par 3.mērķa "Eiropas teritoriālā sadarbība"  pārrobežu sadarbības  projektu  finansējumu (2007-2013) par plānošanas reģionu administrētiem projektiem. Kā arī palielināti izdevumi atmaksa valsts budžetā par veiktiem uzturēšanas izdevumiem  un    atmaksa valsts budžetā par veiktajiem kapitālajiem izdevumiem , lai nodrošinātu atmaksas par 3.mērķa "Eiropas teritoriālā sadarbība" budžeta iestāžu administrētajiem projektiem. </t>
    </r>
    <r>
      <rPr>
        <sz val="10"/>
        <color rgb="FFFF0000"/>
        <rFont val="Times New Roman"/>
        <family val="1"/>
        <charset val="186"/>
      </rPr>
      <t>Resursi izdevumu segšanai - ārvalstu finanšu palīdzība atmaksām valsts pamatbudžetam</t>
    </r>
  </si>
  <si>
    <r>
      <t xml:space="preserve">Veikta bāzes precizēšana apakšprogrammā 69.06.00 3.mērķa "Eiropas teritoriālā sadarbība" pārrobežu sadarbības programmu finansētie projekti(2007-2013) palielinot izdevumus , lai nodrošinātu padotības iestāžu 2012. gadā uzsākto projektu ieviešanas turpināšanu. </t>
    </r>
    <r>
      <rPr>
        <sz val="10"/>
        <color rgb="FFFF0000"/>
        <rFont val="Times New Roman"/>
        <family val="1"/>
        <charset val="186"/>
      </rPr>
      <t xml:space="preserve">Resursi izdevumu segšanai - vispārējā kārtībā sadalāmā dotācija no vispārējiem ieņēmumiem no 80.00.00. Nesadalītais finansējums Eiropas Savienības politiku instrumentu un pārējās ārvalstu finanšu palīdzības projektu un pasākumu īstenošanai. </t>
    </r>
  </si>
  <si>
    <r>
      <t>Veikta bāzes precizēšana apakšprogrammā 69.07.00 Pārrobežu sadarbības programmu darbības nodrošināšana, projekti un pasākumi (2007-2013) izdevumos, jo abām pārrobežu sadarbības programmām tika precizēti izdevumi saskaņā ar saņemto informāciju no Programmu sekretariātiem un atbilstoši prognozētajām iemaksām no Eiropas Komisijas un noslēgtajām vienošanām par projektu ieviešanu. Kā arī,  lai nodrošinātu plānošanas reģionu 2012. gadā uzsākto projektu ieviešanas turpināšanu.</t>
    </r>
    <r>
      <rPr>
        <sz val="10"/>
        <color rgb="FFFF0000"/>
        <rFont val="Times New Roman"/>
        <family val="1"/>
        <charset val="186"/>
      </rPr>
      <t xml:space="preserve"> Resursi izdevumu segšanai - vispārējā kārtībā sadalāmā dotācija no vispārējiem ieņēmumiem  un ārvalstu finanšu palīdzība iestādes ieņēmumos. </t>
    </r>
  </si>
  <si>
    <t xml:space="preserve">Bez tam, </t>
  </si>
  <si>
    <r>
      <rPr>
        <b/>
        <u/>
        <sz val="10"/>
        <rFont val="Times New Roman"/>
        <family val="1"/>
      </rPr>
      <t xml:space="preserve">VARAM </t>
    </r>
    <r>
      <rPr>
        <sz val="10"/>
        <rFont val="Times New Roman"/>
        <family val="1"/>
      </rPr>
      <t xml:space="preserve">- 27.01.00 "Klimata pārmaiņu finanšu instrumenta administrācija" izdevumi precizēti atbilstoši noslēgto līgumu par noteiktā daudzuma vienību pārdošanas nosacījumiem. </t>
    </r>
  </si>
  <si>
    <r>
      <rPr>
        <b/>
        <u/>
        <sz val="10"/>
        <rFont val="Times New Roman"/>
        <family val="1"/>
      </rPr>
      <t xml:space="preserve">VARAM </t>
    </r>
    <r>
      <rPr>
        <sz val="10"/>
        <rFont val="Times New Roman"/>
        <family val="1"/>
      </rPr>
      <t>- 27.02.00 "Klimata pārmaiņu finanšu instrumenta projekti " izdevumi precizēti atbilstoši noslēgto līgumu par noteiktā daudzuma vienību pārdošanas nosacījumiem.</t>
    </r>
  </si>
  <si>
    <r>
      <rPr>
        <b/>
        <u/>
        <sz val="10"/>
        <rFont val="Times New Roman"/>
        <family val="1"/>
      </rPr>
      <t>VARAM</t>
    </r>
    <r>
      <rPr>
        <u/>
        <sz val="10"/>
        <rFont val="Times New Roman"/>
        <family val="1"/>
      </rPr>
      <t xml:space="preserve"> </t>
    </r>
    <r>
      <rPr>
        <sz val="10"/>
        <rFont val="Times New Roman"/>
        <family val="1"/>
      </rPr>
      <t xml:space="preserve">- 69.06.00 3.mērķa "Eiropas teritoriālā sadarbība" pārrobežu sadarbības programmu finansētie projekti(2007-2013)  - vispārējā kārtībā sadalāmā dotācija no vispārējiem ieņēmumiem no 80.00.00. Nesadalītais finansējums Eiropas Savienības politiku instrumentu un pārējās ārvalstu finanšu palīdzības projektu un pasākumu īstenošanai. </t>
    </r>
  </si>
  <si>
    <r>
      <rPr>
        <b/>
        <sz val="10"/>
        <rFont val="Times New Roman"/>
        <family val="1"/>
      </rPr>
      <t>VARAM -</t>
    </r>
    <r>
      <rPr>
        <sz val="10"/>
        <rFont val="Times New Roman"/>
        <family val="1"/>
      </rPr>
      <t xml:space="preserve"> 69.02.00 Atmaksas valsts pamatbudžetā par 3.mērķa "Eiropas teritoriālā sadarbība", lai nodrošinātu atmaksas valsts pamatbudžetā par 3.mērķa "Eiropas teritoriālā sadarbība"  pārrobežu sadarbības  projektu  finansējumu (2007-2013) par plānošanas reģionu administrētiem projektiem. Resursi izdevumu segšanai - ārvalstu finanšu palīdzība atmaksām valsts pamatbudžetam</t>
    </r>
  </si>
  <si>
    <t>Izdevumiem no transfertiem:</t>
  </si>
  <si>
    <r>
      <rPr>
        <b/>
        <sz val="10"/>
        <rFont val="Times New Roman"/>
        <family val="1"/>
      </rPr>
      <t>VARAM -</t>
    </r>
    <r>
      <rPr>
        <sz val="10"/>
        <rFont val="Times New Roman"/>
        <family val="1"/>
      </rPr>
      <t xml:space="preserve"> 69.02.00 Atmaksas valsts pamatbudžetā par 3.mērķa "Eiropas teritoriālā sadarbība", lai nodrošinātu atmaksas valsts pamatbudžetā par 3.mērķa "Eiropas teritoriālā sadarbība"  pārrobežu sadarbības  projektu  finansējumu (2007-2013) par plānošanas reģionu administrētiem projektiem. Resursi izdevumu segšanai - atvasināto publisko personu transferti</t>
    </r>
  </si>
  <si>
    <t>Pamatbudžeta izdevumu izmaiņas - kopā</t>
  </si>
  <si>
    <t>Samazinājums apakšprogrammā 63.07.00"Atmaksas un avansi pašvaldībām vai citiem struktūrfondu finansējuma saņēmējiem par Eiropas Sociālā fonda (ESF) projektu īstenošanu (2007-2013)</t>
  </si>
  <si>
    <t>Samazināti izdevumi 80.00.00 programmā</t>
  </si>
  <si>
    <t>Samazināti izdevumi 02.00.00 programmā "Līdzekļi neparedzētiem gadījumiem"</t>
  </si>
  <si>
    <t>01.00.00</t>
  </si>
  <si>
    <t>Apropriācijas rezerve</t>
  </si>
  <si>
    <t>02.00.00</t>
  </si>
  <si>
    <t>Līdzekļi neparedzētiem gadījumiem</t>
  </si>
  <si>
    <t>03.00.00</t>
  </si>
  <si>
    <t>Latvijas Nacionālā eiro ieviešanas plāna pasākumi</t>
  </si>
  <si>
    <t>80.00.00</t>
  </si>
  <si>
    <t>Nesadalītais finansējums Eiropas Savienības politiku instrumentu un pārējās ārvalstu finanšu palīdzības līdzfinansēto projektu un pasākumu īstenošanai</t>
  </si>
  <si>
    <t>Informatīvi:</t>
  </si>
  <si>
    <t>04.00.00</t>
  </si>
  <si>
    <r>
      <rPr>
        <b/>
        <sz val="10"/>
        <rFont val="Times New Roman"/>
        <family val="1"/>
      </rPr>
      <t>74 -</t>
    </r>
    <r>
      <rPr>
        <sz val="10"/>
        <rFont val="Times New Roman"/>
        <family val="1"/>
      </rPr>
      <t xml:space="preserve"> Samazināti izdevumi 80.00.00 programmā</t>
    </r>
  </si>
  <si>
    <r>
      <rPr>
        <b/>
        <sz val="10"/>
        <rFont val="Times New Roman"/>
        <family val="1"/>
      </rPr>
      <t>74 -</t>
    </r>
    <r>
      <rPr>
        <sz val="10"/>
        <rFont val="Times New Roman"/>
        <family val="1"/>
      </rPr>
      <t xml:space="preserve"> Samazināti izdevumi 02.00.00 programmā "Līdzekļi neparedzētiem gadījumiem"</t>
    </r>
  </si>
  <si>
    <r>
      <rPr>
        <b/>
        <sz val="10"/>
        <rFont val="Times New Roman"/>
        <family val="1"/>
      </rPr>
      <t>ĀM</t>
    </r>
    <r>
      <rPr>
        <sz val="10"/>
        <rFont val="Times New Roman"/>
        <family val="1"/>
      </rPr>
      <t xml:space="preserve"> - Atbilstoši Ministru kabineta 2012.gada 14.augusta sēdes protokolam Nr.45  27.§, precizēti Ārlietu ministrijas bāzes izdevumi ilgtermiņa saistībām 2013.-2015.gadam pasākumam „Latvijas Republikas un Krievijas Federācijas valsts robežas demarkācija”.</t>
    </r>
  </si>
  <si>
    <r>
      <t xml:space="preserve">Apakšprogrammā 63.06.00 "Eiropas Sociālā fonda (ESF) projektu īstenošana (2007-2013)" 2013.gadā palielināti izdevumi </t>
    </r>
    <r>
      <rPr>
        <i/>
        <sz val="9"/>
        <rFont val="Times New Roman"/>
        <family val="1"/>
        <charset val="186"/>
      </rPr>
      <t>8 153 967 latu</t>
    </r>
    <r>
      <rPr>
        <sz val="9"/>
        <rFont val="Times New Roman"/>
        <family val="1"/>
        <charset val="186"/>
      </rPr>
      <t xml:space="preserve"> apmērā, tai skaitā:
</t>
    </r>
    <r>
      <rPr>
        <i/>
        <sz val="9"/>
        <rFont val="Times New Roman"/>
        <family val="1"/>
        <charset val="186"/>
      </rPr>
      <t xml:space="preserve">115 642 lati </t>
    </r>
    <r>
      <rPr>
        <sz val="9"/>
        <rFont val="Times New Roman"/>
        <family val="1"/>
        <charset val="186"/>
      </rPr>
      <t xml:space="preserve">projektam „Pasākumi noteiktām personu grupām” (izdevumi subsīdijām un dotācijām),
</t>
    </r>
    <r>
      <rPr>
        <i/>
        <sz val="9"/>
        <rFont val="Times New Roman"/>
        <family val="1"/>
        <charset val="186"/>
      </rPr>
      <t>465 972 lati</t>
    </r>
    <r>
      <rPr>
        <sz val="9"/>
        <rFont val="Times New Roman"/>
        <family val="1"/>
        <charset val="186"/>
      </rPr>
      <t xml:space="preserve"> projektam „Kompleksi atbalsta pasākumi” (izdevumi subsīdijām un dotācijām),
</t>
    </r>
    <r>
      <rPr>
        <i/>
        <sz val="9"/>
        <rFont val="Times New Roman"/>
        <family val="1"/>
        <charset val="186"/>
      </rPr>
      <t>63 501 lats</t>
    </r>
    <r>
      <rPr>
        <sz val="9"/>
        <rFont val="Times New Roman"/>
        <family val="1"/>
        <charset val="186"/>
      </rPr>
      <t xml:space="preserve"> projektam „Nodarbinātības valsts aģentūras kapacitātes pilnveide” (izdevumi precēm un pakalpojumiem 57 263 lati, atlīdzībai 6 238 lati, tai skaitā atalgojumam 5 027 lati),
1 013 064 lati projektam „Bezdarbnieku un darba meklētāju apmācība Latvijā-2” (izdevumi valsts budžeta uzturēšanas izdevumu transfertiem pašvaldībām ES politiku instrumentu un pārējās ārvalstu finanšu palīdzības līdzfinansētajiem projektiem (pasākumiem) 600 000 latu, subsīdijām un dotācijām 245 982 latu apmērā, precēm un pakalpojumiem 167 082 latu apmērā). Vienlaikus veikta pārdale starp izdevumu kodiem atbilstoši ekonomiskajām kategorijām, samazinot izdevumus atlīdzībai 216 161 lata apmērā (atalgojumam 174 197 latu) un attiecīgi palielinot izdevumus subsīdijām un dotācijām,
5 651 lats projektam „Nodarbinātības valsts aģentūras darba tirgus prognozēšanas un uzraudzības sistēmas attīstība” (preces un pakalpojumi), 
</t>
    </r>
  </si>
  <si>
    <t>6 234 000 latu projektam "Algotie pagaidu sabiedriskie darbi pašvaldībās" (izdevumi valsts budžeta uzturēšanas izdevumu transfertiem pašvaldībām ES politiku instrumentu un pārējās ārvalstu finanšu palīdzības līdzfinansētajiem projektiem (pasākumiem) 5 690 228 lati, valsts budžeta uzturēšanas izdevumu transfertiem no valsts pamatbudžeta uz valsts speciālo budžetu 530 550 latu, precēm un pakalpojumiem 3 495 lati, atlīdzībai 9 727 lati (atalgojumam 7 838 lati),
256 137 lati 1.4.1.2.4.apakšaktivitātē „Sociālās rehabilitācijas un institūcijām alternatīvu sociālās aprūpes pakalpojumu attīstība reģionos” otrās kārtas otrās apakškārtas Atklātas projektu iesniegumu atlases projektiem (izdevumi valsts budžeta uzturēšanas izdevumu transfertiem  pašvaldībām ES politiku instrumentu un pārējās ārvalstu finanšu palīdzības līdzfinansētajiem projektiem (pasākumiem) 14 550 latu, subsīdijām un dotācijām 241 587 lati)
 (atbilstoši LM 13.08.2012. vēstulei Nr.12.2-15/69)</t>
  </si>
  <si>
    <r>
      <t xml:space="preserve">Apakšprogrammā 63.06.00 "Eiropas Sociālā fonda (ESF) projektu īstenošana (2007-2013)" 2014.gadā </t>
    </r>
    <r>
      <rPr>
        <i/>
        <sz val="9"/>
        <rFont val="Times New Roman"/>
        <family val="1"/>
        <charset val="186"/>
      </rPr>
      <t>palielināti izdevumi 10 247 230 latu</t>
    </r>
    <r>
      <rPr>
        <sz val="9"/>
        <rFont val="Times New Roman"/>
        <family val="1"/>
        <charset val="186"/>
      </rPr>
      <t xml:space="preserve"> apmērā, tai skaitā:
</t>
    </r>
    <r>
      <rPr>
        <i/>
        <sz val="9"/>
        <rFont val="Times New Roman"/>
        <family val="1"/>
        <charset val="186"/>
      </rPr>
      <t>8 257 868 lati</t>
    </r>
    <r>
      <rPr>
        <sz val="9"/>
        <rFont val="Times New Roman"/>
        <family val="1"/>
        <charset val="186"/>
      </rPr>
      <t xml:space="preserve"> projektam „Bezdarbnieku un darba meklētāju apmācība Latvijā-2” (izdevumi valsts budžeta uzturēšanas izdevumu transfertiem pašvaldībām ES politiku instrumentu un pārējās ārvalstu finanšu palīdzības līdzfinansētajiem projektiem (pasākumiem) 405 000 latu, subsīdijām un dotācijām 6 908 509 latu, precēm un pakalpojumiem 350 000 latu, atlīdzībām 594 359 latu (atalgojumam 478 974 latu)),
</t>
    </r>
    <r>
      <rPr>
        <i/>
        <sz val="9"/>
        <rFont val="Times New Roman"/>
        <family val="1"/>
        <charset val="186"/>
      </rPr>
      <t>76 030 latu</t>
    </r>
    <r>
      <rPr>
        <sz val="9"/>
        <rFont val="Times New Roman"/>
        <family val="1"/>
        <charset val="186"/>
      </rPr>
      <t xml:space="preserve"> projektam „Nodarbinātības valsts aģentūras darba tirgus prognozēšanas un uzraudzības sistēmas attīstība”  (izdevumi precēm un pakalpojumiem),
</t>
    </r>
    <r>
      <rPr>
        <i/>
        <sz val="9"/>
        <rFont val="Times New Roman"/>
        <family val="1"/>
        <charset val="186"/>
      </rPr>
      <t>1 899 010 latu</t>
    </r>
    <r>
      <rPr>
        <sz val="9"/>
        <rFont val="Times New Roman"/>
        <family val="1"/>
        <charset val="186"/>
      </rPr>
      <t xml:space="preserve"> projektam „Algotie pagaidu sabiedriskie darbi pašvaldībās” (izdevumi valsts budžeta uzturēšanas izdevumu transfertiem pašvaldībām ES politiku instrumentu un pārējās ārvalstu finanšu palīdzības līdzfinansētajiem projektiem (pasākumiem) 1 382 419 lati, valsts budžeta uzturēšanas izdevumu transfertam no valsts pamatbudžeta uz valsts speciālo budžetu 273 844 lati, precēm un pakalpojumiem 31 373 lati, atlīdzībai 211 374 lati (atalgojumam 170 339 lati)),
</t>
    </r>
    <r>
      <rPr>
        <i/>
        <sz val="9"/>
        <rFont val="Times New Roman"/>
        <family val="1"/>
        <charset val="186"/>
      </rPr>
      <t/>
    </r>
  </si>
  <si>
    <t>14 322 lati  1.4.1.2.4.apakšaktivitātes „Sociālās rehabilitācijas un institūcijām alternatīvu sociālās aprūpes pakalpojumu attīstība reģionos” otrās kārtas otrās apakškārtas atklātas projektu iesniegumu atlases projektiem (izdevumi valsts budžeta uzturēšanas izdevumu transfertiem pašvaldībām ES politiku instrumentu un pārējās ārvalstu finanšu palīdzības līdzfinansētajiem projektiem (pasākumiem) 3 020 lati, subsīdijām un dotācijām 11 302 lati).
Vienlaikus 2014.gadā samazināti izdevumi  105 730 latu apmērā , tai skaitā šādiem projektiem:
100 244 lati apmērā Latvijas Darba devēja konfederācijas projektam „Darba attiecību un darba drošības normatīvo aktu piemērošana nozarēs un uzņēmumos” (izdevumi subsīdijām un dotācijām),
5 486 lati Latvijas Brīvo arodbiedrību savienības  projektam „Darba attiecību un darba drošības normatīvo aktu piemērošana nozarēs un uzņēmumos” (izdevumi subsīdijām un dotācijām)
 (atbilstoši LM 13.08.2012. vēstulei Nr.12.2-15/69)</t>
  </si>
  <si>
    <t>1.14.</t>
  </si>
  <si>
    <t>Pielikums
Informatīvajam ziņojumam 
„Par ministriju un citu centrālo valsts iestāžu maksimāli pieļaujamo valsts budžeta izdevumu kopapjomu 2013. – 2015.gadam”</t>
  </si>
  <si>
    <t>Finanšu ministrs</t>
  </si>
  <si>
    <t>A.Vilks</t>
  </si>
  <si>
    <t>Z.Adijāne</t>
  </si>
  <si>
    <t>67095437, Zane.Adijane@fm.gov.lv</t>
  </si>
  <si>
    <t>20.08.2012.   20:00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</si>
</sst>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
    <numFmt numFmtId="165" formatCode="0.0"/>
    <numFmt numFmtId="166" formatCode="0.000"/>
    <numFmt numFmtId="167" formatCode="#,##0.0"/>
    <numFmt numFmtId="168" formatCode="00.000"/>
  </numFmts>
  <fonts count="131">
    <font>
      <sz val="10"/>
      <name val="Arial"/>
      <charset val="186"/>
    </font>
    <font>
      <sz val="10"/>
      <name val="Arial"/>
      <family val="2"/>
      <charset val="186"/>
    </font>
    <font>
      <sz val="10"/>
      <name val="Helv"/>
    </font>
    <font>
      <sz val="10"/>
      <name val="BaltHelvetica"/>
    </font>
    <font>
      <sz val="8"/>
      <name val="Arial"/>
      <family val="2"/>
      <charset val="186"/>
    </font>
    <font>
      <b/>
      <sz val="8"/>
      <name val="Times New Roman"/>
      <family val="1"/>
    </font>
    <font>
      <sz val="10"/>
      <name val="Times New Roman"/>
      <family val="1"/>
      <charset val="186"/>
    </font>
    <font>
      <sz val="8"/>
      <name val="Times New Roman"/>
      <family val="1"/>
    </font>
    <font>
      <b/>
      <sz val="10"/>
      <name val="Times New Roman"/>
      <family val="1"/>
    </font>
    <font>
      <b/>
      <sz val="8"/>
      <name val="Times New Roman"/>
      <family val="1"/>
      <charset val="186"/>
    </font>
    <font>
      <b/>
      <sz val="10"/>
      <name val="Times New Roman"/>
      <family val="1"/>
      <charset val="186"/>
    </font>
    <font>
      <sz val="10"/>
      <name val="Arial"/>
      <family val="2"/>
      <charset val="186"/>
    </font>
    <font>
      <sz val="8"/>
      <name val="Times New Roman"/>
      <family val="1"/>
      <charset val="186"/>
    </font>
    <font>
      <sz val="10"/>
      <name val="BaltGaramond"/>
      <family val="2"/>
    </font>
    <font>
      <sz val="10"/>
      <name val="Arial"/>
      <family val="2"/>
      <charset val="186"/>
    </font>
    <font>
      <sz val="10"/>
      <name val="BaltGaramond"/>
      <family val="2"/>
      <charset val="186"/>
    </font>
    <font>
      <sz val="11"/>
      <color indexed="8"/>
      <name val="Calibri"/>
      <family val="2"/>
      <charset val="186"/>
    </font>
    <font>
      <sz val="11"/>
      <color indexed="9"/>
      <name val="Calibri"/>
      <family val="2"/>
      <charset val="186"/>
    </font>
    <font>
      <sz val="11"/>
      <color indexed="20"/>
      <name val="Calibri"/>
      <family val="2"/>
      <charset val="186"/>
    </font>
    <font>
      <b/>
      <sz val="11"/>
      <color indexed="9"/>
      <name val="Calibri"/>
      <family val="2"/>
      <charset val="186"/>
    </font>
    <font>
      <i/>
      <sz val="11"/>
      <color indexed="23"/>
      <name val="Calibri"/>
      <family val="2"/>
      <charset val="186"/>
    </font>
    <font>
      <sz val="11"/>
      <color indexed="17"/>
      <name val="Calibri"/>
      <family val="2"/>
      <charset val="186"/>
    </font>
    <font>
      <b/>
      <sz val="15"/>
      <color indexed="56"/>
      <name val="Calibri"/>
      <family val="2"/>
      <charset val="186"/>
    </font>
    <font>
      <b/>
      <sz val="13"/>
      <color indexed="56"/>
      <name val="Calibri"/>
      <family val="2"/>
      <charset val="186"/>
    </font>
    <font>
      <b/>
      <sz val="11"/>
      <color indexed="56"/>
      <name val="Calibri"/>
      <family val="2"/>
      <charset val="186"/>
    </font>
    <font>
      <sz val="11"/>
      <color indexed="52"/>
      <name val="Calibri"/>
      <family val="2"/>
      <charset val="186"/>
    </font>
    <font>
      <b/>
      <sz val="18"/>
      <color indexed="56"/>
      <name val="Cambria"/>
      <family val="2"/>
      <charset val="186"/>
    </font>
    <font>
      <sz val="8"/>
      <name val="Arial"/>
      <family val="2"/>
      <charset val="186"/>
    </font>
    <font>
      <sz val="10"/>
      <name val="Arial"/>
      <family val="2"/>
      <charset val="186"/>
    </font>
    <font>
      <sz val="8"/>
      <name val="Arial"/>
      <family val="2"/>
      <charset val="186"/>
    </font>
    <font>
      <sz val="9"/>
      <name val="Times New Roman"/>
      <family val="1"/>
      <charset val="186"/>
    </font>
    <font>
      <sz val="10"/>
      <name val="BaltOptima"/>
      <charset val="186"/>
    </font>
    <font>
      <sz val="10"/>
      <name val="Garamond"/>
      <family val="1"/>
      <charset val="186"/>
    </font>
    <font>
      <sz val="10"/>
      <color indexed="8"/>
      <name val="Arial"/>
      <family val="2"/>
    </font>
    <font>
      <sz val="10"/>
      <color indexed="8"/>
      <name val="Arial"/>
      <family val="2"/>
      <charset val="186"/>
    </font>
    <font>
      <sz val="10"/>
      <name val="Times New Roman"/>
      <family val="1"/>
    </font>
    <font>
      <b/>
      <sz val="10"/>
      <color indexed="8"/>
      <name val="Times New Roman"/>
      <family val="1"/>
    </font>
    <font>
      <b/>
      <sz val="12"/>
      <name val="Times New Roman"/>
      <family val="1"/>
      <charset val="186"/>
    </font>
    <font>
      <sz val="9"/>
      <name val="Times New Roman"/>
      <family val="1"/>
    </font>
    <font>
      <b/>
      <sz val="9"/>
      <name val="Times New Roman"/>
      <family val="1"/>
      <charset val="186"/>
    </font>
    <font>
      <sz val="10"/>
      <color indexed="9"/>
      <name val="Arial"/>
      <family val="2"/>
      <charset val="186"/>
    </font>
    <font>
      <b/>
      <sz val="10"/>
      <color indexed="8"/>
      <name val="Times New Roman"/>
      <family val="1"/>
      <charset val="186"/>
    </font>
    <font>
      <sz val="10"/>
      <color indexed="8"/>
      <name val="Times New Roman"/>
      <family val="1"/>
      <charset val="186"/>
    </font>
    <font>
      <sz val="11"/>
      <color indexed="8"/>
      <name val="Calibri"/>
      <family val="2"/>
    </font>
    <font>
      <sz val="11"/>
      <color indexed="9"/>
      <name val="Calibri"/>
      <family val="2"/>
    </font>
    <font>
      <b/>
      <sz val="10"/>
      <color indexed="52"/>
      <name val="Arial"/>
      <family val="2"/>
      <charset val="186"/>
    </font>
    <font>
      <b/>
      <sz val="11"/>
      <color indexed="8"/>
      <name val="Calibri"/>
      <family val="2"/>
    </font>
    <font>
      <sz val="10"/>
      <color indexed="62"/>
      <name val="Arial"/>
      <family val="2"/>
      <charset val="186"/>
    </font>
    <font>
      <sz val="10"/>
      <color indexed="60"/>
      <name val="Arial"/>
      <family val="2"/>
      <charset val="186"/>
    </font>
    <font>
      <b/>
      <sz val="10"/>
      <color indexed="63"/>
      <name val="Arial"/>
      <family val="2"/>
      <charset val="186"/>
    </font>
    <font>
      <b/>
      <sz val="10"/>
      <color indexed="8"/>
      <name val="Arial"/>
      <family val="2"/>
    </font>
    <font>
      <b/>
      <sz val="10"/>
      <color indexed="39"/>
      <name val="Arial"/>
      <family val="2"/>
    </font>
    <font>
      <b/>
      <sz val="12"/>
      <color indexed="8"/>
      <name val="Arial"/>
      <family val="2"/>
      <charset val="186"/>
    </font>
    <font>
      <sz val="10"/>
      <color indexed="39"/>
      <name val="Arial"/>
      <family val="2"/>
    </font>
    <font>
      <sz val="19"/>
      <color indexed="48"/>
      <name val="Arial"/>
      <family val="2"/>
      <charset val="186"/>
    </font>
    <font>
      <sz val="10"/>
      <color indexed="10"/>
      <name val="Arial"/>
      <family val="2"/>
    </font>
    <font>
      <b/>
      <sz val="18"/>
      <color indexed="62"/>
      <name val="Cambria"/>
      <family val="2"/>
    </font>
    <font>
      <b/>
      <sz val="10"/>
      <color indexed="8"/>
      <name val="Arial"/>
      <family val="2"/>
      <charset val="186"/>
    </font>
    <font>
      <sz val="10"/>
      <color indexed="10"/>
      <name val="Arial"/>
      <family val="2"/>
      <charset val="186"/>
    </font>
    <font>
      <sz val="8"/>
      <name val="Arial"/>
      <family val="2"/>
      <charset val="186"/>
    </font>
    <font>
      <sz val="12"/>
      <color indexed="8"/>
      <name val="Times New Roman"/>
      <family val="1"/>
      <charset val="186"/>
    </font>
    <font>
      <i/>
      <sz val="10"/>
      <color indexed="8"/>
      <name val="Times New Roman"/>
      <family val="1"/>
      <charset val="186"/>
    </font>
    <font>
      <i/>
      <sz val="12"/>
      <color indexed="40"/>
      <name val="Times New Roman"/>
      <family val="1"/>
      <charset val="186"/>
    </font>
    <font>
      <sz val="10"/>
      <name val="Arial"/>
      <family val="2"/>
      <charset val="186"/>
    </font>
    <font>
      <i/>
      <sz val="10"/>
      <color indexed="10"/>
      <name val="Times New Roman"/>
      <family val="1"/>
      <charset val="186"/>
    </font>
    <font>
      <i/>
      <sz val="10"/>
      <color indexed="17"/>
      <name val="Times New Roman"/>
      <family val="1"/>
      <charset val="186"/>
    </font>
    <font>
      <i/>
      <sz val="10"/>
      <color indexed="30"/>
      <name val="Times New Roman"/>
      <family val="1"/>
      <charset val="186"/>
    </font>
    <font>
      <b/>
      <sz val="9"/>
      <name val="Times New Roman"/>
      <family val="1"/>
    </font>
    <font>
      <sz val="11"/>
      <name val="Arial"/>
      <family val="2"/>
    </font>
    <font>
      <sz val="10"/>
      <color indexed="8"/>
      <name val="Times New Roman"/>
      <family val="1"/>
      <charset val="204"/>
    </font>
    <font>
      <i/>
      <sz val="10"/>
      <color indexed="8"/>
      <name val="Times New Roman"/>
      <family val="1"/>
    </font>
    <font>
      <sz val="10"/>
      <color indexed="8"/>
      <name val="Times New Roman"/>
      <family val="1"/>
    </font>
    <font>
      <b/>
      <sz val="8"/>
      <color indexed="81"/>
      <name val="Tahoma"/>
      <family val="2"/>
      <charset val="186"/>
    </font>
    <font>
      <sz val="8"/>
      <color indexed="81"/>
      <name val="Tahoma"/>
      <family val="2"/>
      <charset val="186"/>
    </font>
    <font>
      <sz val="10"/>
      <color theme="1"/>
      <name val="Arial"/>
      <family val="2"/>
      <charset val="186"/>
    </font>
    <font>
      <sz val="11"/>
      <color theme="1"/>
      <name val="Calibri"/>
      <family val="2"/>
      <charset val="186"/>
      <scheme val="minor"/>
    </font>
    <font>
      <i/>
      <sz val="12"/>
      <color rgb="FF00B0F0"/>
      <name val="Times New Roman"/>
      <family val="1"/>
      <charset val="186"/>
    </font>
    <font>
      <i/>
      <sz val="12"/>
      <color rgb="FF00B050"/>
      <name val="Times New Roman"/>
      <family val="1"/>
      <charset val="186"/>
    </font>
    <font>
      <i/>
      <sz val="12"/>
      <color rgb="FFFF0000"/>
      <name val="Times New Roman"/>
      <family val="1"/>
      <charset val="186"/>
    </font>
    <font>
      <b/>
      <i/>
      <sz val="12"/>
      <color rgb="FFFF0000"/>
      <name val="Times New Roman"/>
      <family val="1"/>
      <charset val="186"/>
    </font>
    <font>
      <b/>
      <i/>
      <sz val="10"/>
      <color rgb="FF0070C0"/>
      <name val="Times New Roman"/>
      <family val="1"/>
      <charset val="186"/>
    </font>
    <font>
      <b/>
      <i/>
      <sz val="10"/>
      <color rgb="FFFF0000"/>
      <name val="Times New Roman"/>
      <family val="1"/>
      <charset val="186"/>
    </font>
    <font>
      <i/>
      <sz val="10"/>
      <color rgb="FF0070C0"/>
      <name val="Times New Roman"/>
      <family val="1"/>
      <charset val="186"/>
    </font>
    <font>
      <i/>
      <sz val="10"/>
      <color rgb="FF00B050"/>
      <name val="Times New Roman"/>
      <family val="1"/>
      <charset val="186"/>
    </font>
    <font>
      <b/>
      <i/>
      <sz val="10"/>
      <color rgb="FF00B050"/>
      <name val="Times New Roman"/>
      <family val="1"/>
      <charset val="186"/>
    </font>
    <font>
      <i/>
      <sz val="10"/>
      <color rgb="FF0070C0"/>
      <name val="Times New Roman"/>
      <family val="1"/>
    </font>
    <font>
      <i/>
      <sz val="10"/>
      <color rgb="FF00B050"/>
      <name val="Times New Roman"/>
      <family val="1"/>
    </font>
    <font>
      <b/>
      <i/>
      <sz val="10"/>
      <color rgb="FF0070C0"/>
      <name val="Times New Roman"/>
      <family val="1"/>
    </font>
    <font>
      <i/>
      <sz val="10"/>
      <color rgb="FFFF0000"/>
      <name val="Times New Roman"/>
      <family val="1"/>
    </font>
    <font>
      <b/>
      <i/>
      <sz val="10"/>
      <color rgb="FFFF0000"/>
      <name val="Times New Roman"/>
      <family val="1"/>
    </font>
    <font>
      <b/>
      <i/>
      <sz val="10"/>
      <color rgb="FF00B050"/>
      <name val="Times New Roman"/>
      <family val="1"/>
    </font>
    <font>
      <sz val="10"/>
      <color rgb="FFFF0000"/>
      <name val="Times New Roman"/>
      <family val="1"/>
      <charset val="186"/>
    </font>
    <font>
      <b/>
      <sz val="12"/>
      <color indexed="8"/>
      <name val="Times New Roman"/>
      <family val="1"/>
    </font>
    <font>
      <b/>
      <sz val="14"/>
      <color indexed="8"/>
      <name val="Times New Roman"/>
      <family val="1"/>
      <charset val="186"/>
    </font>
    <font>
      <b/>
      <u/>
      <sz val="10"/>
      <name val="Times New Roman"/>
      <family val="1"/>
    </font>
    <font>
      <b/>
      <sz val="10"/>
      <color indexed="10"/>
      <name val="Times New Roman"/>
      <family val="1"/>
    </font>
    <font>
      <b/>
      <u/>
      <sz val="9"/>
      <name val="Times New Roman"/>
      <family val="1"/>
      <charset val="186"/>
    </font>
    <font>
      <u/>
      <sz val="10"/>
      <name val="Times New Roman"/>
      <family val="1"/>
    </font>
    <font>
      <b/>
      <u/>
      <sz val="10"/>
      <color indexed="8"/>
      <name val="Times New Roman"/>
      <family val="1"/>
    </font>
    <font>
      <b/>
      <u/>
      <sz val="10"/>
      <name val="Times New Roman"/>
      <family val="1"/>
      <charset val="186"/>
    </font>
    <font>
      <i/>
      <sz val="10"/>
      <name val="Times New Roman"/>
      <family val="1"/>
      <charset val="186"/>
    </font>
    <font>
      <sz val="11"/>
      <name val="Times New Roman"/>
      <family val="1"/>
    </font>
    <font>
      <sz val="11"/>
      <color indexed="8"/>
      <name val="Times New Roman"/>
      <family val="1"/>
    </font>
    <font>
      <sz val="10"/>
      <color theme="0"/>
      <name val="Times New Roman"/>
      <family val="1"/>
      <charset val="186"/>
    </font>
    <font>
      <sz val="12"/>
      <color theme="0"/>
      <name val="Times New Roman"/>
      <family val="1"/>
      <charset val="186"/>
    </font>
    <font>
      <i/>
      <sz val="12"/>
      <color theme="0"/>
      <name val="Times New Roman"/>
      <family val="1"/>
      <charset val="186"/>
    </font>
    <font>
      <b/>
      <i/>
      <sz val="12"/>
      <color theme="0"/>
      <name val="Times New Roman"/>
      <family val="1"/>
      <charset val="186"/>
    </font>
    <font>
      <i/>
      <sz val="10"/>
      <color theme="0"/>
      <name val="Times New Roman"/>
      <family val="1"/>
      <charset val="186"/>
    </font>
    <font>
      <sz val="11"/>
      <color theme="0"/>
      <name val="Times New Roman"/>
      <family val="1"/>
      <charset val="186"/>
    </font>
    <font>
      <i/>
      <sz val="9"/>
      <name val="Times New Roman"/>
      <family val="1"/>
      <charset val="186"/>
    </font>
    <font>
      <b/>
      <sz val="11"/>
      <name val="Times New Roman"/>
      <family val="1"/>
    </font>
    <font>
      <sz val="8"/>
      <name val="Calibri"/>
      <family val="2"/>
      <charset val="186"/>
    </font>
    <font>
      <sz val="6.4"/>
      <name val="Times New Roman"/>
      <family val="1"/>
    </font>
    <font>
      <sz val="10"/>
      <name val="Calibri"/>
      <family val="2"/>
      <charset val="186"/>
    </font>
    <font>
      <sz val="10"/>
      <color indexed="10"/>
      <name val="Times New Roman"/>
      <family val="1"/>
    </font>
    <font>
      <i/>
      <sz val="9"/>
      <color rgb="FFFF0000"/>
      <name val="Times New Roman"/>
      <family val="1"/>
      <charset val="186"/>
    </font>
    <font>
      <sz val="9"/>
      <color rgb="FFFF0000"/>
      <name val="Times New Roman"/>
      <family val="1"/>
      <charset val="186"/>
    </font>
    <font>
      <b/>
      <sz val="10"/>
      <color theme="1"/>
      <name val="Times New Roman"/>
      <family val="1"/>
      <charset val="186"/>
    </font>
    <font>
      <sz val="10"/>
      <color theme="1"/>
      <name val="Times New Roman"/>
      <family val="1"/>
      <charset val="186"/>
    </font>
    <font>
      <sz val="9"/>
      <color theme="1"/>
      <name val="Times New Roman"/>
      <family val="1"/>
      <charset val="186"/>
    </font>
    <font>
      <b/>
      <sz val="9"/>
      <color theme="1"/>
      <name val="Times New Roman"/>
      <family val="1"/>
      <charset val="186"/>
    </font>
    <font>
      <sz val="10"/>
      <color theme="1"/>
      <name val="Times New Roman"/>
      <family val="1"/>
    </font>
    <font>
      <b/>
      <sz val="10"/>
      <color theme="1"/>
      <name val="Times New Roman"/>
      <family val="1"/>
    </font>
    <font>
      <sz val="9"/>
      <color indexed="8"/>
      <name val="Times New Roman"/>
      <family val="1"/>
      <charset val="186"/>
    </font>
    <font>
      <b/>
      <sz val="10"/>
      <color rgb="FFFF0000"/>
      <name val="Times New Roman"/>
      <family val="1"/>
    </font>
    <font>
      <sz val="10"/>
      <color rgb="FF7030A0"/>
      <name val="Times New Roman"/>
      <family val="1"/>
    </font>
    <font>
      <b/>
      <sz val="10"/>
      <color rgb="FF7030A0"/>
      <name val="Times New Roman"/>
      <family val="1"/>
    </font>
    <font>
      <sz val="8"/>
      <color rgb="FF7030A0"/>
      <name val="Times New Roman"/>
      <family val="1"/>
    </font>
    <font>
      <sz val="10"/>
      <color rgb="FF7030A0"/>
      <name val="Times New Roman"/>
      <family val="1"/>
      <charset val="186"/>
    </font>
    <font>
      <sz val="9"/>
      <color theme="0" tint="-4.9989318521683403E-2"/>
      <name val="Times New Roman"/>
      <family val="1"/>
      <charset val="186"/>
    </font>
    <font>
      <sz val="14"/>
      <color theme="1"/>
      <name val="Times New Roman"/>
      <family val="1"/>
      <charset val="186"/>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11"/>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0"/>
      </patternFill>
    </fill>
    <fill>
      <patternFill patternType="solid">
        <fgColor indexed="9"/>
      </patternFill>
    </fill>
    <fill>
      <patternFill patternType="solid">
        <fgColor indexed="15"/>
      </patternFill>
    </fill>
    <fill>
      <patternFill patternType="solid">
        <fgColor indexed="22"/>
        <bgColor indexed="64"/>
      </patternFill>
    </fill>
    <fill>
      <patternFill patternType="solid">
        <fgColor indexed="42"/>
        <bgColor indexed="64"/>
      </patternFill>
    </fill>
    <fill>
      <patternFill patternType="solid">
        <fgColor indexed="13"/>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3" tint="0.79998168889431442"/>
        <bgColor indexed="51"/>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indexed="46"/>
        <bgColor indexed="64"/>
      </patternFill>
    </fill>
    <fill>
      <patternFill patternType="solid">
        <fgColor indexed="31"/>
        <bgColor indexed="64"/>
      </patternFill>
    </fill>
    <fill>
      <patternFill patternType="solid">
        <fgColor indexed="9"/>
        <bgColor indexed="64"/>
      </patternFill>
    </fill>
    <fill>
      <patternFill patternType="solid">
        <fgColor indexed="46"/>
        <bgColor indexed="24"/>
      </patternFill>
    </fill>
    <fill>
      <patternFill patternType="solid">
        <fgColor indexed="31"/>
        <bgColor indexed="41"/>
      </patternFill>
    </fill>
    <fill>
      <patternFill patternType="solid">
        <fgColor indexed="9"/>
        <bgColor indexed="26"/>
      </patternFill>
    </fill>
    <fill>
      <patternFill patternType="solid">
        <fgColor indexed="13"/>
        <bgColor indexed="51"/>
      </patternFill>
    </fill>
    <fill>
      <patternFill patternType="solid">
        <fgColor rgb="FF00B0F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7" tint="0.59999389629810485"/>
        <bgColor indexed="24"/>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bottom style="hair">
        <color indexed="8"/>
      </bottom>
      <diagonal/>
    </border>
    <border>
      <left style="hair">
        <color indexed="64"/>
      </left>
      <right style="hair">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s>
  <cellStyleXfs count="148">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40"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4" fillId="19" borderId="0" applyNumberFormat="0" applyBorder="0" applyAlignment="0" applyProtection="0"/>
    <xf numFmtId="0" fontId="17" fillId="16" borderId="0" applyNumberFormat="0" applyBorder="0" applyAlignment="0" applyProtection="0"/>
    <xf numFmtId="0" fontId="40"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4" fillId="23" borderId="0" applyNumberFormat="0" applyBorder="0" applyAlignment="0" applyProtection="0"/>
    <xf numFmtId="0" fontId="17" fillId="20" borderId="0" applyNumberFormat="0" applyBorder="0" applyAlignment="0" applyProtection="0"/>
    <xf numFmtId="0" fontId="40"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4" fillId="27" borderId="0" applyNumberFormat="0" applyBorder="0" applyAlignment="0" applyProtection="0"/>
    <xf numFmtId="0" fontId="17" fillId="24" borderId="0" applyNumberFormat="0" applyBorder="0" applyAlignment="0" applyProtection="0"/>
    <xf numFmtId="0" fontId="40" fillId="13"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4" fillId="27" borderId="0" applyNumberFormat="0" applyBorder="0" applyAlignment="0" applyProtection="0"/>
    <xf numFmtId="0" fontId="17" fillId="13" borderId="0" applyNumberFormat="0" applyBorder="0" applyAlignment="0" applyProtection="0"/>
    <xf numFmtId="0" fontId="40" fillId="14"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4" fillId="18" borderId="0" applyNumberFormat="0" applyBorder="0" applyAlignment="0" applyProtection="0"/>
    <xf numFmtId="0" fontId="17" fillId="14" borderId="0" applyNumberFormat="0" applyBorder="0" applyAlignment="0" applyProtection="0"/>
    <xf numFmtId="0" fontId="40" fillId="28" borderId="0" applyNumberFormat="0" applyBorder="0" applyAlignment="0" applyProtection="0"/>
    <xf numFmtId="0" fontId="43" fillId="29" borderId="0" applyNumberFormat="0" applyBorder="0" applyAlignment="0" applyProtection="0"/>
    <xf numFmtId="0" fontId="43" fillId="22" borderId="0" applyNumberFormat="0" applyBorder="0" applyAlignment="0" applyProtection="0"/>
    <xf numFmtId="0" fontId="44" fillId="30" borderId="0" applyNumberFormat="0" applyBorder="0" applyAlignment="0" applyProtection="0"/>
    <xf numFmtId="0" fontId="17" fillId="28" borderId="0" applyNumberFormat="0" applyBorder="0" applyAlignment="0" applyProtection="0"/>
    <xf numFmtId="0" fontId="18" fillId="3" borderId="0" applyNumberFormat="0" applyBorder="0" applyAlignment="0" applyProtection="0"/>
    <xf numFmtId="0" fontId="45" fillId="31" borderId="1" applyNumberFormat="0" applyAlignment="0" applyProtection="0"/>
    <xf numFmtId="0" fontId="19" fillId="32" borderId="2" applyNumberFormat="0" applyAlignment="0" applyProtection="0"/>
    <xf numFmtId="0" fontId="46" fillId="33"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165" fontId="13" fillId="0" borderId="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47" fillId="7" borderId="1" applyNumberFormat="0" applyAlignment="0" applyProtection="0"/>
    <xf numFmtId="166" fontId="13" fillId="36" borderId="0"/>
    <xf numFmtId="0" fontId="25" fillId="0" borderId="6" applyNumberFormat="0" applyFill="0" applyAlignment="0" applyProtection="0"/>
    <xf numFmtId="0" fontId="48" fillId="37" borderId="0" applyNumberFormat="0" applyBorder="0" applyAlignment="0" applyProtection="0"/>
    <xf numFmtId="0" fontId="14" fillId="0" borderId="0"/>
    <xf numFmtId="0" fontId="74" fillId="0" borderId="0"/>
    <xf numFmtId="0" fontId="68" fillId="0" borderId="0"/>
    <xf numFmtId="0" fontId="34" fillId="0" borderId="0"/>
    <xf numFmtId="0" fontId="1" fillId="0" borderId="0"/>
    <xf numFmtId="0" fontId="63" fillId="0" borderId="0"/>
    <xf numFmtId="0" fontId="3" fillId="0" borderId="0"/>
    <xf numFmtId="0" fontId="1" fillId="0" borderId="0"/>
    <xf numFmtId="0" fontId="28" fillId="0" borderId="0"/>
    <xf numFmtId="0" fontId="1" fillId="0" borderId="0"/>
    <xf numFmtId="0" fontId="11" fillId="0" borderId="0"/>
    <xf numFmtId="0" fontId="31" fillId="0" borderId="0"/>
    <xf numFmtId="0" fontId="1" fillId="0" borderId="0"/>
    <xf numFmtId="0" fontId="1" fillId="0" borderId="0"/>
    <xf numFmtId="0" fontId="32" fillId="0" borderId="0"/>
    <xf numFmtId="0" fontId="34" fillId="0" borderId="0"/>
    <xf numFmtId="0" fontId="1" fillId="38" borderId="7" applyNumberFormat="0" applyFont="0" applyAlignment="0" applyProtection="0"/>
    <xf numFmtId="0" fontId="49" fillId="31" borderId="8" applyNumberFormat="0" applyAlignment="0" applyProtection="0"/>
    <xf numFmtId="0" fontId="1" fillId="0" borderId="0"/>
    <xf numFmtId="0" fontId="11" fillId="0" borderId="0"/>
    <xf numFmtId="0" fontId="74" fillId="0" borderId="0"/>
    <xf numFmtId="0" fontId="1" fillId="0" borderId="0"/>
    <xf numFmtId="0" fontId="1" fillId="0" borderId="0"/>
    <xf numFmtId="0" fontId="1" fillId="0" borderId="0"/>
    <xf numFmtId="0" fontId="75" fillId="0" borderId="0"/>
    <xf numFmtId="0" fontId="1" fillId="0" borderId="0"/>
    <xf numFmtId="0" fontId="1" fillId="0" borderId="0"/>
    <xf numFmtId="0" fontId="3" fillId="0" borderId="0"/>
    <xf numFmtId="9" fontId="14" fillId="0" borderId="0" applyFont="0" applyFill="0" applyBorder="0" applyAlignment="0" applyProtection="0"/>
    <xf numFmtId="165" fontId="13" fillId="39" borderId="0" applyBorder="0" applyProtection="0"/>
    <xf numFmtId="4" fontId="50" fillId="37" borderId="9" applyNumberFormat="0" applyProtection="0">
      <alignment vertical="center"/>
    </xf>
    <xf numFmtId="4" fontId="51" fillId="37" borderId="9" applyNumberFormat="0" applyProtection="0">
      <alignment vertical="center"/>
    </xf>
    <xf numFmtId="4" fontId="50" fillId="37" borderId="9" applyNumberFormat="0" applyProtection="0">
      <alignment horizontal="left" vertical="center" indent="1"/>
    </xf>
    <xf numFmtId="0" fontId="50" fillId="37" borderId="9" applyNumberFormat="0" applyProtection="0">
      <alignment horizontal="left" vertical="top" indent="1"/>
    </xf>
    <xf numFmtId="4" fontId="50" fillId="0" borderId="0" applyNumberFormat="0" applyProtection="0">
      <alignment horizontal="left" vertical="center" indent="1"/>
    </xf>
    <xf numFmtId="4" fontId="33" fillId="3" borderId="9" applyNumberFormat="0" applyProtection="0">
      <alignment horizontal="right" vertical="center"/>
    </xf>
    <xf numFmtId="4" fontId="33" fillId="9" borderId="9" applyNumberFormat="0" applyProtection="0">
      <alignment horizontal="right" vertical="center"/>
    </xf>
    <xf numFmtId="4" fontId="33" fillId="20" borderId="9" applyNumberFormat="0" applyProtection="0">
      <alignment horizontal="right" vertical="center"/>
    </xf>
    <xf numFmtId="4" fontId="33" fillId="11" borderId="9" applyNumberFormat="0" applyProtection="0">
      <alignment horizontal="right" vertical="center"/>
    </xf>
    <xf numFmtId="4" fontId="33" fillId="15" borderId="9" applyNumberFormat="0" applyProtection="0">
      <alignment horizontal="right" vertical="center"/>
    </xf>
    <xf numFmtId="4" fontId="33" fillId="28" borderId="9" applyNumberFormat="0" applyProtection="0">
      <alignment horizontal="right" vertical="center"/>
    </xf>
    <xf numFmtId="4" fontId="33" fillId="24" borderId="9" applyNumberFormat="0" applyProtection="0">
      <alignment horizontal="right" vertical="center"/>
    </xf>
    <xf numFmtId="4" fontId="33" fillId="40" borderId="9" applyNumberFormat="0" applyProtection="0">
      <alignment horizontal="right" vertical="center"/>
    </xf>
    <xf numFmtId="4" fontId="33" fillId="10" borderId="9" applyNumberFormat="0" applyProtection="0">
      <alignment horizontal="right" vertical="center"/>
    </xf>
    <xf numFmtId="4" fontId="50" fillId="41" borderId="10" applyNumberFormat="0" applyProtection="0">
      <alignment horizontal="left" vertical="center" indent="1"/>
    </xf>
    <xf numFmtId="4" fontId="33" fillId="42" borderId="0" applyNumberFormat="0" applyProtection="0">
      <alignment horizontal="left" vertical="center" indent="1"/>
    </xf>
    <xf numFmtId="4" fontId="52" fillId="43" borderId="0" applyNumberFormat="0" applyProtection="0">
      <alignment horizontal="left" vertical="center" indent="1"/>
    </xf>
    <xf numFmtId="4" fontId="33" fillId="44" borderId="9" applyNumberFormat="0" applyProtection="0">
      <alignment horizontal="right" vertical="center"/>
    </xf>
    <xf numFmtId="4" fontId="34" fillId="42" borderId="0" applyNumberFormat="0" applyProtection="0">
      <alignment horizontal="left" vertical="center" indent="1"/>
    </xf>
    <xf numFmtId="4" fontId="34" fillId="44" borderId="0" applyNumberFormat="0" applyProtection="0">
      <alignment horizontal="left" vertical="center" indent="1"/>
    </xf>
    <xf numFmtId="0" fontId="6" fillId="0" borderId="0" applyNumberFormat="0" applyProtection="0">
      <alignment horizontal="left" vertical="center" wrapText="1" indent="1" shrinkToFit="1"/>
    </xf>
    <xf numFmtId="0" fontId="1" fillId="43" borderId="9" applyNumberFormat="0" applyProtection="0">
      <alignment horizontal="left" vertical="top" indent="1"/>
    </xf>
    <xf numFmtId="0" fontId="6" fillId="0" borderId="0" applyNumberFormat="0" applyProtection="0">
      <alignment horizontal="left" vertical="center" wrapText="1" indent="1" shrinkToFit="1"/>
    </xf>
    <xf numFmtId="0" fontId="1" fillId="44" borderId="9" applyNumberFormat="0" applyProtection="0">
      <alignment horizontal="left" vertical="top" indent="1"/>
    </xf>
    <xf numFmtId="0" fontId="6" fillId="0" borderId="0" applyNumberFormat="0" applyProtection="0">
      <alignment horizontal="left" vertical="center" wrapText="1" indent="1" shrinkToFit="1"/>
    </xf>
    <xf numFmtId="0" fontId="1" fillId="8" borderId="9" applyNumberFormat="0" applyProtection="0">
      <alignment horizontal="left" vertical="top" indent="1"/>
    </xf>
    <xf numFmtId="0" fontId="1" fillId="0" borderId="11" applyNumberFormat="0" applyProtection="0">
      <alignment horizontal="left" vertical="center" indent="1"/>
    </xf>
    <xf numFmtId="0" fontId="1" fillId="42" borderId="9" applyNumberFormat="0" applyProtection="0">
      <alignment horizontal="left" vertical="top" indent="1"/>
    </xf>
    <xf numFmtId="0" fontId="1" fillId="45" borderId="11" applyNumberFormat="0">
      <protection locked="0"/>
    </xf>
    <xf numFmtId="4" fontId="33" fillId="38" borderId="9" applyNumberFormat="0" applyProtection="0">
      <alignment vertical="center"/>
    </xf>
    <xf numFmtId="4" fontId="53" fillId="38" borderId="9" applyNumberFormat="0" applyProtection="0">
      <alignment vertical="center"/>
    </xf>
    <xf numFmtId="4" fontId="33" fillId="38" borderId="9" applyNumberFormat="0" applyProtection="0">
      <alignment horizontal="left" vertical="center" indent="1"/>
    </xf>
    <xf numFmtId="0" fontId="33" fillId="38" borderId="9" applyNumberFormat="0" applyProtection="0">
      <alignment horizontal="left" vertical="top" indent="1"/>
    </xf>
    <xf numFmtId="4" fontId="33" fillId="0" borderId="11" applyNumberFormat="0" applyProtection="0">
      <alignment horizontal="right" vertical="center"/>
    </xf>
    <xf numFmtId="4" fontId="42" fillId="0" borderId="0" applyNumberFormat="0" applyProtection="0">
      <alignment horizontal="right"/>
    </xf>
    <xf numFmtId="4" fontId="42" fillId="0" borderId="0" applyNumberFormat="0" applyProtection="0">
      <alignment horizontal="right"/>
    </xf>
    <xf numFmtId="4" fontId="53" fillId="42" borderId="9" applyNumberFormat="0" applyProtection="0">
      <alignment horizontal="right" vertical="center"/>
    </xf>
    <xf numFmtId="4" fontId="33" fillId="0" borderId="11" applyNumberFormat="0" applyProtection="0">
      <alignment horizontal="left" wrapText="1" indent="1"/>
    </xf>
    <xf numFmtId="4" fontId="42" fillId="0" borderId="11" applyNumberFormat="0" applyProtection="0">
      <alignment horizontal="left" wrapText="1" indent="1"/>
    </xf>
    <xf numFmtId="4" fontId="42" fillId="0" borderId="0" applyNumberFormat="0" applyProtection="0">
      <alignment horizontal="left" wrapText="1" indent="1"/>
    </xf>
    <xf numFmtId="4" fontId="42" fillId="0" borderId="0" applyNumberFormat="0" applyProtection="0">
      <alignment horizontal="left" wrapText="1" indent="1" shrinkToFit="1"/>
    </xf>
    <xf numFmtId="0" fontId="33" fillId="44" borderId="9" applyNumberFormat="0" applyProtection="0">
      <alignment horizontal="left" vertical="top" indent="1"/>
    </xf>
    <xf numFmtId="4" fontId="54" fillId="46" borderId="0" applyNumberFormat="0" applyProtection="0">
      <alignment horizontal="left" vertical="center" indent="1"/>
    </xf>
    <xf numFmtId="4" fontId="55" fillId="42" borderId="9" applyNumberFormat="0" applyProtection="0">
      <alignment horizontal="right" vertical="center"/>
    </xf>
    <xf numFmtId="0" fontId="56" fillId="0" borderId="0" applyNumberFormat="0" applyFill="0" applyBorder="0" applyAlignment="0" applyProtection="0"/>
    <xf numFmtId="0" fontId="2" fillId="0" borderId="0"/>
    <xf numFmtId="0" fontId="2" fillId="0" borderId="0"/>
    <xf numFmtId="0" fontId="26" fillId="0" borderId="0" applyNumberFormat="0" applyFill="0" applyBorder="0" applyAlignment="0" applyProtection="0"/>
    <xf numFmtId="0" fontId="57" fillId="0" borderId="12" applyNumberFormat="0" applyFill="0" applyAlignment="0" applyProtection="0"/>
    <xf numFmtId="165" fontId="15" fillId="47" borderId="0" applyBorder="0" applyProtection="0"/>
    <xf numFmtId="0" fontId="58" fillId="0" borderId="0" applyNumberFormat="0" applyFill="0" applyBorder="0" applyAlignment="0" applyProtection="0"/>
    <xf numFmtId="0" fontId="1" fillId="0" borderId="0"/>
  </cellStyleXfs>
  <cellXfs count="1482">
    <xf numFmtId="0" fontId="0" fillId="0" borderId="0" xfId="0"/>
    <xf numFmtId="0" fontId="7" fillId="0" borderId="0" xfId="0" applyFont="1" applyAlignment="1">
      <alignment wrapText="1"/>
    </xf>
    <xf numFmtId="1" fontId="7" fillId="0" borderId="0" xfId="0" applyNumberFormat="1" applyFont="1" applyAlignment="1">
      <alignment horizontal="center" wrapText="1"/>
    </xf>
    <xf numFmtId="0" fontId="7" fillId="0" borderId="0" xfId="0" applyFont="1"/>
    <xf numFmtId="0" fontId="5" fillId="0" borderId="0" xfId="0" applyFont="1"/>
    <xf numFmtId="0" fontId="5" fillId="0" borderId="13" xfId="93" applyFont="1" applyFill="1" applyBorder="1" applyAlignment="1">
      <alignment vertical="top" wrapText="1"/>
    </xf>
    <xf numFmtId="0" fontId="7" fillId="0" borderId="0" xfId="0" applyFont="1" applyFill="1"/>
    <xf numFmtId="0" fontId="7" fillId="0" borderId="0" xfId="73" applyFont="1" applyFill="1"/>
    <xf numFmtId="0" fontId="5" fillId="0" borderId="0" xfId="73" applyFont="1" applyFill="1"/>
    <xf numFmtId="3" fontId="7" fillId="0" borderId="0" xfId="0" applyNumberFormat="1" applyFont="1"/>
    <xf numFmtId="0" fontId="5" fillId="0" borderId="0" xfId="0" applyFont="1" applyBorder="1" applyAlignment="1">
      <alignment wrapText="1"/>
    </xf>
    <xf numFmtId="0" fontId="7" fillId="0" borderId="0" xfId="74" applyFont="1"/>
    <xf numFmtId="0" fontId="7" fillId="0" borderId="0" xfId="85" applyFont="1"/>
    <xf numFmtId="0" fontId="7" fillId="0" borderId="0" xfId="76" applyFont="1" applyFill="1"/>
    <xf numFmtId="1" fontId="7" fillId="0" borderId="13" xfId="0" applyNumberFormat="1" applyFont="1" applyBorder="1" applyAlignment="1">
      <alignment horizontal="center" wrapText="1"/>
    </xf>
    <xf numFmtId="0" fontId="5" fillId="0" borderId="13" xfId="93" applyFont="1" applyFill="1" applyBorder="1" applyAlignment="1">
      <alignment vertical="top"/>
    </xf>
    <xf numFmtId="49" fontId="5" fillId="0" borderId="13" xfId="77" applyNumberFormat="1" applyFont="1" applyFill="1" applyBorder="1" applyAlignment="1">
      <alignment horizontal="left" vertical="top" wrapText="1"/>
    </xf>
    <xf numFmtId="0" fontId="5" fillId="0" borderId="13" xfId="77" applyFont="1" applyFill="1" applyBorder="1" applyAlignment="1">
      <alignment vertical="top" wrapText="1"/>
    </xf>
    <xf numFmtId="0" fontId="5" fillId="0" borderId="0" xfId="0" applyFont="1" applyFill="1" applyAlignment="1">
      <alignment wrapText="1"/>
    </xf>
    <xf numFmtId="0" fontId="7" fillId="0" borderId="13" xfId="93" applyFont="1" applyFill="1" applyBorder="1" applyAlignment="1"/>
    <xf numFmtId="0" fontId="7" fillId="0" borderId="13" xfId="93" applyFont="1" applyFill="1" applyBorder="1" applyAlignment="1">
      <alignment wrapText="1"/>
    </xf>
    <xf numFmtId="0" fontId="7" fillId="0" borderId="0" xfId="0" applyFont="1" applyAlignment="1"/>
    <xf numFmtId="3" fontId="7" fillId="0" borderId="0" xfId="0" applyNumberFormat="1" applyFont="1" applyAlignment="1"/>
    <xf numFmtId="3" fontId="8" fillId="0" borderId="0" xfId="0" applyNumberFormat="1" applyFont="1" applyBorder="1" applyAlignment="1">
      <alignment horizontal="left" wrapText="1"/>
    </xf>
    <xf numFmtId="0" fontId="7" fillId="0" borderId="0" xfId="89" applyFont="1"/>
    <xf numFmtId="1" fontId="7" fillId="0" borderId="0" xfId="89" applyNumberFormat="1" applyFont="1" applyAlignment="1">
      <alignment horizontal="center" wrapText="1"/>
    </xf>
    <xf numFmtId="0" fontId="5" fillId="0" borderId="0" xfId="89" applyFont="1"/>
    <xf numFmtId="0" fontId="7" fillId="0" borderId="0" xfId="89" applyFont="1" applyFill="1"/>
    <xf numFmtId="0" fontId="9" fillId="0" borderId="0" xfId="75" applyFont="1" applyFill="1"/>
    <xf numFmtId="0" fontId="7" fillId="0" borderId="0" xfId="75" applyFont="1" applyFill="1"/>
    <xf numFmtId="0" fontId="7" fillId="0" borderId="0" xfId="75" applyFont="1" applyFill="1" applyAlignment="1"/>
    <xf numFmtId="0" fontId="7" fillId="0" borderId="0" xfId="75" applyFont="1" applyFill="1" applyAlignment="1">
      <alignment wrapText="1"/>
    </xf>
    <xf numFmtId="3" fontId="7" fillId="0" borderId="0" xfId="75" applyNumberFormat="1" applyFont="1" applyFill="1" applyAlignment="1"/>
    <xf numFmtId="0" fontId="7" fillId="0" borderId="0" xfId="75" applyFont="1" applyAlignment="1"/>
    <xf numFmtId="0" fontId="7" fillId="0" borderId="0" xfId="75" applyFont="1" applyAlignment="1">
      <alignment wrapText="1"/>
    </xf>
    <xf numFmtId="3" fontId="7" fillId="0" borderId="0" xfId="75" applyNumberFormat="1" applyFont="1" applyAlignment="1"/>
    <xf numFmtId="0" fontId="12" fillId="0" borderId="0" xfId="75" applyFont="1" applyAlignment="1"/>
    <xf numFmtId="1" fontId="38" fillId="0" borderId="0" xfId="0" applyNumberFormat="1" applyFont="1" applyAlignment="1">
      <alignment horizontal="right" wrapText="1"/>
    </xf>
    <xf numFmtId="1" fontId="38" fillId="0" borderId="14" xfId="0" applyNumberFormat="1" applyFont="1" applyBorder="1" applyAlignment="1">
      <alignment horizontal="right" wrapText="1"/>
    </xf>
    <xf numFmtId="3" fontId="39" fillId="0" borderId="14" xfId="0" applyNumberFormat="1" applyFont="1" applyBorder="1" applyAlignment="1">
      <alignment horizontal="right" wrapText="1"/>
    </xf>
    <xf numFmtId="3" fontId="38" fillId="0" borderId="14" xfId="0" applyNumberFormat="1" applyFont="1" applyBorder="1" applyAlignment="1">
      <alignment horizontal="right" wrapText="1"/>
    </xf>
    <xf numFmtId="3" fontId="38" fillId="0" borderId="14" xfId="72" applyNumberFormat="1" applyFont="1" applyBorder="1" applyAlignment="1">
      <alignment horizontal="right" wrapText="1"/>
    </xf>
    <xf numFmtId="3" fontId="38" fillId="0" borderId="14" xfId="0" applyNumberFormat="1" applyFont="1" applyFill="1" applyBorder="1" applyAlignment="1">
      <alignment horizontal="right" wrapText="1"/>
    </xf>
    <xf numFmtId="3" fontId="7" fillId="0" borderId="13" xfId="0" applyNumberFormat="1" applyFont="1" applyBorder="1" applyAlignment="1">
      <alignment wrapText="1"/>
    </xf>
    <xf numFmtId="3" fontId="41" fillId="0" borderId="0" xfId="67" applyNumberFormat="1" applyFont="1" applyFill="1" applyAlignment="1">
      <alignment horizontal="center" wrapText="1"/>
    </xf>
    <xf numFmtId="3" fontId="42" fillId="0" borderId="0" xfId="67" applyNumberFormat="1" applyFont="1" applyFill="1" applyAlignment="1">
      <alignment wrapText="1"/>
    </xf>
    <xf numFmtId="0" fontId="7" fillId="0" borderId="0" xfId="84" applyFont="1"/>
    <xf numFmtId="0" fontId="7" fillId="0" borderId="0" xfId="84" applyFont="1" applyAlignment="1">
      <alignment wrapText="1"/>
    </xf>
    <xf numFmtId="1" fontId="37" fillId="48" borderId="13" xfId="0" applyNumberFormat="1" applyFont="1" applyFill="1" applyBorder="1" applyAlignment="1">
      <alignment horizontal="left" wrapText="1"/>
    </xf>
    <xf numFmtId="3" fontId="60" fillId="0" borderId="0" xfId="67" applyNumberFormat="1" applyFont="1" applyFill="1" applyAlignment="1">
      <alignment wrapText="1"/>
    </xf>
    <xf numFmtId="3" fontId="62" fillId="0" borderId="0" xfId="67" applyNumberFormat="1" applyFont="1" applyFill="1" applyAlignment="1">
      <alignment wrapText="1"/>
    </xf>
    <xf numFmtId="3" fontId="76" fillId="0" borderId="0" xfId="67" applyNumberFormat="1" applyFont="1" applyFill="1" applyAlignment="1">
      <alignment wrapText="1"/>
    </xf>
    <xf numFmtId="3" fontId="77" fillId="0" borderId="0" xfId="67" applyNumberFormat="1" applyFont="1" applyFill="1" applyAlignment="1">
      <alignment wrapText="1"/>
    </xf>
    <xf numFmtId="3" fontId="78" fillId="0" borderId="0" xfId="67" applyNumberFormat="1" applyFont="1" applyFill="1" applyAlignment="1">
      <alignment wrapText="1"/>
    </xf>
    <xf numFmtId="3" fontId="79" fillId="0" borderId="0" xfId="67" applyNumberFormat="1" applyFont="1" applyFill="1" applyAlignment="1">
      <alignment wrapText="1"/>
    </xf>
    <xf numFmtId="0" fontId="7" fillId="0" borderId="0" xfId="0" applyFont="1" applyBorder="1" applyAlignment="1">
      <alignment wrapText="1"/>
    </xf>
    <xf numFmtId="0" fontId="7" fillId="0" borderId="0" xfId="70" applyFont="1" applyAlignment="1">
      <alignment wrapText="1"/>
    </xf>
    <xf numFmtId="0" fontId="7" fillId="0" borderId="0" xfId="70" applyFont="1" applyAlignment="1"/>
    <xf numFmtId="3" fontId="7" fillId="0" borderId="0" xfId="70" applyNumberFormat="1" applyFont="1" applyAlignment="1"/>
    <xf numFmtId="3" fontId="80" fillId="0" borderId="13" xfId="67" applyNumberFormat="1" applyFont="1" applyFill="1" applyBorder="1" applyAlignment="1">
      <alignment horizontal="right" wrapText="1"/>
    </xf>
    <xf numFmtId="3" fontId="80" fillId="0" borderId="13" xfId="86" applyNumberFormat="1" applyFont="1" applyFill="1" applyBorder="1" applyAlignment="1">
      <alignment horizontal="right" wrapText="1"/>
    </xf>
    <xf numFmtId="3" fontId="81" fillId="0" borderId="13" xfId="67" applyNumberFormat="1" applyFont="1" applyFill="1" applyBorder="1" applyAlignment="1">
      <alignment horizontal="right" wrapText="1"/>
    </xf>
    <xf numFmtId="3" fontId="81" fillId="0" borderId="13" xfId="86" applyNumberFormat="1" applyFont="1" applyFill="1" applyBorder="1" applyAlignment="1">
      <alignment horizontal="right" wrapText="1"/>
    </xf>
    <xf numFmtId="0" fontId="64" fillId="0" borderId="13" xfId="0" applyFont="1" applyFill="1" applyBorder="1" applyAlignment="1">
      <alignment wrapText="1"/>
    </xf>
    <xf numFmtId="3" fontId="64" fillId="0" borderId="13" xfId="130" applyNumberFormat="1" applyFont="1" applyFill="1" applyBorder="1" applyAlignment="1">
      <alignment horizontal="right"/>
    </xf>
    <xf numFmtId="0" fontId="65" fillId="0" borderId="13" xfId="0" applyFont="1" applyFill="1" applyBorder="1" applyAlignment="1">
      <alignment wrapText="1"/>
    </xf>
    <xf numFmtId="0" fontId="41" fillId="51" borderId="13" xfId="86" applyFont="1" applyFill="1" applyBorder="1" applyAlignment="1">
      <alignment horizontal="left" wrapText="1"/>
    </xf>
    <xf numFmtId="3" fontId="41" fillId="51" borderId="13" xfId="86" applyNumberFormat="1" applyFont="1" applyFill="1" applyBorder="1" applyAlignment="1">
      <alignment horizontal="right" wrapText="1"/>
    </xf>
    <xf numFmtId="3" fontId="80" fillId="52" borderId="13" xfId="67" applyNumberFormat="1" applyFont="1" applyFill="1" applyBorder="1" applyAlignment="1">
      <alignment horizontal="right" wrapText="1"/>
    </xf>
    <xf numFmtId="3" fontId="80" fillId="52" borderId="13" xfId="86" applyNumberFormat="1" applyFont="1" applyFill="1" applyBorder="1" applyAlignment="1">
      <alignment horizontal="right" wrapText="1"/>
    </xf>
    <xf numFmtId="0" fontId="82" fillId="52" borderId="13" xfId="116" applyFont="1" applyFill="1" applyBorder="1" applyAlignment="1">
      <alignment horizontal="left" wrapText="1" shrinkToFit="1"/>
    </xf>
    <xf numFmtId="3" fontId="82" fillId="52" borderId="13" xfId="69" applyNumberFormat="1" applyFont="1" applyFill="1" applyBorder="1" applyAlignment="1"/>
    <xf numFmtId="3" fontId="81" fillId="52" borderId="13" xfId="67" applyNumberFormat="1" applyFont="1" applyFill="1" applyBorder="1" applyAlignment="1">
      <alignment horizontal="right" wrapText="1"/>
    </xf>
    <xf numFmtId="3" fontId="81" fillId="52" borderId="13" xfId="69" applyNumberFormat="1" applyFont="1" applyFill="1" applyBorder="1" applyAlignment="1"/>
    <xf numFmtId="3" fontId="10" fillId="0" borderId="13" xfId="67" applyNumberFormat="1" applyFont="1" applyFill="1" applyBorder="1" applyAlignment="1">
      <alignment horizontal="justify" wrapText="1"/>
    </xf>
    <xf numFmtId="3" fontId="10" fillId="0" borderId="13" xfId="67" applyNumberFormat="1" applyFont="1" applyFill="1" applyBorder="1" applyAlignment="1">
      <alignment horizontal="left" wrapText="1"/>
    </xf>
    <xf numFmtId="3" fontId="10" fillId="0" borderId="13" xfId="0" applyNumberFormat="1" applyFont="1" applyFill="1" applyBorder="1" applyAlignment="1">
      <alignment horizontal="left" wrapText="1"/>
    </xf>
    <xf numFmtId="3" fontId="10" fillId="0" borderId="13" xfId="86" applyNumberFormat="1" applyFont="1" applyFill="1" applyBorder="1" applyAlignment="1">
      <alignment horizontal="justify" wrapText="1"/>
    </xf>
    <xf numFmtId="3" fontId="10" fillId="0" borderId="13" xfId="0" applyNumberFormat="1" applyFont="1" applyFill="1" applyBorder="1" applyAlignment="1">
      <alignment horizontal="justify" wrapText="1"/>
    </xf>
    <xf numFmtId="0" fontId="66" fillId="0" borderId="13" xfId="0" applyFont="1" applyFill="1" applyBorder="1" applyAlignment="1">
      <alignment wrapText="1"/>
    </xf>
    <xf numFmtId="3" fontId="82" fillId="0" borderId="13" xfId="67" applyNumberFormat="1" applyFont="1" applyFill="1" applyBorder="1" applyAlignment="1">
      <alignment horizontal="left" wrapText="1"/>
    </xf>
    <xf numFmtId="3" fontId="10" fillId="0" borderId="13" xfId="0" applyNumberFormat="1" applyFont="1" applyFill="1" applyBorder="1" applyAlignment="1">
      <alignment wrapText="1"/>
    </xf>
    <xf numFmtId="3" fontId="10" fillId="0" borderId="13" xfId="81" applyNumberFormat="1" applyFont="1" applyFill="1" applyBorder="1" applyAlignment="1">
      <alignment horizontal="justify" wrapText="1"/>
    </xf>
    <xf numFmtId="3" fontId="10" fillId="0" borderId="13" xfId="0" applyNumberFormat="1" applyFont="1" applyFill="1" applyBorder="1" applyAlignment="1">
      <alignment horizontal="justify"/>
    </xf>
    <xf numFmtId="0" fontId="41" fillId="49" borderId="13" xfId="135" applyNumberFormat="1" applyFont="1" applyFill="1" applyBorder="1" applyAlignment="1">
      <alignment horizontal="left" wrapText="1"/>
    </xf>
    <xf numFmtId="3" fontId="41" fillId="49" borderId="13" xfId="67" applyNumberFormat="1" applyFont="1" applyFill="1" applyBorder="1" applyAlignment="1">
      <alignment wrapText="1"/>
    </xf>
    <xf numFmtId="0" fontId="6" fillId="0" borderId="0" xfId="0" applyFont="1"/>
    <xf numFmtId="0" fontId="7" fillId="0" borderId="13" xfId="93" applyFont="1" applyFill="1" applyBorder="1" applyAlignment="1">
      <alignment horizontal="left" vertical="top"/>
    </xf>
    <xf numFmtId="0" fontId="5" fillId="0" borderId="13" xfId="93" applyFont="1" applyFill="1" applyBorder="1" applyAlignment="1">
      <alignment horizontal="left" vertical="top"/>
    </xf>
    <xf numFmtId="0" fontId="5" fillId="0" borderId="0" xfId="75" applyFont="1" applyFill="1"/>
    <xf numFmtId="3" fontId="42" fillId="0" borderId="0" xfId="67" applyNumberFormat="1" applyFont="1" applyFill="1" applyAlignment="1">
      <alignment horizontal="right" wrapText="1"/>
    </xf>
    <xf numFmtId="0" fontId="83" fillId="0" borderId="13" xfId="0" applyFont="1" applyFill="1" applyBorder="1" applyAlignment="1">
      <alignment wrapText="1"/>
    </xf>
    <xf numFmtId="3" fontId="83" fillId="0" borderId="13" xfId="130" applyNumberFormat="1" applyFont="1" applyFill="1" applyBorder="1" applyAlignment="1">
      <alignment horizontal="right"/>
    </xf>
    <xf numFmtId="3" fontId="6" fillId="0" borderId="0" xfId="0" applyNumberFormat="1" applyFont="1"/>
    <xf numFmtId="3" fontId="84" fillId="0" borderId="13" xfId="86" applyNumberFormat="1" applyFont="1" applyFill="1" applyBorder="1" applyAlignment="1">
      <alignment horizontal="right" wrapText="1"/>
    </xf>
    <xf numFmtId="1" fontId="7" fillId="0" borderId="17" xfId="84" applyNumberFormat="1" applyFont="1" applyBorder="1" applyAlignment="1">
      <alignment horizontal="center" wrapText="1"/>
    </xf>
    <xf numFmtId="1" fontId="12" fillId="0" borderId="17" xfId="72" applyNumberFormat="1" applyFont="1" applyBorder="1" applyAlignment="1">
      <alignment horizontal="center" wrapText="1"/>
    </xf>
    <xf numFmtId="0" fontId="8" fillId="0" borderId="0" xfId="0" applyFont="1" applyBorder="1" applyAlignment="1">
      <alignment horizontal="left" wrapText="1"/>
    </xf>
    <xf numFmtId="3" fontId="38" fillId="0" borderId="13" xfId="0" applyNumberFormat="1" applyFont="1" applyBorder="1" applyAlignment="1"/>
    <xf numFmtId="0" fontId="39" fillId="54" borderId="13" xfId="93" applyNumberFormat="1" applyFont="1" applyFill="1" applyBorder="1" applyAlignment="1">
      <alignment vertical="top" wrapText="1"/>
    </xf>
    <xf numFmtId="0" fontId="39" fillId="0" borderId="13" xfId="93" applyNumberFormat="1" applyFont="1" applyFill="1" applyBorder="1" applyAlignment="1">
      <alignment vertical="top" wrapText="1"/>
    </xf>
    <xf numFmtId="0" fontId="30" fillId="0" borderId="13" xfId="93" applyNumberFormat="1" applyFont="1" applyFill="1" applyBorder="1" applyAlignment="1">
      <alignment vertical="top" wrapText="1"/>
    </xf>
    <xf numFmtId="0" fontId="30" fillId="0" borderId="13" xfId="0" applyNumberFormat="1" applyFont="1" applyFill="1" applyBorder="1" applyAlignment="1">
      <alignment horizontal="left" vertical="top" wrapText="1"/>
    </xf>
    <xf numFmtId="3" fontId="39" fillId="54" borderId="19" xfId="0" applyNumberFormat="1" applyFont="1" applyFill="1" applyBorder="1" applyAlignment="1">
      <alignment horizontal="right"/>
    </xf>
    <xf numFmtId="3" fontId="39" fillId="54" borderId="13" xfId="0" applyNumberFormat="1" applyFont="1" applyFill="1" applyBorder="1" applyAlignment="1"/>
    <xf numFmtId="3" fontId="30" fillId="0" borderId="13" xfId="0" applyNumberFormat="1" applyFont="1" applyBorder="1" applyAlignment="1">
      <alignment horizontal="right"/>
    </xf>
    <xf numFmtId="3" fontId="30" fillId="0" borderId="13" xfId="0" applyNumberFormat="1" applyFont="1" applyFill="1" applyBorder="1" applyAlignment="1"/>
    <xf numFmtId="3" fontId="30" fillId="0" borderId="13" xfId="0" applyNumberFormat="1" applyFont="1" applyFill="1" applyBorder="1" applyAlignment="1">
      <alignment horizontal="right"/>
    </xf>
    <xf numFmtId="0" fontId="30" fillId="0" borderId="13" xfId="0" applyNumberFormat="1" applyFont="1" applyFill="1" applyBorder="1" applyAlignment="1">
      <alignment wrapText="1"/>
    </xf>
    <xf numFmtId="0" fontId="30" fillId="0" borderId="13" xfId="135" applyNumberFormat="1" applyFont="1" applyFill="1" applyBorder="1" applyAlignment="1">
      <alignment wrapText="1" shrinkToFit="1"/>
    </xf>
    <xf numFmtId="3" fontId="30" fillId="0" borderId="19" xfId="0" applyNumberFormat="1" applyFont="1" applyBorder="1" applyAlignment="1">
      <alignment horizontal="right"/>
    </xf>
    <xf numFmtId="3" fontId="39" fillId="54" borderId="13" xfId="0" applyNumberFormat="1" applyFont="1" applyFill="1" applyBorder="1" applyAlignment="1">
      <alignment horizontal="right"/>
    </xf>
    <xf numFmtId="0" fontId="30" fillId="0" borderId="13" xfId="0" applyNumberFormat="1" applyFont="1" applyFill="1" applyBorder="1" applyAlignment="1">
      <alignment vertical="top" wrapText="1"/>
    </xf>
    <xf numFmtId="3" fontId="30" fillId="56" borderId="13" xfId="0" applyNumberFormat="1" applyFont="1" applyFill="1" applyBorder="1" applyAlignment="1">
      <alignment horizontal="right"/>
    </xf>
    <xf numFmtId="3" fontId="39" fillId="0" borderId="13" xfId="0" applyNumberFormat="1" applyFont="1" applyFill="1" applyBorder="1" applyAlignment="1">
      <alignment horizontal="right"/>
    </xf>
    <xf numFmtId="0" fontId="39" fillId="0" borderId="13" xfId="0" applyNumberFormat="1" applyFont="1" applyFill="1" applyBorder="1" applyAlignment="1">
      <alignment wrapText="1"/>
    </xf>
    <xf numFmtId="0" fontId="30" fillId="0" borderId="13" xfId="0" applyNumberFormat="1" applyFont="1" applyBorder="1" applyAlignment="1">
      <alignment wrapText="1"/>
    </xf>
    <xf numFmtId="0" fontId="30" fillId="0" borderId="13" xfId="0" applyNumberFormat="1" applyFont="1" applyBorder="1" applyAlignment="1">
      <alignment vertical="center" wrapText="1"/>
    </xf>
    <xf numFmtId="0" fontId="39" fillId="0" borderId="13" xfId="0" applyNumberFormat="1" applyFont="1" applyFill="1" applyBorder="1" applyAlignment="1">
      <alignment vertical="top" wrapText="1"/>
    </xf>
    <xf numFmtId="3" fontId="39" fillId="0" borderId="13" xfId="0" applyNumberFormat="1" applyFont="1" applyBorder="1" applyAlignment="1">
      <alignment horizontal="right"/>
    </xf>
    <xf numFmtId="0" fontId="30" fillId="0" borderId="13" xfId="0" applyNumberFormat="1" applyFont="1" applyFill="1" applyBorder="1" applyAlignment="1">
      <alignment horizontal="justify" vertical="top" wrapText="1"/>
    </xf>
    <xf numFmtId="0" fontId="39" fillId="53" borderId="13" xfId="0" applyFont="1" applyFill="1" applyBorder="1" applyAlignment="1">
      <alignment vertical="top" wrapText="1"/>
    </xf>
    <xf numFmtId="3" fontId="30" fillId="53" borderId="13" xfId="0" applyNumberFormat="1" applyFont="1" applyFill="1" applyBorder="1" applyAlignment="1"/>
    <xf numFmtId="0" fontId="67" fillId="54" borderId="13" xfId="93" applyNumberFormat="1" applyFont="1" applyFill="1" applyBorder="1" applyAlignment="1">
      <alignment vertical="top" wrapText="1"/>
    </xf>
    <xf numFmtId="0" fontId="67" fillId="0" borderId="13" xfId="93" applyNumberFormat="1" applyFont="1" applyFill="1" applyBorder="1" applyAlignment="1">
      <alignment vertical="top" wrapText="1"/>
    </xf>
    <xf numFmtId="0" fontId="38" fillId="0" borderId="13" xfId="93" applyNumberFormat="1" applyFont="1" applyFill="1" applyBorder="1" applyAlignment="1">
      <alignment vertical="top" wrapText="1"/>
    </xf>
    <xf numFmtId="0" fontId="38" fillId="0" borderId="13" xfId="0" applyNumberFormat="1" applyFont="1" applyFill="1" applyBorder="1" applyAlignment="1">
      <alignment horizontal="left" vertical="top" wrapText="1"/>
    </xf>
    <xf numFmtId="0" fontId="38" fillId="0" borderId="0" xfId="75" applyFont="1" applyAlignment="1"/>
    <xf numFmtId="0" fontId="38" fillId="0" borderId="0" xfId="0" applyFont="1" applyAlignment="1"/>
    <xf numFmtId="0" fontId="5" fillId="54" borderId="13" xfId="93" applyNumberFormat="1" applyFont="1" applyFill="1" applyBorder="1" applyAlignment="1">
      <alignment vertical="top" wrapText="1"/>
    </xf>
    <xf numFmtId="0" fontId="5" fillId="0" borderId="13" xfId="93" applyNumberFormat="1" applyFont="1" applyFill="1" applyBorder="1" applyAlignment="1">
      <alignment vertical="top" wrapText="1"/>
    </xf>
    <xf numFmtId="0" fontId="7" fillId="0" borderId="13" xfId="93" applyNumberFormat="1" applyFont="1" applyFill="1" applyBorder="1" applyAlignment="1">
      <alignment vertical="top" wrapText="1"/>
    </xf>
    <xf numFmtId="0" fontId="7" fillId="0" borderId="13" xfId="93" applyNumberFormat="1" applyFont="1" applyFill="1" applyBorder="1" applyAlignment="1">
      <alignment horizontal="left" vertical="top" wrapText="1"/>
    </xf>
    <xf numFmtId="0" fontId="7" fillId="0" borderId="13" xfId="0" applyNumberFormat="1" applyFont="1" applyFill="1" applyBorder="1" applyAlignment="1">
      <alignment horizontal="center" vertical="top" wrapText="1"/>
    </xf>
    <xf numFmtId="0" fontId="7" fillId="0" borderId="13" xfId="0" applyNumberFormat="1" applyFont="1" applyFill="1" applyBorder="1" applyAlignment="1">
      <alignment horizontal="right" vertical="top" wrapText="1"/>
    </xf>
    <xf numFmtId="0" fontId="7" fillId="0" borderId="13" xfId="68" applyNumberFormat="1" applyFont="1" applyFill="1" applyBorder="1" applyAlignment="1">
      <alignment horizontal="left" vertical="top" wrapText="1"/>
    </xf>
    <xf numFmtId="0" fontId="7" fillId="0" borderId="13" xfId="68" applyNumberFormat="1" applyFont="1" applyFill="1" applyBorder="1" applyAlignment="1">
      <alignment horizontal="center" vertical="top" wrapText="1"/>
    </xf>
    <xf numFmtId="0" fontId="5" fillId="0" borderId="13" xfId="93" applyNumberFormat="1" applyFont="1" applyFill="1" applyBorder="1" applyAlignment="1">
      <alignment horizontal="center" vertical="top" wrapText="1"/>
    </xf>
    <xf numFmtId="0" fontId="7" fillId="0" borderId="13" xfId="93" applyNumberFormat="1" applyFont="1" applyFill="1" applyBorder="1" applyAlignment="1">
      <alignment horizontal="right" vertical="top" wrapText="1"/>
    </xf>
    <xf numFmtId="0" fontId="7" fillId="0" borderId="13" xfId="93" applyNumberFormat="1" applyFont="1" applyFill="1" applyBorder="1" applyAlignment="1">
      <alignment horizontal="center" vertical="top" wrapText="1"/>
    </xf>
    <xf numFmtId="0" fontId="5" fillId="0" borderId="13" xfId="93" applyNumberFormat="1" applyFont="1" applyFill="1" applyBorder="1" applyAlignment="1">
      <alignment horizontal="left" vertical="top" wrapText="1"/>
    </xf>
    <xf numFmtId="0" fontId="7" fillId="0" borderId="13" xfId="0" applyNumberFormat="1" applyFont="1" applyFill="1" applyBorder="1" applyAlignment="1">
      <alignment horizontal="left" vertical="top" wrapText="1"/>
    </xf>
    <xf numFmtId="0" fontId="7" fillId="0" borderId="13" xfId="0" applyNumberFormat="1" applyFont="1" applyFill="1" applyBorder="1" applyAlignment="1">
      <alignment horizontal="center" vertical="center" wrapText="1"/>
    </xf>
    <xf numFmtId="0" fontId="5" fillId="0" borderId="13" xfId="0" applyNumberFormat="1" applyFont="1" applyFill="1" applyBorder="1" applyAlignment="1">
      <alignment horizontal="left" vertical="top" wrapText="1"/>
    </xf>
    <xf numFmtId="0" fontId="7" fillId="0" borderId="13" xfId="93" applyNumberFormat="1" applyFont="1" applyFill="1" applyBorder="1" applyAlignment="1">
      <alignment vertical="top"/>
    </xf>
    <xf numFmtId="3" fontId="7" fillId="53" borderId="13" xfId="0" applyNumberFormat="1" applyFont="1" applyFill="1" applyBorder="1" applyAlignment="1">
      <alignment horizontal="center" wrapText="1" shrinkToFit="1"/>
    </xf>
    <xf numFmtId="0" fontId="5" fillId="57" borderId="13" xfId="93" applyFont="1" applyFill="1" applyBorder="1" applyAlignment="1">
      <alignment vertical="top" wrapText="1"/>
    </xf>
    <xf numFmtId="0" fontId="7" fillId="0" borderId="13" xfId="0" applyFont="1" applyFill="1" applyBorder="1" applyAlignment="1">
      <alignment horizontal="left" vertical="top" wrapText="1"/>
    </xf>
    <xf numFmtId="0" fontId="7" fillId="0" borderId="13" xfId="0" applyFont="1" applyFill="1" applyBorder="1" applyAlignment="1">
      <alignment horizontal="center" vertical="top" wrapText="1"/>
    </xf>
    <xf numFmtId="0" fontId="7" fillId="0" borderId="13" xfId="0" applyFont="1" applyFill="1" applyBorder="1" applyAlignment="1">
      <alignment horizontal="center" vertical="top"/>
    </xf>
    <xf numFmtId="0" fontId="7" fillId="0" borderId="13" xfId="93" applyFont="1" applyFill="1" applyBorder="1" applyAlignment="1">
      <alignment horizontal="left" vertical="top" wrapText="1"/>
    </xf>
    <xf numFmtId="0" fontId="5" fillId="57" borderId="13" xfId="93" applyFont="1" applyFill="1" applyBorder="1" applyAlignment="1">
      <alignment vertical="top"/>
    </xf>
    <xf numFmtId="0" fontId="7" fillId="0" borderId="13" xfId="0" applyFont="1" applyFill="1" applyBorder="1" applyAlignment="1">
      <alignment horizontal="center" vertical="center" wrapText="1"/>
    </xf>
    <xf numFmtId="0" fontId="7" fillId="0" borderId="13" xfId="93" applyFont="1" applyFill="1" applyBorder="1" applyAlignment="1">
      <alignment vertical="top"/>
    </xf>
    <xf numFmtId="168" fontId="7" fillId="0" borderId="13" xfId="0" applyNumberFormat="1" applyFont="1" applyFill="1" applyBorder="1" applyAlignment="1">
      <alignment horizontal="center" vertical="top"/>
    </xf>
    <xf numFmtId="3" fontId="67" fillId="57" borderId="13" xfId="0" applyNumberFormat="1" applyFont="1" applyFill="1" applyBorder="1" applyAlignment="1">
      <alignment horizontal="right"/>
    </xf>
    <xf numFmtId="3" fontId="67" fillId="57" borderId="13" xfId="84" applyNumberFormat="1" applyFont="1" applyFill="1" applyBorder="1"/>
    <xf numFmtId="0" fontId="7" fillId="0" borderId="0" xfId="84" applyFont="1" applyAlignment="1"/>
    <xf numFmtId="3" fontId="30" fillId="0" borderId="13" xfId="0" applyNumberFormat="1" applyFont="1" applyBorder="1" applyAlignment="1"/>
    <xf numFmtId="0" fontId="7" fillId="0" borderId="16" xfId="0" applyFont="1" applyFill="1" applyBorder="1" applyAlignment="1">
      <alignment horizontal="centerContinuous"/>
    </xf>
    <xf numFmtId="0" fontId="7" fillId="0" borderId="16" xfId="0" applyFont="1" applyFill="1" applyBorder="1" applyAlignment="1">
      <alignment wrapText="1"/>
    </xf>
    <xf numFmtId="3" fontId="5" fillId="0" borderId="16" xfId="0" applyNumberFormat="1" applyFont="1" applyFill="1" applyBorder="1" applyAlignment="1"/>
    <xf numFmtId="3" fontId="39" fillId="0" borderId="13" xfId="0" applyNumberFormat="1" applyFont="1" applyFill="1" applyBorder="1" applyAlignment="1"/>
    <xf numFmtId="0" fontId="30" fillId="0" borderId="0" xfId="75" applyFont="1" applyAlignment="1"/>
    <xf numFmtId="0" fontId="30" fillId="0" borderId="0" xfId="75" applyFont="1" applyAlignment="1">
      <alignment wrapText="1"/>
    </xf>
    <xf numFmtId="3" fontId="30" fillId="0" borderId="0" xfId="75" applyNumberFormat="1" applyFont="1" applyAlignment="1"/>
    <xf numFmtId="3" fontId="38" fillId="0" borderId="0" xfId="75" applyNumberFormat="1" applyFont="1" applyAlignment="1"/>
    <xf numFmtId="3" fontId="67" fillId="54" borderId="19" xfId="0" applyNumberFormat="1" applyFont="1" applyFill="1" applyBorder="1" applyAlignment="1">
      <alignment horizontal="right"/>
    </xf>
    <xf numFmtId="3" fontId="67" fillId="54" borderId="13" xfId="0" applyNumberFormat="1" applyFont="1" applyFill="1" applyBorder="1" applyAlignment="1"/>
    <xf numFmtId="3" fontId="38" fillId="0" borderId="13" xfId="0" applyNumberFormat="1" applyFont="1" applyBorder="1" applyAlignment="1">
      <alignment horizontal="right"/>
    </xf>
    <xf numFmtId="3" fontId="38" fillId="0" borderId="13" xfId="0" applyNumberFormat="1" applyFont="1" applyFill="1" applyBorder="1" applyAlignment="1"/>
    <xf numFmtId="3" fontId="38" fillId="0" borderId="13" xfId="0" applyNumberFormat="1" applyFont="1" applyFill="1" applyBorder="1" applyAlignment="1">
      <alignment horizontal="right"/>
    </xf>
    <xf numFmtId="0" fontId="38" fillId="0" borderId="13" xfId="0" applyNumberFormat="1" applyFont="1" applyFill="1" applyBorder="1" applyAlignment="1">
      <alignment wrapText="1"/>
    </xf>
    <xf numFmtId="0" fontId="38" fillId="0" borderId="13" xfId="135" applyNumberFormat="1" applyFont="1" applyFill="1" applyBorder="1" applyAlignment="1">
      <alignment wrapText="1" shrinkToFit="1"/>
    </xf>
    <xf numFmtId="3" fontId="38" fillId="0" borderId="19" xfId="0" applyNumberFormat="1" applyFont="1" applyBorder="1" applyAlignment="1">
      <alignment horizontal="right"/>
    </xf>
    <xf numFmtId="3" fontId="67" fillId="54" borderId="13" xfId="0" applyNumberFormat="1" applyFont="1" applyFill="1" applyBorder="1" applyAlignment="1">
      <alignment horizontal="right"/>
    </xf>
    <xf numFmtId="3" fontId="38" fillId="0" borderId="13" xfId="0" applyNumberFormat="1" applyFont="1" applyFill="1" applyBorder="1" applyAlignment="1">
      <alignment horizontal="center"/>
    </xf>
    <xf numFmtId="3" fontId="38" fillId="0" borderId="13" xfId="0" applyNumberFormat="1" applyFont="1" applyFill="1" applyBorder="1" applyAlignment="1">
      <alignment horizontal="center" wrapText="1"/>
    </xf>
    <xf numFmtId="3" fontId="38" fillId="0" borderId="19" xfId="0" applyNumberFormat="1" applyFont="1" applyFill="1" applyBorder="1" applyAlignment="1">
      <alignment horizontal="center"/>
    </xf>
    <xf numFmtId="0" fontId="38" fillId="0" borderId="13" xfId="0" applyNumberFormat="1" applyFont="1" applyFill="1" applyBorder="1" applyAlignment="1">
      <alignment vertical="top" wrapText="1"/>
    </xf>
    <xf numFmtId="3" fontId="38" fillId="56" borderId="13" xfId="0" applyNumberFormat="1" applyFont="1" applyFill="1" applyBorder="1" applyAlignment="1">
      <alignment horizontal="right"/>
    </xf>
    <xf numFmtId="3" fontId="67" fillId="0" borderId="13" xfId="0" applyNumberFormat="1" applyFont="1" applyFill="1" applyBorder="1" applyAlignment="1">
      <alignment horizontal="right"/>
    </xf>
    <xf numFmtId="0" fontId="67" fillId="0" borderId="13" xfId="0" applyNumberFormat="1" applyFont="1" applyFill="1" applyBorder="1" applyAlignment="1">
      <alignment wrapText="1"/>
    </xf>
    <xf numFmtId="0" fontId="38" fillId="0" borderId="13" xfId="0" applyNumberFormat="1" applyFont="1" applyBorder="1" applyAlignment="1">
      <alignment wrapText="1"/>
    </xf>
    <xf numFmtId="0" fontId="38" fillId="0" borderId="13" xfId="0" applyNumberFormat="1" applyFont="1" applyBorder="1" applyAlignment="1">
      <alignment vertical="center" wrapText="1"/>
    </xf>
    <xf numFmtId="0" fontId="67" fillId="0" borderId="13" xfId="0" applyNumberFormat="1" applyFont="1" applyFill="1" applyBorder="1" applyAlignment="1">
      <alignment vertical="top" wrapText="1"/>
    </xf>
    <xf numFmtId="3" fontId="67" fillId="0" borderId="13" xfId="0" applyNumberFormat="1" applyFont="1" applyBorder="1" applyAlignment="1">
      <alignment horizontal="right"/>
    </xf>
    <xf numFmtId="0" fontId="38" fillId="0" borderId="13" xfId="0" applyNumberFormat="1" applyFont="1" applyFill="1" applyBorder="1" applyAlignment="1">
      <alignment horizontal="justify" vertical="top" wrapText="1"/>
    </xf>
    <xf numFmtId="0" fontId="67" fillId="53" borderId="13" xfId="0" applyFont="1" applyFill="1" applyBorder="1" applyAlignment="1">
      <alignment vertical="top" wrapText="1"/>
    </xf>
    <xf numFmtId="3" fontId="38" fillId="53" borderId="13" xfId="0" applyNumberFormat="1" applyFont="1" applyFill="1" applyBorder="1"/>
    <xf numFmtId="3" fontId="38" fillId="53" borderId="13" xfId="0" applyNumberFormat="1" applyFont="1" applyFill="1" applyBorder="1" applyAlignment="1"/>
    <xf numFmtId="0" fontId="38" fillId="0" borderId="0" xfId="0" applyFont="1" applyAlignment="1">
      <alignment wrapText="1"/>
    </xf>
    <xf numFmtId="3" fontId="38" fillId="0" borderId="0" xfId="0" applyNumberFormat="1" applyFont="1" applyAlignment="1"/>
    <xf numFmtId="3" fontId="39" fillId="54" borderId="19" xfId="0" applyNumberFormat="1" applyFont="1" applyFill="1" applyBorder="1" applyAlignment="1"/>
    <xf numFmtId="3" fontId="30" fillId="0" borderId="19" xfId="0" applyNumberFormat="1" applyFont="1" applyBorder="1" applyAlignment="1"/>
    <xf numFmtId="3" fontId="30" fillId="0" borderId="13" xfId="0" applyNumberFormat="1" applyFont="1" applyFill="1" applyBorder="1" applyAlignment="1">
      <alignment wrapText="1"/>
    </xf>
    <xf numFmtId="3" fontId="30" fillId="0" borderId="19" xfId="0" applyNumberFormat="1" applyFont="1" applyFill="1" applyBorder="1" applyAlignment="1"/>
    <xf numFmtId="3" fontId="30" fillId="56" borderId="13" xfId="0" applyNumberFormat="1" applyFont="1" applyFill="1" applyBorder="1" applyAlignment="1"/>
    <xf numFmtId="3" fontId="39" fillId="0" borderId="13" xfId="0" applyNumberFormat="1" applyFont="1" applyBorder="1" applyAlignment="1"/>
    <xf numFmtId="3" fontId="30" fillId="53" borderId="13" xfId="0" applyNumberFormat="1" applyFont="1" applyFill="1" applyBorder="1" applyAlignment="1">
      <alignment wrapText="1"/>
    </xf>
    <xf numFmtId="3" fontId="67" fillId="54" borderId="19" xfId="0" applyNumberFormat="1" applyFont="1" applyFill="1" applyBorder="1" applyAlignment="1"/>
    <xf numFmtId="3" fontId="38" fillId="0" borderId="19" xfId="0" applyNumberFormat="1" applyFont="1" applyBorder="1" applyAlignment="1"/>
    <xf numFmtId="3" fontId="38" fillId="0" borderId="13" xfId="0" applyNumberFormat="1" applyFont="1" applyFill="1" applyBorder="1" applyAlignment="1">
      <alignment wrapText="1"/>
    </xf>
    <xf numFmtId="3" fontId="38" fillId="0" borderId="19" xfId="0" applyNumberFormat="1" applyFont="1" applyFill="1" applyBorder="1" applyAlignment="1"/>
    <xf numFmtId="3" fontId="38" fillId="56" borderId="13" xfId="0" applyNumberFormat="1" applyFont="1" applyFill="1" applyBorder="1" applyAlignment="1"/>
    <xf numFmtId="3" fontId="67" fillId="0" borderId="13" xfId="0" applyNumberFormat="1" applyFont="1" applyFill="1" applyBorder="1" applyAlignment="1"/>
    <xf numFmtId="3" fontId="67" fillId="0" borderId="13" xfId="0" applyNumberFormat="1" applyFont="1" applyBorder="1" applyAlignment="1"/>
    <xf numFmtId="3" fontId="38" fillId="53" borderId="13" xfId="0" applyNumberFormat="1" applyFont="1" applyFill="1" applyBorder="1" applyAlignment="1">
      <alignment wrapText="1"/>
    </xf>
    <xf numFmtId="0" fontId="38" fillId="0" borderId="13" xfId="0" applyFont="1" applyFill="1" applyBorder="1" applyAlignment="1">
      <alignment wrapText="1"/>
    </xf>
    <xf numFmtId="0" fontId="7" fillId="0" borderId="13" xfId="0" applyFont="1" applyFill="1" applyBorder="1" applyAlignment="1">
      <alignment horizontal="left" vertical="top"/>
    </xf>
    <xf numFmtId="0" fontId="10" fillId="0" borderId="0" xfId="0" applyFont="1" applyAlignment="1">
      <alignment horizontal="left" wrapText="1"/>
    </xf>
    <xf numFmtId="3" fontId="38" fillId="0" borderId="13" xfId="84" applyNumberFormat="1" applyFont="1" applyFill="1" applyBorder="1"/>
    <xf numFmtId="3" fontId="67" fillId="0" borderId="13" xfId="84" applyNumberFormat="1" applyFont="1" applyFill="1" applyBorder="1"/>
    <xf numFmtId="3" fontId="38" fillId="0" borderId="13" xfId="0" applyNumberFormat="1" applyFont="1" applyFill="1" applyBorder="1" applyAlignment="1">
      <alignment horizontal="right" wrapText="1"/>
    </xf>
    <xf numFmtId="3" fontId="39" fillId="0" borderId="19" xfId="0" applyNumberFormat="1" applyFont="1" applyBorder="1" applyAlignment="1"/>
    <xf numFmtId="3" fontId="39" fillId="0" borderId="19" xfId="0" applyNumberFormat="1" applyFont="1" applyBorder="1" applyAlignment="1">
      <alignment horizontal="right"/>
    </xf>
    <xf numFmtId="0" fontId="5" fillId="0" borderId="0" xfId="66" applyFont="1" applyFill="1" applyAlignment="1">
      <alignment wrapText="1"/>
    </xf>
    <xf numFmtId="0" fontId="6" fillId="0" borderId="0" xfId="66" applyFont="1" applyFill="1" applyAlignment="1">
      <alignment wrapText="1"/>
    </xf>
    <xf numFmtId="0" fontId="7" fillId="0" borderId="0" xfId="66" applyFont="1" applyAlignment="1">
      <alignment wrapText="1"/>
    </xf>
    <xf numFmtId="0" fontId="7" fillId="0" borderId="0" xfId="66" applyFont="1"/>
    <xf numFmtId="3" fontId="7" fillId="0" borderId="0" xfId="66" applyNumberFormat="1" applyFont="1" applyFill="1"/>
    <xf numFmtId="0" fontId="5" fillId="0" borderId="0" xfId="66" applyFont="1" applyBorder="1" applyAlignment="1">
      <alignment wrapText="1"/>
    </xf>
    <xf numFmtId="3" fontId="8" fillId="0" borderId="0" xfId="66" applyNumberFormat="1" applyFont="1" applyBorder="1" applyAlignment="1">
      <alignment horizontal="left" wrapText="1"/>
    </xf>
    <xf numFmtId="0" fontId="7" fillId="55" borderId="13" xfId="66" applyNumberFormat="1" applyFont="1" applyFill="1" applyBorder="1" applyAlignment="1">
      <alignment horizontal="center" wrapText="1" shrinkToFit="1"/>
    </xf>
    <xf numFmtId="0" fontId="10" fillId="55" borderId="13" xfId="66" applyNumberFormat="1" applyFont="1" applyFill="1" applyBorder="1" applyAlignment="1">
      <alignment vertical="top" wrapText="1"/>
    </xf>
    <xf numFmtId="3" fontId="30" fillId="55" borderId="13" xfId="66" applyNumberFormat="1" applyFont="1" applyFill="1" applyBorder="1" applyAlignment="1">
      <alignment horizontal="center" wrapText="1"/>
    </xf>
    <xf numFmtId="3" fontId="30" fillId="55" borderId="14" xfId="66" applyNumberFormat="1" applyFont="1" applyFill="1" applyBorder="1" applyAlignment="1"/>
    <xf numFmtId="3" fontId="39" fillId="54" borderId="19" xfId="66" applyNumberFormat="1" applyFont="1" applyFill="1" applyBorder="1" applyAlignment="1"/>
    <xf numFmtId="3" fontId="39" fillId="54" borderId="19" xfId="66" applyNumberFormat="1" applyFont="1" applyFill="1" applyBorder="1" applyAlignment="1">
      <alignment horizontal="right"/>
    </xf>
    <xf numFmtId="3" fontId="39" fillId="54" borderId="13" xfId="66" applyNumberFormat="1" applyFont="1" applyFill="1" applyBorder="1" applyAlignment="1"/>
    <xf numFmtId="3" fontId="30" fillId="0" borderId="13" xfId="66" applyNumberFormat="1" applyFont="1" applyBorder="1" applyAlignment="1"/>
    <xf numFmtId="3" fontId="30" fillId="0" borderId="13" xfId="66" applyNumberFormat="1" applyFont="1" applyBorder="1" applyAlignment="1">
      <alignment horizontal="right"/>
    </xf>
    <xf numFmtId="3" fontId="30" fillId="0" borderId="13" xfId="66" applyNumberFormat="1" applyFont="1" applyFill="1" applyBorder="1" applyAlignment="1"/>
    <xf numFmtId="3" fontId="30" fillId="0" borderId="13" xfId="66" applyNumberFormat="1" applyFont="1" applyFill="1" applyBorder="1" applyAlignment="1">
      <alignment horizontal="right"/>
    </xf>
    <xf numFmtId="0" fontId="7" fillId="0" borderId="13" xfId="66" applyNumberFormat="1" applyFont="1" applyFill="1" applyBorder="1" applyAlignment="1">
      <alignment horizontal="center" vertical="top" wrapText="1"/>
    </xf>
    <xf numFmtId="0" fontId="30" fillId="0" borderId="13" xfId="66" applyNumberFormat="1" applyFont="1" applyFill="1" applyBorder="1" applyAlignment="1">
      <alignment wrapText="1"/>
    </xf>
    <xf numFmtId="0" fontId="7" fillId="0" borderId="13" xfId="66" applyNumberFormat="1" applyFont="1" applyFill="1" applyBorder="1" applyAlignment="1">
      <alignment horizontal="right" vertical="top" wrapText="1"/>
    </xf>
    <xf numFmtId="3" fontId="30" fillId="0" borderId="19" xfId="66" applyNumberFormat="1" applyFont="1" applyBorder="1" applyAlignment="1"/>
    <xf numFmtId="3" fontId="30" fillId="0" borderId="19" xfId="66" applyNumberFormat="1" applyFont="1" applyBorder="1" applyAlignment="1">
      <alignment horizontal="right"/>
    </xf>
    <xf numFmtId="0" fontId="38" fillId="0" borderId="13" xfId="66" applyNumberFormat="1" applyFont="1" applyFill="1" applyBorder="1" applyAlignment="1">
      <alignment wrapText="1"/>
    </xf>
    <xf numFmtId="0" fontId="7" fillId="0" borderId="13" xfId="66" applyFont="1" applyFill="1" applyBorder="1" applyAlignment="1">
      <alignment horizontal="left" vertical="top"/>
    </xf>
    <xf numFmtId="0" fontId="38" fillId="0" borderId="13" xfId="66" applyFont="1" applyFill="1" applyBorder="1" applyAlignment="1">
      <alignment wrapText="1"/>
    </xf>
    <xf numFmtId="0" fontId="7" fillId="0" borderId="13" xfId="66" applyFont="1" applyFill="1" applyBorder="1" applyAlignment="1">
      <alignment horizontal="center" vertical="top"/>
    </xf>
    <xf numFmtId="3" fontId="39" fillId="54" borderId="13" xfId="66" applyNumberFormat="1" applyFont="1" applyFill="1" applyBorder="1" applyAlignment="1">
      <alignment horizontal="right"/>
    </xf>
    <xf numFmtId="3" fontId="30" fillId="0" borderId="13" xfId="66" applyNumberFormat="1" applyFont="1" applyFill="1" applyBorder="1" applyAlignment="1">
      <alignment horizontal="center"/>
    </xf>
    <xf numFmtId="3" fontId="30" fillId="0" borderId="13" xfId="66" applyNumberFormat="1" applyFont="1" applyFill="1" applyBorder="1" applyAlignment="1">
      <alignment wrapText="1"/>
    </xf>
    <xf numFmtId="3" fontId="30" fillId="0" borderId="13" xfId="66" applyNumberFormat="1" applyFont="1" applyFill="1" applyBorder="1" applyAlignment="1">
      <alignment horizontal="center" wrapText="1"/>
    </xf>
    <xf numFmtId="3" fontId="30" fillId="0" borderId="19" xfId="66" applyNumberFormat="1" applyFont="1" applyFill="1" applyBorder="1" applyAlignment="1"/>
    <xf numFmtId="3" fontId="30" fillId="0" borderId="19" xfId="66" applyNumberFormat="1" applyFont="1" applyFill="1" applyBorder="1" applyAlignment="1">
      <alignment horizontal="center"/>
    </xf>
    <xf numFmtId="0" fontId="30" fillId="0" borderId="13" xfId="66" applyNumberFormat="1" applyFont="1" applyFill="1" applyBorder="1" applyAlignment="1">
      <alignment vertical="top" wrapText="1"/>
    </xf>
    <xf numFmtId="0" fontId="30" fillId="0" borderId="13" xfId="66" applyNumberFormat="1" applyFont="1" applyFill="1" applyBorder="1" applyAlignment="1">
      <alignment horizontal="left" vertical="top" wrapText="1"/>
    </xf>
    <xf numFmtId="3" fontId="30" fillId="56" borderId="13" xfId="66" applyNumberFormat="1" applyFont="1" applyFill="1" applyBorder="1" applyAlignment="1"/>
    <xf numFmtId="3" fontId="30" fillId="56" borderId="13" xfId="66" applyNumberFormat="1" applyFont="1" applyFill="1" applyBorder="1" applyAlignment="1">
      <alignment horizontal="right"/>
    </xf>
    <xf numFmtId="3" fontId="39" fillId="0" borderId="13" xfId="66" applyNumberFormat="1" applyFont="1" applyFill="1" applyBorder="1" applyAlignment="1"/>
    <xf numFmtId="3" fontId="39" fillId="0" borderId="13" xfId="66" applyNumberFormat="1" applyFont="1" applyFill="1" applyBorder="1" applyAlignment="1">
      <alignment horizontal="right"/>
    </xf>
    <xf numFmtId="0" fontId="39" fillId="0" borderId="13" xfId="66" applyNumberFormat="1" applyFont="1" applyFill="1" applyBorder="1" applyAlignment="1">
      <alignment wrapText="1"/>
    </xf>
    <xf numFmtId="0" fontId="7" fillId="0" borderId="13" xfId="66" applyNumberFormat="1" applyFont="1" applyFill="1" applyBorder="1" applyAlignment="1">
      <alignment horizontal="left" vertical="top" wrapText="1"/>
    </xf>
    <xf numFmtId="0" fontId="30" fillId="0" borderId="13" xfId="66" applyNumberFormat="1" applyFont="1" applyBorder="1" applyAlignment="1">
      <alignment wrapText="1"/>
    </xf>
    <xf numFmtId="0" fontId="30" fillId="0" borderId="13" xfId="66" applyNumberFormat="1" applyFont="1" applyBorder="1" applyAlignment="1">
      <alignment vertical="center" wrapText="1"/>
    </xf>
    <xf numFmtId="0" fontId="7" fillId="0" borderId="13" xfId="66" applyNumberFormat="1" applyFont="1" applyFill="1" applyBorder="1" applyAlignment="1">
      <alignment horizontal="center" vertical="center" wrapText="1"/>
    </xf>
    <xf numFmtId="0" fontId="39" fillId="0" borderId="13" xfId="66" applyNumberFormat="1" applyFont="1" applyFill="1" applyBorder="1" applyAlignment="1">
      <alignment vertical="top" wrapText="1"/>
    </xf>
    <xf numFmtId="3" fontId="39" fillId="0" borderId="13" xfId="66" applyNumberFormat="1" applyFont="1" applyBorder="1" applyAlignment="1"/>
    <xf numFmtId="3" fontId="39" fillId="0" borderId="13" xfId="66" applyNumberFormat="1" applyFont="1" applyBorder="1" applyAlignment="1">
      <alignment horizontal="right"/>
    </xf>
    <xf numFmtId="0" fontId="5" fillId="0" borderId="13" xfId="66" applyNumberFormat="1" applyFont="1" applyFill="1" applyBorder="1" applyAlignment="1">
      <alignment horizontal="left" vertical="top" wrapText="1"/>
    </xf>
    <xf numFmtId="0" fontId="30" fillId="0" borderId="13" xfId="66" applyNumberFormat="1" applyFont="1" applyFill="1" applyBorder="1" applyAlignment="1">
      <alignment horizontal="justify" vertical="top" wrapText="1"/>
    </xf>
    <xf numFmtId="3" fontId="7" fillId="53" borderId="13" xfId="66" applyNumberFormat="1" applyFont="1" applyFill="1" applyBorder="1" applyAlignment="1">
      <alignment horizontal="center" wrapText="1" shrinkToFit="1"/>
    </xf>
    <xf numFmtId="0" fontId="39" fillId="53" borderId="13" xfId="66" applyFont="1" applyFill="1" applyBorder="1" applyAlignment="1">
      <alignment vertical="top" wrapText="1"/>
    </xf>
    <xf numFmtId="3" fontId="30" fillId="53" borderId="13" xfId="66" applyNumberFormat="1" applyFont="1" applyFill="1" applyBorder="1" applyAlignment="1">
      <alignment wrapText="1"/>
    </xf>
    <xf numFmtId="3" fontId="30" fillId="53" borderId="13" xfId="66" applyNumberFormat="1" applyFont="1" applyFill="1" applyBorder="1"/>
    <xf numFmtId="3" fontId="30" fillId="53" borderId="13" xfId="66" applyNumberFormat="1" applyFont="1" applyFill="1" applyBorder="1" applyAlignment="1"/>
    <xf numFmtId="3" fontId="67" fillId="54" borderId="13" xfId="66" applyNumberFormat="1" applyFont="1" applyFill="1" applyBorder="1" applyAlignment="1"/>
    <xf numFmtId="0" fontId="7" fillId="0" borderId="13" xfId="66" applyFont="1" applyFill="1" applyBorder="1" applyAlignment="1">
      <alignment horizontal="centerContinuous"/>
    </xf>
    <xf numFmtId="0" fontId="30" fillId="0" borderId="13" xfId="66" applyFont="1" applyFill="1" applyBorder="1" applyAlignment="1">
      <alignment wrapText="1"/>
    </xf>
    <xf numFmtId="0" fontId="7" fillId="0" borderId="0" xfId="66" applyFont="1" applyAlignment="1"/>
    <xf numFmtId="3" fontId="7" fillId="0" borderId="0" xfId="66" applyNumberFormat="1" applyFont="1" applyAlignment="1"/>
    <xf numFmtId="0" fontId="12" fillId="0" borderId="0" xfId="66" applyFont="1" applyAlignment="1"/>
    <xf numFmtId="0" fontId="38" fillId="0" borderId="13" xfId="93" applyNumberFormat="1" applyFont="1" applyFill="1" applyBorder="1" applyAlignment="1">
      <alignment horizontal="left" vertical="top" wrapText="1"/>
    </xf>
    <xf numFmtId="0" fontId="38" fillId="0" borderId="13" xfId="0" applyNumberFormat="1" applyFont="1" applyFill="1" applyBorder="1" applyAlignment="1">
      <alignment horizontal="center" vertical="top" wrapText="1"/>
    </xf>
    <xf numFmtId="0" fontId="38" fillId="0" borderId="13" xfId="0" applyNumberFormat="1" applyFont="1" applyFill="1" applyBorder="1" applyAlignment="1">
      <alignment horizontal="right" vertical="top" wrapText="1"/>
    </xf>
    <xf numFmtId="0" fontId="38" fillId="0" borderId="13" xfId="68" applyNumberFormat="1" applyFont="1" applyFill="1" applyBorder="1" applyAlignment="1">
      <alignment horizontal="left" vertical="top" wrapText="1"/>
    </xf>
    <xf numFmtId="0" fontId="38" fillId="0" borderId="13" xfId="68" applyNumberFormat="1" applyFont="1" applyFill="1" applyBorder="1" applyAlignment="1">
      <alignment horizontal="center" vertical="top" wrapText="1"/>
    </xf>
    <xf numFmtId="0" fontId="38" fillId="0" borderId="13" xfId="0" applyFont="1" applyFill="1" applyBorder="1" applyAlignment="1">
      <alignment horizontal="left" vertical="top"/>
    </xf>
    <xf numFmtId="0" fontId="38" fillId="0" borderId="13" xfId="0" applyFont="1" applyFill="1" applyBorder="1" applyAlignment="1">
      <alignment horizontal="center" vertical="top"/>
    </xf>
    <xf numFmtId="0" fontId="67" fillId="0" borderId="13" xfId="93" applyNumberFormat="1" applyFont="1" applyFill="1" applyBorder="1" applyAlignment="1">
      <alignment horizontal="center" vertical="top" wrapText="1"/>
    </xf>
    <xf numFmtId="0" fontId="38" fillId="0" borderId="13" xfId="93" applyNumberFormat="1" applyFont="1" applyFill="1" applyBorder="1" applyAlignment="1">
      <alignment horizontal="right" vertical="top" wrapText="1"/>
    </xf>
    <xf numFmtId="0" fontId="38" fillId="0" borderId="13" xfId="93" applyNumberFormat="1" applyFont="1" applyFill="1" applyBorder="1" applyAlignment="1">
      <alignment horizontal="center" vertical="top" wrapText="1"/>
    </xf>
    <xf numFmtId="0" fontId="67" fillId="0" borderId="13" xfId="93" applyNumberFormat="1" applyFont="1" applyFill="1" applyBorder="1" applyAlignment="1">
      <alignment horizontal="left" vertical="top" wrapText="1"/>
    </xf>
    <xf numFmtId="3" fontId="38" fillId="0" borderId="19" xfId="0" applyNumberFormat="1" applyFont="1" applyFill="1" applyBorder="1" applyAlignment="1">
      <alignment horizontal="right"/>
    </xf>
    <xf numFmtId="0" fontId="38" fillId="0" borderId="13" xfId="0" applyNumberFormat="1" applyFont="1" applyFill="1" applyBorder="1" applyAlignment="1">
      <alignment horizontal="center" vertical="center" wrapText="1"/>
    </xf>
    <xf numFmtId="0" fontId="67" fillId="0" borderId="13" xfId="0" applyNumberFormat="1" applyFont="1" applyFill="1" applyBorder="1" applyAlignment="1">
      <alignment horizontal="left" vertical="top" wrapText="1"/>
    </xf>
    <xf numFmtId="0" fontId="38" fillId="0" borderId="13" xfId="93" applyNumberFormat="1" applyFont="1" applyFill="1" applyBorder="1" applyAlignment="1">
      <alignment vertical="top"/>
    </xf>
    <xf numFmtId="3" fontId="38" fillId="53" borderId="13" xfId="0" applyNumberFormat="1" applyFont="1" applyFill="1" applyBorder="1" applyAlignment="1">
      <alignment horizontal="center" wrapText="1" shrinkToFit="1"/>
    </xf>
    <xf numFmtId="3" fontId="7" fillId="0" borderId="0" xfId="0" applyNumberFormat="1" applyFont="1" applyAlignment="1">
      <alignment wrapText="1"/>
    </xf>
    <xf numFmtId="3" fontId="38" fillId="53" borderId="13" xfId="0" applyNumberFormat="1" applyFont="1" applyFill="1" applyBorder="1" applyAlignment="1">
      <alignment horizontal="right" wrapText="1"/>
    </xf>
    <xf numFmtId="3" fontId="38" fillId="53" borderId="13" xfId="0" applyNumberFormat="1" applyFont="1" applyFill="1" applyBorder="1" applyAlignment="1">
      <alignment horizontal="right"/>
    </xf>
    <xf numFmtId="3" fontId="7" fillId="0" borderId="0" xfId="0" applyNumberFormat="1" applyFont="1" applyAlignment="1">
      <alignment horizontal="right"/>
    </xf>
    <xf numFmtId="3" fontId="38" fillId="0" borderId="0" xfId="0" applyNumberFormat="1" applyFont="1" applyFill="1" applyAlignment="1"/>
    <xf numFmtId="0" fontId="38" fillId="0" borderId="0" xfId="0" applyFont="1" applyFill="1" applyAlignment="1">
      <alignment wrapText="1"/>
    </xf>
    <xf numFmtId="0" fontId="38" fillId="0" borderId="0" xfId="0" applyFont="1" applyAlignment="1">
      <alignment horizontal="center"/>
    </xf>
    <xf numFmtId="3" fontId="67" fillId="58" borderId="13" xfId="0" applyNumberFormat="1" applyFont="1" applyFill="1" applyBorder="1" applyAlignment="1"/>
    <xf numFmtId="3" fontId="30" fillId="59" borderId="13" xfId="0" applyNumberFormat="1" applyFont="1" applyFill="1" applyBorder="1" applyAlignment="1">
      <alignment horizontal="right"/>
    </xf>
    <xf numFmtId="3" fontId="30" fillId="0" borderId="19" xfId="0" applyNumberFormat="1" applyFont="1" applyFill="1" applyBorder="1" applyAlignment="1">
      <alignment horizontal="right"/>
    </xf>
    <xf numFmtId="3" fontId="8" fillId="0" borderId="13" xfId="67" applyNumberFormat="1" applyFont="1" applyFill="1" applyBorder="1" applyAlignment="1">
      <alignment horizontal="left" wrapText="1"/>
    </xf>
    <xf numFmtId="3" fontId="85" fillId="0" borderId="13" xfId="69" applyNumberFormat="1" applyFont="1" applyFill="1" applyBorder="1" applyAlignment="1"/>
    <xf numFmtId="3" fontId="86" fillId="0" borderId="13" xfId="69" applyNumberFormat="1" applyFont="1" applyFill="1" applyBorder="1" applyAlignment="1"/>
    <xf numFmtId="3" fontId="87" fillId="0" borderId="13" xfId="69" applyNumberFormat="1" applyFont="1" applyFill="1" applyBorder="1" applyAlignment="1"/>
    <xf numFmtId="3" fontId="88" fillId="0" borderId="13" xfId="69" applyNumberFormat="1" applyFont="1" applyFill="1" applyBorder="1" applyAlignment="1"/>
    <xf numFmtId="3" fontId="89" fillId="0" borderId="13" xfId="69" applyNumberFormat="1" applyFont="1" applyFill="1" applyBorder="1" applyAlignment="1"/>
    <xf numFmtId="3" fontId="90" fillId="0" borderId="13" xfId="69" applyNumberFormat="1" applyFont="1" applyFill="1" applyBorder="1" applyAlignment="1"/>
    <xf numFmtId="3" fontId="70" fillId="53" borderId="13" xfId="67" applyNumberFormat="1" applyFont="1" applyFill="1" applyBorder="1" applyAlignment="1">
      <alignment wrapText="1"/>
    </xf>
    <xf numFmtId="3" fontId="70" fillId="0" borderId="0" xfId="67" applyNumberFormat="1" applyFont="1" applyFill="1" applyAlignment="1">
      <alignment wrapText="1"/>
    </xf>
    <xf numFmtId="0" fontId="70" fillId="49" borderId="13" xfId="135" applyNumberFormat="1" applyFont="1" applyFill="1" applyBorder="1" applyAlignment="1">
      <alignment horizontal="left" wrapText="1"/>
    </xf>
    <xf numFmtId="3" fontId="71" fillId="0" borderId="0" xfId="67" applyNumberFormat="1" applyFont="1" applyFill="1" applyAlignment="1">
      <alignment wrapText="1"/>
    </xf>
    <xf numFmtId="0" fontId="41" fillId="59" borderId="13" xfId="86" applyFont="1" applyFill="1" applyBorder="1" applyAlignment="1">
      <alignment horizontal="left" wrapText="1"/>
    </xf>
    <xf numFmtId="3" fontId="10" fillId="51" borderId="14" xfId="86" applyNumberFormat="1" applyFont="1" applyFill="1" applyBorder="1" applyAlignment="1">
      <alignment wrapText="1"/>
    </xf>
    <xf numFmtId="3" fontId="41" fillId="51" borderId="14" xfId="67" applyNumberFormat="1" applyFont="1" applyFill="1" applyBorder="1" applyAlignment="1">
      <alignment wrapText="1"/>
    </xf>
    <xf numFmtId="3" fontId="10" fillId="59" borderId="13" xfId="0" applyNumberFormat="1" applyFont="1" applyFill="1" applyBorder="1"/>
    <xf numFmtId="0" fontId="69" fillId="60" borderId="13" xfId="86" applyFont="1" applyFill="1" applyBorder="1" applyAlignment="1">
      <alignment horizontal="left" wrapText="1" indent="1"/>
    </xf>
    <xf numFmtId="3" fontId="35" fillId="59" borderId="13" xfId="0" applyNumberFormat="1" applyFont="1" applyFill="1" applyBorder="1"/>
    <xf numFmtId="0" fontId="8" fillId="0" borderId="0" xfId="66" applyFont="1" applyBorder="1" applyAlignment="1">
      <alignment horizontal="left" wrapText="1"/>
    </xf>
    <xf numFmtId="3" fontId="67" fillId="59" borderId="13" xfId="0" applyNumberFormat="1" applyFont="1" applyFill="1" applyBorder="1" applyAlignment="1"/>
    <xf numFmtId="0" fontId="5" fillId="59" borderId="13" xfId="93" applyNumberFormat="1" applyFont="1" applyFill="1" applyBorder="1" applyAlignment="1">
      <alignment vertical="top" wrapText="1"/>
    </xf>
    <xf numFmtId="0" fontId="67" fillId="59" borderId="13" xfId="93" applyNumberFormat="1" applyFont="1" applyFill="1" applyBorder="1" applyAlignment="1">
      <alignment vertical="top" wrapText="1"/>
    </xf>
    <xf numFmtId="3" fontId="61" fillId="0" borderId="0" xfId="67" applyNumberFormat="1" applyFont="1" applyFill="1" applyBorder="1" applyAlignment="1">
      <alignment wrapText="1"/>
    </xf>
    <xf numFmtId="3" fontId="8" fillId="0" borderId="13" xfId="69" applyNumberFormat="1" applyFont="1" applyFill="1" applyBorder="1" applyAlignment="1"/>
    <xf numFmtId="0" fontId="70" fillId="51" borderId="20" xfId="135" applyNumberFormat="1" applyFont="1" applyFill="1" applyBorder="1" applyAlignment="1">
      <alignment horizontal="left" wrapText="1"/>
    </xf>
    <xf numFmtId="3" fontId="70" fillId="51" borderId="20" xfId="67" applyNumberFormat="1" applyFont="1" applyFill="1" applyBorder="1" applyAlignment="1">
      <alignment wrapText="1"/>
    </xf>
    <xf numFmtId="0" fontId="70" fillId="0" borderId="0" xfId="135" applyNumberFormat="1" applyFont="1" applyFill="1" applyBorder="1" applyAlignment="1">
      <alignment horizontal="left" wrapText="1"/>
    </xf>
    <xf numFmtId="3" fontId="70" fillId="0" borderId="0" xfId="67" applyNumberFormat="1" applyFont="1" applyFill="1" applyBorder="1" applyAlignment="1">
      <alignment wrapText="1"/>
    </xf>
    <xf numFmtId="0" fontId="10" fillId="59" borderId="14" xfId="0" applyFont="1" applyFill="1" applyBorder="1"/>
    <xf numFmtId="3" fontId="10" fillId="59" borderId="14" xfId="0" applyNumberFormat="1" applyFont="1" applyFill="1" applyBorder="1"/>
    <xf numFmtId="0" fontId="70" fillId="59" borderId="20" xfId="135" applyNumberFormat="1" applyFont="1" applyFill="1" applyBorder="1" applyAlignment="1">
      <alignment horizontal="left" wrapText="1"/>
    </xf>
    <xf numFmtId="3" fontId="70" fillId="59" borderId="20" xfId="67" applyNumberFormat="1" applyFont="1" applyFill="1" applyBorder="1" applyAlignment="1">
      <alignment wrapText="1"/>
    </xf>
    <xf numFmtId="0" fontId="41" fillId="49" borderId="14" xfId="135" applyNumberFormat="1" applyFont="1" applyFill="1" applyBorder="1" applyAlignment="1">
      <alignment horizontal="left" wrapText="1"/>
    </xf>
    <xf numFmtId="3" fontId="41" fillId="49" borderId="14" xfId="67" applyNumberFormat="1" applyFont="1" applyFill="1" applyBorder="1" applyAlignment="1">
      <alignment wrapText="1"/>
    </xf>
    <xf numFmtId="3" fontId="70" fillId="53" borderId="20" xfId="67" applyNumberFormat="1" applyFont="1" applyFill="1" applyBorder="1" applyAlignment="1">
      <alignment wrapText="1"/>
    </xf>
    <xf numFmtId="167" fontId="70" fillId="53" borderId="20" xfId="67" applyNumberFormat="1" applyFont="1" applyFill="1" applyBorder="1" applyAlignment="1">
      <alignment wrapText="1"/>
    </xf>
    <xf numFmtId="0" fontId="9" fillId="0" borderId="13" xfId="93" applyNumberFormat="1" applyFont="1" applyFill="1" applyBorder="1" applyAlignment="1">
      <alignment horizontal="left" vertical="top" wrapText="1"/>
    </xf>
    <xf numFmtId="3" fontId="30" fillId="0" borderId="13" xfId="0" applyNumberFormat="1" applyFont="1" applyFill="1" applyBorder="1" applyAlignment="1">
      <alignment horizontal="right" wrapText="1"/>
    </xf>
    <xf numFmtId="3" fontId="41" fillId="0" borderId="0" xfId="67" applyNumberFormat="1" applyFont="1" applyFill="1" applyAlignment="1">
      <alignment wrapText="1"/>
    </xf>
    <xf numFmtId="3" fontId="9" fillId="0" borderId="0" xfId="75" applyNumberFormat="1" applyFont="1" applyFill="1"/>
    <xf numFmtId="0" fontId="38" fillId="0" borderId="0" xfId="0" applyFont="1" applyFill="1" applyAlignment="1"/>
    <xf numFmtId="3" fontId="7" fillId="0" borderId="0" xfId="84" applyNumberFormat="1" applyFont="1"/>
    <xf numFmtId="3" fontId="91" fillId="0" borderId="0" xfId="67" applyNumberFormat="1" applyFont="1" applyFill="1" applyAlignment="1">
      <alignment wrapText="1"/>
    </xf>
    <xf numFmtId="0" fontId="9" fillId="0" borderId="13" xfId="93" applyNumberFormat="1" applyFont="1" applyFill="1" applyBorder="1" applyAlignment="1">
      <alignment vertical="top" wrapText="1"/>
    </xf>
    <xf numFmtId="3" fontId="30" fillId="0" borderId="13" xfId="66" applyNumberFormat="1" applyFont="1" applyFill="1" applyBorder="1" applyAlignment="1">
      <alignment horizontal="right" wrapText="1"/>
    </xf>
    <xf numFmtId="3" fontId="30" fillId="0" borderId="19" xfId="66" applyNumberFormat="1" applyFont="1" applyFill="1" applyBorder="1" applyAlignment="1">
      <alignment horizontal="right"/>
    </xf>
    <xf numFmtId="3" fontId="30" fillId="53" borderId="13" xfId="66" applyNumberFormat="1" applyFont="1" applyFill="1" applyBorder="1" applyAlignment="1">
      <alignment horizontal="right"/>
    </xf>
    <xf numFmtId="0" fontId="38" fillId="0" borderId="13" xfId="84" applyFont="1" applyFill="1" applyBorder="1"/>
    <xf numFmtId="0" fontId="7" fillId="0" borderId="0" xfId="84" applyFont="1" applyFill="1" applyAlignment="1">
      <alignment wrapText="1"/>
    </xf>
    <xf numFmtId="0" fontId="67" fillId="57" borderId="13" xfId="93" applyFont="1" applyFill="1" applyBorder="1" applyAlignment="1">
      <alignment vertical="top" wrapText="1"/>
    </xf>
    <xf numFmtId="0" fontId="67" fillId="0" borderId="13" xfId="93" applyFont="1" applyFill="1" applyBorder="1" applyAlignment="1">
      <alignment vertical="top" wrapText="1"/>
    </xf>
    <xf numFmtId="0" fontId="67" fillId="0" borderId="13" xfId="80" applyFont="1" applyFill="1" applyBorder="1" applyAlignment="1">
      <alignment horizontal="left" vertical="top" wrapText="1"/>
    </xf>
    <xf numFmtId="3" fontId="38" fillId="0" borderId="13" xfId="84" applyNumberFormat="1" applyFont="1" applyBorder="1"/>
    <xf numFmtId="0" fontId="38" fillId="0" borderId="13" xfId="93" applyFont="1" applyFill="1" applyBorder="1" applyAlignment="1">
      <alignment vertical="top" wrapText="1"/>
    </xf>
    <xf numFmtId="0" fontId="38" fillId="0" borderId="13" xfId="0" applyFont="1" applyFill="1" applyBorder="1" applyAlignment="1">
      <alignment vertical="top" wrapText="1"/>
    </xf>
    <xf numFmtId="3" fontId="38" fillId="0" borderId="13" xfId="0" applyNumberFormat="1" applyFont="1" applyBorder="1" applyAlignment="1">
      <alignment horizontal="center"/>
    </xf>
    <xf numFmtId="0" fontId="67" fillId="0" borderId="13" xfId="0" applyFont="1" applyFill="1" applyBorder="1" applyAlignment="1">
      <alignment wrapText="1"/>
    </xf>
    <xf numFmtId="0" fontId="38" fillId="0" borderId="13" xfId="0" applyFont="1" applyBorder="1" applyAlignment="1">
      <alignment wrapText="1"/>
    </xf>
    <xf numFmtId="3" fontId="38" fillId="0" borderId="13" xfId="0" applyNumberFormat="1" applyFont="1" applyFill="1" applyBorder="1" applyAlignment="1" applyProtection="1">
      <alignment horizontal="center"/>
      <protection locked="0"/>
    </xf>
    <xf numFmtId="0" fontId="38" fillId="0" borderId="13" xfId="0" applyFont="1" applyBorder="1" applyAlignment="1">
      <alignment vertical="center" wrapText="1"/>
    </xf>
    <xf numFmtId="49" fontId="67" fillId="0" borderId="13" xfId="0" applyNumberFormat="1" applyFont="1" applyFill="1" applyBorder="1" applyAlignment="1">
      <alignment vertical="top" wrapText="1"/>
    </xf>
    <xf numFmtId="49" fontId="38" fillId="0" borderId="13" xfId="0" applyNumberFormat="1" applyFont="1" applyFill="1" applyBorder="1" applyAlignment="1">
      <alignment vertical="top" wrapText="1"/>
    </xf>
    <xf numFmtId="0" fontId="10" fillId="0" borderId="0" xfId="66" applyFont="1" applyAlignment="1">
      <alignment horizontal="left" wrapText="1"/>
    </xf>
    <xf numFmtId="0" fontId="8" fillId="0" borderId="0" xfId="66" applyFont="1" applyBorder="1" applyAlignment="1">
      <alignment horizontal="left" wrapText="1"/>
    </xf>
    <xf numFmtId="3" fontId="30" fillId="55" borderId="14" xfId="66" applyNumberFormat="1" applyFont="1" applyFill="1" applyBorder="1" applyAlignment="1">
      <alignment horizontal="right"/>
    </xf>
    <xf numFmtId="3" fontId="67" fillId="57" borderId="13" xfId="0" applyNumberFormat="1" applyFont="1" applyFill="1" applyBorder="1" applyAlignment="1"/>
    <xf numFmtId="3" fontId="38" fillId="0" borderId="13" xfId="0" applyNumberFormat="1" applyFont="1" applyFill="1" applyBorder="1" applyAlignment="1">
      <alignment vertical="center"/>
    </xf>
    <xf numFmtId="3" fontId="38" fillId="0" borderId="13" xfId="0" applyNumberFormat="1" applyFont="1" applyFill="1" applyBorder="1" applyAlignment="1" applyProtection="1">
      <alignment vertical="center"/>
      <protection locked="0"/>
    </xf>
    <xf numFmtId="0" fontId="10" fillId="55" borderId="0" xfId="147" applyFont="1" applyFill="1" applyBorder="1" applyAlignment="1">
      <alignment horizontal="centerContinuous"/>
    </xf>
    <xf numFmtId="0" fontId="10" fillId="55" borderId="0" xfId="147" applyFont="1" applyFill="1" applyBorder="1" applyAlignment="1">
      <alignment wrapText="1"/>
    </xf>
    <xf numFmtId="0" fontId="8" fillId="0" borderId="0" xfId="75" applyFont="1" applyAlignment="1"/>
    <xf numFmtId="0" fontId="8" fillId="0" borderId="0" xfId="75" applyFont="1" applyAlignment="1">
      <alignment wrapText="1"/>
    </xf>
    <xf numFmtId="0" fontId="8" fillId="0" borderId="0" xfId="75" applyFont="1" applyAlignment="1">
      <alignment horizontal="center"/>
    </xf>
    <xf numFmtId="0" fontId="94" fillId="0" borderId="0" xfId="75" applyFont="1" applyAlignment="1">
      <alignment wrapText="1"/>
    </xf>
    <xf numFmtId="0" fontId="35" fillId="0" borderId="0" xfId="75" applyFont="1" applyAlignment="1">
      <alignment horizontal="right"/>
    </xf>
    <xf numFmtId="0" fontId="35" fillId="0" borderId="0" xfId="75" applyFont="1" applyAlignment="1">
      <alignment wrapText="1"/>
    </xf>
    <xf numFmtId="0" fontId="35" fillId="0" borderId="0" xfId="75" applyFont="1" applyAlignment="1"/>
    <xf numFmtId="0" fontId="35" fillId="0" borderId="0" xfId="75" applyFont="1" applyAlignment="1">
      <alignment horizontal="center"/>
    </xf>
    <xf numFmtId="168" fontId="7" fillId="53" borderId="14" xfId="0" applyNumberFormat="1" applyFont="1" applyFill="1" applyBorder="1" applyAlignment="1">
      <alignment horizontal="centerContinuous" vertical="top" wrapText="1"/>
    </xf>
    <xf numFmtId="0" fontId="67" fillId="53" borderId="14" xfId="0" applyFont="1" applyFill="1" applyBorder="1" applyAlignment="1">
      <alignment vertical="top" wrapText="1"/>
    </xf>
    <xf numFmtId="3" fontId="38" fillId="53" borderId="14" xfId="0" applyNumberFormat="1" applyFont="1" applyFill="1" applyBorder="1" applyAlignment="1">
      <alignment horizontal="center"/>
    </xf>
    <xf numFmtId="3" fontId="38" fillId="53" borderId="14" xfId="0" applyNumberFormat="1" applyFont="1" applyFill="1" applyBorder="1" applyAlignment="1">
      <alignment horizontal="right"/>
    </xf>
    <xf numFmtId="3" fontId="67" fillId="53" borderId="14" xfId="84" applyNumberFormat="1" applyFont="1" applyFill="1" applyBorder="1"/>
    <xf numFmtId="0" fontId="39" fillId="53" borderId="14" xfId="89" applyFont="1" applyFill="1" applyBorder="1"/>
    <xf numFmtId="0" fontId="35" fillId="55" borderId="14" xfId="0" applyFont="1" applyFill="1" applyBorder="1" applyAlignment="1"/>
    <xf numFmtId="164" fontId="8" fillId="55" borderId="13" xfId="78" applyNumberFormat="1" applyFont="1" applyFill="1" applyBorder="1" applyAlignment="1">
      <alignment wrapText="1"/>
    </xf>
    <xf numFmtId="3" fontId="35" fillId="55" borderId="14" xfId="0" applyNumberFormat="1" applyFont="1" applyFill="1" applyBorder="1" applyAlignment="1"/>
    <xf numFmtId="0" fontId="7" fillId="55" borderId="14" xfId="0" applyFont="1" applyFill="1" applyBorder="1" applyAlignment="1"/>
    <xf numFmtId="164" fontId="8" fillId="55" borderId="14" xfId="79" applyNumberFormat="1" applyFont="1" applyFill="1" applyBorder="1" applyAlignment="1">
      <alignment wrapText="1"/>
    </xf>
    <xf numFmtId="164" fontId="8" fillId="55" borderId="15" xfId="78" applyNumberFormat="1" applyFont="1" applyFill="1" applyBorder="1" applyAlignment="1">
      <alignment wrapText="1"/>
    </xf>
    <xf numFmtId="3" fontId="38" fillId="55" borderId="14" xfId="0" applyNumberFormat="1" applyFont="1" applyFill="1" applyBorder="1" applyAlignment="1"/>
    <xf numFmtId="164" fontId="8" fillId="55" borderId="14" xfId="78" applyNumberFormat="1" applyFont="1" applyFill="1" applyBorder="1" applyAlignment="1">
      <alignment wrapText="1"/>
    </xf>
    <xf numFmtId="3" fontId="35" fillId="55" borderId="14" xfId="0" applyNumberFormat="1" applyFont="1" applyFill="1" applyBorder="1" applyAlignment="1">
      <alignment horizontal="right"/>
    </xf>
    <xf numFmtId="0" fontId="7" fillId="55" borderId="14" xfId="70" applyFont="1" applyFill="1" applyBorder="1" applyAlignment="1"/>
    <xf numFmtId="3" fontId="35" fillId="55" borderId="14" xfId="70" applyNumberFormat="1" applyFont="1" applyFill="1" applyBorder="1" applyAlignment="1"/>
    <xf numFmtId="164" fontId="36" fillId="55" borderId="14" xfId="78" applyNumberFormat="1" applyFont="1" applyFill="1" applyBorder="1" applyAlignment="1">
      <alignment wrapText="1"/>
    </xf>
    <xf numFmtId="0" fontId="38" fillId="55" borderId="14" xfId="0" applyFont="1" applyFill="1" applyBorder="1" applyAlignment="1"/>
    <xf numFmtId="164" fontId="67" fillId="55" borderId="14" xfId="79" applyNumberFormat="1" applyFont="1" applyFill="1" applyBorder="1" applyAlignment="1">
      <alignment wrapText="1"/>
    </xf>
    <xf numFmtId="3" fontId="38" fillId="55" borderId="14" xfId="0" applyNumberFormat="1" applyFont="1" applyFill="1" applyBorder="1" applyAlignment="1">
      <alignment horizontal="right"/>
    </xf>
    <xf numFmtId="164" fontId="67" fillId="55" borderId="14" xfId="78" applyNumberFormat="1" applyFont="1" applyFill="1" applyBorder="1" applyAlignment="1">
      <alignment wrapText="1"/>
    </xf>
    <xf numFmtId="3" fontId="38" fillId="55" borderId="14" xfId="0" applyNumberFormat="1" applyFont="1" applyFill="1" applyBorder="1" applyAlignment="1">
      <alignment horizontal="center"/>
    </xf>
    <xf numFmtId="3" fontId="60" fillId="51" borderId="14" xfId="67" applyNumberFormat="1" applyFont="1" applyFill="1" applyBorder="1" applyAlignment="1">
      <alignment wrapText="1"/>
    </xf>
    <xf numFmtId="3" fontId="67" fillId="54" borderId="13" xfId="66" applyNumberFormat="1" applyFont="1" applyFill="1" applyBorder="1" applyAlignment="1">
      <alignment horizontal="right"/>
    </xf>
    <xf numFmtId="3" fontId="38" fillId="0" borderId="13" xfId="66" applyNumberFormat="1" applyFont="1" applyFill="1" applyBorder="1" applyAlignment="1">
      <alignment horizontal="right"/>
    </xf>
    <xf numFmtId="3" fontId="35" fillId="0" borderId="0" xfId="75" applyNumberFormat="1" applyFont="1" applyAlignment="1"/>
    <xf numFmtId="0" fontId="8" fillId="0" borderId="0" xfId="75" applyFont="1" applyBorder="1" applyAlignment="1">
      <alignment horizontal="right"/>
    </xf>
    <xf numFmtId="0" fontId="8" fillId="0" borderId="0" xfId="93" applyNumberFormat="1" applyFont="1" applyFill="1" applyBorder="1" applyAlignment="1">
      <alignment vertical="top" wrapText="1"/>
    </xf>
    <xf numFmtId="3" fontId="8" fillId="0" borderId="0" xfId="75" applyNumberFormat="1" applyFont="1" applyBorder="1" applyAlignment="1"/>
    <xf numFmtId="0" fontId="8" fillId="0" borderId="0" xfId="75" applyFont="1" applyBorder="1" applyAlignment="1"/>
    <xf numFmtId="3" fontId="8" fillId="0" borderId="0" xfId="75" applyNumberFormat="1" applyFont="1" applyAlignment="1"/>
    <xf numFmtId="0" fontId="35" fillId="0" borderId="0" xfId="75" applyFont="1" applyBorder="1" applyAlignment="1">
      <alignment horizontal="right"/>
    </xf>
    <xf numFmtId="0" fontId="35" fillId="0" borderId="0" xfId="93" applyNumberFormat="1" applyFont="1" applyFill="1" applyBorder="1" applyAlignment="1">
      <alignment vertical="top" wrapText="1"/>
    </xf>
    <xf numFmtId="3" fontId="35" fillId="0" borderId="0" xfId="75" applyNumberFormat="1" applyFont="1" applyBorder="1" applyAlignment="1"/>
    <xf numFmtId="0" fontId="35" fillId="0" borderId="0" xfId="75" applyFont="1" applyBorder="1" applyAlignment="1"/>
    <xf numFmtId="0" fontId="8" fillId="0" borderId="0" xfId="75" applyFont="1" applyAlignment="1">
      <alignment horizontal="right"/>
    </xf>
    <xf numFmtId="0" fontId="35" fillId="0" borderId="0" xfId="0" applyNumberFormat="1" applyFont="1" applyFill="1" applyBorder="1" applyAlignment="1">
      <alignment wrapText="1"/>
    </xf>
    <xf numFmtId="0" fontId="35" fillId="0" borderId="0" xfId="0" applyNumberFormat="1" applyFont="1" applyFill="1" applyBorder="1" applyAlignment="1">
      <alignment vertical="top" wrapText="1"/>
    </xf>
    <xf numFmtId="0" fontId="35" fillId="0" borderId="0" xfId="75" applyFont="1" applyFill="1" applyAlignment="1">
      <alignment wrapText="1"/>
    </xf>
    <xf numFmtId="0" fontId="35" fillId="0" borderId="0" xfId="0" applyFont="1" applyAlignment="1"/>
    <xf numFmtId="0" fontId="35" fillId="0" borderId="0" xfId="0" applyFont="1" applyAlignment="1">
      <alignment wrapText="1"/>
    </xf>
    <xf numFmtId="3" fontId="35" fillId="0" borderId="0" xfId="0" applyNumberFormat="1" applyFont="1" applyAlignment="1"/>
    <xf numFmtId="3" fontId="5" fillId="0" borderId="0" xfId="66" applyNumberFormat="1" applyFont="1" applyFill="1" applyAlignment="1">
      <alignment wrapText="1"/>
    </xf>
    <xf numFmtId="3" fontId="10" fillId="0" borderId="0" xfId="66" applyNumberFormat="1" applyFont="1" applyAlignment="1">
      <alignment horizontal="left" wrapText="1"/>
    </xf>
    <xf numFmtId="3" fontId="96" fillId="0" borderId="0" xfId="75" applyNumberFormat="1" applyFont="1" applyAlignment="1"/>
    <xf numFmtId="0" fontId="10" fillId="0" borderId="0" xfId="75" applyFont="1" applyAlignment="1">
      <alignment horizontal="center"/>
    </xf>
    <xf numFmtId="0" fontId="35" fillId="0" borderId="0" xfId="75" applyFont="1" applyAlignment="1">
      <alignment horizontal="right" vertical="top"/>
    </xf>
    <xf numFmtId="0" fontId="35" fillId="0" borderId="0" xfId="75" applyFont="1" applyAlignment="1">
      <alignment horizontal="left" vertical="top" wrapText="1"/>
    </xf>
    <xf numFmtId="0" fontId="35" fillId="0" borderId="0" xfId="75" applyFont="1" applyAlignment="1">
      <alignment vertical="top" wrapText="1"/>
    </xf>
    <xf numFmtId="0" fontId="7" fillId="55" borderId="14" xfId="66" applyFont="1" applyFill="1" applyBorder="1" applyAlignment="1"/>
    <xf numFmtId="3" fontId="35" fillId="55" borderId="14" xfId="66" applyNumberFormat="1" applyFont="1" applyFill="1" applyBorder="1" applyAlignment="1"/>
    <xf numFmtId="3" fontId="67" fillId="54" borderId="19" xfId="66" applyNumberFormat="1" applyFont="1" applyFill="1" applyBorder="1" applyAlignment="1"/>
    <xf numFmtId="3" fontId="67" fillId="54" borderId="19" xfId="66" applyNumberFormat="1" applyFont="1" applyFill="1" applyBorder="1" applyAlignment="1">
      <alignment horizontal="right"/>
    </xf>
    <xf numFmtId="3" fontId="38" fillId="0" borderId="13" xfId="66" applyNumberFormat="1" applyFont="1" applyBorder="1" applyAlignment="1">
      <alignment horizontal="right"/>
    </xf>
    <xf numFmtId="3" fontId="38" fillId="0" borderId="13" xfId="66" applyNumberFormat="1" applyFont="1" applyFill="1" applyBorder="1" applyAlignment="1"/>
    <xf numFmtId="3" fontId="38" fillId="0" borderId="19" xfId="66" applyNumberFormat="1" applyFont="1" applyBorder="1" applyAlignment="1"/>
    <xf numFmtId="3" fontId="38" fillId="0" borderId="19" xfId="66" applyNumberFormat="1" applyFont="1" applyBorder="1" applyAlignment="1">
      <alignment horizontal="right"/>
    </xf>
    <xf numFmtId="3" fontId="38" fillId="0" borderId="13" xfId="66" applyNumberFormat="1" applyFont="1" applyFill="1" applyBorder="1" applyAlignment="1">
      <alignment horizontal="center"/>
    </xf>
    <xf numFmtId="3" fontId="38" fillId="0" borderId="13" xfId="66" applyNumberFormat="1" applyFont="1" applyFill="1" applyBorder="1" applyAlignment="1">
      <alignment horizontal="right" wrapText="1"/>
    </xf>
    <xf numFmtId="3" fontId="38" fillId="0" borderId="19" xfId="66" applyNumberFormat="1" applyFont="1" applyFill="1" applyBorder="1" applyAlignment="1"/>
    <xf numFmtId="3" fontId="38" fillId="0" borderId="19" xfId="66" applyNumberFormat="1" applyFont="1" applyFill="1" applyBorder="1" applyAlignment="1">
      <alignment horizontal="center"/>
    </xf>
    <xf numFmtId="0" fontId="38" fillId="0" borderId="13" xfId="66" applyNumberFormat="1" applyFont="1" applyFill="1" applyBorder="1" applyAlignment="1">
      <alignment vertical="top" wrapText="1"/>
    </xf>
    <xf numFmtId="0" fontId="38" fillId="0" borderId="13" xfId="66" applyNumberFormat="1" applyFont="1" applyFill="1" applyBorder="1" applyAlignment="1">
      <alignment horizontal="left" vertical="top" wrapText="1"/>
    </xf>
    <xf numFmtId="3" fontId="38" fillId="56" borderId="13" xfId="66" applyNumberFormat="1" applyFont="1" applyFill="1" applyBorder="1" applyAlignment="1">
      <alignment horizontal="right"/>
    </xf>
    <xf numFmtId="3" fontId="67" fillId="0" borderId="13" xfId="66" applyNumberFormat="1" applyFont="1" applyFill="1" applyBorder="1" applyAlignment="1"/>
    <xf numFmtId="3" fontId="67" fillId="0" borderId="13" xfId="66" applyNumberFormat="1" applyFont="1" applyFill="1" applyBorder="1" applyAlignment="1">
      <alignment horizontal="right"/>
    </xf>
    <xf numFmtId="0" fontId="67" fillId="0" borderId="13" xfId="66" applyNumberFormat="1" applyFont="1" applyFill="1" applyBorder="1" applyAlignment="1">
      <alignment wrapText="1"/>
    </xf>
    <xf numFmtId="0" fontId="38" fillId="0" borderId="13" xfId="66" applyNumberFormat="1" applyFont="1" applyBorder="1" applyAlignment="1">
      <alignment wrapText="1"/>
    </xf>
    <xf numFmtId="0" fontId="38" fillId="0" borderId="13" xfId="66" applyNumberFormat="1" applyFont="1" applyBorder="1" applyAlignment="1">
      <alignment vertical="center" wrapText="1"/>
    </xf>
    <xf numFmtId="0" fontId="67" fillId="0" borderId="13" xfId="66" applyNumberFormat="1" applyFont="1" applyFill="1" applyBorder="1" applyAlignment="1">
      <alignment vertical="top" wrapText="1"/>
    </xf>
    <xf numFmtId="3" fontId="67" fillId="0" borderId="13" xfId="66" applyNumberFormat="1" applyFont="1" applyBorder="1" applyAlignment="1">
      <alignment horizontal="right"/>
    </xf>
    <xf numFmtId="0" fontId="38" fillId="0" borderId="13" xfId="66" applyNumberFormat="1" applyFont="1" applyFill="1" applyBorder="1" applyAlignment="1">
      <alignment horizontal="justify" vertical="top" wrapText="1"/>
    </xf>
    <xf numFmtId="3" fontId="38" fillId="53" borderId="13" xfId="66" applyNumberFormat="1" applyFont="1" applyFill="1" applyBorder="1"/>
    <xf numFmtId="0" fontId="35" fillId="61" borderId="0" xfId="75" applyFont="1" applyFill="1" applyAlignment="1">
      <alignment wrapText="1"/>
    </xf>
    <xf numFmtId="0" fontId="35" fillId="0" borderId="0" xfId="93" applyNumberFormat="1" applyFont="1" applyFill="1" applyBorder="1" applyAlignment="1">
      <alignment horizontal="left" vertical="top" wrapText="1"/>
    </xf>
    <xf numFmtId="0" fontId="35" fillId="0" borderId="0" xfId="93" applyNumberFormat="1" applyFont="1" applyFill="1" applyBorder="1" applyAlignment="1">
      <alignment horizontal="center" vertical="top" wrapText="1"/>
    </xf>
    <xf numFmtId="0" fontId="35" fillId="0" borderId="0" xfId="75" applyFont="1" applyAlignment="1">
      <alignment horizontal="right" vertical="center"/>
    </xf>
    <xf numFmtId="0" fontId="39" fillId="62" borderId="0" xfId="75" applyFont="1" applyFill="1" applyAlignment="1">
      <alignment horizontal="justify" vertical="top" wrapText="1"/>
    </xf>
    <xf numFmtId="3" fontId="39" fillId="0" borderId="0" xfId="75" applyNumberFormat="1" applyFont="1" applyFill="1" applyAlignment="1"/>
    <xf numFmtId="0" fontId="35" fillId="0" borderId="0" xfId="75" applyFont="1" applyFill="1" applyAlignment="1">
      <alignment horizontal="right"/>
    </xf>
    <xf numFmtId="0" fontId="39" fillId="0" borderId="0" xfId="75" applyFont="1" applyFill="1" applyAlignment="1">
      <alignment horizontal="justify" vertical="top" wrapText="1"/>
    </xf>
    <xf numFmtId="3" fontId="30" fillId="0" borderId="0" xfId="75" applyNumberFormat="1" applyFont="1" applyFill="1" applyAlignment="1"/>
    <xf numFmtId="0" fontId="30" fillId="0" borderId="0" xfId="75" applyFont="1" applyFill="1" applyAlignment="1"/>
    <xf numFmtId="0" fontId="30" fillId="0" borderId="0" xfId="75" applyFont="1" applyFill="1" applyAlignment="1">
      <alignment horizontal="justify" vertical="top" wrapText="1"/>
    </xf>
    <xf numFmtId="0" fontId="35" fillId="0" borderId="0" xfId="75" applyFont="1" applyFill="1" applyAlignment="1">
      <alignment horizontal="justify" vertical="top" wrapText="1"/>
    </xf>
    <xf numFmtId="0" fontId="39" fillId="0" borderId="0" xfId="75" applyFont="1" applyFill="1" applyAlignment="1"/>
    <xf numFmtId="0" fontId="38" fillId="0" borderId="0" xfId="75" applyFont="1" applyFill="1" applyAlignment="1">
      <alignment horizontal="right" vertical="center"/>
    </xf>
    <xf numFmtId="0" fontId="38" fillId="0" borderId="0" xfId="75" applyFont="1" applyFill="1" applyAlignment="1">
      <alignment horizontal="right"/>
    </xf>
    <xf numFmtId="0" fontId="38" fillId="0" borderId="0" xfId="75" applyFont="1" applyFill="1" applyAlignment="1">
      <alignment horizontal="justify" vertical="top" wrapText="1"/>
    </xf>
    <xf numFmtId="3" fontId="30" fillId="0" borderId="0" xfId="75" applyNumberFormat="1" applyFont="1" applyBorder="1" applyAlignment="1"/>
    <xf numFmtId="0" fontId="30" fillId="0" borderId="0" xfId="75" applyFont="1" applyBorder="1" applyAlignment="1"/>
    <xf numFmtId="0" fontId="30" fillId="0" borderId="0" xfId="93" applyNumberFormat="1" applyFont="1" applyFill="1" applyBorder="1" applyAlignment="1">
      <alignment vertical="top" wrapText="1"/>
    </xf>
    <xf numFmtId="3" fontId="30" fillId="0" borderId="0" xfId="66" applyNumberFormat="1" applyFont="1" applyFill="1" applyBorder="1" applyAlignment="1">
      <alignment horizontal="center"/>
    </xf>
    <xf numFmtId="3" fontId="30" fillId="0" borderId="0" xfId="66" applyNumberFormat="1" applyFont="1" applyFill="1" applyBorder="1" applyAlignment="1"/>
    <xf numFmtId="3" fontId="30" fillId="0" borderId="0" xfId="66" applyNumberFormat="1" applyFont="1" applyFill="1" applyBorder="1" applyAlignment="1">
      <alignment horizontal="right"/>
    </xf>
    <xf numFmtId="0" fontId="35" fillId="0" borderId="0" xfId="75" applyFont="1" applyBorder="1" applyAlignment="1">
      <alignment wrapText="1"/>
    </xf>
    <xf numFmtId="3" fontId="36" fillId="0" borderId="0" xfId="67" applyNumberFormat="1" applyFont="1" applyFill="1" applyAlignment="1">
      <alignment wrapText="1"/>
    </xf>
    <xf numFmtId="0" fontId="8" fillId="0" borderId="0" xfId="75" applyFont="1" applyBorder="1" applyAlignment="1">
      <alignment wrapText="1"/>
    </xf>
    <xf numFmtId="0" fontId="12" fillId="0" borderId="0" xfId="93" applyNumberFormat="1" applyFont="1" applyFill="1" applyBorder="1" applyAlignment="1">
      <alignment horizontal="left" vertical="top" wrapText="1"/>
    </xf>
    <xf numFmtId="3" fontId="38" fillId="0" borderId="0" xfId="75" applyNumberFormat="1" applyFont="1" applyFill="1" applyAlignment="1"/>
    <xf numFmtId="0" fontId="38" fillId="0" borderId="0" xfId="75" applyFont="1" applyFill="1" applyAlignment="1"/>
    <xf numFmtId="0" fontId="8" fillId="0" borderId="0" xfId="75" applyFont="1" applyAlignment="1">
      <alignment horizontal="left" vertical="top" wrapText="1"/>
    </xf>
    <xf numFmtId="3" fontId="6" fillId="0" borderId="0" xfId="75" applyNumberFormat="1" applyFont="1" applyAlignment="1"/>
    <xf numFmtId="0" fontId="6" fillId="0" borderId="0" xfId="75" applyFont="1" applyAlignment="1"/>
    <xf numFmtId="0" fontId="8" fillId="0" borderId="0" xfId="75" applyFont="1" applyAlignment="1">
      <alignment vertical="top" wrapText="1"/>
    </xf>
    <xf numFmtId="3" fontId="6" fillId="0" borderId="0" xfId="75" applyNumberFormat="1" applyFont="1" applyAlignment="1">
      <alignment horizontal="right"/>
    </xf>
    <xf numFmtId="0" fontId="6" fillId="0" borderId="0" xfId="75" applyFont="1" applyAlignment="1">
      <alignment horizontal="right"/>
    </xf>
    <xf numFmtId="3" fontId="42" fillId="54" borderId="0" xfId="67" applyNumberFormat="1" applyFont="1" applyFill="1" applyAlignment="1">
      <alignment wrapText="1"/>
    </xf>
    <xf numFmtId="0" fontId="35" fillId="0" borderId="0" xfId="75" applyFont="1" applyFill="1" applyAlignment="1">
      <alignment horizontal="center"/>
    </xf>
    <xf numFmtId="0" fontId="94" fillId="0" borderId="0" xfId="75" applyFont="1" applyFill="1" applyAlignment="1">
      <alignment wrapText="1"/>
    </xf>
    <xf numFmtId="0" fontId="8" fillId="54" borderId="0" xfId="75" applyFont="1" applyFill="1" applyAlignment="1">
      <alignment wrapText="1"/>
    </xf>
    <xf numFmtId="3" fontId="6" fillId="0" borderId="0" xfId="75" applyNumberFormat="1" applyFont="1" applyBorder="1" applyAlignment="1"/>
    <xf numFmtId="0" fontId="6" fillId="0" borderId="0" xfId="75" applyFont="1" applyBorder="1" applyAlignment="1"/>
    <xf numFmtId="3" fontId="35" fillId="0" borderId="0" xfId="75" applyNumberFormat="1" applyFont="1" applyFill="1" applyAlignment="1"/>
    <xf numFmtId="0" fontId="67" fillId="53" borderId="13" xfId="0" applyFont="1" applyFill="1" applyBorder="1" applyAlignment="1">
      <alignment vertical="center" wrapText="1"/>
    </xf>
    <xf numFmtId="3" fontId="30" fillId="0" borderId="0" xfId="0" applyNumberFormat="1" applyFont="1" applyFill="1" applyBorder="1" applyAlignment="1"/>
    <xf numFmtId="0" fontId="35" fillId="0" borderId="0" xfId="75" applyFont="1" applyFill="1" applyBorder="1" applyAlignment="1">
      <alignment horizontal="right"/>
    </xf>
    <xf numFmtId="0" fontId="35" fillId="0" borderId="0" xfId="75" applyFont="1" applyFill="1" applyBorder="1" applyAlignment="1">
      <alignment vertical="center" wrapText="1"/>
    </xf>
    <xf numFmtId="0" fontId="35" fillId="0" borderId="0" xfId="75" applyFont="1" applyFill="1" applyAlignment="1"/>
    <xf numFmtId="3" fontId="5" fillId="0" borderId="0" xfId="75" applyNumberFormat="1" applyFont="1" applyFill="1"/>
    <xf numFmtId="3" fontId="84" fillId="52" borderId="13" xfId="86" applyNumberFormat="1" applyFont="1" applyFill="1" applyBorder="1" applyAlignment="1">
      <alignment horizontal="right" wrapText="1"/>
    </xf>
    <xf numFmtId="3" fontId="81" fillId="52" borderId="13" xfId="86" applyNumberFormat="1" applyFont="1" applyFill="1" applyBorder="1" applyAlignment="1">
      <alignment horizontal="right" wrapText="1"/>
    </xf>
    <xf numFmtId="3" fontId="64" fillId="52" borderId="13" xfId="130" applyNumberFormat="1" applyFont="1" applyFill="1" applyBorder="1" applyAlignment="1">
      <alignment horizontal="right"/>
    </xf>
    <xf numFmtId="3" fontId="83" fillId="52" borderId="13" xfId="130" applyNumberFormat="1" applyFont="1" applyFill="1" applyBorder="1" applyAlignment="1">
      <alignment horizontal="right"/>
    </xf>
    <xf numFmtId="3" fontId="80" fillId="52" borderId="13" xfId="69" applyNumberFormat="1" applyFont="1" applyFill="1" applyBorder="1" applyAlignment="1"/>
    <xf numFmtId="3" fontId="8" fillId="52" borderId="13" xfId="69" applyNumberFormat="1" applyFont="1" applyFill="1" applyBorder="1" applyAlignment="1"/>
    <xf numFmtId="3" fontId="85" fillId="52" borderId="13" xfId="69" applyNumberFormat="1" applyFont="1" applyFill="1" applyBorder="1" applyAlignment="1"/>
    <xf numFmtId="3" fontId="87" fillId="52" borderId="13" xfId="69" applyNumberFormat="1" applyFont="1" applyFill="1" applyBorder="1" applyAlignment="1"/>
    <xf numFmtId="3" fontId="89" fillId="52" borderId="13" xfId="69" applyNumberFormat="1" applyFont="1" applyFill="1" applyBorder="1" applyAlignment="1"/>
    <xf numFmtId="3" fontId="90" fillId="52" borderId="13" xfId="69" applyNumberFormat="1" applyFont="1" applyFill="1" applyBorder="1" applyAlignment="1"/>
    <xf numFmtId="3" fontId="86" fillId="52" borderId="13" xfId="69" applyNumberFormat="1" applyFont="1" applyFill="1" applyBorder="1" applyAlignment="1"/>
    <xf numFmtId="3" fontId="88" fillId="52" borderId="13" xfId="69" applyNumberFormat="1" applyFont="1" applyFill="1" applyBorder="1" applyAlignment="1"/>
    <xf numFmtId="3" fontId="41" fillId="59" borderId="13" xfId="67" applyNumberFormat="1" applyFont="1" applyFill="1" applyBorder="1" applyAlignment="1">
      <alignment wrapText="1"/>
    </xf>
    <xf numFmtId="3" fontId="42" fillId="59" borderId="13" xfId="67" applyNumberFormat="1" applyFont="1" applyFill="1" applyBorder="1" applyAlignment="1">
      <alignment wrapText="1"/>
    </xf>
    <xf numFmtId="3" fontId="42" fillId="0" borderId="11" xfId="67" applyNumberFormat="1" applyFont="1" applyFill="1" applyBorder="1" applyAlignment="1">
      <alignment horizontal="center" wrapText="1"/>
    </xf>
    <xf numFmtId="3" fontId="41" fillId="51" borderId="20" xfId="67" applyNumberFormat="1" applyFont="1" applyFill="1" applyBorder="1" applyAlignment="1">
      <alignment wrapText="1"/>
    </xf>
    <xf numFmtId="3" fontId="61" fillId="59" borderId="20" xfId="67" applyNumberFormat="1" applyFont="1" applyFill="1" applyBorder="1" applyAlignment="1">
      <alignment wrapText="1"/>
    </xf>
    <xf numFmtId="3" fontId="42" fillId="0" borderId="0" xfId="67" applyNumberFormat="1" applyFont="1" applyFill="1" applyBorder="1" applyAlignment="1">
      <alignment wrapText="1"/>
    </xf>
    <xf numFmtId="3" fontId="6" fillId="0" borderId="0" xfId="66" applyNumberFormat="1" applyFont="1" applyFill="1" applyBorder="1" applyAlignment="1">
      <alignment horizontal="right"/>
    </xf>
    <xf numFmtId="3" fontId="39" fillId="0" borderId="0" xfId="75" applyNumberFormat="1" applyFont="1" applyAlignment="1"/>
    <xf numFmtId="0" fontId="99" fillId="0" borderId="0" xfId="75" applyFont="1" applyAlignment="1">
      <alignment wrapText="1"/>
    </xf>
    <xf numFmtId="0" fontId="8" fillId="0" borderId="0" xfId="75" applyFont="1" applyFill="1" applyBorder="1" applyAlignment="1">
      <alignment vertical="center" wrapText="1"/>
    </xf>
    <xf numFmtId="0" fontId="8" fillId="0" borderId="0" xfId="75" applyFont="1" applyFill="1" applyBorder="1" applyAlignment="1">
      <alignment wrapText="1"/>
    </xf>
    <xf numFmtId="3" fontId="38" fillId="0" borderId="19" xfId="66" applyNumberFormat="1" applyFont="1" applyFill="1" applyBorder="1" applyAlignment="1">
      <alignment horizontal="right"/>
    </xf>
    <xf numFmtId="3" fontId="71" fillId="0" borderId="0" xfId="67" applyNumberFormat="1" applyFont="1" applyFill="1" applyBorder="1" applyAlignment="1">
      <alignment wrapText="1"/>
    </xf>
    <xf numFmtId="0" fontId="35" fillId="0" borderId="0" xfId="75" applyFont="1" applyFill="1" applyBorder="1" applyAlignment="1"/>
    <xf numFmtId="0" fontId="35" fillId="0" borderId="0" xfId="75" quotePrefix="1" applyFont="1" applyFill="1" applyBorder="1" applyAlignment="1">
      <alignment wrapText="1"/>
    </xf>
    <xf numFmtId="3" fontId="6" fillId="0" borderId="0" xfId="75" applyNumberFormat="1" applyFont="1" applyAlignment="1">
      <alignment vertical="center"/>
    </xf>
    <xf numFmtId="0" fontId="6" fillId="0" borderId="0" xfId="75" applyFont="1" applyAlignment="1">
      <alignment vertical="center"/>
    </xf>
    <xf numFmtId="0" fontId="6" fillId="0" borderId="0" xfId="75" applyFont="1" applyBorder="1" applyAlignment="1">
      <alignment wrapText="1"/>
    </xf>
    <xf numFmtId="0" fontId="10" fillId="0" borderId="0" xfId="75" applyFont="1" applyAlignment="1">
      <alignment wrapText="1"/>
    </xf>
    <xf numFmtId="3" fontId="6" fillId="0" borderId="0" xfId="66" applyNumberFormat="1" applyFont="1" applyFill="1" applyAlignment="1">
      <alignment wrapText="1"/>
    </xf>
    <xf numFmtId="3" fontId="12" fillId="0" borderId="0" xfId="75" applyNumberFormat="1" applyFont="1" applyAlignment="1"/>
    <xf numFmtId="3" fontId="12" fillId="0" borderId="0" xfId="66" applyNumberFormat="1" applyFont="1" applyAlignment="1"/>
    <xf numFmtId="0" fontId="101" fillId="0" borderId="0" xfId="75" applyFont="1" applyAlignment="1"/>
    <xf numFmtId="3" fontId="102" fillId="0" borderId="0" xfId="67" applyNumberFormat="1" applyFont="1" applyFill="1" applyAlignment="1">
      <alignment wrapText="1"/>
    </xf>
    <xf numFmtId="3" fontId="5" fillId="0" borderId="0" xfId="66" applyNumberFormat="1" applyFont="1" applyFill="1" applyAlignment="1">
      <alignment horizontal="right" wrapText="1"/>
    </xf>
    <xf numFmtId="3" fontId="6" fillId="0" borderId="0" xfId="66" applyNumberFormat="1" applyFont="1" applyFill="1" applyAlignment="1">
      <alignment horizontal="right" wrapText="1"/>
    </xf>
    <xf numFmtId="3" fontId="10" fillId="0" borderId="0" xfId="66" applyNumberFormat="1" applyFont="1" applyAlignment="1">
      <alignment horizontal="right" wrapText="1"/>
    </xf>
    <xf numFmtId="3" fontId="7" fillId="0" borderId="0" xfId="66" applyNumberFormat="1" applyFont="1" applyFill="1" applyAlignment="1">
      <alignment horizontal="right"/>
    </xf>
    <xf numFmtId="3" fontId="30" fillId="0" borderId="0" xfId="75" applyNumberFormat="1" applyFont="1" applyAlignment="1">
      <alignment horizontal="right"/>
    </xf>
    <xf numFmtId="3" fontId="30" fillId="0" borderId="0" xfId="0" applyNumberFormat="1" applyFont="1"/>
    <xf numFmtId="3" fontId="7" fillId="0" borderId="0" xfId="75" applyNumberFormat="1" applyFont="1" applyAlignment="1">
      <alignment horizontal="right"/>
    </xf>
    <xf numFmtId="3" fontId="12" fillId="0" borderId="0" xfId="75" applyNumberFormat="1" applyFont="1" applyAlignment="1">
      <alignment horizontal="right"/>
    </xf>
    <xf numFmtId="3" fontId="7" fillId="0" borderId="0" xfId="66" applyNumberFormat="1" applyFont="1" applyAlignment="1">
      <alignment horizontal="right"/>
    </xf>
    <xf numFmtId="3" fontId="12" fillId="0" borderId="0" xfId="66" applyNumberFormat="1" applyFont="1" applyAlignment="1">
      <alignment horizontal="right"/>
    </xf>
    <xf numFmtId="3" fontId="10" fillId="0" borderId="0" xfId="75" applyNumberFormat="1" applyFont="1" applyAlignment="1"/>
    <xf numFmtId="0" fontId="8" fillId="54" borderId="0" xfId="75" applyFont="1" applyFill="1" applyAlignment="1">
      <alignment horizontal="left" wrapText="1"/>
    </xf>
    <xf numFmtId="3" fontId="94" fillId="0" borderId="0" xfId="75" applyNumberFormat="1" applyFont="1" applyAlignment="1"/>
    <xf numFmtId="3" fontId="7" fillId="0" borderId="0" xfId="0" applyNumberFormat="1" applyFont="1" applyFill="1" applyAlignment="1">
      <alignment horizontal="right"/>
    </xf>
    <xf numFmtId="3" fontId="35" fillId="0" borderId="0" xfId="0" applyNumberFormat="1" applyFont="1" applyBorder="1" applyAlignment="1">
      <alignment horizontal="right" wrapText="1"/>
    </xf>
    <xf numFmtId="3" fontId="35" fillId="0" borderId="0" xfId="0" applyNumberFormat="1" applyFont="1" applyFill="1" applyAlignment="1">
      <alignment wrapText="1"/>
    </xf>
    <xf numFmtId="3" fontId="35" fillId="0" borderId="0" xfId="0" applyNumberFormat="1" applyFont="1" applyAlignment="1">
      <alignment horizontal="right" wrapText="1"/>
    </xf>
    <xf numFmtId="3" fontId="103" fillId="0" borderId="0" xfId="67" applyNumberFormat="1" applyFont="1" applyFill="1" applyAlignment="1">
      <alignment wrapText="1"/>
    </xf>
    <xf numFmtId="3" fontId="104" fillId="0" borderId="0" xfId="67" applyNumberFormat="1" applyFont="1" applyFill="1" applyAlignment="1">
      <alignment wrapText="1"/>
    </xf>
    <xf numFmtId="3" fontId="105" fillId="0" borderId="0" xfId="67" applyNumberFormat="1" applyFont="1" applyFill="1" applyAlignment="1">
      <alignment wrapText="1"/>
    </xf>
    <xf numFmtId="3" fontId="106" fillId="0" borderId="0" xfId="67" applyNumberFormat="1" applyFont="1" applyFill="1" applyAlignment="1">
      <alignment wrapText="1"/>
    </xf>
    <xf numFmtId="3" fontId="107" fillId="0" borderId="0" xfId="67" applyNumberFormat="1" applyFont="1" applyFill="1" applyAlignment="1">
      <alignment wrapText="1"/>
    </xf>
    <xf numFmtId="3" fontId="103" fillId="0" borderId="0" xfId="67" applyNumberFormat="1" applyFont="1" applyFill="1" applyBorder="1" applyAlignment="1">
      <alignment wrapText="1"/>
    </xf>
    <xf numFmtId="3" fontId="108" fillId="0" borderId="0" xfId="67" applyNumberFormat="1" applyFont="1" applyFill="1" applyAlignment="1">
      <alignment wrapText="1"/>
    </xf>
    <xf numFmtId="3" fontId="109" fillId="0" borderId="0" xfId="75" applyNumberFormat="1" applyFont="1" applyAlignment="1"/>
    <xf numFmtId="3" fontId="7" fillId="0" borderId="0" xfId="89" applyNumberFormat="1" applyFont="1"/>
    <xf numFmtId="3" fontId="6" fillId="0" borderId="0" xfId="67" applyNumberFormat="1" applyFont="1" applyFill="1" applyAlignment="1">
      <alignment wrapText="1"/>
    </xf>
    <xf numFmtId="3" fontId="5" fillId="0" borderId="0" xfId="73" applyNumberFormat="1" applyFont="1" applyFill="1"/>
    <xf numFmtId="0" fontId="10" fillId="0" borderId="0" xfId="0" applyFont="1" applyAlignment="1">
      <alignment horizontal="left" wrapText="1"/>
    </xf>
    <xf numFmtId="0" fontId="8" fillId="0" borderId="0" xfId="0" applyFont="1" applyBorder="1" applyAlignment="1">
      <alignment horizontal="left" wrapText="1"/>
    </xf>
    <xf numFmtId="0" fontId="10" fillId="0" borderId="0" xfId="66" applyFont="1" applyAlignment="1">
      <alignment horizontal="left" wrapText="1"/>
    </xf>
    <xf numFmtId="0" fontId="8" fillId="0" borderId="0" xfId="66" applyFont="1" applyBorder="1" applyAlignment="1">
      <alignment horizontal="left" wrapText="1"/>
    </xf>
    <xf numFmtId="0" fontId="35" fillId="0" borderId="0" xfId="0" applyNumberFormat="1" applyFont="1" applyFill="1" applyBorder="1" applyAlignment="1">
      <alignment horizontal="left" vertical="top" wrapText="1"/>
    </xf>
    <xf numFmtId="0" fontId="8" fillId="0" borderId="0" xfId="75" applyFont="1" applyFill="1" applyAlignment="1">
      <alignment vertical="top" wrapText="1"/>
    </xf>
    <xf numFmtId="0" fontId="35" fillId="0" borderId="0" xfId="66" applyFont="1" applyFill="1" applyAlignment="1">
      <alignment wrapText="1"/>
    </xf>
    <xf numFmtId="0" fontId="8" fillId="0" borderId="0" xfId="66" applyFont="1" applyAlignment="1">
      <alignment horizontal="left" wrapText="1"/>
    </xf>
    <xf numFmtId="3" fontId="38" fillId="55" borderId="14" xfId="66" applyNumberFormat="1" applyFont="1" applyFill="1" applyBorder="1" applyAlignment="1"/>
    <xf numFmtId="3" fontId="38" fillId="55" borderId="14" xfId="66" applyNumberFormat="1" applyFont="1" applyFill="1" applyBorder="1" applyAlignment="1">
      <alignment horizontal="right"/>
    </xf>
    <xf numFmtId="3" fontId="38" fillId="0" borderId="13" xfId="66" applyNumberFormat="1" applyFont="1" applyFill="1" applyBorder="1" applyAlignment="1">
      <alignment horizontal="center" wrapText="1"/>
    </xf>
    <xf numFmtId="3" fontId="38" fillId="53" borderId="13" xfId="66" applyNumberFormat="1" applyFont="1" applyFill="1" applyBorder="1" applyAlignment="1"/>
    <xf numFmtId="3" fontId="38" fillId="53" borderId="13" xfId="66" applyNumberFormat="1" applyFont="1" applyFill="1" applyBorder="1" applyAlignment="1">
      <alignment horizontal="right"/>
    </xf>
    <xf numFmtId="0" fontId="10" fillId="0" borderId="0" xfId="66" applyFont="1" applyAlignment="1">
      <alignment horizontal="left" wrapText="1"/>
    </xf>
    <xf numFmtId="0" fontId="8" fillId="0" borderId="0" xfId="66" applyFont="1" applyBorder="1" applyAlignment="1">
      <alignment horizontal="left" wrapText="1"/>
    </xf>
    <xf numFmtId="3" fontId="10" fillId="0" borderId="0" xfId="67" applyNumberFormat="1" applyFont="1" applyFill="1" applyAlignment="1">
      <alignment wrapText="1"/>
    </xf>
    <xf numFmtId="3" fontId="6" fillId="54" borderId="0" xfId="67" applyNumberFormat="1" applyFont="1" applyFill="1" applyAlignment="1">
      <alignment wrapText="1"/>
    </xf>
    <xf numFmtId="3" fontId="10" fillId="54" borderId="0" xfId="67" applyNumberFormat="1" applyFont="1" applyFill="1" applyAlignment="1">
      <alignment wrapText="1"/>
    </xf>
    <xf numFmtId="3" fontId="6" fillId="0" borderId="0" xfId="67" applyNumberFormat="1" applyFont="1" applyFill="1" applyBorder="1" applyAlignment="1">
      <alignment wrapText="1"/>
    </xf>
    <xf numFmtId="3" fontId="6" fillId="0" borderId="0" xfId="0" applyNumberFormat="1" applyFont="1" applyFill="1" applyBorder="1" applyAlignment="1">
      <alignment horizontal="right"/>
    </xf>
    <xf numFmtId="3" fontId="6" fillId="0" borderId="0" xfId="75" applyNumberFormat="1" applyFont="1" applyFill="1" applyAlignment="1"/>
    <xf numFmtId="0" fontId="6" fillId="0" borderId="0" xfId="75" applyFont="1" applyFill="1" applyAlignment="1"/>
    <xf numFmtId="0" fontId="10" fillId="0" borderId="0" xfId="75" applyFont="1" applyAlignment="1"/>
    <xf numFmtId="49" fontId="35" fillId="0" borderId="0" xfId="75" applyNumberFormat="1" applyFont="1" applyAlignment="1">
      <alignment horizontal="right"/>
    </xf>
    <xf numFmtId="0" fontId="110" fillId="0" borderId="0" xfId="66" applyFont="1" applyBorder="1" applyAlignment="1">
      <alignment wrapText="1"/>
    </xf>
    <xf numFmtId="0" fontId="110" fillId="0" borderId="0" xfId="66" applyFont="1" applyBorder="1" applyAlignment="1">
      <alignment horizontal="left" wrapText="1"/>
    </xf>
    <xf numFmtId="3" fontId="101" fillId="0" borderId="0" xfId="66" applyNumberFormat="1" applyFont="1" applyFill="1"/>
    <xf numFmtId="0" fontId="39" fillId="53" borderId="0" xfId="75" applyFont="1" applyFill="1" applyAlignment="1">
      <alignment horizontal="justify" vertical="top" wrapText="1"/>
    </xf>
    <xf numFmtId="3" fontId="30" fillId="0" borderId="0" xfId="66" applyNumberFormat="1" applyFont="1" applyAlignment="1"/>
    <xf numFmtId="0" fontId="6" fillId="0" borderId="0" xfId="147" applyFont="1" applyFill="1" applyBorder="1" applyAlignment="1">
      <alignment wrapText="1"/>
    </xf>
    <xf numFmtId="0" fontId="6" fillId="0" borderId="0" xfId="75" applyFont="1" applyAlignment="1">
      <alignment wrapText="1"/>
    </xf>
    <xf numFmtId="0" fontId="9" fillId="54" borderId="13" xfId="93" applyNumberFormat="1" applyFont="1" applyFill="1" applyBorder="1" applyAlignment="1">
      <alignment vertical="top" wrapText="1"/>
    </xf>
    <xf numFmtId="0" fontId="9" fillId="0" borderId="13" xfId="93" applyNumberFormat="1" applyFont="1" applyFill="1" applyBorder="1" applyAlignment="1">
      <alignment horizontal="center" vertical="top" wrapText="1"/>
    </xf>
    <xf numFmtId="0" fontId="5" fillId="65" borderId="13" xfId="93" applyNumberFormat="1" applyFont="1" applyFill="1" applyBorder="1" applyAlignment="1">
      <alignment vertical="top" wrapText="1"/>
    </xf>
    <xf numFmtId="0" fontId="67" fillId="65" borderId="13" xfId="93" applyNumberFormat="1" applyFont="1" applyFill="1" applyBorder="1" applyAlignment="1">
      <alignment vertical="top" wrapText="1"/>
    </xf>
    <xf numFmtId="3" fontId="67" fillId="65" borderId="19" xfId="0" applyNumberFormat="1" applyFont="1" applyFill="1" applyBorder="1" applyAlignment="1"/>
    <xf numFmtId="3" fontId="39" fillId="65" borderId="19" xfId="66" applyNumberFormat="1" applyFont="1" applyFill="1" applyBorder="1" applyAlignment="1">
      <alignment horizontal="right"/>
    </xf>
    <xf numFmtId="3" fontId="39" fillId="65" borderId="13" xfId="66" applyNumberFormat="1" applyFont="1" applyFill="1" applyBorder="1" applyAlignment="1"/>
    <xf numFmtId="3" fontId="67" fillId="65" borderId="13" xfId="0" applyNumberFormat="1" applyFont="1" applyFill="1" applyBorder="1" applyAlignment="1"/>
    <xf numFmtId="3" fontId="39" fillId="65" borderId="13" xfId="66" applyNumberFormat="1" applyFont="1" applyFill="1" applyBorder="1" applyAlignment="1">
      <alignment horizontal="right"/>
    </xf>
    <xf numFmtId="3" fontId="38" fillId="66" borderId="13" xfId="0" applyNumberFormat="1" applyFont="1" applyFill="1" applyBorder="1" applyAlignment="1"/>
    <xf numFmtId="3" fontId="30" fillId="66" borderId="13" xfId="66" applyNumberFormat="1" applyFont="1" applyFill="1" applyBorder="1" applyAlignment="1">
      <alignment horizontal="right"/>
    </xf>
    <xf numFmtId="3" fontId="30" fillId="66" borderId="13" xfId="66" applyNumberFormat="1" applyFont="1" applyFill="1" applyBorder="1" applyAlignment="1"/>
    <xf numFmtId="3" fontId="7" fillId="49" borderId="13" xfId="0" applyNumberFormat="1" applyFont="1" applyFill="1" applyBorder="1" applyAlignment="1">
      <alignment horizontal="center" wrapText="1" shrinkToFit="1"/>
    </xf>
    <xf numFmtId="0" fontId="67" fillId="49" borderId="13" xfId="0" applyFont="1" applyFill="1" applyBorder="1" applyAlignment="1">
      <alignment vertical="top" wrapText="1"/>
    </xf>
    <xf numFmtId="3" fontId="38" fillId="49" borderId="13" xfId="0" applyNumberFormat="1" applyFont="1" applyFill="1" applyBorder="1" applyAlignment="1">
      <alignment wrapText="1"/>
    </xf>
    <xf numFmtId="3" fontId="38" fillId="49" borderId="13" xfId="0" applyNumberFormat="1" applyFont="1" applyFill="1" applyBorder="1" applyAlignment="1"/>
    <xf numFmtId="3" fontId="30" fillId="49" borderId="13" xfId="66" applyNumberFormat="1" applyFont="1" applyFill="1" applyBorder="1" applyAlignment="1">
      <alignment horizontal="right"/>
    </xf>
    <xf numFmtId="3" fontId="30" fillId="49" borderId="13" xfId="66" applyNumberFormat="1" applyFont="1" applyFill="1" applyBorder="1"/>
    <xf numFmtId="3" fontId="30" fillId="49" borderId="13" xfId="66" applyNumberFormat="1" applyFont="1" applyFill="1" applyBorder="1" applyAlignment="1"/>
    <xf numFmtId="3" fontId="67" fillId="65" borderId="13" xfId="66" applyNumberFormat="1" applyFont="1" applyFill="1" applyBorder="1" applyAlignment="1"/>
    <xf numFmtId="0" fontId="10" fillId="64" borderId="0" xfId="147" applyFont="1" applyFill="1" applyBorder="1" applyAlignment="1">
      <alignment horizontal="centerContinuous"/>
    </xf>
    <xf numFmtId="0" fontId="10" fillId="64" borderId="0" xfId="147" applyFont="1" applyFill="1" applyBorder="1" applyAlignment="1">
      <alignment wrapText="1"/>
    </xf>
    <xf numFmtId="3" fontId="67" fillId="65" borderId="19" xfId="0" applyNumberFormat="1" applyFont="1" applyFill="1" applyBorder="1" applyAlignment="1">
      <alignment horizontal="right"/>
    </xf>
    <xf numFmtId="3" fontId="67" fillId="65" borderId="13" xfId="0" applyNumberFormat="1" applyFont="1" applyFill="1" applyBorder="1" applyAlignment="1">
      <alignment horizontal="right"/>
    </xf>
    <xf numFmtId="3" fontId="38" fillId="66" borderId="13" xfId="0" applyNumberFormat="1" applyFont="1" applyFill="1" applyBorder="1" applyAlignment="1">
      <alignment horizontal="right"/>
    </xf>
    <xf numFmtId="3" fontId="38" fillId="49" borderId="13" xfId="0" applyNumberFormat="1" applyFont="1" applyFill="1" applyBorder="1"/>
    <xf numFmtId="3" fontId="67" fillId="59" borderId="13" xfId="0" applyNumberFormat="1" applyFont="1" applyFill="1" applyBorder="1" applyAlignment="1">
      <alignment horizontal="right"/>
    </xf>
    <xf numFmtId="0" fontId="9" fillId="0" borderId="0" xfId="66" applyFont="1" applyFill="1" applyAlignment="1">
      <alignment wrapText="1"/>
    </xf>
    <xf numFmtId="3" fontId="9" fillId="0" borderId="0" xfId="66" applyNumberFormat="1" applyFont="1" applyFill="1" applyAlignment="1">
      <alignment wrapText="1"/>
    </xf>
    <xf numFmtId="0" fontId="12" fillId="0" borderId="0" xfId="66" applyFont="1"/>
    <xf numFmtId="3" fontId="12" fillId="0" borderId="0" xfId="66" applyNumberFormat="1" applyFont="1" applyFill="1"/>
    <xf numFmtId="0" fontId="9" fillId="0" borderId="0" xfId="66" applyFont="1" applyBorder="1" applyAlignment="1">
      <alignment wrapText="1"/>
    </xf>
    <xf numFmtId="0" fontId="10" fillId="0" borderId="0" xfId="66" applyFont="1" applyBorder="1" applyAlignment="1">
      <alignment horizontal="left" wrapText="1"/>
    </xf>
    <xf numFmtId="3" fontId="10" fillId="0" borderId="0" xfId="66" applyNumberFormat="1" applyFont="1" applyBorder="1" applyAlignment="1">
      <alignment horizontal="left" wrapText="1"/>
    </xf>
    <xf numFmtId="1" fontId="12" fillId="0" borderId="26" xfId="84" applyNumberFormat="1" applyFont="1" applyBorder="1" applyAlignment="1">
      <alignment horizontal="center" wrapText="1"/>
    </xf>
    <xf numFmtId="1" fontId="12" fillId="0" borderId="26" xfId="72" applyNumberFormat="1" applyFont="1" applyBorder="1" applyAlignment="1">
      <alignment horizontal="center" wrapText="1"/>
    </xf>
    <xf numFmtId="0" fontId="9" fillId="68" borderId="28" xfId="93" applyNumberFormat="1" applyFont="1" applyFill="1" applyBorder="1" applyAlignment="1">
      <alignment vertical="top" wrapText="1"/>
    </xf>
    <xf numFmtId="0" fontId="39" fillId="68" borderId="28" xfId="93" applyNumberFormat="1" applyFont="1" applyFill="1" applyBorder="1" applyAlignment="1">
      <alignment vertical="top" wrapText="1"/>
    </xf>
    <xf numFmtId="3" fontId="39" fillId="68" borderId="29" xfId="0" applyNumberFormat="1" applyFont="1" applyFill="1" applyBorder="1" applyAlignment="1"/>
    <xf numFmtId="3" fontId="39" fillId="68" borderId="29" xfId="66" applyNumberFormat="1" applyFont="1" applyFill="1" applyBorder="1" applyAlignment="1">
      <alignment horizontal="right"/>
    </xf>
    <xf numFmtId="3" fontId="39" fillId="68" borderId="28" xfId="66" applyNumberFormat="1" applyFont="1" applyFill="1" applyBorder="1" applyAlignment="1"/>
    <xf numFmtId="0" fontId="9" fillId="0" borderId="28" xfId="93" applyNumberFormat="1" applyFont="1" applyFill="1" applyBorder="1" applyAlignment="1">
      <alignment vertical="top" wrapText="1"/>
    </xf>
    <xf numFmtId="0" fontId="39" fillId="0" borderId="28" xfId="93" applyNumberFormat="1" applyFont="1" applyFill="1" applyBorder="1" applyAlignment="1">
      <alignment vertical="top" wrapText="1"/>
    </xf>
    <xf numFmtId="3" fontId="30" fillId="0" borderId="28" xfId="0" applyNumberFormat="1" applyFont="1" applyBorder="1" applyAlignment="1"/>
    <xf numFmtId="3" fontId="30" fillId="0" borderId="28" xfId="66" applyNumberFormat="1" applyFont="1" applyBorder="1" applyAlignment="1">
      <alignment horizontal="right"/>
    </xf>
    <xf numFmtId="3" fontId="30" fillId="0" borderId="28" xfId="66" applyNumberFormat="1" applyFont="1" applyFill="1" applyBorder="1" applyAlignment="1"/>
    <xf numFmtId="0" fontId="12" fillId="0" borderId="28" xfId="93" applyNumberFormat="1" applyFont="1" applyFill="1" applyBorder="1" applyAlignment="1">
      <alignment vertical="top" wrapText="1"/>
    </xf>
    <xf numFmtId="0" fontId="30" fillId="0" borderId="28" xfId="93" applyNumberFormat="1" applyFont="1" applyFill="1" applyBorder="1" applyAlignment="1">
      <alignment vertical="top" wrapText="1"/>
    </xf>
    <xf numFmtId="3" fontId="30" fillId="0" borderId="28" xfId="0" applyNumberFormat="1" applyFont="1" applyFill="1" applyBorder="1" applyAlignment="1"/>
    <xf numFmtId="3" fontId="30" fillId="0" borderId="28" xfId="66" applyNumberFormat="1" applyFont="1" applyFill="1" applyBorder="1" applyAlignment="1">
      <alignment horizontal="right"/>
    </xf>
    <xf numFmtId="0" fontId="12" fillId="0" borderId="28" xfId="93" applyNumberFormat="1" applyFont="1" applyFill="1" applyBorder="1" applyAlignment="1">
      <alignment horizontal="left" vertical="top" wrapText="1"/>
    </xf>
    <xf numFmtId="0" fontId="12" fillId="0" borderId="28" xfId="0" applyNumberFormat="1" applyFont="1" applyFill="1" applyBorder="1" applyAlignment="1">
      <alignment horizontal="center" vertical="top" wrapText="1"/>
    </xf>
    <xf numFmtId="0" fontId="30" fillId="0" borderId="28" xfId="0" applyNumberFormat="1" applyFont="1" applyFill="1" applyBorder="1" applyAlignment="1">
      <alignment wrapText="1"/>
    </xf>
    <xf numFmtId="0" fontId="12" fillId="0" borderId="28" xfId="0" applyNumberFormat="1" applyFont="1" applyFill="1" applyBorder="1" applyAlignment="1">
      <alignment horizontal="right" vertical="top" wrapText="1"/>
    </xf>
    <xf numFmtId="0" fontId="12" fillId="0" borderId="28" xfId="68" applyNumberFormat="1" applyFont="1" applyFill="1" applyBorder="1" applyAlignment="1">
      <alignment horizontal="left" vertical="top" wrapText="1"/>
    </xf>
    <xf numFmtId="0" fontId="30" fillId="0" borderId="28" xfId="135" applyNumberFormat="1" applyFont="1" applyFill="1" applyBorder="1" applyAlignment="1" applyProtection="1">
      <alignment wrapText="1" shrinkToFit="1"/>
    </xf>
    <xf numFmtId="3" fontId="30" fillId="0" borderId="29" xfId="0" applyNumberFormat="1" applyFont="1" applyBorder="1" applyAlignment="1"/>
    <xf numFmtId="3" fontId="30" fillId="0" borderId="29" xfId="66" applyNumberFormat="1" applyFont="1" applyBorder="1" applyAlignment="1">
      <alignment horizontal="right"/>
    </xf>
    <xf numFmtId="0" fontId="12" fillId="0" borderId="28" xfId="68" applyNumberFormat="1" applyFont="1" applyFill="1" applyBorder="1" applyAlignment="1">
      <alignment horizontal="center" vertical="top" wrapText="1"/>
    </xf>
    <xf numFmtId="0" fontId="12" fillId="0" borderId="28" xfId="0" applyFont="1" applyFill="1" applyBorder="1" applyAlignment="1">
      <alignment horizontal="left" vertical="top"/>
    </xf>
    <xf numFmtId="0" fontId="30" fillId="0" borderId="28" xfId="0" applyFont="1" applyFill="1" applyBorder="1" applyAlignment="1">
      <alignment wrapText="1"/>
    </xf>
    <xf numFmtId="0" fontId="12" fillId="0" borderId="28" xfId="0" applyFont="1" applyFill="1" applyBorder="1" applyAlignment="1">
      <alignment horizontal="center" vertical="top"/>
    </xf>
    <xf numFmtId="0" fontId="9" fillId="0" borderId="28" xfId="93" applyNumberFormat="1" applyFont="1" applyFill="1" applyBorder="1" applyAlignment="1">
      <alignment horizontal="center" vertical="top" wrapText="1"/>
    </xf>
    <xf numFmtId="0" fontId="12" fillId="0" borderId="28" xfId="93" applyNumberFormat="1" applyFont="1" applyFill="1" applyBorder="1" applyAlignment="1">
      <alignment horizontal="right" vertical="top" wrapText="1"/>
    </xf>
    <xf numFmtId="3" fontId="39" fillId="68" borderId="28" xfId="0" applyNumberFormat="1" applyFont="1" applyFill="1" applyBorder="1" applyAlignment="1"/>
    <xf numFmtId="3" fontId="39" fillId="68" borderId="28" xfId="66" applyNumberFormat="1" applyFont="1" applyFill="1" applyBorder="1" applyAlignment="1">
      <alignment horizontal="right"/>
    </xf>
    <xf numFmtId="3" fontId="30" fillId="0" borderId="28" xfId="66" applyNumberFormat="1" applyFont="1" applyFill="1" applyBorder="1" applyAlignment="1">
      <alignment horizontal="center"/>
    </xf>
    <xf numFmtId="0" fontId="12" fillId="0" borderId="28" xfId="93" applyNumberFormat="1" applyFont="1" applyFill="1" applyBorder="1" applyAlignment="1">
      <alignment horizontal="center" vertical="top" wrapText="1"/>
    </xf>
    <xf numFmtId="0" fontId="9" fillId="0" borderId="28" xfId="93" applyNumberFormat="1" applyFont="1" applyFill="1" applyBorder="1" applyAlignment="1">
      <alignment horizontal="left" vertical="top" wrapText="1"/>
    </xf>
    <xf numFmtId="3" fontId="30" fillId="0" borderId="28" xfId="0" applyNumberFormat="1" applyFont="1" applyFill="1" applyBorder="1" applyAlignment="1">
      <alignment wrapText="1"/>
    </xf>
    <xf numFmtId="3" fontId="30" fillId="0" borderId="28" xfId="66" applyNumberFormat="1" applyFont="1" applyFill="1" applyBorder="1" applyAlignment="1">
      <alignment horizontal="center" wrapText="1"/>
    </xf>
    <xf numFmtId="3" fontId="30" fillId="0" borderId="28" xfId="66" applyNumberFormat="1" applyFont="1" applyFill="1" applyBorder="1" applyAlignment="1">
      <alignment horizontal="right" wrapText="1"/>
    </xf>
    <xf numFmtId="3" fontId="30" fillId="0" borderId="29" xfId="0" applyNumberFormat="1" applyFont="1" applyFill="1" applyBorder="1" applyAlignment="1"/>
    <xf numFmtId="3" fontId="30" fillId="0" borderId="29" xfId="66" applyNumberFormat="1" applyFont="1" applyFill="1" applyBorder="1" applyAlignment="1">
      <alignment horizontal="center"/>
    </xf>
    <xf numFmtId="3" fontId="30" fillId="0" borderId="29" xfId="66" applyNumberFormat="1" applyFont="1" applyFill="1" applyBorder="1" applyAlignment="1">
      <alignment horizontal="right"/>
    </xf>
    <xf numFmtId="0" fontId="30" fillId="0" borderId="28" xfId="0" applyNumberFormat="1" applyFont="1" applyFill="1" applyBorder="1" applyAlignment="1">
      <alignment vertical="top" wrapText="1"/>
    </xf>
    <xf numFmtId="0" fontId="30" fillId="0" borderId="28" xfId="0" applyNumberFormat="1" applyFont="1" applyFill="1" applyBorder="1" applyAlignment="1">
      <alignment horizontal="left" vertical="top" wrapText="1"/>
    </xf>
    <xf numFmtId="3" fontId="30" fillId="69" borderId="28" xfId="0" applyNumberFormat="1" applyFont="1" applyFill="1" applyBorder="1" applyAlignment="1"/>
    <xf numFmtId="3" fontId="30" fillId="69" borderId="28" xfId="66" applyNumberFormat="1" applyFont="1" applyFill="1" applyBorder="1" applyAlignment="1">
      <alignment horizontal="right"/>
    </xf>
    <xf numFmtId="3" fontId="39" fillId="0" borderId="28" xfId="0" applyNumberFormat="1" applyFont="1" applyFill="1" applyBorder="1" applyAlignment="1"/>
    <xf numFmtId="3" fontId="39" fillId="0" borderId="28" xfId="66" applyNumberFormat="1" applyFont="1" applyFill="1" applyBorder="1" applyAlignment="1">
      <alignment horizontal="right"/>
    </xf>
    <xf numFmtId="0" fontId="39" fillId="0" borderId="28" xfId="0" applyNumberFormat="1" applyFont="1" applyFill="1" applyBorder="1" applyAlignment="1">
      <alignment wrapText="1"/>
    </xf>
    <xf numFmtId="0" fontId="12" fillId="0" borderId="28" xfId="0" applyNumberFormat="1" applyFont="1" applyFill="1" applyBorder="1" applyAlignment="1">
      <alignment horizontal="left" vertical="top" wrapText="1"/>
    </xf>
    <xf numFmtId="0" fontId="30" fillId="0" borderId="28" xfId="0" applyNumberFormat="1" applyFont="1" applyBorder="1" applyAlignment="1">
      <alignment wrapText="1"/>
    </xf>
    <xf numFmtId="0" fontId="30" fillId="0" borderId="28" xfId="0" applyNumberFormat="1" applyFont="1" applyBorder="1" applyAlignment="1">
      <alignment vertical="center" wrapText="1"/>
    </xf>
    <xf numFmtId="0" fontId="12" fillId="0" borderId="28" xfId="0" applyNumberFormat="1" applyFont="1" applyFill="1" applyBorder="1" applyAlignment="1">
      <alignment horizontal="center" vertical="center" wrapText="1"/>
    </xf>
    <xf numFmtId="0" fontId="39" fillId="0" borderId="28" xfId="0" applyNumberFormat="1" applyFont="1" applyFill="1" applyBorder="1" applyAlignment="1">
      <alignment vertical="top" wrapText="1"/>
    </xf>
    <xf numFmtId="3" fontId="39" fillId="0" borderId="28" xfId="0" applyNumberFormat="1" applyFont="1" applyBorder="1" applyAlignment="1"/>
    <xf numFmtId="3" fontId="39" fillId="0" borderId="28" xfId="66" applyNumberFormat="1" applyFont="1" applyBorder="1" applyAlignment="1">
      <alignment horizontal="right"/>
    </xf>
    <xf numFmtId="0" fontId="9" fillId="0" borderId="28" xfId="0" applyNumberFormat="1" applyFont="1" applyFill="1" applyBorder="1" applyAlignment="1">
      <alignment horizontal="left" vertical="top" wrapText="1"/>
    </xf>
    <xf numFmtId="0" fontId="30" fillId="0" borderId="28" xfId="0" applyNumberFormat="1" applyFont="1" applyFill="1" applyBorder="1" applyAlignment="1">
      <alignment horizontal="justify" vertical="top" wrapText="1"/>
    </xf>
    <xf numFmtId="0" fontId="12" fillId="0" borderId="28" xfId="93" applyNumberFormat="1" applyFont="1" applyFill="1" applyBorder="1" applyAlignment="1">
      <alignment vertical="top"/>
    </xf>
    <xf numFmtId="3" fontId="12" fillId="70" borderId="28" xfId="0" applyNumberFormat="1" applyFont="1" applyFill="1" applyBorder="1" applyAlignment="1">
      <alignment horizontal="center" wrapText="1" shrinkToFit="1"/>
    </xf>
    <xf numFmtId="0" fontId="39" fillId="70" borderId="28" xfId="0" applyFont="1" applyFill="1" applyBorder="1" applyAlignment="1">
      <alignment vertical="top" wrapText="1"/>
    </xf>
    <xf numFmtId="3" fontId="30" fillId="70" borderId="28" xfId="0" applyNumberFormat="1" applyFont="1" applyFill="1" applyBorder="1" applyAlignment="1">
      <alignment wrapText="1"/>
    </xf>
    <xf numFmtId="3" fontId="30" fillId="70" borderId="28" xfId="0" applyNumberFormat="1" applyFont="1" applyFill="1" applyBorder="1" applyAlignment="1"/>
    <xf numFmtId="3" fontId="30" fillId="70" borderId="28" xfId="66" applyNumberFormat="1" applyFont="1" applyFill="1" applyBorder="1"/>
    <xf numFmtId="3" fontId="30" fillId="70" borderId="28" xfId="66" applyNumberFormat="1" applyFont="1" applyFill="1" applyBorder="1" applyAlignment="1"/>
    <xf numFmtId="3" fontId="30" fillId="70" borderId="28" xfId="66" applyNumberFormat="1" applyFont="1" applyFill="1" applyBorder="1" applyAlignment="1">
      <alignment horizontal="right"/>
    </xf>
    <xf numFmtId="0" fontId="12" fillId="0" borderId="28" xfId="66" applyFont="1" applyFill="1" applyBorder="1" applyAlignment="1">
      <alignment horizontal="center"/>
    </xf>
    <xf numFmtId="0" fontId="30" fillId="0" borderId="28" xfId="66" applyFont="1" applyFill="1" applyBorder="1" applyAlignment="1">
      <alignment wrapText="1"/>
    </xf>
    <xf numFmtId="3" fontId="39" fillId="0" borderId="28" xfId="66" applyNumberFormat="1" applyFont="1" applyFill="1" applyBorder="1" applyAlignment="1"/>
    <xf numFmtId="0" fontId="10" fillId="67" borderId="0" xfId="147" applyFont="1" applyFill="1" applyBorder="1" applyAlignment="1">
      <alignment horizontal="center"/>
    </xf>
    <xf numFmtId="0" fontId="10" fillId="67" borderId="0" xfId="147" applyFont="1" applyFill="1" applyBorder="1" applyAlignment="1">
      <alignment wrapText="1"/>
    </xf>
    <xf numFmtId="0" fontId="6" fillId="0" borderId="0" xfId="75" applyFont="1" applyAlignment="1">
      <alignment horizontal="center"/>
    </xf>
    <xf numFmtId="0" fontId="12" fillId="0" borderId="0" xfId="75" applyFont="1" applyAlignment="1">
      <alignment wrapText="1"/>
    </xf>
    <xf numFmtId="0" fontId="12" fillId="0" borderId="0" xfId="75" applyFont="1" applyFill="1" applyAlignment="1">
      <alignment wrapText="1"/>
    </xf>
    <xf numFmtId="0" fontId="12" fillId="0" borderId="0" xfId="0" applyFont="1" applyAlignment="1"/>
    <xf numFmtId="0" fontId="12" fillId="0" borderId="0" xfId="0" applyFont="1" applyAlignment="1">
      <alignment wrapText="1"/>
    </xf>
    <xf numFmtId="3" fontId="12" fillId="0" borderId="0" xfId="0" applyNumberFormat="1" applyFont="1" applyAlignment="1"/>
    <xf numFmtId="0" fontId="5" fillId="0" borderId="0" xfId="66" applyFont="1" applyFill="1" applyAlignment="1">
      <alignment horizontal="left" vertical="center" wrapText="1"/>
    </xf>
    <xf numFmtId="0" fontId="5" fillId="0" borderId="0" xfId="66" applyFont="1" applyFill="1" applyAlignment="1">
      <alignment horizontal="justify" vertical="center" wrapText="1"/>
    </xf>
    <xf numFmtId="0" fontId="5" fillId="0" borderId="0" xfId="66" applyFont="1" applyFill="1" applyAlignment="1">
      <alignment horizontal="center" vertical="center" wrapText="1"/>
    </xf>
    <xf numFmtId="0" fontId="6" fillId="0" borderId="0" xfId="66" applyFont="1" applyFill="1" applyAlignment="1">
      <alignment horizontal="center" vertical="center" wrapText="1"/>
    </xf>
    <xf numFmtId="0" fontId="7" fillId="0" borderId="0" xfId="66" applyFont="1" applyAlignment="1">
      <alignment horizontal="left" vertical="center"/>
    </xf>
    <xf numFmtId="0" fontId="10" fillId="0" borderId="0" xfId="66" applyFont="1" applyAlignment="1">
      <alignment horizontal="center" vertical="center" wrapText="1"/>
    </xf>
    <xf numFmtId="3" fontId="7" fillId="0" borderId="0" xfId="66" applyNumberFormat="1" applyFont="1" applyFill="1" applyAlignment="1">
      <alignment horizontal="center" vertical="center"/>
    </xf>
    <xf numFmtId="0" fontId="5" fillId="0" borderId="0" xfId="66" applyFont="1" applyBorder="1" applyAlignment="1">
      <alignment horizontal="left" vertical="center" wrapText="1"/>
    </xf>
    <xf numFmtId="0" fontId="8" fillId="0" borderId="0" xfId="66" applyFont="1" applyBorder="1" applyAlignment="1">
      <alignment horizontal="center" vertical="center" wrapText="1"/>
    </xf>
    <xf numFmtId="0" fontId="8" fillId="0" borderId="0" xfId="66" applyFont="1" applyBorder="1" applyAlignment="1">
      <alignment horizontal="justify" vertical="center" wrapText="1"/>
    </xf>
    <xf numFmtId="3" fontId="8" fillId="0" borderId="0" xfId="66" applyNumberFormat="1" applyFont="1" applyBorder="1" applyAlignment="1">
      <alignment horizontal="center" vertical="center" wrapText="1"/>
    </xf>
    <xf numFmtId="1" fontId="7" fillId="0" borderId="17" xfId="84" applyNumberFormat="1" applyFont="1" applyBorder="1" applyAlignment="1">
      <alignment horizontal="left" vertical="center" wrapText="1"/>
    </xf>
    <xf numFmtId="1" fontId="7" fillId="0" borderId="17" xfId="84" applyNumberFormat="1" applyFont="1" applyBorder="1" applyAlignment="1">
      <alignment horizontal="justify" vertical="center" wrapText="1"/>
    </xf>
    <xf numFmtId="1" fontId="7" fillId="0" borderId="17" xfId="84" applyNumberFormat="1" applyFont="1" applyBorder="1" applyAlignment="1">
      <alignment horizontal="center" vertical="center" wrapText="1"/>
    </xf>
    <xf numFmtId="1" fontId="12" fillId="0" borderId="17" xfId="72" applyNumberFormat="1" applyFont="1" applyBorder="1" applyAlignment="1">
      <alignment horizontal="center" vertical="center" wrapText="1"/>
    </xf>
    <xf numFmtId="0" fontId="5" fillId="65" borderId="14" xfId="93" applyNumberFormat="1" applyFont="1" applyFill="1" applyBorder="1" applyAlignment="1">
      <alignment horizontal="left" vertical="center" wrapText="1"/>
    </xf>
    <xf numFmtId="0" fontId="67" fillId="65" borderId="14" xfId="93" applyNumberFormat="1" applyFont="1" applyFill="1" applyBorder="1" applyAlignment="1">
      <alignment horizontal="justify" vertical="center" wrapText="1"/>
    </xf>
    <xf numFmtId="0" fontId="5" fillId="0" borderId="13" xfId="93" applyNumberFormat="1" applyFont="1" applyFill="1" applyBorder="1" applyAlignment="1">
      <alignment horizontal="left" vertical="center" wrapText="1"/>
    </xf>
    <xf numFmtId="0" fontId="67" fillId="0" borderId="13" xfId="93" applyNumberFormat="1" applyFont="1" applyFill="1" applyBorder="1" applyAlignment="1">
      <alignment horizontal="justify" vertical="center" wrapText="1"/>
    </xf>
    <xf numFmtId="0" fontId="7" fillId="0" borderId="13" xfId="93" applyNumberFormat="1" applyFont="1" applyFill="1" applyBorder="1" applyAlignment="1">
      <alignment horizontal="left" vertical="center" wrapText="1"/>
    </xf>
    <xf numFmtId="0" fontId="38" fillId="0" borderId="13" xfId="93" applyNumberFormat="1" applyFont="1" applyFill="1" applyBorder="1" applyAlignment="1">
      <alignment horizontal="justify" vertical="center" wrapText="1"/>
    </xf>
    <xf numFmtId="0" fontId="7" fillId="0" borderId="13" xfId="0" applyNumberFormat="1" applyFont="1" applyFill="1" applyBorder="1" applyAlignment="1">
      <alignment horizontal="left" vertical="center" wrapText="1"/>
    </xf>
    <xf numFmtId="0" fontId="38" fillId="0" borderId="13" xfId="0" applyNumberFormat="1" applyFont="1" applyFill="1" applyBorder="1" applyAlignment="1">
      <alignment horizontal="justify" vertical="center" wrapText="1"/>
    </xf>
    <xf numFmtId="0" fontId="7" fillId="0" borderId="13" xfId="68" applyNumberFormat="1" applyFont="1" applyFill="1" applyBorder="1" applyAlignment="1">
      <alignment horizontal="left" vertical="center" wrapText="1"/>
    </xf>
    <xf numFmtId="0" fontId="38" fillId="0" borderId="13" xfId="135" applyNumberFormat="1" applyFont="1" applyFill="1" applyBorder="1" applyAlignment="1">
      <alignment horizontal="justify" vertical="center" wrapText="1" shrinkToFit="1"/>
    </xf>
    <xf numFmtId="0" fontId="7" fillId="0" borderId="13" xfId="0" applyFont="1" applyFill="1" applyBorder="1" applyAlignment="1">
      <alignment horizontal="left" vertical="center"/>
    </xf>
    <xf numFmtId="0" fontId="38" fillId="0" borderId="13" xfId="0" applyFont="1" applyFill="1" applyBorder="1" applyAlignment="1">
      <alignment horizontal="justify" vertical="center" wrapText="1"/>
    </xf>
    <xf numFmtId="0" fontId="5" fillId="65" borderId="13" xfId="93" applyNumberFormat="1" applyFont="1" applyFill="1" applyBorder="1" applyAlignment="1">
      <alignment horizontal="left" vertical="center" wrapText="1"/>
    </xf>
    <xf numFmtId="0" fontId="67" fillId="65" borderId="13" xfId="93" applyNumberFormat="1" applyFont="1" applyFill="1" applyBorder="1" applyAlignment="1">
      <alignment horizontal="justify" vertical="center" wrapText="1"/>
    </xf>
    <xf numFmtId="0" fontId="67" fillId="0" borderId="13" xfId="0" applyNumberFormat="1" applyFont="1" applyFill="1" applyBorder="1" applyAlignment="1">
      <alignment horizontal="justify" vertical="center" wrapText="1"/>
    </xf>
    <xf numFmtId="0" fontId="38" fillId="0" borderId="13" xfId="0" applyNumberFormat="1" applyFont="1" applyBorder="1" applyAlignment="1">
      <alignment horizontal="justify" vertical="center" wrapText="1"/>
    </xf>
    <xf numFmtId="0" fontId="5" fillId="0" borderId="13" xfId="0" applyNumberFormat="1" applyFont="1" applyFill="1" applyBorder="1" applyAlignment="1">
      <alignment horizontal="left" vertical="center" wrapText="1"/>
    </xf>
    <xf numFmtId="0" fontId="7" fillId="0" borderId="13" xfId="93" applyNumberFormat="1" applyFont="1" applyFill="1" applyBorder="1" applyAlignment="1">
      <alignment horizontal="left" vertical="center"/>
    </xf>
    <xf numFmtId="3" fontId="7" fillId="49" borderId="13" xfId="0" applyNumberFormat="1" applyFont="1" applyFill="1" applyBorder="1" applyAlignment="1">
      <alignment horizontal="left" vertical="center" wrapText="1" shrinkToFit="1"/>
    </xf>
    <xf numFmtId="0" fontId="67" fillId="49" borderId="13" xfId="0" applyFont="1" applyFill="1" applyBorder="1" applyAlignment="1">
      <alignment horizontal="justify" vertical="center" wrapText="1"/>
    </xf>
    <xf numFmtId="0" fontId="7" fillId="0" borderId="16" xfId="93" applyNumberFormat="1" applyFont="1" applyFill="1" applyBorder="1" applyAlignment="1">
      <alignment horizontal="left" vertical="center"/>
    </xf>
    <xf numFmtId="0" fontId="38" fillId="0" borderId="16" xfId="93" applyNumberFormat="1" applyFont="1" applyFill="1" applyBorder="1" applyAlignment="1">
      <alignment horizontal="justify" vertical="center" wrapText="1"/>
    </xf>
    <xf numFmtId="0" fontId="7" fillId="0" borderId="0" xfId="66" applyFont="1" applyFill="1" applyBorder="1" applyAlignment="1">
      <alignment horizontal="left" vertical="center"/>
    </xf>
    <xf numFmtId="0" fontId="30" fillId="0" borderId="0" xfId="66" applyFont="1" applyFill="1" applyBorder="1" applyAlignment="1">
      <alignment horizontal="justify" vertical="center" wrapText="1"/>
    </xf>
    <xf numFmtId="0" fontId="7" fillId="0" borderId="0" xfId="75" applyFont="1" applyBorder="1" applyAlignment="1">
      <alignment horizontal="left" vertical="center"/>
    </xf>
    <xf numFmtId="0" fontId="30" fillId="0" borderId="0" xfId="75" applyFont="1" applyBorder="1" applyAlignment="1">
      <alignment horizontal="justify" vertical="center" wrapText="1"/>
    </xf>
    <xf numFmtId="3" fontId="30" fillId="0" borderId="0" xfId="75" applyNumberFormat="1" applyFont="1" applyBorder="1" applyAlignment="1">
      <alignment horizontal="center" vertical="center"/>
    </xf>
    <xf numFmtId="0" fontId="30" fillId="0" borderId="0" xfId="75" applyFont="1" applyBorder="1" applyAlignment="1">
      <alignment horizontal="center" vertical="center"/>
    </xf>
    <xf numFmtId="0" fontId="7" fillId="0" borderId="0" xfId="75" applyFont="1" applyBorder="1" applyAlignment="1">
      <alignment horizontal="justify" vertical="center" wrapText="1"/>
    </xf>
    <xf numFmtId="0" fontId="7" fillId="0" borderId="0" xfId="75" applyFont="1" applyFill="1" applyBorder="1" applyAlignment="1">
      <alignment horizontal="justify" vertical="center" wrapText="1"/>
    </xf>
    <xf numFmtId="0" fontId="7" fillId="0" borderId="0" xfId="0" applyFont="1" applyBorder="1" applyAlignment="1">
      <alignment horizontal="left" vertical="center"/>
    </xf>
    <xf numFmtId="0" fontId="7" fillId="0" borderId="0" xfId="0" applyFont="1" applyBorder="1" applyAlignment="1">
      <alignment horizontal="justify" vertical="center" wrapText="1"/>
    </xf>
    <xf numFmtId="3" fontId="7" fillId="0" borderId="0" xfId="0" applyNumberFormat="1" applyFont="1" applyBorder="1" applyAlignment="1">
      <alignment horizontal="center" vertical="center"/>
    </xf>
    <xf numFmtId="0" fontId="7" fillId="0" borderId="0" xfId="0" applyFont="1" applyBorder="1" applyAlignment="1">
      <alignment horizontal="center" vertical="center"/>
    </xf>
    <xf numFmtId="3" fontId="7" fillId="0" borderId="0" xfId="75" applyNumberFormat="1" applyFont="1" applyBorder="1" applyAlignment="1">
      <alignment horizontal="center" vertical="center"/>
    </xf>
    <xf numFmtId="0" fontId="7" fillId="0" borderId="0" xfId="75" applyFont="1" applyBorder="1" applyAlignment="1">
      <alignment horizontal="center" vertical="center"/>
    </xf>
    <xf numFmtId="0" fontId="12" fillId="0" borderId="0" xfId="75" applyFont="1" applyBorder="1" applyAlignment="1">
      <alignment horizontal="center" vertical="center"/>
    </xf>
    <xf numFmtId="0" fontId="7" fillId="0" borderId="0" xfId="0" applyFont="1" applyAlignment="1">
      <alignment horizontal="left" vertical="center"/>
    </xf>
    <xf numFmtId="0" fontId="7" fillId="0" borderId="0" xfId="0" applyFont="1" applyAlignment="1">
      <alignment horizontal="justify" vertical="center" wrapText="1"/>
    </xf>
    <xf numFmtId="3" fontId="7" fillId="0" borderId="0" xfId="0" applyNumberFormat="1" applyFont="1" applyAlignment="1">
      <alignment horizontal="center" vertical="center"/>
    </xf>
    <xf numFmtId="0" fontId="7" fillId="0" borderId="0" xfId="0" applyFont="1" applyAlignment="1">
      <alignment horizontal="center" vertical="center"/>
    </xf>
    <xf numFmtId="3" fontId="7" fillId="0" borderId="0" xfId="75" applyNumberFormat="1" applyFont="1" applyAlignment="1">
      <alignment horizontal="center" vertical="center"/>
    </xf>
    <xf numFmtId="0" fontId="7" fillId="0" borderId="0" xfId="75" applyFont="1" applyAlignment="1">
      <alignment horizontal="center" vertical="center"/>
    </xf>
    <xf numFmtId="0" fontId="12" fillId="0" borderId="0" xfId="75" applyFont="1" applyAlignment="1">
      <alignment horizontal="center" vertical="center"/>
    </xf>
    <xf numFmtId="3" fontId="7" fillId="0" borderId="0" xfId="66" applyNumberFormat="1" applyFont="1" applyAlignment="1">
      <alignment horizontal="center" vertical="center"/>
    </xf>
    <xf numFmtId="0" fontId="7" fillId="0" borderId="0" xfId="66" applyFont="1" applyAlignment="1">
      <alignment horizontal="center" vertical="center"/>
    </xf>
    <xf numFmtId="0" fontId="12" fillId="0" borderId="0" xfId="66" applyFont="1" applyAlignment="1">
      <alignment horizontal="center" vertical="center"/>
    </xf>
    <xf numFmtId="0" fontId="7" fillId="0" borderId="0" xfId="93" applyNumberFormat="1" applyFont="1" applyFill="1" applyBorder="1" applyAlignment="1">
      <alignment horizontal="left" vertical="top" wrapText="1"/>
    </xf>
    <xf numFmtId="0" fontId="38" fillId="0" borderId="0" xfId="93" applyNumberFormat="1" applyFont="1" applyFill="1" applyBorder="1" applyAlignment="1">
      <alignment vertical="top" wrapText="1"/>
    </xf>
    <xf numFmtId="3" fontId="38" fillId="0" borderId="0" xfId="0" applyNumberFormat="1" applyFont="1" applyFill="1" applyBorder="1" applyAlignment="1"/>
    <xf numFmtId="3" fontId="38" fillId="0" borderId="0" xfId="0" applyNumberFormat="1" applyFont="1" applyFill="1" applyBorder="1" applyAlignment="1">
      <alignment horizontal="right"/>
    </xf>
    <xf numFmtId="0" fontId="67" fillId="0" borderId="19" xfId="93" applyNumberFormat="1" applyFont="1" applyFill="1" applyBorder="1" applyAlignment="1">
      <alignment horizontal="left" vertical="top" wrapText="1"/>
    </xf>
    <xf numFmtId="0" fontId="67" fillId="0" borderId="19" xfId="0" applyNumberFormat="1" applyFont="1" applyFill="1" applyBorder="1" applyAlignment="1">
      <alignment wrapText="1"/>
    </xf>
    <xf numFmtId="3" fontId="30" fillId="55" borderId="0" xfId="75" applyNumberFormat="1" applyFont="1" applyFill="1" applyAlignment="1"/>
    <xf numFmtId="0" fontId="30" fillId="55" borderId="0" xfId="75" applyFont="1" applyFill="1" applyAlignment="1"/>
    <xf numFmtId="3" fontId="67" fillId="65" borderId="13" xfId="66" applyNumberFormat="1" applyFont="1" applyFill="1" applyBorder="1" applyAlignment="1">
      <alignment horizontal="right"/>
    </xf>
    <xf numFmtId="3" fontId="38" fillId="49" borderId="13" xfId="0" applyNumberFormat="1" applyFont="1" applyFill="1" applyBorder="1" applyAlignment="1">
      <alignment horizontal="right"/>
    </xf>
    <xf numFmtId="0" fontId="8" fillId="64" borderId="0" xfId="147" applyFont="1" applyFill="1" applyBorder="1" applyAlignment="1">
      <alignment horizontal="centerContinuous"/>
    </xf>
    <xf numFmtId="0" fontId="8" fillId="64" borderId="0" xfId="147" applyFont="1" applyFill="1" applyBorder="1" applyAlignment="1">
      <alignment wrapText="1"/>
    </xf>
    <xf numFmtId="0" fontId="38" fillId="0" borderId="0" xfId="122" quotePrefix="1" applyFont="1" applyBorder="1" applyAlignment="1">
      <alignment horizontal="left" vertical="center" wrapText="1" indent="5" shrinkToFit="1"/>
    </xf>
    <xf numFmtId="3" fontId="30" fillId="0" borderId="0" xfId="0" applyNumberFormat="1" applyFont="1" applyFill="1" applyBorder="1" applyAlignment="1">
      <alignment horizontal="right"/>
    </xf>
    <xf numFmtId="0" fontId="6" fillId="0" borderId="0" xfId="75" applyFont="1" applyBorder="1" applyAlignment="1">
      <alignment horizontal="right" vertical="top"/>
    </xf>
    <xf numFmtId="0" fontId="100" fillId="0" borderId="0" xfId="75" applyFont="1" applyBorder="1" applyAlignment="1">
      <alignment wrapText="1"/>
    </xf>
    <xf numFmtId="3" fontId="109" fillId="0" borderId="0" xfId="75" applyNumberFormat="1" applyFont="1" applyBorder="1" applyAlignment="1"/>
    <xf numFmtId="3" fontId="109" fillId="0" borderId="0" xfId="75" applyNumberFormat="1" applyFont="1" applyFill="1" applyBorder="1" applyAlignment="1"/>
    <xf numFmtId="0" fontId="6" fillId="0" borderId="0" xfId="75" applyFont="1" applyFill="1" applyBorder="1" applyAlignment="1">
      <alignment wrapText="1"/>
    </xf>
    <xf numFmtId="3" fontId="109" fillId="0" borderId="0" xfId="75" quotePrefix="1" applyNumberFormat="1" applyFont="1" applyBorder="1" applyAlignment="1"/>
    <xf numFmtId="3" fontId="96" fillId="0" borderId="0" xfId="75" applyNumberFormat="1" applyFont="1" applyBorder="1" applyAlignment="1"/>
    <xf numFmtId="0" fontId="6" fillId="0" borderId="0" xfId="75" applyFont="1" applyFill="1" applyBorder="1" applyAlignment="1">
      <alignment horizontal="right" vertical="top"/>
    </xf>
    <xf numFmtId="3" fontId="30" fillId="0" borderId="0" xfId="84" applyNumberFormat="1" applyFont="1" applyBorder="1"/>
    <xf numFmtId="3" fontId="7" fillId="0" borderId="0" xfId="89" applyNumberFormat="1" applyFont="1" applyBorder="1"/>
    <xf numFmtId="0" fontId="6" fillId="0" borderId="0" xfId="75" applyFont="1" applyBorder="1" applyAlignment="1">
      <alignment horizontal="center" vertical="top"/>
    </xf>
    <xf numFmtId="0" fontId="99" fillId="0" borderId="0" xfId="75" applyFont="1" applyBorder="1" applyAlignment="1">
      <alignment wrapText="1"/>
    </xf>
    <xf numFmtId="3" fontId="7" fillId="0" borderId="0" xfId="84" applyNumberFormat="1" applyFont="1" applyBorder="1"/>
    <xf numFmtId="0" fontId="38" fillId="0" borderId="0" xfId="84" applyFont="1" applyBorder="1" applyAlignment="1"/>
    <xf numFmtId="0" fontId="38" fillId="0" borderId="0" xfId="84" applyFont="1" applyBorder="1"/>
    <xf numFmtId="3" fontId="38" fillId="0" borderId="0" xfId="84" applyNumberFormat="1" applyFont="1" applyBorder="1"/>
    <xf numFmtId="0" fontId="7" fillId="0" borderId="0" xfId="84" applyFont="1" applyBorder="1"/>
    <xf numFmtId="0" fontId="7" fillId="0" borderId="0" xfId="89" applyFont="1" applyBorder="1"/>
    <xf numFmtId="0" fontId="6" fillId="0" borderId="0" xfId="0" applyFont="1" applyAlignment="1">
      <alignment vertical="center"/>
    </xf>
    <xf numFmtId="0" fontId="6" fillId="0" borderId="0" xfId="0" applyFont="1" applyAlignment="1">
      <alignment wrapText="1"/>
    </xf>
    <xf numFmtId="16" fontId="35" fillId="0" borderId="0" xfId="75" applyNumberFormat="1" applyFont="1" applyAlignment="1">
      <alignment horizontal="right"/>
    </xf>
    <xf numFmtId="0" fontId="6" fillId="0" borderId="0" xfId="0" applyFont="1" applyAlignment="1">
      <alignment horizontal="right" vertical="center"/>
    </xf>
    <xf numFmtId="16" fontId="6" fillId="0" borderId="0" xfId="75" applyNumberFormat="1" applyFont="1" applyAlignment="1">
      <alignment horizontal="right"/>
    </xf>
    <xf numFmtId="1" fontId="7" fillId="0" borderId="17" xfId="84" applyNumberFormat="1" applyFont="1" applyBorder="1" applyAlignment="1">
      <alignment horizontal="center"/>
    </xf>
    <xf numFmtId="1" fontId="12" fillId="0" borderId="17" xfId="72" applyNumberFormat="1" applyFont="1" applyBorder="1" applyAlignment="1">
      <alignment horizontal="center"/>
    </xf>
    <xf numFmtId="3" fontId="30" fillId="53" borderId="13" xfId="66" applyNumberFormat="1" applyFont="1" applyFill="1" applyBorder="1" applyAlignment="1">
      <alignment vertical="center"/>
    </xf>
    <xf numFmtId="3" fontId="30" fillId="53" borderId="13" xfId="66" applyNumberFormat="1" applyFont="1" applyFill="1" applyBorder="1" applyAlignment="1">
      <alignment horizontal="right" vertical="center"/>
    </xf>
    <xf numFmtId="3" fontId="6" fillId="0" borderId="0" xfId="75" applyNumberFormat="1" applyFont="1" applyAlignment="1">
      <alignment horizontal="right" vertical="center"/>
    </xf>
    <xf numFmtId="0" fontId="6" fillId="0" borderId="0" xfId="75" applyFont="1" applyAlignment="1">
      <alignment horizontal="right" vertical="center"/>
    </xf>
    <xf numFmtId="3" fontId="99" fillId="0" borderId="0" xfId="75" applyNumberFormat="1" applyFont="1" applyAlignment="1"/>
    <xf numFmtId="0" fontId="6" fillId="0" borderId="0" xfId="75" applyFont="1" applyAlignment="1">
      <alignment vertical="top" wrapText="1"/>
    </xf>
    <xf numFmtId="3" fontId="115" fillId="0" borderId="0" xfId="75" applyNumberFormat="1" applyFont="1" applyAlignment="1"/>
    <xf numFmtId="0" fontId="35" fillId="56" borderId="0" xfId="75" applyFont="1" applyFill="1" applyAlignment="1">
      <alignment wrapText="1"/>
    </xf>
    <xf numFmtId="0" fontId="35" fillId="0" borderId="0" xfId="75" applyFont="1" applyAlignment="1">
      <alignment horizontal="left" vertical="top" wrapText="1"/>
    </xf>
    <xf numFmtId="3" fontId="6" fillId="0" borderId="0" xfId="75" applyNumberFormat="1" applyFont="1" applyFill="1" applyAlignment="1">
      <alignment horizontal="right"/>
    </xf>
    <xf numFmtId="0" fontId="6" fillId="0" borderId="0" xfId="75" applyFont="1" applyFill="1" applyAlignment="1">
      <alignment horizontal="right"/>
    </xf>
    <xf numFmtId="3" fontId="6" fillId="0" borderId="0" xfId="75" applyNumberFormat="1" applyFont="1" applyFill="1" applyAlignment="1">
      <alignment vertical="center"/>
    </xf>
    <xf numFmtId="0" fontId="6" fillId="0" borderId="0" xfId="75" applyFont="1" applyFill="1" applyAlignment="1">
      <alignment vertical="center"/>
    </xf>
    <xf numFmtId="0" fontId="6" fillId="0" borderId="0" xfId="0" applyFont="1" applyFill="1"/>
    <xf numFmtId="0" fontId="8" fillId="0" borderId="0" xfId="75" applyFont="1" applyFill="1" applyBorder="1" applyAlignment="1">
      <alignment horizontal="right"/>
    </xf>
    <xf numFmtId="3" fontId="10" fillId="0" borderId="0" xfId="75" applyNumberFormat="1" applyFont="1" applyFill="1" applyAlignment="1"/>
    <xf numFmtId="0" fontId="10" fillId="0" borderId="0" xfId="75" applyFont="1" applyFill="1" applyAlignment="1"/>
    <xf numFmtId="0" fontId="35" fillId="0" borderId="0" xfId="147" applyFont="1" applyFill="1" applyBorder="1" applyAlignment="1">
      <alignment wrapText="1"/>
    </xf>
    <xf numFmtId="0" fontId="35" fillId="0" borderId="0" xfId="75" applyFont="1" applyBorder="1" applyAlignment="1">
      <alignment vertical="top" wrapText="1"/>
    </xf>
    <xf numFmtId="0" fontId="35" fillId="0" borderId="0" xfId="75" applyFont="1" applyFill="1" applyBorder="1" applyAlignment="1">
      <alignment wrapText="1"/>
    </xf>
    <xf numFmtId="3" fontId="6" fillId="0" borderId="0" xfId="75" applyNumberFormat="1" applyFont="1" applyFill="1" applyBorder="1" applyAlignment="1"/>
    <xf numFmtId="0" fontId="35" fillId="0" borderId="0" xfId="75" applyFont="1" applyFill="1" applyBorder="1" applyAlignment="1">
      <alignment vertical="top" wrapText="1"/>
    </xf>
    <xf numFmtId="0" fontId="35" fillId="0" borderId="0" xfId="75" applyFont="1" applyFill="1" applyBorder="1" applyAlignment="1">
      <alignment horizontal="justify" vertical="top" wrapText="1"/>
    </xf>
    <xf numFmtId="0" fontId="10" fillId="0" borderId="0" xfId="75" applyFont="1" applyBorder="1" applyAlignment="1">
      <alignment horizontal="justify" vertical="center" wrapText="1"/>
    </xf>
    <xf numFmtId="0" fontId="35" fillId="0" borderId="0" xfId="75" applyFont="1" applyBorder="1" applyAlignment="1">
      <alignment horizontal="justify" vertical="center" wrapText="1"/>
    </xf>
    <xf numFmtId="0" fontId="8" fillId="0" borderId="0" xfId="75" applyFont="1" applyFill="1" applyBorder="1" applyAlignment="1">
      <alignment vertical="top" wrapText="1"/>
    </xf>
    <xf numFmtId="3" fontId="35" fillId="0" borderId="0" xfId="75" applyNumberFormat="1" applyFont="1" applyAlignment="1">
      <alignment horizontal="right"/>
    </xf>
    <xf numFmtId="0" fontId="35" fillId="0" borderId="0" xfId="75" quotePrefix="1" applyFont="1" applyFill="1" applyAlignment="1">
      <alignment wrapText="1"/>
    </xf>
    <xf numFmtId="0" fontId="8" fillId="0" borderId="0" xfId="66" applyFont="1" applyBorder="1" applyAlignment="1">
      <alignment horizontal="left" wrapText="1"/>
    </xf>
    <xf numFmtId="0" fontId="30" fillId="0" borderId="0" xfId="75" applyFont="1" applyAlignment="1">
      <alignment horizontal="center"/>
    </xf>
    <xf numFmtId="0" fontId="10" fillId="0" borderId="0" xfId="66" applyFont="1" applyAlignment="1">
      <alignment horizontal="left" wrapText="1"/>
    </xf>
    <xf numFmtId="0" fontId="8" fillId="0" borderId="0" xfId="66" applyFont="1" applyBorder="1" applyAlignment="1">
      <alignment horizontal="left" wrapText="1"/>
    </xf>
    <xf numFmtId="3" fontId="67" fillId="65" borderId="14" xfId="0" applyNumberFormat="1" applyFont="1" applyFill="1" applyBorder="1" applyAlignment="1">
      <alignment horizontal="right" vertical="center"/>
    </xf>
    <xf numFmtId="3" fontId="38" fillId="0" borderId="13" xfId="0" applyNumberFormat="1" applyFont="1" applyBorder="1" applyAlignment="1">
      <alignment horizontal="right" vertical="center"/>
    </xf>
    <xf numFmtId="3" fontId="38" fillId="0" borderId="13" xfId="0" applyNumberFormat="1" applyFont="1" applyFill="1" applyBorder="1" applyAlignment="1">
      <alignment horizontal="right" vertical="center"/>
    </xf>
    <xf numFmtId="3" fontId="67" fillId="65" borderId="13" xfId="0" applyNumberFormat="1" applyFont="1" applyFill="1" applyBorder="1" applyAlignment="1">
      <alignment horizontal="right" vertical="center"/>
    </xf>
    <xf numFmtId="3" fontId="38" fillId="0" borderId="13" xfId="0" applyNumberFormat="1" applyFont="1" applyFill="1" applyBorder="1" applyAlignment="1">
      <alignment horizontal="right" vertical="center" wrapText="1"/>
    </xf>
    <xf numFmtId="3" fontId="38" fillId="66" borderId="13" xfId="0" applyNumberFormat="1" applyFont="1" applyFill="1" applyBorder="1" applyAlignment="1">
      <alignment horizontal="right" vertical="center"/>
    </xf>
    <xf numFmtId="3" fontId="67" fillId="0" borderId="13" xfId="0" applyNumberFormat="1" applyFont="1" applyFill="1" applyBorder="1" applyAlignment="1">
      <alignment horizontal="right" vertical="center"/>
    </xf>
    <xf numFmtId="3" fontId="67" fillId="0" borderId="13" xfId="0" applyNumberFormat="1" applyFont="1" applyBorder="1" applyAlignment="1">
      <alignment horizontal="right" vertical="center"/>
    </xf>
    <xf numFmtId="3" fontId="38" fillId="49" borderId="13" xfId="0" applyNumberFormat="1" applyFont="1" applyFill="1" applyBorder="1" applyAlignment="1">
      <alignment horizontal="right" vertical="center" wrapText="1"/>
    </xf>
    <xf numFmtId="3" fontId="38" fillId="49" borderId="13" xfId="0" applyNumberFormat="1" applyFont="1" applyFill="1" applyBorder="1" applyAlignment="1">
      <alignment horizontal="right" vertical="center"/>
    </xf>
    <xf numFmtId="3" fontId="67" fillId="65" borderId="13" xfId="66" applyNumberFormat="1" applyFont="1" applyFill="1" applyBorder="1" applyAlignment="1">
      <alignment horizontal="right" vertical="center"/>
    </xf>
    <xf numFmtId="3" fontId="38" fillId="0" borderId="16" xfId="0" applyNumberFormat="1" applyFont="1" applyBorder="1" applyAlignment="1">
      <alignment horizontal="right" vertical="center"/>
    </xf>
    <xf numFmtId="3" fontId="67" fillId="65" borderId="14" xfId="66" applyNumberFormat="1" applyFont="1" applyFill="1" applyBorder="1" applyAlignment="1">
      <alignment horizontal="right" vertical="center"/>
    </xf>
    <xf numFmtId="3" fontId="38" fillId="0" borderId="13" xfId="66" applyNumberFormat="1" applyFont="1" applyBorder="1" applyAlignment="1">
      <alignment horizontal="right" vertical="center"/>
    </xf>
    <xf numFmtId="3" fontId="38" fillId="0" borderId="13" xfId="66" applyNumberFormat="1" applyFont="1" applyFill="1" applyBorder="1" applyAlignment="1">
      <alignment horizontal="right" vertical="center"/>
    </xf>
    <xf numFmtId="3" fontId="38" fillId="0" borderId="13" xfId="66" applyNumberFormat="1" applyFont="1" applyFill="1" applyBorder="1" applyAlignment="1">
      <alignment horizontal="right" vertical="center" wrapText="1"/>
    </xf>
    <xf numFmtId="3" fontId="38" fillId="66" borderId="13" xfId="66" applyNumberFormat="1" applyFont="1" applyFill="1" applyBorder="1" applyAlignment="1">
      <alignment horizontal="right" vertical="center"/>
    </xf>
    <xf numFmtId="3" fontId="67" fillId="0" borderId="13" xfId="66" applyNumberFormat="1" applyFont="1" applyFill="1" applyBorder="1" applyAlignment="1">
      <alignment horizontal="right" vertical="center"/>
    </xf>
    <xf numFmtId="3" fontId="67" fillId="0" borderId="13" xfId="66" applyNumberFormat="1" applyFont="1" applyBorder="1" applyAlignment="1">
      <alignment horizontal="right" vertical="center"/>
    </xf>
    <xf numFmtId="3" fontId="38" fillId="49" borderId="13" xfId="66" applyNumberFormat="1" applyFont="1" applyFill="1" applyBorder="1" applyAlignment="1">
      <alignment horizontal="right" vertical="center"/>
    </xf>
    <xf numFmtId="3" fontId="38" fillId="0" borderId="16" xfId="66" applyNumberFormat="1" applyFont="1" applyBorder="1" applyAlignment="1">
      <alignment horizontal="right" vertical="center"/>
    </xf>
    <xf numFmtId="3" fontId="38" fillId="0" borderId="16" xfId="66" applyNumberFormat="1" applyFont="1" applyFill="1" applyBorder="1" applyAlignment="1">
      <alignment horizontal="right" vertical="center"/>
    </xf>
    <xf numFmtId="3" fontId="67" fillId="0" borderId="0" xfId="66" applyNumberFormat="1" applyFont="1" applyFill="1" applyBorder="1" applyAlignment="1">
      <alignment horizontal="right" vertical="center"/>
    </xf>
    <xf numFmtId="3" fontId="38" fillId="0" borderId="0" xfId="66" applyNumberFormat="1" applyFont="1" applyFill="1" applyBorder="1" applyAlignment="1">
      <alignment horizontal="right" vertical="center"/>
    </xf>
    <xf numFmtId="3" fontId="38" fillId="0" borderId="0" xfId="75" applyNumberFormat="1" applyFont="1" applyBorder="1" applyAlignment="1">
      <alignment horizontal="right" vertical="center"/>
    </xf>
    <xf numFmtId="0" fontId="38" fillId="0" borderId="0" xfId="75" applyFont="1" applyBorder="1" applyAlignment="1">
      <alignment horizontal="right" vertical="center"/>
    </xf>
    <xf numFmtId="3" fontId="38" fillId="0" borderId="0" xfId="0" applyNumberFormat="1" applyFont="1" applyBorder="1" applyAlignment="1">
      <alignment horizontal="right" vertical="center"/>
    </xf>
    <xf numFmtId="0" fontId="38" fillId="0" borderId="0" xfId="0" applyFont="1" applyBorder="1" applyAlignment="1">
      <alignment horizontal="right" vertical="center"/>
    </xf>
    <xf numFmtId="0" fontId="39" fillId="55" borderId="0" xfId="147" applyFont="1" applyFill="1" applyBorder="1" applyAlignment="1">
      <alignment horizontal="centerContinuous"/>
    </xf>
    <xf numFmtId="0" fontId="39" fillId="55" borderId="0" xfId="147" applyFont="1" applyFill="1" applyBorder="1" applyAlignment="1">
      <alignment wrapText="1"/>
    </xf>
    <xf numFmtId="0" fontId="30" fillId="0" borderId="0" xfId="0" applyFont="1"/>
    <xf numFmtId="0" fontId="39" fillId="0" borderId="0" xfId="75" applyFont="1" applyAlignment="1"/>
    <xf numFmtId="0" fontId="39" fillId="0" borderId="0" xfId="75" applyFont="1" applyAlignment="1">
      <alignment wrapText="1"/>
    </xf>
    <xf numFmtId="0" fontId="39" fillId="0" borderId="0" xfId="75" applyFont="1" applyAlignment="1">
      <alignment horizontal="center"/>
    </xf>
    <xf numFmtId="0" fontId="96" fillId="0" borderId="0" xfId="75" applyFont="1" applyAlignment="1">
      <alignment wrapText="1"/>
    </xf>
    <xf numFmtId="0" fontId="30" fillId="0" borderId="0" xfId="75" applyFont="1" applyAlignment="1">
      <alignment horizontal="right" vertical="top"/>
    </xf>
    <xf numFmtId="0" fontId="30" fillId="0" borderId="0" xfId="75" applyFont="1" applyAlignment="1">
      <alignment vertical="top" wrapText="1"/>
    </xf>
    <xf numFmtId="0" fontId="116" fillId="0" borderId="0" xfId="75" applyFont="1" applyAlignment="1"/>
    <xf numFmtId="0" fontId="30" fillId="0" borderId="0" xfId="75" applyFont="1" applyAlignment="1">
      <alignment horizontal="right"/>
    </xf>
    <xf numFmtId="3" fontId="116" fillId="0" borderId="0" xfId="75" applyNumberFormat="1" applyFont="1" applyAlignment="1"/>
    <xf numFmtId="0" fontId="109" fillId="0" borderId="0" xfId="75" applyFont="1" applyAlignment="1">
      <alignment horizontal="right" vertical="top"/>
    </xf>
    <xf numFmtId="0" fontId="109" fillId="0" borderId="0" xfId="75" applyFont="1" applyAlignment="1">
      <alignment vertical="top" wrapText="1"/>
    </xf>
    <xf numFmtId="3" fontId="30" fillId="0" borderId="0" xfId="75" applyNumberFormat="1" applyFont="1" applyAlignment="1">
      <alignment vertical="top"/>
    </xf>
    <xf numFmtId="0" fontId="30" fillId="0" borderId="0" xfId="75" applyFont="1" applyAlignment="1">
      <alignment vertical="top"/>
    </xf>
    <xf numFmtId="0" fontId="30" fillId="56" borderId="0" xfId="75" applyFont="1" applyFill="1" applyAlignment="1">
      <alignment horizontal="right" vertical="top"/>
    </xf>
    <xf numFmtId="0" fontId="30" fillId="56" borderId="0" xfId="75" applyFont="1" applyFill="1" applyAlignment="1">
      <alignment wrapText="1"/>
    </xf>
    <xf numFmtId="0" fontId="30" fillId="0" borderId="0" xfId="75" applyFont="1" applyFill="1" applyAlignment="1">
      <alignment wrapText="1"/>
    </xf>
    <xf numFmtId="0" fontId="30" fillId="0" borderId="0" xfId="0" applyFont="1" applyAlignment="1"/>
    <xf numFmtId="0" fontId="30" fillId="0" borderId="0" xfId="0" applyFont="1" applyAlignment="1">
      <alignment wrapText="1"/>
    </xf>
    <xf numFmtId="3" fontId="30" fillId="0" borderId="0" xfId="0" applyNumberFormat="1" applyFont="1" applyAlignment="1"/>
    <xf numFmtId="0" fontId="10" fillId="0" borderId="0" xfId="75" applyFont="1" applyBorder="1" applyAlignment="1">
      <alignment horizontal="center"/>
    </xf>
    <xf numFmtId="0" fontId="10" fillId="0" borderId="0" xfId="75" applyFont="1" applyBorder="1" applyAlignment="1">
      <alignment horizontal="right"/>
    </xf>
    <xf numFmtId="0" fontId="10" fillId="0" borderId="0" xfId="75" applyFont="1" applyBorder="1" applyAlignment="1">
      <alignment wrapText="1"/>
    </xf>
    <xf numFmtId="0" fontId="7" fillId="0" borderId="0" xfId="93" applyNumberFormat="1" applyFont="1" applyFill="1" applyBorder="1" applyAlignment="1">
      <alignment horizontal="center" vertical="top" wrapText="1"/>
    </xf>
    <xf numFmtId="0" fontId="7" fillId="0" borderId="0" xfId="0" applyNumberFormat="1" applyFont="1" applyFill="1" applyBorder="1" applyAlignment="1">
      <alignment horizontal="center" vertical="top" wrapText="1"/>
    </xf>
    <xf numFmtId="0" fontId="38" fillId="0" borderId="0" xfId="0" applyNumberFormat="1" applyFont="1" applyFill="1" applyBorder="1" applyAlignment="1">
      <alignment vertical="top" wrapText="1"/>
    </xf>
    <xf numFmtId="0" fontId="38" fillId="0" borderId="0" xfId="0" applyNumberFormat="1" applyFont="1" applyFill="1" applyBorder="1" applyAlignment="1">
      <alignment wrapText="1"/>
    </xf>
    <xf numFmtId="0" fontId="10" fillId="0" borderId="0" xfId="75" applyNumberFormat="1" applyFont="1" applyFill="1" applyBorder="1" applyAlignment="1">
      <alignment wrapText="1"/>
    </xf>
    <xf numFmtId="0" fontId="38" fillId="0" borderId="0" xfId="0" applyNumberFormat="1" applyFont="1" applyFill="1" applyBorder="1" applyAlignment="1">
      <alignment horizontal="left" vertical="top" wrapText="1"/>
    </xf>
    <xf numFmtId="0" fontId="35" fillId="0" borderId="0" xfId="75" applyNumberFormat="1" applyFont="1" applyFill="1" applyBorder="1" applyAlignment="1">
      <alignment wrapText="1"/>
    </xf>
    <xf numFmtId="0" fontId="10" fillId="0" borderId="0" xfId="0" applyFont="1" applyBorder="1" applyAlignment="1">
      <alignment wrapText="1"/>
    </xf>
    <xf numFmtId="0" fontId="35" fillId="0" borderId="0" xfId="0" applyFont="1" applyBorder="1" applyAlignment="1">
      <alignment wrapText="1"/>
    </xf>
    <xf numFmtId="0" fontId="10" fillId="56" borderId="0" xfId="0" applyFont="1" applyFill="1" applyBorder="1" applyAlignment="1">
      <alignment wrapText="1"/>
    </xf>
    <xf numFmtId="3" fontId="36" fillId="53" borderId="0" xfId="67" applyNumberFormat="1" applyFont="1" applyFill="1" applyAlignment="1">
      <alignment wrapText="1"/>
    </xf>
    <xf numFmtId="3" fontId="8" fillId="53" borderId="0" xfId="67" applyNumberFormat="1" applyFont="1" applyFill="1" applyAlignment="1">
      <alignment wrapText="1"/>
    </xf>
    <xf numFmtId="3" fontId="10" fillId="53" borderId="0" xfId="67" applyNumberFormat="1" applyFont="1" applyFill="1" applyAlignment="1">
      <alignment wrapText="1"/>
    </xf>
    <xf numFmtId="0" fontId="8" fillId="71" borderId="0" xfId="75" applyFont="1" applyFill="1" applyAlignment="1">
      <alignment vertical="top" wrapText="1"/>
    </xf>
    <xf numFmtId="3" fontId="30" fillId="56" borderId="13" xfId="66" applyNumberFormat="1" applyFont="1" applyFill="1" applyBorder="1" applyAlignment="1">
      <alignment horizontal="right" wrapText="1"/>
    </xf>
    <xf numFmtId="3" fontId="30" fillId="56" borderId="19" xfId="66" applyNumberFormat="1" applyFont="1" applyFill="1" applyBorder="1" applyAlignment="1">
      <alignment horizontal="right"/>
    </xf>
    <xf numFmtId="3" fontId="39" fillId="0" borderId="0" xfId="75" applyNumberFormat="1" applyFont="1" applyAlignment="1">
      <alignment horizontal="right"/>
    </xf>
    <xf numFmtId="3" fontId="10" fillId="0" borderId="0" xfId="75" applyNumberFormat="1" applyFont="1" applyAlignment="1">
      <alignment horizontal="right"/>
    </xf>
    <xf numFmtId="3" fontId="39" fillId="0" borderId="0" xfId="75" applyNumberFormat="1" applyFont="1" applyBorder="1" applyAlignment="1">
      <alignment horizontal="right"/>
    </xf>
    <xf numFmtId="3" fontId="30" fillId="0" borderId="0" xfId="75" applyNumberFormat="1" applyFont="1" applyBorder="1" applyAlignment="1">
      <alignment horizontal="right"/>
    </xf>
    <xf numFmtId="3" fontId="9" fillId="0" borderId="0" xfId="0" applyNumberFormat="1" applyFont="1" applyBorder="1" applyAlignment="1">
      <alignment horizontal="right"/>
    </xf>
    <xf numFmtId="3" fontId="9" fillId="0" borderId="0" xfId="0" applyNumberFormat="1" applyFont="1" applyAlignment="1">
      <alignment horizontal="right"/>
    </xf>
    <xf numFmtId="3" fontId="7" fillId="0" borderId="0" xfId="0" applyNumberFormat="1" applyFont="1" applyBorder="1" applyAlignment="1">
      <alignment horizontal="right"/>
    </xf>
    <xf numFmtId="3" fontId="10" fillId="0" borderId="0" xfId="0" applyNumberFormat="1" applyFont="1" applyBorder="1" applyAlignment="1">
      <alignment horizontal="right"/>
    </xf>
    <xf numFmtId="3" fontId="10" fillId="0" borderId="0" xfId="0" applyNumberFormat="1" applyFont="1" applyAlignment="1">
      <alignment horizontal="right"/>
    </xf>
    <xf numFmtId="3" fontId="35" fillId="0" borderId="0" xfId="0" applyNumberFormat="1" applyFont="1" applyBorder="1" applyAlignment="1">
      <alignment horizontal="right"/>
    </xf>
    <xf numFmtId="3" fontId="35" fillId="0" borderId="0" xfId="0" applyNumberFormat="1" applyFont="1" applyAlignment="1">
      <alignment horizontal="right"/>
    </xf>
    <xf numFmtId="0" fontId="7" fillId="0" borderId="0" xfId="75" applyFont="1" applyAlignment="1">
      <alignment horizontal="right"/>
    </xf>
    <xf numFmtId="0" fontId="12" fillId="0" borderId="0" xfId="75" applyFont="1" applyAlignment="1">
      <alignment horizontal="right"/>
    </xf>
    <xf numFmtId="0" fontId="35" fillId="0" borderId="0" xfId="75" applyFont="1" applyFill="1" applyAlignment="1">
      <alignment vertical="top" wrapText="1"/>
    </xf>
    <xf numFmtId="3" fontId="38" fillId="66" borderId="13" xfId="66" applyNumberFormat="1" applyFont="1" applyFill="1" applyBorder="1" applyAlignment="1">
      <alignment horizontal="right"/>
    </xf>
    <xf numFmtId="3" fontId="7" fillId="49" borderId="13" xfId="66" applyNumberFormat="1" applyFont="1" applyFill="1" applyBorder="1" applyAlignment="1">
      <alignment horizontal="center" wrapText="1" shrinkToFit="1"/>
    </xf>
    <xf numFmtId="0" fontId="67" fillId="49" borderId="13" xfId="66" applyFont="1" applyFill="1" applyBorder="1" applyAlignment="1">
      <alignment vertical="top" wrapText="1"/>
    </xf>
    <xf numFmtId="0" fontId="39" fillId="66" borderId="13" xfId="93" applyNumberFormat="1" applyFont="1" applyFill="1" applyBorder="1" applyAlignment="1">
      <alignment vertical="top" wrapText="1"/>
    </xf>
    <xf numFmtId="0" fontId="38" fillId="66" borderId="13" xfId="93" applyNumberFormat="1" applyFont="1" applyFill="1" applyBorder="1" applyAlignment="1">
      <alignment vertical="top" wrapText="1"/>
    </xf>
    <xf numFmtId="0" fontId="38" fillId="66" borderId="13" xfId="66" applyNumberFormat="1" applyFont="1" applyFill="1" applyBorder="1" applyAlignment="1">
      <alignment wrapText="1"/>
    </xf>
    <xf numFmtId="0" fontId="38" fillId="66" borderId="13" xfId="135" applyNumberFormat="1" applyFont="1" applyFill="1" applyBorder="1" applyAlignment="1">
      <alignment wrapText="1" shrinkToFit="1"/>
    </xf>
    <xf numFmtId="0" fontId="38" fillId="66" borderId="13" xfId="66" applyFont="1" applyFill="1" applyBorder="1" applyAlignment="1">
      <alignment wrapText="1"/>
    </xf>
    <xf numFmtId="0" fontId="7" fillId="66" borderId="13" xfId="66" applyFont="1" applyFill="1" applyBorder="1" applyAlignment="1">
      <alignment horizontal="center" vertical="top"/>
    </xf>
    <xf numFmtId="0" fontId="38" fillId="66" borderId="13" xfId="66" applyNumberFormat="1" applyFont="1" applyFill="1" applyBorder="1" applyAlignment="1">
      <alignment vertical="top" wrapText="1"/>
    </xf>
    <xf numFmtId="0" fontId="35" fillId="0" borderId="0" xfId="75" applyFont="1" applyBorder="1" applyAlignment="1">
      <alignment horizontal="center"/>
    </xf>
    <xf numFmtId="0" fontId="94" fillId="0" borderId="0" xfId="75" applyFont="1" applyBorder="1" applyAlignment="1">
      <alignment wrapText="1"/>
    </xf>
    <xf numFmtId="0" fontId="42" fillId="0" borderId="0" xfId="0" applyFont="1" applyFill="1" applyBorder="1" applyAlignment="1">
      <alignment horizontal="left" vertical="top" wrapText="1"/>
    </xf>
    <xf numFmtId="0" fontId="42" fillId="66" borderId="0" xfId="0" applyFont="1" applyFill="1" applyBorder="1" applyAlignment="1">
      <alignment vertical="top" wrapText="1"/>
    </xf>
    <xf numFmtId="0" fontId="42" fillId="0" borderId="0" xfId="0" applyFont="1" applyFill="1" applyBorder="1" applyAlignment="1">
      <alignment horizontal="left" vertical="center" wrapText="1"/>
    </xf>
    <xf numFmtId="0" fontId="10" fillId="0" borderId="0" xfId="66" applyFont="1" applyAlignment="1">
      <alignment horizontal="left" wrapText="1"/>
    </xf>
    <xf numFmtId="0" fontId="8" fillId="0" borderId="0" xfId="66" applyFont="1" applyBorder="1" applyAlignment="1">
      <alignment horizontal="left" wrapText="1"/>
    </xf>
    <xf numFmtId="3" fontId="38" fillId="49" borderId="13" xfId="66" applyNumberFormat="1" applyFont="1" applyFill="1" applyBorder="1" applyAlignment="1">
      <alignment horizontal="right" wrapText="1"/>
    </xf>
    <xf numFmtId="3" fontId="38" fillId="49" borderId="13" xfId="66" applyNumberFormat="1" applyFont="1" applyFill="1" applyBorder="1" applyAlignment="1">
      <alignment horizontal="right"/>
    </xf>
    <xf numFmtId="0" fontId="71" fillId="0" borderId="0" xfId="0" applyFont="1" applyFill="1" applyBorder="1" applyAlignment="1">
      <alignment horizontal="left" vertical="top" wrapText="1"/>
    </xf>
    <xf numFmtId="0" fontId="71" fillId="0" borderId="0" xfId="0" applyFont="1" applyFill="1" applyBorder="1" applyAlignment="1">
      <alignment horizontal="left" vertical="center" wrapText="1"/>
    </xf>
    <xf numFmtId="0" fontId="10" fillId="0" borderId="0" xfId="75" applyFont="1" applyFill="1" applyBorder="1" applyAlignment="1">
      <alignment vertical="center" wrapText="1"/>
    </xf>
    <xf numFmtId="3" fontId="41" fillId="54" borderId="0" xfId="67" applyNumberFormat="1" applyFont="1" applyFill="1" applyAlignment="1">
      <alignment wrapText="1"/>
    </xf>
    <xf numFmtId="3" fontId="10" fillId="0" borderId="0" xfId="75" applyNumberFormat="1" applyFont="1" applyFill="1" applyBorder="1" applyAlignment="1"/>
    <xf numFmtId="0" fontId="10" fillId="0" borderId="0" xfId="75" applyFont="1" applyFill="1" applyBorder="1" applyAlignment="1"/>
    <xf numFmtId="3" fontId="6" fillId="0" borderId="0" xfId="75" applyNumberFormat="1" applyFont="1" applyFill="1" applyBorder="1" applyAlignment="1">
      <alignment horizontal="right" vertical="center"/>
    </xf>
    <xf numFmtId="0" fontId="6" fillId="0" borderId="0" xfId="75" applyFont="1" applyFill="1" applyBorder="1" applyAlignment="1">
      <alignment horizontal="right"/>
    </xf>
    <xf numFmtId="3" fontId="6" fillId="0" borderId="0" xfId="75" applyNumberFormat="1" applyFont="1" applyFill="1" applyBorder="1" applyAlignment="1">
      <alignment horizontal="right"/>
    </xf>
    <xf numFmtId="0" fontId="6" fillId="0" borderId="0" xfId="75" applyFont="1" applyFill="1" applyBorder="1" applyAlignment="1"/>
    <xf numFmtId="3" fontId="6" fillId="0" borderId="0" xfId="75" applyNumberFormat="1" applyFont="1" applyAlignment="1">
      <alignment vertical="top"/>
    </xf>
    <xf numFmtId="0" fontId="6" fillId="0" borderId="0" xfId="75" applyFont="1" applyAlignment="1">
      <alignment vertical="top"/>
    </xf>
    <xf numFmtId="3" fontId="6" fillId="0" borderId="0" xfId="75" applyNumberFormat="1" applyFont="1" applyAlignment="1">
      <alignment horizontal="center"/>
    </xf>
    <xf numFmtId="3" fontId="6" fillId="0" borderId="0" xfId="75" applyNumberFormat="1" applyFont="1" applyAlignment="1">
      <alignment horizontal="right" vertical="top"/>
    </xf>
    <xf numFmtId="3" fontId="7" fillId="0" borderId="0" xfId="0" applyNumberFormat="1" applyFont="1" applyFill="1"/>
    <xf numFmtId="0" fontId="10" fillId="0" borderId="0" xfId="66" applyFont="1" applyAlignment="1">
      <alignment horizontal="left" wrapText="1"/>
    </xf>
    <xf numFmtId="0" fontId="8" fillId="0" borderId="0" xfId="66" applyFont="1" applyBorder="1" applyAlignment="1">
      <alignment horizontal="left" wrapText="1"/>
    </xf>
    <xf numFmtId="3" fontId="38" fillId="0" borderId="0" xfId="75" applyNumberFormat="1" applyFont="1" applyAlignment="1">
      <alignment horizontal="right"/>
    </xf>
    <xf numFmtId="3" fontId="35" fillId="0" borderId="0" xfId="75" applyNumberFormat="1" applyFont="1" applyBorder="1" applyAlignment="1">
      <alignment wrapText="1"/>
    </xf>
    <xf numFmtId="0" fontId="8" fillId="0" borderId="0" xfId="75" applyFont="1" applyBorder="1" applyAlignment="1">
      <alignment horizontal="center"/>
    </xf>
    <xf numFmtId="0" fontId="7" fillId="0" borderId="0" xfId="75" applyFont="1" applyBorder="1" applyAlignment="1">
      <alignment horizontal="right"/>
    </xf>
    <xf numFmtId="0" fontId="7" fillId="0" borderId="0" xfId="75" applyFont="1" applyBorder="1" applyAlignment="1">
      <alignment wrapText="1"/>
    </xf>
    <xf numFmtId="0" fontId="7" fillId="0" borderId="0" xfId="66" applyFont="1" applyBorder="1" applyAlignment="1"/>
    <xf numFmtId="3" fontId="30" fillId="0" borderId="0" xfId="75" applyNumberFormat="1" applyFont="1" applyFill="1" applyAlignment="1">
      <alignment horizontal="right"/>
    </xf>
    <xf numFmtId="0" fontId="10" fillId="72" borderId="0" xfId="0" applyFont="1" applyFill="1" applyAlignment="1">
      <alignment horizontal="justify"/>
    </xf>
    <xf numFmtId="0" fontId="5" fillId="0" borderId="0" xfId="93" applyNumberFormat="1" applyFont="1" applyFill="1" applyBorder="1" applyAlignment="1">
      <alignment vertical="top" wrapText="1"/>
    </xf>
    <xf numFmtId="0" fontId="5" fillId="0" borderId="0" xfId="93" applyNumberFormat="1" applyFont="1" applyFill="1" applyBorder="1" applyAlignment="1">
      <alignment horizontal="left" vertical="top" wrapText="1"/>
    </xf>
    <xf numFmtId="0" fontId="30" fillId="0" borderId="0" xfId="66" applyNumberFormat="1" applyFont="1" applyFill="1" applyBorder="1" applyAlignment="1">
      <alignment horizontal="left" vertical="top" wrapText="1"/>
    </xf>
    <xf numFmtId="0" fontId="10" fillId="0" borderId="0" xfId="75" applyFont="1" applyFill="1" applyAlignment="1">
      <alignment horizontal="right"/>
    </xf>
    <xf numFmtId="3" fontId="67" fillId="0" borderId="0" xfId="66" applyNumberFormat="1" applyFont="1" applyFill="1" applyBorder="1" applyAlignment="1"/>
    <xf numFmtId="3" fontId="67" fillId="0" borderId="0" xfId="66" applyNumberFormat="1" applyFont="1" applyFill="1" applyBorder="1" applyAlignment="1">
      <alignment horizontal="right"/>
    </xf>
    <xf numFmtId="3" fontId="39" fillId="0" borderId="0" xfId="66" applyNumberFormat="1" applyFont="1" applyFill="1" applyBorder="1" applyAlignment="1">
      <alignment horizontal="right"/>
    </xf>
    <xf numFmtId="3" fontId="39" fillId="0" borderId="0" xfId="66" applyNumberFormat="1" applyFont="1" applyFill="1" applyBorder="1" applyAlignment="1"/>
    <xf numFmtId="3" fontId="38" fillId="0" borderId="0" xfId="66" applyNumberFormat="1" applyFont="1" applyFill="1" applyBorder="1" applyAlignment="1"/>
    <xf numFmtId="3" fontId="38" fillId="0" borderId="0" xfId="66" applyNumberFormat="1" applyFont="1" applyFill="1" applyBorder="1" applyAlignment="1">
      <alignment horizontal="right"/>
    </xf>
    <xf numFmtId="3" fontId="38" fillId="0" borderId="0" xfId="66" applyNumberFormat="1" applyFont="1" applyFill="1" applyBorder="1" applyAlignment="1">
      <alignment horizontal="center"/>
    </xf>
    <xf numFmtId="3" fontId="38" fillId="0" borderId="0" xfId="66" applyNumberFormat="1" applyFont="1" applyFill="1" applyBorder="1" applyAlignment="1">
      <alignment wrapText="1"/>
    </xf>
    <xf numFmtId="3" fontId="30" fillId="0" borderId="0" xfId="66" applyNumberFormat="1" applyFont="1" applyFill="1" applyBorder="1" applyAlignment="1">
      <alignment horizontal="right" wrapText="1"/>
    </xf>
    <xf numFmtId="3" fontId="30" fillId="0" borderId="0" xfId="66" applyNumberFormat="1" applyFont="1" applyFill="1" applyBorder="1" applyAlignment="1">
      <alignment horizontal="center" wrapText="1"/>
    </xf>
    <xf numFmtId="0" fontId="30" fillId="0" borderId="0" xfId="66" applyNumberFormat="1" applyFont="1" applyFill="1" applyBorder="1" applyAlignment="1">
      <alignment vertical="top" wrapText="1"/>
    </xf>
    <xf numFmtId="0" fontId="12" fillId="0" borderId="0" xfId="66" applyNumberFormat="1" applyFont="1" applyFill="1" applyBorder="1" applyAlignment="1">
      <alignment horizontal="center" vertical="top" wrapText="1"/>
    </xf>
    <xf numFmtId="0" fontId="12" fillId="0" borderId="0" xfId="66" applyNumberFormat="1" applyFont="1" applyFill="1" applyBorder="1" applyAlignment="1">
      <alignment horizontal="right" vertical="top" wrapText="1"/>
    </xf>
    <xf numFmtId="0" fontId="30" fillId="0" borderId="0" xfId="66" applyNumberFormat="1" applyFont="1" applyFill="1" applyBorder="1" applyAlignment="1">
      <alignment wrapText="1"/>
    </xf>
    <xf numFmtId="3" fontId="38" fillId="56" borderId="0" xfId="66" applyNumberFormat="1" applyFont="1" applyFill="1" applyBorder="1" applyAlignment="1"/>
    <xf numFmtId="3" fontId="38" fillId="56" borderId="0" xfId="66" applyNumberFormat="1" applyFont="1" applyFill="1" applyBorder="1" applyAlignment="1">
      <alignment horizontal="right"/>
    </xf>
    <xf numFmtId="3" fontId="30" fillId="56" borderId="0" xfId="66" applyNumberFormat="1" applyFont="1" applyFill="1" applyBorder="1" applyAlignment="1">
      <alignment horizontal="right"/>
    </xf>
    <xf numFmtId="0" fontId="67" fillId="0" borderId="0" xfId="66" applyNumberFormat="1" applyFont="1" applyFill="1" applyBorder="1" applyAlignment="1">
      <alignment wrapText="1"/>
    </xf>
    <xf numFmtId="0" fontId="7" fillId="0" borderId="0" xfId="66" applyNumberFormat="1" applyFont="1" applyFill="1" applyBorder="1" applyAlignment="1">
      <alignment horizontal="left" vertical="top" wrapText="1"/>
    </xf>
    <xf numFmtId="0" fontId="38" fillId="0" borderId="0" xfId="66" applyNumberFormat="1" applyFont="1" applyFill="1" applyBorder="1" applyAlignment="1">
      <alignment vertical="top" wrapText="1"/>
    </xf>
    <xf numFmtId="0" fontId="7" fillId="0" borderId="0" xfId="66" applyNumberFormat="1" applyFont="1" applyFill="1" applyBorder="1" applyAlignment="1">
      <alignment horizontal="center" vertical="top" wrapText="1"/>
    </xf>
    <xf numFmtId="0" fontId="7" fillId="0" borderId="0" xfId="66" applyNumberFormat="1" applyFont="1" applyFill="1" applyBorder="1" applyAlignment="1">
      <alignment horizontal="right" vertical="top" wrapText="1"/>
    </xf>
    <xf numFmtId="0" fontId="38" fillId="0" borderId="0" xfId="66" applyNumberFormat="1" applyFont="1" applyFill="1" applyBorder="1" applyAlignment="1">
      <alignment wrapText="1"/>
    </xf>
    <xf numFmtId="0" fontId="38" fillId="0" borderId="0" xfId="66" applyNumberFormat="1" applyFont="1" applyBorder="1" applyAlignment="1">
      <alignment wrapText="1"/>
    </xf>
    <xf numFmtId="0" fontId="38" fillId="0" borderId="0" xfId="66" applyNumberFormat="1" applyFont="1" applyBorder="1" applyAlignment="1">
      <alignment vertical="center" wrapText="1"/>
    </xf>
    <xf numFmtId="0" fontId="7" fillId="0" borderId="0" xfId="66" applyNumberFormat="1" applyFont="1" applyFill="1" applyBorder="1" applyAlignment="1">
      <alignment horizontal="center" vertical="center" wrapText="1"/>
    </xf>
    <xf numFmtId="0" fontId="67" fillId="0" borderId="0" xfId="66" applyNumberFormat="1" applyFont="1" applyFill="1" applyBorder="1" applyAlignment="1">
      <alignment vertical="top" wrapText="1"/>
    </xf>
    <xf numFmtId="3" fontId="67" fillId="0" borderId="0" xfId="66" applyNumberFormat="1" applyFont="1" applyBorder="1" applyAlignment="1"/>
    <xf numFmtId="3" fontId="67" fillId="0" borderId="0" xfId="66" applyNumberFormat="1" applyFont="1" applyBorder="1" applyAlignment="1">
      <alignment horizontal="right"/>
    </xf>
    <xf numFmtId="3" fontId="39" fillId="0" borderId="0" xfId="66" applyNumberFormat="1" applyFont="1" applyBorder="1" applyAlignment="1">
      <alignment horizontal="right"/>
    </xf>
    <xf numFmtId="0" fontId="5" fillId="0" borderId="0" xfId="66" applyNumberFormat="1" applyFont="1" applyFill="1" applyBorder="1" applyAlignment="1">
      <alignment horizontal="left" vertical="top" wrapText="1"/>
    </xf>
    <xf numFmtId="3" fontId="38" fillId="0" borderId="0" xfId="66" applyNumberFormat="1" applyFont="1" applyBorder="1" applyAlignment="1"/>
    <xf numFmtId="3" fontId="38" fillId="0" borderId="0" xfId="66" applyNumberFormat="1" applyFont="1" applyBorder="1" applyAlignment="1">
      <alignment horizontal="right"/>
    </xf>
    <xf numFmtId="3" fontId="30" fillId="0" borderId="0" xfId="66" applyNumberFormat="1" applyFont="1" applyBorder="1" applyAlignment="1">
      <alignment horizontal="right"/>
    </xf>
    <xf numFmtId="0" fontId="38" fillId="0" borderId="0" xfId="66" applyNumberFormat="1" applyFont="1" applyFill="1" applyBorder="1" applyAlignment="1">
      <alignment horizontal="justify" vertical="top" wrapText="1"/>
    </xf>
    <xf numFmtId="0" fontId="7" fillId="0" borderId="0" xfId="93" applyNumberFormat="1" applyFont="1" applyFill="1" applyBorder="1" applyAlignment="1">
      <alignment vertical="top"/>
    </xf>
    <xf numFmtId="0" fontId="10" fillId="72" borderId="0" xfId="75" applyFont="1" applyFill="1" applyBorder="1" applyAlignment="1">
      <alignment wrapText="1"/>
    </xf>
    <xf numFmtId="3" fontId="39" fillId="0" borderId="0" xfId="75" applyNumberFormat="1" applyFont="1" applyBorder="1" applyAlignment="1"/>
    <xf numFmtId="0" fontId="39" fillId="0" borderId="0" xfId="75" applyFont="1" applyBorder="1" applyAlignment="1"/>
    <xf numFmtId="0" fontId="67" fillId="0" borderId="0" xfId="93" applyNumberFormat="1" applyFont="1" applyFill="1" applyBorder="1" applyAlignment="1">
      <alignment vertical="top" wrapText="1"/>
    </xf>
    <xf numFmtId="0" fontId="38" fillId="0" borderId="0" xfId="66" applyNumberFormat="1" applyFont="1" applyFill="1" applyBorder="1" applyAlignment="1">
      <alignment horizontal="left" vertical="top" wrapText="1"/>
    </xf>
    <xf numFmtId="17" fontId="10" fillId="0" borderId="0" xfId="75" quotePrefix="1" applyNumberFormat="1" applyFont="1" applyFill="1" applyAlignment="1">
      <alignment horizontal="right"/>
    </xf>
    <xf numFmtId="0" fontId="10" fillId="0" borderId="0" xfId="75" applyFont="1" applyAlignment="1">
      <alignment horizontal="right"/>
    </xf>
    <xf numFmtId="0" fontId="10" fillId="54" borderId="0" xfId="75" applyFont="1" applyFill="1" applyAlignment="1">
      <alignment wrapText="1"/>
    </xf>
    <xf numFmtId="3" fontId="39" fillId="0" borderId="0" xfId="75" applyNumberFormat="1" applyFont="1" applyFill="1" applyBorder="1" applyAlignment="1"/>
    <xf numFmtId="0" fontId="30" fillId="0" borderId="0" xfId="66" applyFont="1" applyBorder="1" applyAlignment="1"/>
    <xf numFmtId="0" fontId="30" fillId="0" borderId="0" xfId="75" applyFont="1" applyFill="1" applyBorder="1" applyAlignment="1"/>
    <xf numFmtId="3" fontId="30" fillId="0" borderId="0" xfId="75" applyNumberFormat="1" applyFont="1" applyFill="1" applyBorder="1" applyAlignment="1"/>
    <xf numFmtId="0" fontId="10" fillId="54" borderId="0" xfId="75" applyFont="1" applyFill="1" applyBorder="1" applyAlignment="1">
      <alignment wrapText="1"/>
    </xf>
    <xf numFmtId="0" fontId="39" fillId="0" borderId="0" xfId="93" applyNumberFormat="1" applyFont="1" applyFill="1" applyBorder="1" applyAlignment="1">
      <alignment horizontal="left" vertical="top" wrapText="1"/>
    </xf>
    <xf numFmtId="0" fontId="39" fillId="0" borderId="0" xfId="93" applyNumberFormat="1" applyFont="1" applyFill="1" applyBorder="1" applyAlignment="1">
      <alignment vertical="top" wrapText="1"/>
    </xf>
    <xf numFmtId="0" fontId="30" fillId="0" borderId="0" xfId="93" applyNumberFormat="1" applyFont="1" applyFill="1" applyBorder="1" applyAlignment="1">
      <alignment horizontal="left" vertical="top" wrapText="1"/>
    </xf>
    <xf numFmtId="0" fontId="12" fillId="0" borderId="0" xfId="93" applyNumberFormat="1" applyFont="1" applyFill="1" applyBorder="1" applyAlignment="1">
      <alignment horizontal="right" vertical="top" wrapText="1"/>
    </xf>
    <xf numFmtId="0" fontId="30" fillId="0" borderId="0" xfId="93" applyNumberFormat="1" applyFont="1" applyFill="1" applyBorder="1" applyAlignment="1">
      <alignment horizontal="right" vertical="top" wrapText="1"/>
    </xf>
    <xf numFmtId="0" fontId="117" fillId="0" borderId="0" xfId="0" applyFont="1" applyFill="1" applyBorder="1" applyAlignment="1">
      <alignment horizontal="right" vertical="top" wrapText="1"/>
    </xf>
    <xf numFmtId="0" fontId="10" fillId="54" borderId="0" xfId="0" applyFont="1" applyFill="1" applyAlignment="1">
      <alignment horizontal="center" wrapText="1"/>
    </xf>
    <xf numFmtId="3" fontId="118" fillId="0" borderId="0" xfId="0" applyNumberFormat="1" applyFont="1" applyBorder="1"/>
    <xf numFmtId="3" fontId="119" fillId="0" borderId="0" xfId="0" applyNumberFormat="1" applyFont="1" applyBorder="1"/>
    <xf numFmtId="3" fontId="120" fillId="0" borderId="0" xfId="0" applyNumberFormat="1" applyFont="1" applyFill="1" applyBorder="1"/>
    <xf numFmtId="0" fontId="39" fillId="0" borderId="0" xfId="75" applyFont="1" applyFill="1" applyBorder="1" applyAlignment="1"/>
    <xf numFmtId="0" fontId="30" fillId="0" borderId="0" xfId="66" applyFont="1" applyFill="1" applyBorder="1" applyAlignment="1"/>
    <xf numFmtId="3" fontId="119" fillId="0" borderId="0" xfId="0" applyNumberFormat="1" applyFont="1" applyFill="1" applyBorder="1"/>
    <xf numFmtId="0" fontId="10" fillId="73" borderId="0" xfId="75" applyFont="1" applyFill="1" applyBorder="1" applyAlignment="1">
      <alignment wrapText="1"/>
    </xf>
    <xf numFmtId="0" fontId="7" fillId="0" borderId="0" xfId="66" applyFont="1" applyBorder="1"/>
    <xf numFmtId="0" fontId="30" fillId="0" borderId="0" xfId="66" applyFont="1" applyBorder="1"/>
    <xf numFmtId="14" fontId="10" fillId="0" borderId="0" xfId="75" quotePrefix="1" applyNumberFormat="1" applyFont="1" applyBorder="1" applyAlignment="1"/>
    <xf numFmtId="0" fontId="10" fillId="52" borderId="0" xfId="93" applyNumberFormat="1" applyFont="1" applyFill="1" applyBorder="1" applyAlignment="1">
      <alignment vertical="top" wrapText="1"/>
    </xf>
    <xf numFmtId="3" fontId="7" fillId="0" borderId="0" xfId="66" applyNumberFormat="1" applyFont="1" applyBorder="1" applyAlignment="1"/>
    <xf numFmtId="3" fontId="30" fillId="0" borderId="0" xfId="66" applyNumberFormat="1" applyFont="1" applyBorder="1" applyAlignment="1"/>
    <xf numFmtId="3" fontId="7" fillId="0" borderId="0" xfId="66" applyNumberFormat="1" applyFont="1" applyFill="1" applyAlignment="1"/>
    <xf numFmtId="3" fontId="117" fillId="0" borderId="0" xfId="0" applyNumberFormat="1" applyFont="1" applyFill="1" applyBorder="1" applyAlignment="1">
      <alignment vertical="top" wrapText="1"/>
    </xf>
    <xf numFmtId="3" fontId="120" fillId="0" borderId="0" xfId="0" applyNumberFormat="1" applyFont="1" applyFill="1" applyBorder="1" applyAlignment="1">
      <alignment vertical="top" wrapText="1"/>
    </xf>
    <xf numFmtId="3" fontId="121" fillId="0" borderId="0" xfId="0" applyNumberFormat="1" applyFont="1" applyFill="1" applyBorder="1" applyAlignment="1">
      <alignment vertical="top" wrapText="1"/>
    </xf>
    <xf numFmtId="3" fontId="119" fillId="0" borderId="0" xfId="0" applyNumberFormat="1" applyFont="1" applyFill="1" applyBorder="1" applyAlignment="1">
      <alignment vertical="top" wrapText="1"/>
    </xf>
    <xf numFmtId="0" fontId="122" fillId="52" borderId="0" xfId="0" applyFont="1" applyFill="1" applyBorder="1" applyAlignment="1">
      <alignment horizontal="left" vertical="top" wrapText="1"/>
    </xf>
    <xf numFmtId="3" fontId="39" fillId="0" borderId="0" xfId="66" applyNumberFormat="1" applyFont="1" applyFill="1" applyBorder="1" applyAlignment="1">
      <alignment wrapText="1"/>
    </xf>
    <xf numFmtId="3" fontId="30" fillId="0" borderId="0" xfId="66" applyNumberFormat="1" applyFont="1" applyFill="1" applyBorder="1" applyAlignment="1">
      <alignment wrapText="1"/>
    </xf>
    <xf numFmtId="0" fontId="10" fillId="0" borderId="0" xfId="75" quotePrefix="1" applyFont="1" applyBorder="1" applyAlignment="1"/>
    <xf numFmtId="0" fontId="122" fillId="0" borderId="0" xfId="0" quotePrefix="1" applyFont="1" applyFill="1" applyBorder="1" applyAlignment="1">
      <alignment horizontal="right" vertical="top" wrapText="1"/>
    </xf>
    <xf numFmtId="0" fontId="5" fillId="0" borderId="0" xfId="93" applyNumberFormat="1" applyFont="1" applyFill="1" applyBorder="1" applyAlignment="1">
      <alignment horizontal="right" vertical="top" wrapText="1"/>
    </xf>
    <xf numFmtId="0" fontId="7" fillId="0" borderId="0" xfId="93" applyNumberFormat="1" applyFont="1" applyFill="1" applyBorder="1" applyAlignment="1">
      <alignment horizontal="right" vertical="top" wrapText="1"/>
    </xf>
    <xf numFmtId="0" fontId="36" fillId="52" borderId="0" xfId="0" applyFont="1" applyFill="1" applyBorder="1" applyAlignment="1">
      <alignment vertical="top" wrapText="1"/>
    </xf>
    <xf numFmtId="0" fontId="122" fillId="0" borderId="0" xfId="0" applyFont="1" applyFill="1" applyBorder="1" applyAlignment="1">
      <alignment vertical="top" wrapText="1"/>
    </xf>
    <xf numFmtId="0" fontId="10" fillId="0" borderId="0" xfId="75" applyFont="1" applyBorder="1" applyAlignment="1"/>
    <xf numFmtId="0" fontId="41" fillId="52" borderId="0" xfId="0" applyFont="1" applyFill="1" applyBorder="1" applyAlignment="1">
      <alignment horizontal="left" vertical="top" wrapText="1"/>
    </xf>
    <xf numFmtId="3" fontId="42" fillId="0" borderId="0" xfId="0" applyNumberFormat="1" applyFont="1" applyFill="1" applyBorder="1" applyAlignment="1">
      <alignment horizontal="right" vertical="top" wrapText="1"/>
    </xf>
    <xf numFmtId="3" fontId="123" fillId="0" borderId="0" xfId="0" applyNumberFormat="1" applyFont="1" applyFill="1" applyBorder="1" applyAlignment="1">
      <alignment horizontal="right" vertical="top" wrapText="1"/>
    </xf>
    <xf numFmtId="0" fontId="36" fillId="52" borderId="0" xfId="0" applyFont="1" applyFill="1" applyBorder="1" applyAlignment="1">
      <alignment horizontal="left" vertical="top" wrapText="1"/>
    </xf>
    <xf numFmtId="3" fontId="71" fillId="56" borderId="0" xfId="0" applyNumberFormat="1" applyFont="1" applyFill="1" applyBorder="1" applyAlignment="1">
      <alignment horizontal="right" vertical="center" wrapText="1"/>
    </xf>
    <xf numFmtId="3" fontId="123" fillId="56" borderId="0" xfId="0" applyNumberFormat="1" applyFont="1" applyFill="1" applyBorder="1" applyAlignment="1">
      <alignment horizontal="right" vertical="center" wrapText="1"/>
    </xf>
    <xf numFmtId="3" fontId="10" fillId="56" borderId="0" xfId="66" applyNumberFormat="1" applyFont="1" applyFill="1" applyBorder="1" applyAlignment="1"/>
    <xf numFmtId="3" fontId="39" fillId="56" borderId="0" xfId="66" applyNumberFormat="1" applyFont="1" applyFill="1" applyBorder="1" applyAlignment="1"/>
    <xf numFmtId="3" fontId="6" fillId="56" borderId="0" xfId="66" applyNumberFormat="1" applyFont="1" applyFill="1" applyBorder="1" applyAlignment="1"/>
    <xf numFmtId="3" fontId="30" fillId="56" borderId="0" xfId="66" applyNumberFormat="1" applyFont="1" applyFill="1" applyBorder="1" applyAlignment="1"/>
    <xf numFmtId="0" fontId="10" fillId="52" borderId="0" xfId="0" applyFont="1" applyFill="1" applyBorder="1" applyAlignment="1">
      <alignment horizontal="left" vertical="top" wrapText="1"/>
    </xf>
    <xf numFmtId="3" fontId="122" fillId="0" borderId="0" xfId="0" applyNumberFormat="1" applyFont="1" applyBorder="1"/>
    <xf numFmtId="3" fontId="120" fillId="0" borderId="0" xfId="0" applyNumberFormat="1" applyFont="1" applyBorder="1"/>
    <xf numFmtId="3" fontId="30" fillId="53" borderId="0" xfId="75" applyNumberFormat="1" applyFont="1" applyFill="1" applyBorder="1" applyAlignment="1"/>
    <xf numFmtId="0" fontId="30" fillId="53" borderId="0" xfId="75" applyFont="1" applyFill="1" applyBorder="1" applyAlignment="1"/>
    <xf numFmtId="3" fontId="96" fillId="53" borderId="0" xfId="75" applyNumberFormat="1" applyFont="1" applyFill="1" applyBorder="1" applyAlignment="1"/>
    <xf numFmtId="0" fontId="7" fillId="53" borderId="0" xfId="66" applyFont="1" applyFill="1" applyBorder="1" applyAlignment="1"/>
    <xf numFmtId="0" fontId="6" fillId="72" borderId="0" xfId="75" applyFont="1" applyFill="1" applyBorder="1" applyAlignment="1">
      <alignment horizontal="left" wrapText="1"/>
    </xf>
    <xf numFmtId="0" fontId="7" fillId="0" borderId="0" xfId="0" applyFont="1" applyBorder="1"/>
    <xf numFmtId="0" fontId="5" fillId="54" borderId="0" xfId="93" applyNumberFormat="1" applyFont="1" applyFill="1" applyBorder="1" applyAlignment="1">
      <alignment vertical="top" wrapText="1"/>
    </xf>
    <xf numFmtId="0" fontId="67" fillId="54" borderId="0" xfId="93" applyNumberFormat="1" applyFont="1" applyFill="1" applyBorder="1" applyAlignment="1">
      <alignment vertical="top" wrapText="1"/>
    </xf>
    <xf numFmtId="0" fontId="9" fillId="0" borderId="0" xfId="0" applyFont="1" applyBorder="1"/>
    <xf numFmtId="0" fontId="10" fillId="0" borderId="0" xfId="66" applyFont="1" applyAlignment="1">
      <alignment horizontal="left" wrapText="1"/>
    </xf>
    <xf numFmtId="0" fontId="8" fillId="0" borderId="0" xfId="66" applyFont="1" applyBorder="1" applyAlignment="1">
      <alignment horizontal="left" wrapText="1"/>
    </xf>
    <xf numFmtId="0" fontId="35" fillId="50" borderId="0" xfId="75" applyFont="1" applyFill="1" applyBorder="1" applyAlignment="1">
      <alignment horizontal="right"/>
    </xf>
    <xf numFmtId="0" fontId="39" fillId="50" borderId="0" xfId="75" applyFont="1" applyFill="1" applyBorder="1" applyAlignment="1">
      <alignment vertical="center" wrapText="1"/>
    </xf>
    <xf numFmtId="3" fontId="30" fillId="50" borderId="0" xfId="75" applyNumberFormat="1" applyFont="1" applyFill="1" applyBorder="1" applyAlignment="1"/>
    <xf numFmtId="0" fontId="30" fillId="50" borderId="0" xfId="75" applyFont="1" applyFill="1" applyBorder="1" applyAlignment="1"/>
    <xf numFmtId="0" fontId="9" fillId="54" borderId="0" xfId="93" applyNumberFormat="1" applyFont="1" applyFill="1" applyBorder="1" applyAlignment="1">
      <alignment vertical="top" wrapText="1"/>
    </xf>
    <xf numFmtId="0" fontId="39" fillId="54" borderId="0" xfId="93" applyNumberFormat="1" applyFont="1" applyFill="1" applyBorder="1" applyAlignment="1">
      <alignment vertical="top" wrapText="1"/>
    </xf>
    <xf numFmtId="3" fontId="39" fillId="54" borderId="0" xfId="0" applyNumberFormat="1" applyFont="1" applyFill="1" applyBorder="1" applyAlignment="1"/>
    <xf numFmtId="3" fontId="39" fillId="54" borderId="0" xfId="66" applyNumberFormat="1" applyFont="1" applyFill="1" applyBorder="1" applyAlignment="1">
      <alignment horizontal="center"/>
    </xf>
    <xf numFmtId="3" fontId="39" fillId="54" borderId="0" xfId="66" applyNumberFormat="1" applyFont="1" applyFill="1" applyBorder="1" applyAlignment="1"/>
    <xf numFmtId="3" fontId="39" fillId="54" borderId="0" xfId="66" applyNumberFormat="1" applyFont="1" applyFill="1" applyBorder="1" applyAlignment="1">
      <alignment horizontal="right"/>
    </xf>
    <xf numFmtId="0" fontId="12" fillId="0" borderId="0" xfId="93" applyNumberFormat="1" applyFont="1" applyFill="1" applyBorder="1" applyAlignment="1">
      <alignment horizontal="center" vertical="top" wrapText="1"/>
    </xf>
    <xf numFmtId="0" fontId="12" fillId="0" borderId="0" xfId="93" applyNumberFormat="1" applyFont="1" applyFill="1" applyBorder="1" applyAlignment="1">
      <alignment vertical="top" wrapText="1"/>
    </xf>
    <xf numFmtId="0" fontId="12" fillId="56" borderId="0" xfId="93" applyNumberFormat="1" applyFont="1" applyFill="1" applyBorder="1" applyAlignment="1">
      <alignment horizontal="left" vertical="top" wrapText="1"/>
    </xf>
    <xf numFmtId="0" fontId="7" fillId="56" borderId="0" xfId="93" applyNumberFormat="1" applyFont="1" applyFill="1" applyBorder="1" applyAlignment="1">
      <alignment horizontal="left" vertical="top" wrapText="1"/>
    </xf>
    <xf numFmtId="0" fontId="7" fillId="56" borderId="0" xfId="0" applyNumberFormat="1" applyFont="1" applyFill="1" applyBorder="1" applyAlignment="1">
      <alignment horizontal="center" vertical="top" wrapText="1"/>
    </xf>
    <xf numFmtId="3" fontId="39" fillId="54" borderId="0" xfId="0" applyNumberFormat="1" applyFont="1" applyFill="1" applyBorder="1" applyAlignment="1">
      <alignment horizontal="right"/>
    </xf>
    <xf numFmtId="3" fontId="30" fillId="50" borderId="0" xfId="75" applyNumberFormat="1" applyFont="1" applyFill="1" applyBorder="1" applyAlignment="1">
      <alignment horizontal="right"/>
    </xf>
    <xf numFmtId="0" fontId="30" fillId="50" borderId="0" xfId="75" applyFont="1" applyFill="1" applyBorder="1" applyAlignment="1">
      <alignment horizontal="right"/>
    </xf>
    <xf numFmtId="0" fontId="9" fillId="0" borderId="0" xfId="93" applyNumberFormat="1" applyFont="1" applyFill="1" applyBorder="1" applyAlignment="1">
      <alignment vertical="top" wrapText="1"/>
    </xf>
    <xf numFmtId="3" fontId="39" fillId="0" borderId="0" xfId="0" applyNumberFormat="1" applyFont="1" applyFill="1" applyBorder="1" applyAlignment="1">
      <alignment horizontal="right"/>
    </xf>
    <xf numFmtId="0" fontId="38" fillId="50" borderId="0" xfId="75" applyFont="1" applyFill="1" applyBorder="1" applyAlignment="1">
      <alignment horizontal="right"/>
    </xf>
    <xf numFmtId="0" fontId="67" fillId="50" borderId="0" xfId="75" applyFont="1" applyFill="1" applyBorder="1" applyAlignment="1">
      <alignment vertical="center" wrapText="1"/>
    </xf>
    <xf numFmtId="3" fontId="38" fillId="50" borderId="0" xfId="75" applyNumberFormat="1" applyFont="1" applyFill="1" applyBorder="1" applyAlignment="1"/>
    <xf numFmtId="0" fontId="38" fillId="50" borderId="0" xfId="75" applyFont="1" applyFill="1" applyBorder="1" applyAlignment="1"/>
    <xf numFmtId="0" fontId="67" fillId="54" borderId="0" xfId="75" applyFont="1" applyFill="1" applyBorder="1" applyAlignment="1">
      <alignment horizontal="right"/>
    </xf>
    <xf numFmtId="3" fontId="67" fillId="54" borderId="0" xfId="75" applyNumberFormat="1" applyFont="1" applyFill="1" applyBorder="1" applyAlignment="1"/>
    <xf numFmtId="0" fontId="67" fillId="54" borderId="0" xfId="75" applyFont="1" applyFill="1" applyBorder="1" applyAlignment="1"/>
    <xf numFmtId="0" fontId="39" fillId="54" borderId="0" xfId="75" applyFont="1" applyFill="1" applyBorder="1" applyAlignment="1"/>
    <xf numFmtId="3" fontId="39" fillId="54" borderId="0" xfId="75" applyNumberFormat="1" applyFont="1" applyFill="1" applyBorder="1" applyAlignment="1"/>
    <xf numFmtId="0" fontId="38" fillId="0" borderId="0" xfId="75" applyFont="1" applyBorder="1" applyAlignment="1">
      <alignment horizontal="right"/>
    </xf>
    <xf numFmtId="3" fontId="38" fillId="0" borderId="0" xfId="75" applyNumberFormat="1" applyFont="1" applyBorder="1" applyAlignment="1"/>
    <xf numFmtId="0" fontId="38" fillId="0" borderId="0" xfId="75" applyFont="1" applyBorder="1" applyAlignment="1"/>
    <xf numFmtId="3" fontId="38" fillId="0" borderId="0" xfId="0" applyNumberFormat="1" applyFont="1" applyFill="1" applyBorder="1" applyAlignment="1">
      <alignment wrapText="1"/>
    </xf>
    <xf numFmtId="3" fontId="7" fillId="0" borderId="0" xfId="70" applyNumberFormat="1" applyFont="1" applyAlignment="1">
      <alignment horizontal="right"/>
    </xf>
    <xf numFmtId="0" fontId="10" fillId="64" borderId="30" xfId="147" applyFont="1" applyFill="1" applyBorder="1" applyAlignment="1">
      <alignment horizontal="left" vertical="center"/>
    </xf>
    <xf numFmtId="0" fontId="10" fillId="64" borderId="30" xfId="147" applyFont="1" applyFill="1" applyBorder="1" applyAlignment="1">
      <alignment horizontal="justify" vertical="center" wrapText="1"/>
    </xf>
    <xf numFmtId="0" fontId="8" fillId="0" borderId="0" xfId="75" applyFont="1" applyBorder="1" applyAlignment="1">
      <alignment horizontal="left" vertical="center"/>
    </xf>
    <xf numFmtId="0" fontId="8" fillId="0" borderId="0" xfId="75" applyFont="1" applyBorder="1" applyAlignment="1">
      <alignment horizontal="justify" vertical="center" wrapText="1"/>
    </xf>
    <xf numFmtId="0" fontId="94" fillId="0" borderId="0" xfId="75" applyFont="1" applyBorder="1" applyAlignment="1">
      <alignment horizontal="justify" vertical="center" wrapText="1"/>
    </xf>
    <xf numFmtId="0" fontId="35" fillId="0" borderId="0" xfId="75" applyFont="1" applyBorder="1" applyAlignment="1">
      <alignment horizontal="left" vertical="center"/>
    </xf>
    <xf numFmtId="0" fontId="6" fillId="0" borderId="0" xfId="75" applyFont="1" applyBorder="1" applyAlignment="1">
      <alignment horizontal="justify" vertical="center" wrapText="1"/>
    </xf>
    <xf numFmtId="0" fontId="114" fillId="0" borderId="0" xfId="75" applyFont="1" applyBorder="1" applyAlignment="1">
      <alignment horizontal="left" vertical="center"/>
    </xf>
    <xf numFmtId="3" fontId="38" fillId="0" borderId="0" xfId="75" applyNumberFormat="1" applyFont="1" applyFill="1" applyBorder="1" applyAlignment="1">
      <alignment horizontal="right" vertical="center"/>
    </xf>
    <xf numFmtId="0" fontId="38" fillId="0" borderId="0" xfId="0" applyNumberFormat="1" applyFont="1" applyFill="1" applyBorder="1" applyAlignment="1">
      <alignment horizontal="justify" vertical="center" wrapText="1"/>
    </xf>
    <xf numFmtId="0" fontId="7" fillId="0" borderId="0" xfId="75" applyFont="1" applyBorder="1" applyAlignment="1"/>
    <xf numFmtId="0" fontId="30" fillId="0" borderId="0" xfId="75" applyFont="1" applyBorder="1" applyAlignment="1">
      <alignment wrapText="1"/>
    </xf>
    <xf numFmtId="0" fontId="35" fillId="50" borderId="0" xfId="75" applyFont="1" applyFill="1" applyBorder="1" applyAlignment="1">
      <alignment horizontal="right" wrapText="1"/>
    </xf>
    <xf numFmtId="0" fontId="35" fillId="50" borderId="0" xfId="75" applyFont="1" applyFill="1" applyBorder="1" applyAlignment="1">
      <alignment wrapText="1"/>
    </xf>
    <xf numFmtId="0" fontId="38" fillId="0" borderId="0" xfId="116" quotePrefix="1" applyFont="1" applyBorder="1" applyAlignment="1">
      <alignment horizontal="right" vertical="center" wrapText="1" indent="2" shrinkToFit="1"/>
    </xf>
    <xf numFmtId="0" fontId="39" fillId="0" borderId="0" xfId="116" quotePrefix="1" applyFont="1" applyBorder="1" applyAlignment="1">
      <alignment horizontal="left" vertical="center" wrapText="1" indent="2" shrinkToFit="1"/>
    </xf>
    <xf numFmtId="0" fontId="38" fillId="0" borderId="0" xfId="118" quotePrefix="1" applyFont="1" applyBorder="1" applyAlignment="1">
      <alignment horizontal="right" wrapText="1" indent="3" shrinkToFit="1"/>
    </xf>
    <xf numFmtId="0" fontId="38" fillId="0" borderId="0" xfId="118" quotePrefix="1" applyFont="1" applyBorder="1" applyAlignment="1">
      <alignment horizontal="left" wrapText="1" indent="3" shrinkToFit="1"/>
    </xf>
    <xf numFmtId="0" fontId="38" fillId="0" borderId="0" xfId="120" quotePrefix="1" applyFont="1" applyBorder="1" applyAlignment="1">
      <alignment horizontal="right" vertical="center" wrapText="1" indent="4" shrinkToFit="1"/>
    </xf>
    <xf numFmtId="0" fontId="38" fillId="0" borderId="0" xfId="120" quotePrefix="1" applyFont="1" applyBorder="1" applyAlignment="1">
      <alignment horizontal="left" vertical="center" wrapText="1" indent="4" shrinkToFit="1"/>
    </xf>
    <xf numFmtId="0" fontId="30" fillId="0" borderId="0" xfId="116" quotePrefix="1" applyFont="1" applyBorder="1" applyAlignment="1">
      <alignment horizontal="left" vertical="center" wrapText="1" indent="2" shrinkToFit="1"/>
    </xf>
    <xf numFmtId="0" fontId="7" fillId="0" borderId="0" xfId="85" applyFont="1" applyBorder="1"/>
    <xf numFmtId="0" fontId="35" fillId="50" borderId="0" xfId="75" quotePrefix="1" applyFont="1" applyFill="1" applyBorder="1" applyAlignment="1">
      <alignment horizontal="right" wrapText="1"/>
    </xf>
    <xf numFmtId="0" fontId="35" fillId="50" borderId="0" xfId="75" quotePrefix="1" applyFont="1" applyFill="1" applyBorder="1" applyAlignment="1">
      <alignment wrapText="1"/>
    </xf>
    <xf numFmtId="3" fontId="39" fillId="50" borderId="0" xfId="0" applyNumberFormat="1" applyFont="1" applyFill="1" applyBorder="1" applyAlignment="1">
      <alignment horizontal="right"/>
    </xf>
    <xf numFmtId="0" fontId="38" fillId="0" borderId="0" xfId="122" quotePrefix="1" applyFont="1" applyBorder="1" applyAlignment="1">
      <alignment horizontal="right" vertical="center" wrapText="1" indent="5" shrinkToFit="1"/>
    </xf>
    <xf numFmtId="3" fontId="30" fillId="0" borderId="0" xfId="0" applyNumberFormat="1" applyFont="1" applyFill="1" applyBorder="1" applyAlignment="1">
      <alignment horizontal="right" wrapText="1"/>
    </xf>
    <xf numFmtId="0" fontId="38" fillId="0" borderId="0" xfId="122" quotePrefix="1" applyFont="1" applyBorder="1" applyAlignment="1">
      <alignment horizontal="right" vertical="center" wrapText="1" indent="6" shrinkToFit="1"/>
    </xf>
    <xf numFmtId="0" fontId="38" fillId="0" borderId="0" xfId="122" quotePrefix="1" applyFont="1" applyBorder="1" applyAlignment="1">
      <alignment horizontal="left" vertical="center" wrapText="1" indent="6" shrinkToFit="1"/>
    </xf>
    <xf numFmtId="0" fontId="38" fillId="0" borderId="0" xfId="116" quotePrefix="1" applyFont="1" applyBorder="1" applyAlignment="1">
      <alignment horizontal="left" vertical="center" wrapText="1" indent="2" shrinkToFit="1"/>
    </xf>
    <xf numFmtId="3" fontId="30" fillId="56" borderId="0" xfId="0" applyNumberFormat="1" applyFont="1" applyFill="1" applyBorder="1" applyAlignment="1">
      <alignment horizontal="right"/>
    </xf>
    <xf numFmtId="3" fontId="39" fillId="56" borderId="0" xfId="0" applyNumberFormat="1" applyFont="1" applyFill="1" applyBorder="1" applyAlignment="1">
      <alignment horizontal="right"/>
    </xf>
    <xf numFmtId="0" fontId="35" fillId="62" borderId="0" xfId="75" applyFont="1" applyFill="1" applyBorder="1" applyAlignment="1">
      <alignment horizontal="right"/>
    </xf>
    <xf numFmtId="0" fontId="35" fillId="62" borderId="0" xfId="75" applyFont="1" applyFill="1" applyBorder="1" applyAlignment="1">
      <alignment wrapText="1"/>
    </xf>
    <xf numFmtId="3" fontId="35" fillId="62" borderId="0" xfId="0" applyNumberFormat="1" applyFont="1" applyFill="1" applyBorder="1" applyAlignment="1"/>
    <xf numFmtId="3" fontId="10" fillId="62" borderId="0" xfId="75" applyNumberFormat="1" applyFont="1" applyFill="1" applyBorder="1" applyAlignment="1"/>
    <xf numFmtId="0" fontId="30" fillId="62" borderId="0" xfId="75" applyFont="1" applyFill="1" applyBorder="1" applyAlignment="1"/>
    <xf numFmtId="3" fontId="30" fillId="62" borderId="0" xfId="75" applyNumberFormat="1" applyFont="1" applyFill="1" applyBorder="1" applyAlignment="1"/>
    <xf numFmtId="0" fontId="38" fillId="56" borderId="0" xfId="116" quotePrefix="1" applyFont="1" applyFill="1" applyBorder="1" applyAlignment="1">
      <alignment horizontal="right" vertical="center" wrapText="1" indent="2" shrinkToFit="1"/>
    </xf>
    <xf numFmtId="0" fontId="39" fillId="56" borderId="0" xfId="116" quotePrefix="1" applyFont="1" applyFill="1" applyBorder="1" applyAlignment="1">
      <alignment horizontal="left" vertical="center" wrapText="1" indent="2" shrinkToFit="1"/>
    </xf>
    <xf numFmtId="0" fontId="38" fillId="56" borderId="0" xfId="116" quotePrefix="1" applyFont="1" applyFill="1" applyBorder="1" applyAlignment="1">
      <alignment horizontal="left" vertical="center" wrapText="1" indent="2" shrinkToFit="1"/>
    </xf>
    <xf numFmtId="3" fontId="67" fillId="56" borderId="0" xfId="0" applyNumberFormat="1" applyFont="1" applyFill="1" applyBorder="1" applyAlignment="1">
      <alignment horizontal="right"/>
    </xf>
    <xf numFmtId="0" fontId="38" fillId="56" borderId="0" xfId="118" quotePrefix="1" applyFont="1" applyFill="1" applyBorder="1" applyAlignment="1">
      <alignment horizontal="right" wrapText="1" indent="3" shrinkToFit="1"/>
    </xf>
    <xf numFmtId="0" fontId="38" fillId="56" borderId="0" xfId="118" quotePrefix="1" applyFont="1" applyFill="1" applyBorder="1" applyAlignment="1">
      <alignment horizontal="left" wrapText="1" indent="3" shrinkToFit="1"/>
    </xf>
    <xf numFmtId="3" fontId="38" fillId="56" borderId="0" xfId="0" applyNumberFormat="1" applyFont="1" applyFill="1" applyBorder="1" applyAlignment="1">
      <alignment horizontal="right"/>
    </xf>
    <xf numFmtId="0" fontId="38" fillId="56" borderId="0" xfId="120" quotePrefix="1" applyFont="1" applyFill="1" applyBorder="1" applyAlignment="1">
      <alignment horizontal="right" vertical="center" wrapText="1" indent="4" shrinkToFit="1"/>
    </xf>
    <xf numFmtId="0" fontId="38" fillId="56" borderId="0" xfId="120" quotePrefix="1" applyFont="1" applyFill="1" applyBorder="1" applyAlignment="1">
      <alignment horizontal="left" vertical="center" wrapText="1" indent="4" shrinkToFit="1"/>
    </xf>
    <xf numFmtId="0" fontId="38" fillId="56" borderId="0" xfId="122" quotePrefix="1" applyFont="1" applyFill="1" applyBorder="1" applyAlignment="1">
      <alignment horizontal="left" vertical="center" wrapText="1" indent="5" shrinkToFit="1"/>
    </xf>
    <xf numFmtId="0" fontId="38" fillId="56" borderId="0" xfId="122" quotePrefix="1" applyFont="1" applyFill="1" applyBorder="1" applyAlignment="1">
      <alignment horizontal="left" vertical="center" wrapText="1" indent="6" shrinkToFit="1"/>
    </xf>
    <xf numFmtId="0" fontId="7" fillId="0" borderId="0" xfId="75" applyFont="1" applyFill="1" applyBorder="1" applyAlignment="1">
      <alignment wrapText="1"/>
    </xf>
    <xf numFmtId="3" fontId="7" fillId="0" borderId="0" xfId="87" applyNumberFormat="1" applyFont="1" applyBorder="1"/>
    <xf numFmtId="0" fontId="7" fillId="0" borderId="0" xfId="87" applyFont="1" applyBorder="1"/>
    <xf numFmtId="0" fontId="38" fillId="0" borderId="0" xfId="0" applyFont="1" applyFill="1" applyBorder="1" applyAlignment="1"/>
    <xf numFmtId="0" fontId="38" fillId="0" borderId="0" xfId="0" applyFont="1" applyFill="1" applyBorder="1" applyAlignment="1">
      <alignment wrapText="1"/>
    </xf>
    <xf numFmtId="3" fontId="7" fillId="0" borderId="0" xfId="75" applyNumberFormat="1" applyFont="1" applyBorder="1" applyAlignment="1"/>
    <xf numFmtId="0" fontId="12" fillId="0" borderId="0" xfId="75" applyFont="1" applyBorder="1" applyAlignment="1"/>
    <xf numFmtId="0" fontId="12" fillId="0" borderId="0" xfId="66" applyFont="1" applyBorder="1" applyAlignment="1"/>
    <xf numFmtId="0" fontId="5" fillId="54" borderId="31" xfId="93" applyNumberFormat="1" applyFont="1" applyFill="1" applyBorder="1" applyAlignment="1">
      <alignment vertical="top" wrapText="1"/>
    </xf>
    <xf numFmtId="0" fontId="67" fillId="54" borderId="31" xfId="93" applyNumberFormat="1" applyFont="1" applyFill="1" applyBorder="1" applyAlignment="1">
      <alignment vertical="top" wrapText="1"/>
    </xf>
    <xf numFmtId="3" fontId="39" fillId="54" borderId="31" xfId="66" applyNumberFormat="1" applyFont="1" applyFill="1" applyBorder="1" applyAlignment="1"/>
    <xf numFmtId="0" fontId="5" fillId="0" borderId="31" xfId="93" applyNumberFormat="1" applyFont="1" applyFill="1" applyBorder="1" applyAlignment="1">
      <alignment vertical="top" wrapText="1"/>
    </xf>
    <xf numFmtId="0" fontId="67" fillId="0" borderId="31" xfId="93" applyNumberFormat="1" applyFont="1" applyFill="1" applyBorder="1" applyAlignment="1">
      <alignment vertical="top" wrapText="1"/>
    </xf>
    <xf numFmtId="3" fontId="38" fillId="0" borderId="31" xfId="66" applyNumberFormat="1" applyFont="1" applyBorder="1" applyAlignment="1"/>
    <xf numFmtId="3" fontId="38" fillId="0" borderId="31" xfId="66" applyNumberFormat="1" applyFont="1" applyBorder="1" applyAlignment="1">
      <alignment horizontal="right"/>
    </xf>
    <xf numFmtId="3" fontId="30" fillId="0" borderId="31" xfId="66" applyNumberFormat="1" applyFont="1" applyBorder="1" applyAlignment="1">
      <alignment horizontal="right"/>
    </xf>
    <xf numFmtId="3" fontId="30" fillId="0" borderId="31" xfId="66" applyNumberFormat="1" applyFont="1" applyFill="1" applyBorder="1" applyAlignment="1"/>
    <xf numFmtId="0" fontId="7" fillId="0" borderId="31" xfId="93" applyNumberFormat="1" applyFont="1" applyFill="1" applyBorder="1" applyAlignment="1">
      <alignment vertical="top" wrapText="1"/>
    </xf>
    <xf numFmtId="0" fontId="38" fillId="0" borderId="31" xfId="93" applyNumberFormat="1" applyFont="1" applyFill="1" applyBorder="1" applyAlignment="1">
      <alignment vertical="top" wrapText="1"/>
    </xf>
    <xf numFmtId="3" fontId="38" fillId="0" borderId="31" xfId="66" applyNumberFormat="1" applyFont="1" applyFill="1" applyBorder="1" applyAlignment="1"/>
    <xf numFmtId="3" fontId="38" fillId="0" borderId="31" xfId="66" applyNumberFormat="1" applyFont="1" applyFill="1" applyBorder="1" applyAlignment="1">
      <alignment horizontal="right"/>
    </xf>
    <xf numFmtId="3" fontId="30" fillId="0" borderId="31" xfId="66" applyNumberFormat="1" applyFont="1" applyFill="1" applyBorder="1" applyAlignment="1">
      <alignment horizontal="right"/>
    </xf>
    <xf numFmtId="0" fontId="7" fillId="0" borderId="31" xfId="93" applyNumberFormat="1" applyFont="1" applyFill="1" applyBorder="1" applyAlignment="1">
      <alignment horizontal="left" vertical="top" wrapText="1"/>
    </xf>
    <xf numFmtId="0" fontId="7" fillId="0" borderId="31" xfId="66" applyNumberFormat="1" applyFont="1" applyFill="1" applyBorder="1" applyAlignment="1">
      <alignment horizontal="center" vertical="top" wrapText="1"/>
    </xf>
    <xf numFmtId="0" fontId="38" fillId="0" borderId="31" xfId="66" applyNumberFormat="1" applyFont="1" applyFill="1" applyBorder="1" applyAlignment="1">
      <alignment wrapText="1"/>
    </xf>
    <xf numFmtId="0" fontId="7" fillId="0" borderId="31" xfId="66" applyNumberFormat="1" applyFont="1" applyFill="1" applyBorder="1" applyAlignment="1">
      <alignment horizontal="right" vertical="top" wrapText="1"/>
    </xf>
    <xf numFmtId="0" fontId="7" fillId="0" borderId="31" xfId="68" applyNumberFormat="1" applyFont="1" applyFill="1" applyBorder="1" applyAlignment="1">
      <alignment horizontal="left" vertical="top" wrapText="1"/>
    </xf>
    <xf numFmtId="0" fontId="38" fillId="0" borderId="31" xfId="135" applyNumberFormat="1" applyFont="1" applyFill="1" applyBorder="1" applyAlignment="1">
      <alignment wrapText="1" shrinkToFit="1"/>
    </xf>
    <xf numFmtId="0" fontId="7" fillId="0" borderId="31" xfId="68" applyNumberFormat="1" applyFont="1" applyFill="1" applyBorder="1" applyAlignment="1">
      <alignment horizontal="center" vertical="top" wrapText="1"/>
    </xf>
    <xf numFmtId="0" fontId="7" fillId="0" borderId="31" xfId="66" applyFont="1" applyFill="1" applyBorder="1" applyAlignment="1">
      <alignment horizontal="left" vertical="top"/>
    </xf>
    <xf numFmtId="0" fontId="38" fillId="0" borderId="31" xfId="66" applyFont="1" applyFill="1" applyBorder="1" applyAlignment="1">
      <alignment wrapText="1"/>
    </xf>
    <xf numFmtId="0" fontId="7" fillId="0" borderId="31" xfId="66" applyFont="1" applyFill="1" applyBorder="1" applyAlignment="1">
      <alignment horizontal="center" vertical="top"/>
    </xf>
    <xf numFmtId="0" fontId="5" fillId="0" borderId="31" xfId="93" applyNumberFormat="1" applyFont="1" applyFill="1" applyBorder="1" applyAlignment="1">
      <alignment horizontal="center" vertical="top" wrapText="1"/>
    </xf>
    <xf numFmtId="0" fontId="7" fillId="0" borderId="31" xfId="93" applyNumberFormat="1" applyFont="1" applyFill="1" applyBorder="1" applyAlignment="1">
      <alignment horizontal="right" vertical="top" wrapText="1"/>
    </xf>
    <xf numFmtId="3" fontId="67" fillId="54" borderId="31" xfId="66" applyNumberFormat="1" applyFont="1" applyFill="1" applyBorder="1" applyAlignment="1"/>
    <xf numFmtId="3" fontId="67" fillId="54" borderId="31" xfId="66" applyNumberFormat="1" applyFont="1" applyFill="1" applyBorder="1" applyAlignment="1">
      <alignment horizontal="right"/>
    </xf>
    <xf numFmtId="3" fontId="39" fillId="54" borderId="31" xfId="66" applyNumberFormat="1" applyFont="1" applyFill="1" applyBorder="1" applyAlignment="1">
      <alignment horizontal="right"/>
    </xf>
    <xf numFmtId="3" fontId="30" fillId="0" borderId="31" xfId="66" applyNumberFormat="1" applyFont="1" applyFill="1" applyBorder="1" applyAlignment="1">
      <alignment horizontal="center"/>
    </xf>
    <xf numFmtId="0" fontId="7" fillId="0" borderId="31" xfId="93" applyNumberFormat="1" applyFont="1" applyFill="1" applyBorder="1" applyAlignment="1">
      <alignment horizontal="center" vertical="top" wrapText="1"/>
    </xf>
    <xf numFmtId="0" fontId="5" fillId="0" borderId="31" xfId="93" applyNumberFormat="1" applyFont="1" applyFill="1" applyBorder="1" applyAlignment="1">
      <alignment horizontal="left" vertical="top" wrapText="1"/>
    </xf>
    <xf numFmtId="3" fontId="38" fillId="0" borderId="31" xfId="66" applyNumberFormat="1" applyFont="1" applyFill="1" applyBorder="1" applyAlignment="1">
      <alignment horizontal="center"/>
    </xf>
    <xf numFmtId="3" fontId="38" fillId="0" borderId="31" xfId="66" applyNumberFormat="1" applyFont="1" applyFill="1" applyBorder="1" applyAlignment="1">
      <alignment wrapText="1"/>
    </xf>
    <xf numFmtId="3" fontId="38" fillId="0" borderId="31" xfId="66" applyNumberFormat="1" applyFont="1" applyFill="1" applyBorder="1" applyAlignment="1">
      <alignment horizontal="right" wrapText="1"/>
    </xf>
    <xf numFmtId="3" fontId="30" fillId="0" borderId="31" xfId="66" applyNumberFormat="1" applyFont="1" applyFill="1" applyBorder="1" applyAlignment="1">
      <alignment horizontal="right" wrapText="1"/>
    </xf>
    <xf numFmtId="3" fontId="30" fillId="0" borderId="31" xfId="66" applyNumberFormat="1" applyFont="1" applyFill="1" applyBorder="1" applyAlignment="1">
      <alignment horizontal="center" wrapText="1"/>
    </xf>
    <xf numFmtId="0" fontId="38" fillId="0" borderId="31" xfId="66" applyNumberFormat="1" applyFont="1" applyFill="1" applyBorder="1" applyAlignment="1">
      <alignment vertical="top" wrapText="1"/>
    </xf>
    <xf numFmtId="0" fontId="38" fillId="0" borderId="31" xfId="66" applyNumberFormat="1" applyFont="1" applyFill="1" applyBorder="1" applyAlignment="1">
      <alignment horizontal="left" vertical="top" wrapText="1"/>
    </xf>
    <xf numFmtId="3" fontId="38" fillId="56" borderId="31" xfId="66" applyNumberFormat="1" applyFont="1" applyFill="1" applyBorder="1" applyAlignment="1"/>
    <xf numFmtId="3" fontId="38" fillId="56" borderId="31" xfId="66" applyNumberFormat="1" applyFont="1" applyFill="1" applyBorder="1" applyAlignment="1">
      <alignment horizontal="right"/>
    </xf>
    <xf numFmtId="3" fontId="30" fillId="56" borderId="31" xfId="66" applyNumberFormat="1" applyFont="1" applyFill="1" applyBorder="1" applyAlignment="1">
      <alignment horizontal="right"/>
    </xf>
    <xf numFmtId="3" fontId="67" fillId="0" borderId="31" xfId="66" applyNumberFormat="1" applyFont="1" applyFill="1" applyBorder="1" applyAlignment="1"/>
    <xf numFmtId="3" fontId="67" fillId="0" borderId="31" xfId="66" applyNumberFormat="1" applyFont="1" applyFill="1" applyBorder="1" applyAlignment="1">
      <alignment horizontal="right"/>
    </xf>
    <xf numFmtId="3" fontId="39" fillId="0" borderId="31" xfId="66" applyNumberFormat="1" applyFont="1" applyFill="1" applyBorder="1" applyAlignment="1">
      <alignment horizontal="right"/>
    </xf>
    <xf numFmtId="0" fontId="67" fillId="0" borderId="31" xfId="66" applyNumberFormat="1" applyFont="1" applyFill="1" applyBorder="1" applyAlignment="1">
      <alignment wrapText="1"/>
    </xf>
    <xf numFmtId="0" fontId="7" fillId="0" borderId="31" xfId="66" applyNumberFormat="1" applyFont="1" applyFill="1" applyBorder="1" applyAlignment="1">
      <alignment horizontal="left" vertical="top" wrapText="1"/>
    </xf>
    <xf numFmtId="0" fontId="38" fillId="0" borderId="31" xfId="66" applyNumberFormat="1" applyFont="1" applyBorder="1" applyAlignment="1">
      <alignment wrapText="1"/>
    </xf>
    <xf numFmtId="0" fontId="38" fillId="0" borderId="31" xfId="66" applyNumberFormat="1" applyFont="1" applyBorder="1" applyAlignment="1">
      <alignment vertical="center" wrapText="1"/>
    </xf>
    <xf numFmtId="0" fontId="7" fillId="0" borderId="31" xfId="66" applyNumberFormat="1" applyFont="1" applyFill="1" applyBorder="1" applyAlignment="1">
      <alignment horizontal="center" vertical="center" wrapText="1"/>
    </xf>
    <xf numFmtId="0" fontId="67" fillId="0" borderId="31" xfId="66" applyNumberFormat="1" applyFont="1" applyFill="1" applyBorder="1" applyAlignment="1">
      <alignment vertical="top" wrapText="1"/>
    </xf>
    <xf numFmtId="3" fontId="67" fillId="0" borderId="31" xfId="66" applyNumberFormat="1" applyFont="1" applyBorder="1" applyAlignment="1"/>
    <xf numFmtId="3" fontId="67" fillId="0" borderId="31" xfId="66" applyNumberFormat="1" applyFont="1" applyBorder="1" applyAlignment="1">
      <alignment horizontal="right"/>
    </xf>
    <xf numFmtId="3" fontId="39" fillId="0" borderId="31" xfId="66" applyNumberFormat="1" applyFont="1" applyBorder="1" applyAlignment="1">
      <alignment horizontal="right"/>
    </xf>
    <xf numFmtId="0" fontId="5" fillId="0" borderId="31" xfId="66" applyNumberFormat="1" applyFont="1" applyFill="1" applyBorder="1" applyAlignment="1">
      <alignment horizontal="left" vertical="top" wrapText="1"/>
    </xf>
    <xf numFmtId="0" fontId="38" fillId="0" borderId="31" xfId="66" applyNumberFormat="1" applyFont="1" applyFill="1" applyBorder="1" applyAlignment="1">
      <alignment horizontal="justify" vertical="top" wrapText="1"/>
    </xf>
    <xf numFmtId="0" fontId="7" fillId="0" borderId="31" xfId="93" applyNumberFormat="1" applyFont="1" applyFill="1" applyBorder="1" applyAlignment="1">
      <alignment vertical="top"/>
    </xf>
    <xf numFmtId="3" fontId="7" fillId="53" borderId="31" xfId="66" applyNumberFormat="1" applyFont="1" applyFill="1" applyBorder="1" applyAlignment="1">
      <alignment horizontal="center" wrapText="1" shrinkToFit="1"/>
    </xf>
    <xf numFmtId="0" fontId="67" fillId="53" borderId="31" xfId="66" applyFont="1" applyFill="1" applyBorder="1" applyAlignment="1">
      <alignment vertical="top" wrapText="1"/>
    </xf>
    <xf numFmtId="3" fontId="38" fillId="53" borderId="31" xfId="66" applyNumberFormat="1" applyFont="1" applyFill="1" applyBorder="1" applyAlignment="1">
      <alignment wrapText="1"/>
    </xf>
    <xf numFmtId="3" fontId="38" fillId="53" borderId="31" xfId="66" applyNumberFormat="1" applyFont="1" applyFill="1" applyBorder="1"/>
    <xf numFmtId="3" fontId="30" fillId="53" borderId="31" xfId="66" applyNumberFormat="1" applyFont="1" applyFill="1" applyBorder="1"/>
    <xf numFmtId="3" fontId="30" fillId="53" borderId="31" xfId="66" applyNumberFormat="1" applyFont="1" applyFill="1" applyBorder="1" applyAlignment="1"/>
    <xf numFmtId="3" fontId="30" fillId="53" borderId="31" xfId="66" applyNumberFormat="1" applyFont="1" applyFill="1" applyBorder="1" applyAlignment="1">
      <alignment horizontal="right"/>
    </xf>
    <xf numFmtId="3" fontId="30" fillId="0" borderId="31" xfId="66" applyNumberFormat="1" applyFont="1" applyFill="1" applyBorder="1" applyAlignment="1">
      <alignment wrapText="1"/>
    </xf>
    <xf numFmtId="0" fontId="7" fillId="0" borderId="31" xfId="66" applyFont="1" applyFill="1" applyBorder="1" applyAlignment="1">
      <alignment horizontal="centerContinuous"/>
    </xf>
    <xf numFmtId="0" fontId="30" fillId="0" borderId="31" xfId="66" applyFont="1" applyFill="1" applyBorder="1" applyAlignment="1">
      <alignment wrapText="1"/>
    </xf>
    <xf numFmtId="3" fontId="39" fillId="0" borderId="31" xfId="66" applyNumberFormat="1" applyFont="1" applyFill="1" applyBorder="1" applyAlignment="1"/>
    <xf numFmtId="3" fontId="30" fillId="0" borderId="32" xfId="75" applyNumberFormat="1" applyFont="1" applyBorder="1" applyAlignment="1"/>
    <xf numFmtId="3" fontId="30" fillId="0" borderId="33" xfId="75" applyNumberFormat="1" applyFont="1" applyBorder="1" applyAlignment="1"/>
    <xf numFmtId="0" fontId="39" fillId="0" borderId="0" xfId="0" applyFont="1" applyBorder="1"/>
    <xf numFmtId="0" fontId="38" fillId="0" borderId="0" xfId="0" applyFont="1" applyBorder="1"/>
    <xf numFmtId="3" fontId="67" fillId="50" borderId="0" xfId="0" applyNumberFormat="1" applyFont="1" applyFill="1" applyBorder="1" applyAlignment="1">
      <alignment horizontal="right"/>
    </xf>
    <xf numFmtId="0" fontId="35" fillId="62" borderId="0" xfId="75" applyFont="1" applyFill="1" applyBorder="1" applyAlignment="1">
      <alignment horizontal="right" vertical="top"/>
    </xf>
    <xf numFmtId="3" fontId="67" fillId="0" borderId="0" xfId="0" applyNumberFormat="1" applyFont="1" applyFill="1" applyBorder="1" applyAlignment="1"/>
    <xf numFmtId="3" fontId="67" fillId="0" borderId="0" xfId="0" applyNumberFormat="1" applyFont="1" applyFill="1" applyBorder="1" applyAlignment="1">
      <alignment horizontal="right"/>
    </xf>
    <xf numFmtId="0" fontId="5" fillId="0" borderId="0" xfId="93" applyNumberFormat="1" applyFont="1" applyFill="1" applyBorder="1" applyAlignment="1">
      <alignment horizontal="center" vertical="top" wrapText="1"/>
    </xf>
    <xf numFmtId="0" fontId="35" fillId="62" borderId="0" xfId="75" applyFont="1" applyFill="1" applyBorder="1" applyAlignment="1">
      <alignment horizontal="center"/>
    </xf>
    <xf numFmtId="0" fontId="6" fillId="62" borderId="0" xfId="75" applyFont="1" applyFill="1" applyBorder="1" applyAlignment="1">
      <alignment wrapText="1"/>
    </xf>
    <xf numFmtId="0" fontId="67" fillId="56" borderId="0" xfId="93" applyNumberFormat="1" applyFont="1" applyFill="1" applyBorder="1" applyAlignment="1">
      <alignment vertical="top" wrapText="1"/>
    </xf>
    <xf numFmtId="3" fontId="30" fillId="56" borderId="0" xfId="75" applyNumberFormat="1" applyFont="1" applyFill="1" applyBorder="1" applyAlignment="1"/>
    <xf numFmtId="0" fontId="30" fillId="56" borderId="0" xfId="75" applyFont="1" applyFill="1" applyBorder="1" applyAlignment="1"/>
    <xf numFmtId="3" fontId="39" fillId="56" borderId="0" xfId="75" applyNumberFormat="1" applyFont="1" applyFill="1" applyBorder="1" applyAlignment="1"/>
    <xf numFmtId="0" fontId="67" fillId="0" borderId="0" xfId="93" applyNumberFormat="1" applyFont="1" applyFill="1" applyBorder="1" applyAlignment="1">
      <alignment horizontal="center" vertical="top" wrapText="1"/>
    </xf>
    <xf numFmtId="0" fontId="38" fillId="56" borderId="0" xfId="93" applyNumberFormat="1" applyFont="1" applyFill="1" applyBorder="1" applyAlignment="1">
      <alignment horizontal="right" vertical="top" wrapText="1"/>
    </xf>
    <xf numFmtId="0" fontId="38" fillId="56" borderId="0" xfId="93" applyNumberFormat="1" applyFont="1" applyFill="1" applyBorder="1" applyAlignment="1">
      <alignment vertical="top" wrapText="1"/>
    </xf>
    <xf numFmtId="0" fontId="38" fillId="0" borderId="0" xfId="93" applyNumberFormat="1" applyFont="1" applyFill="1" applyBorder="1" applyAlignment="1">
      <alignment horizontal="left" vertical="top" wrapText="1"/>
    </xf>
    <xf numFmtId="0" fontId="38" fillId="0" borderId="0" xfId="93" applyNumberFormat="1" applyFont="1" applyFill="1" applyBorder="1" applyAlignment="1">
      <alignment horizontal="right" vertical="top" wrapText="1"/>
    </xf>
    <xf numFmtId="0" fontId="7" fillId="62" borderId="0" xfId="75" applyFont="1" applyFill="1" applyBorder="1" applyAlignment="1">
      <alignment horizontal="center"/>
    </xf>
    <xf numFmtId="0" fontId="38" fillId="0" borderId="0" xfId="75" applyFont="1" applyBorder="1" applyAlignment="1">
      <alignment horizontal="center"/>
    </xf>
    <xf numFmtId="0" fontId="38" fillId="0" borderId="0" xfId="75" applyFont="1" applyFill="1" applyBorder="1" applyAlignment="1"/>
    <xf numFmtId="0" fontId="38" fillId="0" borderId="0" xfId="75" applyFont="1" applyFill="1" applyBorder="1" applyAlignment="1">
      <alignment wrapText="1"/>
    </xf>
    <xf numFmtId="0" fontId="38" fillId="0" borderId="0" xfId="75" applyFont="1" applyBorder="1" applyAlignment="1">
      <alignment wrapText="1"/>
    </xf>
    <xf numFmtId="0" fontId="38" fillId="0" borderId="0" xfId="0" applyFont="1" applyBorder="1" applyAlignment="1"/>
    <xf numFmtId="0" fontId="38" fillId="0" borderId="0" xfId="0" applyFont="1" applyBorder="1" applyAlignment="1">
      <alignment wrapText="1"/>
    </xf>
    <xf numFmtId="3" fontId="38" fillId="0" borderId="0" xfId="0" applyNumberFormat="1" applyFont="1" applyBorder="1" applyAlignment="1"/>
    <xf numFmtId="0" fontId="38" fillId="0" borderId="0" xfId="0" applyFont="1" applyBorder="1" applyAlignment="1">
      <alignment horizontal="center"/>
    </xf>
    <xf numFmtId="3" fontId="87" fillId="52" borderId="31" xfId="69" applyNumberFormat="1" applyFont="1" applyFill="1" applyBorder="1" applyAlignment="1"/>
    <xf numFmtId="3" fontId="90" fillId="0" borderId="31" xfId="69" applyNumberFormat="1" applyFont="1" applyFill="1" applyBorder="1" applyAlignment="1"/>
    <xf numFmtId="3" fontId="38" fillId="49" borderId="13" xfId="0" applyNumberFormat="1" applyFont="1" applyFill="1" applyBorder="1" applyAlignment="1">
      <alignment horizontal="right" wrapText="1"/>
    </xf>
    <xf numFmtId="3" fontId="38" fillId="0" borderId="31" xfId="0" applyNumberFormat="1" applyFont="1" applyBorder="1" applyAlignment="1">
      <alignment horizontal="right"/>
    </xf>
    <xf numFmtId="3" fontId="38" fillId="0" borderId="31" xfId="0" applyNumberFormat="1" applyFont="1" applyFill="1" applyBorder="1" applyAlignment="1">
      <alignment horizontal="right"/>
    </xf>
    <xf numFmtId="0" fontId="38" fillId="0" borderId="31" xfId="93" applyNumberFormat="1" applyFont="1" applyFill="1" applyBorder="1" applyAlignment="1">
      <alignment horizontal="left" vertical="top" wrapText="1"/>
    </xf>
    <xf numFmtId="0" fontId="38" fillId="0" borderId="31" xfId="0" applyNumberFormat="1" applyFont="1" applyFill="1" applyBorder="1" applyAlignment="1">
      <alignment horizontal="center" vertical="top" wrapText="1"/>
    </xf>
    <xf numFmtId="0" fontId="38" fillId="0" borderId="31" xfId="0" applyNumberFormat="1" applyFont="1" applyFill="1" applyBorder="1" applyAlignment="1">
      <alignment wrapText="1"/>
    </xf>
    <xf numFmtId="0" fontId="38" fillId="0" borderId="31" xfId="0" applyNumberFormat="1" applyFont="1" applyFill="1" applyBorder="1" applyAlignment="1">
      <alignment horizontal="right" vertical="top" wrapText="1"/>
    </xf>
    <xf numFmtId="0" fontId="38" fillId="0" borderId="31" xfId="68" applyNumberFormat="1" applyFont="1" applyFill="1" applyBorder="1" applyAlignment="1">
      <alignment horizontal="left" vertical="top" wrapText="1"/>
    </xf>
    <xf numFmtId="0" fontId="38" fillId="0" borderId="31" xfId="68" applyNumberFormat="1" applyFont="1" applyFill="1" applyBorder="1" applyAlignment="1">
      <alignment horizontal="center" vertical="top" wrapText="1"/>
    </xf>
    <xf numFmtId="0" fontId="38" fillId="0" borderId="31" xfId="0" applyFont="1" applyFill="1" applyBorder="1" applyAlignment="1">
      <alignment horizontal="left" vertical="top"/>
    </xf>
    <xf numFmtId="0" fontId="38" fillId="0" borderId="31" xfId="0" applyFont="1" applyFill="1" applyBorder="1" applyAlignment="1">
      <alignment wrapText="1"/>
    </xf>
    <xf numFmtId="0" fontId="38" fillId="0" borderId="31" xfId="0" applyFont="1" applyFill="1" applyBorder="1" applyAlignment="1">
      <alignment horizontal="center" vertical="top"/>
    </xf>
    <xf numFmtId="0" fontId="67" fillId="0" borderId="31" xfId="93" applyNumberFormat="1" applyFont="1" applyFill="1" applyBorder="1" applyAlignment="1">
      <alignment horizontal="center" vertical="top" wrapText="1"/>
    </xf>
    <xf numFmtId="0" fontId="38" fillId="0" borderId="31" xfId="93" applyNumberFormat="1" applyFont="1" applyFill="1" applyBorder="1" applyAlignment="1">
      <alignment horizontal="right" vertical="top" wrapText="1"/>
    </xf>
    <xf numFmtId="3" fontId="67" fillId="54" borderId="31" xfId="0" applyNumberFormat="1" applyFont="1" applyFill="1" applyBorder="1" applyAlignment="1">
      <alignment horizontal="right"/>
    </xf>
    <xf numFmtId="0" fontId="38" fillId="0" borderId="31" xfId="93" applyNumberFormat="1" applyFont="1" applyFill="1" applyBorder="1" applyAlignment="1">
      <alignment horizontal="center" vertical="top" wrapText="1"/>
    </xf>
    <xf numFmtId="0" fontId="67" fillId="0" borderId="31" xfId="93" applyNumberFormat="1" applyFont="1" applyFill="1" applyBorder="1" applyAlignment="1">
      <alignment horizontal="left" vertical="top" wrapText="1"/>
    </xf>
    <xf numFmtId="3" fontId="38" fillId="0" borderId="31" xfId="0" applyNumberFormat="1" applyFont="1" applyFill="1" applyBorder="1" applyAlignment="1">
      <alignment horizontal="right" wrapText="1"/>
    </xf>
    <xf numFmtId="0" fontId="38" fillId="0" borderId="31" xfId="0" applyNumberFormat="1" applyFont="1" applyFill="1" applyBorder="1" applyAlignment="1">
      <alignment vertical="top" wrapText="1"/>
    </xf>
    <xf numFmtId="0" fontId="38" fillId="0" borderId="31" xfId="0" applyNumberFormat="1" applyFont="1" applyFill="1" applyBorder="1" applyAlignment="1">
      <alignment horizontal="left" vertical="top" wrapText="1"/>
    </xf>
    <xf numFmtId="3" fontId="38" fillId="56" borderId="31" xfId="0" applyNumberFormat="1" applyFont="1" applyFill="1" applyBorder="1" applyAlignment="1">
      <alignment horizontal="right"/>
    </xf>
    <xf numFmtId="3" fontId="67" fillId="0" borderId="31" xfId="0" applyNumberFormat="1" applyFont="1" applyFill="1" applyBorder="1" applyAlignment="1">
      <alignment horizontal="right"/>
    </xf>
    <xf numFmtId="0" fontId="67" fillId="0" borderId="31" xfId="0" applyNumberFormat="1" applyFont="1" applyFill="1" applyBorder="1" applyAlignment="1">
      <alignment wrapText="1"/>
    </xf>
    <xf numFmtId="0" fontId="38" fillId="0" borderId="31" xfId="0" applyNumberFormat="1" applyFont="1" applyBorder="1" applyAlignment="1">
      <alignment wrapText="1"/>
    </xf>
    <xf numFmtId="0" fontId="38" fillId="0" borderId="31" xfId="0" applyNumberFormat="1" applyFont="1" applyBorder="1" applyAlignment="1">
      <alignment vertical="center" wrapText="1"/>
    </xf>
    <xf numFmtId="0" fontId="38" fillId="0" borderId="31" xfId="0" applyNumberFormat="1" applyFont="1" applyFill="1" applyBorder="1" applyAlignment="1">
      <alignment horizontal="center" vertical="center" wrapText="1"/>
    </xf>
    <xf numFmtId="0" fontId="67" fillId="0" borderId="31" xfId="0" applyNumberFormat="1" applyFont="1" applyFill="1" applyBorder="1" applyAlignment="1">
      <alignment vertical="top" wrapText="1"/>
    </xf>
    <xf numFmtId="3" fontId="67" fillId="0" borderId="31" xfId="0" applyNumberFormat="1" applyFont="1" applyBorder="1" applyAlignment="1">
      <alignment horizontal="right"/>
    </xf>
    <xf numFmtId="0" fontId="67" fillId="0" borderId="31" xfId="0" applyNumberFormat="1" applyFont="1" applyFill="1" applyBorder="1" applyAlignment="1">
      <alignment horizontal="left" vertical="top" wrapText="1"/>
    </xf>
    <xf numFmtId="0" fontId="38" fillId="0" borderId="31" xfId="0" applyNumberFormat="1" applyFont="1" applyFill="1" applyBorder="1" applyAlignment="1">
      <alignment horizontal="justify" vertical="top" wrapText="1"/>
    </xf>
    <xf numFmtId="0" fontId="38" fillId="0" borderId="31" xfId="93" applyNumberFormat="1" applyFont="1" applyFill="1" applyBorder="1" applyAlignment="1">
      <alignment vertical="top"/>
    </xf>
    <xf numFmtId="3" fontId="38" fillId="53" borderId="31" xfId="0" applyNumberFormat="1" applyFont="1" applyFill="1" applyBorder="1" applyAlignment="1">
      <alignment horizontal="center" wrapText="1" shrinkToFit="1"/>
    </xf>
    <xf numFmtId="0" fontId="67" fillId="53" borderId="31" xfId="0" applyFont="1" applyFill="1" applyBorder="1" applyAlignment="1">
      <alignment vertical="top" wrapText="1"/>
    </xf>
    <xf numFmtId="3" fontId="38" fillId="53" borderId="31" xfId="0" applyNumberFormat="1" applyFont="1" applyFill="1" applyBorder="1" applyAlignment="1">
      <alignment horizontal="right" wrapText="1"/>
    </xf>
    <xf numFmtId="3" fontId="38" fillId="53" borderId="31" xfId="0" applyNumberFormat="1" applyFont="1" applyFill="1" applyBorder="1" applyAlignment="1">
      <alignment horizontal="right"/>
    </xf>
    <xf numFmtId="0" fontId="35" fillId="0" borderId="0" xfId="0" applyFont="1" applyBorder="1" applyAlignment="1"/>
    <xf numFmtId="3" fontId="35" fillId="0" borderId="0" xfId="0" applyNumberFormat="1" applyFont="1" applyBorder="1" applyAlignment="1"/>
    <xf numFmtId="0" fontId="125" fillId="0" borderId="0" xfId="75" applyFont="1" applyBorder="1" applyAlignment="1"/>
    <xf numFmtId="0" fontId="126" fillId="0" borderId="0" xfId="75" applyFont="1" applyFill="1" applyBorder="1" applyAlignment="1">
      <alignment wrapText="1"/>
    </xf>
    <xf numFmtId="3" fontId="126" fillId="0" borderId="0" xfId="75" applyNumberFormat="1" applyFont="1" applyBorder="1" applyAlignment="1"/>
    <xf numFmtId="0" fontId="127" fillId="0" borderId="0" xfId="0" applyFont="1"/>
    <xf numFmtId="0" fontId="126" fillId="0" borderId="0" xfId="133" quotePrefix="1" applyNumberFormat="1" applyFont="1" applyBorder="1" applyAlignment="1">
      <alignment horizontal="left" wrapText="1" indent="1" shrinkToFit="1"/>
    </xf>
    <xf numFmtId="0" fontId="126" fillId="0" borderId="0" xfId="133" applyNumberFormat="1" applyFont="1" applyBorder="1" applyAlignment="1">
      <alignment horizontal="left" wrapText="1" indent="1" shrinkToFit="1"/>
    </xf>
    <xf numFmtId="3" fontId="125" fillId="0" borderId="0" xfId="129" applyNumberFormat="1" applyFont="1" applyBorder="1" applyAlignment="1">
      <alignment horizontal="right" wrapText="1" shrinkToFit="1"/>
    </xf>
    <xf numFmtId="3" fontId="125" fillId="0" borderId="0" xfId="75" applyNumberFormat="1" applyFont="1" applyBorder="1" applyAlignment="1"/>
    <xf numFmtId="0" fontId="125" fillId="0" borderId="0" xfId="0" applyFont="1" applyBorder="1" applyAlignment="1"/>
    <xf numFmtId="0" fontId="125" fillId="0" borderId="0" xfId="0" applyFont="1" applyBorder="1" applyAlignment="1">
      <alignment wrapText="1"/>
    </xf>
    <xf numFmtId="3" fontId="125" fillId="0" borderId="0" xfId="0" applyNumberFormat="1" applyFont="1" applyBorder="1" applyAlignment="1"/>
    <xf numFmtId="3" fontId="128" fillId="0" borderId="0" xfId="75" applyNumberFormat="1" applyFont="1" applyAlignment="1"/>
    <xf numFmtId="3" fontId="129" fillId="0" borderId="0" xfId="75" applyNumberFormat="1" applyFont="1" applyAlignment="1"/>
    <xf numFmtId="0" fontId="8" fillId="53" borderId="0" xfId="75" applyFont="1" applyFill="1" applyAlignment="1">
      <alignment vertical="top" wrapText="1"/>
    </xf>
    <xf numFmtId="3" fontId="42" fillId="53" borderId="0" xfId="67" applyNumberFormat="1" applyFont="1" applyFill="1" applyAlignment="1">
      <alignment wrapText="1"/>
    </xf>
    <xf numFmtId="3" fontId="6" fillId="53" borderId="0" xfId="67" applyNumberFormat="1" applyFont="1" applyFill="1" applyAlignment="1">
      <alignment wrapText="1"/>
    </xf>
    <xf numFmtId="3" fontId="7" fillId="0" borderId="0" xfId="89" applyNumberFormat="1" applyFont="1" applyAlignment="1">
      <alignment horizontal="center" wrapText="1"/>
    </xf>
    <xf numFmtId="3" fontId="38" fillId="0" borderId="0" xfId="0" applyNumberFormat="1" applyFont="1" applyAlignment="1">
      <alignment horizontal="right" wrapText="1"/>
    </xf>
    <xf numFmtId="3" fontId="7" fillId="0" borderId="0" xfId="0" applyNumberFormat="1" applyFont="1" applyAlignment="1">
      <alignment horizontal="center" wrapText="1"/>
    </xf>
    <xf numFmtId="3" fontId="5" fillId="0" borderId="0" xfId="0" applyNumberFormat="1" applyFont="1"/>
    <xf numFmtId="3" fontId="7" fillId="0" borderId="0" xfId="75" applyNumberFormat="1" applyFont="1" applyFill="1"/>
    <xf numFmtId="3" fontId="30" fillId="53" borderId="13" xfId="0" applyNumberFormat="1" applyFont="1" applyFill="1" applyBorder="1" applyAlignment="1">
      <alignment horizontal="right" wrapText="1"/>
    </xf>
    <xf numFmtId="3" fontId="30" fillId="53" borderId="13" xfId="0" applyNumberFormat="1" applyFont="1" applyFill="1" applyBorder="1" applyAlignment="1">
      <alignment horizontal="right"/>
    </xf>
    <xf numFmtId="0" fontId="35" fillId="61" borderId="0" xfId="75" applyFont="1" applyFill="1" applyAlignment="1">
      <alignment horizontal="right"/>
    </xf>
    <xf numFmtId="3" fontId="35" fillId="61" borderId="0" xfId="75" applyNumberFormat="1" applyFont="1" applyFill="1" applyAlignment="1"/>
    <xf numFmtId="0" fontId="35" fillId="61" borderId="0" xfId="75" applyFont="1" applyFill="1" applyAlignment="1"/>
    <xf numFmtId="0" fontId="6" fillId="61" borderId="0" xfId="75" applyFont="1" applyFill="1" applyAlignment="1">
      <alignment wrapText="1"/>
    </xf>
    <xf numFmtId="2" fontId="35" fillId="61" borderId="0" xfId="75" applyNumberFormat="1" applyFont="1" applyFill="1" applyAlignment="1">
      <alignment horizontal="right"/>
    </xf>
    <xf numFmtId="3" fontId="8" fillId="0" borderId="0" xfId="75" applyNumberFormat="1" applyFont="1" applyFill="1" applyBorder="1" applyAlignment="1"/>
    <xf numFmtId="0" fontId="8" fillId="0" borderId="0" xfId="75" applyFont="1" applyFill="1" applyBorder="1" applyAlignment="1"/>
    <xf numFmtId="3" fontId="8" fillId="0" borderId="0" xfId="75" applyNumberFormat="1" applyFont="1" applyFill="1" applyAlignment="1"/>
    <xf numFmtId="0" fontId="8" fillId="0" borderId="0" xfId="75" applyFont="1" applyFill="1" applyAlignment="1"/>
    <xf numFmtId="0" fontId="7" fillId="55" borderId="16" xfId="0" applyFont="1" applyFill="1" applyBorder="1" applyAlignment="1">
      <alignment horizontal="left" vertical="center"/>
    </xf>
    <xf numFmtId="164" fontId="8" fillId="55" borderId="16" xfId="78" applyNumberFormat="1" applyFont="1" applyFill="1" applyBorder="1" applyAlignment="1">
      <alignment horizontal="justify" vertical="center" wrapText="1"/>
    </xf>
    <xf numFmtId="3" fontId="35" fillId="55" borderId="16" xfId="0" applyNumberFormat="1" applyFont="1" applyFill="1" applyBorder="1" applyAlignment="1">
      <alignment horizontal="center" vertical="center"/>
    </xf>
    <xf numFmtId="3" fontId="30" fillId="55" borderId="16" xfId="66" applyNumberFormat="1" applyFont="1" applyFill="1" applyBorder="1" applyAlignment="1">
      <alignment horizontal="center" vertical="center"/>
    </xf>
    <xf numFmtId="0" fontId="12" fillId="74" borderId="27" xfId="0" applyFont="1" applyFill="1" applyBorder="1" applyAlignment="1"/>
    <xf numFmtId="164" fontId="10" fillId="74" borderId="27" xfId="78" applyNumberFormat="1" applyFont="1" applyFill="1" applyBorder="1" applyAlignment="1">
      <alignment wrapText="1"/>
    </xf>
    <xf numFmtId="3" fontId="6" fillId="74" borderId="27" xfId="0" applyNumberFormat="1" applyFont="1" applyFill="1" applyBorder="1" applyAlignment="1"/>
    <xf numFmtId="3" fontId="30" fillId="74" borderId="27" xfId="66" applyNumberFormat="1" applyFont="1" applyFill="1" applyBorder="1" applyAlignment="1"/>
    <xf numFmtId="3" fontId="30" fillId="74" borderId="27" xfId="66" applyNumberFormat="1" applyFont="1" applyFill="1" applyBorder="1" applyAlignment="1">
      <alignment horizontal="right"/>
    </xf>
    <xf numFmtId="0" fontId="7" fillId="0" borderId="0" xfId="66" applyFont="1" applyFill="1"/>
    <xf numFmtId="0" fontId="9" fillId="0" borderId="0" xfId="66" applyFont="1" applyFill="1"/>
    <xf numFmtId="3" fontId="92" fillId="0" borderId="0" xfId="67" applyNumberFormat="1" applyFont="1" applyFill="1" applyAlignment="1">
      <alignment wrapText="1"/>
    </xf>
    <xf numFmtId="0" fontId="42" fillId="0" borderId="0" xfId="0" applyFont="1" applyAlignment="1">
      <alignment horizontal="left" vertical="top" wrapText="1"/>
    </xf>
    <xf numFmtId="3" fontId="130" fillId="0" borderId="0" xfId="0" applyNumberFormat="1" applyFont="1" applyAlignment="1">
      <alignment vertical="top" wrapText="1"/>
    </xf>
    <xf numFmtId="3" fontId="130" fillId="0" borderId="0" xfId="0" applyNumberFormat="1" applyFont="1" applyAlignment="1">
      <alignment horizontal="left" vertical="center" wrapText="1"/>
    </xf>
    <xf numFmtId="3" fontId="121" fillId="0" borderId="0" xfId="0" applyNumberFormat="1" applyFont="1" applyAlignment="1">
      <alignment vertical="top" wrapText="1"/>
    </xf>
    <xf numFmtId="3" fontId="35" fillId="0" borderId="0" xfId="75" applyNumberFormat="1" applyFont="1" applyFill="1" applyAlignment="1">
      <alignment horizontal="right"/>
    </xf>
    <xf numFmtId="3" fontId="93" fillId="0" borderId="0" xfId="67" applyNumberFormat="1" applyFont="1" applyFill="1" applyAlignment="1">
      <alignment horizontal="center" wrapText="1"/>
    </xf>
    <xf numFmtId="0" fontId="9" fillId="50" borderId="17" xfId="66" applyFont="1" applyFill="1" applyBorder="1" applyAlignment="1">
      <alignment horizontal="center" wrapText="1"/>
    </xf>
    <xf numFmtId="0" fontId="9" fillId="50" borderId="21" xfId="66" applyFont="1" applyFill="1" applyBorder="1" applyAlignment="1">
      <alignment horizontal="center" wrapText="1"/>
    </xf>
    <xf numFmtId="0" fontId="9" fillId="50" borderId="18" xfId="66" applyFont="1" applyFill="1" applyBorder="1" applyAlignment="1">
      <alignment horizontal="center" wrapText="1"/>
    </xf>
    <xf numFmtId="0" fontId="7" fillId="0" borderId="17" xfId="66" applyFont="1" applyBorder="1" applyAlignment="1">
      <alignment horizontal="center" wrapText="1"/>
    </xf>
    <xf numFmtId="0" fontId="7" fillId="0" borderId="21" xfId="66" applyFont="1" applyBorder="1" applyAlignment="1">
      <alignment horizontal="center" wrapText="1"/>
    </xf>
    <xf numFmtId="0" fontId="7" fillId="0" borderId="18" xfId="66" applyFont="1" applyBorder="1" applyAlignment="1">
      <alignment horizontal="center" wrapText="1"/>
    </xf>
    <xf numFmtId="3" fontId="5" fillId="52" borderId="17" xfId="66" applyNumberFormat="1" applyFont="1" applyFill="1" applyBorder="1" applyAlignment="1">
      <alignment horizontal="center" wrapText="1"/>
    </xf>
    <xf numFmtId="3" fontId="5" fillId="52" borderId="21" xfId="66" applyNumberFormat="1" applyFont="1" applyFill="1" applyBorder="1" applyAlignment="1">
      <alignment horizontal="center" wrapText="1"/>
    </xf>
    <xf numFmtId="3" fontId="5" fillId="52" borderId="18" xfId="66" applyNumberFormat="1" applyFont="1" applyFill="1" applyBorder="1" applyAlignment="1">
      <alignment horizontal="center" wrapText="1"/>
    </xf>
    <xf numFmtId="0" fontId="5" fillId="50" borderId="17" xfId="66" applyFont="1" applyFill="1" applyBorder="1" applyAlignment="1">
      <alignment horizontal="center" wrapText="1"/>
    </xf>
    <xf numFmtId="0" fontId="5" fillId="50" borderId="21" xfId="66" applyFont="1" applyFill="1" applyBorder="1" applyAlignment="1">
      <alignment horizontal="center" wrapText="1"/>
    </xf>
    <xf numFmtId="0" fontId="5" fillId="50" borderId="18" xfId="66" applyFont="1" applyFill="1" applyBorder="1" applyAlignment="1">
      <alignment horizontal="center" wrapText="1"/>
    </xf>
    <xf numFmtId="0" fontId="5" fillId="58" borderId="17" xfId="66" applyFont="1" applyFill="1" applyBorder="1" applyAlignment="1">
      <alignment horizontal="center" wrapText="1"/>
    </xf>
    <xf numFmtId="0" fontId="5" fillId="58" borderId="21" xfId="66" applyFont="1" applyFill="1" applyBorder="1" applyAlignment="1">
      <alignment horizontal="center" wrapText="1"/>
    </xf>
    <xf numFmtId="0" fontId="5" fillId="58" borderId="18" xfId="66" applyFont="1" applyFill="1" applyBorder="1" applyAlignment="1">
      <alignment horizontal="center" wrapText="1"/>
    </xf>
    <xf numFmtId="0" fontId="5" fillId="50" borderId="17" xfId="0" applyFont="1" applyFill="1" applyBorder="1" applyAlignment="1">
      <alignment horizontal="center" wrapText="1"/>
    </xf>
    <xf numFmtId="0" fontId="5" fillId="50" borderId="18" xfId="0" applyFont="1" applyFill="1" applyBorder="1" applyAlignment="1">
      <alignment horizontal="center" wrapText="1"/>
    </xf>
    <xf numFmtId="0" fontId="5" fillId="50" borderId="22" xfId="0" applyFont="1" applyFill="1" applyBorder="1" applyAlignment="1">
      <alignment horizontal="center" wrapText="1"/>
    </xf>
    <xf numFmtId="0" fontId="5" fillId="50" borderId="24" xfId="0" applyFont="1" applyFill="1" applyBorder="1" applyAlignment="1">
      <alignment horizontal="center" wrapText="1"/>
    </xf>
    <xf numFmtId="0" fontId="5" fillId="50" borderId="23" xfId="0" applyFont="1" applyFill="1" applyBorder="1" applyAlignment="1">
      <alignment horizontal="center" wrapText="1"/>
    </xf>
    <xf numFmtId="0" fontId="5" fillId="58" borderId="22" xfId="0" applyFont="1" applyFill="1" applyBorder="1" applyAlignment="1">
      <alignment horizontal="center" wrapText="1"/>
    </xf>
    <xf numFmtId="0" fontId="5" fillId="58" borderId="24" xfId="0" applyFont="1" applyFill="1" applyBorder="1" applyAlignment="1">
      <alignment horizontal="center" wrapText="1"/>
    </xf>
    <xf numFmtId="0" fontId="5" fillId="58" borderId="23" xfId="0" applyFont="1" applyFill="1" applyBorder="1" applyAlignment="1">
      <alignment horizontal="center" wrapText="1"/>
    </xf>
    <xf numFmtId="0" fontId="5" fillId="58" borderId="17" xfId="0" applyFont="1" applyFill="1" applyBorder="1" applyAlignment="1">
      <alignment horizontal="center" wrapText="1"/>
    </xf>
    <xf numFmtId="0" fontId="5" fillId="58" borderId="18" xfId="0" applyFont="1" applyFill="1" applyBorder="1" applyAlignment="1">
      <alignment horizontal="center" wrapText="1"/>
    </xf>
    <xf numFmtId="0" fontId="5" fillId="63" borderId="17" xfId="0" applyFont="1" applyFill="1" applyBorder="1" applyAlignment="1">
      <alignment horizontal="center" wrapText="1"/>
    </xf>
    <xf numFmtId="0" fontId="5" fillId="63" borderId="18" xfId="0" applyFont="1" applyFill="1" applyBorder="1" applyAlignment="1">
      <alignment horizontal="center" wrapText="1"/>
    </xf>
    <xf numFmtId="0" fontId="5" fillId="63" borderId="17" xfId="66" applyFont="1" applyFill="1" applyBorder="1" applyAlignment="1">
      <alignment horizontal="center" wrapText="1"/>
    </xf>
    <xf numFmtId="0" fontId="5" fillId="63" borderId="21" xfId="66" applyFont="1" applyFill="1" applyBorder="1" applyAlignment="1">
      <alignment horizontal="center" wrapText="1"/>
    </xf>
    <xf numFmtId="0" fontId="5" fillId="63" borderId="18" xfId="66" applyFont="1" applyFill="1" applyBorder="1" applyAlignment="1">
      <alignment horizontal="center" wrapText="1"/>
    </xf>
    <xf numFmtId="0" fontId="9" fillId="58" borderId="17" xfId="66" applyFont="1" applyFill="1" applyBorder="1" applyAlignment="1">
      <alignment horizontal="center" wrapText="1"/>
    </xf>
    <xf numFmtId="0" fontId="9" fillId="58" borderId="21" xfId="66" applyFont="1" applyFill="1" applyBorder="1" applyAlignment="1">
      <alignment horizontal="center" wrapText="1"/>
    </xf>
    <xf numFmtId="0" fontId="9" fillId="58" borderId="18" xfId="66" applyFont="1" applyFill="1" applyBorder="1" applyAlignment="1">
      <alignment horizontal="center" wrapText="1"/>
    </xf>
    <xf numFmtId="0" fontId="5" fillId="63" borderId="22" xfId="0" applyFont="1" applyFill="1" applyBorder="1" applyAlignment="1">
      <alignment horizontal="center" wrapText="1"/>
    </xf>
    <xf numFmtId="0" fontId="5" fillId="63" borderId="24" xfId="0" applyFont="1" applyFill="1" applyBorder="1" applyAlignment="1">
      <alignment horizontal="center" wrapText="1"/>
    </xf>
    <xf numFmtId="0" fontId="5" fillId="63" borderId="23" xfId="0" applyFont="1" applyFill="1" applyBorder="1" applyAlignment="1">
      <alignment horizontal="center" wrapText="1"/>
    </xf>
    <xf numFmtId="3" fontId="92" fillId="0" borderId="0" xfId="67" applyNumberFormat="1" applyFont="1" applyFill="1" applyAlignment="1">
      <alignment horizontal="right" wrapText="1"/>
    </xf>
    <xf numFmtId="3" fontId="41" fillId="58" borderId="17" xfId="67" applyNumberFormat="1" applyFont="1" applyFill="1" applyBorder="1" applyAlignment="1">
      <alignment horizontal="center" wrapText="1"/>
    </xf>
    <xf numFmtId="3" fontId="41" fillId="58" borderId="18" xfId="67" applyNumberFormat="1" applyFont="1" applyFill="1" applyBorder="1" applyAlignment="1">
      <alignment horizontal="center" wrapText="1"/>
    </xf>
    <xf numFmtId="0" fontId="9" fillId="63" borderId="17" xfId="66" applyFont="1" applyFill="1" applyBorder="1" applyAlignment="1">
      <alignment horizontal="center" wrapText="1"/>
    </xf>
    <xf numFmtId="0" fontId="9" fillId="63" borderId="21" xfId="66" applyFont="1" applyFill="1" applyBorder="1" applyAlignment="1">
      <alignment horizontal="center" wrapText="1"/>
    </xf>
    <xf numFmtId="0" fontId="9" fillId="63" borderId="18" xfId="66" applyFont="1" applyFill="1" applyBorder="1" applyAlignment="1">
      <alignment horizontal="center" wrapText="1"/>
    </xf>
    <xf numFmtId="0" fontId="7" fillId="0" borderId="11" xfId="84" applyFont="1" applyBorder="1" applyAlignment="1">
      <alignment horizontal="center" wrapText="1"/>
    </xf>
    <xf numFmtId="0" fontId="10" fillId="0" borderId="0" xfId="0" applyFont="1" applyAlignment="1">
      <alignment horizontal="left" wrapText="1"/>
    </xf>
    <xf numFmtId="0" fontId="8" fillId="0" borderId="0" xfId="0" applyFont="1" applyBorder="1" applyAlignment="1">
      <alignment horizontal="left" wrapText="1"/>
    </xf>
    <xf numFmtId="0" fontId="10" fillId="0" borderId="0" xfId="66" applyFont="1" applyAlignment="1">
      <alignment horizontal="left" wrapText="1"/>
    </xf>
    <xf numFmtId="0" fontId="8" fillId="0" borderId="0" xfId="66" applyFont="1" applyBorder="1" applyAlignment="1">
      <alignment horizontal="left" wrapText="1"/>
    </xf>
    <xf numFmtId="0" fontId="5" fillId="50" borderId="17" xfId="66" applyFont="1" applyFill="1" applyBorder="1" applyAlignment="1">
      <alignment horizontal="center" vertical="center" wrapText="1"/>
    </xf>
    <xf numFmtId="0" fontId="5" fillId="50" borderId="21" xfId="66" applyFont="1" applyFill="1" applyBorder="1" applyAlignment="1">
      <alignment horizontal="center" vertical="center" wrapText="1"/>
    </xf>
    <xf numFmtId="0" fontId="5" fillId="50" borderId="18" xfId="66" applyFont="1" applyFill="1" applyBorder="1" applyAlignment="1">
      <alignment horizontal="center" vertical="center" wrapText="1"/>
    </xf>
    <xf numFmtId="0" fontId="5" fillId="50" borderId="22" xfId="0" applyFont="1" applyFill="1" applyBorder="1" applyAlignment="1">
      <alignment horizontal="center" vertical="center" wrapText="1"/>
    </xf>
    <xf numFmtId="0" fontId="5" fillId="50" borderId="24" xfId="0" applyFont="1" applyFill="1" applyBorder="1" applyAlignment="1">
      <alignment horizontal="center" vertical="center" wrapText="1"/>
    </xf>
    <xf numFmtId="0" fontId="5" fillId="50" borderId="23" xfId="0" applyFont="1" applyFill="1" applyBorder="1" applyAlignment="1">
      <alignment horizontal="center" vertical="center" wrapText="1"/>
    </xf>
    <xf numFmtId="0" fontId="9" fillId="50" borderId="17" xfId="66" applyFont="1" applyFill="1" applyBorder="1" applyAlignment="1">
      <alignment horizontal="center" vertical="center" wrapText="1"/>
    </xf>
    <xf numFmtId="0" fontId="9" fillId="50" borderId="21" xfId="66" applyFont="1" applyFill="1" applyBorder="1" applyAlignment="1">
      <alignment horizontal="center" vertical="center" wrapText="1"/>
    </xf>
    <xf numFmtId="0" fontId="9" fillId="50" borderId="18" xfId="66" applyFont="1" applyFill="1" applyBorder="1" applyAlignment="1">
      <alignment horizontal="center" vertical="center" wrapText="1"/>
    </xf>
    <xf numFmtId="0" fontId="5" fillId="50" borderId="17" xfId="0" applyFont="1" applyFill="1" applyBorder="1" applyAlignment="1">
      <alignment horizontal="center" vertical="center" wrapText="1"/>
    </xf>
    <xf numFmtId="0" fontId="5" fillId="50" borderId="18" xfId="0" applyFont="1" applyFill="1" applyBorder="1" applyAlignment="1">
      <alignment horizontal="center" vertical="center" wrapText="1"/>
    </xf>
    <xf numFmtId="3" fontId="5" fillId="52" borderId="17" xfId="66" applyNumberFormat="1" applyFont="1" applyFill="1" applyBorder="1" applyAlignment="1">
      <alignment horizontal="center" vertical="center" wrapText="1"/>
    </xf>
    <xf numFmtId="3" fontId="5" fillId="52" borderId="21" xfId="66" applyNumberFormat="1" applyFont="1" applyFill="1" applyBorder="1" applyAlignment="1">
      <alignment horizontal="center" vertical="center" wrapText="1"/>
    </xf>
    <xf numFmtId="3" fontId="5" fillId="52" borderId="18" xfId="66" applyNumberFormat="1" applyFont="1" applyFill="1" applyBorder="1" applyAlignment="1">
      <alignment horizontal="center" vertical="center" wrapText="1"/>
    </xf>
    <xf numFmtId="0" fontId="5" fillId="58" borderId="17" xfId="66" applyFont="1" applyFill="1" applyBorder="1" applyAlignment="1">
      <alignment horizontal="center" vertical="center" wrapText="1"/>
    </xf>
    <xf numFmtId="0" fontId="5" fillId="58" borderId="21" xfId="66" applyFont="1" applyFill="1" applyBorder="1" applyAlignment="1">
      <alignment horizontal="center" vertical="center" wrapText="1"/>
    </xf>
    <xf numFmtId="0" fontId="5" fillId="58" borderId="18" xfId="66" applyFont="1" applyFill="1" applyBorder="1" applyAlignment="1">
      <alignment horizontal="center" vertical="center" wrapText="1"/>
    </xf>
    <xf numFmtId="0" fontId="9" fillId="63" borderId="17" xfId="66" applyFont="1" applyFill="1" applyBorder="1" applyAlignment="1">
      <alignment horizontal="center" vertical="center" wrapText="1"/>
    </xf>
    <xf numFmtId="0" fontId="9" fillId="63" borderId="21" xfId="66" applyFont="1" applyFill="1" applyBorder="1" applyAlignment="1">
      <alignment horizontal="center" vertical="center" wrapText="1"/>
    </xf>
    <xf numFmtId="0" fontId="9" fillId="63" borderId="18" xfId="66" applyFont="1" applyFill="1" applyBorder="1" applyAlignment="1">
      <alignment horizontal="center" vertical="center" wrapText="1"/>
    </xf>
    <xf numFmtId="0" fontId="5" fillId="58" borderId="17" xfId="0" applyFont="1" applyFill="1" applyBorder="1" applyAlignment="1">
      <alignment horizontal="center" vertical="center" wrapText="1"/>
    </xf>
    <xf numFmtId="0" fontId="5" fillId="58" borderId="18" xfId="0" applyFont="1" applyFill="1" applyBorder="1" applyAlignment="1">
      <alignment horizontal="center" vertical="center" wrapText="1"/>
    </xf>
    <xf numFmtId="0" fontId="5" fillId="63" borderId="17" xfId="0" applyFont="1" applyFill="1" applyBorder="1" applyAlignment="1">
      <alignment horizontal="center" vertical="center" wrapText="1"/>
    </xf>
    <xf numFmtId="0" fontId="5" fillId="63" borderId="18" xfId="0" applyFont="1" applyFill="1" applyBorder="1" applyAlignment="1">
      <alignment horizontal="center" vertical="center" wrapText="1"/>
    </xf>
    <xf numFmtId="0" fontId="5" fillId="58" borderId="22" xfId="0" applyFont="1" applyFill="1" applyBorder="1" applyAlignment="1">
      <alignment horizontal="center" vertical="center" wrapText="1"/>
    </xf>
    <xf numFmtId="0" fontId="5" fillId="58" borderId="24" xfId="0" applyFont="1" applyFill="1" applyBorder="1" applyAlignment="1">
      <alignment horizontal="center" vertical="center" wrapText="1"/>
    </xf>
    <xf numFmtId="0" fontId="5" fillId="58" borderId="23" xfId="0" applyFont="1" applyFill="1" applyBorder="1" applyAlignment="1">
      <alignment horizontal="center" vertical="center" wrapText="1"/>
    </xf>
    <xf numFmtId="0" fontId="9" fillId="58" borderId="17" xfId="66" applyFont="1" applyFill="1" applyBorder="1" applyAlignment="1">
      <alignment horizontal="center" vertical="center" wrapText="1"/>
    </xf>
    <xf numFmtId="0" fontId="9" fillId="58" borderId="21" xfId="66" applyFont="1" applyFill="1" applyBorder="1" applyAlignment="1">
      <alignment horizontal="center" vertical="center" wrapText="1"/>
    </xf>
    <xf numFmtId="0" fontId="9" fillId="58" borderId="18" xfId="66" applyFont="1" applyFill="1" applyBorder="1" applyAlignment="1">
      <alignment horizontal="center" vertical="center" wrapText="1"/>
    </xf>
    <xf numFmtId="0" fontId="5" fillId="63" borderId="17" xfId="66" applyFont="1" applyFill="1" applyBorder="1" applyAlignment="1">
      <alignment horizontal="center" vertical="center" wrapText="1"/>
    </xf>
    <xf numFmtId="0" fontId="5" fillId="63" borderId="21" xfId="66" applyFont="1" applyFill="1" applyBorder="1" applyAlignment="1">
      <alignment horizontal="center" vertical="center" wrapText="1"/>
    </xf>
    <xf numFmtId="0" fontId="5" fillId="63" borderId="18" xfId="66" applyFont="1" applyFill="1" applyBorder="1" applyAlignment="1">
      <alignment horizontal="center" vertical="center" wrapText="1"/>
    </xf>
    <xf numFmtId="0" fontId="5" fillId="63" borderId="22" xfId="0" applyFont="1" applyFill="1" applyBorder="1" applyAlignment="1">
      <alignment horizontal="center" vertical="center" wrapText="1"/>
    </xf>
    <xf numFmtId="0" fontId="5" fillId="63" borderId="24" xfId="0" applyFont="1" applyFill="1" applyBorder="1" applyAlignment="1">
      <alignment horizontal="center" vertical="center" wrapText="1"/>
    </xf>
    <xf numFmtId="0" fontId="5" fillId="63" borderId="23" xfId="0" applyFont="1" applyFill="1" applyBorder="1" applyAlignment="1">
      <alignment horizontal="center" vertical="center" wrapText="1"/>
    </xf>
    <xf numFmtId="0" fontId="7" fillId="0" borderId="11" xfId="84" applyFont="1" applyBorder="1" applyAlignment="1">
      <alignment horizontal="center" vertical="center" wrapText="1"/>
    </xf>
    <xf numFmtId="0" fontId="7" fillId="0" borderId="17" xfId="66" applyFont="1" applyBorder="1" applyAlignment="1">
      <alignment horizontal="center" vertical="center" wrapText="1"/>
    </xf>
    <xf numFmtId="0" fontId="7" fillId="0" borderId="21" xfId="66" applyFont="1" applyBorder="1" applyAlignment="1">
      <alignment horizontal="center" vertical="center" wrapText="1"/>
    </xf>
    <xf numFmtId="0" fontId="7" fillId="0" borderId="18" xfId="66" applyFont="1" applyBorder="1" applyAlignment="1">
      <alignment horizontal="center" vertical="center" wrapText="1"/>
    </xf>
    <xf numFmtId="0" fontId="5" fillId="54" borderId="22" xfId="0" applyFont="1" applyFill="1" applyBorder="1" applyAlignment="1">
      <alignment horizontal="center" wrapText="1"/>
    </xf>
    <xf numFmtId="0" fontId="5" fillId="54" borderId="24" xfId="0" applyFont="1" applyFill="1" applyBorder="1" applyAlignment="1">
      <alignment horizontal="center" wrapText="1"/>
    </xf>
    <xf numFmtId="0" fontId="5" fillId="54" borderId="23" xfId="0" applyFont="1" applyFill="1" applyBorder="1" applyAlignment="1">
      <alignment horizontal="center" wrapText="1"/>
    </xf>
    <xf numFmtId="0" fontId="9" fillId="54" borderId="17" xfId="66" applyFont="1" applyFill="1" applyBorder="1" applyAlignment="1">
      <alignment horizontal="center" wrapText="1"/>
    </xf>
    <xf numFmtId="0" fontId="9" fillId="54" borderId="21" xfId="66" applyFont="1" applyFill="1" applyBorder="1" applyAlignment="1">
      <alignment horizontal="center" wrapText="1"/>
    </xf>
    <xf numFmtId="0" fontId="9" fillId="54" borderId="18" xfId="66" applyFont="1" applyFill="1" applyBorder="1" applyAlignment="1">
      <alignment horizontal="center" wrapText="1"/>
    </xf>
    <xf numFmtId="0" fontId="5" fillId="54" borderId="17" xfId="0" applyFont="1" applyFill="1" applyBorder="1" applyAlignment="1">
      <alignment horizontal="center" wrapText="1"/>
    </xf>
    <xf numFmtId="0" fontId="5" fillId="54" borderId="18" xfId="0" applyFont="1" applyFill="1" applyBorder="1" applyAlignment="1">
      <alignment horizontal="center" wrapText="1"/>
    </xf>
    <xf numFmtId="0" fontId="5" fillId="54" borderId="17" xfId="66" applyFont="1" applyFill="1" applyBorder="1" applyAlignment="1">
      <alignment horizontal="center" wrapText="1"/>
    </xf>
    <xf numFmtId="0" fontId="5" fillId="54" borderId="21" xfId="66" applyFont="1" applyFill="1" applyBorder="1" applyAlignment="1">
      <alignment horizontal="center" wrapText="1"/>
    </xf>
    <xf numFmtId="0" fontId="5" fillId="54" borderId="18" xfId="66" applyFont="1" applyFill="1" applyBorder="1" applyAlignment="1">
      <alignment horizontal="center" wrapText="1"/>
    </xf>
    <xf numFmtId="0" fontId="110" fillId="0" borderId="0" xfId="66" applyFont="1" applyBorder="1" applyAlignment="1">
      <alignment horizontal="left" wrapText="1"/>
    </xf>
    <xf numFmtId="0" fontId="10" fillId="0" borderId="0" xfId="66" applyFont="1" applyAlignment="1">
      <alignment horizontal="center" vertical="center" wrapText="1"/>
    </xf>
    <xf numFmtId="0" fontId="8" fillId="0" borderId="0" xfId="66" applyFont="1" applyBorder="1" applyAlignment="1">
      <alignment horizontal="center" vertical="center" wrapText="1"/>
    </xf>
    <xf numFmtId="0" fontId="7" fillId="0" borderId="17" xfId="84" applyFont="1" applyBorder="1" applyAlignment="1">
      <alignment horizontal="center" vertical="center" wrapText="1"/>
    </xf>
    <xf numFmtId="0" fontId="7" fillId="0" borderId="21" xfId="84" applyFont="1" applyBorder="1" applyAlignment="1">
      <alignment horizontal="center" vertical="center" wrapText="1"/>
    </xf>
    <xf numFmtId="0" fontId="7" fillId="0" borderId="18" xfId="84" applyFont="1" applyBorder="1" applyAlignment="1">
      <alignment horizontal="center" vertical="center" wrapText="1"/>
    </xf>
    <xf numFmtId="0" fontId="7" fillId="0" borderId="17" xfId="66" applyFont="1" applyBorder="1" applyAlignment="1">
      <alignment horizontal="justify" vertical="center" wrapText="1"/>
    </xf>
    <xf numFmtId="0" fontId="7" fillId="0" borderId="21" xfId="66" applyFont="1" applyBorder="1" applyAlignment="1">
      <alignment horizontal="justify" vertical="center" wrapText="1"/>
    </xf>
    <xf numFmtId="0" fontId="7" fillId="0" borderId="18" xfId="66" applyFont="1" applyBorder="1" applyAlignment="1">
      <alignment horizontal="justify" vertical="center" wrapText="1"/>
    </xf>
    <xf numFmtId="2" fontId="30" fillId="0" borderId="0" xfId="75" applyNumberFormat="1" applyFont="1" applyAlignment="1">
      <alignment horizontal="right" vertical="top"/>
    </xf>
    <xf numFmtId="3" fontId="30" fillId="0" borderId="0" xfId="75" applyNumberFormat="1" applyFont="1" applyAlignment="1">
      <alignment horizontal="center"/>
    </xf>
    <xf numFmtId="0" fontId="30" fillId="0" borderId="0" xfId="75" applyFont="1" applyAlignment="1">
      <alignment horizontal="center"/>
    </xf>
    <xf numFmtId="3" fontId="30" fillId="0" borderId="0" xfId="75" applyNumberFormat="1" applyFont="1" applyAlignment="1">
      <alignment horizontal="right" vertical="top"/>
    </xf>
    <xf numFmtId="0" fontId="30" fillId="0" borderId="0" xfId="75" applyFont="1" applyAlignment="1">
      <alignment horizontal="center" vertical="top"/>
    </xf>
    <xf numFmtId="0" fontId="5" fillId="50" borderId="22" xfId="66" applyFont="1" applyFill="1" applyBorder="1" applyAlignment="1">
      <alignment horizontal="center" wrapText="1"/>
    </xf>
    <xf numFmtId="0" fontId="5" fillId="50" borderId="24" xfId="66" applyFont="1" applyFill="1" applyBorder="1" applyAlignment="1">
      <alignment horizontal="center" wrapText="1"/>
    </xf>
    <xf numFmtId="0" fontId="5" fillId="50" borderId="23" xfId="66" applyFont="1" applyFill="1" applyBorder="1" applyAlignment="1">
      <alignment horizontal="center" wrapText="1"/>
    </xf>
    <xf numFmtId="0" fontId="5" fillId="63" borderId="22" xfId="66" applyFont="1" applyFill="1" applyBorder="1" applyAlignment="1">
      <alignment horizontal="center" wrapText="1"/>
    </xf>
    <xf numFmtId="0" fontId="5" fillId="63" borderId="24" xfId="66" applyFont="1" applyFill="1" applyBorder="1" applyAlignment="1">
      <alignment horizontal="center" wrapText="1"/>
    </xf>
    <xf numFmtId="0" fontId="5" fillId="63" borderId="23" xfId="66" applyFont="1" applyFill="1" applyBorder="1" applyAlignment="1">
      <alignment horizontal="center" wrapText="1"/>
    </xf>
    <xf numFmtId="0" fontId="5" fillId="58" borderId="22" xfId="66" applyFont="1" applyFill="1" applyBorder="1" applyAlignment="1">
      <alignment horizontal="center" wrapText="1"/>
    </xf>
    <xf numFmtId="0" fontId="5" fillId="58" borderId="24" xfId="66" applyFont="1" applyFill="1" applyBorder="1" applyAlignment="1">
      <alignment horizontal="center" wrapText="1"/>
    </xf>
    <xf numFmtId="0" fontId="5" fillId="58" borderId="23" xfId="66" applyFont="1" applyFill="1" applyBorder="1" applyAlignment="1">
      <alignment horizontal="center" wrapText="1"/>
    </xf>
    <xf numFmtId="0" fontId="5" fillId="50" borderId="11" xfId="0" applyFont="1" applyFill="1" applyBorder="1" applyAlignment="1">
      <alignment horizontal="center" wrapText="1"/>
    </xf>
    <xf numFmtId="0" fontId="5" fillId="63" borderId="11" xfId="0" applyFont="1" applyFill="1" applyBorder="1" applyAlignment="1">
      <alignment horizontal="center" wrapText="1"/>
    </xf>
    <xf numFmtId="0" fontId="5" fillId="58" borderId="11" xfId="0" applyFont="1" applyFill="1" applyBorder="1" applyAlignment="1">
      <alignment horizontal="center" wrapText="1"/>
    </xf>
    <xf numFmtId="0" fontId="10" fillId="0" borderId="0" xfId="66" applyFont="1" applyBorder="1" applyAlignment="1">
      <alignment horizontal="left" wrapText="1"/>
    </xf>
    <xf numFmtId="0" fontId="12" fillId="0" borderId="25" xfId="84" applyFont="1" applyBorder="1" applyAlignment="1">
      <alignment horizontal="center" wrapText="1"/>
    </xf>
    <xf numFmtId="0" fontId="12" fillId="0" borderId="25" xfId="66" applyFont="1" applyBorder="1" applyAlignment="1">
      <alignment horizontal="center" wrapText="1"/>
    </xf>
    <xf numFmtId="0" fontId="8" fillId="0" borderId="0" xfId="84" applyFont="1" applyAlignment="1">
      <alignment horizontal="left" wrapText="1"/>
    </xf>
  </cellXfs>
  <cellStyles count="148">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1 - 20%" xfId="20"/>
    <cellStyle name="Accent1 - 40%" xfId="21"/>
    <cellStyle name="Accent1 - 60%" xfId="22"/>
    <cellStyle name="Accent1_BĀZE_1" xfId="23"/>
    <cellStyle name="Accent2" xfId="24"/>
    <cellStyle name="Accent2 - 20%" xfId="25"/>
    <cellStyle name="Accent2 - 40%" xfId="26"/>
    <cellStyle name="Accent2 - 60%" xfId="27"/>
    <cellStyle name="Accent2_BĀZE_1" xfId="28"/>
    <cellStyle name="Accent3" xfId="29"/>
    <cellStyle name="Accent3 - 20%" xfId="30"/>
    <cellStyle name="Accent3 - 40%" xfId="31"/>
    <cellStyle name="Accent3 - 60%" xfId="32"/>
    <cellStyle name="Accent3_BĀZE_1" xfId="33"/>
    <cellStyle name="Accent4" xfId="34"/>
    <cellStyle name="Accent4 - 20%" xfId="35"/>
    <cellStyle name="Accent4 - 40%" xfId="36"/>
    <cellStyle name="Accent4 - 60%" xfId="37"/>
    <cellStyle name="Accent4_BĀZE_1" xfId="38"/>
    <cellStyle name="Accent5" xfId="39"/>
    <cellStyle name="Accent5 - 20%" xfId="40"/>
    <cellStyle name="Accent5 - 40%" xfId="41"/>
    <cellStyle name="Accent5 - 60%" xfId="42"/>
    <cellStyle name="Accent5_BĀZE_1" xfId="43"/>
    <cellStyle name="Accent6" xfId="44"/>
    <cellStyle name="Accent6 - 20%" xfId="45"/>
    <cellStyle name="Accent6 - 40%" xfId="46"/>
    <cellStyle name="Accent6 - 60%" xfId="47"/>
    <cellStyle name="Accent6_BĀZE_1" xfId="48"/>
    <cellStyle name="Bad" xfId="49"/>
    <cellStyle name="Calculation" xfId="50"/>
    <cellStyle name="Check Cell" xfId="51"/>
    <cellStyle name="Emphasis 1" xfId="52"/>
    <cellStyle name="Emphasis 2" xfId="53"/>
    <cellStyle name="Emphasis 3" xfId="54"/>
    <cellStyle name="exo" xfId="55"/>
    <cellStyle name="Explanatory Text" xfId="56"/>
    <cellStyle name="Good" xfId="57"/>
    <cellStyle name="Heading 1" xfId="58"/>
    <cellStyle name="Heading 2" xfId="59"/>
    <cellStyle name="Heading 3" xfId="60"/>
    <cellStyle name="Heading 4" xfId="61"/>
    <cellStyle name="Input" xfId="62"/>
    <cellStyle name="Koefic." xfId="63"/>
    <cellStyle name="Linked Cell" xfId="64"/>
    <cellStyle name="Neutral" xfId="65"/>
    <cellStyle name="Normal" xfId="0" builtinId="0"/>
    <cellStyle name="Normal 2" xfId="66"/>
    <cellStyle name="Normal 2 2" xfId="67"/>
    <cellStyle name="Normal 2 3" xfId="68"/>
    <cellStyle name="Normal 3" xfId="69"/>
    <cellStyle name="Normal 4" xfId="70"/>
    <cellStyle name="Normal 5" xfId="71"/>
    <cellStyle name="Normal 6" xfId="147"/>
    <cellStyle name="Normal_18bāzes veidlapa" xfId="72"/>
    <cellStyle name="Normal_2005.bāzes izdevumi VPK MK" xfId="73"/>
    <cellStyle name="Normal_2005.bāzes izdevumi VPK MK 14" xfId="74"/>
    <cellStyle name="Normal_2005.bāzes izdevumi VPK MK 2 3" xfId="75"/>
    <cellStyle name="Normal_2005.bāzes izdevumi VPK MK 2_Baze_2009_2011_projekts_uz250208" xfId="76"/>
    <cellStyle name="Normal_96_97pr_23aug" xfId="77"/>
    <cellStyle name="Normal_Bāzes veidošana" xfId="78"/>
    <cellStyle name="Normal_Bāzes veidošana 2_Baze_2009_2011_projekts_uz250208 2" xfId="79"/>
    <cellStyle name="Normal_ien_pamat2000" xfId="80"/>
    <cellStyle name="Normal_Sheet1" xfId="81"/>
    <cellStyle name="Note" xfId="82"/>
    <cellStyle name="Output" xfId="83"/>
    <cellStyle name="Parastais 13" xfId="84"/>
    <cellStyle name="Parastais 2" xfId="85"/>
    <cellStyle name="Parastais 2 2" xfId="86"/>
    <cellStyle name="Parastais 2 3" xfId="87"/>
    <cellStyle name="Parastais 2_FMRik_260209_marts_sad1II.variants" xfId="88"/>
    <cellStyle name="Parastais 3" xfId="89"/>
    <cellStyle name="Parastais 4" xfId="90"/>
    <cellStyle name="Parastais 5" xfId="91"/>
    <cellStyle name="Parastais 6" xfId="92"/>
    <cellStyle name="Parastais_FMLikp01_p05_221205_pap_afp_makp" xfId="93"/>
    <cellStyle name="Percent 2" xfId="94"/>
    <cellStyle name="Pie??m." xfId="95"/>
    <cellStyle name="SAPBEXaggData" xfId="96"/>
    <cellStyle name="SAPBEXaggDataEmph" xfId="97"/>
    <cellStyle name="SAPBEXaggItem" xfId="98"/>
    <cellStyle name="SAPBEXaggItemX" xfId="99"/>
    <cellStyle name="SAPBEXchaText" xfId="100"/>
    <cellStyle name="SAPBEXexcBad7" xfId="101"/>
    <cellStyle name="SAPBEXexcBad8" xfId="102"/>
    <cellStyle name="SAPBEXexcBad9" xfId="103"/>
    <cellStyle name="SAPBEXexcCritical4" xfId="104"/>
    <cellStyle name="SAPBEXexcCritical5" xfId="105"/>
    <cellStyle name="SAPBEXexcCritical6" xfId="106"/>
    <cellStyle name="SAPBEXexcGood1" xfId="107"/>
    <cellStyle name="SAPBEXexcGood2" xfId="108"/>
    <cellStyle name="SAPBEXexcGood3" xfId="109"/>
    <cellStyle name="SAPBEXfilterDrill" xfId="110"/>
    <cellStyle name="SAPBEXfilterItem" xfId="111"/>
    <cellStyle name="SAPBEXfilterText" xfId="112"/>
    <cellStyle name="SAPBEXformats" xfId="113"/>
    <cellStyle name="SAPBEXheaderItem" xfId="114"/>
    <cellStyle name="SAPBEXheaderText" xfId="115"/>
    <cellStyle name="SAPBEXHLevel0" xfId="116"/>
    <cellStyle name="SAPBEXHLevel0X" xfId="117"/>
    <cellStyle name="SAPBEXHLevel1" xfId="118"/>
    <cellStyle name="SAPBEXHLevel1X" xfId="119"/>
    <cellStyle name="SAPBEXHLevel2" xfId="120"/>
    <cellStyle name="SAPBEXHLevel2X" xfId="121"/>
    <cellStyle name="SAPBEXHLevel3" xfId="122"/>
    <cellStyle name="SAPBEXHLevel3X" xfId="123"/>
    <cellStyle name="SAPBEXinputData" xfId="124"/>
    <cellStyle name="SAPBEXresData" xfId="125"/>
    <cellStyle name="SAPBEXresDataEmph" xfId="126"/>
    <cellStyle name="SAPBEXresItem" xfId="127"/>
    <cellStyle name="SAPBEXresItemX" xfId="128"/>
    <cellStyle name="SAPBEXstdData" xfId="129"/>
    <cellStyle name="SAPBEXstdData 2" xfId="130"/>
    <cellStyle name="SAPBEXstdData_2009 g _150609" xfId="131"/>
    <cellStyle name="SAPBEXstdDataEmph" xfId="132"/>
    <cellStyle name="SAPBEXstdItem" xfId="133"/>
    <cellStyle name="SAPBEXstdItem 2" xfId="134"/>
    <cellStyle name="SAPBEXstdItem 3" xfId="135"/>
    <cellStyle name="SAPBEXstdItem_FMLikp03_081208_15_aprrez" xfId="136"/>
    <cellStyle name="SAPBEXstdItemX" xfId="137"/>
    <cellStyle name="SAPBEXtitle" xfId="138"/>
    <cellStyle name="SAPBEXundefined" xfId="139"/>
    <cellStyle name="Sheet Title" xfId="140"/>
    <cellStyle name="Stils 1" xfId="141"/>
    <cellStyle name="Style 1" xfId="142"/>
    <cellStyle name="Title" xfId="143"/>
    <cellStyle name="Total" xfId="144"/>
    <cellStyle name="V?st." xfId="145"/>
    <cellStyle name="Warning Text" xfId="14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Local%20Settings\Temporary%20Internet%20Files\Content.IE5\NASHVDXI\Nemazinamie_120509ministrija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bd-bluzm\LOCALS~1\Temp\1d\BW\Analyzer\Workbooks\GY55JBHKLGROEZGX7WMT1OGY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ar ES_bez_tehnp_atl"/>
      <sheetName val="HEADER"/>
      <sheetName val="FOOTER"/>
      <sheetName val="ZQBC_PLN_01_03_N"/>
      <sheetName val="ZQZBC_REG_02_04"/>
      <sheetName val="ZQZBC_PLN_01_05_N"/>
      <sheetName val="ZQZBC_PLN_01_06_N"/>
      <sheetName val="ZQZBC_PLN_01_06_N2"/>
      <sheetName val="ZQZBC_PLN_01_07_N"/>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ATSKAITE"/>
      <sheetName val="HEADER"/>
      <sheetName val="FOOTER"/>
      <sheetName val="ZQBC_REG_02_08"/>
    </sheetNames>
    <sheetDataSet>
      <sheetData sheetId="0" refreshError="1"/>
      <sheetData sheetId="1" refreshError="1"/>
      <sheetData sheetId="2"/>
      <sheetData sheetId="3" refreshError="1"/>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AE500"/>
  <sheetViews>
    <sheetView tabSelected="1" zoomScale="60" zoomScaleNormal="60" workbookViewId="0">
      <selection activeCell="H16" sqref="H16"/>
    </sheetView>
  </sheetViews>
  <sheetFormatPr defaultColWidth="9.109375" defaultRowHeight="13.2"/>
  <cols>
    <col min="1" max="1" width="3.5546875" style="45" customWidth="1"/>
    <col min="2" max="2" width="44.5546875" style="45" customWidth="1"/>
    <col min="3" max="15" width="14.88671875" style="45" customWidth="1"/>
    <col min="16" max="17" width="13.6640625" style="45" customWidth="1"/>
    <col min="18" max="18" width="14.88671875" style="45" customWidth="1"/>
    <col min="19" max="19" width="9.5546875" style="45" customWidth="1"/>
    <col min="20" max="20" width="0" style="45" hidden="1" customWidth="1"/>
    <col min="21" max="21" width="16" style="45" hidden="1" customWidth="1"/>
    <col min="22" max="22" width="13.109375" style="45" hidden="1" customWidth="1"/>
    <col min="23" max="23" width="15.5546875" style="45" hidden="1" customWidth="1"/>
    <col min="24" max="24" width="0" style="45" hidden="1" customWidth="1"/>
    <col min="25" max="25" width="15.109375" style="45" hidden="1" customWidth="1"/>
    <col min="26" max="27" width="0" style="45" hidden="1" customWidth="1"/>
    <col min="28" max="28" width="9.109375" style="45"/>
    <col min="29" max="31" width="12.88671875" style="553" customWidth="1"/>
    <col min="32" max="32" width="9.109375" style="45"/>
    <col min="33" max="33" width="11.5546875" style="45" customWidth="1"/>
    <col min="34" max="35" width="9.109375" style="45"/>
    <col min="36" max="36" width="2.5546875" style="45" bestFit="1" customWidth="1"/>
    <col min="37" max="37" width="11.44140625" style="45" customWidth="1"/>
    <col min="38" max="16384" width="9.109375" style="45"/>
  </cols>
  <sheetData>
    <row r="1" spans="2:31" ht="101.4" customHeight="1">
      <c r="E1" s="90"/>
      <c r="H1" s="1347"/>
      <c r="I1" s="1347"/>
      <c r="J1" s="1347"/>
      <c r="P1" s="1390" t="s">
        <v>1094</v>
      </c>
      <c r="Q1" s="1390"/>
      <c r="R1" s="1390"/>
    </row>
    <row r="2" spans="2:31" ht="15" customHeight="1">
      <c r="E2" s="343"/>
      <c r="F2" s="343"/>
      <c r="G2" s="343"/>
      <c r="H2" s="343"/>
      <c r="I2" s="343"/>
      <c r="J2" s="343"/>
      <c r="K2" s="343"/>
      <c r="L2" s="343"/>
      <c r="M2" s="343"/>
      <c r="N2" s="343"/>
      <c r="O2" s="343"/>
      <c r="P2" s="343"/>
      <c r="Q2" s="343"/>
    </row>
    <row r="3" spans="2:31" ht="15.75" customHeight="1">
      <c r="B3" s="1353" t="s">
        <v>495</v>
      </c>
      <c r="C3" s="1353"/>
      <c r="D3" s="1353"/>
      <c r="E3" s="1353"/>
      <c r="F3" s="1353"/>
      <c r="G3" s="1353"/>
      <c r="H3" s="1353"/>
      <c r="I3" s="1353"/>
      <c r="J3" s="1353"/>
    </row>
    <row r="4" spans="2:31">
      <c r="B4" s="44"/>
      <c r="C4" s="44"/>
      <c r="D4" s="44"/>
      <c r="R4" s="45" t="s">
        <v>137</v>
      </c>
    </row>
    <row r="5" spans="2:31" ht="12.75" customHeight="1">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c r="U5" s="45" t="s">
        <v>348</v>
      </c>
    </row>
    <row r="6" spans="2:31" ht="12.75" customHeight="1">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c r="U6" s="1391" t="s">
        <v>346</v>
      </c>
      <c r="W6" s="1391" t="s">
        <v>342</v>
      </c>
      <c r="Y6" s="1391" t="s">
        <v>344</v>
      </c>
    </row>
    <row r="7" spans="2:31" ht="45.75" customHeight="1">
      <c r="B7" s="1359"/>
      <c r="C7" s="1362"/>
      <c r="D7" s="1365"/>
      <c r="E7" s="1370"/>
      <c r="F7" s="1370"/>
      <c r="G7" s="1370"/>
      <c r="H7" s="1356"/>
      <c r="I7" s="1368"/>
      <c r="J7" s="1378"/>
      <c r="K7" s="1378"/>
      <c r="L7" s="1378"/>
      <c r="M7" s="1386"/>
      <c r="N7" s="1383"/>
      <c r="O7" s="1380"/>
      <c r="P7" s="1380"/>
      <c r="Q7" s="1380"/>
      <c r="R7" s="1395"/>
      <c r="U7" s="1392"/>
      <c r="W7" s="1392"/>
      <c r="Y7" s="1392"/>
    </row>
    <row r="8" spans="2:31">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c r="U8" s="514" t="s">
        <v>347</v>
      </c>
      <c r="W8" s="514" t="s">
        <v>343</v>
      </c>
      <c r="Y8" s="514" t="s">
        <v>345</v>
      </c>
    </row>
    <row r="9" spans="2:31" s="49" customFormat="1" ht="15.6">
      <c r="B9" s="314" t="s">
        <v>15</v>
      </c>
      <c r="C9" s="315">
        <v>3269756726</v>
      </c>
      <c r="D9" s="315"/>
      <c r="E9" s="315"/>
      <c r="F9" s="315"/>
      <c r="G9" s="315"/>
      <c r="H9" s="315"/>
      <c r="I9" s="315"/>
      <c r="J9" s="315"/>
      <c r="K9" s="402"/>
      <c r="L9" s="402"/>
      <c r="M9" s="402"/>
      <c r="N9" s="402"/>
      <c r="O9" s="402"/>
      <c r="P9" s="402"/>
      <c r="Q9" s="402"/>
      <c r="R9" s="402"/>
      <c r="U9" s="315"/>
      <c r="W9" s="315"/>
      <c r="Y9" s="315"/>
      <c r="AC9" s="554"/>
      <c r="AD9" s="554"/>
      <c r="AE9" s="554"/>
    </row>
    <row r="10" spans="2:31" s="49" customFormat="1" ht="15.6">
      <c r="B10" s="66" t="s">
        <v>16</v>
      </c>
      <c r="C10" s="67">
        <f>C21+C23+C25+C28+C31+C33+C37+C39+C43+C48+C53+C60+C64+C70+C76+C80+C86+C90+C95+C99+C101+C103+C105+C110+C112+C114+C116+C118+C120+C122+C124</f>
        <v>3423810405</v>
      </c>
      <c r="D10" s="67">
        <f t="shared" ref="D10:R10" si="0">D21+D23+D25+D28+D31+D33+D37+D39+D43+D48+D53+D60+D64+D70+D76+D80+D86+D90+D95+D99+D101+D103+D105+D110+D112+D114+D116+D118+D120+D122+D124</f>
        <v>3351499489</v>
      </c>
      <c r="E10" s="67">
        <f t="shared" si="0"/>
        <v>14015702</v>
      </c>
      <c r="F10" s="67">
        <f t="shared" ref="F10" si="1">F21+F23+F25+F28+F31+F33+F37+F39+F43+F48+F53+F60+F64+F70+F76+F80+F86+F90+F95+F99+F101+F103+F105+F110+F112+F114+F116+F118+F120+F122+F124</f>
        <v>65277225</v>
      </c>
      <c r="G10" s="67">
        <f t="shared" si="0"/>
        <v>114478082</v>
      </c>
      <c r="H10" s="67">
        <f t="shared" si="0"/>
        <v>3545270498</v>
      </c>
      <c r="I10" s="67">
        <f t="shared" si="0"/>
        <v>3408304900</v>
      </c>
      <c r="J10" s="67">
        <f t="shared" si="0"/>
        <v>7898798</v>
      </c>
      <c r="K10" s="67">
        <f t="shared" ref="K10" si="2">K21+K23+K25+K28+K31+K33+K37+K39+K43+K48+K53+K60+K64+K70+K76+K80+K86+K90+K95+K99+K101+K103+K105+K110+K112+K114+K116+K118+K120+K122+K124</f>
        <v>89784946</v>
      </c>
      <c r="L10" s="67">
        <f t="shared" si="0"/>
        <v>147885768</v>
      </c>
      <c r="M10" s="67">
        <f t="shared" si="0"/>
        <v>3653874412</v>
      </c>
      <c r="N10" s="67">
        <f t="shared" si="0"/>
        <v>3186937476</v>
      </c>
      <c r="O10" s="67">
        <f t="shared" si="0"/>
        <v>346831</v>
      </c>
      <c r="P10" s="67">
        <f t="shared" ref="P10" si="3">P21+P23+P25+P28+P31+P33+P37+P39+P43+P48+P53+P60+P64+P70+P76+P80+P86+P90+P95+P99+P101+P103+P105+P110+P112+P114+P116+P118+P120+P122+P124</f>
        <v>121545259</v>
      </c>
      <c r="Q10" s="67">
        <f t="shared" si="0"/>
        <v>118158082</v>
      </c>
      <c r="R10" s="67">
        <f t="shared" si="0"/>
        <v>3426987648</v>
      </c>
      <c r="U10" s="67">
        <v>3351499489</v>
      </c>
      <c r="V10" s="49">
        <f>D10-U10</f>
        <v>0</v>
      </c>
      <c r="W10" s="67">
        <v>3408304900</v>
      </c>
      <c r="X10" s="49">
        <f>I10-W10</f>
        <v>0</v>
      </c>
      <c r="Y10" s="67">
        <v>3186937476</v>
      </c>
      <c r="Z10" s="49">
        <f>N10-Y10</f>
        <v>0</v>
      </c>
      <c r="AC10" s="554"/>
      <c r="AD10" s="554"/>
      <c r="AE10" s="554"/>
    </row>
    <row r="11" spans="2:31" s="49" customFormat="1" ht="15.6">
      <c r="B11" s="59" t="s">
        <v>139</v>
      </c>
      <c r="C11" s="60">
        <f>C22+C24+C26+C29+C32+C34+C38+C40+C44+C49+C54+C61+C65+C71+C77+C81+C87+C91+C96+C100+C102+C104+C106+C111+C113+C115+C117+C119+C121+C123+C125</f>
        <v>2264569237</v>
      </c>
      <c r="D11" s="60">
        <f t="shared" ref="D11:R11" si="4">D22+D24+D26+D29+D32+D34+D38+D40+D44+D49+D54+D61+D65+D71+D77+D81+D87+D91+D96+D100+D102+D104+D106+D111+D113+D115+D117+D119+D121+D123+D125</f>
        <v>2240219157</v>
      </c>
      <c r="E11" s="60">
        <f t="shared" si="4"/>
        <v>-2135869</v>
      </c>
      <c r="F11" s="60">
        <f t="shared" ref="F11" si="5">F22+F24+F26+F29+F32+F34+F38+F40+F44+F49+F54+F61+F65+F71+F77+F81+F87+F91+F96+F100+F102+F104+F106+F111+F113+F115+F117+F119+F121+F123+F125</f>
        <v>65277225</v>
      </c>
      <c r="G11" s="60">
        <f t="shared" si="4"/>
        <v>121809113</v>
      </c>
      <c r="H11" s="60">
        <f t="shared" si="4"/>
        <v>2425169626</v>
      </c>
      <c r="I11" s="60">
        <f t="shared" si="4"/>
        <v>2388990586</v>
      </c>
      <c r="J11" s="60">
        <f t="shared" si="4"/>
        <v>5575485</v>
      </c>
      <c r="K11" s="60">
        <f t="shared" ref="K11" si="6">K22+K24+K26+K29+K32+K34+K38+K40+K44+K49+K54+K61+K65+K71+K77+K81+K87+K91+K96+K100+K102+K104+K106+K111+K113+K115+K117+K119+K121+K123+K125</f>
        <v>89784946</v>
      </c>
      <c r="L11" s="60">
        <f t="shared" si="4"/>
        <v>168268837</v>
      </c>
      <c r="M11" s="60">
        <f t="shared" si="4"/>
        <v>2652619854</v>
      </c>
      <c r="N11" s="60">
        <f t="shared" si="4"/>
        <v>2382801705</v>
      </c>
      <c r="O11" s="60">
        <f t="shared" si="4"/>
        <v>-3145534</v>
      </c>
      <c r="P11" s="60">
        <f t="shared" ref="P11" si="7">P22+P24+P26+P29+P32+P34+P38+P40+P44+P49+P54+P61+P65+P71+P77+P81+P87+P91+P96+P100+P102+P104+P106+P111+P113+P115+P117+P119+P121+P123+P125</f>
        <v>121545259</v>
      </c>
      <c r="Q11" s="60">
        <f t="shared" si="4"/>
        <v>157563716</v>
      </c>
      <c r="R11" s="60">
        <f t="shared" si="4"/>
        <v>2658765146</v>
      </c>
      <c r="U11" s="69">
        <v>2240219157</v>
      </c>
      <c r="V11" s="49">
        <f t="shared" ref="V11:V75" si="8">D11-U11</f>
        <v>0</v>
      </c>
      <c r="W11" s="69">
        <v>2388990586</v>
      </c>
      <c r="X11" s="49">
        <f t="shared" ref="X11:X75" si="9">I11-W11</f>
        <v>0</v>
      </c>
      <c r="Y11" s="69">
        <v>2382801705</v>
      </c>
      <c r="Z11" s="49">
        <f t="shared" ref="Z11:Z75" si="10">N11-Y11</f>
        <v>0</v>
      </c>
      <c r="AC11" s="554"/>
      <c r="AD11" s="554"/>
      <c r="AE11" s="554"/>
    </row>
    <row r="12" spans="2:31" s="49" customFormat="1" ht="27">
      <c r="B12" s="91" t="s">
        <v>18</v>
      </c>
      <c r="C12" s="94">
        <f t="shared" ref="C12" si="11">C41+C66+C72+C92</f>
        <v>1568686</v>
      </c>
      <c r="D12" s="94">
        <f>D41+D66+D72+D92+D46</f>
        <v>77760</v>
      </c>
      <c r="E12" s="94">
        <f t="shared" ref="E12:R12" si="12">E41+E66+E72+E92+E46</f>
        <v>0</v>
      </c>
      <c r="F12" s="94">
        <f t="shared" si="12"/>
        <v>0</v>
      </c>
      <c r="G12" s="94">
        <f t="shared" si="12"/>
        <v>20000</v>
      </c>
      <c r="H12" s="94">
        <f t="shared" si="12"/>
        <v>97760</v>
      </c>
      <c r="I12" s="94">
        <f t="shared" si="12"/>
        <v>77760</v>
      </c>
      <c r="J12" s="94">
        <f t="shared" si="12"/>
        <v>0</v>
      </c>
      <c r="K12" s="94">
        <f t="shared" si="12"/>
        <v>0</v>
      </c>
      <c r="L12" s="94">
        <f t="shared" si="12"/>
        <v>0</v>
      </c>
      <c r="M12" s="94">
        <f t="shared" si="12"/>
        <v>77760</v>
      </c>
      <c r="N12" s="94">
        <f t="shared" si="12"/>
        <v>0</v>
      </c>
      <c r="O12" s="94">
        <f t="shared" si="12"/>
        <v>0</v>
      </c>
      <c r="P12" s="94">
        <f t="shared" si="12"/>
        <v>0</v>
      </c>
      <c r="Q12" s="94">
        <f t="shared" si="12"/>
        <v>0</v>
      </c>
      <c r="R12" s="94">
        <f t="shared" si="12"/>
        <v>0</v>
      </c>
      <c r="U12" s="500">
        <v>77760</v>
      </c>
      <c r="V12" s="49">
        <f t="shared" si="8"/>
        <v>0</v>
      </c>
      <c r="W12" s="500">
        <v>77760</v>
      </c>
      <c r="X12" s="49">
        <f t="shared" si="9"/>
        <v>0</v>
      </c>
      <c r="Y12" s="500">
        <v>0</v>
      </c>
      <c r="Z12" s="49">
        <f t="shared" si="10"/>
        <v>0</v>
      </c>
      <c r="AC12" s="554"/>
      <c r="AD12" s="554"/>
      <c r="AE12" s="554"/>
    </row>
    <row r="13" spans="2:31" s="49" customFormat="1" ht="15.6">
      <c r="B13" s="61" t="s">
        <v>140</v>
      </c>
      <c r="C13" s="62">
        <f t="shared" ref="C13" si="13">C27+C30+C35+C42+C47+C50+C57+C62+C67+C73+C78+C83+C88+C93+C97+C107+C130</f>
        <v>1159241168</v>
      </c>
      <c r="D13" s="62">
        <f t="shared" ref="D13:R13" si="14">D27+D30+D35+D42+D47+D50+D57+D62+D67+D73+D78+D83+D88+D93+D97+D107+D130</f>
        <v>1111280332</v>
      </c>
      <c r="E13" s="62">
        <f t="shared" si="14"/>
        <v>16151571</v>
      </c>
      <c r="F13" s="62">
        <f t="shared" ref="F13" si="15">F27+F30+F35+F42+F47+F50+F57+F62+F67+F73+F78+F83+F88+F93+F97+F107+F130</f>
        <v>0</v>
      </c>
      <c r="G13" s="62">
        <f t="shared" si="14"/>
        <v>-7331031</v>
      </c>
      <c r="H13" s="62">
        <f t="shared" si="14"/>
        <v>1120100872</v>
      </c>
      <c r="I13" s="62">
        <f t="shared" si="14"/>
        <v>1019314314</v>
      </c>
      <c r="J13" s="62">
        <f t="shared" si="14"/>
        <v>2323313</v>
      </c>
      <c r="K13" s="62">
        <f t="shared" ref="K13" si="16">K27+K30+K35+K42+K47+K50+K57+K62+K67+K73+K78+K83+K88+K93+K97+K107+K130</f>
        <v>0</v>
      </c>
      <c r="L13" s="62">
        <f t="shared" si="14"/>
        <v>-20383069</v>
      </c>
      <c r="M13" s="62">
        <f t="shared" si="14"/>
        <v>1001254558</v>
      </c>
      <c r="N13" s="62">
        <f t="shared" si="14"/>
        <v>804135771</v>
      </c>
      <c r="O13" s="62">
        <f t="shared" si="14"/>
        <v>3492365</v>
      </c>
      <c r="P13" s="62">
        <f t="shared" ref="P13" si="17">P27+P30+P35+P42+P47+P50+P57+P62+P67+P73+P78+P83+P88+P93+P97+P107+P130</f>
        <v>0</v>
      </c>
      <c r="Q13" s="62">
        <f t="shared" si="14"/>
        <v>-39405634</v>
      </c>
      <c r="R13" s="62">
        <f t="shared" si="14"/>
        <v>768222502</v>
      </c>
      <c r="U13" s="501">
        <v>1111280332</v>
      </c>
      <c r="V13" s="49">
        <f t="shared" si="8"/>
        <v>0</v>
      </c>
      <c r="W13" s="501">
        <v>1019314314</v>
      </c>
      <c r="X13" s="49">
        <f t="shared" si="9"/>
        <v>0</v>
      </c>
      <c r="Y13" s="501">
        <v>804135771</v>
      </c>
      <c r="Z13" s="49">
        <f t="shared" si="10"/>
        <v>0</v>
      </c>
      <c r="AC13" s="554"/>
      <c r="AD13" s="554"/>
      <c r="AE13" s="554"/>
    </row>
    <row r="14" spans="2:31" s="50" customFormat="1" ht="27">
      <c r="B14" s="63" t="s">
        <v>17</v>
      </c>
      <c r="C14" s="64">
        <f t="shared" ref="C14" si="18">C36+C51+C58+C63+C68+C74+C79+C84+C94+C108+C89+C98</f>
        <v>164783949</v>
      </c>
      <c r="D14" s="64">
        <f t="shared" ref="D14:R14" si="19">D36+D51+D58+D63+D68+D74+D79+D84+D94+D108+D89+D98</f>
        <v>178142216</v>
      </c>
      <c r="E14" s="64">
        <f t="shared" si="19"/>
        <v>12053359</v>
      </c>
      <c r="F14" s="64">
        <f t="shared" ref="F14" si="20">F36+F51+F58+F63+F68+F74+F79+F84+F94+F108+F89+F98</f>
        <v>0</v>
      </c>
      <c r="G14" s="64">
        <f t="shared" si="19"/>
        <v>0</v>
      </c>
      <c r="H14" s="64">
        <f t="shared" si="19"/>
        <v>190195575</v>
      </c>
      <c r="I14" s="64">
        <f t="shared" si="19"/>
        <v>46843835</v>
      </c>
      <c r="J14" s="64">
        <f t="shared" si="19"/>
        <v>9573406</v>
      </c>
      <c r="K14" s="64">
        <f t="shared" ref="K14" si="21">K36+K51+K58+K63+K68+K74+K79+K84+K94+K108+K89+K98</f>
        <v>0</v>
      </c>
      <c r="L14" s="64">
        <f t="shared" si="19"/>
        <v>0</v>
      </c>
      <c r="M14" s="64">
        <f t="shared" si="19"/>
        <v>56417241</v>
      </c>
      <c r="N14" s="64">
        <f t="shared" si="19"/>
        <v>16571822</v>
      </c>
      <c r="O14" s="64">
        <f t="shared" si="19"/>
        <v>2659930</v>
      </c>
      <c r="P14" s="64">
        <f t="shared" ref="P14" si="22">P36+P51+P58+P63+P68+P74+P79+P84+P94+P108+P89+P98</f>
        <v>0</v>
      </c>
      <c r="Q14" s="64">
        <f t="shared" si="19"/>
        <v>0</v>
      </c>
      <c r="R14" s="64">
        <f t="shared" si="19"/>
        <v>19231752</v>
      </c>
      <c r="U14" s="502">
        <v>178142216</v>
      </c>
      <c r="V14" s="49">
        <f t="shared" si="8"/>
        <v>0</v>
      </c>
      <c r="W14" s="502">
        <v>46843835</v>
      </c>
      <c r="X14" s="49">
        <f t="shared" si="9"/>
        <v>0</v>
      </c>
      <c r="Y14" s="502">
        <v>16571822</v>
      </c>
      <c r="Z14" s="49">
        <f t="shared" si="10"/>
        <v>0</v>
      </c>
      <c r="AC14" s="555"/>
      <c r="AD14" s="555"/>
      <c r="AE14" s="555"/>
    </row>
    <row r="15" spans="2:31" s="49" customFormat="1" ht="27">
      <c r="B15" s="91" t="s">
        <v>18</v>
      </c>
      <c r="C15" s="92">
        <f t="shared" ref="C15" si="23">C52+C59+C69+C75+C109</f>
        <v>397587</v>
      </c>
      <c r="D15" s="92">
        <f t="shared" ref="D15:R15" si="24">D52+D59+D69+D75+D109</f>
        <v>228056</v>
      </c>
      <c r="E15" s="92">
        <f t="shared" si="24"/>
        <v>-73</v>
      </c>
      <c r="F15" s="92">
        <f t="shared" ref="F15" si="25">F52+F59+F69+F75+F109</f>
        <v>0</v>
      </c>
      <c r="G15" s="92">
        <f t="shared" si="24"/>
        <v>0</v>
      </c>
      <c r="H15" s="92">
        <f t="shared" si="24"/>
        <v>227983</v>
      </c>
      <c r="I15" s="92">
        <f t="shared" si="24"/>
        <v>0</v>
      </c>
      <c r="J15" s="92">
        <f t="shared" si="24"/>
        <v>0</v>
      </c>
      <c r="K15" s="92">
        <f t="shared" ref="K15" si="26">K52+K59+K69+K75+K109</f>
        <v>0</v>
      </c>
      <c r="L15" s="92">
        <f t="shared" si="24"/>
        <v>0</v>
      </c>
      <c r="M15" s="92">
        <f t="shared" si="24"/>
        <v>0</v>
      </c>
      <c r="N15" s="92">
        <f t="shared" si="24"/>
        <v>0</v>
      </c>
      <c r="O15" s="92">
        <f t="shared" si="24"/>
        <v>0</v>
      </c>
      <c r="P15" s="92">
        <f t="shared" ref="P15" si="27">P52+P59+P69+P75+P109</f>
        <v>0</v>
      </c>
      <c r="Q15" s="92">
        <f t="shared" si="24"/>
        <v>0</v>
      </c>
      <c r="R15" s="92">
        <f t="shared" si="24"/>
        <v>0</v>
      </c>
      <c r="U15" s="503">
        <v>228056</v>
      </c>
      <c r="V15" s="49">
        <f t="shared" si="8"/>
        <v>0</v>
      </c>
      <c r="W15" s="503">
        <v>0</v>
      </c>
      <c r="X15" s="49">
        <f t="shared" si="9"/>
        <v>0</v>
      </c>
      <c r="Y15" s="503">
        <v>0</v>
      </c>
      <c r="Z15" s="49">
        <f t="shared" si="10"/>
        <v>0</v>
      </c>
      <c r="AC15" s="554"/>
      <c r="AD15" s="554"/>
      <c r="AE15" s="554"/>
    </row>
    <row r="16" spans="2:31" s="49" customFormat="1" ht="15.6">
      <c r="B16" s="66" t="s">
        <v>141</v>
      </c>
      <c r="C16" s="67">
        <f t="shared" ref="C16" si="28">C10-C12-C14-C15</f>
        <v>3257060183</v>
      </c>
      <c r="D16" s="67">
        <f t="shared" ref="D16:R16" si="29">D10-D12-D14-D15</f>
        <v>3173051457</v>
      </c>
      <c r="E16" s="67">
        <f t="shared" si="29"/>
        <v>1962416</v>
      </c>
      <c r="F16" s="67">
        <f t="shared" ref="F16" si="30">F10-F12-F14-F15</f>
        <v>65277225</v>
      </c>
      <c r="G16" s="67">
        <f t="shared" si="29"/>
        <v>114458082</v>
      </c>
      <c r="H16" s="67">
        <f t="shared" si="29"/>
        <v>3354749180</v>
      </c>
      <c r="I16" s="67">
        <f t="shared" si="29"/>
        <v>3361383305</v>
      </c>
      <c r="J16" s="67">
        <f t="shared" si="29"/>
        <v>-1674608</v>
      </c>
      <c r="K16" s="67">
        <f t="shared" ref="K16" si="31">K10-K12-K14-K15</f>
        <v>89784946</v>
      </c>
      <c r="L16" s="67">
        <f t="shared" si="29"/>
        <v>147885768</v>
      </c>
      <c r="M16" s="67">
        <f t="shared" si="29"/>
        <v>3597379411</v>
      </c>
      <c r="N16" s="67">
        <f t="shared" si="29"/>
        <v>3170365654</v>
      </c>
      <c r="O16" s="67">
        <f t="shared" si="29"/>
        <v>-2313099</v>
      </c>
      <c r="P16" s="67">
        <f t="shared" ref="P16" si="32">P10-P12-P14-P15</f>
        <v>121545259</v>
      </c>
      <c r="Q16" s="67">
        <f t="shared" si="29"/>
        <v>118158082</v>
      </c>
      <c r="R16" s="67">
        <f t="shared" si="29"/>
        <v>3407755896</v>
      </c>
      <c r="U16" s="67">
        <v>3173051457</v>
      </c>
      <c r="V16" s="49">
        <f t="shared" si="8"/>
        <v>0</v>
      </c>
      <c r="W16" s="67">
        <v>3361383305</v>
      </c>
      <c r="X16" s="49">
        <f t="shared" si="9"/>
        <v>0</v>
      </c>
      <c r="Y16" s="67">
        <v>3170365654</v>
      </c>
      <c r="Z16" s="49">
        <f t="shared" si="10"/>
        <v>0</v>
      </c>
      <c r="AC16" s="554"/>
      <c r="AD16" s="554"/>
      <c r="AE16" s="554"/>
    </row>
    <row r="17" spans="2:31" s="49" customFormat="1" ht="15.6">
      <c r="B17" s="68" t="s">
        <v>139</v>
      </c>
      <c r="C17" s="69">
        <f t="shared" ref="C17" si="33">C11-C12</f>
        <v>2263000551</v>
      </c>
      <c r="D17" s="69">
        <f t="shared" ref="D17:R17" si="34">D11-D12</f>
        <v>2240141397</v>
      </c>
      <c r="E17" s="69">
        <f t="shared" si="34"/>
        <v>-2135869</v>
      </c>
      <c r="F17" s="69">
        <f t="shared" ref="F17" si="35">F11-F12</f>
        <v>65277225</v>
      </c>
      <c r="G17" s="69">
        <f t="shared" si="34"/>
        <v>121789113</v>
      </c>
      <c r="H17" s="69">
        <f t="shared" si="34"/>
        <v>2425071866</v>
      </c>
      <c r="I17" s="69">
        <f t="shared" si="34"/>
        <v>2388912826</v>
      </c>
      <c r="J17" s="69">
        <f t="shared" si="34"/>
        <v>5575485</v>
      </c>
      <c r="K17" s="69">
        <f t="shared" ref="K17" si="36">K11-K12</f>
        <v>89784946</v>
      </c>
      <c r="L17" s="69">
        <f t="shared" si="34"/>
        <v>168268837</v>
      </c>
      <c r="M17" s="69">
        <f t="shared" si="34"/>
        <v>2652542094</v>
      </c>
      <c r="N17" s="69">
        <f t="shared" si="34"/>
        <v>2382801705</v>
      </c>
      <c r="O17" s="69">
        <f t="shared" si="34"/>
        <v>-3145534</v>
      </c>
      <c r="P17" s="69">
        <f t="shared" ref="P17" si="37">P11-P12</f>
        <v>121545259</v>
      </c>
      <c r="Q17" s="69">
        <f t="shared" si="34"/>
        <v>157563716</v>
      </c>
      <c r="R17" s="69">
        <f t="shared" si="34"/>
        <v>2658765146</v>
      </c>
      <c r="U17" s="69">
        <v>2240141397</v>
      </c>
      <c r="V17" s="49">
        <f t="shared" si="8"/>
        <v>0</v>
      </c>
      <c r="W17" s="69">
        <v>2388912826</v>
      </c>
      <c r="X17" s="49">
        <f t="shared" si="9"/>
        <v>0</v>
      </c>
      <c r="Y17" s="69">
        <v>2382801705</v>
      </c>
      <c r="Z17" s="49">
        <f t="shared" si="10"/>
        <v>0</v>
      </c>
      <c r="AC17" s="554"/>
      <c r="AD17" s="554"/>
      <c r="AE17" s="554"/>
    </row>
    <row r="18" spans="2:31" s="49" customFormat="1" ht="15.6">
      <c r="B18" s="70" t="s">
        <v>19</v>
      </c>
      <c r="C18" s="71">
        <f t="shared" ref="C18" si="38">C45+C82</f>
        <v>15010694</v>
      </c>
      <c r="D18" s="71">
        <f t="shared" ref="D18:R18" si="39">D45+D82</f>
        <v>14556451</v>
      </c>
      <c r="E18" s="71">
        <f t="shared" si="39"/>
        <v>8117</v>
      </c>
      <c r="F18" s="71">
        <f t="shared" ref="F18" si="40">F45+F82</f>
        <v>2457230</v>
      </c>
      <c r="G18" s="71">
        <f t="shared" si="39"/>
        <v>1476000</v>
      </c>
      <c r="H18" s="71">
        <f t="shared" si="39"/>
        <v>18497798</v>
      </c>
      <c r="I18" s="71">
        <f t="shared" si="39"/>
        <v>14272437</v>
      </c>
      <c r="J18" s="71">
        <f t="shared" si="39"/>
        <v>127092110</v>
      </c>
      <c r="K18" s="71">
        <f t="shared" ref="K18" si="41">K45+K82</f>
        <v>2094445</v>
      </c>
      <c r="L18" s="71">
        <f t="shared" si="39"/>
        <v>1476000</v>
      </c>
      <c r="M18" s="71">
        <f t="shared" si="39"/>
        <v>144934992</v>
      </c>
      <c r="N18" s="71">
        <f t="shared" si="39"/>
        <v>14030007</v>
      </c>
      <c r="O18" s="71">
        <f t="shared" si="39"/>
        <v>122448021</v>
      </c>
      <c r="P18" s="71">
        <f t="shared" ref="P18" si="42">P45+P82</f>
        <v>1703419</v>
      </c>
      <c r="Q18" s="71">
        <f t="shared" si="39"/>
        <v>1476000</v>
      </c>
      <c r="R18" s="71">
        <f t="shared" si="39"/>
        <v>139657447</v>
      </c>
      <c r="U18" s="71">
        <v>14556451</v>
      </c>
      <c r="V18" s="49">
        <f t="shared" si="8"/>
        <v>0</v>
      </c>
      <c r="W18" s="71">
        <v>14272437</v>
      </c>
      <c r="X18" s="49">
        <f t="shared" si="9"/>
        <v>0</v>
      </c>
      <c r="Y18" s="71">
        <v>14030007</v>
      </c>
      <c r="Z18" s="49">
        <f t="shared" si="10"/>
        <v>0</v>
      </c>
      <c r="AC18" s="554"/>
      <c r="AD18" s="554"/>
      <c r="AE18" s="554"/>
    </row>
    <row r="19" spans="2:31" s="49" customFormat="1" ht="15.6">
      <c r="B19" s="72" t="s">
        <v>140</v>
      </c>
      <c r="C19" s="73">
        <f t="shared" ref="C19" si="43">C13-C14-C15</f>
        <v>994059632</v>
      </c>
      <c r="D19" s="73">
        <f t="shared" ref="D19:R19" si="44">D13-D14-D15</f>
        <v>932910060</v>
      </c>
      <c r="E19" s="73">
        <f t="shared" si="44"/>
        <v>4098285</v>
      </c>
      <c r="F19" s="73">
        <f t="shared" ref="F19" si="45">F13-F14-F15</f>
        <v>0</v>
      </c>
      <c r="G19" s="73">
        <f t="shared" si="44"/>
        <v>-7331031</v>
      </c>
      <c r="H19" s="73">
        <f t="shared" si="44"/>
        <v>929677314</v>
      </c>
      <c r="I19" s="73">
        <f t="shared" si="44"/>
        <v>972470479</v>
      </c>
      <c r="J19" s="73">
        <f t="shared" si="44"/>
        <v>-7250093</v>
      </c>
      <c r="K19" s="73">
        <f t="shared" ref="K19" si="46">K13-K14-K15</f>
        <v>0</v>
      </c>
      <c r="L19" s="73">
        <f t="shared" si="44"/>
        <v>-20383069</v>
      </c>
      <c r="M19" s="73">
        <f t="shared" si="44"/>
        <v>944837317</v>
      </c>
      <c r="N19" s="73">
        <f t="shared" si="44"/>
        <v>787563949</v>
      </c>
      <c r="O19" s="73">
        <f t="shared" si="44"/>
        <v>832435</v>
      </c>
      <c r="P19" s="73">
        <f t="shared" ref="P19" si="47">P13-P14-P15</f>
        <v>0</v>
      </c>
      <c r="Q19" s="73">
        <f t="shared" si="44"/>
        <v>-39405634</v>
      </c>
      <c r="R19" s="73">
        <f t="shared" si="44"/>
        <v>748990750</v>
      </c>
      <c r="U19" s="73">
        <v>932910060</v>
      </c>
      <c r="V19" s="49">
        <f t="shared" si="8"/>
        <v>0</v>
      </c>
      <c r="W19" s="73">
        <v>972470479</v>
      </c>
      <c r="X19" s="49">
        <f t="shared" si="9"/>
        <v>0</v>
      </c>
      <c r="Y19" s="73">
        <v>787563949</v>
      </c>
      <c r="Z19" s="49">
        <f t="shared" si="10"/>
        <v>0</v>
      </c>
      <c r="AC19" s="554"/>
      <c r="AD19" s="554"/>
      <c r="AE19" s="554"/>
    </row>
    <row r="20" spans="2:31" s="49" customFormat="1" ht="15.6">
      <c r="B20" s="70" t="s">
        <v>19</v>
      </c>
      <c r="C20" s="504">
        <f>C85</f>
        <v>0</v>
      </c>
      <c r="D20" s="504">
        <f t="shared" ref="D20:R20" si="48">D85</f>
        <v>389283</v>
      </c>
      <c r="E20" s="504">
        <f t="shared" si="48"/>
        <v>530550</v>
      </c>
      <c r="F20" s="504">
        <f t="shared" ref="F20" si="49">F85</f>
        <v>0</v>
      </c>
      <c r="G20" s="504">
        <f t="shared" si="48"/>
        <v>0</v>
      </c>
      <c r="H20" s="504">
        <f t="shared" si="48"/>
        <v>919833</v>
      </c>
      <c r="I20" s="504">
        <f t="shared" si="48"/>
        <v>0</v>
      </c>
      <c r="J20" s="504">
        <f t="shared" si="48"/>
        <v>273844</v>
      </c>
      <c r="K20" s="504">
        <f t="shared" ref="K20" si="50">K85</f>
        <v>0</v>
      </c>
      <c r="L20" s="504">
        <f t="shared" si="48"/>
        <v>0</v>
      </c>
      <c r="M20" s="504">
        <f t="shared" si="48"/>
        <v>273844</v>
      </c>
      <c r="N20" s="504">
        <f t="shared" si="48"/>
        <v>0</v>
      </c>
      <c r="O20" s="504">
        <f t="shared" si="48"/>
        <v>0</v>
      </c>
      <c r="P20" s="504">
        <f t="shared" ref="P20" si="51">P85</f>
        <v>0</v>
      </c>
      <c r="Q20" s="504">
        <f t="shared" si="48"/>
        <v>0</v>
      </c>
      <c r="R20" s="504">
        <f t="shared" si="48"/>
        <v>0</v>
      </c>
      <c r="U20" s="504">
        <v>389283</v>
      </c>
      <c r="V20" s="49">
        <f t="shared" si="8"/>
        <v>0</v>
      </c>
      <c r="W20" s="73"/>
      <c r="X20" s="49">
        <f t="shared" si="9"/>
        <v>0</v>
      </c>
      <c r="Y20" s="73"/>
      <c r="Z20" s="49">
        <f t="shared" si="10"/>
        <v>0</v>
      </c>
      <c r="AC20" s="554"/>
      <c r="AD20" s="554"/>
      <c r="AE20" s="554"/>
    </row>
    <row r="21" spans="2:31" s="49" customFormat="1" ht="15.6">
      <c r="B21" s="74" t="s">
        <v>20</v>
      </c>
      <c r="C21" s="324">
        <f>C22</f>
        <v>2133218</v>
      </c>
      <c r="D21" s="324">
        <f t="shared" ref="D21:R21" si="52">D22</f>
        <v>2262563</v>
      </c>
      <c r="E21" s="324">
        <f t="shared" si="52"/>
        <v>0</v>
      </c>
      <c r="F21" s="324">
        <f t="shared" si="52"/>
        <v>0</v>
      </c>
      <c r="G21" s="324">
        <f t="shared" si="52"/>
        <v>0</v>
      </c>
      <c r="H21" s="324">
        <f t="shared" si="52"/>
        <v>2262563</v>
      </c>
      <c r="I21" s="324">
        <f t="shared" si="52"/>
        <v>2391907</v>
      </c>
      <c r="J21" s="324">
        <f t="shared" si="52"/>
        <v>0</v>
      </c>
      <c r="K21" s="324">
        <f t="shared" si="52"/>
        <v>0</v>
      </c>
      <c r="L21" s="324">
        <f t="shared" si="52"/>
        <v>0</v>
      </c>
      <c r="M21" s="324">
        <f t="shared" si="52"/>
        <v>2391907</v>
      </c>
      <c r="N21" s="324">
        <f t="shared" si="52"/>
        <v>2593621</v>
      </c>
      <c r="O21" s="324">
        <f t="shared" si="52"/>
        <v>0</v>
      </c>
      <c r="P21" s="324">
        <f t="shared" si="52"/>
        <v>0</v>
      </c>
      <c r="Q21" s="324">
        <f t="shared" si="52"/>
        <v>0</v>
      </c>
      <c r="R21" s="324">
        <f t="shared" si="52"/>
        <v>2593621</v>
      </c>
      <c r="U21" s="505">
        <v>2262563</v>
      </c>
      <c r="V21" s="49">
        <f t="shared" si="8"/>
        <v>0</v>
      </c>
      <c r="W21" s="505">
        <v>2391907</v>
      </c>
      <c r="X21" s="49">
        <f t="shared" si="9"/>
        <v>0</v>
      </c>
      <c r="Y21" s="505">
        <v>2593621</v>
      </c>
      <c r="Z21" s="49">
        <f t="shared" si="10"/>
        <v>0</v>
      </c>
      <c r="AC21" s="554"/>
      <c r="AD21" s="554"/>
      <c r="AE21" s="554"/>
    </row>
    <row r="22" spans="2:31" s="49" customFormat="1" ht="15.6">
      <c r="B22" s="59" t="s">
        <v>139</v>
      </c>
      <c r="C22" s="303">
        <f>'01-3'!C119</f>
        <v>2133218</v>
      </c>
      <c r="D22" s="303">
        <f>'01-3'!D119</f>
        <v>2262563</v>
      </c>
      <c r="E22" s="303">
        <f>'01-3'!E119</f>
        <v>0</v>
      </c>
      <c r="F22" s="303">
        <f>'01-3'!F119</f>
        <v>0</v>
      </c>
      <c r="G22" s="303">
        <f>'01-3'!G119</f>
        <v>0</v>
      </c>
      <c r="H22" s="303">
        <f>'01-3'!H119</f>
        <v>2262563</v>
      </c>
      <c r="I22" s="303">
        <f>'01-3'!I119</f>
        <v>2391907</v>
      </c>
      <c r="J22" s="303">
        <f>'01-3'!J119</f>
        <v>0</v>
      </c>
      <c r="K22" s="303">
        <f>'01-3'!K119</f>
        <v>0</v>
      </c>
      <c r="L22" s="303">
        <f>'01-3'!L119</f>
        <v>0</v>
      </c>
      <c r="M22" s="303">
        <f>'01-3'!M119</f>
        <v>2391907</v>
      </c>
      <c r="N22" s="303">
        <f>'01-3'!N119</f>
        <v>2593621</v>
      </c>
      <c r="O22" s="303">
        <f>'01-3'!O119</f>
        <v>0</v>
      </c>
      <c r="P22" s="303">
        <f>'01-3'!P119</f>
        <v>0</v>
      </c>
      <c r="Q22" s="303">
        <f>'01-3'!Q119</f>
        <v>0</v>
      </c>
      <c r="R22" s="303">
        <f>'01-3'!R119</f>
        <v>2593621</v>
      </c>
      <c r="U22" s="506">
        <v>2262563</v>
      </c>
      <c r="V22" s="49">
        <f t="shared" si="8"/>
        <v>0</v>
      </c>
      <c r="W22" s="506">
        <v>2391907</v>
      </c>
      <c r="X22" s="49">
        <f t="shared" si="9"/>
        <v>0</v>
      </c>
      <c r="Y22" s="506">
        <v>2593621</v>
      </c>
      <c r="Z22" s="49">
        <f t="shared" si="10"/>
        <v>0</v>
      </c>
      <c r="AC22" s="554"/>
      <c r="AD22" s="554"/>
      <c r="AE22" s="554"/>
    </row>
    <row r="23" spans="2:31" s="49" customFormat="1" ht="15.6">
      <c r="B23" s="74" t="s">
        <v>21</v>
      </c>
      <c r="C23" s="324">
        <f>C24</f>
        <v>11462228</v>
      </c>
      <c r="D23" s="324">
        <f t="shared" ref="D23:R23" si="53">D24</f>
        <v>11462228</v>
      </c>
      <c r="E23" s="324">
        <f t="shared" si="53"/>
        <v>0</v>
      </c>
      <c r="F23" s="324">
        <f t="shared" si="53"/>
        <v>0</v>
      </c>
      <c r="G23" s="324">
        <f t="shared" si="53"/>
        <v>0</v>
      </c>
      <c r="H23" s="324">
        <f t="shared" si="53"/>
        <v>11462228</v>
      </c>
      <c r="I23" s="324">
        <f t="shared" si="53"/>
        <v>11728401</v>
      </c>
      <c r="J23" s="324">
        <f t="shared" si="53"/>
        <v>0</v>
      </c>
      <c r="K23" s="324">
        <f t="shared" si="53"/>
        <v>0</v>
      </c>
      <c r="L23" s="324">
        <f t="shared" si="53"/>
        <v>0</v>
      </c>
      <c r="M23" s="324">
        <f t="shared" si="53"/>
        <v>11728401</v>
      </c>
      <c r="N23" s="324">
        <f t="shared" si="53"/>
        <v>11462228</v>
      </c>
      <c r="O23" s="324">
        <f t="shared" si="53"/>
        <v>0</v>
      </c>
      <c r="P23" s="324">
        <f t="shared" si="53"/>
        <v>0</v>
      </c>
      <c r="Q23" s="324">
        <f t="shared" si="53"/>
        <v>0</v>
      </c>
      <c r="R23" s="324">
        <f t="shared" si="53"/>
        <v>11462228</v>
      </c>
      <c r="U23" s="505">
        <v>11462228</v>
      </c>
      <c r="V23" s="49">
        <f t="shared" si="8"/>
        <v>0</v>
      </c>
      <c r="W23" s="505">
        <v>11728401</v>
      </c>
      <c r="X23" s="49">
        <f t="shared" si="9"/>
        <v>0</v>
      </c>
      <c r="Y23" s="505">
        <v>11462228</v>
      </c>
      <c r="Z23" s="49">
        <f t="shared" si="10"/>
        <v>0</v>
      </c>
      <c r="AC23" s="554"/>
      <c r="AD23" s="554"/>
      <c r="AE23" s="554"/>
    </row>
    <row r="24" spans="2:31" s="49" customFormat="1" ht="15.6">
      <c r="B24" s="59" t="s">
        <v>139</v>
      </c>
      <c r="C24" s="305">
        <f>'02-3'!C119</f>
        <v>11462228</v>
      </c>
      <c r="D24" s="305">
        <f>'02-3'!D119</f>
        <v>11462228</v>
      </c>
      <c r="E24" s="305">
        <f>'02-3'!E119</f>
        <v>0</v>
      </c>
      <c r="F24" s="305">
        <f>'02-3'!F119</f>
        <v>0</v>
      </c>
      <c r="G24" s="305">
        <f>'02-3'!G119</f>
        <v>0</v>
      </c>
      <c r="H24" s="305">
        <f>'02-3'!H119</f>
        <v>11462228</v>
      </c>
      <c r="I24" s="305">
        <f>'02-3'!I119</f>
        <v>11728401</v>
      </c>
      <c r="J24" s="305">
        <f>'02-3'!J119</f>
        <v>0</v>
      </c>
      <c r="K24" s="305">
        <f>'02-3'!K119</f>
        <v>0</v>
      </c>
      <c r="L24" s="305">
        <f>'02-3'!L119</f>
        <v>0</v>
      </c>
      <c r="M24" s="305">
        <f>'02-3'!M119</f>
        <v>11728401</v>
      </c>
      <c r="N24" s="305">
        <f>'02-3'!N119</f>
        <v>11462228</v>
      </c>
      <c r="O24" s="305">
        <f>'02-3'!O119</f>
        <v>0</v>
      </c>
      <c r="P24" s="305">
        <f>'02-3'!P119</f>
        <v>0</v>
      </c>
      <c r="Q24" s="305">
        <f>'02-3'!Q119</f>
        <v>0</v>
      </c>
      <c r="R24" s="305">
        <f>'02-3'!R119</f>
        <v>11462228</v>
      </c>
      <c r="U24" s="507">
        <v>11462228</v>
      </c>
      <c r="V24" s="49">
        <f t="shared" si="8"/>
        <v>0</v>
      </c>
      <c r="W24" s="507">
        <v>11728401</v>
      </c>
      <c r="X24" s="49">
        <f t="shared" si="9"/>
        <v>0</v>
      </c>
      <c r="Y24" s="507">
        <v>11462228</v>
      </c>
      <c r="Z24" s="49">
        <f t="shared" si="10"/>
        <v>0</v>
      </c>
      <c r="AC24" s="554"/>
      <c r="AD24" s="554"/>
      <c r="AE24" s="554"/>
    </row>
    <row r="25" spans="2:31" s="49" customFormat="1" ht="15.6">
      <c r="B25" s="75" t="s">
        <v>22</v>
      </c>
      <c r="C25" s="324">
        <f>C26+C27</f>
        <v>3450477</v>
      </c>
      <c r="D25" s="324">
        <f t="shared" ref="D25:R25" si="54">D26+D27</f>
        <v>3385033</v>
      </c>
      <c r="E25" s="324">
        <f t="shared" si="54"/>
        <v>0</v>
      </c>
      <c r="F25" s="324">
        <f t="shared" ref="F25" si="55">F26+F27</f>
        <v>865933</v>
      </c>
      <c r="G25" s="324">
        <f t="shared" si="54"/>
        <v>56190</v>
      </c>
      <c r="H25" s="324">
        <f t="shared" si="54"/>
        <v>4307156</v>
      </c>
      <c r="I25" s="324">
        <f t="shared" si="54"/>
        <v>2806301</v>
      </c>
      <c r="J25" s="324">
        <f t="shared" si="54"/>
        <v>0</v>
      </c>
      <c r="K25" s="324">
        <f t="shared" ref="K25" si="56">K26+K27</f>
        <v>139835</v>
      </c>
      <c r="L25" s="324">
        <f t="shared" si="54"/>
        <v>4250</v>
      </c>
      <c r="M25" s="324">
        <f t="shared" si="54"/>
        <v>2950386</v>
      </c>
      <c r="N25" s="324">
        <f t="shared" si="54"/>
        <v>2760958</v>
      </c>
      <c r="O25" s="324">
        <f t="shared" si="54"/>
        <v>0</v>
      </c>
      <c r="P25" s="324">
        <f t="shared" ref="P25" si="57">P26+P27</f>
        <v>105922</v>
      </c>
      <c r="Q25" s="324">
        <f t="shared" si="54"/>
        <v>4250</v>
      </c>
      <c r="R25" s="324">
        <f t="shared" si="54"/>
        <v>2871130</v>
      </c>
      <c r="U25" s="505">
        <v>3385033</v>
      </c>
      <c r="V25" s="49">
        <f t="shared" si="8"/>
        <v>0</v>
      </c>
      <c r="W25" s="505">
        <v>2806301</v>
      </c>
      <c r="X25" s="49">
        <f t="shared" si="9"/>
        <v>0</v>
      </c>
      <c r="Y25" s="505">
        <v>2760958</v>
      </c>
      <c r="Z25" s="49">
        <f t="shared" si="10"/>
        <v>0</v>
      </c>
      <c r="AC25" s="554"/>
      <c r="AD25" s="554"/>
      <c r="AE25" s="554"/>
    </row>
    <row r="26" spans="2:31" s="49" customFormat="1" ht="15.6">
      <c r="B26" s="59" t="s">
        <v>139</v>
      </c>
      <c r="C26" s="305">
        <f>'03-3'!C119</f>
        <v>2451205</v>
      </c>
      <c r="D26" s="305">
        <f>'03-3'!D119</f>
        <v>2575831</v>
      </c>
      <c r="E26" s="305">
        <f>'03-3'!E119</f>
        <v>0</v>
      </c>
      <c r="F26" s="305">
        <f>'03-3'!F119</f>
        <v>865933</v>
      </c>
      <c r="G26" s="305">
        <f>'03-3'!G119</f>
        <v>56190</v>
      </c>
      <c r="H26" s="305">
        <f>'03-3'!H119</f>
        <v>3497954</v>
      </c>
      <c r="I26" s="305">
        <f>'03-3'!I119</f>
        <v>2568378</v>
      </c>
      <c r="J26" s="305">
        <f>'03-3'!J119</f>
        <v>0</v>
      </c>
      <c r="K26" s="305">
        <f>'03-3'!K119</f>
        <v>139835</v>
      </c>
      <c r="L26" s="305">
        <f>'03-3'!L119</f>
        <v>4250</v>
      </c>
      <c r="M26" s="305">
        <f>'03-3'!M119</f>
        <v>2712463</v>
      </c>
      <c r="N26" s="305">
        <f>'03-3'!N119</f>
        <v>2568849</v>
      </c>
      <c r="O26" s="305">
        <f>'03-3'!O119</f>
        <v>0</v>
      </c>
      <c r="P26" s="305">
        <f>'03-3'!P119</f>
        <v>105922</v>
      </c>
      <c r="Q26" s="305">
        <f>'03-3'!Q119</f>
        <v>4250</v>
      </c>
      <c r="R26" s="305">
        <f>'03-3'!R119</f>
        <v>2679021</v>
      </c>
      <c r="U26" s="507">
        <v>2575831</v>
      </c>
      <c r="V26" s="49">
        <f t="shared" si="8"/>
        <v>0</v>
      </c>
      <c r="W26" s="507">
        <v>2568378</v>
      </c>
      <c r="X26" s="49">
        <f t="shared" si="9"/>
        <v>0</v>
      </c>
      <c r="Y26" s="507">
        <v>2568849</v>
      </c>
      <c r="Z26" s="49">
        <f t="shared" si="10"/>
        <v>0</v>
      </c>
      <c r="AC26" s="554"/>
      <c r="AD26" s="554"/>
      <c r="AE26" s="554"/>
    </row>
    <row r="27" spans="2:31" s="49" customFormat="1" ht="15.6">
      <c r="B27" s="61" t="s">
        <v>140</v>
      </c>
      <c r="C27" s="307">
        <f>'03-3'!C203</f>
        <v>999272</v>
      </c>
      <c r="D27" s="307">
        <f>'03-3'!D203</f>
        <v>809202</v>
      </c>
      <c r="E27" s="307">
        <f>'03-3'!E203</f>
        <v>0</v>
      </c>
      <c r="F27" s="307">
        <f>'03-3'!F203</f>
        <v>0</v>
      </c>
      <c r="G27" s="307">
        <f>'03-3'!G203</f>
        <v>0</v>
      </c>
      <c r="H27" s="307">
        <f>'03-3'!H203</f>
        <v>809202</v>
      </c>
      <c r="I27" s="307">
        <f>'03-3'!I203</f>
        <v>237923</v>
      </c>
      <c r="J27" s="307">
        <f>'03-3'!J203</f>
        <v>0</v>
      </c>
      <c r="K27" s="307">
        <f>'03-3'!K203</f>
        <v>0</v>
      </c>
      <c r="L27" s="307">
        <f>'03-3'!L203</f>
        <v>0</v>
      </c>
      <c r="M27" s="307">
        <f>'03-3'!M203</f>
        <v>237923</v>
      </c>
      <c r="N27" s="307">
        <f>'03-3'!N203</f>
        <v>192109</v>
      </c>
      <c r="O27" s="307">
        <f>'03-3'!O203</f>
        <v>0</v>
      </c>
      <c r="P27" s="307">
        <f>'03-3'!P203</f>
        <v>0</v>
      </c>
      <c r="Q27" s="307">
        <f>'03-3'!Q203</f>
        <v>0</v>
      </c>
      <c r="R27" s="307">
        <f>'03-3'!R203</f>
        <v>192109</v>
      </c>
      <c r="U27" s="508">
        <v>809202</v>
      </c>
      <c r="V27" s="49">
        <f t="shared" si="8"/>
        <v>0</v>
      </c>
      <c r="W27" s="508">
        <v>237923</v>
      </c>
      <c r="X27" s="49">
        <f t="shared" si="9"/>
        <v>0</v>
      </c>
      <c r="Y27" s="508">
        <v>192109</v>
      </c>
      <c r="Z27" s="49">
        <f t="shared" si="10"/>
        <v>0</v>
      </c>
      <c r="AC27" s="554"/>
      <c r="AD27" s="554"/>
      <c r="AE27" s="554"/>
    </row>
    <row r="28" spans="2:31" s="49" customFormat="1" ht="15.6">
      <c r="B28" s="76" t="s">
        <v>23</v>
      </c>
      <c r="C28" s="324">
        <f>C29+C30</f>
        <v>2790364</v>
      </c>
      <c r="D28" s="324">
        <f t="shared" ref="D28:R28" si="58">D29+D30</f>
        <v>2904989</v>
      </c>
      <c r="E28" s="324">
        <f t="shared" si="58"/>
        <v>0</v>
      </c>
      <c r="F28" s="324">
        <f t="shared" ref="F28" si="59">F29+F30</f>
        <v>-20000</v>
      </c>
      <c r="G28" s="324">
        <f t="shared" si="58"/>
        <v>95270</v>
      </c>
      <c r="H28" s="324">
        <f t="shared" si="58"/>
        <v>2980259</v>
      </c>
      <c r="I28" s="324">
        <f t="shared" si="58"/>
        <v>2881989</v>
      </c>
      <c r="J28" s="324">
        <f t="shared" si="58"/>
        <v>0</v>
      </c>
      <c r="K28" s="324">
        <f t="shared" ref="K28" si="60">K29+K30</f>
        <v>-20000</v>
      </c>
      <c r="L28" s="324">
        <f t="shared" si="58"/>
        <v>95270</v>
      </c>
      <c r="M28" s="324">
        <f t="shared" si="58"/>
        <v>2957259</v>
      </c>
      <c r="N28" s="324">
        <f t="shared" si="58"/>
        <v>2851989</v>
      </c>
      <c r="O28" s="324">
        <f t="shared" si="58"/>
        <v>0</v>
      </c>
      <c r="P28" s="324">
        <f t="shared" ref="P28" si="61">P29+P30</f>
        <v>0</v>
      </c>
      <c r="Q28" s="324">
        <f t="shared" si="58"/>
        <v>62000</v>
      </c>
      <c r="R28" s="324">
        <f t="shared" si="58"/>
        <v>2913989</v>
      </c>
      <c r="U28" s="505">
        <v>2904989</v>
      </c>
      <c r="V28" s="49">
        <f t="shared" si="8"/>
        <v>0</v>
      </c>
      <c r="W28" s="505">
        <v>2881989</v>
      </c>
      <c r="X28" s="49">
        <f t="shared" si="9"/>
        <v>0</v>
      </c>
      <c r="Y28" s="505">
        <v>2851989</v>
      </c>
      <c r="Z28" s="49">
        <f t="shared" si="10"/>
        <v>0</v>
      </c>
      <c r="AC28" s="554"/>
      <c r="AD28" s="554"/>
      <c r="AE28" s="554"/>
    </row>
    <row r="29" spans="2:31" s="51" customFormat="1" ht="15.6">
      <c r="B29" s="59" t="s">
        <v>139</v>
      </c>
      <c r="C29" s="305">
        <f>'04-3'!C119</f>
        <v>2790364</v>
      </c>
      <c r="D29" s="305">
        <f>'04-3'!D119</f>
        <v>2904989</v>
      </c>
      <c r="E29" s="305">
        <f>'04-3'!E119</f>
        <v>0</v>
      </c>
      <c r="F29" s="305">
        <f>'04-3'!F119</f>
        <v>-20000</v>
      </c>
      <c r="G29" s="305">
        <f>'04-3'!G119</f>
        <v>95270</v>
      </c>
      <c r="H29" s="305">
        <f>'04-3'!H119</f>
        <v>2980259</v>
      </c>
      <c r="I29" s="305">
        <f>'04-3'!I119</f>
        <v>2881989</v>
      </c>
      <c r="J29" s="305">
        <f>'04-3'!J119</f>
        <v>0</v>
      </c>
      <c r="K29" s="305">
        <f>'04-3'!K119</f>
        <v>-20000</v>
      </c>
      <c r="L29" s="305">
        <f>'04-3'!L119</f>
        <v>95270</v>
      </c>
      <c r="M29" s="305">
        <f>'04-3'!M119</f>
        <v>2957259</v>
      </c>
      <c r="N29" s="305">
        <f>'04-3'!N119</f>
        <v>2851989</v>
      </c>
      <c r="O29" s="305">
        <f>'04-3'!O119</f>
        <v>0</v>
      </c>
      <c r="P29" s="305">
        <f>'04-3'!P119</f>
        <v>0</v>
      </c>
      <c r="Q29" s="305">
        <f>'04-3'!Q119</f>
        <v>62000</v>
      </c>
      <c r="R29" s="305">
        <f>'04-3'!R119</f>
        <v>2913989</v>
      </c>
      <c r="U29" s="507">
        <v>2904989</v>
      </c>
      <c r="V29" s="49">
        <f t="shared" si="8"/>
        <v>0</v>
      </c>
      <c r="W29" s="507">
        <v>2881989</v>
      </c>
      <c r="X29" s="49">
        <f t="shared" si="9"/>
        <v>0</v>
      </c>
      <c r="Y29" s="507">
        <v>2851989</v>
      </c>
      <c r="Z29" s="49">
        <f t="shared" si="10"/>
        <v>0</v>
      </c>
      <c r="AC29" s="555"/>
      <c r="AD29" s="555"/>
      <c r="AE29" s="555"/>
    </row>
    <row r="30" spans="2:31" s="52" customFormat="1" ht="3" hidden="1" customHeight="1">
      <c r="B30" s="61" t="s">
        <v>140</v>
      </c>
      <c r="C30" s="307"/>
      <c r="D30" s="307"/>
      <c r="E30" s="307"/>
      <c r="F30" s="307"/>
      <c r="G30" s="307"/>
      <c r="H30" s="307"/>
      <c r="I30" s="307"/>
      <c r="J30" s="307"/>
      <c r="K30" s="307"/>
      <c r="L30" s="307"/>
      <c r="M30" s="307"/>
      <c r="N30" s="307"/>
      <c r="O30" s="307"/>
      <c r="P30" s="307"/>
      <c r="Q30" s="307"/>
      <c r="R30" s="307"/>
      <c r="U30" s="508"/>
      <c r="V30" s="49">
        <f t="shared" si="8"/>
        <v>0</v>
      </c>
      <c r="W30" s="508"/>
      <c r="X30" s="49">
        <f t="shared" si="9"/>
        <v>0</v>
      </c>
      <c r="Y30" s="508"/>
      <c r="Z30" s="49">
        <f t="shared" si="10"/>
        <v>0</v>
      </c>
      <c r="AC30" s="555"/>
      <c r="AD30" s="555"/>
      <c r="AE30" s="555"/>
    </row>
    <row r="31" spans="2:31" s="49" customFormat="1" ht="15.6">
      <c r="B31" s="77" t="s">
        <v>81</v>
      </c>
      <c r="C31" s="324">
        <f>C32</f>
        <v>681149</v>
      </c>
      <c r="D31" s="324">
        <f t="shared" ref="D31:R31" si="62">D32</f>
        <v>681149</v>
      </c>
      <c r="E31" s="324">
        <f t="shared" si="62"/>
        <v>0</v>
      </c>
      <c r="F31" s="324">
        <f t="shared" si="62"/>
        <v>0</v>
      </c>
      <c r="G31" s="324">
        <f t="shared" si="62"/>
        <v>0</v>
      </c>
      <c r="H31" s="324">
        <f t="shared" si="62"/>
        <v>681149</v>
      </c>
      <c r="I31" s="324">
        <f t="shared" si="62"/>
        <v>681149</v>
      </c>
      <c r="J31" s="324">
        <f t="shared" si="62"/>
        <v>0</v>
      </c>
      <c r="K31" s="324">
        <f t="shared" si="62"/>
        <v>0</v>
      </c>
      <c r="L31" s="324">
        <f t="shared" si="62"/>
        <v>0</v>
      </c>
      <c r="M31" s="324">
        <f t="shared" si="62"/>
        <v>681149</v>
      </c>
      <c r="N31" s="324">
        <f t="shared" si="62"/>
        <v>681149</v>
      </c>
      <c r="O31" s="324">
        <f t="shared" si="62"/>
        <v>0</v>
      </c>
      <c r="P31" s="324">
        <f t="shared" si="62"/>
        <v>0</v>
      </c>
      <c r="Q31" s="324">
        <f t="shared" si="62"/>
        <v>0</v>
      </c>
      <c r="R31" s="324">
        <f t="shared" si="62"/>
        <v>681149</v>
      </c>
      <c r="U31" s="505">
        <v>681149</v>
      </c>
      <c r="V31" s="49">
        <f t="shared" si="8"/>
        <v>0</v>
      </c>
      <c r="W31" s="505">
        <v>681149</v>
      </c>
      <c r="X31" s="49">
        <f t="shared" si="9"/>
        <v>0</v>
      </c>
      <c r="Y31" s="505">
        <v>681149</v>
      </c>
      <c r="Z31" s="49">
        <f t="shared" si="10"/>
        <v>0</v>
      </c>
      <c r="AC31" s="554"/>
      <c r="AD31" s="554"/>
      <c r="AE31" s="554"/>
    </row>
    <row r="32" spans="2:31" s="49" customFormat="1" ht="15.6">
      <c r="B32" s="59" t="s">
        <v>139</v>
      </c>
      <c r="C32" s="305">
        <f>'05-3'!C119</f>
        <v>681149</v>
      </c>
      <c r="D32" s="305">
        <f>'05-3'!D119</f>
        <v>681149</v>
      </c>
      <c r="E32" s="305">
        <f>'05-3'!E119</f>
        <v>0</v>
      </c>
      <c r="F32" s="305">
        <f>'05-3'!F119</f>
        <v>0</v>
      </c>
      <c r="G32" s="305">
        <f>'05-3'!G119</f>
        <v>0</v>
      </c>
      <c r="H32" s="305">
        <f>'05-3'!H119</f>
        <v>681149</v>
      </c>
      <c r="I32" s="305">
        <f>'05-3'!I119</f>
        <v>681149</v>
      </c>
      <c r="J32" s="305">
        <f>'05-3'!J119</f>
        <v>0</v>
      </c>
      <c r="K32" s="305">
        <f>'05-3'!K119</f>
        <v>0</v>
      </c>
      <c r="L32" s="305">
        <f>'05-3'!L119</f>
        <v>0</v>
      </c>
      <c r="M32" s="305">
        <f>'05-3'!M119</f>
        <v>681149</v>
      </c>
      <c r="N32" s="305">
        <f>'05-3'!N119</f>
        <v>681149</v>
      </c>
      <c r="O32" s="305">
        <f>'05-3'!O119</f>
        <v>0</v>
      </c>
      <c r="P32" s="305">
        <f>'05-3'!P119</f>
        <v>0</v>
      </c>
      <c r="Q32" s="305">
        <f>'05-3'!Q119</f>
        <v>0</v>
      </c>
      <c r="R32" s="305">
        <f>'05-3'!R119</f>
        <v>681149</v>
      </c>
      <c r="U32" s="507">
        <v>681149</v>
      </c>
      <c r="V32" s="49">
        <f t="shared" si="8"/>
        <v>0</v>
      </c>
      <c r="W32" s="507">
        <v>681149</v>
      </c>
      <c r="X32" s="49">
        <f t="shared" si="9"/>
        <v>0</v>
      </c>
      <c r="Y32" s="507">
        <v>681149</v>
      </c>
      <c r="Z32" s="49">
        <f t="shared" si="10"/>
        <v>0</v>
      </c>
      <c r="AC32" s="554"/>
      <c r="AD32" s="554"/>
      <c r="AE32" s="554"/>
    </row>
    <row r="33" spans="2:31" s="49" customFormat="1" ht="15.6">
      <c r="B33" s="75" t="s">
        <v>154</v>
      </c>
      <c r="C33" s="324">
        <f>C34+C35</f>
        <v>3287127</v>
      </c>
      <c r="D33" s="324">
        <f t="shared" ref="D33:R33" si="63">D34+D35</f>
        <v>1533352</v>
      </c>
      <c r="E33" s="324">
        <f t="shared" si="63"/>
        <v>0</v>
      </c>
      <c r="F33" s="324">
        <f t="shared" ref="F33" si="64">F34+F35</f>
        <v>0</v>
      </c>
      <c r="G33" s="324">
        <f t="shared" si="63"/>
        <v>100000</v>
      </c>
      <c r="H33" s="324">
        <f t="shared" si="63"/>
        <v>1633352</v>
      </c>
      <c r="I33" s="324">
        <f t="shared" si="63"/>
        <v>831436</v>
      </c>
      <c r="J33" s="324">
        <f t="shared" si="63"/>
        <v>0</v>
      </c>
      <c r="K33" s="324">
        <f t="shared" ref="K33" si="65">K34+K35</f>
        <v>0</v>
      </c>
      <c r="L33" s="324">
        <f t="shared" si="63"/>
        <v>100000</v>
      </c>
      <c r="M33" s="324">
        <f t="shared" si="63"/>
        <v>931436</v>
      </c>
      <c r="N33" s="324">
        <f t="shared" si="63"/>
        <v>372756</v>
      </c>
      <c r="O33" s="324">
        <f t="shared" si="63"/>
        <v>0</v>
      </c>
      <c r="P33" s="324">
        <f t="shared" ref="P33" si="66">P34+P35</f>
        <v>0</v>
      </c>
      <c r="Q33" s="324">
        <f t="shared" si="63"/>
        <v>100000</v>
      </c>
      <c r="R33" s="324">
        <f t="shared" si="63"/>
        <v>472756</v>
      </c>
      <c r="U33" s="505">
        <v>1533352</v>
      </c>
      <c r="V33" s="49">
        <f t="shared" si="8"/>
        <v>0</v>
      </c>
      <c r="W33" s="505">
        <v>831436</v>
      </c>
      <c r="X33" s="49">
        <f t="shared" si="9"/>
        <v>0</v>
      </c>
      <c r="Y33" s="505">
        <v>372756</v>
      </c>
      <c r="Z33" s="49">
        <f t="shared" si="10"/>
        <v>0</v>
      </c>
      <c r="AC33" s="554"/>
      <c r="AD33" s="554"/>
      <c r="AE33" s="554"/>
    </row>
    <row r="34" spans="2:31" s="49" customFormat="1" ht="15.6">
      <c r="B34" s="59" t="s">
        <v>139</v>
      </c>
      <c r="C34" s="305">
        <f>'08-3'!C119</f>
        <v>372756</v>
      </c>
      <c r="D34" s="305">
        <f>'08-3'!D119</f>
        <v>372756</v>
      </c>
      <c r="E34" s="305">
        <f>'08-3'!E119</f>
        <v>0</v>
      </c>
      <c r="F34" s="305">
        <f>'08-3'!F119</f>
        <v>0</v>
      </c>
      <c r="G34" s="305">
        <f>'08-3'!G119</f>
        <v>100000</v>
      </c>
      <c r="H34" s="305">
        <f>'08-3'!H119</f>
        <v>472756</v>
      </c>
      <c r="I34" s="305">
        <f>'08-3'!I119</f>
        <v>372756</v>
      </c>
      <c r="J34" s="305">
        <f>'08-3'!J119</f>
        <v>0</v>
      </c>
      <c r="K34" s="305">
        <f>'08-3'!K119</f>
        <v>0</v>
      </c>
      <c r="L34" s="305">
        <f>'08-3'!L119</f>
        <v>100000</v>
      </c>
      <c r="M34" s="305">
        <f>'08-3'!M119</f>
        <v>472756</v>
      </c>
      <c r="N34" s="305">
        <f>'08-3'!N119</f>
        <v>372756</v>
      </c>
      <c r="O34" s="305">
        <f>'08-3'!O119</f>
        <v>0</v>
      </c>
      <c r="P34" s="305">
        <f>'08-3'!P119</f>
        <v>0</v>
      </c>
      <c r="Q34" s="305">
        <f>'08-3'!Q119</f>
        <v>100000</v>
      </c>
      <c r="R34" s="305">
        <f>'08-3'!R119</f>
        <v>472756</v>
      </c>
      <c r="U34" s="507">
        <v>372756</v>
      </c>
      <c r="V34" s="49">
        <f t="shared" si="8"/>
        <v>0</v>
      </c>
      <c r="W34" s="507">
        <v>372756</v>
      </c>
      <c r="X34" s="49">
        <f t="shared" si="9"/>
        <v>0</v>
      </c>
      <c r="Y34" s="507">
        <v>372756</v>
      </c>
      <c r="Z34" s="49">
        <f t="shared" si="10"/>
        <v>0</v>
      </c>
      <c r="AC34" s="554"/>
      <c r="AD34" s="554"/>
      <c r="AE34" s="554"/>
    </row>
    <row r="35" spans="2:31" s="49" customFormat="1" ht="15.6">
      <c r="B35" s="61" t="s">
        <v>140</v>
      </c>
      <c r="C35" s="307">
        <f>'08-3'!C203</f>
        <v>2914371</v>
      </c>
      <c r="D35" s="307">
        <f>'08-3'!D203</f>
        <v>1160596</v>
      </c>
      <c r="E35" s="307">
        <f>'08-3'!E203</f>
        <v>0</v>
      </c>
      <c r="F35" s="307">
        <f>'08-3'!F203</f>
        <v>0</v>
      </c>
      <c r="G35" s="307">
        <f>'08-3'!G203</f>
        <v>0</v>
      </c>
      <c r="H35" s="307">
        <f>'08-3'!H203</f>
        <v>1160596</v>
      </c>
      <c r="I35" s="307">
        <f>'08-3'!I203</f>
        <v>458680</v>
      </c>
      <c r="J35" s="307">
        <f>'08-3'!J203</f>
        <v>0</v>
      </c>
      <c r="K35" s="307">
        <f>'08-3'!K203</f>
        <v>0</v>
      </c>
      <c r="L35" s="307">
        <f>'08-3'!L203</f>
        <v>0</v>
      </c>
      <c r="M35" s="307">
        <f>'08-3'!M203</f>
        <v>458680</v>
      </c>
      <c r="N35" s="307">
        <f>'08-3'!N203</f>
        <v>0</v>
      </c>
      <c r="O35" s="307">
        <f>'08-3'!O203</f>
        <v>0</v>
      </c>
      <c r="P35" s="307">
        <f>'08-3'!P203</f>
        <v>0</v>
      </c>
      <c r="Q35" s="307">
        <f>'08-3'!Q203</f>
        <v>0</v>
      </c>
      <c r="R35" s="307">
        <f>'08-3'!R203</f>
        <v>0</v>
      </c>
      <c r="U35" s="508">
        <v>1160596</v>
      </c>
      <c r="V35" s="49">
        <f t="shared" si="8"/>
        <v>0</v>
      </c>
      <c r="W35" s="508">
        <v>458680</v>
      </c>
      <c r="X35" s="49">
        <f t="shared" si="9"/>
        <v>0</v>
      </c>
      <c r="Y35" s="508">
        <v>0</v>
      </c>
      <c r="Z35" s="49">
        <f t="shared" si="10"/>
        <v>0</v>
      </c>
      <c r="AC35" s="554"/>
      <c r="AD35" s="554"/>
      <c r="AE35" s="554"/>
    </row>
    <row r="36" spans="2:31" s="49" customFormat="1" ht="27">
      <c r="B36" s="63" t="s">
        <v>17</v>
      </c>
      <c r="C36" s="307">
        <f>'08-3'!C230+'08-3'!C247</f>
        <v>599411</v>
      </c>
      <c r="D36" s="307">
        <f>'08-3'!D230+'08-3'!D247</f>
        <v>534485</v>
      </c>
      <c r="E36" s="307">
        <f>'08-3'!E230+'08-3'!E247</f>
        <v>0</v>
      </c>
      <c r="F36" s="307">
        <f>'08-3'!F230+'08-3'!F247</f>
        <v>0</v>
      </c>
      <c r="G36" s="307">
        <f>'08-3'!G230+'08-3'!G247</f>
        <v>0</v>
      </c>
      <c r="H36" s="307">
        <f>'08-3'!H230+'08-3'!H247</f>
        <v>534485</v>
      </c>
      <c r="I36" s="307">
        <f>'08-3'!I230+'08-3'!I247</f>
        <v>0</v>
      </c>
      <c r="J36" s="307">
        <f>'08-3'!J230+'08-3'!J247</f>
        <v>0</v>
      </c>
      <c r="K36" s="307">
        <f>'08-3'!K230+'08-3'!K247</f>
        <v>0</v>
      </c>
      <c r="L36" s="307">
        <f>'08-3'!L230+'08-3'!L247</f>
        <v>0</v>
      </c>
      <c r="M36" s="307">
        <f>'08-3'!M230+'08-3'!M247</f>
        <v>0</v>
      </c>
      <c r="N36" s="307">
        <f>'08-3'!N230+'08-3'!N247</f>
        <v>0</v>
      </c>
      <c r="O36" s="307">
        <f>'08-3'!O230+'08-3'!O247</f>
        <v>0</v>
      </c>
      <c r="P36" s="307">
        <f>'08-3'!P230+'08-3'!P247</f>
        <v>0</v>
      </c>
      <c r="Q36" s="307">
        <f>'08-3'!Q230+'08-3'!Q247</f>
        <v>0</v>
      </c>
      <c r="R36" s="307">
        <f>'08-3'!R230+'08-3'!R247</f>
        <v>0</v>
      </c>
      <c r="U36" s="508">
        <v>534485</v>
      </c>
      <c r="V36" s="49">
        <f t="shared" si="8"/>
        <v>0</v>
      </c>
      <c r="W36" s="508">
        <v>0</v>
      </c>
      <c r="X36" s="49">
        <f t="shared" si="9"/>
        <v>0</v>
      </c>
      <c r="Y36" s="508">
        <v>0</v>
      </c>
      <c r="Z36" s="49">
        <f t="shared" si="10"/>
        <v>0</v>
      </c>
      <c r="AC36" s="554"/>
      <c r="AD36" s="554"/>
      <c r="AE36" s="554"/>
    </row>
    <row r="37" spans="2:31" s="49" customFormat="1" ht="30.75" customHeight="1">
      <c r="B37" s="75" t="s">
        <v>158</v>
      </c>
      <c r="C37" s="324">
        <f>C38</f>
        <v>3452700</v>
      </c>
      <c r="D37" s="324">
        <f t="shared" ref="D37:R37" si="67">D38</f>
        <v>3452700</v>
      </c>
      <c r="E37" s="324">
        <f t="shared" si="67"/>
        <v>65170</v>
      </c>
      <c r="F37" s="324">
        <f t="shared" si="67"/>
        <v>0</v>
      </c>
      <c r="G37" s="324">
        <f t="shared" si="67"/>
        <v>0</v>
      </c>
      <c r="H37" s="324">
        <f t="shared" si="67"/>
        <v>3517870</v>
      </c>
      <c r="I37" s="324">
        <f t="shared" si="67"/>
        <v>3452700</v>
      </c>
      <c r="J37" s="324">
        <f t="shared" si="67"/>
        <v>0</v>
      </c>
      <c r="K37" s="324">
        <f t="shared" si="67"/>
        <v>0</v>
      </c>
      <c r="L37" s="324">
        <f t="shared" si="67"/>
        <v>0</v>
      </c>
      <c r="M37" s="324">
        <f t="shared" si="67"/>
        <v>3452700</v>
      </c>
      <c r="N37" s="324">
        <f t="shared" si="67"/>
        <v>3452700</v>
      </c>
      <c r="O37" s="324">
        <f t="shared" si="67"/>
        <v>0</v>
      </c>
      <c r="P37" s="324">
        <f t="shared" si="67"/>
        <v>0</v>
      </c>
      <c r="Q37" s="324">
        <f t="shared" si="67"/>
        <v>0</v>
      </c>
      <c r="R37" s="324">
        <f t="shared" si="67"/>
        <v>3452700</v>
      </c>
      <c r="U37" s="505">
        <v>3452700</v>
      </c>
      <c r="V37" s="49">
        <f t="shared" si="8"/>
        <v>0</v>
      </c>
      <c r="W37" s="505">
        <v>3452700</v>
      </c>
      <c r="X37" s="49">
        <f t="shared" si="9"/>
        <v>0</v>
      </c>
      <c r="Y37" s="505">
        <v>3452700</v>
      </c>
      <c r="Z37" s="49">
        <f t="shared" si="10"/>
        <v>0</v>
      </c>
      <c r="AC37" s="554"/>
      <c r="AD37" s="554"/>
      <c r="AE37" s="554"/>
    </row>
    <row r="38" spans="2:31" s="49" customFormat="1" ht="15.6">
      <c r="B38" s="59" t="s">
        <v>139</v>
      </c>
      <c r="C38" s="305">
        <f>'09-3'!C119</f>
        <v>3452700</v>
      </c>
      <c r="D38" s="305">
        <f>'09-3'!D119</f>
        <v>3452700</v>
      </c>
      <c r="E38" s="305">
        <f>'09-3'!E119</f>
        <v>65170</v>
      </c>
      <c r="F38" s="305">
        <f>'09-3'!F119</f>
        <v>0</v>
      </c>
      <c r="G38" s="305">
        <f>'09-3'!G119</f>
        <v>0</v>
      </c>
      <c r="H38" s="305">
        <f>'09-3'!H119</f>
        <v>3517870</v>
      </c>
      <c r="I38" s="305">
        <f>'09-3'!I119</f>
        <v>3452700</v>
      </c>
      <c r="J38" s="305">
        <f>'09-3'!J119</f>
        <v>0</v>
      </c>
      <c r="K38" s="305">
        <f>'09-3'!K119</f>
        <v>0</v>
      </c>
      <c r="L38" s="305">
        <f>'09-3'!L119</f>
        <v>0</v>
      </c>
      <c r="M38" s="305">
        <f>'09-3'!M119</f>
        <v>3452700</v>
      </c>
      <c r="N38" s="305">
        <f>'09-3'!N119</f>
        <v>3452700</v>
      </c>
      <c r="O38" s="305">
        <f>'09-3'!O119</f>
        <v>0</v>
      </c>
      <c r="P38" s="305">
        <f>'09-3'!P119</f>
        <v>0</v>
      </c>
      <c r="Q38" s="305">
        <f>'09-3'!Q119</f>
        <v>0</v>
      </c>
      <c r="R38" s="305">
        <f>'09-3'!R119</f>
        <v>3452700</v>
      </c>
      <c r="U38" s="507">
        <v>3452700</v>
      </c>
      <c r="V38" s="49">
        <f t="shared" si="8"/>
        <v>0</v>
      </c>
      <c r="W38" s="507">
        <v>3452700</v>
      </c>
      <c r="X38" s="49">
        <f t="shared" si="9"/>
        <v>0</v>
      </c>
      <c r="Y38" s="507">
        <v>3452700</v>
      </c>
      <c r="Z38" s="49">
        <f t="shared" si="10"/>
        <v>0</v>
      </c>
      <c r="AC38" s="554"/>
      <c r="AD38" s="554"/>
      <c r="AE38" s="554"/>
    </row>
    <row r="39" spans="2:31" s="51" customFormat="1" ht="15.6">
      <c r="B39" s="78" t="s">
        <v>24</v>
      </c>
      <c r="C39" s="324">
        <f>C40+C42</f>
        <v>142724672</v>
      </c>
      <c r="D39" s="324">
        <f t="shared" ref="D39:R39" si="68">D40+D42</f>
        <v>144722061</v>
      </c>
      <c r="E39" s="324">
        <f t="shared" si="68"/>
        <v>0</v>
      </c>
      <c r="F39" s="324">
        <f t="shared" ref="F39" si="69">F40+F42</f>
        <v>9416663</v>
      </c>
      <c r="G39" s="324">
        <f t="shared" si="68"/>
        <v>4338410</v>
      </c>
      <c r="H39" s="324">
        <f t="shared" si="68"/>
        <v>158477134</v>
      </c>
      <c r="I39" s="324">
        <f t="shared" si="68"/>
        <v>132093624</v>
      </c>
      <c r="J39" s="324">
        <f t="shared" si="68"/>
        <v>0</v>
      </c>
      <c r="K39" s="324">
        <f t="shared" ref="K39" si="70">K40+K42</f>
        <v>6690902</v>
      </c>
      <c r="L39" s="324">
        <f t="shared" si="68"/>
        <v>4555880</v>
      </c>
      <c r="M39" s="324">
        <f t="shared" si="68"/>
        <v>143340406</v>
      </c>
      <c r="N39" s="324">
        <f t="shared" si="68"/>
        <v>113171463</v>
      </c>
      <c r="O39" s="324">
        <f t="shared" si="68"/>
        <v>0</v>
      </c>
      <c r="P39" s="324">
        <f t="shared" ref="P39" si="71">P40+P42</f>
        <v>18709874</v>
      </c>
      <c r="Q39" s="324">
        <f t="shared" si="68"/>
        <v>3371865</v>
      </c>
      <c r="R39" s="324">
        <f t="shared" si="68"/>
        <v>135253202</v>
      </c>
      <c r="U39" s="505">
        <v>144722061</v>
      </c>
      <c r="V39" s="49">
        <f t="shared" si="8"/>
        <v>0</v>
      </c>
      <c r="W39" s="505">
        <v>132093624</v>
      </c>
      <c r="X39" s="49">
        <f t="shared" si="9"/>
        <v>0</v>
      </c>
      <c r="Y39" s="505">
        <v>113171463</v>
      </c>
      <c r="Z39" s="49">
        <f t="shared" si="10"/>
        <v>0</v>
      </c>
      <c r="AC39" s="555"/>
      <c r="AD39" s="555"/>
      <c r="AE39" s="555"/>
    </row>
    <row r="40" spans="2:31" s="49" customFormat="1" ht="15.6">
      <c r="B40" s="59" t="s">
        <v>139</v>
      </c>
      <c r="C40" s="305">
        <f>'10-3'!C119</f>
        <v>133755296</v>
      </c>
      <c r="D40" s="305">
        <f>'10-3'!D119</f>
        <v>130238493</v>
      </c>
      <c r="E40" s="305">
        <f>'10-3'!E119</f>
        <v>0</v>
      </c>
      <c r="F40" s="305">
        <f>'10-3'!F119</f>
        <v>9416663</v>
      </c>
      <c r="G40" s="305">
        <f>'10-3'!G119</f>
        <v>4338410</v>
      </c>
      <c r="H40" s="305">
        <f>'10-3'!H119</f>
        <v>143993566</v>
      </c>
      <c r="I40" s="305">
        <f>'10-3'!I119</f>
        <v>127462815</v>
      </c>
      <c r="J40" s="305">
        <f>'10-3'!J119</f>
        <v>0</v>
      </c>
      <c r="K40" s="305">
        <f>'10-3'!K119</f>
        <v>6690902</v>
      </c>
      <c r="L40" s="305">
        <f>'10-3'!L119</f>
        <v>4555880</v>
      </c>
      <c r="M40" s="305">
        <f>'10-3'!M119</f>
        <v>138709597</v>
      </c>
      <c r="N40" s="305">
        <f>'10-3'!N119</f>
        <v>113171463</v>
      </c>
      <c r="O40" s="305">
        <f>'10-3'!O119</f>
        <v>0</v>
      </c>
      <c r="P40" s="305">
        <f>'10-3'!P119</f>
        <v>18709874</v>
      </c>
      <c r="Q40" s="305">
        <f>'10-3'!Q119</f>
        <v>3371865</v>
      </c>
      <c r="R40" s="305">
        <f>'10-3'!R119</f>
        <v>135253202</v>
      </c>
      <c r="U40" s="507">
        <v>130238493</v>
      </c>
      <c r="V40" s="49">
        <f t="shared" si="8"/>
        <v>0</v>
      </c>
      <c r="W40" s="507">
        <v>127462815</v>
      </c>
      <c r="X40" s="49">
        <f t="shared" si="9"/>
        <v>0</v>
      </c>
      <c r="Y40" s="507">
        <v>113171463</v>
      </c>
      <c r="Z40" s="49">
        <f t="shared" si="10"/>
        <v>0</v>
      </c>
      <c r="AC40" s="554"/>
      <c r="AD40" s="554"/>
      <c r="AE40" s="554"/>
    </row>
    <row r="41" spans="2:31" s="49" customFormat="1" ht="27">
      <c r="B41" s="65" t="s">
        <v>18</v>
      </c>
      <c r="C41" s="308">
        <f>'10-3'!C135</f>
        <v>77760</v>
      </c>
      <c r="D41" s="308">
        <f>'10-3'!D135</f>
        <v>77760</v>
      </c>
      <c r="E41" s="308">
        <f>'10-3'!E135</f>
        <v>0</v>
      </c>
      <c r="F41" s="308">
        <f>'10-3'!F135</f>
        <v>0</v>
      </c>
      <c r="G41" s="308">
        <f>'10-3'!G135</f>
        <v>0</v>
      </c>
      <c r="H41" s="308">
        <f>'10-3'!H135</f>
        <v>77760</v>
      </c>
      <c r="I41" s="308">
        <f>'10-3'!I135</f>
        <v>77760</v>
      </c>
      <c r="J41" s="308">
        <f>'10-3'!J135</f>
        <v>0</v>
      </c>
      <c r="K41" s="308">
        <f>'10-3'!K135</f>
        <v>0</v>
      </c>
      <c r="L41" s="308">
        <f>'10-3'!L135</f>
        <v>0</v>
      </c>
      <c r="M41" s="308">
        <f>'10-3'!M135</f>
        <v>77760</v>
      </c>
      <c r="N41" s="308">
        <f>'10-3'!N135</f>
        <v>0</v>
      </c>
      <c r="O41" s="308">
        <f>'10-3'!O135</f>
        <v>0</v>
      </c>
      <c r="P41" s="308">
        <f>'10-3'!P135</f>
        <v>0</v>
      </c>
      <c r="Q41" s="308">
        <f>'10-3'!Q135</f>
        <v>0</v>
      </c>
      <c r="R41" s="308">
        <f>'10-3'!R135</f>
        <v>0</v>
      </c>
      <c r="U41" s="509">
        <v>77760</v>
      </c>
      <c r="V41" s="49">
        <f t="shared" si="8"/>
        <v>0</v>
      </c>
      <c r="W41" s="509">
        <v>77760</v>
      </c>
      <c r="X41" s="49">
        <f t="shared" si="9"/>
        <v>0</v>
      </c>
      <c r="Y41" s="509">
        <v>0</v>
      </c>
      <c r="Z41" s="49">
        <f t="shared" si="10"/>
        <v>0</v>
      </c>
      <c r="AC41" s="554"/>
      <c r="AD41" s="554"/>
      <c r="AE41" s="554"/>
    </row>
    <row r="42" spans="2:31" s="53" customFormat="1" ht="15.6">
      <c r="B42" s="61" t="s">
        <v>140</v>
      </c>
      <c r="C42" s="307">
        <f>'10-3'!C203</f>
        <v>8969376</v>
      </c>
      <c r="D42" s="307">
        <f>'10-3'!D203</f>
        <v>14483568</v>
      </c>
      <c r="E42" s="307">
        <f>'10-3'!E203</f>
        <v>0</v>
      </c>
      <c r="F42" s="307">
        <f>'10-3'!F203</f>
        <v>0</v>
      </c>
      <c r="G42" s="307">
        <f>'10-3'!G203</f>
        <v>0</v>
      </c>
      <c r="H42" s="307">
        <f>'10-3'!H203</f>
        <v>14483568</v>
      </c>
      <c r="I42" s="307">
        <f>'10-3'!I203</f>
        <v>4630809</v>
      </c>
      <c r="J42" s="307">
        <f>'10-3'!J203</f>
        <v>0</v>
      </c>
      <c r="K42" s="307">
        <f>'10-3'!K203</f>
        <v>0</v>
      </c>
      <c r="L42" s="307">
        <f>'10-3'!L203</f>
        <v>0</v>
      </c>
      <c r="M42" s="307">
        <f>'10-3'!M203</f>
        <v>4630809</v>
      </c>
      <c r="N42" s="307">
        <f>'10-3'!N203</f>
        <v>0</v>
      </c>
      <c r="O42" s="307">
        <f>'10-3'!O203</f>
        <v>0</v>
      </c>
      <c r="P42" s="307">
        <f>'10-3'!P203</f>
        <v>0</v>
      </c>
      <c r="Q42" s="307">
        <f>'10-3'!Q203</f>
        <v>0</v>
      </c>
      <c r="R42" s="307">
        <f>'10-3'!R203</f>
        <v>0</v>
      </c>
      <c r="U42" s="508">
        <v>14483568</v>
      </c>
      <c r="V42" s="49">
        <f t="shared" si="8"/>
        <v>0</v>
      </c>
      <c r="W42" s="508">
        <v>4630809</v>
      </c>
      <c r="X42" s="49">
        <f t="shared" si="9"/>
        <v>0</v>
      </c>
      <c r="Y42" s="508">
        <v>0</v>
      </c>
      <c r="Z42" s="49">
        <f t="shared" si="10"/>
        <v>0</v>
      </c>
      <c r="AC42" s="555"/>
      <c r="AD42" s="555"/>
      <c r="AE42" s="555"/>
    </row>
    <row r="43" spans="2:31" s="49" customFormat="1" ht="15.6">
      <c r="B43" s="78" t="s">
        <v>25</v>
      </c>
      <c r="C43" s="324">
        <f>C44+C47</f>
        <v>28760306</v>
      </c>
      <c r="D43" s="324">
        <f t="shared" ref="D43:R43" si="72">D44+D47</f>
        <v>28730616</v>
      </c>
      <c r="E43" s="324">
        <f t="shared" si="72"/>
        <v>0</v>
      </c>
      <c r="F43" s="324">
        <f t="shared" ref="F43" si="73">F44+F47</f>
        <v>3673642</v>
      </c>
      <c r="G43" s="324">
        <f t="shared" si="72"/>
        <v>1705301</v>
      </c>
      <c r="H43" s="324">
        <f t="shared" si="72"/>
        <v>34109559</v>
      </c>
      <c r="I43" s="324">
        <f t="shared" si="72"/>
        <v>28577116</v>
      </c>
      <c r="J43" s="324">
        <f t="shared" si="72"/>
        <v>0</v>
      </c>
      <c r="K43" s="324">
        <f t="shared" ref="K43" si="74">K44+K47</f>
        <v>2845166</v>
      </c>
      <c r="L43" s="324">
        <f t="shared" si="72"/>
        <v>2126142</v>
      </c>
      <c r="M43" s="324">
        <f t="shared" si="72"/>
        <v>33548424</v>
      </c>
      <c r="N43" s="324">
        <f t="shared" si="72"/>
        <v>28551924</v>
      </c>
      <c r="O43" s="324">
        <f t="shared" si="72"/>
        <v>0</v>
      </c>
      <c r="P43" s="324">
        <f t="shared" ref="P43" si="75">P44+P47</f>
        <v>2829032</v>
      </c>
      <c r="Q43" s="324">
        <f t="shared" si="72"/>
        <v>1729234</v>
      </c>
      <c r="R43" s="324">
        <f t="shared" si="72"/>
        <v>33110190</v>
      </c>
      <c r="U43" s="505">
        <v>28730616</v>
      </c>
      <c r="V43" s="49">
        <f t="shared" si="8"/>
        <v>0</v>
      </c>
      <c r="W43" s="505">
        <v>28577116</v>
      </c>
      <c r="X43" s="49">
        <f t="shared" si="9"/>
        <v>0</v>
      </c>
      <c r="Y43" s="505">
        <v>28551924</v>
      </c>
      <c r="Z43" s="49">
        <f t="shared" si="10"/>
        <v>0</v>
      </c>
      <c r="AC43" s="554"/>
      <c r="AD43" s="554"/>
      <c r="AE43" s="554"/>
    </row>
    <row r="44" spans="2:31" s="53" customFormat="1" ht="15.6">
      <c r="B44" s="59" t="s">
        <v>139</v>
      </c>
      <c r="C44" s="305">
        <f>'11-3'!C119</f>
        <v>27440071</v>
      </c>
      <c r="D44" s="305">
        <f>'11-3'!D119</f>
        <v>27922581</v>
      </c>
      <c r="E44" s="305">
        <f>'11-3'!E119</f>
        <v>0</v>
      </c>
      <c r="F44" s="305">
        <f>'11-3'!F119</f>
        <v>3673642</v>
      </c>
      <c r="G44" s="305">
        <f>'11-3'!G119</f>
        <v>1705301</v>
      </c>
      <c r="H44" s="305">
        <f>'11-3'!H119</f>
        <v>33301524</v>
      </c>
      <c r="I44" s="305">
        <f>'11-3'!I119</f>
        <v>27927116</v>
      </c>
      <c r="J44" s="305">
        <f>'11-3'!J119</f>
        <v>0</v>
      </c>
      <c r="K44" s="305">
        <f>'11-3'!K119</f>
        <v>2845166</v>
      </c>
      <c r="L44" s="305">
        <f>'11-3'!L119</f>
        <v>2126142</v>
      </c>
      <c r="M44" s="305">
        <f>'11-3'!M119</f>
        <v>32898424</v>
      </c>
      <c r="N44" s="305">
        <f>'11-3'!N119</f>
        <v>27901924</v>
      </c>
      <c r="O44" s="305">
        <f>'11-3'!O119</f>
        <v>0</v>
      </c>
      <c r="P44" s="305">
        <f>'11-3'!P119</f>
        <v>2829032</v>
      </c>
      <c r="Q44" s="305">
        <f>'11-3'!Q119</f>
        <v>1729234</v>
      </c>
      <c r="R44" s="305">
        <f>'11-3'!R119</f>
        <v>32460190</v>
      </c>
      <c r="U44" s="507">
        <v>27922581</v>
      </c>
      <c r="V44" s="49">
        <f t="shared" si="8"/>
        <v>0</v>
      </c>
      <c r="W44" s="507">
        <v>27927116</v>
      </c>
      <c r="X44" s="49">
        <f t="shared" si="9"/>
        <v>0</v>
      </c>
      <c r="Y44" s="507">
        <v>27901924</v>
      </c>
      <c r="Z44" s="49">
        <f t="shared" si="10"/>
        <v>0</v>
      </c>
      <c r="AC44" s="555"/>
      <c r="AD44" s="555"/>
      <c r="AE44" s="555"/>
    </row>
    <row r="45" spans="2:31" s="52" customFormat="1" ht="15.6">
      <c r="B45" s="79" t="s">
        <v>19</v>
      </c>
      <c r="C45" s="305">
        <f>'11-3'!C134</f>
        <v>8520</v>
      </c>
      <c r="D45" s="305">
        <f>'11-3'!D134</f>
        <v>8520</v>
      </c>
      <c r="E45" s="305">
        <f>'11-3'!E134</f>
        <v>0</v>
      </c>
      <c r="F45" s="305">
        <f>'11-3'!F134</f>
        <v>0</v>
      </c>
      <c r="G45" s="305">
        <f>'11-3'!G134</f>
        <v>0</v>
      </c>
      <c r="H45" s="305">
        <f>'11-3'!H134</f>
        <v>8520</v>
      </c>
      <c r="I45" s="305">
        <f>'11-3'!I134</f>
        <v>8520</v>
      </c>
      <c r="J45" s="305">
        <f>'11-3'!J134</f>
        <v>0</v>
      </c>
      <c r="K45" s="305">
        <f>'11-3'!K134</f>
        <v>0</v>
      </c>
      <c r="L45" s="305">
        <f>'11-3'!L134</f>
        <v>0</v>
      </c>
      <c r="M45" s="305">
        <f>'11-3'!M134</f>
        <v>8520</v>
      </c>
      <c r="N45" s="305">
        <f>'11-3'!N134</f>
        <v>8520</v>
      </c>
      <c r="O45" s="305">
        <f>'11-3'!O134</f>
        <v>0</v>
      </c>
      <c r="P45" s="305">
        <f>'11-3'!P134</f>
        <v>0</v>
      </c>
      <c r="Q45" s="305">
        <f>'11-3'!Q134</f>
        <v>0</v>
      </c>
      <c r="R45" s="305">
        <f>'11-3'!R134</f>
        <v>8520</v>
      </c>
      <c r="U45" s="507">
        <v>8520</v>
      </c>
      <c r="V45" s="49">
        <f t="shared" si="8"/>
        <v>0</v>
      </c>
      <c r="W45" s="507">
        <v>8520</v>
      </c>
      <c r="X45" s="49">
        <f t="shared" si="9"/>
        <v>0</v>
      </c>
      <c r="Y45" s="507">
        <v>8520</v>
      </c>
      <c r="Z45" s="49">
        <f t="shared" si="10"/>
        <v>0</v>
      </c>
      <c r="AC45" s="555"/>
      <c r="AD45" s="555"/>
      <c r="AE45" s="555"/>
    </row>
    <row r="46" spans="2:31" s="52" customFormat="1" ht="27">
      <c r="B46" s="65" t="s">
        <v>18</v>
      </c>
      <c r="C46" s="1266"/>
      <c r="D46" s="1266">
        <f>'11-3'!D136</f>
        <v>0</v>
      </c>
      <c r="E46" s="1266">
        <f>'11-3'!E136</f>
        <v>0</v>
      </c>
      <c r="F46" s="1266">
        <f>'11-3'!F136</f>
        <v>0</v>
      </c>
      <c r="G46" s="1266">
        <f>'11-3'!G136</f>
        <v>20000</v>
      </c>
      <c r="H46" s="1266">
        <f>'11-3'!H136</f>
        <v>20000</v>
      </c>
      <c r="I46" s="1266">
        <f>'11-3'!I136</f>
        <v>0</v>
      </c>
      <c r="J46" s="1266">
        <f>'11-3'!J136</f>
        <v>0</v>
      </c>
      <c r="K46" s="1266">
        <f>'11-3'!K136</f>
        <v>0</v>
      </c>
      <c r="L46" s="1266">
        <f>'11-3'!L136</f>
        <v>0</v>
      </c>
      <c r="M46" s="1266">
        <f>'11-3'!M136</f>
        <v>0</v>
      </c>
      <c r="N46" s="1266">
        <f>'11-3'!N136</f>
        <v>0</v>
      </c>
      <c r="O46" s="1266">
        <f>'11-3'!O136</f>
        <v>0</v>
      </c>
      <c r="P46" s="1266">
        <f>'11-3'!P136</f>
        <v>0</v>
      </c>
      <c r="Q46" s="1266">
        <f>'11-3'!Q136</f>
        <v>0</v>
      </c>
      <c r="R46" s="1266">
        <f>'11-3'!R136</f>
        <v>0</v>
      </c>
      <c r="U46" s="1265"/>
      <c r="V46" s="49"/>
      <c r="W46" s="1265"/>
      <c r="X46" s="49"/>
      <c r="Y46" s="1265"/>
      <c r="Z46" s="49"/>
      <c r="AC46" s="555"/>
      <c r="AD46" s="555"/>
      <c r="AE46" s="555"/>
    </row>
    <row r="47" spans="2:31" s="49" customFormat="1" ht="15.6">
      <c r="B47" s="61" t="s">
        <v>140</v>
      </c>
      <c r="C47" s="307">
        <f>'11-3'!C203</f>
        <v>1320235</v>
      </c>
      <c r="D47" s="307">
        <f>'11-3'!D203</f>
        <v>808035</v>
      </c>
      <c r="E47" s="307">
        <f>'11-3'!E203</f>
        <v>0</v>
      </c>
      <c r="F47" s="307">
        <f>'11-3'!F203</f>
        <v>0</v>
      </c>
      <c r="G47" s="307">
        <f>'11-3'!G203</f>
        <v>0</v>
      </c>
      <c r="H47" s="307">
        <f>'11-3'!H203</f>
        <v>808035</v>
      </c>
      <c r="I47" s="307">
        <f>'11-3'!I203</f>
        <v>650000</v>
      </c>
      <c r="J47" s="307">
        <f>'11-3'!J203</f>
        <v>0</v>
      </c>
      <c r="K47" s="307">
        <f>'11-3'!K203</f>
        <v>0</v>
      </c>
      <c r="L47" s="307">
        <f>'11-3'!L203</f>
        <v>0</v>
      </c>
      <c r="M47" s="307">
        <f>'11-3'!M203</f>
        <v>650000</v>
      </c>
      <c r="N47" s="307">
        <f>'11-3'!N203</f>
        <v>650000</v>
      </c>
      <c r="O47" s="307">
        <f>'11-3'!O203</f>
        <v>0</v>
      </c>
      <c r="P47" s="307">
        <f>'11-3'!P203</f>
        <v>0</v>
      </c>
      <c r="Q47" s="307">
        <f>'11-3'!Q203</f>
        <v>0</v>
      </c>
      <c r="R47" s="307">
        <f>'11-3'!R203</f>
        <v>650000</v>
      </c>
      <c r="U47" s="508">
        <v>808035</v>
      </c>
      <c r="V47" s="49">
        <f t="shared" si="8"/>
        <v>0</v>
      </c>
      <c r="W47" s="508">
        <v>650000</v>
      </c>
      <c r="X47" s="49">
        <f t="shared" si="9"/>
        <v>0</v>
      </c>
      <c r="Y47" s="508">
        <v>650000</v>
      </c>
      <c r="Z47" s="49">
        <f t="shared" si="10"/>
        <v>0</v>
      </c>
      <c r="AC47" s="554"/>
      <c r="AD47" s="554"/>
      <c r="AE47" s="554"/>
    </row>
    <row r="48" spans="2:31" s="53" customFormat="1" ht="15.6">
      <c r="B48" s="77" t="s">
        <v>13</v>
      </c>
      <c r="C48" s="324">
        <f>C49+C50</f>
        <v>104815242</v>
      </c>
      <c r="D48" s="324">
        <f t="shared" ref="D48:R48" si="76">D49+D50</f>
        <v>111121495</v>
      </c>
      <c r="E48" s="324">
        <f t="shared" si="76"/>
        <v>2275389</v>
      </c>
      <c r="F48" s="324">
        <f t="shared" ref="F48" si="77">F49+F50</f>
        <v>6126028</v>
      </c>
      <c r="G48" s="324">
        <f t="shared" si="76"/>
        <v>543345</v>
      </c>
      <c r="H48" s="324">
        <f t="shared" si="76"/>
        <v>120066257</v>
      </c>
      <c r="I48" s="324">
        <f t="shared" si="76"/>
        <v>43846929</v>
      </c>
      <c r="J48" s="324">
        <f t="shared" si="76"/>
        <v>2873774</v>
      </c>
      <c r="K48" s="324">
        <f t="shared" ref="K48" si="78">K49+K50</f>
        <v>6045112</v>
      </c>
      <c r="L48" s="324">
        <f t="shared" si="76"/>
        <v>691879</v>
      </c>
      <c r="M48" s="324">
        <f t="shared" si="76"/>
        <v>53457694</v>
      </c>
      <c r="N48" s="324">
        <f t="shared" si="76"/>
        <v>33578887</v>
      </c>
      <c r="O48" s="324">
        <f t="shared" si="76"/>
        <v>3034184</v>
      </c>
      <c r="P48" s="324">
        <f t="shared" ref="P48" si="79">P49+P50</f>
        <v>5655460</v>
      </c>
      <c r="Q48" s="324">
        <f t="shared" si="76"/>
        <v>539075</v>
      </c>
      <c r="R48" s="324">
        <f t="shared" si="76"/>
        <v>42807606</v>
      </c>
      <c r="U48" s="505">
        <v>111121495</v>
      </c>
      <c r="V48" s="49">
        <f t="shared" si="8"/>
        <v>0</v>
      </c>
      <c r="W48" s="505">
        <v>43846929</v>
      </c>
      <c r="X48" s="49">
        <f t="shared" si="9"/>
        <v>0</v>
      </c>
      <c r="Y48" s="505">
        <v>33578887</v>
      </c>
      <c r="Z48" s="49">
        <f t="shared" si="10"/>
        <v>0</v>
      </c>
      <c r="AC48" s="555"/>
      <c r="AD48" s="555"/>
      <c r="AE48" s="555"/>
    </row>
    <row r="49" spans="2:31" s="52" customFormat="1" ht="15.6">
      <c r="B49" s="59" t="s">
        <v>139</v>
      </c>
      <c r="C49" s="305">
        <f>'12-3'!C119</f>
        <v>28402576</v>
      </c>
      <c r="D49" s="305">
        <f>'12-3'!D119</f>
        <v>28999123</v>
      </c>
      <c r="E49" s="305">
        <f>'12-3'!E119</f>
        <v>0</v>
      </c>
      <c r="F49" s="305">
        <f>'12-3'!F119</f>
        <v>6126028</v>
      </c>
      <c r="G49" s="305">
        <f>'12-3'!G119</f>
        <v>543345</v>
      </c>
      <c r="H49" s="305">
        <f>'12-3'!H119</f>
        <v>35668496</v>
      </c>
      <c r="I49" s="305">
        <f>'12-3'!I119</f>
        <v>28732186</v>
      </c>
      <c r="J49" s="305">
        <f>'12-3'!J119</f>
        <v>0</v>
      </c>
      <c r="K49" s="305">
        <f>'12-3'!K119</f>
        <v>6045112</v>
      </c>
      <c r="L49" s="305">
        <f>'12-3'!L119</f>
        <v>691879</v>
      </c>
      <c r="M49" s="305">
        <f>'12-3'!M119</f>
        <v>35469177</v>
      </c>
      <c r="N49" s="305">
        <f>'12-3'!N119</f>
        <v>28899693</v>
      </c>
      <c r="O49" s="305">
        <f>'12-3'!O119</f>
        <v>0</v>
      </c>
      <c r="P49" s="305">
        <f>'12-3'!P119</f>
        <v>5655460</v>
      </c>
      <c r="Q49" s="305">
        <f>'12-3'!Q119</f>
        <v>539075</v>
      </c>
      <c r="R49" s="305">
        <f>'12-3'!R119</f>
        <v>35094228</v>
      </c>
      <c r="U49" s="507">
        <v>28999123</v>
      </c>
      <c r="V49" s="49">
        <f t="shared" si="8"/>
        <v>0</v>
      </c>
      <c r="W49" s="507">
        <v>28732186</v>
      </c>
      <c r="X49" s="49">
        <f t="shared" si="9"/>
        <v>0</v>
      </c>
      <c r="Y49" s="507">
        <v>28899693</v>
      </c>
      <c r="Z49" s="49">
        <f t="shared" si="10"/>
        <v>0</v>
      </c>
      <c r="AC49" s="555"/>
      <c r="AD49" s="555"/>
      <c r="AE49" s="555"/>
    </row>
    <row r="50" spans="2:31" s="49" customFormat="1" ht="15.6">
      <c r="B50" s="61" t="s">
        <v>140</v>
      </c>
      <c r="C50" s="307">
        <f>'12-3'!C203</f>
        <v>76412666</v>
      </c>
      <c r="D50" s="307">
        <f>'12-3'!D203</f>
        <v>82122372</v>
      </c>
      <c r="E50" s="307">
        <f>'12-3'!E203</f>
        <v>2275389</v>
      </c>
      <c r="F50" s="307">
        <f>'12-3'!F203</f>
        <v>0</v>
      </c>
      <c r="G50" s="307">
        <f>'12-3'!G203</f>
        <v>0</v>
      </c>
      <c r="H50" s="307">
        <f>'12-3'!H203</f>
        <v>84397761</v>
      </c>
      <c r="I50" s="307">
        <f>'12-3'!I203</f>
        <v>15114743</v>
      </c>
      <c r="J50" s="307">
        <f>'12-3'!J203</f>
        <v>2873774</v>
      </c>
      <c r="K50" s="307">
        <f>'12-3'!K203</f>
        <v>0</v>
      </c>
      <c r="L50" s="307">
        <f>'12-3'!L203</f>
        <v>0</v>
      </c>
      <c r="M50" s="307">
        <f>'12-3'!M203</f>
        <v>17988517</v>
      </c>
      <c r="N50" s="307">
        <f>'12-3'!N203</f>
        <v>4679194</v>
      </c>
      <c r="O50" s="307">
        <f>'12-3'!O203</f>
        <v>3034184</v>
      </c>
      <c r="P50" s="307">
        <f>'12-3'!P203</f>
        <v>0</v>
      </c>
      <c r="Q50" s="307">
        <f>'12-3'!Q203</f>
        <v>0</v>
      </c>
      <c r="R50" s="307">
        <f>'12-3'!R203</f>
        <v>7713378</v>
      </c>
      <c r="U50" s="508">
        <v>82122372</v>
      </c>
      <c r="V50" s="49">
        <f t="shared" si="8"/>
        <v>0</v>
      </c>
      <c r="W50" s="508">
        <v>15114743</v>
      </c>
      <c r="X50" s="49">
        <f t="shared" si="9"/>
        <v>0</v>
      </c>
      <c r="Y50" s="508">
        <v>4679194</v>
      </c>
      <c r="Z50" s="49">
        <f t="shared" si="10"/>
        <v>0</v>
      </c>
      <c r="AC50" s="554"/>
      <c r="AD50" s="554"/>
      <c r="AE50" s="554"/>
    </row>
    <row r="51" spans="2:31" s="53" customFormat="1" ht="27">
      <c r="B51" s="63" t="s">
        <v>17</v>
      </c>
      <c r="C51" s="307">
        <f>'12-3'!C230+'12-3'!C247</f>
        <v>3306036</v>
      </c>
      <c r="D51" s="307">
        <f>'12-3'!D230+'12-3'!D247</f>
        <v>4254008</v>
      </c>
      <c r="E51" s="307">
        <f>'12-3'!E230+'12-3'!E247</f>
        <v>0</v>
      </c>
      <c r="F51" s="307">
        <f>'12-3'!F230+'12-3'!F247</f>
        <v>0</v>
      </c>
      <c r="G51" s="307">
        <f>'12-3'!G230+'12-3'!G247</f>
        <v>0</v>
      </c>
      <c r="H51" s="307">
        <f>'12-3'!H230+'12-3'!H247</f>
        <v>4254008</v>
      </c>
      <c r="I51" s="307">
        <f>'12-3'!I230+'12-3'!I247</f>
        <v>571444</v>
      </c>
      <c r="J51" s="307">
        <f>'12-3'!J230+'12-3'!J247</f>
        <v>0</v>
      </c>
      <c r="K51" s="307">
        <f>'12-3'!K230+'12-3'!K247</f>
        <v>0</v>
      </c>
      <c r="L51" s="307">
        <f>'12-3'!L230+'12-3'!L247</f>
        <v>0</v>
      </c>
      <c r="M51" s="307">
        <f>'12-3'!M230+'12-3'!M247</f>
        <v>571444</v>
      </c>
      <c r="N51" s="307">
        <f>'12-3'!N230+'12-3'!N247</f>
        <v>0</v>
      </c>
      <c r="O51" s="307">
        <f>'12-3'!O230+'12-3'!O247</f>
        <v>0</v>
      </c>
      <c r="P51" s="307">
        <f>'12-3'!P230+'12-3'!P247</f>
        <v>0</v>
      </c>
      <c r="Q51" s="307">
        <f>'12-3'!Q230+'12-3'!Q247</f>
        <v>0</v>
      </c>
      <c r="R51" s="307">
        <f>'12-3'!R230+'12-3'!R247</f>
        <v>0</v>
      </c>
      <c r="U51" s="508">
        <v>4254008</v>
      </c>
      <c r="V51" s="49">
        <f t="shared" si="8"/>
        <v>0</v>
      </c>
      <c r="W51" s="508">
        <v>571444</v>
      </c>
      <c r="X51" s="49">
        <f t="shared" si="9"/>
        <v>0</v>
      </c>
      <c r="Y51" s="508">
        <v>0</v>
      </c>
      <c r="Z51" s="49">
        <f t="shared" si="10"/>
        <v>0</v>
      </c>
      <c r="AC51" s="555"/>
      <c r="AD51" s="555"/>
      <c r="AE51" s="555"/>
    </row>
    <row r="52" spans="2:31" s="52" customFormat="1" ht="3" hidden="1" customHeight="1">
      <c r="B52" s="65" t="s">
        <v>18</v>
      </c>
      <c r="C52" s="304"/>
      <c r="D52" s="304"/>
      <c r="E52" s="304"/>
      <c r="F52" s="304"/>
      <c r="G52" s="304"/>
      <c r="H52" s="304"/>
      <c r="I52" s="304"/>
      <c r="J52" s="304"/>
      <c r="K52" s="304"/>
      <c r="L52" s="304"/>
      <c r="M52" s="304"/>
      <c r="N52" s="304"/>
      <c r="O52" s="304"/>
      <c r="P52" s="304"/>
      <c r="Q52" s="304"/>
      <c r="R52" s="304"/>
      <c r="U52" s="510"/>
      <c r="V52" s="49">
        <f t="shared" si="8"/>
        <v>0</v>
      </c>
      <c r="W52" s="510"/>
      <c r="X52" s="49">
        <f t="shared" si="9"/>
        <v>0</v>
      </c>
      <c r="Y52" s="510"/>
      <c r="Z52" s="49">
        <f t="shared" si="10"/>
        <v>0</v>
      </c>
      <c r="AC52" s="555"/>
      <c r="AD52" s="555"/>
      <c r="AE52" s="555"/>
    </row>
    <row r="53" spans="2:31" s="49" customFormat="1" ht="15.6">
      <c r="B53" s="75" t="s">
        <v>26</v>
      </c>
      <c r="C53" s="324">
        <f>C54+C57</f>
        <v>532272113</v>
      </c>
      <c r="D53" s="324">
        <f t="shared" ref="D53:R53" si="80">D54+D57</f>
        <v>534746658</v>
      </c>
      <c r="E53" s="324">
        <f t="shared" si="80"/>
        <v>6500</v>
      </c>
      <c r="F53" s="324">
        <f t="shared" ref="F53" si="81">F54+F57</f>
        <v>9248447</v>
      </c>
      <c r="G53" s="324">
        <f t="shared" si="80"/>
        <v>5686002</v>
      </c>
      <c r="H53" s="324">
        <f t="shared" si="80"/>
        <v>549687607</v>
      </c>
      <c r="I53" s="324">
        <f t="shared" si="80"/>
        <v>592419463</v>
      </c>
      <c r="J53" s="324">
        <f t="shared" si="80"/>
        <v>0</v>
      </c>
      <c r="K53" s="324">
        <f t="shared" ref="K53" si="82">K54+K57</f>
        <v>10502589</v>
      </c>
      <c r="L53" s="324">
        <f t="shared" si="80"/>
        <v>24562794</v>
      </c>
      <c r="M53" s="324">
        <f t="shared" si="80"/>
        <v>627484846</v>
      </c>
      <c r="N53" s="324">
        <f t="shared" si="80"/>
        <v>613218755</v>
      </c>
      <c r="O53" s="324">
        <f t="shared" si="80"/>
        <v>0</v>
      </c>
      <c r="P53" s="324">
        <f t="shared" ref="P53" si="83">P54+P57</f>
        <v>5417447</v>
      </c>
      <c r="Q53" s="324">
        <f t="shared" si="80"/>
        <v>20291268</v>
      </c>
      <c r="R53" s="324">
        <f t="shared" si="80"/>
        <v>638927470</v>
      </c>
      <c r="U53" s="505">
        <v>534746658</v>
      </c>
      <c r="V53" s="49">
        <f t="shared" si="8"/>
        <v>0</v>
      </c>
      <c r="W53" s="505">
        <v>592419463</v>
      </c>
      <c r="X53" s="49">
        <f t="shared" si="9"/>
        <v>0</v>
      </c>
      <c r="Y53" s="505">
        <v>613218755</v>
      </c>
      <c r="Z53" s="49">
        <f t="shared" si="10"/>
        <v>0</v>
      </c>
      <c r="AC53" s="554"/>
      <c r="AD53" s="554"/>
      <c r="AE53" s="554"/>
    </row>
    <row r="54" spans="2:31" s="53" customFormat="1" ht="15.6">
      <c r="B54" s="59" t="s">
        <v>139</v>
      </c>
      <c r="C54" s="305">
        <f>'13-3'!C119</f>
        <v>443920193</v>
      </c>
      <c r="D54" s="305">
        <f>'13-3'!D119</f>
        <v>476134292</v>
      </c>
      <c r="E54" s="305">
        <f>'13-3'!E119</f>
        <v>0</v>
      </c>
      <c r="F54" s="305">
        <f>'13-3'!F119</f>
        <v>9248447</v>
      </c>
      <c r="G54" s="305">
        <f>'13-3'!G119</f>
        <v>5686002</v>
      </c>
      <c r="H54" s="305">
        <f>'13-3'!H119</f>
        <v>491068741</v>
      </c>
      <c r="I54" s="305">
        <f>'13-3'!I119</f>
        <v>558706242</v>
      </c>
      <c r="J54" s="305">
        <f>'13-3'!J119</f>
        <v>0</v>
      </c>
      <c r="K54" s="305">
        <f>'13-3'!K119</f>
        <v>10502589</v>
      </c>
      <c r="L54" s="305">
        <f>'13-3'!L119</f>
        <v>24562794</v>
      </c>
      <c r="M54" s="305">
        <f>'13-3'!M119</f>
        <v>593771625</v>
      </c>
      <c r="N54" s="305">
        <f>'13-3'!N119</f>
        <v>602615720</v>
      </c>
      <c r="O54" s="305">
        <f>'13-3'!O119</f>
        <v>0</v>
      </c>
      <c r="P54" s="305">
        <f>'13-3'!P119</f>
        <v>5417447</v>
      </c>
      <c r="Q54" s="305">
        <f>'13-3'!Q119</f>
        <v>20291268</v>
      </c>
      <c r="R54" s="305">
        <f>'13-3'!R119</f>
        <v>628324435</v>
      </c>
      <c r="U54" s="507">
        <v>476134292</v>
      </c>
      <c r="V54" s="49">
        <f t="shared" si="8"/>
        <v>0</v>
      </c>
      <c r="W54" s="507">
        <v>558706242</v>
      </c>
      <c r="X54" s="49">
        <f t="shared" si="9"/>
        <v>0</v>
      </c>
      <c r="Y54" s="507">
        <v>602615720</v>
      </c>
      <c r="Z54" s="49">
        <f t="shared" si="10"/>
        <v>0</v>
      </c>
      <c r="AC54" s="555"/>
      <c r="AD54" s="555"/>
      <c r="AE54" s="555"/>
    </row>
    <row r="55" spans="2:31" s="49" customFormat="1" ht="15.6">
      <c r="B55" s="80" t="s">
        <v>27</v>
      </c>
      <c r="C55" s="305">
        <v>233388300</v>
      </c>
      <c r="D55" s="305">
        <v>255217102</v>
      </c>
      <c r="E55" s="305"/>
      <c r="F55" s="305"/>
      <c r="G55" s="305"/>
      <c r="H55" s="305">
        <f>SUM(D55:G55)</f>
        <v>255217102</v>
      </c>
      <c r="I55" s="305">
        <v>323187319</v>
      </c>
      <c r="J55" s="305"/>
      <c r="K55" s="305"/>
      <c r="L55" s="305"/>
      <c r="M55" s="305">
        <f>SUM(I55:L55)</f>
        <v>323187319</v>
      </c>
      <c r="N55" s="305">
        <v>356418969</v>
      </c>
      <c r="O55" s="305"/>
      <c r="P55" s="305"/>
      <c r="Q55" s="305"/>
      <c r="R55" s="305">
        <f>SUM(N55:Q55)</f>
        <v>356418969</v>
      </c>
      <c r="U55" s="507">
        <v>255217102</v>
      </c>
      <c r="V55" s="49">
        <f t="shared" si="8"/>
        <v>0</v>
      </c>
      <c r="W55" s="507">
        <v>323187319</v>
      </c>
      <c r="X55" s="49">
        <f t="shared" si="9"/>
        <v>0</v>
      </c>
      <c r="Y55" s="507">
        <v>356418969</v>
      </c>
      <c r="Z55" s="49">
        <f t="shared" si="10"/>
        <v>0</v>
      </c>
      <c r="AC55" s="554"/>
      <c r="AD55" s="554"/>
      <c r="AE55" s="554"/>
    </row>
    <row r="56" spans="2:31" s="53" customFormat="1" ht="15.6">
      <c r="B56" s="80" t="s">
        <v>28</v>
      </c>
      <c r="C56" s="305">
        <v>138883717</v>
      </c>
      <c r="D56" s="305">
        <v>150000000</v>
      </c>
      <c r="E56" s="305"/>
      <c r="F56" s="305"/>
      <c r="G56" s="305"/>
      <c r="H56" s="305">
        <f>SUM(D56:G56)</f>
        <v>150000000</v>
      </c>
      <c r="I56" s="305">
        <v>158000000</v>
      </c>
      <c r="J56" s="305"/>
      <c r="K56" s="305"/>
      <c r="L56" s="305"/>
      <c r="M56" s="305">
        <f>SUM(I56:L56)</f>
        <v>158000000</v>
      </c>
      <c r="N56" s="305">
        <v>167000000</v>
      </c>
      <c r="O56" s="305"/>
      <c r="P56" s="305"/>
      <c r="Q56" s="305"/>
      <c r="R56" s="305">
        <f>SUM(N56:Q56)</f>
        <v>167000000</v>
      </c>
      <c r="U56" s="507">
        <v>150000000</v>
      </c>
      <c r="V56" s="49">
        <f t="shared" si="8"/>
        <v>0</v>
      </c>
      <c r="W56" s="507">
        <v>158000000</v>
      </c>
      <c r="X56" s="49">
        <f t="shared" si="9"/>
        <v>0</v>
      </c>
      <c r="Y56" s="507">
        <v>167000000</v>
      </c>
      <c r="Z56" s="49">
        <f t="shared" si="10"/>
        <v>0</v>
      </c>
      <c r="AC56" s="555"/>
      <c r="AD56" s="555"/>
      <c r="AE56" s="555"/>
    </row>
    <row r="57" spans="2:31" s="49" customFormat="1" ht="15.6">
      <c r="B57" s="61" t="s">
        <v>140</v>
      </c>
      <c r="C57" s="307">
        <f>'13-3'!C203</f>
        <v>88351920</v>
      </c>
      <c r="D57" s="307">
        <f>'13-3'!D203</f>
        <v>58612366</v>
      </c>
      <c r="E57" s="307">
        <f>'13-3'!E203</f>
        <v>6500</v>
      </c>
      <c r="F57" s="307">
        <f>'13-3'!F203</f>
        <v>0</v>
      </c>
      <c r="G57" s="307">
        <f>'13-3'!G203</f>
        <v>0</v>
      </c>
      <c r="H57" s="307">
        <f>'13-3'!H203</f>
        <v>58618866</v>
      </c>
      <c r="I57" s="307">
        <f>'13-3'!I203</f>
        <v>33713221</v>
      </c>
      <c r="J57" s="307">
        <f>'13-3'!J203</f>
        <v>0</v>
      </c>
      <c r="K57" s="307">
        <f>'13-3'!K203</f>
        <v>0</v>
      </c>
      <c r="L57" s="307">
        <f>'13-3'!L203</f>
        <v>0</v>
      </c>
      <c r="M57" s="307">
        <f>'13-3'!M203</f>
        <v>33713221</v>
      </c>
      <c r="N57" s="307">
        <f>'13-3'!N203</f>
        <v>10603035</v>
      </c>
      <c r="O57" s="307">
        <f>'13-3'!O203</f>
        <v>0</v>
      </c>
      <c r="P57" s="307">
        <f>'13-3'!P203</f>
        <v>0</v>
      </c>
      <c r="Q57" s="307">
        <f>'13-3'!Q203</f>
        <v>0</v>
      </c>
      <c r="R57" s="307">
        <f>'13-3'!R203</f>
        <v>10603035</v>
      </c>
      <c r="U57" s="508">
        <v>58612366</v>
      </c>
      <c r="V57" s="49">
        <f t="shared" si="8"/>
        <v>0</v>
      </c>
      <c r="W57" s="508">
        <v>33713221</v>
      </c>
      <c r="X57" s="49">
        <f t="shared" si="9"/>
        <v>0</v>
      </c>
      <c r="Y57" s="508">
        <v>10603035</v>
      </c>
      <c r="Z57" s="49">
        <f t="shared" si="10"/>
        <v>0</v>
      </c>
      <c r="AC57" s="554"/>
      <c r="AD57" s="554"/>
      <c r="AE57" s="554"/>
    </row>
    <row r="58" spans="2:31" s="51" customFormat="1" ht="27">
      <c r="B58" s="63" t="s">
        <v>17</v>
      </c>
      <c r="C58" s="307">
        <f>'13-3'!C230+'13-3'!C247</f>
        <v>34322345</v>
      </c>
      <c r="D58" s="307">
        <f>'13-3'!D230+'13-3'!D247</f>
        <v>21813901</v>
      </c>
      <c r="E58" s="307">
        <f>'13-3'!E230+'13-3'!E247</f>
        <v>0</v>
      </c>
      <c r="F58" s="307">
        <f>'13-3'!F230+'13-3'!F247</f>
        <v>0</v>
      </c>
      <c r="G58" s="307">
        <f>'13-3'!G230+'13-3'!G247</f>
        <v>0</v>
      </c>
      <c r="H58" s="307">
        <f>'13-3'!H230+'13-3'!H247</f>
        <v>21813901</v>
      </c>
      <c r="I58" s="307">
        <f>'13-3'!I230+'13-3'!I247</f>
        <v>12415275</v>
      </c>
      <c r="J58" s="307">
        <f>'13-3'!J230+'13-3'!J247</f>
        <v>0</v>
      </c>
      <c r="K58" s="307">
        <f>'13-3'!K230+'13-3'!K247</f>
        <v>0</v>
      </c>
      <c r="L58" s="307">
        <f>'13-3'!L230+'13-3'!L247</f>
        <v>0</v>
      </c>
      <c r="M58" s="307">
        <f>'13-3'!M230+'13-3'!M247</f>
        <v>12415275</v>
      </c>
      <c r="N58" s="307">
        <f>'13-3'!N230+'13-3'!N247</f>
        <v>8503987</v>
      </c>
      <c r="O58" s="307">
        <f>'13-3'!O230+'13-3'!O247</f>
        <v>0</v>
      </c>
      <c r="P58" s="307">
        <f>'13-3'!P230+'13-3'!P247</f>
        <v>0</v>
      </c>
      <c r="Q58" s="307">
        <f>'13-3'!Q230+'13-3'!Q247</f>
        <v>0</v>
      </c>
      <c r="R58" s="307">
        <f>'13-3'!R230+'13-3'!R247</f>
        <v>8503987</v>
      </c>
      <c r="U58" s="508">
        <v>21813901</v>
      </c>
      <c r="V58" s="49">
        <f t="shared" si="8"/>
        <v>0</v>
      </c>
      <c r="W58" s="508">
        <v>12415275</v>
      </c>
      <c r="X58" s="49">
        <f t="shared" si="9"/>
        <v>0</v>
      </c>
      <c r="Y58" s="508">
        <v>8503987</v>
      </c>
      <c r="Z58" s="49">
        <f t="shared" si="10"/>
        <v>0</v>
      </c>
      <c r="AC58" s="555"/>
      <c r="AD58" s="555"/>
      <c r="AE58" s="555"/>
    </row>
    <row r="59" spans="2:31" s="53" customFormat="1" ht="3" hidden="1" customHeight="1">
      <c r="B59" s="65" t="s">
        <v>18</v>
      </c>
      <c r="C59" s="304"/>
      <c r="D59" s="304"/>
      <c r="E59" s="304"/>
      <c r="F59" s="304"/>
      <c r="G59" s="304"/>
      <c r="H59" s="304"/>
      <c r="I59" s="304"/>
      <c r="J59" s="304"/>
      <c r="K59" s="304"/>
      <c r="L59" s="304"/>
      <c r="M59" s="304"/>
      <c r="N59" s="304"/>
      <c r="O59" s="304"/>
      <c r="P59" s="304"/>
      <c r="Q59" s="304"/>
      <c r="R59" s="304"/>
      <c r="U59" s="510"/>
      <c r="V59" s="49">
        <f t="shared" si="8"/>
        <v>0</v>
      </c>
      <c r="W59" s="510"/>
      <c r="X59" s="49">
        <f t="shared" si="9"/>
        <v>0</v>
      </c>
      <c r="Y59" s="510"/>
      <c r="Z59" s="49">
        <f t="shared" si="10"/>
        <v>0</v>
      </c>
      <c r="AC59" s="555"/>
      <c r="AD59" s="555"/>
      <c r="AE59" s="555"/>
    </row>
    <row r="60" spans="2:31" s="49" customFormat="1" ht="15.6">
      <c r="B60" s="78" t="s">
        <v>29</v>
      </c>
      <c r="C60" s="324">
        <f>C61+C62</f>
        <v>162078130</v>
      </c>
      <c r="D60" s="324">
        <f t="shared" ref="D60:R60" si="84">D61+D62</f>
        <v>161434405</v>
      </c>
      <c r="E60" s="324">
        <f t="shared" si="84"/>
        <v>1609283</v>
      </c>
      <c r="F60" s="324">
        <f t="shared" ref="F60" si="85">F61+F62</f>
        <v>16319228</v>
      </c>
      <c r="G60" s="324">
        <f t="shared" si="84"/>
        <v>3619141</v>
      </c>
      <c r="H60" s="324">
        <f t="shared" si="84"/>
        <v>182982057</v>
      </c>
      <c r="I60" s="324">
        <f t="shared" si="84"/>
        <v>151721176</v>
      </c>
      <c r="J60" s="324">
        <f t="shared" si="84"/>
        <v>18818</v>
      </c>
      <c r="K60" s="324">
        <f t="shared" ref="K60" si="86">K61+K62</f>
        <v>16164590</v>
      </c>
      <c r="L60" s="324">
        <f t="shared" si="84"/>
        <v>1547016</v>
      </c>
      <c r="M60" s="324">
        <f t="shared" si="84"/>
        <v>169451600</v>
      </c>
      <c r="N60" s="324">
        <f t="shared" si="84"/>
        <v>144494965</v>
      </c>
      <c r="O60" s="324">
        <f t="shared" si="84"/>
        <v>0</v>
      </c>
      <c r="P60" s="324">
        <f t="shared" ref="P60" si="87">P61+P62</f>
        <v>16142426</v>
      </c>
      <c r="Q60" s="324">
        <f t="shared" si="84"/>
        <v>1177746</v>
      </c>
      <c r="R60" s="324">
        <f t="shared" si="84"/>
        <v>161815137</v>
      </c>
      <c r="U60" s="505">
        <v>161434405</v>
      </c>
      <c r="V60" s="49">
        <f t="shared" si="8"/>
        <v>0</v>
      </c>
      <c r="W60" s="505">
        <v>151721176</v>
      </c>
      <c r="X60" s="49">
        <f t="shared" si="9"/>
        <v>0</v>
      </c>
      <c r="Y60" s="505">
        <v>144494965</v>
      </c>
      <c r="Z60" s="49">
        <f t="shared" si="10"/>
        <v>0</v>
      </c>
      <c r="AC60" s="554"/>
      <c r="AD60" s="554"/>
      <c r="AE60" s="554"/>
    </row>
    <row r="61" spans="2:31" s="53" customFormat="1" ht="15.6">
      <c r="B61" s="59" t="s">
        <v>139</v>
      </c>
      <c r="C61" s="305">
        <f>'14-3'!C119</f>
        <v>151543734</v>
      </c>
      <c r="D61" s="305">
        <f>'14-3'!D119</f>
        <v>154108177</v>
      </c>
      <c r="E61" s="305">
        <f>'14-3'!E119</f>
        <v>0</v>
      </c>
      <c r="F61" s="305">
        <f>'14-3'!F119</f>
        <v>16319228</v>
      </c>
      <c r="G61" s="305">
        <f>'14-3'!G119</f>
        <v>3619141</v>
      </c>
      <c r="H61" s="305">
        <f>'14-3'!H119</f>
        <v>174046546</v>
      </c>
      <c r="I61" s="305">
        <f>'14-3'!I119</f>
        <v>146717608</v>
      </c>
      <c r="J61" s="305">
        <f>'14-3'!J119</f>
        <v>0</v>
      </c>
      <c r="K61" s="305">
        <f>'14-3'!K119</f>
        <v>16164590</v>
      </c>
      <c r="L61" s="305">
        <f>'14-3'!L119</f>
        <v>1547016</v>
      </c>
      <c r="M61" s="305">
        <f>'14-3'!M119</f>
        <v>164429214</v>
      </c>
      <c r="N61" s="305">
        <f>'14-3'!N119</f>
        <v>139278064</v>
      </c>
      <c r="O61" s="305">
        <f>'14-3'!O119</f>
        <v>0</v>
      </c>
      <c r="P61" s="305">
        <f>'14-3'!P119</f>
        <v>16142426</v>
      </c>
      <c r="Q61" s="305">
        <f>'14-3'!Q119</f>
        <v>1177746</v>
      </c>
      <c r="R61" s="305">
        <f>'14-3'!R119</f>
        <v>156598236</v>
      </c>
      <c r="U61" s="507">
        <v>154108177</v>
      </c>
      <c r="V61" s="49">
        <f t="shared" si="8"/>
        <v>0</v>
      </c>
      <c r="W61" s="507">
        <v>146717608</v>
      </c>
      <c r="X61" s="49">
        <f t="shared" si="9"/>
        <v>0</v>
      </c>
      <c r="Y61" s="507">
        <v>139278064</v>
      </c>
      <c r="Z61" s="49">
        <f t="shared" si="10"/>
        <v>0</v>
      </c>
      <c r="AC61" s="555"/>
      <c r="AD61" s="555"/>
      <c r="AE61" s="555"/>
    </row>
    <row r="62" spans="2:31" s="49" customFormat="1" ht="15.6">
      <c r="B62" s="61" t="s">
        <v>140</v>
      </c>
      <c r="C62" s="307">
        <f>'14-3'!C203</f>
        <v>10534396</v>
      </c>
      <c r="D62" s="307">
        <f>'14-3'!D203</f>
        <v>7326228</v>
      </c>
      <c r="E62" s="307">
        <f>'14-3'!E203</f>
        <v>1609283</v>
      </c>
      <c r="F62" s="307">
        <f>'14-3'!F203</f>
        <v>0</v>
      </c>
      <c r="G62" s="307">
        <f>'14-3'!G203</f>
        <v>0</v>
      </c>
      <c r="H62" s="307">
        <f>'14-3'!H203</f>
        <v>8935511</v>
      </c>
      <c r="I62" s="307">
        <f>'14-3'!I203</f>
        <v>5003568</v>
      </c>
      <c r="J62" s="307">
        <f>'14-3'!J203</f>
        <v>18818</v>
      </c>
      <c r="K62" s="307">
        <f>'14-3'!K203</f>
        <v>0</v>
      </c>
      <c r="L62" s="307">
        <f>'14-3'!L203</f>
        <v>0</v>
      </c>
      <c r="M62" s="307">
        <f>'14-3'!M203</f>
        <v>5022386</v>
      </c>
      <c r="N62" s="307">
        <f>'14-3'!N203</f>
        <v>5216901</v>
      </c>
      <c r="O62" s="307">
        <f>'14-3'!O203</f>
        <v>0</v>
      </c>
      <c r="P62" s="307">
        <f>'14-3'!P203</f>
        <v>0</v>
      </c>
      <c r="Q62" s="307">
        <f>'14-3'!Q203</f>
        <v>0</v>
      </c>
      <c r="R62" s="307">
        <f>'14-3'!R203</f>
        <v>5216901</v>
      </c>
      <c r="U62" s="508">
        <v>7326228</v>
      </c>
      <c r="V62" s="49">
        <f t="shared" si="8"/>
        <v>0</v>
      </c>
      <c r="W62" s="508">
        <v>5003568</v>
      </c>
      <c r="X62" s="49">
        <f t="shared" si="9"/>
        <v>0</v>
      </c>
      <c r="Y62" s="508">
        <v>5216901</v>
      </c>
      <c r="Z62" s="49">
        <f t="shared" si="10"/>
        <v>0</v>
      </c>
      <c r="AC62" s="554"/>
      <c r="AD62" s="554"/>
      <c r="AE62" s="554"/>
    </row>
    <row r="63" spans="2:31" s="53" customFormat="1" ht="27">
      <c r="B63" s="63" t="s">
        <v>17</v>
      </c>
      <c r="C63" s="307">
        <f>'14-3'!C230+'14-3'!C247</f>
        <v>3190396</v>
      </c>
      <c r="D63" s="307">
        <f>'14-3'!D230+'14-3'!D247</f>
        <v>2159313</v>
      </c>
      <c r="E63" s="307">
        <f>'14-3'!E230+'14-3'!E247</f>
        <v>946859</v>
      </c>
      <c r="F63" s="307">
        <f>'14-3'!F230+'14-3'!F247</f>
        <v>0</v>
      </c>
      <c r="G63" s="307">
        <f>'14-3'!G230+'14-3'!G247</f>
        <v>0</v>
      </c>
      <c r="H63" s="307">
        <f>'14-3'!H230+'14-3'!H247</f>
        <v>3106172</v>
      </c>
      <c r="I63" s="307">
        <f>'14-3'!I230+'14-3'!I247</f>
        <v>2690489</v>
      </c>
      <c r="J63" s="307">
        <f>'14-3'!J230+'14-3'!J247</f>
        <v>18298</v>
      </c>
      <c r="K63" s="307">
        <f>'14-3'!K230+'14-3'!K247</f>
        <v>0</v>
      </c>
      <c r="L63" s="307">
        <f>'14-3'!L230+'14-3'!L247</f>
        <v>0</v>
      </c>
      <c r="M63" s="307">
        <f>'14-3'!M230+'14-3'!M247</f>
        <v>2708787</v>
      </c>
      <c r="N63" s="307">
        <f>'14-3'!N230+'14-3'!N247</f>
        <v>3387865</v>
      </c>
      <c r="O63" s="307">
        <f>'14-3'!O230+'14-3'!O247</f>
        <v>0</v>
      </c>
      <c r="P63" s="307">
        <f>'14-3'!P230+'14-3'!P247</f>
        <v>0</v>
      </c>
      <c r="Q63" s="307">
        <f>'14-3'!Q230+'14-3'!Q247</f>
        <v>0</v>
      </c>
      <c r="R63" s="307">
        <f>'14-3'!R230+'14-3'!R247</f>
        <v>3387865</v>
      </c>
      <c r="U63" s="508">
        <v>2159313</v>
      </c>
      <c r="V63" s="49">
        <f t="shared" si="8"/>
        <v>0</v>
      </c>
      <c r="W63" s="508">
        <v>2690489</v>
      </c>
      <c r="X63" s="49">
        <f t="shared" si="9"/>
        <v>0</v>
      </c>
      <c r="Y63" s="508">
        <v>3387865</v>
      </c>
      <c r="Z63" s="49">
        <f t="shared" si="10"/>
        <v>0</v>
      </c>
      <c r="AC63" s="555"/>
      <c r="AD63" s="555"/>
      <c r="AE63" s="555"/>
    </row>
    <row r="64" spans="2:31" s="52" customFormat="1" ht="15.6">
      <c r="B64" s="81" t="s">
        <v>131</v>
      </c>
      <c r="C64" s="324">
        <f>C65+C67</f>
        <v>260550834</v>
      </c>
      <c r="D64" s="324">
        <f t="shared" ref="D64:R64" si="88">D65+D67</f>
        <v>232147447</v>
      </c>
      <c r="E64" s="324">
        <f t="shared" si="88"/>
        <v>-1294182</v>
      </c>
      <c r="F64" s="324">
        <f t="shared" ref="F64" si="89">F65+F67</f>
        <v>948798</v>
      </c>
      <c r="G64" s="324">
        <f t="shared" si="88"/>
        <v>4078213</v>
      </c>
      <c r="H64" s="324">
        <f t="shared" si="88"/>
        <v>235880276</v>
      </c>
      <c r="I64" s="324">
        <f t="shared" si="88"/>
        <v>164084359</v>
      </c>
      <c r="J64" s="324">
        <f t="shared" si="88"/>
        <v>-620539</v>
      </c>
      <c r="K64" s="324">
        <f t="shared" ref="K64" si="90">K65+K67</f>
        <v>1342254</v>
      </c>
      <c r="L64" s="324">
        <f t="shared" si="88"/>
        <v>7840790</v>
      </c>
      <c r="M64" s="324">
        <f t="shared" si="88"/>
        <v>172646864</v>
      </c>
      <c r="N64" s="324">
        <f t="shared" si="88"/>
        <v>142304623</v>
      </c>
      <c r="O64" s="324">
        <f t="shared" si="88"/>
        <v>-335022</v>
      </c>
      <c r="P64" s="324">
        <f t="shared" ref="P64" si="91">P65+P67</f>
        <v>932630</v>
      </c>
      <c r="Q64" s="324">
        <f t="shared" si="88"/>
        <v>8660075</v>
      </c>
      <c r="R64" s="324">
        <f t="shared" si="88"/>
        <v>151562306</v>
      </c>
      <c r="U64" s="505">
        <v>232147447</v>
      </c>
      <c r="V64" s="49">
        <f t="shared" si="8"/>
        <v>0</v>
      </c>
      <c r="W64" s="505">
        <v>164084359</v>
      </c>
      <c r="X64" s="49">
        <f t="shared" si="9"/>
        <v>0</v>
      </c>
      <c r="Y64" s="505">
        <v>142304623</v>
      </c>
      <c r="Z64" s="49">
        <f t="shared" si="10"/>
        <v>0</v>
      </c>
      <c r="AC64" s="555"/>
      <c r="AD64" s="555"/>
      <c r="AE64" s="555"/>
    </row>
    <row r="65" spans="2:31" s="49" customFormat="1" ht="15.6">
      <c r="B65" s="59" t="s">
        <v>139</v>
      </c>
      <c r="C65" s="305">
        <f>'15-3'!C119</f>
        <v>123010196</v>
      </c>
      <c r="D65" s="305">
        <f>'15-3'!D119</f>
        <v>125422287</v>
      </c>
      <c r="E65" s="305">
        <f>'15-3'!E119</f>
        <v>115467</v>
      </c>
      <c r="F65" s="305">
        <f>'15-3'!F119</f>
        <v>948798</v>
      </c>
      <c r="G65" s="305">
        <f>'15-3'!G119</f>
        <v>4078213</v>
      </c>
      <c r="H65" s="305">
        <f>'15-3'!H119</f>
        <v>130564765</v>
      </c>
      <c r="I65" s="305">
        <f>'15-3'!I119</f>
        <v>127960971</v>
      </c>
      <c r="J65" s="305">
        <f>'15-3'!J119</f>
        <v>0</v>
      </c>
      <c r="K65" s="305">
        <f>'15-3'!K119</f>
        <v>1342254</v>
      </c>
      <c r="L65" s="305">
        <f>'15-3'!L119</f>
        <v>7840790</v>
      </c>
      <c r="M65" s="305">
        <f>'15-3'!M119</f>
        <v>137144015</v>
      </c>
      <c r="N65" s="305">
        <f>'15-3'!N119</f>
        <v>126892759</v>
      </c>
      <c r="O65" s="305">
        <f>'15-3'!O119</f>
        <v>0</v>
      </c>
      <c r="P65" s="305">
        <f>'15-3'!P119</f>
        <v>932630</v>
      </c>
      <c r="Q65" s="305">
        <f>'15-3'!Q119</f>
        <v>8660075</v>
      </c>
      <c r="R65" s="305">
        <f>'15-3'!R119</f>
        <v>136485464</v>
      </c>
      <c r="U65" s="507">
        <v>125422287</v>
      </c>
      <c r="V65" s="49">
        <f t="shared" si="8"/>
        <v>0</v>
      </c>
      <c r="W65" s="507">
        <v>127960971</v>
      </c>
      <c r="X65" s="49">
        <f t="shared" si="9"/>
        <v>0</v>
      </c>
      <c r="Y65" s="507">
        <v>126892759</v>
      </c>
      <c r="Z65" s="49">
        <f t="shared" si="10"/>
        <v>0</v>
      </c>
      <c r="AC65" s="554"/>
      <c r="AD65" s="554"/>
      <c r="AE65" s="554"/>
    </row>
    <row r="66" spans="2:31" s="49" customFormat="1" ht="27">
      <c r="B66" s="65" t="s">
        <v>18</v>
      </c>
      <c r="C66" s="308">
        <f>'15-3'!C135</f>
        <v>33922</v>
      </c>
      <c r="D66" s="308">
        <f>'15-3'!D135</f>
        <v>0</v>
      </c>
      <c r="E66" s="308">
        <f>'15-3'!E135</f>
        <v>0</v>
      </c>
      <c r="F66" s="308">
        <f>'15-3'!F135</f>
        <v>0</v>
      </c>
      <c r="G66" s="308">
        <f>'15-3'!G135</f>
        <v>0</v>
      </c>
      <c r="H66" s="308">
        <f>'15-3'!H135</f>
        <v>0</v>
      </c>
      <c r="I66" s="308">
        <f>'15-3'!I135</f>
        <v>0</v>
      </c>
      <c r="J66" s="308">
        <f>'15-3'!J135</f>
        <v>0</v>
      </c>
      <c r="K66" s="308">
        <f>'15-3'!K135</f>
        <v>0</v>
      </c>
      <c r="L66" s="308">
        <f>'15-3'!L135</f>
        <v>0</v>
      </c>
      <c r="M66" s="308">
        <f>'15-3'!M135</f>
        <v>0</v>
      </c>
      <c r="N66" s="308">
        <f>'15-3'!N135</f>
        <v>0</v>
      </c>
      <c r="O66" s="308">
        <f>'15-3'!O135</f>
        <v>0</v>
      </c>
      <c r="P66" s="308">
        <f>'15-3'!P135</f>
        <v>0</v>
      </c>
      <c r="Q66" s="308">
        <f>'15-3'!Q135</f>
        <v>0</v>
      </c>
      <c r="R66" s="308">
        <f>'15-3'!R135</f>
        <v>0</v>
      </c>
      <c r="U66" s="509">
        <v>0</v>
      </c>
      <c r="V66" s="49">
        <f t="shared" si="8"/>
        <v>0</v>
      </c>
      <c r="W66" s="509">
        <v>0</v>
      </c>
      <c r="X66" s="49">
        <f t="shared" si="9"/>
        <v>0</v>
      </c>
      <c r="Y66" s="509">
        <v>0</v>
      </c>
      <c r="Z66" s="49">
        <f t="shared" si="10"/>
        <v>0</v>
      </c>
      <c r="AC66" s="554"/>
      <c r="AD66" s="554"/>
      <c r="AE66" s="554"/>
    </row>
    <row r="67" spans="2:31" s="49" customFormat="1" ht="15.6">
      <c r="B67" s="61" t="s">
        <v>140</v>
      </c>
      <c r="C67" s="307">
        <f>'15-3'!C203</f>
        <v>137540638</v>
      </c>
      <c r="D67" s="307">
        <f>'15-3'!D203</f>
        <v>106725160</v>
      </c>
      <c r="E67" s="307">
        <f>'15-3'!E203</f>
        <v>-1409649</v>
      </c>
      <c r="F67" s="307">
        <f>'15-3'!F203</f>
        <v>0</v>
      </c>
      <c r="G67" s="307">
        <f>'15-3'!G203</f>
        <v>0</v>
      </c>
      <c r="H67" s="307">
        <f>'15-3'!H203</f>
        <v>105315511</v>
      </c>
      <c r="I67" s="307">
        <f>'15-3'!I203</f>
        <v>36123388</v>
      </c>
      <c r="J67" s="307">
        <f>'15-3'!J203</f>
        <v>-620539</v>
      </c>
      <c r="K67" s="307">
        <f>'15-3'!K203</f>
        <v>0</v>
      </c>
      <c r="L67" s="307">
        <f>'15-3'!L203</f>
        <v>0</v>
      </c>
      <c r="M67" s="307">
        <f>'15-3'!M203</f>
        <v>35502849</v>
      </c>
      <c r="N67" s="307">
        <f>'15-3'!N203</f>
        <v>15411864</v>
      </c>
      <c r="O67" s="307">
        <f>'15-3'!O203</f>
        <v>-335022</v>
      </c>
      <c r="P67" s="307">
        <f>'15-3'!P203</f>
        <v>0</v>
      </c>
      <c r="Q67" s="307">
        <f>'15-3'!Q203</f>
        <v>0</v>
      </c>
      <c r="R67" s="307">
        <f>'15-3'!R203</f>
        <v>15076842</v>
      </c>
      <c r="U67" s="508">
        <v>106725160</v>
      </c>
      <c r="V67" s="49">
        <f t="shared" si="8"/>
        <v>0</v>
      </c>
      <c r="W67" s="508">
        <v>36123388</v>
      </c>
      <c r="X67" s="49">
        <f t="shared" si="9"/>
        <v>0</v>
      </c>
      <c r="Y67" s="508">
        <v>15411864</v>
      </c>
      <c r="Z67" s="49">
        <f t="shared" si="10"/>
        <v>0</v>
      </c>
      <c r="AC67" s="554"/>
      <c r="AD67" s="554"/>
      <c r="AE67" s="554"/>
    </row>
    <row r="68" spans="2:31" s="49" customFormat="1" ht="27">
      <c r="B68" s="63" t="s">
        <v>17</v>
      </c>
      <c r="C68" s="307">
        <f>'15-3'!C230+'15-3'!C247</f>
        <v>20283929</v>
      </c>
      <c r="D68" s="307">
        <f>'15-3'!D230+'15-3'!D247</f>
        <v>15567036</v>
      </c>
      <c r="E68" s="307">
        <f>'15-3'!E230+'15-3'!E247</f>
        <v>0</v>
      </c>
      <c r="F68" s="307">
        <f>'15-3'!F230+'15-3'!F247</f>
        <v>0</v>
      </c>
      <c r="G68" s="307">
        <f>'15-3'!G230+'15-3'!G247</f>
        <v>0</v>
      </c>
      <c r="H68" s="307">
        <f>'15-3'!H230+'15-3'!H247</f>
        <v>15567036</v>
      </c>
      <c r="I68" s="307">
        <f>'15-3'!I230+'15-3'!I247</f>
        <v>3294111</v>
      </c>
      <c r="J68" s="307">
        <f>'15-3'!J230+'15-3'!J247</f>
        <v>0</v>
      </c>
      <c r="K68" s="307">
        <f>'15-3'!K230+'15-3'!K247</f>
        <v>0</v>
      </c>
      <c r="L68" s="307">
        <f>'15-3'!L230+'15-3'!L247</f>
        <v>0</v>
      </c>
      <c r="M68" s="307">
        <f>'15-3'!M230+'15-3'!M247</f>
        <v>3294111</v>
      </c>
      <c r="N68" s="307">
        <f>'15-3'!N230+'15-3'!N247</f>
        <v>1805280</v>
      </c>
      <c r="O68" s="307">
        <f>'15-3'!O230+'15-3'!O247</f>
        <v>0</v>
      </c>
      <c r="P68" s="307">
        <f>'15-3'!P230+'15-3'!P247</f>
        <v>0</v>
      </c>
      <c r="Q68" s="307">
        <f>'15-3'!Q230+'15-3'!Q247</f>
        <v>0</v>
      </c>
      <c r="R68" s="307">
        <f>'15-3'!R230+'15-3'!R247</f>
        <v>1805280</v>
      </c>
      <c r="U68" s="508">
        <v>15567036</v>
      </c>
      <c r="V68" s="49">
        <f t="shared" si="8"/>
        <v>0</v>
      </c>
      <c r="W68" s="508">
        <v>3294111</v>
      </c>
      <c r="X68" s="49">
        <f t="shared" si="9"/>
        <v>0</v>
      </c>
      <c r="Y68" s="508">
        <v>1805280</v>
      </c>
      <c r="Z68" s="49">
        <f t="shared" si="10"/>
        <v>0</v>
      </c>
      <c r="AC68" s="554"/>
      <c r="AD68" s="554"/>
      <c r="AE68" s="554"/>
    </row>
    <row r="69" spans="2:31" s="49" customFormat="1" ht="27">
      <c r="B69" s="65" t="s">
        <v>18</v>
      </c>
      <c r="C69" s="308">
        <f>'15-3'!C219</f>
        <v>397587</v>
      </c>
      <c r="D69" s="308">
        <f>'15-3'!D219</f>
        <v>228056</v>
      </c>
      <c r="E69" s="308">
        <f>'15-3'!E219</f>
        <v>-73</v>
      </c>
      <c r="F69" s="308">
        <f>'15-3'!F219</f>
        <v>0</v>
      </c>
      <c r="G69" s="308">
        <f>'15-3'!G219</f>
        <v>0</v>
      </c>
      <c r="H69" s="308">
        <f>'15-3'!H219</f>
        <v>227983</v>
      </c>
      <c r="I69" s="308">
        <f>'15-3'!I219</f>
        <v>0</v>
      </c>
      <c r="J69" s="308">
        <f>'15-3'!J219</f>
        <v>0</v>
      </c>
      <c r="K69" s="308">
        <f>'15-3'!K219</f>
        <v>0</v>
      </c>
      <c r="L69" s="308">
        <f>'15-3'!L219</f>
        <v>0</v>
      </c>
      <c r="M69" s="308">
        <f>'15-3'!M219</f>
        <v>0</v>
      </c>
      <c r="N69" s="308">
        <f>'15-3'!N219</f>
        <v>0</v>
      </c>
      <c r="O69" s="308">
        <f>'15-3'!O219</f>
        <v>0</v>
      </c>
      <c r="P69" s="308">
        <f>'15-3'!P219</f>
        <v>0</v>
      </c>
      <c r="Q69" s="308">
        <f>'15-3'!Q219</f>
        <v>0</v>
      </c>
      <c r="R69" s="308">
        <f>'15-3'!R219</f>
        <v>0</v>
      </c>
      <c r="U69" s="509">
        <v>228056</v>
      </c>
      <c r="V69" s="49">
        <f t="shared" si="8"/>
        <v>0</v>
      </c>
      <c r="W69" s="509">
        <v>0</v>
      </c>
      <c r="X69" s="49">
        <f t="shared" si="9"/>
        <v>0</v>
      </c>
      <c r="Y69" s="509">
        <v>0</v>
      </c>
      <c r="Z69" s="49">
        <f t="shared" si="10"/>
        <v>0</v>
      </c>
      <c r="AC69" s="554"/>
      <c r="AD69" s="554"/>
      <c r="AE69" s="554"/>
    </row>
    <row r="70" spans="2:31" s="53" customFormat="1" ht="15.6">
      <c r="B70" s="76" t="s">
        <v>30</v>
      </c>
      <c r="C70" s="324">
        <f>C71+C73</f>
        <v>323117223</v>
      </c>
      <c r="D70" s="324">
        <f t="shared" ref="D70:R70" si="92">D71+D73</f>
        <v>346137140</v>
      </c>
      <c r="E70" s="324">
        <f t="shared" si="92"/>
        <v>0</v>
      </c>
      <c r="F70" s="324">
        <f t="shared" ref="F70" si="93">F71+F73</f>
        <v>509109</v>
      </c>
      <c r="G70" s="324">
        <f t="shared" si="92"/>
        <v>2583147</v>
      </c>
      <c r="H70" s="324">
        <f t="shared" si="92"/>
        <v>349229396</v>
      </c>
      <c r="I70" s="324">
        <f t="shared" si="92"/>
        <v>152466111</v>
      </c>
      <c r="J70" s="324">
        <f t="shared" si="92"/>
        <v>0</v>
      </c>
      <c r="K70" s="324">
        <f t="shared" ref="K70" si="94">K71+K73</f>
        <v>407757</v>
      </c>
      <c r="L70" s="324">
        <f t="shared" si="92"/>
        <v>572884</v>
      </c>
      <c r="M70" s="324">
        <f t="shared" si="92"/>
        <v>153446752</v>
      </c>
      <c r="N70" s="324">
        <f t="shared" si="92"/>
        <v>49361642</v>
      </c>
      <c r="O70" s="324">
        <f t="shared" si="92"/>
        <v>0</v>
      </c>
      <c r="P70" s="324">
        <f t="shared" ref="P70" si="95">P71+P73</f>
        <v>320735</v>
      </c>
      <c r="Q70" s="324">
        <f t="shared" si="92"/>
        <v>572884</v>
      </c>
      <c r="R70" s="324">
        <f t="shared" si="92"/>
        <v>50255261</v>
      </c>
      <c r="U70" s="505">
        <v>346137140</v>
      </c>
      <c r="V70" s="49">
        <f t="shared" si="8"/>
        <v>0</v>
      </c>
      <c r="W70" s="505">
        <v>152466111</v>
      </c>
      <c r="X70" s="49">
        <f t="shared" si="9"/>
        <v>0</v>
      </c>
      <c r="Y70" s="505">
        <v>49361642</v>
      </c>
      <c r="Z70" s="49">
        <f t="shared" si="10"/>
        <v>0</v>
      </c>
      <c r="AC70" s="555"/>
      <c r="AD70" s="555"/>
      <c r="AE70" s="555"/>
    </row>
    <row r="71" spans="2:31" s="49" customFormat="1" ht="15.6">
      <c r="B71" s="59" t="s">
        <v>139</v>
      </c>
      <c r="C71" s="305">
        <f>'16-3'!C119</f>
        <v>48316926</v>
      </c>
      <c r="D71" s="305">
        <f>'16-3'!D119</f>
        <v>46535359</v>
      </c>
      <c r="E71" s="305">
        <f>'16-3'!E119</f>
        <v>0</v>
      </c>
      <c r="F71" s="305">
        <f>'16-3'!F119</f>
        <v>509109</v>
      </c>
      <c r="G71" s="305">
        <f>'16-3'!G119</f>
        <v>2583147</v>
      </c>
      <c r="H71" s="305">
        <f>'16-3'!H119</f>
        <v>49627615</v>
      </c>
      <c r="I71" s="305">
        <f>'16-3'!I119</f>
        <v>46535359</v>
      </c>
      <c r="J71" s="305">
        <f>'16-3'!J119</f>
        <v>0</v>
      </c>
      <c r="K71" s="305">
        <f>'16-3'!K119</f>
        <v>407757</v>
      </c>
      <c r="L71" s="305">
        <f>'16-3'!L119</f>
        <v>572884</v>
      </c>
      <c r="M71" s="305">
        <f>'16-3'!M119</f>
        <v>47516000</v>
      </c>
      <c r="N71" s="305">
        <f>'16-3'!N119</f>
        <v>46535359</v>
      </c>
      <c r="O71" s="305">
        <f>'16-3'!O119</f>
        <v>0</v>
      </c>
      <c r="P71" s="305">
        <f>'16-3'!P119</f>
        <v>320735</v>
      </c>
      <c r="Q71" s="305">
        <f>'16-3'!Q119</f>
        <v>572884</v>
      </c>
      <c r="R71" s="305">
        <f>'16-3'!R119</f>
        <v>47428978</v>
      </c>
      <c r="U71" s="507">
        <v>46535359</v>
      </c>
      <c r="V71" s="49">
        <f t="shared" si="8"/>
        <v>0</v>
      </c>
      <c r="W71" s="507">
        <v>46535359</v>
      </c>
      <c r="X71" s="49">
        <f t="shared" si="9"/>
        <v>0</v>
      </c>
      <c r="Y71" s="507">
        <v>46535359</v>
      </c>
      <c r="Z71" s="49">
        <f t="shared" si="10"/>
        <v>0</v>
      </c>
      <c r="AC71" s="554"/>
      <c r="AD71" s="554"/>
      <c r="AE71" s="554"/>
    </row>
    <row r="72" spans="2:31" s="49" customFormat="1" ht="27">
      <c r="B72" s="65" t="s">
        <v>18</v>
      </c>
      <c r="C72" s="308"/>
      <c r="D72" s="308"/>
      <c r="E72" s="308"/>
      <c r="F72" s="308"/>
      <c r="G72" s="308"/>
      <c r="H72" s="308"/>
      <c r="I72" s="308"/>
      <c r="J72" s="308"/>
      <c r="K72" s="308"/>
      <c r="L72" s="308"/>
      <c r="M72" s="308"/>
      <c r="N72" s="308"/>
      <c r="O72" s="308"/>
      <c r="P72" s="308"/>
      <c r="Q72" s="308"/>
      <c r="R72" s="308"/>
      <c r="U72" s="509"/>
      <c r="V72" s="49">
        <f t="shared" si="8"/>
        <v>0</v>
      </c>
      <c r="W72" s="509"/>
      <c r="X72" s="49">
        <f t="shared" si="9"/>
        <v>0</v>
      </c>
      <c r="Y72" s="509"/>
      <c r="Z72" s="49">
        <f t="shared" si="10"/>
        <v>0</v>
      </c>
      <c r="AC72" s="554"/>
      <c r="AD72" s="554"/>
      <c r="AE72" s="554"/>
    </row>
    <row r="73" spans="2:31" s="49" customFormat="1" ht="15.6">
      <c r="B73" s="61" t="s">
        <v>140</v>
      </c>
      <c r="C73" s="307">
        <f>'16-3'!C203</f>
        <v>274800297</v>
      </c>
      <c r="D73" s="307">
        <f>'16-3'!D203</f>
        <v>299601781</v>
      </c>
      <c r="E73" s="307">
        <f>'16-3'!E203</f>
        <v>0</v>
      </c>
      <c r="F73" s="307">
        <f>'16-3'!F203</f>
        <v>0</v>
      </c>
      <c r="G73" s="307">
        <f>'16-3'!G203</f>
        <v>0</v>
      </c>
      <c r="H73" s="307">
        <f>'16-3'!H203</f>
        <v>299601781</v>
      </c>
      <c r="I73" s="307">
        <f>'16-3'!I203</f>
        <v>105930752</v>
      </c>
      <c r="J73" s="307">
        <f>'16-3'!J203</f>
        <v>0</v>
      </c>
      <c r="K73" s="307">
        <f>'16-3'!K203</f>
        <v>0</v>
      </c>
      <c r="L73" s="307">
        <f>'16-3'!L203</f>
        <v>0</v>
      </c>
      <c r="M73" s="307">
        <f>'16-3'!M203</f>
        <v>105930752</v>
      </c>
      <c r="N73" s="307">
        <f>'16-3'!N203</f>
        <v>2826283</v>
      </c>
      <c r="O73" s="307">
        <f>'16-3'!O203</f>
        <v>0</v>
      </c>
      <c r="P73" s="307">
        <f>'16-3'!P203</f>
        <v>0</v>
      </c>
      <c r="Q73" s="307">
        <f>'16-3'!Q203</f>
        <v>0</v>
      </c>
      <c r="R73" s="307">
        <f>'16-3'!R203</f>
        <v>2826283</v>
      </c>
      <c r="U73" s="508">
        <v>299601781</v>
      </c>
      <c r="V73" s="49">
        <f t="shared" si="8"/>
        <v>0</v>
      </c>
      <c r="W73" s="508">
        <v>105930752</v>
      </c>
      <c r="X73" s="49">
        <f t="shared" si="9"/>
        <v>0</v>
      </c>
      <c r="Y73" s="508">
        <v>2826283</v>
      </c>
      <c r="Z73" s="49">
        <f t="shared" si="10"/>
        <v>0</v>
      </c>
      <c r="AC73" s="554"/>
      <c r="AD73" s="554"/>
      <c r="AE73" s="554"/>
    </row>
    <row r="74" spans="2:31" s="49" customFormat="1" ht="27">
      <c r="B74" s="63" t="s">
        <v>17</v>
      </c>
      <c r="C74" s="307">
        <f>'16-3'!C230+'16-3'!C247</f>
        <v>9792258</v>
      </c>
      <c r="D74" s="307">
        <f>'16-3'!D230+'16-3'!D247</f>
        <v>8271067</v>
      </c>
      <c r="E74" s="307">
        <f>'16-3'!E230+'16-3'!E247</f>
        <v>0</v>
      </c>
      <c r="F74" s="307">
        <f>'16-3'!F230+'16-3'!F247</f>
        <v>0</v>
      </c>
      <c r="G74" s="307">
        <f>'16-3'!G230+'16-3'!G247</f>
        <v>0</v>
      </c>
      <c r="H74" s="307">
        <f>'16-3'!H230+'16-3'!H247</f>
        <v>8271067</v>
      </c>
      <c r="I74" s="307">
        <f>'16-3'!I230+'16-3'!I247</f>
        <v>3873387</v>
      </c>
      <c r="J74" s="307">
        <f>'16-3'!J230+'16-3'!J247</f>
        <v>0</v>
      </c>
      <c r="K74" s="307">
        <f>'16-3'!K230+'16-3'!K247</f>
        <v>0</v>
      </c>
      <c r="L74" s="307">
        <f>'16-3'!L230+'16-3'!L247</f>
        <v>0</v>
      </c>
      <c r="M74" s="307">
        <f>'16-3'!M230+'16-3'!M247</f>
        <v>3873387</v>
      </c>
      <c r="N74" s="307">
        <f>'16-3'!N230+'16-3'!N247</f>
        <v>0</v>
      </c>
      <c r="O74" s="307">
        <f>'16-3'!O230+'16-3'!O247</f>
        <v>0</v>
      </c>
      <c r="P74" s="307">
        <f>'16-3'!P230+'16-3'!P247</f>
        <v>0</v>
      </c>
      <c r="Q74" s="307">
        <f>'16-3'!Q230+'16-3'!Q247</f>
        <v>0</v>
      </c>
      <c r="R74" s="307">
        <f>'16-3'!R230+'16-3'!R247</f>
        <v>0</v>
      </c>
      <c r="U74" s="508">
        <v>8271067</v>
      </c>
      <c r="V74" s="49">
        <f t="shared" si="8"/>
        <v>0</v>
      </c>
      <c r="W74" s="508">
        <v>3873387</v>
      </c>
      <c r="X74" s="49">
        <f t="shared" si="9"/>
        <v>0</v>
      </c>
      <c r="Y74" s="508">
        <v>0</v>
      </c>
      <c r="Z74" s="49">
        <f t="shared" si="10"/>
        <v>0</v>
      </c>
      <c r="AC74" s="554"/>
      <c r="AD74" s="554"/>
      <c r="AE74" s="554"/>
    </row>
    <row r="75" spans="2:31" s="51" customFormat="1" ht="27">
      <c r="B75" s="65" t="s">
        <v>18</v>
      </c>
      <c r="C75" s="304"/>
      <c r="D75" s="304"/>
      <c r="E75" s="304"/>
      <c r="F75" s="304"/>
      <c r="G75" s="304"/>
      <c r="H75" s="304"/>
      <c r="I75" s="304"/>
      <c r="J75" s="304"/>
      <c r="K75" s="304"/>
      <c r="L75" s="304"/>
      <c r="M75" s="304"/>
      <c r="N75" s="304"/>
      <c r="O75" s="304"/>
      <c r="P75" s="304"/>
      <c r="Q75" s="304"/>
      <c r="R75" s="304"/>
      <c r="U75" s="510"/>
      <c r="V75" s="49">
        <f t="shared" si="8"/>
        <v>0</v>
      </c>
      <c r="W75" s="510"/>
      <c r="X75" s="49">
        <f t="shared" si="9"/>
        <v>0</v>
      </c>
      <c r="Y75" s="510"/>
      <c r="Z75" s="49">
        <f t="shared" si="10"/>
        <v>0</v>
      </c>
      <c r="AC75" s="555"/>
      <c r="AD75" s="555"/>
      <c r="AE75" s="555"/>
    </row>
    <row r="76" spans="2:31" s="53" customFormat="1" ht="15.6">
      <c r="B76" s="78" t="s">
        <v>31</v>
      </c>
      <c r="C76" s="324">
        <f>C77+C78</f>
        <v>396161505</v>
      </c>
      <c r="D76" s="324">
        <f t="shared" ref="D76:R76" si="96">D77+D78</f>
        <v>383505301</v>
      </c>
      <c r="E76" s="324">
        <f t="shared" si="96"/>
        <v>0</v>
      </c>
      <c r="F76" s="324">
        <f t="shared" ref="F76" si="97">F77+F78</f>
        <v>160179</v>
      </c>
      <c r="G76" s="324">
        <f t="shared" si="96"/>
        <v>22800443</v>
      </c>
      <c r="H76" s="324">
        <f t="shared" si="96"/>
        <v>406465923</v>
      </c>
      <c r="I76" s="324">
        <f t="shared" si="96"/>
        <v>204504831</v>
      </c>
      <c r="J76" s="324">
        <f t="shared" si="96"/>
        <v>0</v>
      </c>
      <c r="K76" s="324">
        <f t="shared" ref="K76" si="98">K77+K78</f>
        <v>134697</v>
      </c>
      <c r="L76" s="324">
        <f t="shared" si="96"/>
        <v>24907686</v>
      </c>
      <c r="M76" s="324">
        <f t="shared" si="96"/>
        <v>229547214</v>
      </c>
      <c r="N76" s="324">
        <f t="shared" si="96"/>
        <v>113214623</v>
      </c>
      <c r="O76" s="324">
        <f t="shared" si="96"/>
        <v>0</v>
      </c>
      <c r="P76" s="324">
        <f t="shared" ref="P76" si="99">P77+P78</f>
        <v>112247</v>
      </c>
      <c r="Q76" s="324">
        <f t="shared" si="96"/>
        <v>24900000</v>
      </c>
      <c r="R76" s="324">
        <f t="shared" si="96"/>
        <v>138226870</v>
      </c>
      <c r="U76" s="505">
        <v>383505301</v>
      </c>
      <c r="V76" s="49">
        <f t="shared" ref="V76:V140" si="100">D76-U76</f>
        <v>0</v>
      </c>
      <c r="W76" s="505">
        <v>204504831</v>
      </c>
      <c r="X76" s="49">
        <f t="shared" ref="X76:X140" si="101">I76-W76</f>
        <v>0</v>
      </c>
      <c r="Y76" s="505">
        <v>113214623</v>
      </c>
      <c r="Z76" s="49">
        <f t="shared" ref="Z76:Z140" si="102">N76-Y76</f>
        <v>0</v>
      </c>
      <c r="AC76" s="555"/>
      <c r="AD76" s="555"/>
      <c r="AE76" s="555"/>
    </row>
    <row r="77" spans="2:31" s="52" customFormat="1" ht="15.6">
      <c r="B77" s="59" t="s">
        <v>139</v>
      </c>
      <c r="C77" s="305">
        <f>'17-3'!C119</f>
        <v>121489900</v>
      </c>
      <c r="D77" s="305">
        <f>'17-3'!D119</f>
        <v>110311730</v>
      </c>
      <c r="E77" s="305">
        <f>'17-3'!E119</f>
        <v>0</v>
      </c>
      <c r="F77" s="305">
        <f>'17-3'!F119</f>
        <v>160179</v>
      </c>
      <c r="G77" s="305">
        <f>'17-3'!G119</f>
        <v>22800443</v>
      </c>
      <c r="H77" s="305">
        <f>'17-3'!H119</f>
        <v>133272352</v>
      </c>
      <c r="I77" s="305">
        <f>'17-3'!I119</f>
        <v>109232059</v>
      </c>
      <c r="J77" s="305">
        <f>'17-3'!J119</f>
        <v>0</v>
      </c>
      <c r="K77" s="305">
        <f>'17-3'!K119</f>
        <v>134697</v>
      </c>
      <c r="L77" s="305">
        <f>'17-3'!L119</f>
        <v>24907686</v>
      </c>
      <c r="M77" s="305">
        <f>'17-3'!M119</f>
        <v>134274442</v>
      </c>
      <c r="N77" s="305">
        <f>'17-3'!N119</f>
        <v>109232059</v>
      </c>
      <c r="O77" s="305">
        <f>'17-3'!O119</f>
        <v>0</v>
      </c>
      <c r="P77" s="305">
        <f>'17-3'!P119</f>
        <v>112247</v>
      </c>
      <c r="Q77" s="305">
        <f>'17-3'!Q119</f>
        <v>24900000</v>
      </c>
      <c r="R77" s="305">
        <f>'17-3'!R119</f>
        <v>134244306</v>
      </c>
      <c r="U77" s="507">
        <v>110311730</v>
      </c>
      <c r="V77" s="49">
        <f t="shared" si="100"/>
        <v>0</v>
      </c>
      <c r="W77" s="507">
        <v>109232059</v>
      </c>
      <c r="X77" s="49">
        <f t="shared" si="101"/>
        <v>0</v>
      </c>
      <c r="Y77" s="507">
        <v>109232059</v>
      </c>
      <c r="Z77" s="49">
        <f t="shared" si="102"/>
        <v>0</v>
      </c>
      <c r="AC77" s="555"/>
      <c r="AD77" s="555"/>
      <c r="AE77" s="555"/>
    </row>
    <row r="78" spans="2:31" s="49" customFormat="1" ht="15.6">
      <c r="B78" s="61" t="s">
        <v>140</v>
      </c>
      <c r="C78" s="307">
        <f>'17-3'!C203</f>
        <v>274671605</v>
      </c>
      <c r="D78" s="307">
        <f>'17-3'!D203</f>
        <v>273193571</v>
      </c>
      <c r="E78" s="307">
        <f>'17-3'!E203</f>
        <v>0</v>
      </c>
      <c r="F78" s="307">
        <f>'17-3'!F203</f>
        <v>0</v>
      </c>
      <c r="G78" s="307">
        <f>'17-3'!G203</f>
        <v>0</v>
      </c>
      <c r="H78" s="307">
        <f>'17-3'!H203</f>
        <v>273193571</v>
      </c>
      <c r="I78" s="307">
        <f>'17-3'!I203</f>
        <v>95272772</v>
      </c>
      <c r="J78" s="307">
        <f>'17-3'!J203</f>
        <v>0</v>
      </c>
      <c r="K78" s="307">
        <f>'17-3'!K203</f>
        <v>0</v>
      </c>
      <c r="L78" s="307">
        <f>'17-3'!L203</f>
        <v>0</v>
      </c>
      <c r="M78" s="307">
        <f>'17-3'!M203</f>
        <v>95272772</v>
      </c>
      <c r="N78" s="307">
        <f>'17-3'!N203</f>
        <v>3982564</v>
      </c>
      <c r="O78" s="307">
        <f>'17-3'!O203</f>
        <v>0</v>
      </c>
      <c r="P78" s="307">
        <f>'17-3'!P203</f>
        <v>0</v>
      </c>
      <c r="Q78" s="307">
        <f>'17-3'!Q203</f>
        <v>0</v>
      </c>
      <c r="R78" s="307">
        <f>'17-3'!R203</f>
        <v>3982564</v>
      </c>
      <c r="U78" s="508">
        <v>273193571</v>
      </c>
      <c r="V78" s="49">
        <f t="shared" si="100"/>
        <v>0</v>
      </c>
      <c r="W78" s="508">
        <v>95272772</v>
      </c>
      <c r="X78" s="49">
        <f t="shared" si="101"/>
        <v>0</v>
      </c>
      <c r="Y78" s="508">
        <v>3982564</v>
      </c>
      <c r="Z78" s="49">
        <f t="shared" si="102"/>
        <v>0</v>
      </c>
      <c r="AC78" s="554"/>
      <c r="AD78" s="554"/>
      <c r="AE78" s="554"/>
    </row>
    <row r="79" spans="2:31" s="49" customFormat="1" ht="27">
      <c r="B79" s="63" t="s">
        <v>17</v>
      </c>
      <c r="C79" s="307">
        <f>'17-3'!C230+'17-3'!C247</f>
        <v>66269888</v>
      </c>
      <c r="D79" s="307">
        <f>'17-3'!D230+'17-3'!D247</f>
        <v>96079917</v>
      </c>
      <c r="E79" s="307">
        <f>'17-3'!E230+'17-3'!E247</f>
        <v>0</v>
      </c>
      <c r="F79" s="307">
        <f>'17-3'!F230+'17-3'!F247</f>
        <v>0</v>
      </c>
      <c r="G79" s="307">
        <f>'17-3'!G230+'17-3'!G247</f>
        <v>0</v>
      </c>
      <c r="H79" s="307">
        <f>'17-3'!H230+'17-3'!H247</f>
        <v>96079917</v>
      </c>
      <c r="I79" s="307">
        <f>'17-3'!I230+'17-3'!I247</f>
        <v>17261091</v>
      </c>
      <c r="J79" s="307">
        <f>'17-3'!J230+'17-3'!J247</f>
        <v>0</v>
      </c>
      <c r="K79" s="307">
        <f>'17-3'!K230+'17-3'!K247</f>
        <v>0</v>
      </c>
      <c r="L79" s="307">
        <f>'17-3'!L230+'17-3'!L247</f>
        <v>0</v>
      </c>
      <c r="M79" s="307">
        <f>'17-3'!M230+'17-3'!M247</f>
        <v>17261091</v>
      </c>
      <c r="N79" s="307">
        <f>'17-3'!N230+'17-3'!N247</f>
        <v>0</v>
      </c>
      <c r="O79" s="307">
        <f>'17-3'!O230+'17-3'!O247</f>
        <v>0</v>
      </c>
      <c r="P79" s="307">
        <f>'17-3'!P230+'17-3'!P247</f>
        <v>0</v>
      </c>
      <c r="Q79" s="307">
        <f>'17-3'!Q230+'17-3'!Q247</f>
        <v>0</v>
      </c>
      <c r="R79" s="307">
        <f>'17-3'!R230+'17-3'!R247</f>
        <v>0</v>
      </c>
      <c r="U79" s="508">
        <v>96079917</v>
      </c>
      <c r="V79" s="49">
        <f t="shared" si="100"/>
        <v>0</v>
      </c>
      <c r="W79" s="508">
        <v>17261091</v>
      </c>
      <c r="X79" s="49">
        <f t="shared" si="101"/>
        <v>0</v>
      </c>
      <c r="Y79" s="508">
        <v>0</v>
      </c>
      <c r="Z79" s="49">
        <f t="shared" si="102"/>
        <v>0</v>
      </c>
      <c r="AC79" s="554"/>
      <c r="AD79" s="554"/>
      <c r="AE79" s="554"/>
    </row>
    <row r="80" spans="2:31" s="49" customFormat="1" ht="15.6">
      <c r="B80" s="77" t="s">
        <v>32</v>
      </c>
      <c r="C80" s="324">
        <f>C81+C83</f>
        <v>215048333</v>
      </c>
      <c r="D80" s="324">
        <f t="shared" ref="D80:R80" si="103">D81+D83</f>
        <v>208946068</v>
      </c>
      <c r="E80" s="324">
        <f t="shared" si="103"/>
        <v>21504536</v>
      </c>
      <c r="F80" s="324">
        <f t="shared" ref="F80" si="104">F81+F83</f>
        <v>5373931</v>
      </c>
      <c r="G80" s="324">
        <f t="shared" si="103"/>
        <v>10158503</v>
      </c>
      <c r="H80" s="324">
        <f t="shared" si="103"/>
        <v>245983038</v>
      </c>
      <c r="I80" s="324">
        <f t="shared" si="103"/>
        <v>300296555</v>
      </c>
      <c r="J80" s="324">
        <f t="shared" si="103"/>
        <v>18744852</v>
      </c>
      <c r="K80" s="324">
        <f t="shared" ref="K80" si="105">K81+K83</f>
        <v>5222028</v>
      </c>
      <c r="L80" s="324">
        <f t="shared" si="103"/>
        <v>17789443</v>
      </c>
      <c r="M80" s="324">
        <f t="shared" si="103"/>
        <v>342052878</v>
      </c>
      <c r="N80" s="324">
        <f t="shared" si="103"/>
        <v>294967974</v>
      </c>
      <c r="O80" s="324">
        <f t="shared" si="103"/>
        <v>3734123</v>
      </c>
      <c r="P80" s="324">
        <f t="shared" ref="P80" si="106">P81+P83</f>
        <v>24234937</v>
      </c>
      <c r="Q80" s="324">
        <f t="shared" si="103"/>
        <v>17789443</v>
      </c>
      <c r="R80" s="324">
        <f t="shared" si="103"/>
        <v>340726477</v>
      </c>
      <c r="U80" s="505">
        <v>208946068</v>
      </c>
      <c r="V80" s="49">
        <f t="shared" si="100"/>
        <v>0</v>
      </c>
      <c r="W80" s="505">
        <v>300296555</v>
      </c>
      <c r="X80" s="49">
        <f t="shared" si="101"/>
        <v>0</v>
      </c>
      <c r="Y80" s="505">
        <v>294967974</v>
      </c>
      <c r="Z80" s="49">
        <f t="shared" si="102"/>
        <v>0</v>
      </c>
      <c r="AC80" s="554"/>
      <c r="AD80" s="554"/>
      <c r="AE80" s="554"/>
    </row>
    <row r="81" spans="2:31" s="52" customFormat="1" ht="15.6">
      <c r="B81" s="59" t="s">
        <v>139</v>
      </c>
      <c r="C81" s="305">
        <f>'18-3'!C119</f>
        <v>176963866</v>
      </c>
      <c r="D81" s="305">
        <f>'18-3'!D119</f>
        <v>165110284</v>
      </c>
      <c r="E81" s="305">
        <f>'18-3'!E119</f>
        <v>764113</v>
      </c>
      <c r="F81" s="305">
        <f>'18-3'!F119</f>
        <v>5373931</v>
      </c>
      <c r="G81" s="305">
        <f>'18-3'!G119</f>
        <v>10158503</v>
      </c>
      <c r="H81" s="305">
        <f>'18-3'!H119</f>
        <v>181406831</v>
      </c>
      <c r="I81" s="305">
        <f>'18-3'!I119</f>
        <v>296666332</v>
      </c>
      <c r="J81" s="305">
        <f>'18-3'!J119</f>
        <v>-2345618</v>
      </c>
      <c r="K81" s="305">
        <f>'18-3'!K119</f>
        <v>5222028</v>
      </c>
      <c r="L81" s="305">
        <f>'18-3'!L119</f>
        <v>17789443</v>
      </c>
      <c r="M81" s="305">
        <f>'18-3'!M119</f>
        <v>317332185</v>
      </c>
      <c r="N81" s="305">
        <f>'18-3'!N119</f>
        <v>294967974</v>
      </c>
      <c r="O81" s="305">
        <f>'18-3'!O119</f>
        <v>-2503117</v>
      </c>
      <c r="P81" s="305">
        <f>'18-3'!P119</f>
        <v>24234937</v>
      </c>
      <c r="Q81" s="305">
        <f>'18-3'!Q119</f>
        <v>17789443</v>
      </c>
      <c r="R81" s="305">
        <f>'18-3'!R119</f>
        <v>334489237</v>
      </c>
      <c r="U81" s="507">
        <v>165110284</v>
      </c>
      <c r="V81" s="49">
        <f t="shared" si="100"/>
        <v>0</v>
      </c>
      <c r="W81" s="507">
        <v>296666332</v>
      </c>
      <c r="X81" s="49">
        <f t="shared" si="101"/>
        <v>0</v>
      </c>
      <c r="Y81" s="507">
        <v>294967974</v>
      </c>
      <c r="Z81" s="49">
        <f t="shared" si="102"/>
        <v>0</v>
      </c>
      <c r="AC81" s="555"/>
      <c r="AD81" s="555"/>
      <c r="AE81" s="555"/>
    </row>
    <row r="82" spans="2:31" s="49" customFormat="1" ht="15.6">
      <c r="B82" s="79" t="s">
        <v>19</v>
      </c>
      <c r="C82" s="305">
        <f>'18-3'!C134</f>
        <v>15002174</v>
      </c>
      <c r="D82" s="305">
        <f>'18-3'!D134</f>
        <v>14547931</v>
      </c>
      <c r="E82" s="305">
        <f>'18-3'!E134</f>
        <v>8117</v>
      </c>
      <c r="F82" s="305">
        <f>'18-3'!F134</f>
        <v>2457230</v>
      </c>
      <c r="G82" s="305">
        <f>'18-3'!G134</f>
        <v>1476000</v>
      </c>
      <c r="H82" s="305">
        <f>'18-3'!H134</f>
        <v>18489278</v>
      </c>
      <c r="I82" s="305">
        <f>'18-3'!I134</f>
        <v>14263917</v>
      </c>
      <c r="J82" s="305">
        <f>'18-3'!J134</f>
        <v>127092110</v>
      </c>
      <c r="K82" s="305">
        <f>'18-3'!K134</f>
        <v>2094445</v>
      </c>
      <c r="L82" s="305">
        <f>'18-3'!L134</f>
        <v>1476000</v>
      </c>
      <c r="M82" s="305">
        <f>'18-3'!M134</f>
        <v>144926472</v>
      </c>
      <c r="N82" s="305">
        <f>'18-3'!N134</f>
        <v>14021487</v>
      </c>
      <c r="O82" s="305">
        <f>'18-3'!O134</f>
        <v>122448021</v>
      </c>
      <c r="P82" s="305">
        <f>'18-3'!P134</f>
        <v>1703419</v>
      </c>
      <c r="Q82" s="305">
        <f>'18-3'!Q134</f>
        <v>1476000</v>
      </c>
      <c r="R82" s="305">
        <f>'18-3'!R134</f>
        <v>139648927</v>
      </c>
      <c r="U82" s="507">
        <v>14547931</v>
      </c>
      <c r="V82" s="49">
        <f t="shared" si="100"/>
        <v>0</v>
      </c>
      <c r="W82" s="507">
        <v>14263917</v>
      </c>
      <c r="X82" s="49">
        <f t="shared" si="101"/>
        <v>0</v>
      </c>
      <c r="Y82" s="507">
        <v>14021487</v>
      </c>
      <c r="Z82" s="49">
        <f t="shared" si="102"/>
        <v>0</v>
      </c>
      <c r="AC82" s="554"/>
      <c r="AD82" s="554"/>
      <c r="AE82" s="554"/>
    </row>
    <row r="83" spans="2:31" s="53" customFormat="1" ht="15.6">
      <c r="B83" s="61" t="s">
        <v>140</v>
      </c>
      <c r="C83" s="307">
        <f>'18-3'!C203</f>
        <v>38084467</v>
      </c>
      <c r="D83" s="307">
        <f>'18-3'!D203</f>
        <v>43835784</v>
      </c>
      <c r="E83" s="307">
        <f>'18-3'!E203</f>
        <v>20740423</v>
      </c>
      <c r="F83" s="307">
        <f>'18-3'!F203</f>
        <v>0</v>
      </c>
      <c r="G83" s="307">
        <f>'18-3'!G203</f>
        <v>0</v>
      </c>
      <c r="H83" s="307">
        <f>'18-3'!H203</f>
        <v>64576207</v>
      </c>
      <c r="I83" s="307">
        <f>'18-3'!I203</f>
        <v>3630223</v>
      </c>
      <c r="J83" s="307">
        <f>'18-3'!J203</f>
        <v>21090470</v>
      </c>
      <c r="K83" s="307">
        <f>'18-3'!K203</f>
        <v>0</v>
      </c>
      <c r="L83" s="307">
        <f>'18-3'!L203</f>
        <v>0</v>
      </c>
      <c r="M83" s="307">
        <f>'18-3'!M203</f>
        <v>24720693</v>
      </c>
      <c r="N83" s="307">
        <f>'18-3'!N203</f>
        <v>0</v>
      </c>
      <c r="O83" s="307">
        <f>'18-3'!O203</f>
        <v>6237240</v>
      </c>
      <c r="P83" s="307">
        <f>'18-3'!P203</f>
        <v>0</v>
      </c>
      <c r="Q83" s="307">
        <f>'18-3'!Q203</f>
        <v>0</v>
      </c>
      <c r="R83" s="307">
        <f>'18-3'!R203</f>
        <v>6237240</v>
      </c>
      <c r="U83" s="508">
        <v>43835784</v>
      </c>
      <c r="V83" s="49">
        <f t="shared" si="100"/>
        <v>0</v>
      </c>
      <c r="W83" s="508">
        <v>3630223</v>
      </c>
      <c r="X83" s="49">
        <f t="shared" si="101"/>
        <v>0</v>
      </c>
      <c r="Y83" s="508">
        <v>0</v>
      </c>
      <c r="Z83" s="49">
        <f t="shared" si="102"/>
        <v>0</v>
      </c>
      <c r="AC83" s="555"/>
      <c r="AD83" s="555"/>
      <c r="AE83" s="555"/>
    </row>
    <row r="84" spans="2:31" s="52" customFormat="1" ht="27">
      <c r="B84" s="63" t="s">
        <v>17</v>
      </c>
      <c r="C84" s="307">
        <f>'18-3'!C230</f>
        <v>16460882</v>
      </c>
      <c r="D84" s="307">
        <f>'18-3'!D230</f>
        <v>21023261</v>
      </c>
      <c r="E84" s="307">
        <f>'18-3'!E230</f>
        <v>11020118</v>
      </c>
      <c r="F84" s="307">
        <f>'18-3'!F230</f>
        <v>0</v>
      </c>
      <c r="G84" s="307">
        <f>'18-3'!G230</f>
        <v>0</v>
      </c>
      <c r="H84" s="307">
        <f>'18-3'!H230</f>
        <v>32043379</v>
      </c>
      <c r="I84" s="307">
        <f>'18-3'!I230</f>
        <v>1708732</v>
      </c>
      <c r="J84" s="307">
        <f>'18-3'!J230</f>
        <v>9541605</v>
      </c>
      <c r="K84" s="307">
        <f>'18-3'!K230</f>
        <v>0</v>
      </c>
      <c r="L84" s="307">
        <f>'18-3'!L230</f>
        <v>0</v>
      </c>
      <c r="M84" s="307">
        <f>'18-3'!M230</f>
        <v>11250337</v>
      </c>
      <c r="N84" s="307">
        <f>'18-3'!N230</f>
        <v>0</v>
      </c>
      <c r="O84" s="307">
        <f>'18-3'!O230</f>
        <v>2659930</v>
      </c>
      <c r="P84" s="307">
        <f>'18-3'!P230</f>
        <v>0</v>
      </c>
      <c r="Q84" s="307">
        <f>'18-3'!Q230</f>
        <v>0</v>
      </c>
      <c r="R84" s="307">
        <f>'18-3'!R230</f>
        <v>2659930</v>
      </c>
      <c r="U84" s="508">
        <v>21023261</v>
      </c>
      <c r="V84" s="49">
        <f t="shared" si="100"/>
        <v>0</v>
      </c>
      <c r="W84" s="508">
        <v>1708732</v>
      </c>
      <c r="X84" s="49">
        <f t="shared" si="101"/>
        <v>0</v>
      </c>
      <c r="Y84" s="508">
        <v>0</v>
      </c>
      <c r="Z84" s="49">
        <f t="shared" si="102"/>
        <v>0</v>
      </c>
      <c r="AC84" s="555"/>
      <c r="AD84" s="555"/>
      <c r="AE84" s="555"/>
    </row>
    <row r="85" spans="2:31" s="52" customFormat="1" ht="15.6">
      <c r="B85" s="79" t="s">
        <v>19</v>
      </c>
      <c r="C85" s="307">
        <f>'18-3'!C218</f>
        <v>0</v>
      </c>
      <c r="D85" s="307">
        <f>'18-3'!D218</f>
        <v>389283</v>
      </c>
      <c r="E85" s="307">
        <f>'18-3'!E218</f>
        <v>530550</v>
      </c>
      <c r="F85" s="307">
        <f>'18-3'!F218</f>
        <v>0</v>
      </c>
      <c r="G85" s="307">
        <f>'18-3'!G218</f>
        <v>0</v>
      </c>
      <c r="H85" s="307">
        <f>'18-3'!H218</f>
        <v>919833</v>
      </c>
      <c r="I85" s="307">
        <f>'18-3'!I218</f>
        <v>0</v>
      </c>
      <c r="J85" s="307">
        <f>'18-3'!J218</f>
        <v>273844</v>
      </c>
      <c r="K85" s="307">
        <f>'18-3'!K218</f>
        <v>0</v>
      </c>
      <c r="L85" s="307">
        <f>'18-3'!L218</f>
        <v>0</v>
      </c>
      <c r="M85" s="307">
        <f>'18-3'!M218</f>
        <v>273844</v>
      </c>
      <c r="N85" s="307">
        <f>'18-3'!N218</f>
        <v>0</v>
      </c>
      <c r="O85" s="307">
        <f>'18-3'!O218</f>
        <v>0</v>
      </c>
      <c r="P85" s="307">
        <f>'18-3'!P218</f>
        <v>0</v>
      </c>
      <c r="Q85" s="307">
        <f>'18-3'!Q218</f>
        <v>0</v>
      </c>
      <c r="R85" s="307">
        <f>'18-3'!R218</f>
        <v>0</v>
      </c>
      <c r="U85" s="507">
        <v>389283</v>
      </c>
      <c r="V85" s="49">
        <f t="shared" si="100"/>
        <v>0</v>
      </c>
      <c r="W85" s="508"/>
      <c r="X85" s="49">
        <f t="shared" si="101"/>
        <v>0</v>
      </c>
      <c r="Y85" s="508"/>
      <c r="Z85" s="49">
        <f t="shared" si="102"/>
        <v>0</v>
      </c>
      <c r="AC85" s="555"/>
      <c r="AD85" s="555"/>
      <c r="AE85" s="555"/>
    </row>
    <row r="86" spans="2:31" s="49" customFormat="1" ht="15.6">
      <c r="B86" s="78" t="s">
        <v>129</v>
      </c>
      <c r="C86" s="324">
        <f>C87+C88</f>
        <v>99927771</v>
      </c>
      <c r="D86" s="324">
        <f t="shared" ref="D86:R86" si="107">D87+D88</f>
        <v>93471168</v>
      </c>
      <c r="E86" s="324">
        <f t="shared" si="107"/>
        <v>2145277</v>
      </c>
      <c r="F86" s="324">
        <f t="shared" ref="F86" si="108">F87+F88</f>
        <v>4934740</v>
      </c>
      <c r="G86" s="324">
        <f t="shared" si="107"/>
        <v>2699728</v>
      </c>
      <c r="H86" s="324">
        <f t="shared" si="107"/>
        <v>103250913</v>
      </c>
      <c r="I86" s="324">
        <f t="shared" si="107"/>
        <v>90607995</v>
      </c>
      <c r="J86" s="324">
        <f t="shared" si="107"/>
        <v>3083</v>
      </c>
      <c r="K86" s="324">
        <f t="shared" ref="K86" si="109">K87+K88</f>
        <v>4834388</v>
      </c>
      <c r="L86" s="324">
        <f t="shared" si="107"/>
        <v>8535952</v>
      </c>
      <c r="M86" s="324">
        <f t="shared" si="107"/>
        <v>103981418</v>
      </c>
      <c r="N86" s="324">
        <f t="shared" si="107"/>
        <v>90524526</v>
      </c>
      <c r="O86" s="324">
        <f t="shared" si="107"/>
        <v>0</v>
      </c>
      <c r="P86" s="324">
        <f t="shared" ref="P86" si="110">P87+P88</f>
        <v>4811823</v>
      </c>
      <c r="Q86" s="324">
        <f t="shared" si="107"/>
        <v>8321677</v>
      </c>
      <c r="R86" s="324">
        <f t="shared" si="107"/>
        <v>103658026</v>
      </c>
      <c r="U86" s="505">
        <v>93471168</v>
      </c>
      <c r="V86" s="49">
        <f t="shared" si="100"/>
        <v>0</v>
      </c>
      <c r="W86" s="505">
        <v>90607995</v>
      </c>
      <c r="X86" s="49">
        <f t="shared" si="101"/>
        <v>0</v>
      </c>
      <c r="Y86" s="505">
        <v>90524526</v>
      </c>
      <c r="Z86" s="49">
        <f t="shared" si="102"/>
        <v>0</v>
      </c>
      <c r="AC86" s="554"/>
      <c r="AD86" s="554"/>
      <c r="AE86" s="554"/>
    </row>
    <row r="87" spans="2:31" s="49" customFormat="1" ht="15.6">
      <c r="B87" s="59" t="s">
        <v>139</v>
      </c>
      <c r="C87" s="305">
        <f>'19-3'!C119</f>
        <v>91172054</v>
      </c>
      <c r="D87" s="305">
        <f>'19-3'!D119</f>
        <v>92775870</v>
      </c>
      <c r="E87" s="305">
        <f>'19-3'!E119</f>
        <v>-117</v>
      </c>
      <c r="F87" s="305">
        <f>'19-3'!F119</f>
        <v>4934740</v>
      </c>
      <c r="G87" s="305">
        <f>'19-3'!G119</f>
        <v>2699728</v>
      </c>
      <c r="H87" s="305">
        <f>'19-3'!H119</f>
        <v>100410221</v>
      </c>
      <c r="I87" s="305">
        <f>'19-3'!I119</f>
        <v>90505643</v>
      </c>
      <c r="J87" s="305">
        <f>'19-3'!J119</f>
        <v>0</v>
      </c>
      <c r="K87" s="305">
        <f>'19-3'!K119</f>
        <v>4834388</v>
      </c>
      <c r="L87" s="305">
        <f>'19-3'!L119</f>
        <v>8535952</v>
      </c>
      <c r="M87" s="305">
        <f>'19-3'!M119</f>
        <v>103875983</v>
      </c>
      <c r="N87" s="305">
        <f>'19-3'!N119</f>
        <v>90524526</v>
      </c>
      <c r="O87" s="305">
        <f>'19-3'!O119</f>
        <v>0</v>
      </c>
      <c r="P87" s="305">
        <f>'19-3'!P119</f>
        <v>4811823</v>
      </c>
      <c r="Q87" s="305">
        <f>'19-3'!Q119</f>
        <v>8321677</v>
      </c>
      <c r="R87" s="305">
        <f>'19-3'!R119</f>
        <v>103658026</v>
      </c>
      <c r="U87" s="507">
        <v>92775870</v>
      </c>
      <c r="V87" s="49">
        <f t="shared" si="100"/>
        <v>0</v>
      </c>
      <c r="W87" s="507">
        <v>90505643</v>
      </c>
      <c r="X87" s="49">
        <f t="shared" si="101"/>
        <v>0</v>
      </c>
      <c r="Y87" s="507">
        <v>90524526</v>
      </c>
      <c r="Z87" s="49">
        <f t="shared" si="102"/>
        <v>0</v>
      </c>
      <c r="AC87" s="554"/>
      <c r="AD87" s="554"/>
      <c r="AE87" s="554"/>
    </row>
    <row r="88" spans="2:31" s="49" customFormat="1" ht="15.6">
      <c r="B88" s="61" t="s">
        <v>140</v>
      </c>
      <c r="C88" s="307">
        <f>'19-3'!C203</f>
        <v>8755717</v>
      </c>
      <c r="D88" s="307">
        <f>'19-3'!D203</f>
        <v>695298</v>
      </c>
      <c r="E88" s="307">
        <f>'19-3'!E203</f>
        <v>2145394</v>
      </c>
      <c r="F88" s="307">
        <f>'19-3'!F203</f>
        <v>0</v>
      </c>
      <c r="G88" s="307">
        <f>'19-3'!G203</f>
        <v>0</v>
      </c>
      <c r="H88" s="307">
        <f>'19-3'!H203</f>
        <v>2840692</v>
      </c>
      <c r="I88" s="307">
        <f>'19-3'!I203</f>
        <v>102352</v>
      </c>
      <c r="J88" s="307">
        <f>'19-3'!J203</f>
        <v>3083</v>
      </c>
      <c r="K88" s="307">
        <f>'19-3'!K203</f>
        <v>0</v>
      </c>
      <c r="L88" s="307">
        <f>'19-3'!L203</f>
        <v>0</v>
      </c>
      <c r="M88" s="307">
        <f>'19-3'!M203</f>
        <v>105435</v>
      </c>
      <c r="N88" s="307">
        <f>'19-3'!N203</f>
        <v>0</v>
      </c>
      <c r="O88" s="307">
        <f>'19-3'!O203</f>
        <v>0</v>
      </c>
      <c r="P88" s="307">
        <f>'19-3'!P203</f>
        <v>0</v>
      </c>
      <c r="Q88" s="307">
        <f>'19-3'!Q203</f>
        <v>0</v>
      </c>
      <c r="R88" s="307">
        <f>'19-3'!R203</f>
        <v>0</v>
      </c>
      <c r="U88" s="508">
        <v>695298</v>
      </c>
      <c r="V88" s="49">
        <f t="shared" si="100"/>
        <v>0</v>
      </c>
      <c r="W88" s="508">
        <v>102352</v>
      </c>
      <c r="X88" s="49">
        <f t="shared" si="101"/>
        <v>0</v>
      </c>
      <c r="Y88" s="508">
        <v>0</v>
      </c>
      <c r="Z88" s="49">
        <f t="shared" si="102"/>
        <v>0</v>
      </c>
      <c r="AC88" s="554"/>
      <c r="AD88" s="554"/>
      <c r="AE88" s="554"/>
    </row>
    <row r="89" spans="2:31" s="49" customFormat="1" ht="27">
      <c r="B89" s="63" t="s">
        <v>17</v>
      </c>
      <c r="C89" s="307">
        <f>'19-3'!C230+'19-3'!C247</f>
        <v>48041</v>
      </c>
      <c r="D89" s="307">
        <f>'19-3'!D230+'19-3'!D247</f>
        <v>137542</v>
      </c>
      <c r="E89" s="307">
        <f>'19-3'!E230+'19-3'!E247</f>
        <v>0</v>
      </c>
      <c r="F89" s="307">
        <f>'19-3'!F230+'19-3'!F247</f>
        <v>0</v>
      </c>
      <c r="G89" s="307">
        <f>'19-3'!G230+'19-3'!G247</f>
        <v>0</v>
      </c>
      <c r="H89" s="307">
        <f>'19-3'!H230+'19-3'!H247</f>
        <v>137542</v>
      </c>
      <c r="I89" s="307">
        <f>'19-3'!I230+'19-3'!I247</f>
        <v>83260</v>
      </c>
      <c r="J89" s="307">
        <f>'19-3'!J230+'19-3'!J247</f>
        <v>0</v>
      </c>
      <c r="K89" s="307">
        <f>'19-3'!K230+'19-3'!K247</f>
        <v>0</v>
      </c>
      <c r="L89" s="307">
        <f>'19-3'!L230+'19-3'!L247</f>
        <v>0</v>
      </c>
      <c r="M89" s="307">
        <f>'19-3'!M230+'19-3'!M247</f>
        <v>83260</v>
      </c>
      <c r="N89" s="307">
        <f>'19-3'!N230+'19-3'!N247</f>
        <v>0</v>
      </c>
      <c r="O89" s="307">
        <f>'19-3'!O230+'19-3'!O247</f>
        <v>0</v>
      </c>
      <c r="P89" s="307">
        <f>'19-3'!P230+'19-3'!P247</f>
        <v>0</v>
      </c>
      <c r="Q89" s="307">
        <f>'19-3'!Q230+'19-3'!Q247</f>
        <v>0</v>
      </c>
      <c r="R89" s="307">
        <f>'19-3'!R230+'19-3'!R247</f>
        <v>0</v>
      </c>
      <c r="U89" s="508">
        <v>137542</v>
      </c>
      <c r="V89" s="49">
        <f t="shared" si="100"/>
        <v>0</v>
      </c>
      <c r="W89" s="508">
        <v>83260</v>
      </c>
      <c r="X89" s="49">
        <f t="shared" si="101"/>
        <v>0</v>
      </c>
      <c r="Y89" s="508">
        <v>0</v>
      </c>
      <c r="Z89" s="49">
        <f t="shared" si="102"/>
        <v>0</v>
      </c>
      <c r="AC89" s="554"/>
      <c r="AD89" s="554"/>
      <c r="AE89" s="554"/>
    </row>
    <row r="90" spans="2:31" s="53" customFormat="1" ht="27">
      <c r="B90" s="82" t="s">
        <v>147</v>
      </c>
      <c r="C90" s="324">
        <f>C91+C93</f>
        <v>204707543</v>
      </c>
      <c r="D90" s="324">
        <f t="shared" ref="D90:R90" si="111">D91+D93</f>
        <v>197428261</v>
      </c>
      <c r="E90" s="324">
        <f t="shared" si="111"/>
        <v>-2050822</v>
      </c>
      <c r="F90" s="324">
        <f t="shared" ref="F90" si="112">F91+F93</f>
        <v>413639</v>
      </c>
      <c r="G90" s="324">
        <f t="shared" si="111"/>
        <v>2605776</v>
      </c>
      <c r="H90" s="324">
        <f t="shared" si="111"/>
        <v>198396854</v>
      </c>
      <c r="I90" s="324">
        <f t="shared" si="111"/>
        <v>97116008</v>
      </c>
      <c r="J90" s="324">
        <f t="shared" si="111"/>
        <v>8718026</v>
      </c>
      <c r="K90" s="324">
        <f t="shared" ref="K90" si="113">K91+K93</f>
        <v>131300</v>
      </c>
      <c r="L90" s="324">
        <f t="shared" si="111"/>
        <v>2389926</v>
      </c>
      <c r="M90" s="324">
        <f t="shared" si="111"/>
        <v>108355260</v>
      </c>
      <c r="N90" s="324">
        <f t="shared" si="111"/>
        <v>49942466</v>
      </c>
      <c r="O90" s="324">
        <f t="shared" si="111"/>
        <v>-313001</v>
      </c>
      <c r="P90" s="324">
        <f t="shared" ref="P90" si="114">P91+P93</f>
        <v>45327</v>
      </c>
      <c r="Q90" s="324">
        <f t="shared" si="111"/>
        <v>2412836</v>
      </c>
      <c r="R90" s="324">
        <f t="shared" si="111"/>
        <v>52087628</v>
      </c>
      <c r="U90" s="505">
        <v>197428261</v>
      </c>
      <c r="V90" s="49">
        <f t="shared" si="100"/>
        <v>0</v>
      </c>
      <c r="W90" s="505">
        <v>97116008</v>
      </c>
      <c r="X90" s="49">
        <f t="shared" si="101"/>
        <v>0</v>
      </c>
      <c r="Y90" s="505">
        <v>49942466</v>
      </c>
      <c r="Z90" s="49">
        <f t="shared" si="102"/>
        <v>0</v>
      </c>
      <c r="AC90" s="555"/>
      <c r="AD90" s="555"/>
      <c r="AE90" s="555"/>
    </row>
    <row r="91" spans="2:31" s="54" customFormat="1" ht="16.2">
      <c r="B91" s="59" t="s">
        <v>139</v>
      </c>
      <c r="C91" s="305">
        <f>'21-3'!C119</f>
        <v>78141066</v>
      </c>
      <c r="D91" s="305">
        <f>'21-3'!D119</f>
        <v>83587668</v>
      </c>
      <c r="E91" s="305">
        <f>'21-3'!E119</f>
        <v>-3012135</v>
      </c>
      <c r="F91" s="305">
        <f>'21-3'!F119</f>
        <v>413639</v>
      </c>
      <c r="G91" s="305">
        <f>'21-3'!G119</f>
        <v>2605776</v>
      </c>
      <c r="H91" s="305">
        <f>'21-3'!H119</f>
        <v>83594948</v>
      </c>
      <c r="I91" s="305">
        <f>'21-3'!I119</f>
        <v>53560757</v>
      </c>
      <c r="J91" s="305">
        <f>'21-3'!J119</f>
        <v>7994930</v>
      </c>
      <c r="K91" s="305">
        <f>'21-3'!K119</f>
        <v>131300</v>
      </c>
      <c r="L91" s="305">
        <f>'21-3'!L119</f>
        <v>2389926</v>
      </c>
      <c r="M91" s="305">
        <f>'21-3'!M119</f>
        <v>64076913</v>
      </c>
      <c r="N91" s="305">
        <f>'21-3'!N119</f>
        <v>34822943</v>
      </c>
      <c r="O91" s="305">
        <f>'21-3'!O119</f>
        <v>-568590</v>
      </c>
      <c r="P91" s="305">
        <f>'21-3'!P119</f>
        <v>45327</v>
      </c>
      <c r="Q91" s="305">
        <f>'21-3'!Q119</f>
        <v>2412836</v>
      </c>
      <c r="R91" s="305">
        <f>'21-3'!R119</f>
        <v>36712516</v>
      </c>
      <c r="U91" s="507">
        <v>83587668</v>
      </c>
      <c r="V91" s="49">
        <f t="shared" si="100"/>
        <v>0</v>
      </c>
      <c r="W91" s="507">
        <v>53560757</v>
      </c>
      <c r="X91" s="49">
        <f t="shared" si="101"/>
        <v>0</v>
      </c>
      <c r="Y91" s="507">
        <v>34822943</v>
      </c>
      <c r="Z91" s="49">
        <f t="shared" si="102"/>
        <v>0</v>
      </c>
      <c r="AC91" s="556"/>
      <c r="AD91" s="556"/>
      <c r="AE91" s="556"/>
    </row>
    <row r="92" spans="2:31" s="54" customFormat="1" ht="27.6">
      <c r="B92" s="65" t="s">
        <v>18</v>
      </c>
      <c r="C92" s="308">
        <f>'21-3'!C135</f>
        <v>1457004</v>
      </c>
      <c r="D92" s="308">
        <f>'21-3'!D135</f>
        <v>0</v>
      </c>
      <c r="E92" s="308">
        <f>'21-3'!E135</f>
        <v>0</v>
      </c>
      <c r="F92" s="308">
        <f>'21-3'!F135</f>
        <v>0</v>
      </c>
      <c r="G92" s="308">
        <f>'21-3'!G135</f>
        <v>0</v>
      </c>
      <c r="H92" s="308">
        <f>'21-3'!H135</f>
        <v>0</v>
      </c>
      <c r="I92" s="308">
        <f>'21-3'!I135</f>
        <v>0</v>
      </c>
      <c r="J92" s="308">
        <f>'21-3'!J135</f>
        <v>0</v>
      </c>
      <c r="K92" s="308">
        <f>'21-3'!K135</f>
        <v>0</v>
      </c>
      <c r="L92" s="308">
        <f>'21-3'!L135</f>
        <v>0</v>
      </c>
      <c r="M92" s="308">
        <f>'21-3'!M135</f>
        <v>0</v>
      </c>
      <c r="N92" s="308">
        <f>'21-3'!N135</f>
        <v>0</v>
      </c>
      <c r="O92" s="308">
        <f>'21-3'!O135</f>
        <v>0</v>
      </c>
      <c r="P92" s="308">
        <f>'21-3'!P135</f>
        <v>0</v>
      </c>
      <c r="Q92" s="308">
        <f>'21-3'!Q135</f>
        <v>0</v>
      </c>
      <c r="R92" s="308">
        <f>'21-3'!R135</f>
        <v>0</v>
      </c>
      <c r="U92" s="509">
        <v>0</v>
      </c>
      <c r="V92" s="49">
        <f t="shared" si="100"/>
        <v>0</v>
      </c>
      <c r="W92" s="509">
        <v>0</v>
      </c>
      <c r="X92" s="49">
        <f t="shared" si="101"/>
        <v>0</v>
      </c>
      <c r="Y92" s="509">
        <v>0</v>
      </c>
      <c r="Z92" s="49">
        <f t="shared" si="102"/>
        <v>0</v>
      </c>
      <c r="AC92" s="556"/>
      <c r="AD92" s="556"/>
      <c r="AE92" s="556"/>
    </row>
    <row r="93" spans="2:31" s="49" customFormat="1" ht="15.6">
      <c r="B93" s="61" t="s">
        <v>140</v>
      </c>
      <c r="C93" s="307">
        <f>'21-3'!C203</f>
        <v>126566477</v>
      </c>
      <c r="D93" s="307">
        <f>'21-3'!D203</f>
        <v>113840593</v>
      </c>
      <c r="E93" s="307">
        <f>'21-3'!E203</f>
        <v>961313</v>
      </c>
      <c r="F93" s="307">
        <f>'21-3'!F203</f>
        <v>0</v>
      </c>
      <c r="G93" s="307">
        <f>'21-3'!G203</f>
        <v>0</v>
      </c>
      <c r="H93" s="307">
        <f>'21-3'!H203</f>
        <v>114801906</v>
      </c>
      <c r="I93" s="307">
        <f>'21-3'!I203</f>
        <v>43555251</v>
      </c>
      <c r="J93" s="307">
        <f>'21-3'!J203</f>
        <v>723096</v>
      </c>
      <c r="K93" s="307">
        <f>'21-3'!K203</f>
        <v>0</v>
      </c>
      <c r="L93" s="307">
        <f>'21-3'!L203</f>
        <v>0</v>
      </c>
      <c r="M93" s="307">
        <f>'21-3'!M203</f>
        <v>44278347</v>
      </c>
      <c r="N93" s="307">
        <f>'21-3'!N203</f>
        <v>15119523</v>
      </c>
      <c r="O93" s="307">
        <f>'21-3'!O203</f>
        <v>255589</v>
      </c>
      <c r="P93" s="307">
        <f>'21-3'!P203</f>
        <v>0</v>
      </c>
      <c r="Q93" s="307">
        <f>'21-3'!Q203</f>
        <v>0</v>
      </c>
      <c r="R93" s="307">
        <f>'21-3'!R203</f>
        <v>15375112</v>
      </c>
      <c r="U93" s="508">
        <v>113840593</v>
      </c>
      <c r="V93" s="49">
        <f t="shared" si="100"/>
        <v>0</v>
      </c>
      <c r="W93" s="508">
        <v>43555251</v>
      </c>
      <c r="X93" s="49">
        <f t="shared" si="101"/>
        <v>0</v>
      </c>
      <c r="Y93" s="508">
        <v>15119523</v>
      </c>
      <c r="Z93" s="49">
        <f t="shared" si="102"/>
        <v>0</v>
      </c>
      <c r="AC93" s="554"/>
      <c r="AD93" s="554"/>
      <c r="AE93" s="554"/>
    </row>
    <row r="94" spans="2:31" s="49" customFormat="1" ht="27">
      <c r="B94" s="63" t="s">
        <v>17</v>
      </c>
      <c r="C94" s="307">
        <f>'21-3'!C230+'21-3'!C247</f>
        <v>9832449</v>
      </c>
      <c r="D94" s="307">
        <f>'21-3'!D230+'21-3'!D247</f>
        <v>7340844</v>
      </c>
      <c r="E94" s="307">
        <f>'21-3'!E230+'21-3'!E247</f>
        <v>86382</v>
      </c>
      <c r="F94" s="307">
        <f>'21-3'!F230+'21-3'!F247</f>
        <v>0</v>
      </c>
      <c r="G94" s="307">
        <f>'21-3'!G230+'21-3'!G247</f>
        <v>0</v>
      </c>
      <c r="H94" s="307">
        <f>'21-3'!H230+'21-3'!H247</f>
        <v>7427226</v>
      </c>
      <c r="I94" s="307">
        <f>'21-3'!I230+'21-3'!I247</f>
        <v>3992597</v>
      </c>
      <c r="J94" s="307">
        <f>'21-3'!J230+'21-3'!J247</f>
        <v>13503</v>
      </c>
      <c r="K94" s="307">
        <f>'21-3'!K230+'21-3'!K247</f>
        <v>0</v>
      </c>
      <c r="L94" s="307">
        <f>'21-3'!L230+'21-3'!L247</f>
        <v>0</v>
      </c>
      <c r="M94" s="307">
        <f>'21-3'!M230+'21-3'!M247</f>
        <v>4006100</v>
      </c>
      <c r="N94" s="307">
        <f>'21-3'!N230+'21-3'!N247</f>
        <v>2054628</v>
      </c>
      <c r="O94" s="307">
        <f>'21-3'!O230+'21-3'!O247</f>
        <v>0</v>
      </c>
      <c r="P94" s="307">
        <f>'21-3'!P230+'21-3'!P247</f>
        <v>0</v>
      </c>
      <c r="Q94" s="307">
        <f>'21-3'!Q230+'21-3'!Q247</f>
        <v>0</v>
      </c>
      <c r="R94" s="307">
        <f>'21-3'!R230+'21-3'!R247</f>
        <v>2054628</v>
      </c>
      <c r="U94" s="508">
        <v>7340844</v>
      </c>
      <c r="V94" s="49">
        <f t="shared" si="100"/>
        <v>0</v>
      </c>
      <c r="W94" s="508">
        <v>3992597</v>
      </c>
      <c r="X94" s="49">
        <f t="shared" si="101"/>
        <v>0</v>
      </c>
      <c r="Y94" s="508">
        <v>2054628</v>
      </c>
      <c r="Z94" s="49">
        <f t="shared" si="102"/>
        <v>0</v>
      </c>
      <c r="AC94" s="554"/>
      <c r="AD94" s="554"/>
      <c r="AE94" s="554"/>
    </row>
    <row r="95" spans="2:31" s="49" customFormat="1" ht="15.6">
      <c r="B95" s="78" t="s">
        <v>45</v>
      </c>
      <c r="C95" s="324">
        <f>C96+C97</f>
        <v>103461470</v>
      </c>
      <c r="D95" s="324">
        <f t="shared" ref="D95:R95" si="115">D96+D97</f>
        <v>75192238</v>
      </c>
      <c r="E95" s="324">
        <f t="shared" si="115"/>
        <v>54307</v>
      </c>
      <c r="F95" s="324">
        <f t="shared" ref="F95" si="116">F96+F97</f>
        <v>3992970</v>
      </c>
      <c r="G95" s="324">
        <f t="shared" si="115"/>
        <v>9273727</v>
      </c>
      <c r="H95" s="324">
        <f t="shared" si="115"/>
        <v>88513242</v>
      </c>
      <c r="I95" s="324">
        <f t="shared" si="115"/>
        <v>55536358</v>
      </c>
      <c r="J95" s="324">
        <f t="shared" si="115"/>
        <v>51708</v>
      </c>
      <c r="K95" s="324">
        <f t="shared" ref="K95" si="117">K96+K97</f>
        <v>3597248</v>
      </c>
      <c r="L95" s="324">
        <f t="shared" si="115"/>
        <v>9866883</v>
      </c>
      <c r="M95" s="324">
        <f t="shared" si="115"/>
        <v>69052197</v>
      </c>
      <c r="N95" s="324">
        <f t="shared" si="115"/>
        <v>54513301</v>
      </c>
      <c r="O95" s="324">
        <f t="shared" si="115"/>
        <v>8256</v>
      </c>
      <c r="P95" s="324">
        <f t="shared" ref="P95" si="118">P96+P97</f>
        <v>3072005</v>
      </c>
      <c r="Q95" s="324">
        <f t="shared" si="115"/>
        <v>6116453</v>
      </c>
      <c r="R95" s="324">
        <f t="shared" si="115"/>
        <v>63710015</v>
      </c>
      <c r="U95" s="505">
        <v>75192238</v>
      </c>
      <c r="V95" s="49">
        <f t="shared" si="100"/>
        <v>0</v>
      </c>
      <c r="W95" s="505">
        <v>55536358</v>
      </c>
      <c r="X95" s="49">
        <f t="shared" si="101"/>
        <v>0</v>
      </c>
      <c r="Y95" s="505">
        <v>54513301</v>
      </c>
      <c r="Z95" s="49">
        <f t="shared" si="102"/>
        <v>0</v>
      </c>
      <c r="AC95" s="554"/>
      <c r="AD95" s="554"/>
      <c r="AE95" s="554"/>
    </row>
    <row r="96" spans="2:31" s="49" customFormat="1" ht="15.6">
      <c r="B96" s="59" t="s">
        <v>139</v>
      </c>
      <c r="C96" s="305">
        <f>'22-3'!C119</f>
        <v>94351450</v>
      </c>
      <c r="D96" s="305">
        <f>'22-3'!D119</f>
        <v>72117376</v>
      </c>
      <c r="E96" s="305">
        <f>'22-3'!E119</f>
        <v>0</v>
      </c>
      <c r="F96" s="305">
        <f>'22-3'!F119</f>
        <v>3992970</v>
      </c>
      <c r="G96" s="305">
        <f>'22-3'!G119</f>
        <v>9273727</v>
      </c>
      <c r="H96" s="305">
        <f>'22-3'!H119</f>
        <v>85384073</v>
      </c>
      <c r="I96" s="305">
        <f>'22-3'!I119</f>
        <v>52416947</v>
      </c>
      <c r="J96" s="305">
        <f>'22-3'!J119</f>
        <v>0</v>
      </c>
      <c r="K96" s="305">
        <f>'22-3'!K119</f>
        <v>3597248</v>
      </c>
      <c r="L96" s="305">
        <f>'22-3'!L119</f>
        <v>9866883</v>
      </c>
      <c r="M96" s="305">
        <f>'22-3'!M119</f>
        <v>65881078</v>
      </c>
      <c r="N96" s="305">
        <f>'22-3'!N119</f>
        <v>52470218</v>
      </c>
      <c r="O96" s="305">
        <f>'22-3'!O119</f>
        <v>0</v>
      </c>
      <c r="P96" s="305">
        <f>'22-3'!P119</f>
        <v>3072005</v>
      </c>
      <c r="Q96" s="305">
        <f>'22-3'!Q119</f>
        <v>6116453</v>
      </c>
      <c r="R96" s="305">
        <f>'22-3'!R119</f>
        <v>61658676</v>
      </c>
      <c r="U96" s="507">
        <v>72117376</v>
      </c>
      <c r="V96" s="49">
        <f t="shared" si="100"/>
        <v>0</v>
      </c>
      <c r="W96" s="507">
        <v>52416947</v>
      </c>
      <c r="X96" s="49">
        <f t="shared" si="101"/>
        <v>0</v>
      </c>
      <c r="Y96" s="507">
        <v>52470218</v>
      </c>
      <c r="Z96" s="49">
        <f t="shared" si="102"/>
        <v>0</v>
      </c>
      <c r="AC96" s="554"/>
      <c r="AD96" s="554"/>
      <c r="AE96" s="554"/>
    </row>
    <row r="97" spans="2:31" s="49" customFormat="1" ht="15.6">
      <c r="B97" s="61" t="s">
        <v>140</v>
      </c>
      <c r="C97" s="307">
        <f>'22-3'!C203</f>
        <v>9110020</v>
      </c>
      <c r="D97" s="307">
        <f>'22-3'!D203</f>
        <v>3074862</v>
      </c>
      <c r="E97" s="307">
        <f>'22-3'!E203</f>
        <v>54307</v>
      </c>
      <c r="F97" s="307">
        <f>'22-3'!F203</f>
        <v>0</v>
      </c>
      <c r="G97" s="307">
        <f>'22-3'!G203</f>
        <v>0</v>
      </c>
      <c r="H97" s="307">
        <f>'22-3'!H203</f>
        <v>3129169</v>
      </c>
      <c r="I97" s="307">
        <f>'22-3'!I203</f>
        <v>3119411</v>
      </c>
      <c r="J97" s="307">
        <f>'22-3'!J203</f>
        <v>51708</v>
      </c>
      <c r="K97" s="307">
        <f>'22-3'!K203</f>
        <v>0</v>
      </c>
      <c r="L97" s="307">
        <f>'22-3'!L203</f>
        <v>0</v>
      </c>
      <c r="M97" s="307">
        <f>'22-3'!M203</f>
        <v>3171119</v>
      </c>
      <c r="N97" s="307">
        <f>'22-3'!N203</f>
        <v>2043083</v>
      </c>
      <c r="O97" s="307">
        <f>'22-3'!O203</f>
        <v>8256</v>
      </c>
      <c r="P97" s="307">
        <f>'22-3'!P203</f>
        <v>0</v>
      </c>
      <c r="Q97" s="307">
        <f>'22-3'!Q203</f>
        <v>0</v>
      </c>
      <c r="R97" s="307">
        <f>'22-3'!R203</f>
        <v>2051339</v>
      </c>
      <c r="U97" s="508">
        <v>3074862</v>
      </c>
      <c r="V97" s="49">
        <f t="shared" si="100"/>
        <v>0</v>
      </c>
      <c r="W97" s="508">
        <v>3119411</v>
      </c>
      <c r="X97" s="49">
        <f t="shared" si="101"/>
        <v>0</v>
      </c>
      <c r="Y97" s="508">
        <v>2043083</v>
      </c>
      <c r="Z97" s="49">
        <f t="shared" si="102"/>
        <v>0</v>
      </c>
      <c r="AC97" s="554"/>
      <c r="AD97" s="554"/>
      <c r="AE97" s="554"/>
    </row>
    <row r="98" spans="2:31" s="49" customFormat="1" ht="27">
      <c r="B98" s="63" t="s">
        <v>17</v>
      </c>
      <c r="C98" s="307">
        <f>'22-3'!C230</f>
        <v>678314</v>
      </c>
      <c r="D98" s="307">
        <f>'22-3'!D230</f>
        <v>960842</v>
      </c>
      <c r="E98" s="307">
        <f>'22-3'!E230</f>
        <v>0</v>
      </c>
      <c r="F98" s="307">
        <f>'22-3'!F230</f>
        <v>0</v>
      </c>
      <c r="G98" s="307">
        <f>'22-3'!G230</f>
        <v>0</v>
      </c>
      <c r="H98" s="307">
        <f>'22-3'!H230</f>
        <v>960842</v>
      </c>
      <c r="I98" s="307">
        <f>'22-3'!I230</f>
        <v>953449</v>
      </c>
      <c r="J98" s="307">
        <f>'22-3'!J230</f>
        <v>0</v>
      </c>
      <c r="K98" s="307">
        <f>'22-3'!K230</f>
        <v>0</v>
      </c>
      <c r="L98" s="307">
        <f>'22-3'!L230</f>
        <v>0</v>
      </c>
      <c r="M98" s="307">
        <f>'22-3'!M230</f>
        <v>953449</v>
      </c>
      <c r="N98" s="307">
        <f>'22-3'!N230</f>
        <v>820062</v>
      </c>
      <c r="O98" s="307">
        <f>'22-3'!O230</f>
        <v>0</v>
      </c>
      <c r="P98" s="307">
        <f>'22-3'!P230</f>
        <v>0</v>
      </c>
      <c r="Q98" s="307">
        <f>'22-3'!Q230</f>
        <v>0</v>
      </c>
      <c r="R98" s="307">
        <f>'22-3'!R230</f>
        <v>820062</v>
      </c>
      <c r="U98" s="508">
        <v>960842</v>
      </c>
      <c r="V98" s="49">
        <f t="shared" si="100"/>
        <v>0</v>
      </c>
      <c r="W98" s="508">
        <v>953449</v>
      </c>
      <c r="X98" s="49">
        <f t="shared" si="101"/>
        <v>0</v>
      </c>
      <c r="Y98" s="508">
        <v>820062</v>
      </c>
      <c r="Z98" s="49">
        <f t="shared" si="102"/>
        <v>0</v>
      </c>
      <c r="AC98" s="554"/>
      <c r="AD98" s="554"/>
      <c r="AE98" s="554"/>
    </row>
    <row r="99" spans="2:31" s="49" customFormat="1" ht="15.6">
      <c r="B99" s="74" t="s">
        <v>33</v>
      </c>
      <c r="C99" s="324">
        <f>C100</f>
        <v>2642381</v>
      </c>
      <c r="D99" s="324">
        <f t="shared" ref="D99:R99" si="119">D100</f>
        <v>2642381</v>
      </c>
      <c r="E99" s="324">
        <f t="shared" si="119"/>
        <v>0</v>
      </c>
      <c r="F99" s="324">
        <f t="shared" si="119"/>
        <v>0</v>
      </c>
      <c r="G99" s="324">
        <f t="shared" si="119"/>
        <v>0</v>
      </c>
      <c r="H99" s="324">
        <f t="shared" si="119"/>
        <v>2642381</v>
      </c>
      <c r="I99" s="324">
        <f t="shared" si="119"/>
        <v>2642381</v>
      </c>
      <c r="J99" s="324">
        <f t="shared" si="119"/>
        <v>0</v>
      </c>
      <c r="K99" s="324">
        <f t="shared" si="119"/>
        <v>0</v>
      </c>
      <c r="L99" s="324">
        <f t="shared" si="119"/>
        <v>0</v>
      </c>
      <c r="M99" s="324">
        <f t="shared" si="119"/>
        <v>2642381</v>
      </c>
      <c r="N99" s="324">
        <f t="shared" si="119"/>
        <v>2642381</v>
      </c>
      <c r="O99" s="324">
        <f t="shared" si="119"/>
        <v>0</v>
      </c>
      <c r="P99" s="324">
        <f t="shared" si="119"/>
        <v>0</v>
      </c>
      <c r="Q99" s="324">
        <f t="shared" si="119"/>
        <v>0</v>
      </c>
      <c r="R99" s="324">
        <f t="shared" si="119"/>
        <v>2642381</v>
      </c>
      <c r="U99" s="505">
        <v>2642381</v>
      </c>
      <c r="V99" s="49">
        <f t="shared" si="100"/>
        <v>0</v>
      </c>
      <c r="W99" s="505">
        <v>2642381</v>
      </c>
      <c r="X99" s="49">
        <f t="shared" si="101"/>
        <v>0</v>
      </c>
      <c r="Y99" s="505">
        <v>2642381</v>
      </c>
      <c r="Z99" s="49">
        <f t="shared" si="102"/>
        <v>0</v>
      </c>
      <c r="AC99" s="554"/>
      <c r="AD99" s="554"/>
      <c r="AE99" s="554"/>
    </row>
    <row r="100" spans="2:31" s="49" customFormat="1" ht="15.6">
      <c r="B100" s="59" t="s">
        <v>139</v>
      </c>
      <c r="C100" s="305">
        <f>'24-3'!C119</f>
        <v>2642381</v>
      </c>
      <c r="D100" s="305">
        <f>'24-3'!D119</f>
        <v>2642381</v>
      </c>
      <c r="E100" s="305">
        <f>'24-3'!E119</f>
        <v>0</v>
      </c>
      <c r="F100" s="305">
        <f>'24-3'!F119</f>
        <v>0</v>
      </c>
      <c r="G100" s="305">
        <f>'24-3'!G119</f>
        <v>0</v>
      </c>
      <c r="H100" s="305">
        <f>'24-3'!H119</f>
        <v>2642381</v>
      </c>
      <c r="I100" s="305">
        <f>'24-3'!I119</f>
        <v>2642381</v>
      </c>
      <c r="J100" s="305">
        <f>'24-3'!J119</f>
        <v>0</v>
      </c>
      <c r="K100" s="305">
        <f>'24-3'!K119</f>
        <v>0</v>
      </c>
      <c r="L100" s="305">
        <f>'24-3'!L119</f>
        <v>0</v>
      </c>
      <c r="M100" s="305">
        <f>'24-3'!M119</f>
        <v>2642381</v>
      </c>
      <c r="N100" s="305">
        <f>'24-3'!N119</f>
        <v>2642381</v>
      </c>
      <c r="O100" s="305">
        <f>'24-3'!O119</f>
        <v>0</v>
      </c>
      <c r="P100" s="305">
        <f>'24-3'!P119</f>
        <v>0</v>
      </c>
      <c r="Q100" s="305">
        <f>'24-3'!Q119</f>
        <v>0</v>
      </c>
      <c r="R100" s="305">
        <f>'24-3'!R119</f>
        <v>2642381</v>
      </c>
      <c r="U100" s="507">
        <v>2642381</v>
      </c>
      <c r="V100" s="49">
        <f t="shared" si="100"/>
        <v>0</v>
      </c>
      <c r="W100" s="507">
        <v>2642381</v>
      </c>
      <c r="X100" s="49">
        <f t="shared" si="101"/>
        <v>0</v>
      </c>
      <c r="Y100" s="507">
        <v>2642381</v>
      </c>
      <c r="Z100" s="49">
        <f t="shared" si="102"/>
        <v>0</v>
      </c>
      <c r="AC100" s="554"/>
      <c r="AD100" s="554"/>
      <c r="AE100" s="554"/>
    </row>
    <row r="101" spans="2:31" s="49" customFormat="1" ht="15.6">
      <c r="B101" s="302" t="s">
        <v>176</v>
      </c>
      <c r="C101" s="324">
        <f>C102</f>
        <v>292881</v>
      </c>
      <c r="D101" s="324">
        <f t="shared" ref="D101:R101" si="120">D102</f>
        <v>333083</v>
      </c>
      <c r="E101" s="324">
        <f t="shared" si="120"/>
        <v>0</v>
      </c>
      <c r="F101" s="324">
        <f t="shared" si="120"/>
        <v>0</v>
      </c>
      <c r="G101" s="324">
        <f t="shared" si="120"/>
        <v>1430</v>
      </c>
      <c r="H101" s="324">
        <f t="shared" si="120"/>
        <v>334513</v>
      </c>
      <c r="I101" s="324">
        <f t="shared" si="120"/>
        <v>333083</v>
      </c>
      <c r="J101" s="324">
        <f t="shared" si="120"/>
        <v>0</v>
      </c>
      <c r="K101" s="324">
        <f t="shared" si="120"/>
        <v>0</v>
      </c>
      <c r="L101" s="324">
        <f t="shared" si="120"/>
        <v>1430</v>
      </c>
      <c r="M101" s="324">
        <f t="shared" si="120"/>
        <v>334513</v>
      </c>
      <c r="N101" s="324">
        <f t="shared" si="120"/>
        <v>333083</v>
      </c>
      <c r="O101" s="324">
        <f t="shared" si="120"/>
        <v>0</v>
      </c>
      <c r="P101" s="324">
        <f t="shared" si="120"/>
        <v>0</v>
      </c>
      <c r="Q101" s="324">
        <f t="shared" si="120"/>
        <v>1430</v>
      </c>
      <c r="R101" s="324">
        <f t="shared" si="120"/>
        <v>334513</v>
      </c>
      <c r="U101" s="505">
        <v>333083</v>
      </c>
      <c r="V101" s="49">
        <f t="shared" si="100"/>
        <v>0</v>
      </c>
      <c r="W101" s="505">
        <v>333083</v>
      </c>
      <c r="X101" s="49">
        <f t="shared" si="101"/>
        <v>0</v>
      </c>
      <c r="Y101" s="505">
        <v>333083</v>
      </c>
      <c r="Z101" s="49">
        <f t="shared" si="102"/>
        <v>0</v>
      </c>
      <c r="AC101" s="554"/>
      <c r="AD101" s="554"/>
      <c r="AE101" s="554"/>
    </row>
    <row r="102" spans="2:31" s="49" customFormat="1" ht="15.6">
      <c r="B102" s="59" t="s">
        <v>139</v>
      </c>
      <c r="C102" s="305">
        <f>'25-3'!C119</f>
        <v>292881</v>
      </c>
      <c r="D102" s="305">
        <f>'25-3'!D119</f>
        <v>333083</v>
      </c>
      <c r="E102" s="305">
        <f>'25-3'!E119</f>
        <v>0</v>
      </c>
      <c r="F102" s="305">
        <f>'25-3'!F119</f>
        <v>0</v>
      </c>
      <c r="G102" s="305">
        <f>'25-3'!G119</f>
        <v>1430</v>
      </c>
      <c r="H102" s="305">
        <f>'25-3'!H119</f>
        <v>334513</v>
      </c>
      <c r="I102" s="305">
        <f>'25-3'!I119</f>
        <v>333083</v>
      </c>
      <c r="J102" s="305">
        <f>'25-3'!J119</f>
        <v>0</v>
      </c>
      <c r="K102" s="305">
        <f>'25-3'!K119</f>
        <v>0</v>
      </c>
      <c r="L102" s="305">
        <f>'25-3'!L119</f>
        <v>1430</v>
      </c>
      <c r="M102" s="305">
        <f>'25-3'!M119</f>
        <v>334513</v>
      </c>
      <c r="N102" s="305">
        <f>'25-3'!N119</f>
        <v>333083</v>
      </c>
      <c r="O102" s="305">
        <f>'25-3'!O119</f>
        <v>0</v>
      </c>
      <c r="P102" s="305">
        <f>'25-3'!P119</f>
        <v>0</v>
      </c>
      <c r="Q102" s="305">
        <f>'25-3'!Q119</f>
        <v>1430</v>
      </c>
      <c r="R102" s="305">
        <f>'25-3'!R119</f>
        <v>334513</v>
      </c>
      <c r="U102" s="507">
        <v>333083</v>
      </c>
      <c r="V102" s="49">
        <f t="shared" si="100"/>
        <v>0</v>
      </c>
      <c r="W102" s="507">
        <v>333083</v>
      </c>
      <c r="X102" s="49">
        <f t="shared" si="101"/>
        <v>0</v>
      </c>
      <c r="Y102" s="507">
        <v>333083</v>
      </c>
      <c r="Z102" s="49">
        <f t="shared" si="102"/>
        <v>0</v>
      </c>
      <c r="AC102" s="554"/>
      <c r="AD102" s="554"/>
      <c r="AE102" s="554"/>
    </row>
    <row r="103" spans="2:31" s="49" customFormat="1" ht="15.6">
      <c r="B103" s="78" t="s">
        <v>34</v>
      </c>
      <c r="C103" s="324">
        <f>C104</f>
        <v>2931358</v>
      </c>
      <c r="D103" s="324">
        <f t="shared" ref="D103:R103" si="121">D104</f>
        <v>2934170</v>
      </c>
      <c r="E103" s="324">
        <f t="shared" si="121"/>
        <v>0</v>
      </c>
      <c r="F103" s="324">
        <f t="shared" si="121"/>
        <v>0</v>
      </c>
      <c r="G103" s="324">
        <f t="shared" si="121"/>
        <v>252521</v>
      </c>
      <c r="H103" s="324">
        <f t="shared" si="121"/>
        <v>3186691</v>
      </c>
      <c r="I103" s="324">
        <f t="shared" si="121"/>
        <v>2934170</v>
      </c>
      <c r="J103" s="324">
        <f t="shared" si="121"/>
        <v>0</v>
      </c>
      <c r="K103" s="324">
        <f t="shared" si="121"/>
        <v>0</v>
      </c>
      <c r="L103" s="324">
        <f t="shared" si="121"/>
        <v>252521</v>
      </c>
      <c r="M103" s="324">
        <f t="shared" si="121"/>
        <v>3186691</v>
      </c>
      <c r="N103" s="324">
        <f t="shared" si="121"/>
        <v>2934170</v>
      </c>
      <c r="O103" s="324">
        <f t="shared" si="121"/>
        <v>0</v>
      </c>
      <c r="P103" s="324">
        <f t="shared" si="121"/>
        <v>0</v>
      </c>
      <c r="Q103" s="324">
        <f t="shared" si="121"/>
        <v>252521</v>
      </c>
      <c r="R103" s="324">
        <f t="shared" si="121"/>
        <v>3186691</v>
      </c>
      <c r="U103" s="505">
        <v>2934170</v>
      </c>
      <c r="V103" s="49">
        <f t="shared" si="100"/>
        <v>0</v>
      </c>
      <c r="W103" s="505">
        <v>2934170</v>
      </c>
      <c r="X103" s="49">
        <f t="shared" si="101"/>
        <v>0</v>
      </c>
      <c r="Y103" s="505">
        <v>2934170</v>
      </c>
      <c r="Z103" s="49">
        <f t="shared" si="102"/>
        <v>0</v>
      </c>
      <c r="AC103" s="554"/>
      <c r="AD103" s="554"/>
      <c r="AE103" s="554"/>
    </row>
    <row r="104" spans="2:31" ht="15.6">
      <c r="B104" s="59" t="s">
        <v>139</v>
      </c>
      <c r="C104" s="305">
        <f>'28-3'!C119</f>
        <v>2931358</v>
      </c>
      <c r="D104" s="305">
        <f>'28-3'!D119</f>
        <v>2934170</v>
      </c>
      <c r="E104" s="305">
        <f>'28-3'!E119</f>
        <v>0</v>
      </c>
      <c r="F104" s="305">
        <f>'28-3'!F119</f>
        <v>0</v>
      </c>
      <c r="G104" s="305">
        <f>'28-3'!G119</f>
        <v>252521</v>
      </c>
      <c r="H104" s="305">
        <f>'28-3'!H119</f>
        <v>3186691</v>
      </c>
      <c r="I104" s="305">
        <f>'28-3'!I119</f>
        <v>2934170</v>
      </c>
      <c r="J104" s="305">
        <f>'28-3'!J119</f>
        <v>0</v>
      </c>
      <c r="K104" s="305">
        <f>'28-3'!K119</f>
        <v>0</v>
      </c>
      <c r="L104" s="305">
        <f>'28-3'!L119</f>
        <v>252521</v>
      </c>
      <c r="M104" s="305">
        <f>'28-3'!M119</f>
        <v>3186691</v>
      </c>
      <c r="N104" s="305">
        <f>'28-3'!N119</f>
        <v>2934170</v>
      </c>
      <c r="O104" s="305">
        <f>'28-3'!O119</f>
        <v>0</v>
      </c>
      <c r="P104" s="305">
        <f>'28-3'!P119</f>
        <v>0</v>
      </c>
      <c r="Q104" s="305">
        <f>'28-3'!Q119</f>
        <v>252521</v>
      </c>
      <c r="R104" s="305">
        <f>'28-3'!R119</f>
        <v>3186691</v>
      </c>
      <c r="U104" s="507">
        <v>2934170</v>
      </c>
      <c r="V104" s="49">
        <f t="shared" si="100"/>
        <v>0</v>
      </c>
      <c r="W104" s="507">
        <v>2934170</v>
      </c>
      <c r="X104" s="49">
        <f t="shared" si="101"/>
        <v>0</v>
      </c>
      <c r="Y104" s="507">
        <v>2934170</v>
      </c>
      <c r="Z104" s="49">
        <f t="shared" si="102"/>
        <v>0</v>
      </c>
    </row>
    <row r="105" spans="2:31" s="49" customFormat="1" ht="15.6">
      <c r="B105" s="83" t="s">
        <v>35</v>
      </c>
      <c r="C105" s="324">
        <f>C106+C107</f>
        <v>457491514</v>
      </c>
      <c r="D105" s="324">
        <f t="shared" ref="D105:R105" si="122">D106+D107</f>
        <v>423075000</v>
      </c>
      <c r="E105" s="324">
        <f t="shared" si="122"/>
        <v>-73827</v>
      </c>
      <c r="F105" s="324">
        <f t="shared" ref="F105" si="123">F106+F107</f>
        <v>3292785</v>
      </c>
      <c r="G105" s="324">
        <f t="shared" si="122"/>
        <v>44863898</v>
      </c>
      <c r="H105" s="324">
        <f t="shared" si="122"/>
        <v>471157856</v>
      </c>
      <c r="I105" s="324">
        <f t="shared" si="122"/>
        <v>420013288</v>
      </c>
      <c r="J105" s="324">
        <f t="shared" si="122"/>
        <v>-73827</v>
      </c>
      <c r="K105" s="324">
        <f t="shared" ref="K105" si="124">K106+K107</f>
        <v>5283826</v>
      </c>
      <c r="L105" s="324">
        <f t="shared" si="122"/>
        <v>49183295</v>
      </c>
      <c r="M105" s="324">
        <f t="shared" si="122"/>
        <v>474406582</v>
      </c>
      <c r="N105" s="324">
        <f t="shared" si="122"/>
        <v>419793788</v>
      </c>
      <c r="O105" s="324">
        <f t="shared" si="122"/>
        <v>-73827</v>
      </c>
      <c r="P105" s="324">
        <f t="shared" ref="P105" si="125">P106+P107</f>
        <v>1836834</v>
      </c>
      <c r="Q105" s="324">
        <f t="shared" si="122"/>
        <v>48824488</v>
      </c>
      <c r="R105" s="324">
        <f t="shared" si="122"/>
        <v>470381283</v>
      </c>
      <c r="U105" s="505">
        <v>423075000</v>
      </c>
      <c r="V105" s="49">
        <f t="shared" si="100"/>
        <v>0</v>
      </c>
      <c r="W105" s="505">
        <v>420013288</v>
      </c>
      <c r="X105" s="49">
        <f t="shared" si="101"/>
        <v>0</v>
      </c>
      <c r="Y105" s="505">
        <v>419793788</v>
      </c>
      <c r="Z105" s="49">
        <f t="shared" si="102"/>
        <v>0</v>
      </c>
      <c r="AC105" s="554"/>
      <c r="AD105" s="554"/>
      <c r="AE105" s="554"/>
    </row>
    <row r="106" spans="2:31" ht="15.6">
      <c r="B106" s="59" t="s">
        <v>139</v>
      </c>
      <c r="C106" s="305">
        <f>'29-3'!C119</f>
        <v>446121868</v>
      </c>
      <c r="D106" s="305">
        <f>'29-3'!D119</f>
        <v>419691516</v>
      </c>
      <c r="E106" s="305">
        <f>'29-3'!E119</f>
        <v>-73827</v>
      </c>
      <c r="F106" s="305">
        <f>'29-3'!F119</f>
        <v>3292785</v>
      </c>
      <c r="G106" s="305">
        <f>'29-3'!G119</f>
        <v>44863898</v>
      </c>
      <c r="H106" s="305">
        <f>'29-3'!H119</f>
        <v>467774372</v>
      </c>
      <c r="I106" s="305">
        <f>'29-3'!I119</f>
        <v>419691516</v>
      </c>
      <c r="J106" s="305">
        <f>'29-3'!J119</f>
        <v>-73827</v>
      </c>
      <c r="K106" s="305">
        <f>'29-3'!K119</f>
        <v>5283826</v>
      </c>
      <c r="L106" s="305">
        <f>'29-3'!L119</f>
        <v>49183295</v>
      </c>
      <c r="M106" s="305">
        <f>'29-3'!M119</f>
        <v>474084810</v>
      </c>
      <c r="N106" s="305">
        <f>'29-3'!N119</f>
        <v>419691516</v>
      </c>
      <c r="O106" s="305">
        <f>'29-3'!O119</f>
        <v>-73827</v>
      </c>
      <c r="P106" s="305">
        <f>'29-3'!P119</f>
        <v>1836834</v>
      </c>
      <c r="Q106" s="305">
        <f>'29-3'!Q119</f>
        <v>48824488</v>
      </c>
      <c r="R106" s="305">
        <f>'29-3'!R119</f>
        <v>470279011</v>
      </c>
      <c r="U106" s="507">
        <v>419691516</v>
      </c>
      <c r="V106" s="49">
        <f t="shared" si="100"/>
        <v>0</v>
      </c>
      <c r="W106" s="507">
        <v>419691516</v>
      </c>
      <c r="X106" s="49">
        <f t="shared" si="101"/>
        <v>0</v>
      </c>
      <c r="Y106" s="507">
        <v>419691516</v>
      </c>
      <c r="Z106" s="49">
        <f t="shared" si="102"/>
        <v>0</v>
      </c>
    </row>
    <row r="107" spans="2:31" ht="15.6">
      <c r="B107" s="61" t="s">
        <v>140</v>
      </c>
      <c r="C107" s="307">
        <f>'29-3'!C203</f>
        <v>11369646</v>
      </c>
      <c r="D107" s="307">
        <f>'29-3'!D203</f>
        <v>3383484</v>
      </c>
      <c r="E107" s="307">
        <f>'29-3'!E203</f>
        <v>0</v>
      </c>
      <c r="F107" s="307">
        <f>'29-3'!F203</f>
        <v>0</v>
      </c>
      <c r="G107" s="307">
        <f>'29-3'!G203</f>
        <v>0</v>
      </c>
      <c r="H107" s="307">
        <f>'29-3'!H203</f>
        <v>3383484</v>
      </c>
      <c r="I107" s="307">
        <f>'29-3'!I203</f>
        <v>321772</v>
      </c>
      <c r="J107" s="307">
        <f>'29-3'!J203</f>
        <v>0</v>
      </c>
      <c r="K107" s="307">
        <f>'29-3'!K203</f>
        <v>0</v>
      </c>
      <c r="L107" s="307">
        <f>'29-3'!L203</f>
        <v>0</v>
      </c>
      <c r="M107" s="307">
        <f>'29-3'!M203</f>
        <v>321772</v>
      </c>
      <c r="N107" s="307">
        <f>'29-3'!N203</f>
        <v>102272</v>
      </c>
      <c r="O107" s="307">
        <f>'29-3'!O203</f>
        <v>0</v>
      </c>
      <c r="P107" s="307">
        <f>'29-3'!P203</f>
        <v>0</v>
      </c>
      <c r="Q107" s="307">
        <f>'29-3'!Q203</f>
        <v>0</v>
      </c>
      <c r="R107" s="307">
        <f>'29-3'!R203</f>
        <v>102272</v>
      </c>
      <c r="U107" s="508">
        <v>3383484</v>
      </c>
      <c r="V107" s="49">
        <f t="shared" si="100"/>
        <v>0</v>
      </c>
      <c r="W107" s="508">
        <v>321772</v>
      </c>
      <c r="X107" s="49">
        <f t="shared" si="101"/>
        <v>0</v>
      </c>
      <c r="Y107" s="508">
        <v>102272</v>
      </c>
      <c r="Z107" s="49">
        <f t="shared" si="102"/>
        <v>0</v>
      </c>
    </row>
    <row r="108" spans="2:31" ht="3" hidden="1" customHeight="1">
      <c r="B108" s="63" t="s">
        <v>17</v>
      </c>
      <c r="C108" s="306"/>
      <c r="D108" s="306"/>
      <c r="E108" s="306"/>
      <c r="F108" s="306"/>
      <c r="G108" s="306"/>
      <c r="H108" s="306"/>
      <c r="I108" s="306"/>
      <c r="J108" s="306"/>
      <c r="K108" s="306"/>
      <c r="L108" s="306"/>
      <c r="M108" s="306"/>
      <c r="N108" s="306"/>
      <c r="O108" s="306"/>
      <c r="P108" s="306"/>
      <c r="Q108" s="306"/>
      <c r="R108" s="306"/>
      <c r="U108" s="511"/>
      <c r="V108" s="49">
        <f t="shared" si="100"/>
        <v>0</v>
      </c>
      <c r="W108" s="511"/>
      <c r="X108" s="49">
        <f t="shared" si="101"/>
        <v>0</v>
      </c>
      <c r="Y108" s="511"/>
      <c r="Z108" s="49">
        <f t="shared" si="102"/>
        <v>0</v>
      </c>
    </row>
    <row r="109" spans="2:31" ht="3" hidden="1" customHeight="1">
      <c r="B109" s="65" t="s">
        <v>18</v>
      </c>
      <c r="C109" s="304"/>
      <c r="D109" s="304"/>
      <c r="E109" s="304"/>
      <c r="F109" s="304"/>
      <c r="G109" s="304"/>
      <c r="H109" s="304"/>
      <c r="I109" s="304"/>
      <c r="J109" s="304"/>
      <c r="K109" s="304"/>
      <c r="L109" s="304"/>
      <c r="M109" s="304"/>
      <c r="N109" s="304"/>
      <c r="O109" s="304"/>
      <c r="P109" s="304"/>
      <c r="Q109" s="304"/>
      <c r="R109" s="304"/>
      <c r="U109" s="510"/>
      <c r="V109" s="49">
        <f t="shared" si="100"/>
        <v>0</v>
      </c>
      <c r="W109" s="510"/>
      <c r="X109" s="49">
        <f t="shared" si="101"/>
        <v>0</v>
      </c>
      <c r="Y109" s="510"/>
      <c r="Z109" s="49">
        <f t="shared" si="102"/>
        <v>0</v>
      </c>
    </row>
    <row r="110" spans="2:31" ht="15.6">
      <c r="B110" s="78" t="s">
        <v>36</v>
      </c>
      <c r="C110" s="324">
        <f>C111</f>
        <v>748148</v>
      </c>
      <c r="D110" s="324">
        <f t="shared" ref="D110:R110" si="126">D111</f>
        <v>740348</v>
      </c>
      <c r="E110" s="324">
        <f t="shared" si="126"/>
        <v>5460</v>
      </c>
      <c r="F110" s="324">
        <f t="shared" si="126"/>
        <v>0</v>
      </c>
      <c r="G110" s="324">
        <f t="shared" si="126"/>
        <v>30000</v>
      </c>
      <c r="H110" s="324">
        <f t="shared" si="126"/>
        <v>775808</v>
      </c>
      <c r="I110" s="324">
        <f t="shared" si="126"/>
        <v>740348</v>
      </c>
      <c r="J110" s="324">
        <f t="shared" si="126"/>
        <v>0</v>
      </c>
      <c r="K110" s="324">
        <f t="shared" si="126"/>
        <v>0</v>
      </c>
      <c r="L110" s="324">
        <f t="shared" si="126"/>
        <v>40000</v>
      </c>
      <c r="M110" s="324">
        <f t="shared" si="126"/>
        <v>780348</v>
      </c>
      <c r="N110" s="324">
        <f t="shared" si="126"/>
        <v>740348</v>
      </c>
      <c r="O110" s="324">
        <f t="shared" si="126"/>
        <v>0</v>
      </c>
      <c r="P110" s="324">
        <f t="shared" si="126"/>
        <v>0</v>
      </c>
      <c r="Q110" s="324">
        <f t="shared" si="126"/>
        <v>18000</v>
      </c>
      <c r="R110" s="324">
        <f t="shared" si="126"/>
        <v>758348</v>
      </c>
      <c r="U110" s="505">
        <v>740348</v>
      </c>
      <c r="V110" s="49">
        <f t="shared" si="100"/>
        <v>0</v>
      </c>
      <c r="W110" s="505">
        <v>740348</v>
      </c>
      <c r="X110" s="49">
        <f t="shared" si="101"/>
        <v>0</v>
      </c>
      <c r="Y110" s="505">
        <v>740348</v>
      </c>
      <c r="Z110" s="49">
        <f t="shared" si="102"/>
        <v>0</v>
      </c>
    </row>
    <row r="111" spans="2:31" ht="15.6">
      <c r="B111" s="59" t="s">
        <v>139</v>
      </c>
      <c r="C111" s="305">
        <f>'30-3'!C119</f>
        <v>748148</v>
      </c>
      <c r="D111" s="305">
        <f>'30-3'!D119</f>
        <v>740348</v>
      </c>
      <c r="E111" s="305">
        <f>'30-3'!E119</f>
        <v>5460</v>
      </c>
      <c r="F111" s="305">
        <f>'30-3'!F119</f>
        <v>0</v>
      </c>
      <c r="G111" s="305">
        <f>'30-3'!G119</f>
        <v>30000</v>
      </c>
      <c r="H111" s="305">
        <f>'30-3'!H119</f>
        <v>775808</v>
      </c>
      <c r="I111" s="305">
        <f>'30-3'!I119</f>
        <v>740348</v>
      </c>
      <c r="J111" s="305">
        <f>'30-3'!J119</f>
        <v>0</v>
      </c>
      <c r="K111" s="305">
        <f>'30-3'!K119</f>
        <v>0</v>
      </c>
      <c r="L111" s="305">
        <f>'30-3'!L119</f>
        <v>40000</v>
      </c>
      <c r="M111" s="305">
        <f>'30-3'!M119</f>
        <v>780348</v>
      </c>
      <c r="N111" s="305">
        <f>'30-3'!N119</f>
        <v>740348</v>
      </c>
      <c r="O111" s="305">
        <f>'30-3'!O119</f>
        <v>0</v>
      </c>
      <c r="P111" s="305">
        <f>'30-3'!P119</f>
        <v>0</v>
      </c>
      <c r="Q111" s="305">
        <f>'30-3'!Q119</f>
        <v>18000</v>
      </c>
      <c r="R111" s="305">
        <f>'30-3'!R119</f>
        <v>758348</v>
      </c>
      <c r="U111" s="507">
        <v>740348</v>
      </c>
      <c r="V111" s="49">
        <f t="shared" si="100"/>
        <v>0</v>
      </c>
      <c r="W111" s="507">
        <v>740348</v>
      </c>
      <c r="X111" s="49">
        <f t="shared" si="101"/>
        <v>0</v>
      </c>
      <c r="Y111" s="507">
        <v>740348</v>
      </c>
      <c r="Z111" s="49">
        <f t="shared" si="102"/>
        <v>0</v>
      </c>
    </row>
    <row r="112" spans="2:31" ht="15.6">
      <c r="B112" s="77" t="s">
        <v>37</v>
      </c>
      <c r="C112" s="324">
        <f>C113</f>
        <v>14334134</v>
      </c>
      <c r="D112" s="324">
        <f t="shared" ref="D112:R112" si="127">D113</f>
        <v>14420154</v>
      </c>
      <c r="E112" s="324">
        <f t="shared" si="127"/>
        <v>0</v>
      </c>
      <c r="F112" s="324">
        <f t="shared" si="127"/>
        <v>0</v>
      </c>
      <c r="G112" s="324">
        <f t="shared" si="127"/>
        <v>97240</v>
      </c>
      <c r="H112" s="324">
        <f t="shared" si="127"/>
        <v>14517394</v>
      </c>
      <c r="I112" s="324">
        <f t="shared" si="127"/>
        <v>14420154</v>
      </c>
      <c r="J112" s="324">
        <f t="shared" si="127"/>
        <v>0</v>
      </c>
      <c r="K112" s="324">
        <f t="shared" si="127"/>
        <v>0</v>
      </c>
      <c r="L112" s="324">
        <f t="shared" si="127"/>
        <v>97240</v>
      </c>
      <c r="M112" s="324">
        <f t="shared" si="127"/>
        <v>14517394</v>
      </c>
      <c r="N112" s="324">
        <f t="shared" si="127"/>
        <v>14420154</v>
      </c>
      <c r="O112" s="324">
        <f t="shared" si="127"/>
        <v>0</v>
      </c>
      <c r="P112" s="324">
        <f t="shared" si="127"/>
        <v>0</v>
      </c>
      <c r="Q112" s="324">
        <f t="shared" si="127"/>
        <v>97240</v>
      </c>
      <c r="R112" s="324">
        <f t="shared" si="127"/>
        <v>14517394</v>
      </c>
      <c r="U112" s="505">
        <v>14420154</v>
      </c>
      <c r="V112" s="49">
        <f t="shared" si="100"/>
        <v>0</v>
      </c>
      <c r="W112" s="505">
        <v>14420154</v>
      </c>
      <c r="X112" s="49">
        <f t="shared" si="101"/>
        <v>0</v>
      </c>
      <c r="Y112" s="505">
        <v>14420154</v>
      </c>
      <c r="Z112" s="49">
        <f t="shared" si="102"/>
        <v>0</v>
      </c>
    </row>
    <row r="113" spans="2:26" ht="15.6">
      <c r="B113" s="59" t="s">
        <v>139</v>
      </c>
      <c r="C113" s="305">
        <f>'32-3'!C119</f>
        <v>14334134</v>
      </c>
      <c r="D113" s="305">
        <f>'32-3'!D119</f>
        <v>14420154</v>
      </c>
      <c r="E113" s="305">
        <f>'32-3'!E119</f>
        <v>0</v>
      </c>
      <c r="F113" s="305">
        <f>'32-3'!F119</f>
        <v>0</v>
      </c>
      <c r="G113" s="305">
        <f>'32-3'!G119</f>
        <v>97240</v>
      </c>
      <c r="H113" s="305">
        <f>'32-3'!H119</f>
        <v>14517394</v>
      </c>
      <c r="I113" s="305">
        <f>'32-3'!I119</f>
        <v>14420154</v>
      </c>
      <c r="J113" s="305">
        <f>'32-3'!J119</f>
        <v>0</v>
      </c>
      <c r="K113" s="305">
        <f>'32-3'!K119</f>
        <v>0</v>
      </c>
      <c r="L113" s="305">
        <f>'32-3'!L119</f>
        <v>97240</v>
      </c>
      <c r="M113" s="305">
        <f>'32-3'!M119</f>
        <v>14517394</v>
      </c>
      <c r="N113" s="305">
        <f>'32-3'!N119</f>
        <v>14420154</v>
      </c>
      <c r="O113" s="305">
        <f>'32-3'!O119</f>
        <v>0</v>
      </c>
      <c r="P113" s="305">
        <f>'32-3'!P119</f>
        <v>0</v>
      </c>
      <c r="Q113" s="305">
        <f>'32-3'!Q119</f>
        <v>97240</v>
      </c>
      <c r="R113" s="305">
        <f>'32-3'!R119</f>
        <v>14517394</v>
      </c>
      <c r="U113" s="507">
        <v>14420154</v>
      </c>
      <c r="V113" s="49">
        <f t="shared" si="100"/>
        <v>0</v>
      </c>
      <c r="W113" s="507">
        <v>14420154</v>
      </c>
      <c r="X113" s="49">
        <f t="shared" si="101"/>
        <v>0</v>
      </c>
      <c r="Y113" s="507">
        <v>14420154</v>
      </c>
      <c r="Z113" s="49">
        <f t="shared" si="102"/>
        <v>0</v>
      </c>
    </row>
    <row r="114" spans="2:26" ht="15.6">
      <c r="B114" s="77" t="s">
        <v>86</v>
      </c>
      <c r="C114" s="324">
        <f>C115</f>
        <v>261076</v>
      </c>
      <c r="D114" s="324">
        <f t="shared" ref="D114:R114" si="128">D115</f>
        <v>398337</v>
      </c>
      <c r="E114" s="324">
        <f t="shared" si="128"/>
        <v>0</v>
      </c>
      <c r="F114" s="324">
        <f t="shared" si="128"/>
        <v>21133</v>
      </c>
      <c r="G114" s="324">
        <f t="shared" si="128"/>
        <v>111000</v>
      </c>
      <c r="H114" s="324">
        <f t="shared" si="128"/>
        <v>530470</v>
      </c>
      <c r="I114" s="324">
        <f t="shared" si="128"/>
        <v>4220790</v>
      </c>
      <c r="J114" s="324">
        <f t="shared" si="128"/>
        <v>0</v>
      </c>
      <c r="K114" s="324">
        <f t="shared" si="128"/>
        <v>21133</v>
      </c>
      <c r="L114" s="324">
        <f t="shared" si="128"/>
        <v>0</v>
      </c>
      <c r="M114" s="324">
        <f t="shared" si="128"/>
        <v>4241923</v>
      </c>
      <c r="N114" s="324">
        <f t="shared" si="128"/>
        <v>255276</v>
      </c>
      <c r="O114" s="324">
        <f t="shared" si="128"/>
        <v>0</v>
      </c>
      <c r="P114" s="324">
        <f t="shared" si="128"/>
        <v>21133</v>
      </c>
      <c r="Q114" s="324">
        <f t="shared" si="128"/>
        <v>0</v>
      </c>
      <c r="R114" s="324">
        <f t="shared" si="128"/>
        <v>276409</v>
      </c>
      <c r="U114" s="505">
        <v>398337</v>
      </c>
      <c r="V114" s="49">
        <f t="shared" si="100"/>
        <v>0</v>
      </c>
      <c r="W114" s="505">
        <v>4220790</v>
      </c>
      <c r="X114" s="49">
        <f t="shared" si="101"/>
        <v>0</v>
      </c>
      <c r="Y114" s="505">
        <v>255276</v>
      </c>
      <c r="Z114" s="49">
        <f t="shared" si="102"/>
        <v>0</v>
      </c>
    </row>
    <row r="115" spans="2:26" ht="15.6">
      <c r="B115" s="59" t="s">
        <v>139</v>
      </c>
      <c r="C115" s="305">
        <f>'35-3'!C119</f>
        <v>261076</v>
      </c>
      <c r="D115" s="305">
        <f>'35-3'!D119</f>
        <v>398337</v>
      </c>
      <c r="E115" s="305">
        <f>'35-3'!E119</f>
        <v>0</v>
      </c>
      <c r="F115" s="305">
        <f>'35-3'!F119</f>
        <v>21133</v>
      </c>
      <c r="G115" s="305">
        <f>'35-3'!G119</f>
        <v>111000</v>
      </c>
      <c r="H115" s="305">
        <f>'35-3'!H119</f>
        <v>530470</v>
      </c>
      <c r="I115" s="305">
        <f>'35-3'!I119</f>
        <v>4220790</v>
      </c>
      <c r="J115" s="305">
        <f>'35-3'!J119</f>
        <v>0</v>
      </c>
      <c r="K115" s="305">
        <f>'35-3'!K119</f>
        <v>21133</v>
      </c>
      <c r="L115" s="305">
        <f>'35-3'!L119</f>
        <v>0</v>
      </c>
      <c r="M115" s="305">
        <f>'35-3'!M119</f>
        <v>4241923</v>
      </c>
      <c r="N115" s="305">
        <f>'35-3'!N119</f>
        <v>255276</v>
      </c>
      <c r="O115" s="305">
        <f>'35-3'!O119</f>
        <v>0</v>
      </c>
      <c r="P115" s="305">
        <f>'35-3'!P119</f>
        <v>21133</v>
      </c>
      <c r="Q115" s="305">
        <f>'35-3'!Q119</f>
        <v>0</v>
      </c>
      <c r="R115" s="305">
        <f>'35-3'!R119</f>
        <v>276409</v>
      </c>
      <c r="U115" s="507">
        <v>398337</v>
      </c>
      <c r="V115" s="49">
        <f t="shared" si="100"/>
        <v>0</v>
      </c>
      <c r="W115" s="507">
        <v>4220790</v>
      </c>
      <c r="X115" s="49">
        <f t="shared" si="101"/>
        <v>0</v>
      </c>
      <c r="Y115" s="507">
        <v>255276</v>
      </c>
      <c r="Z115" s="49">
        <f t="shared" si="102"/>
        <v>0</v>
      </c>
    </row>
    <row r="116" spans="2:26" ht="15.6">
      <c r="B116" s="78" t="s">
        <v>38</v>
      </c>
      <c r="C116" s="324">
        <f>C117</f>
        <v>71265</v>
      </c>
      <c r="D116" s="324">
        <f t="shared" ref="D116:R116" si="129">D117</f>
        <v>71265</v>
      </c>
      <c r="E116" s="324">
        <f t="shared" si="129"/>
        <v>0</v>
      </c>
      <c r="F116" s="324">
        <f t="shared" si="129"/>
        <v>0</v>
      </c>
      <c r="G116" s="324">
        <f t="shared" si="129"/>
        <v>0</v>
      </c>
      <c r="H116" s="324">
        <f t="shared" si="129"/>
        <v>71265</v>
      </c>
      <c r="I116" s="324">
        <f t="shared" si="129"/>
        <v>71265</v>
      </c>
      <c r="J116" s="324">
        <f t="shared" si="129"/>
        <v>0</v>
      </c>
      <c r="K116" s="324">
        <f t="shared" si="129"/>
        <v>0</v>
      </c>
      <c r="L116" s="324">
        <f t="shared" si="129"/>
        <v>0</v>
      </c>
      <c r="M116" s="324">
        <f t="shared" si="129"/>
        <v>71265</v>
      </c>
      <c r="N116" s="324">
        <f t="shared" si="129"/>
        <v>71265</v>
      </c>
      <c r="O116" s="324">
        <f t="shared" si="129"/>
        <v>0</v>
      </c>
      <c r="P116" s="324">
        <f t="shared" si="129"/>
        <v>0</v>
      </c>
      <c r="Q116" s="324">
        <f t="shared" si="129"/>
        <v>0</v>
      </c>
      <c r="R116" s="324">
        <f t="shared" si="129"/>
        <v>71265</v>
      </c>
      <c r="U116" s="505">
        <v>71265</v>
      </c>
      <c r="V116" s="49">
        <f t="shared" si="100"/>
        <v>0</v>
      </c>
      <c r="W116" s="505">
        <v>71265</v>
      </c>
      <c r="X116" s="49">
        <f t="shared" si="101"/>
        <v>0</v>
      </c>
      <c r="Y116" s="505">
        <v>71265</v>
      </c>
      <c r="Z116" s="49">
        <f t="shared" si="102"/>
        <v>0</v>
      </c>
    </row>
    <row r="117" spans="2:26" ht="15.6">
      <c r="B117" s="59" t="s">
        <v>139</v>
      </c>
      <c r="C117" s="305">
        <f>'37-3'!C119</f>
        <v>71265</v>
      </c>
      <c r="D117" s="305">
        <f>'37-3'!D119</f>
        <v>71265</v>
      </c>
      <c r="E117" s="305">
        <f>'37-3'!E119</f>
        <v>0</v>
      </c>
      <c r="F117" s="305">
        <f>'37-3'!F119</f>
        <v>0</v>
      </c>
      <c r="G117" s="305">
        <f>'37-3'!G119</f>
        <v>0</v>
      </c>
      <c r="H117" s="305">
        <f>'37-3'!H119</f>
        <v>71265</v>
      </c>
      <c r="I117" s="305">
        <f>'37-3'!I119</f>
        <v>71265</v>
      </c>
      <c r="J117" s="305">
        <f>'37-3'!J119</f>
        <v>0</v>
      </c>
      <c r="K117" s="305">
        <f>'37-3'!K119</f>
        <v>0</v>
      </c>
      <c r="L117" s="305">
        <f>'37-3'!L119</f>
        <v>0</v>
      </c>
      <c r="M117" s="305">
        <f>'37-3'!M119</f>
        <v>71265</v>
      </c>
      <c r="N117" s="305">
        <f>'37-3'!N119</f>
        <v>71265</v>
      </c>
      <c r="O117" s="305">
        <f>'37-3'!O119</f>
        <v>0</v>
      </c>
      <c r="P117" s="305">
        <f>'37-3'!P119</f>
        <v>0</v>
      </c>
      <c r="Q117" s="305">
        <f>'37-3'!Q119</f>
        <v>0</v>
      </c>
      <c r="R117" s="305">
        <f>'37-3'!R119</f>
        <v>71265</v>
      </c>
      <c r="U117" s="507">
        <v>71265</v>
      </c>
      <c r="V117" s="49">
        <f t="shared" si="100"/>
        <v>0</v>
      </c>
      <c r="W117" s="507">
        <v>71265</v>
      </c>
      <c r="X117" s="49">
        <f t="shared" si="101"/>
        <v>0</v>
      </c>
      <c r="Y117" s="507">
        <v>71265</v>
      </c>
      <c r="Z117" s="49">
        <f t="shared" si="102"/>
        <v>0</v>
      </c>
    </row>
    <row r="118" spans="2:26" ht="15.6">
      <c r="B118" s="78" t="s">
        <v>39</v>
      </c>
      <c r="C118" s="324">
        <f>C119</f>
        <v>11445616</v>
      </c>
      <c r="D118" s="324">
        <f t="shared" ref="D118:R118" si="130">D119</f>
        <v>11538276</v>
      </c>
      <c r="E118" s="324">
        <f t="shared" si="130"/>
        <v>0</v>
      </c>
      <c r="F118" s="324">
        <f t="shared" si="130"/>
        <v>0</v>
      </c>
      <c r="G118" s="324">
        <f t="shared" si="130"/>
        <v>1437539</v>
      </c>
      <c r="H118" s="324">
        <f t="shared" si="130"/>
        <v>12975815</v>
      </c>
      <c r="I118" s="324">
        <f t="shared" si="130"/>
        <v>11538276</v>
      </c>
      <c r="J118" s="324">
        <f t="shared" si="130"/>
        <v>0</v>
      </c>
      <c r="K118" s="324">
        <f t="shared" si="130"/>
        <v>0</v>
      </c>
      <c r="L118" s="324">
        <f t="shared" si="130"/>
        <v>2109451</v>
      </c>
      <c r="M118" s="324">
        <f t="shared" si="130"/>
        <v>13647727</v>
      </c>
      <c r="N118" s="324">
        <f t="shared" si="130"/>
        <v>11445616</v>
      </c>
      <c r="O118" s="324">
        <f t="shared" si="130"/>
        <v>0</v>
      </c>
      <c r="P118" s="324">
        <f t="shared" si="130"/>
        <v>0</v>
      </c>
      <c r="Q118" s="324">
        <f t="shared" si="130"/>
        <v>1294208</v>
      </c>
      <c r="R118" s="324">
        <f t="shared" si="130"/>
        <v>12739824</v>
      </c>
      <c r="U118" s="505">
        <v>11538276</v>
      </c>
      <c r="V118" s="49">
        <f t="shared" si="100"/>
        <v>0</v>
      </c>
      <c r="W118" s="505">
        <v>11538276</v>
      </c>
      <c r="X118" s="49">
        <f t="shared" si="101"/>
        <v>0</v>
      </c>
      <c r="Y118" s="505">
        <v>11445616</v>
      </c>
      <c r="Z118" s="49">
        <f t="shared" si="102"/>
        <v>0</v>
      </c>
    </row>
    <row r="119" spans="2:26" ht="15.6">
      <c r="B119" s="59" t="s">
        <v>139</v>
      </c>
      <c r="C119" s="305">
        <f>'47-3'!C119</f>
        <v>11445616</v>
      </c>
      <c r="D119" s="305">
        <f>'47-3'!D119</f>
        <v>11538276</v>
      </c>
      <c r="E119" s="305">
        <f>'47-3'!E119</f>
        <v>0</v>
      </c>
      <c r="F119" s="305">
        <f>'47-3'!F119</f>
        <v>0</v>
      </c>
      <c r="G119" s="305">
        <f>'47-3'!G119</f>
        <v>1437539</v>
      </c>
      <c r="H119" s="305">
        <f>'47-3'!H119</f>
        <v>12975815</v>
      </c>
      <c r="I119" s="305">
        <f>'47-3'!I119</f>
        <v>11538276</v>
      </c>
      <c r="J119" s="305">
        <f>'47-3'!J119</f>
        <v>0</v>
      </c>
      <c r="K119" s="305">
        <f>'47-3'!K119</f>
        <v>0</v>
      </c>
      <c r="L119" s="305">
        <f>'47-3'!L119</f>
        <v>2109451</v>
      </c>
      <c r="M119" s="305">
        <f>'47-3'!M119</f>
        <v>13647727</v>
      </c>
      <c r="N119" s="305">
        <f>'47-3'!N119</f>
        <v>11445616</v>
      </c>
      <c r="O119" s="305">
        <f>'47-3'!O119</f>
        <v>0</v>
      </c>
      <c r="P119" s="305">
        <f>'47-3'!P119</f>
        <v>0</v>
      </c>
      <c r="Q119" s="305">
        <f>'47-3'!Q119</f>
        <v>1294208</v>
      </c>
      <c r="R119" s="305">
        <f>'47-3'!R119</f>
        <v>12739824</v>
      </c>
      <c r="U119" s="507">
        <v>11538276</v>
      </c>
      <c r="V119" s="49">
        <f t="shared" si="100"/>
        <v>0</v>
      </c>
      <c r="W119" s="507">
        <v>11538276</v>
      </c>
      <c r="X119" s="49">
        <f t="shared" si="101"/>
        <v>0</v>
      </c>
      <c r="Y119" s="507">
        <v>11445616</v>
      </c>
      <c r="Z119" s="49">
        <f t="shared" si="102"/>
        <v>0</v>
      </c>
    </row>
    <row r="120" spans="2:26" ht="15.6">
      <c r="B120" s="78" t="s">
        <v>71</v>
      </c>
      <c r="C120" s="324">
        <f>C121</f>
        <v>210694805</v>
      </c>
      <c r="D120" s="324">
        <f t="shared" ref="D120:R120" si="131">D121</f>
        <v>210694805</v>
      </c>
      <c r="E120" s="324">
        <f t="shared" si="131"/>
        <v>0</v>
      </c>
      <c r="F120" s="324">
        <f t="shared" si="131"/>
        <v>0</v>
      </c>
      <c r="G120" s="324">
        <f t="shared" si="131"/>
        <v>5174895</v>
      </c>
      <c r="H120" s="324">
        <f t="shared" si="131"/>
        <v>215869700</v>
      </c>
      <c r="I120" s="324">
        <f t="shared" si="131"/>
        <v>210694805</v>
      </c>
      <c r="J120" s="324">
        <f t="shared" si="131"/>
        <v>0</v>
      </c>
      <c r="K120" s="324">
        <f t="shared" si="131"/>
        <v>0</v>
      </c>
      <c r="L120" s="324">
        <f t="shared" si="131"/>
        <v>11734895</v>
      </c>
      <c r="M120" s="324">
        <f t="shared" si="131"/>
        <v>222429700</v>
      </c>
      <c r="N120" s="324">
        <f t="shared" si="131"/>
        <v>210694805</v>
      </c>
      <c r="O120" s="324">
        <f t="shared" si="131"/>
        <v>0</v>
      </c>
      <c r="P120" s="324">
        <f t="shared" si="131"/>
        <v>0</v>
      </c>
      <c r="Q120" s="324">
        <f t="shared" si="131"/>
        <v>11734895</v>
      </c>
      <c r="R120" s="324">
        <f t="shared" si="131"/>
        <v>222429700</v>
      </c>
      <c r="U120" s="505">
        <v>210694805</v>
      </c>
      <c r="V120" s="49">
        <f t="shared" si="100"/>
        <v>0</v>
      </c>
      <c r="W120" s="505">
        <v>210694805</v>
      </c>
      <c r="X120" s="49">
        <f t="shared" si="101"/>
        <v>0</v>
      </c>
      <c r="Y120" s="505">
        <v>210694805</v>
      </c>
      <c r="Z120" s="49">
        <f t="shared" si="102"/>
        <v>0</v>
      </c>
    </row>
    <row r="121" spans="2:26" ht="15.6">
      <c r="B121" s="59" t="s">
        <v>139</v>
      </c>
      <c r="C121" s="305">
        <f>'62-3'!C119</f>
        <v>210694805</v>
      </c>
      <c r="D121" s="305">
        <f>'62-3'!D119</f>
        <v>210694805</v>
      </c>
      <c r="E121" s="305">
        <f>'62-3'!E119</f>
        <v>0</v>
      </c>
      <c r="F121" s="305">
        <f>'62-3'!F119</f>
        <v>0</v>
      </c>
      <c r="G121" s="305">
        <f>'62-3'!G119</f>
        <v>5174895</v>
      </c>
      <c r="H121" s="305">
        <f>'62-3'!H119</f>
        <v>215869700</v>
      </c>
      <c r="I121" s="305">
        <f>'62-3'!I119</f>
        <v>210694805</v>
      </c>
      <c r="J121" s="305">
        <f>'62-3'!J119</f>
        <v>0</v>
      </c>
      <c r="K121" s="305">
        <f>'62-3'!K119</f>
        <v>0</v>
      </c>
      <c r="L121" s="305">
        <f>'62-3'!L119</f>
        <v>11734895</v>
      </c>
      <c r="M121" s="305">
        <f>'62-3'!M119</f>
        <v>222429700</v>
      </c>
      <c r="N121" s="305">
        <f>'62-3'!N119</f>
        <v>210694805</v>
      </c>
      <c r="O121" s="305">
        <f>'62-3'!O119</f>
        <v>0</v>
      </c>
      <c r="P121" s="305">
        <f>'62-3'!P119</f>
        <v>0</v>
      </c>
      <c r="Q121" s="305">
        <f>'62-3'!Q119</f>
        <v>11734895</v>
      </c>
      <c r="R121" s="305">
        <f>'62-3'!R119</f>
        <v>222429700</v>
      </c>
      <c r="U121" s="507">
        <v>210694805</v>
      </c>
      <c r="V121" s="49">
        <f t="shared" si="100"/>
        <v>0</v>
      </c>
      <c r="W121" s="507">
        <v>210694805</v>
      </c>
      <c r="X121" s="49">
        <f t="shared" si="101"/>
        <v>0</v>
      </c>
      <c r="Y121" s="507">
        <v>210694805</v>
      </c>
      <c r="Z121" s="49">
        <f t="shared" si="102"/>
        <v>0</v>
      </c>
    </row>
    <row r="122" spans="2:26" ht="15.6">
      <c r="B122" s="78" t="s">
        <v>40</v>
      </c>
      <c r="C122" s="324">
        <f>C123</f>
        <v>15491371</v>
      </c>
      <c r="D122" s="324">
        <f t="shared" ref="D122:R122" si="132">D123</f>
        <v>15491371</v>
      </c>
      <c r="E122" s="324">
        <f t="shared" si="132"/>
        <v>0</v>
      </c>
      <c r="F122" s="324">
        <f t="shared" si="132"/>
        <v>0</v>
      </c>
      <c r="G122" s="324">
        <f t="shared" si="132"/>
        <v>0</v>
      </c>
      <c r="H122" s="324">
        <f t="shared" si="132"/>
        <v>15491371</v>
      </c>
      <c r="I122" s="324">
        <f t="shared" si="132"/>
        <v>9777097</v>
      </c>
      <c r="J122" s="324">
        <f t="shared" si="132"/>
        <v>0</v>
      </c>
      <c r="K122" s="324">
        <f t="shared" si="132"/>
        <v>0</v>
      </c>
      <c r="L122" s="324">
        <f t="shared" si="132"/>
        <v>0</v>
      </c>
      <c r="M122" s="324">
        <f t="shared" si="132"/>
        <v>9777097</v>
      </c>
      <c r="N122" s="324">
        <f t="shared" si="132"/>
        <v>9777097</v>
      </c>
      <c r="O122" s="324">
        <f t="shared" si="132"/>
        <v>0</v>
      </c>
      <c r="P122" s="324">
        <f t="shared" si="132"/>
        <v>0</v>
      </c>
      <c r="Q122" s="324">
        <f t="shared" si="132"/>
        <v>0</v>
      </c>
      <c r="R122" s="324">
        <f t="shared" si="132"/>
        <v>9777097</v>
      </c>
      <c r="U122" s="505">
        <v>15491371</v>
      </c>
      <c r="V122" s="49">
        <f t="shared" si="100"/>
        <v>0</v>
      </c>
      <c r="W122" s="505">
        <v>9777097</v>
      </c>
      <c r="X122" s="49">
        <f t="shared" si="101"/>
        <v>0</v>
      </c>
      <c r="Y122" s="505">
        <v>9777097</v>
      </c>
      <c r="Z122" s="49">
        <f t="shared" si="102"/>
        <v>0</v>
      </c>
    </row>
    <row r="123" spans="2:26" ht="15.6">
      <c r="B123" s="59" t="s">
        <v>139</v>
      </c>
      <c r="C123" s="305">
        <f>'64-3'!C119</f>
        <v>15491371</v>
      </c>
      <c r="D123" s="305">
        <f>'64-3'!D119</f>
        <v>15491371</v>
      </c>
      <c r="E123" s="305">
        <f>'64-3'!E119</f>
        <v>0</v>
      </c>
      <c r="F123" s="305">
        <f>'64-3'!F119</f>
        <v>0</v>
      </c>
      <c r="G123" s="305">
        <f>'64-3'!G119</f>
        <v>0</v>
      </c>
      <c r="H123" s="305">
        <f>'64-3'!H119</f>
        <v>15491371</v>
      </c>
      <c r="I123" s="305">
        <f>'64-3'!I119</f>
        <v>9777097</v>
      </c>
      <c r="J123" s="305">
        <f>'64-3'!J119</f>
        <v>0</v>
      </c>
      <c r="K123" s="305">
        <f>'64-3'!K119</f>
        <v>0</v>
      </c>
      <c r="L123" s="305">
        <f>'64-3'!L119</f>
        <v>0</v>
      </c>
      <c r="M123" s="305">
        <f>'64-3'!M119</f>
        <v>9777097</v>
      </c>
      <c r="N123" s="305">
        <f>'64-3'!N119</f>
        <v>9777097</v>
      </c>
      <c r="O123" s="305">
        <f>'64-3'!O119</f>
        <v>0</v>
      </c>
      <c r="P123" s="305">
        <f>'64-3'!P119</f>
        <v>0</v>
      </c>
      <c r="Q123" s="305">
        <f>'64-3'!Q119</f>
        <v>0</v>
      </c>
      <c r="R123" s="305">
        <f>'64-3'!R119</f>
        <v>9777097</v>
      </c>
      <c r="U123" s="507">
        <v>15491371</v>
      </c>
      <c r="V123" s="49">
        <f t="shared" si="100"/>
        <v>0</v>
      </c>
      <c r="W123" s="507">
        <v>9777097</v>
      </c>
      <c r="X123" s="49">
        <f t="shared" si="101"/>
        <v>0</v>
      </c>
      <c r="Y123" s="507">
        <v>9777097</v>
      </c>
      <c r="Z123" s="49">
        <f t="shared" si="102"/>
        <v>0</v>
      </c>
    </row>
    <row r="124" spans="2:26" ht="27">
      <c r="B124" s="78" t="s">
        <v>142</v>
      </c>
      <c r="C124" s="324">
        <f>C125+C130</f>
        <v>106523451</v>
      </c>
      <c r="D124" s="324">
        <f t="shared" ref="D124:R124" si="133">D125+D130</f>
        <v>125895427</v>
      </c>
      <c r="E124" s="324">
        <f t="shared" si="133"/>
        <v>-10231389</v>
      </c>
      <c r="F124" s="324">
        <f t="shared" ref="F124" si="134">F125+F130</f>
        <v>0</v>
      </c>
      <c r="G124" s="324">
        <f t="shared" si="133"/>
        <v>-7833637</v>
      </c>
      <c r="H124" s="324">
        <f t="shared" si="133"/>
        <v>107830401</v>
      </c>
      <c r="I124" s="324">
        <f t="shared" si="133"/>
        <v>692874835</v>
      </c>
      <c r="J124" s="324">
        <f t="shared" si="133"/>
        <v>-21817097</v>
      </c>
      <c r="K124" s="324">
        <f t="shared" ref="K124" si="135">K125+K130</f>
        <v>26442121</v>
      </c>
      <c r="L124" s="324">
        <f t="shared" si="133"/>
        <v>-21119859</v>
      </c>
      <c r="M124" s="324">
        <f t="shared" si="133"/>
        <v>676380000</v>
      </c>
      <c r="N124" s="324">
        <f t="shared" si="133"/>
        <v>761808943</v>
      </c>
      <c r="O124" s="324">
        <f t="shared" si="133"/>
        <v>-5707882</v>
      </c>
      <c r="P124" s="324">
        <f t="shared" ref="P124" si="136">P125+P130</f>
        <v>37297427</v>
      </c>
      <c r="Q124" s="324">
        <f t="shared" si="133"/>
        <v>-40113506</v>
      </c>
      <c r="R124" s="324">
        <f t="shared" si="133"/>
        <v>753284982</v>
      </c>
      <c r="U124" s="505">
        <v>125895427</v>
      </c>
      <c r="V124" s="49">
        <f t="shared" si="100"/>
        <v>0</v>
      </c>
      <c r="W124" s="505">
        <v>692874835</v>
      </c>
      <c r="X124" s="49">
        <f t="shared" si="101"/>
        <v>0</v>
      </c>
      <c r="Y124" s="505">
        <v>761808943</v>
      </c>
      <c r="Z124" s="49">
        <f t="shared" si="102"/>
        <v>0</v>
      </c>
    </row>
    <row r="125" spans="2:26" ht="15.6">
      <c r="B125" s="59" t="s">
        <v>139</v>
      </c>
      <c r="C125" s="305">
        <f>'74-3'!C119</f>
        <v>17683386</v>
      </c>
      <c r="D125" s="305">
        <f>'74-3'!D119</f>
        <v>24287995</v>
      </c>
      <c r="E125" s="305">
        <f>'74-3'!E119</f>
        <v>0</v>
      </c>
      <c r="F125" s="305">
        <f>'74-3'!F119</f>
        <v>0</v>
      </c>
      <c r="G125" s="305">
        <f>'74-3'!G119</f>
        <v>-502606</v>
      </c>
      <c r="H125" s="305">
        <f>'74-3'!H119</f>
        <v>23785389</v>
      </c>
      <c r="I125" s="305">
        <f>'74-3'!I119</f>
        <v>21425386</v>
      </c>
      <c r="J125" s="305">
        <f>'74-3'!J119</f>
        <v>0</v>
      </c>
      <c r="K125" s="305">
        <f>'74-3'!K119</f>
        <v>26442121</v>
      </c>
      <c r="L125" s="305">
        <f>'74-3'!L119</f>
        <v>-736790</v>
      </c>
      <c r="M125" s="305">
        <f>'74-3'!M119</f>
        <v>47130717</v>
      </c>
      <c r="N125" s="305">
        <f>'74-3'!N119</f>
        <v>18500000</v>
      </c>
      <c r="O125" s="305">
        <f>'74-3'!O119</f>
        <v>0</v>
      </c>
      <c r="P125" s="305">
        <f>'74-3'!P119</f>
        <v>37297427</v>
      </c>
      <c r="Q125" s="305">
        <f>'74-3'!Q119</f>
        <v>-707872</v>
      </c>
      <c r="R125" s="305">
        <f>'74-3'!R119</f>
        <v>55089555</v>
      </c>
      <c r="U125" s="507">
        <v>24287995</v>
      </c>
      <c r="V125" s="49">
        <f t="shared" si="100"/>
        <v>0</v>
      </c>
      <c r="W125" s="507">
        <v>21425386</v>
      </c>
      <c r="X125" s="49">
        <f t="shared" si="101"/>
        <v>0</v>
      </c>
      <c r="Y125" s="507">
        <v>18500000</v>
      </c>
      <c r="Z125" s="49">
        <f t="shared" si="102"/>
        <v>0</v>
      </c>
    </row>
    <row r="126" spans="2:26" ht="15.6">
      <c r="B126" s="59" t="s">
        <v>225</v>
      </c>
      <c r="C126" s="305">
        <v>1500000</v>
      </c>
      <c r="D126" s="305">
        <f>'74-3'!D327</f>
        <v>1500000</v>
      </c>
      <c r="E126" s="305">
        <f>'74-3'!E327</f>
        <v>0</v>
      </c>
      <c r="F126" s="305">
        <f>'74-3'!F327</f>
        <v>0</v>
      </c>
      <c r="G126" s="305">
        <f>'74-3'!G327</f>
        <v>0</v>
      </c>
      <c r="H126" s="305">
        <f>'74-3'!H327</f>
        <v>1500000</v>
      </c>
      <c r="I126" s="305">
        <f>'74-3'!I327</f>
        <v>1500000</v>
      </c>
      <c r="J126" s="305">
        <f>'74-3'!J327</f>
        <v>0</v>
      </c>
      <c r="K126" s="305">
        <f>'74-3'!K327</f>
        <v>0</v>
      </c>
      <c r="L126" s="305">
        <f>'74-3'!L327</f>
        <v>0</v>
      </c>
      <c r="M126" s="305">
        <f>'74-3'!M327</f>
        <v>1500000</v>
      </c>
      <c r="N126" s="305">
        <f>'74-3'!N327</f>
        <v>1500000</v>
      </c>
      <c r="O126" s="305">
        <f>'74-3'!O327</f>
        <v>0</v>
      </c>
      <c r="P126" s="305">
        <f>'74-3'!P327</f>
        <v>0</v>
      </c>
      <c r="Q126" s="305">
        <f>'74-3'!Q327</f>
        <v>0</v>
      </c>
      <c r="R126" s="305">
        <f>'74-3'!R327</f>
        <v>1500000</v>
      </c>
      <c r="U126" s="507">
        <v>1500000</v>
      </c>
      <c r="V126" s="49">
        <f t="shared" si="100"/>
        <v>0</v>
      </c>
      <c r="W126" s="507">
        <v>1500000</v>
      </c>
      <c r="X126" s="49">
        <f t="shared" si="101"/>
        <v>0</v>
      </c>
      <c r="Y126" s="507">
        <v>1500000</v>
      </c>
      <c r="Z126" s="49">
        <f t="shared" si="102"/>
        <v>0</v>
      </c>
    </row>
    <row r="127" spans="2:26" ht="15.6">
      <c r="B127" s="59" t="s">
        <v>226</v>
      </c>
      <c r="C127" s="305">
        <v>16183386</v>
      </c>
      <c r="D127" s="305">
        <f>'74-3'!D328</f>
        <v>17000000</v>
      </c>
      <c r="E127" s="305">
        <f>'74-3'!E328</f>
        <v>0</v>
      </c>
      <c r="F127" s="305">
        <f>'74-3'!F328</f>
        <v>0</v>
      </c>
      <c r="G127" s="305">
        <f>'74-3'!G328</f>
        <v>-502606</v>
      </c>
      <c r="H127" s="305">
        <f>'74-3'!H328</f>
        <v>16497394</v>
      </c>
      <c r="I127" s="305">
        <f>'74-3'!I328</f>
        <v>17000000</v>
      </c>
      <c r="J127" s="305">
        <f>'74-3'!J328</f>
        <v>0</v>
      </c>
      <c r="K127" s="305">
        <f>'74-3'!K328</f>
        <v>0</v>
      </c>
      <c r="L127" s="305">
        <f>'74-3'!L328</f>
        <v>-736790</v>
      </c>
      <c r="M127" s="305">
        <f>'74-3'!M328</f>
        <v>16263210</v>
      </c>
      <c r="N127" s="305">
        <f>'74-3'!N328</f>
        <v>17000000</v>
      </c>
      <c r="O127" s="305">
        <f>'74-3'!O328</f>
        <v>0</v>
      </c>
      <c r="P127" s="305">
        <f>'74-3'!P328</f>
        <v>0</v>
      </c>
      <c r="Q127" s="305">
        <f>'74-3'!Q328</f>
        <v>-707872</v>
      </c>
      <c r="R127" s="305">
        <f>'74-3'!R328</f>
        <v>16292128</v>
      </c>
      <c r="U127" s="507">
        <v>17000000</v>
      </c>
      <c r="V127" s="49">
        <f t="shared" si="100"/>
        <v>0</v>
      </c>
      <c r="W127" s="507">
        <v>17000000</v>
      </c>
      <c r="X127" s="49">
        <f t="shared" si="101"/>
        <v>0</v>
      </c>
      <c r="Y127" s="507">
        <v>17000000</v>
      </c>
      <c r="Z127" s="49">
        <f t="shared" si="102"/>
        <v>0</v>
      </c>
    </row>
    <row r="128" spans="2:26" ht="27.6">
      <c r="B128" s="59" t="s">
        <v>227</v>
      </c>
      <c r="C128" s="305">
        <v>0</v>
      </c>
      <c r="D128" s="305">
        <f>'74-3'!D329</f>
        <v>5787995</v>
      </c>
      <c r="E128" s="305">
        <f>'74-3'!E329</f>
        <v>0</v>
      </c>
      <c r="F128" s="305">
        <f>'74-3'!F329</f>
        <v>0</v>
      </c>
      <c r="G128" s="305">
        <f>'74-3'!G329</f>
        <v>0</v>
      </c>
      <c r="H128" s="305">
        <f>'74-3'!H329</f>
        <v>5787995</v>
      </c>
      <c r="I128" s="305">
        <f>'74-3'!I329</f>
        <v>2925386</v>
      </c>
      <c r="J128" s="305">
        <f>'74-3'!J329</f>
        <v>0</v>
      </c>
      <c r="K128" s="305">
        <f>'74-3'!K329</f>
        <v>0</v>
      </c>
      <c r="L128" s="305">
        <f>'74-3'!L329</f>
        <v>0</v>
      </c>
      <c r="M128" s="305">
        <f>'74-3'!M329</f>
        <v>2925386</v>
      </c>
      <c r="N128" s="305">
        <f>'74-3'!N329</f>
        <v>0</v>
      </c>
      <c r="O128" s="305">
        <f>'74-3'!O329</f>
        <v>0</v>
      </c>
      <c r="P128" s="305">
        <f>'74-3'!P329</f>
        <v>0</v>
      </c>
      <c r="Q128" s="305">
        <f>'74-3'!Q329</f>
        <v>0</v>
      </c>
      <c r="R128" s="305">
        <f>'74-3'!R329</f>
        <v>0</v>
      </c>
      <c r="U128" s="507">
        <v>5787995</v>
      </c>
      <c r="V128" s="49">
        <f t="shared" si="100"/>
        <v>0</v>
      </c>
      <c r="W128" s="507">
        <v>2925386</v>
      </c>
      <c r="X128" s="49">
        <f t="shared" si="101"/>
        <v>0</v>
      </c>
      <c r="Y128" s="507">
        <v>0</v>
      </c>
      <c r="Z128" s="49">
        <f t="shared" si="102"/>
        <v>0</v>
      </c>
    </row>
    <row r="129" spans="2:26" ht="15.6">
      <c r="B129" s="59" t="s">
        <v>494</v>
      </c>
      <c r="C129" s="305"/>
      <c r="D129" s="305">
        <f>'74-3'!D330</f>
        <v>0</v>
      </c>
      <c r="E129" s="305">
        <f>'74-3'!E330</f>
        <v>0</v>
      </c>
      <c r="F129" s="305">
        <f>'74-3'!F330</f>
        <v>0</v>
      </c>
      <c r="G129" s="305">
        <f>'74-3'!G330</f>
        <v>0</v>
      </c>
      <c r="H129" s="305">
        <f>'74-3'!H330</f>
        <v>0</v>
      </c>
      <c r="I129" s="305">
        <f>'74-3'!I330</f>
        <v>0</v>
      </c>
      <c r="J129" s="305">
        <f>'74-3'!J330</f>
        <v>0</v>
      </c>
      <c r="K129" s="305">
        <f>'74-3'!K330</f>
        <v>26442121</v>
      </c>
      <c r="L129" s="305">
        <f>'74-3'!L330</f>
        <v>0</v>
      </c>
      <c r="M129" s="305">
        <f>'74-3'!M330</f>
        <v>26442121</v>
      </c>
      <c r="N129" s="305">
        <f>'74-3'!N330</f>
        <v>0</v>
      </c>
      <c r="O129" s="305">
        <f>'74-3'!O330</f>
        <v>0</v>
      </c>
      <c r="P129" s="305">
        <f>'74-3'!P330</f>
        <v>37297427</v>
      </c>
      <c r="Q129" s="305">
        <f>'74-3'!Q330</f>
        <v>0</v>
      </c>
      <c r="R129" s="305">
        <f>'74-3'!R330</f>
        <v>37297427</v>
      </c>
      <c r="U129" s="507"/>
      <c r="V129" s="49"/>
      <c r="W129" s="507"/>
      <c r="X129" s="49"/>
      <c r="Y129" s="507"/>
      <c r="Z129" s="49"/>
    </row>
    <row r="130" spans="2:26" ht="15.6">
      <c r="B130" s="61" t="s">
        <v>140</v>
      </c>
      <c r="C130" s="307">
        <f>'74-3'!C203</f>
        <v>88840065</v>
      </c>
      <c r="D130" s="307">
        <f>'74-3'!D203</f>
        <v>101607432</v>
      </c>
      <c r="E130" s="307">
        <f>'74-3'!E203</f>
        <v>-10231389</v>
      </c>
      <c r="F130" s="307">
        <f>'74-3'!F203</f>
        <v>0</v>
      </c>
      <c r="G130" s="307">
        <f>'74-3'!G203</f>
        <v>-7331031</v>
      </c>
      <c r="H130" s="307">
        <f>'74-3'!H203</f>
        <v>84045012</v>
      </c>
      <c r="I130" s="307">
        <f>'74-3'!I203</f>
        <v>671449449</v>
      </c>
      <c r="J130" s="307">
        <f>'74-3'!J203</f>
        <v>-21817097</v>
      </c>
      <c r="K130" s="307">
        <f>'74-3'!K203</f>
        <v>0</v>
      </c>
      <c r="L130" s="307">
        <f>'74-3'!L203</f>
        <v>-20383069</v>
      </c>
      <c r="M130" s="307">
        <f>'74-3'!M203</f>
        <v>629249283</v>
      </c>
      <c r="N130" s="307">
        <f>'74-3'!N203</f>
        <v>743308943</v>
      </c>
      <c r="O130" s="307">
        <f>'74-3'!O203</f>
        <v>-5707882</v>
      </c>
      <c r="P130" s="307">
        <f>'74-3'!P203</f>
        <v>0</v>
      </c>
      <c r="Q130" s="307">
        <f>'74-3'!Q203</f>
        <v>-39405634</v>
      </c>
      <c r="R130" s="307">
        <f>'74-3'!R203</f>
        <v>698195427</v>
      </c>
      <c r="U130" s="508">
        <v>101607432</v>
      </c>
      <c r="V130" s="49">
        <f t="shared" si="100"/>
        <v>0</v>
      </c>
      <c r="W130" s="508">
        <v>671449449</v>
      </c>
      <c r="X130" s="49">
        <f t="shared" si="101"/>
        <v>0</v>
      </c>
      <c r="Y130" s="508">
        <v>743308943</v>
      </c>
      <c r="Z130" s="49">
        <f t="shared" si="102"/>
        <v>0</v>
      </c>
    </row>
    <row r="131" spans="2:26" ht="15.6">
      <c r="B131" s="325" t="s">
        <v>41</v>
      </c>
      <c r="C131" s="326">
        <f>C9-C16</f>
        <v>12696543</v>
      </c>
      <c r="D131" s="326"/>
      <c r="E131" s="326"/>
      <c r="F131" s="326"/>
      <c r="G131" s="326"/>
      <c r="H131" s="326"/>
      <c r="I131" s="326"/>
      <c r="J131" s="326"/>
      <c r="K131" s="326"/>
      <c r="L131" s="326"/>
      <c r="M131" s="326"/>
      <c r="N131" s="326"/>
      <c r="O131" s="326"/>
      <c r="P131" s="326"/>
      <c r="Q131" s="326"/>
      <c r="R131" s="326"/>
      <c r="U131" s="326"/>
      <c r="V131" s="49">
        <f t="shared" si="100"/>
        <v>0</v>
      </c>
      <c r="W131" s="515"/>
      <c r="X131" s="49">
        <f t="shared" si="101"/>
        <v>0</v>
      </c>
      <c r="Y131" s="515"/>
      <c r="Z131" s="49">
        <f t="shared" si="102"/>
        <v>0</v>
      </c>
    </row>
    <row r="132" spans="2:26" ht="15.6">
      <c r="B132" s="86"/>
      <c r="C132" s="86"/>
      <c r="D132" s="86"/>
      <c r="E132" s="93"/>
      <c r="F132" s="93"/>
      <c r="G132" s="93"/>
      <c r="H132" s="93"/>
      <c r="I132" s="93"/>
      <c r="J132" s="93"/>
      <c r="U132" s="93"/>
      <c r="V132" s="49">
        <f t="shared" si="100"/>
        <v>0</v>
      </c>
      <c r="W132" s="93"/>
      <c r="X132" s="49">
        <f t="shared" si="101"/>
        <v>0</v>
      </c>
      <c r="Y132" s="93"/>
      <c r="Z132" s="49">
        <f t="shared" si="102"/>
        <v>0</v>
      </c>
    </row>
    <row r="133" spans="2:26" ht="15.6">
      <c r="B133" s="329" t="s">
        <v>42</v>
      </c>
      <c r="C133" s="330">
        <f>'18s-3'!C10</f>
        <v>1268992768</v>
      </c>
      <c r="D133" s="330">
        <f>'18s-3'!D10</f>
        <v>1244343191</v>
      </c>
      <c r="E133" s="330">
        <f>'18s-3'!E10</f>
        <v>114140513</v>
      </c>
      <c r="F133" s="330">
        <f>'18s-3'!F10</f>
        <v>0</v>
      </c>
      <c r="G133" s="330">
        <f>'18s-3'!G10</f>
        <v>0</v>
      </c>
      <c r="H133" s="330">
        <f>'18s-3'!H10</f>
        <v>1358483704</v>
      </c>
      <c r="I133" s="330">
        <f>'18s-3'!I10</f>
        <v>1248862454</v>
      </c>
      <c r="J133" s="330">
        <f>'18s-3'!J10</f>
        <v>272364581</v>
      </c>
      <c r="K133" s="330">
        <f>'18s-3'!K10</f>
        <v>0</v>
      </c>
      <c r="L133" s="330">
        <f>'18s-3'!L10</f>
        <v>0</v>
      </c>
      <c r="M133" s="330">
        <f>'18s-3'!M10</f>
        <v>1521227035</v>
      </c>
      <c r="N133" s="330">
        <f>'18s-3'!N10</f>
        <v>1311675883</v>
      </c>
      <c r="O133" s="330">
        <f>'18s-3'!O10</f>
        <v>249732137</v>
      </c>
      <c r="P133" s="330">
        <f>'18s-3'!P10</f>
        <v>0</v>
      </c>
      <c r="Q133" s="330">
        <f>'18s-3'!Q10</f>
        <v>0</v>
      </c>
      <c r="R133" s="330">
        <f>'18s-3'!R10</f>
        <v>1561408020</v>
      </c>
      <c r="U133" s="330">
        <v>1244343191</v>
      </c>
      <c r="V133" s="49">
        <f t="shared" si="100"/>
        <v>0</v>
      </c>
      <c r="W133" s="330">
        <v>1248862454</v>
      </c>
      <c r="X133" s="49">
        <f t="shared" si="101"/>
        <v>0</v>
      </c>
      <c r="Y133" s="330">
        <v>1311675883</v>
      </c>
      <c r="Z133" s="49">
        <f t="shared" si="102"/>
        <v>0</v>
      </c>
    </row>
    <row r="134" spans="2:26" ht="15.6">
      <c r="B134" s="313" t="s">
        <v>144</v>
      </c>
      <c r="C134" s="316">
        <f>'18s-3'!C17</f>
        <v>1402793908</v>
      </c>
      <c r="D134" s="316">
        <f>'18s-3'!D17</f>
        <v>1397044226</v>
      </c>
      <c r="E134" s="316">
        <f>'18s-3'!E17</f>
        <v>18901190</v>
      </c>
      <c r="F134" s="316">
        <f>'18s-3'!F17</f>
        <v>9324458</v>
      </c>
      <c r="G134" s="316">
        <f>'18s-3'!G17</f>
        <v>0</v>
      </c>
      <c r="H134" s="316">
        <f>'18s-3'!H17</f>
        <v>1425269874</v>
      </c>
      <c r="I134" s="316">
        <f>'18s-3'!I17</f>
        <v>1265239648</v>
      </c>
      <c r="J134" s="316">
        <f>'18s-3'!J17</f>
        <v>148237600</v>
      </c>
      <c r="K134" s="316">
        <f>'18s-3'!K17</f>
        <v>12673969</v>
      </c>
      <c r="L134" s="316">
        <f>'18s-3'!L17</f>
        <v>0</v>
      </c>
      <c r="M134" s="316">
        <f>'18s-3'!M17</f>
        <v>1426151217</v>
      </c>
      <c r="N134" s="316">
        <f>'18s-3'!N17</f>
        <v>1284428331</v>
      </c>
      <c r="O134" s="316">
        <f>'18s-3'!O17</f>
        <v>143160250</v>
      </c>
      <c r="P134" s="316">
        <f>'18s-3'!P17</f>
        <v>6475572</v>
      </c>
      <c r="Q134" s="316">
        <f>'18s-3'!Q17</f>
        <v>0</v>
      </c>
      <c r="R134" s="316">
        <f>'18s-3'!R17</f>
        <v>1434064153</v>
      </c>
      <c r="U134" s="316">
        <v>1397044226</v>
      </c>
      <c r="V134" s="49">
        <f t="shared" si="100"/>
        <v>0</v>
      </c>
      <c r="W134" s="316">
        <v>1265239648</v>
      </c>
      <c r="X134" s="49">
        <f t="shared" si="101"/>
        <v>0</v>
      </c>
      <c r="Y134" s="316">
        <v>1284428331</v>
      </c>
      <c r="Z134" s="49">
        <f t="shared" si="102"/>
        <v>0</v>
      </c>
    </row>
    <row r="135" spans="2:26" ht="3" hidden="1" customHeight="1">
      <c r="B135" s="317" t="s">
        <v>149</v>
      </c>
      <c r="C135" s="318"/>
      <c r="D135" s="318"/>
      <c r="E135" s="318"/>
      <c r="F135" s="318"/>
      <c r="G135" s="318"/>
      <c r="H135" s="318"/>
      <c r="I135" s="318"/>
      <c r="J135" s="318"/>
      <c r="K135" s="318"/>
      <c r="L135" s="318"/>
      <c r="M135" s="318"/>
      <c r="N135" s="318"/>
      <c r="O135" s="318"/>
      <c r="P135" s="318"/>
      <c r="Q135" s="318"/>
      <c r="R135" s="318"/>
      <c r="U135" s="512"/>
      <c r="V135" s="49">
        <f t="shared" si="100"/>
        <v>0</v>
      </c>
      <c r="W135" s="512"/>
      <c r="X135" s="49">
        <f t="shared" si="101"/>
        <v>0</v>
      </c>
      <c r="Y135" s="512"/>
      <c r="Z135" s="49">
        <f t="shared" si="102"/>
        <v>0</v>
      </c>
    </row>
    <row r="136" spans="2:26" ht="3" hidden="1" customHeight="1">
      <c r="B136" s="317" t="s">
        <v>150</v>
      </c>
      <c r="C136" s="318"/>
      <c r="D136" s="318"/>
      <c r="E136" s="318"/>
      <c r="F136" s="318"/>
      <c r="G136" s="318"/>
      <c r="H136" s="318"/>
      <c r="I136" s="318"/>
      <c r="J136" s="318"/>
      <c r="K136" s="318"/>
      <c r="L136" s="318"/>
      <c r="M136" s="318"/>
      <c r="N136" s="318"/>
      <c r="O136" s="318"/>
      <c r="P136" s="318"/>
      <c r="Q136" s="318"/>
      <c r="R136" s="318"/>
      <c r="U136" s="513"/>
      <c r="V136" s="49">
        <f t="shared" si="100"/>
        <v>0</v>
      </c>
      <c r="W136" s="513"/>
      <c r="X136" s="49">
        <f t="shared" si="101"/>
        <v>0</v>
      </c>
      <c r="Y136" s="513"/>
      <c r="Z136" s="49">
        <f t="shared" si="102"/>
        <v>0</v>
      </c>
    </row>
    <row r="137" spans="2:26" ht="3" hidden="1" customHeight="1">
      <c r="B137" s="317" t="s">
        <v>151</v>
      </c>
      <c r="C137" s="318"/>
      <c r="D137" s="318"/>
      <c r="E137" s="318"/>
      <c r="F137" s="318"/>
      <c r="G137" s="318"/>
      <c r="H137" s="318"/>
      <c r="I137" s="318"/>
      <c r="J137" s="318"/>
      <c r="K137" s="318"/>
      <c r="L137" s="318"/>
      <c r="M137" s="318"/>
      <c r="N137" s="318"/>
      <c r="O137" s="318"/>
      <c r="P137" s="318"/>
      <c r="Q137" s="318"/>
      <c r="R137" s="318"/>
      <c r="U137" s="316"/>
      <c r="V137" s="49">
        <f t="shared" si="100"/>
        <v>0</v>
      </c>
      <c r="W137" s="316"/>
      <c r="X137" s="49">
        <f t="shared" si="101"/>
        <v>0</v>
      </c>
      <c r="Y137" s="316"/>
      <c r="Z137" s="49">
        <f t="shared" si="102"/>
        <v>0</v>
      </c>
    </row>
    <row r="138" spans="2:26" ht="3" hidden="1" customHeight="1">
      <c r="B138" s="317" t="s">
        <v>152</v>
      </c>
      <c r="C138" s="318"/>
      <c r="D138" s="318"/>
      <c r="E138" s="318"/>
      <c r="F138" s="318"/>
      <c r="G138" s="318"/>
      <c r="H138" s="318"/>
      <c r="I138" s="318"/>
      <c r="J138" s="318"/>
      <c r="K138" s="318"/>
      <c r="L138" s="318"/>
      <c r="M138" s="318"/>
      <c r="N138" s="318"/>
      <c r="O138" s="318"/>
      <c r="P138" s="318"/>
      <c r="Q138" s="318"/>
      <c r="R138" s="318"/>
      <c r="U138" s="316"/>
      <c r="V138" s="49">
        <f t="shared" si="100"/>
        <v>0</v>
      </c>
      <c r="W138" s="316"/>
      <c r="X138" s="49">
        <f t="shared" si="101"/>
        <v>0</v>
      </c>
      <c r="Y138" s="316"/>
      <c r="Z138" s="49">
        <f t="shared" si="102"/>
        <v>0</v>
      </c>
    </row>
    <row r="139" spans="2:26" ht="3" hidden="1" customHeight="1">
      <c r="B139" s="317" t="s">
        <v>153</v>
      </c>
      <c r="C139" s="318"/>
      <c r="D139" s="318"/>
      <c r="E139" s="318"/>
      <c r="F139" s="318"/>
      <c r="G139" s="318"/>
      <c r="H139" s="318"/>
      <c r="I139" s="318"/>
      <c r="J139" s="318"/>
      <c r="K139" s="318"/>
      <c r="L139" s="318"/>
      <c r="M139" s="318"/>
      <c r="N139" s="318"/>
      <c r="O139" s="318"/>
      <c r="P139" s="318"/>
      <c r="Q139" s="318"/>
      <c r="R139" s="318"/>
      <c r="U139" s="512"/>
      <c r="V139" s="49">
        <f t="shared" si="100"/>
        <v>0</v>
      </c>
      <c r="W139" s="512"/>
      <c r="X139" s="49">
        <f t="shared" si="101"/>
        <v>0</v>
      </c>
      <c r="Y139" s="512"/>
      <c r="Z139" s="49">
        <f t="shared" si="102"/>
        <v>0</v>
      </c>
    </row>
    <row r="140" spans="2:26" ht="19.5" customHeight="1">
      <c r="B140" s="331" t="s">
        <v>43</v>
      </c>
      <c r="C140" s="332">
        <f>C133-C134</f>
        <v>-133801140</v>
      </c>
      <c r="D140" s="332">
        <f t="shared" ref="D140:R140" si="137">D133-D134</f>
        <v>-152701035</v>
      </c>
      <c r="E140" s="332">
        <f t="shared" si="137"/>
        <v>95239323</v>
      </c>
      <c r="F140" s="332">
        <f t="shared" ref="F140" si="138">F133-F134</f>
        <v>-9324458</v>
      </c>
      <c r="G140" s="332">
        <f t="shared" si="137"/>
        <v>0</v>
      </c>
      <c r="H140" s="332">
        <f t="shared" si="137"/>
        <v>-66786170</v>
      </c>
      <c r="I140" s="332">
        <f t="shared" si="137"/>
        <v>-16377194</v>
      </c>
      <c r="J140" s="332">
        <f t="shared" si="137"/>
        <v>124126981</v>
      </c>
      <c r="K140" s="332">
        <f t="shared" ref="K140" si="139">K133-K134</f>
        <v>-12673969</v>
      </c>
      <c r="L140" s="332">
        <f t="shared" si="137"/>
        <v>0</v>
      </c>
      <c r="M140" s="332">
        <f t="shared" si="137"/>
        <v>95075818</v>
      </c>
      <c r="N140" s="332">
        <f t="shared" si="137"/>
        <v>27247552</v>
      </c>
      <c r="O140" s="332">
        <f t="shared" si="137"/>
        <v>106571887</v>
      </c>
      <c r="P140" s="332">
        <f t="shared" ref="P140" si="140">P133-P134</f>
        <v>-6475572</v>
      </c>
      <c r="Q140" s="332">
        <f t="shared" si="137"/>
        <v>0</v>
      </c>
      <c r="R140" s="332">
        <f t="shared" si="137"/>
        <v>127343867</v>
      </c>
      <c r="U140" s="332">
        <v>-152701035</v>
      </c>
      <c r="V140" s="49">
        <f t="shared" si="100"/>
        <v>0</v>
      </c>
      <c r="W140" s="516">
        <v>-16377194</v>
      </c>
      <c r="X140" s="49">
        <f t="shared" si="101"/>
        <v>0</v>
      </c>
      <c r="Y140" s="516">
        <v>27247552</v>
      </c>
      <c r="Z140" s="49">
        <f t="shared" si="102"/>
        <v>0</v>
      </c>
    </row>
    <row r="141" spans="2:26">
      <c r="B141" s="327"/>
      <c r="C141" s="328"/>
      <c r="D141" s="328"/>
      <c r="E141" s="328"/>
      <c r="F141" s="323"/>
      <c r="G141" s="323"/>
      <c r="H141" s="323"/>
      <c r="I141" s="323"/>
      <c r="J141" s="323"/>
    </row>
    <row r="142" spans="2:26">
      <c r="B142" s="333" t="s">
        <v>143</v>
      </c>
      <c r="C142" s="334">
        <f>C9+C133-C18-C20</f>
        <v>4523738800</v>
      </c>
      <c r="D142" s="334"/>
      <c r="E142" s="334"/>
      <c r="F142" s="334"/>
      <c r="G142" s="334"/>
      <c r="H142" s="334"/>
      <c r="I142" s="334"/>
      <c r="J142" s="334"/>
      <c r="K142" s="334"/>
      <c r="L142" s="334"/>
      <c r="M142" s="334"/>
      <c r="N142" s="334"/>
      <c r="O142" s="334"/>
      <c r="P142" s="334"/>
      <c r="Q142" s="334"/>
      <c r="R142" s="334"/>
    </row>
    <row r="143" spans="2:26">
      <c r="B143" s="84" t="s">
        <v>228</v>
      </c>
      <c r="C143" s="85">
        <f>C16+C134-C18-C20</f>
        <v>4644843397</v>
      </c>
      <c r="D143" s="85">
        <f t="shared" ref="D143:R143" si="141">D16+D134-D18-D20</f>
        <v>4555149949</v>
      </c>
      <c r="E143" s="85">
        <f t="shared" si="141"/>
        <v>20324939</v>
      </c>
      <c r="F143" s="85">
        <f t="shared" ref="F143" si="142">F16+F134-F18-F20</f>
        <v>72144453</v>
      </c>
      <c r="G143" s="85">
        <f t="shared" si="141"/>
        <v>112982082</v>
      </c>
      <c r="H143" s="85">
        <f t="shared" si="141"/>
        <v>4760601423</v>
      </c>
      <c r="I143" s="85">
        <f t="shared" si="141"/>
        <v>4612350516</v>
      </c>
      <c r="J143" s="85">
        <f t="shared" si="141"/>
        <v>19197038</v>
      </c>
      <c r="K143" s="85">
        <f t="shared" ref="K143" si="143">K16+K134-K18-K20</f>
        <v>100364470</v>
      </c>
      <c r="L143" s="85">
        <f t="shared" si="141"/>
        <v>146409768</v>
      </c>
      <c r="M143" s="85">
        <f t="shared" si="141"/>
        <v>4878321792</v>
      </c>
      <c r="N143" s="85">
        <f t="shared" si="141"/>
        <v>4440763978</v>
      </c>
      <c r="O143" s="85">
        <f t="shared" si="141"/>
        <v>18399130</v>
      </c>
      <c r="P143" s="85">
        <f t="shared" ref="P143" si="144">P16+P134-P18-P20</f>
        <v>126317412</v>
      </c>
      <c r="Q143" s="85">
        <f t="shared" si="141"/>
        <v>116682082</v>
      </c>
      <c r="R143" s="85">
        <f t="shared" si="141"/>
        <v>4702162602</v>
      </c>
    </row>
    <row r="144" spans="2:26">
      <c r="B144" s="84" t="s">
        <v>145</v>
      </c>
      <c r="C144" s="85">
        <f>C142-C143</f>
        <v>-121104597</v>
      </c>
      <c r="D144" s="85"/>
      <c r="E144" s="85"/>
      <c r="F144" s="85"/>
      <c r="G144" s="85"/>
      <c r="H144" s="85"/>
      <c r="I144" s="85"/>
      <c r="J144" s="85"/>
      <c r="K144" s="85"/>
      <c r="L144" s="85"/>
      <c r="M144" s="85"/>
      <c r="N144" s="85"/>
      <c r="O144" s="85"/>
      <c r="P144" s="85"/>
      <c r="Q144" s="85"/>
      <c r="R144" s="85"/>
    </row>
    <row r="145" spans="1:31" s="310" customFormat="1">
      <c r="B145" s="311" t="s">
        <v>229</v>
      </c>
      <c r="C145" s="309">
        <v>14440000000</v>
      </c>
      <c r="D145" s="309"/>
      <c r="E145" s="309"/>
      <c r="F145" s="309"/>
      <c r="G145" s="309"/>
      <c r="H145" s="309"/>
      <c r="I145" s="309"/>
      <c r="J145" s="309"/>
      <c r="K145" s="309"/>
      <c r="L145" s="309"/>
      <c r="M145" s="309"/>
      <c r="N145" s="309"/>
      <c r="O145" s="309"/>
      <c r="P145" s="309"/>
      <c r="Q145" s="309"/>
      <c r="R145" s="309"/>
      <c r="AC145" s="557"/>
      <c r="AD145" s="557"/>
      <c r="AE145" s="557"/>
    </row>
    <row r="146" spans="1:31" s="310" customFormat="1">
      <c r="B146" s="335" t="s">
        <v>146</v>
      </c>
      <c r="C146" s="336">
        <f>C144/C145*100</f>
        <v>-0.83867449445983389</v>
      </c>
      <c r="D146" s="336"/>
      <c r="E146" s="336"/>
      <c r="F146" s="336"/>
      <c r="G146" s="336"/>
      <c r="H146" s="336"/>
      <c r="I146" s="336"/>
      <c r="J146" s="336"/>
      <c r="K146" s="336"/>
      <c r="L146" s="336"/>
      <c r="M146" s="336"/>
      <c r="N146" s="336"/>
      <c r="O146" s="336"/>
      <c r="P146" s="336"/>
      <c r="Q146" s="336"/>
      <c r="R146" s="336"/>
      <c r="AC146" s="557"/>
      <c r="AD146" s="557"/>
      <c r="AE146" s="557"/>
    </row>
    <row r="147" spans="1:31">
      <c r="B147" s="312"/>
      <c r="C147" s="312"/>
      <c r="D147" s="312"/>
      <c r="E147" s="312"/>
    </row>
    <row r="148" spans="1:31">
      <c r="A148" s="1318"/>
      <c r="B148" s="901" t="s">
        <v>1072</v>
      </c>
      <c r="C148" s="1318"/>
      <c r="D148" s="1318"/>
      <c r="E148" s="901">
        <f>E149+E266</f>
        <v>1962416</v>
      </c>
      <c r="F148" s="901">
        <f t="shared" ref="F148:G148" si="145">F149+F266</f>
        <v>65277225</v>
      </c>
      <c r="G148" s="901">
        <f t="shared" si="145"/>
        <v>114458082</v>
      </c>
      <c r="H148" s="1318"/>
      <c r="I148" s="1318"/>
      <c r="J148" s="901">
        <f>J149+J266</f>
        <v>-1674608</v>
      </c>
      <c r="K148" s="901">
        <f t="shared" ref="K148" si="146">K149+K266</f>
        <v>89784946</v>
      </c>
      <c r="L148" s="901">
        <f t="shared" ref="L148" si="147">L149+L266</f>
        <v>147885768</v>
      </c>
      <c r="M148" s="1318"/>
      <c r="N148" s="1318"/>
      <c r="O148" s="901">
        <f>O149+O266</f>
        <v>-2313099</v>
      </c>
      <c r="P148" s="901">
        <f t="shared" ref="P148" si="148">P149+P266</f>
        <v>121545259</v>
      </c>
      <c r="Q148" s="901">
        <f t="shared" ref="Q148" si="149">Q149+Q266</f>
        <v>118158082.01353294</v>
      </c>
      <c r="R148" s="1318"/>
      <c r="AC148" s="562"/>
      <c r="AD148" s="562"/>
      <c r="AE148" s="562"/>
    </row>
    <row r="149" spans="1:31">
      <c r="A149" s="1318"/>
      <c r="B149" s="901" t="s">
        <v>948</v>
      </c>
      <c r="C149" s="1318"/>
      <c r="D149" s="1318"/>
      <c r="E149" s="902">
        <f>E152+E237</f>
        <v>826423</v>
      </c>
      <c r="F149" s="903">
        <f>F159+F237</f>
        <v>64141013</v>
      </c>
      <c r="G149" s="903">
        <f>G159+G237</f>
        <v>0</v>
      </c>
      <c r="H149" s="903"/>
      <c r="I149" s="902"/>
      <c r="J149" s="902">
        <f>J152+J237</f>
        <v>-2304336</v>
      </c>
      <c r="K149" s="903">
        <f>K159+K237</f>
        <v>88422286</v>
      </c>
      <c r="L149" s="903">
        <f>L159+L237</f>
        <v>0</v>
      </c>
      <c r="M149" s="902"/>
      <c r="N149" s="903"/>
      <c r="O149" s="902">
        <f>O152+O237</f>
        <v>-2494861</v>
      </c>
      <c r="P149" s="903">
        <f>P159+P237</f>
        <v>120153849</v>
      </c>
      <c r="Q149" s="903">
        <f>Q159+Q237</f>
        <v>0</v>
      </c>
      <c r="R149" s="1318"/>
      <c r="AC149" s="562"/>
      <c r="AD149" s="562"/>
      <c r="AE149" s="562"/>
    </row>
    <row r="150" spans="1:31">
      <c r="A150" s="369" t="s">
        <v>236</v>
      </c>
      <c r="B150" s="370" t="s">
        <v>237</v>
      </c>
      <c r="E150" s="562"/>
      <c r="F150" s="562"/>
      <c r="G150" s="562"/>
      <c r="H150" s="562"/>
      <c r="I150" s="562"/>
      <c r="J150" s="562"/>
      <c r="K150" s="562"/>
      <c r="L150" s="562"/>
      <c r="M150" s="562"/>
      <c r="N150" s="562"/>
      <c r="O150" s="562"/>
      <c r="P150" s="562"/>
      <c r="Q150" s="562"/>
      <c r="AC150" s="562"/>
      <c r="AD150" s="562"/>
      <c r="AE150" s="562"/>
    </row>
    <row r="151" spans="1:31">
      <c r="A151" s="371"/>
      <c r="B151" s="372" t="s">
        <v>238</v>
      </c>
      <c r="E151" s="562"/>
      <c r="F151" s="562"/>
      <c r="G151" s="562"/>
      <c r="H151" s="562"/>
      <c r="I151" s="562"/>
      <c r="J151" s="562"/>
      <c r="K151" s="562"/>
      <c r="L151" s="562"/>
      <c r="M151" s="562"/>
      <c r="N151" s="562"/>
      <c r="O151" s="562"/>
      <c r="P151" s="562"/>
      <c r="Q151" s="562"/>
      <c r="AC151" s="562"/>
      <c r="AD151" s="562"/>
      <c r="AE151" s="562"/>
    </row>
    <row r="152" spans="1:31">
      <c r="A152" s="373" t="s">
        <v>223</v>
      </c>
      <c r="B152" s="374" t="s">
        <v>239</v>
      </c>
      <c r="E152" s="579">
        <f>SUM(E154:E157)</f>
        <v>764113</v>
      </c>
      <c r="F152" s="579"/>
      <c r="G152" s="579"/>
      <c r="H152" s="579"/>
      <c r="I152" s="579"/>
      <c r="J152" s="579">
        <f>SUM(J154:J157)</f>
        <v>-2345618</v>
      </c>
      <c r="K152" s="579"/>
      <c r="L152" s="579"/>
      <c r="M152" s="579"/>
      <c r="N152" s="579"/>
      <c r="O152" s="579">
        <f>SUM(O154:O157)</f>
        <v>-2503117</v>
      </c>
      <c r="P152" s="562"/>
      <c r="Q152" s="562"/>
    </row>
    <row r="153" spans="1:31">
      <c r="A153" s="375"/>
      <c r="B153" s="376"/>
      <c r="E153" s="562"/>
      <c r="F153" s="562"/>
      <c r="G153" s="562"/>
      <c r="H153" s="562"/>
      <c r="I153" s="562"/>
      <c r="J153" s="562"/>
      <c r="K153" s="562"/>
      <c r="L153" s="562"/>
      <c r="M153" s="562"/>
      <c r="N153" s="562"/>
      <c r="O153" s="562"/>
      <c r="P153" s="562"/>
      <c r="Q153" s="562"/>
    </row>
    <row r="154" spans="1:31" ht="66">
      <c r="A154" s="375"/>
      <c r="B154" s="376" t="s">
        <v>429</v>
      </c>
      <c r="E154" s="562"/>
      <c r="F154" s="562"/>
      <c r="G154" s="562"/>
      <c r="H154" s="562"/>
      <c r="I154" s="562"/>
      <c r="J154" s="482">
        <v>-3168196</v>
      </c>
      <c r="K154" s="483"/>
      <c r="L154" s="483"/>
      <c r="M154" s="483"/>
      <c r="N154" s="483"/>
      <c r="O154" s="482">
        <v>-3537821</v>
      </c>
      <c r="P154" s="562"/>
      <c r="Q154" s="562"/>
    </row>
    <row r="155" spans="1:31" ht="66">
      <c r="A155" s="375"/>
      <c r="B155" s="376" t="s">
        <v>430</v>
      </c>
      <c r="E155" s="482">
        <v>178669</v>
      </c>
      <c r="F155" s="483"/>
      <c r="G155" s="483"/>
      <c r="H155" s="483"/>
      <c r="I155" s="483"/>
      <c r="J155" s="482">
        <v>-8549</v>
      </c>
      <c r="K155" s="483"/>
      <c r="L155" s="483"/>
      <c r="M155" s="483"/>
      <c r="N155" s="483"/>
      <c r="O155" s="482">
        <v>-65284</v>
      </c>
      <c r="P155" s="562"/>
      <c r="Q155" s="562"/>
    </row>
    <row r="156" spans="1:31" ht="66">
      <c r="A156" s="375"/>
      <c r="B156" s="376" t="s">
        <v>431</v>
      </c>
      <c r="E156" s="482">
        <v>577327</v>
      </c>
      <c r="F156" s="483"/>
      <c r="G156" s="483"/>
      <c r="H156" s="483"/>
      <c r="I156" s="483"/>
      <c r="J156" s="482">
        <v>795725</v>
      </c>
      <c r="K156" s="483"/>
      <c r="L156" s="483"/>
      <c r="M156" s="483"/>
      <c r="N156" s="483"/>
      <c r="O156" s="482">
        <v>1066661</v>
      </c>
      <c r="P156" s="562"/>
      <c r="Q156" s="562"/>
    </row>
    <row r="157" spans="1:31" ht="197.4" customHeight="1">
      <c r="A157" s="377"/>
      <c r="B157" s="428" t="s">
        <v>433</v>
      </c>
      <c r="E157" s="482">
        <v>8117</v>
      </c>
      <c r="F157" s="482"/>
      <c r="G157" s="482"/>
      <c r="H157" s="482"/>
      <c r="I157" s="482"/>
      <c r="J157" s="482">
        <v>35402</v>
      </c>
      <c r="K157" s="482"/>
      <c r="L157" s="482"/>
      <c r="M157" s="482"/>
      <c r="N157" s="482"/>
      <c r="O157" s="482">
        <v>33327</v>
      </c>
      <c r="P157" s="482"/>
      <c r="Q157" s="482"/>
      <c r="R157" s="482"/>
    </row>
    <row r="158" spans="1:31">
      <c r="A158" s="377"/>
      <c r="B158" s="376"/>
      <c r="E158" s="562"/>
      <c r="F158" s="562"/>
      <c r="G158" s="562"/>
      <c r="H158" s="562"/>
      <c r="I158" s="562"/>
      <c r="J158" s="562"/>
      <c r="K158" s="562"/>
      <c r="L158" s="562"/>
      <c r="M158" s="562"/>
      <c r="N158" s="562"/>
      <c r="O158" s="562"/>
      <c r="P158" s="562"/>
      <c r="Q158" s="562"/>
    </row>
    <row r="159" spans="1:31">
      <c r="A159" s="488" t="s">
        <v>224</v>
      </c>
      <c r="B159" s="489" t="s">
        <v>242</v>
      </c>
      <c r="E159" s="562"/>
      <c r="F159" s="579">
        <f>F160+F227+F231</f>
        <v>64141013</v>
      </c>
      <c r="G159" s="579"/>
      <c r="H159" s="579"/>
      <c r="I159" s="579"/>
      <c r="J159" s="579"/>
      <c r="K159" s="579">
        <f>K160+K227+K231</f>
        <v>88422286</v>
      </c>
      <c r="L159" s="579"/>
      <c r="M159" s="579"/>
      <c r="N159" s="579"/>
      <c r="O159" s="579"/>
      <c r="P159" s="579">
        <f>P160+P227+P231</f>
        <v>120153849</v>
      </c>
      <c r="Q159" s="579"/>
      <c r="R159" s="339"/>
    </row>
    <row r="160" spans="1:31" ht="26.4">
      <c r="A160" s="375"/>
      <c r="B160" s="490" t="s">
        <v>422</v>
      </c>
      <c r="C160" s="487"/>
      <c r="D160" s="487"/>
      <c r="E160" s="580"/>
      <c r="F160" s="581">
        <f>SUM(F163:F226)</f>
        <v>63969261</v>
      </c>
      <c r="G160" s="581"/>
      <c r="H160" s="581"/>
      <c r="I160" s="581"/>
      <c r="J160" s="581"/>
      <c r="K160" s="581">
        <f>SUM(K163:K226)</f>
        <v>87437685</v>
      </c>
      <c r="L160" s="581"/>
      <c r="M160" s="581"/>
      <c r="N160" s="581"/>
      <c r="O160" s="581"/>
      <c r="P160" s="581">
        <f>SUM(P163:P226)</f>
        <v>119169248</v>
      </c>
      <c r="Q160" s="581"/>
      <c r="R160" s="487"/>
    </row>
    <row r="161" spans="1:31">
      <c r="A161" s="375"/>
      <c r="B161" s="547" t="s">
        <v>423</v>
      </c>
      <c r="C161" s="487"/>
      <c r="D161" s="487"/>
      <c r="E161" s="580"/>
      <c r="F161" s="581">
        <f>F167+F168+F180+F184+F185+F196+F197+F198+F199+F205+F206+F207+F211+F216+F217+F218+F222+F224+F187</f>
        <v>16620355</v>
      </c>
      <c r="G161" s="581"/>
      <c r="H161" s="581"/>
      <c r="I161" s="581"/>
      <c r="J161" s="581"/>
      <c r="K161" s="581">
        <f>K167+K168+K180+K184+K185+K196+K197+K198+K199+K205+K206+K207+K211+K216+K217+K218+K222+K224+K187</f>
        <v>17086558</v>
      </c>
      <c r="L161" s="581"/>
      <c r="M161" s="581"/>
      <c r="N161" s="581"/>
      <c r="O161" s="581"/>
      <c r="P161" s="581">
        <f>P167+P168+P180+P184+P185+P196+P197+P198+P199+P205+P206+P207+P211+P216+P217+P218+P222+P224+P187</f>
        <v>12529487</v>
      </c>
      <c r="Q161" s="581"/>
      <c r="R161" s="487"/>
    </row>
    <row r="162" spans="1:31">
      <c r="A162" s="375"/>
      <c r="B162" s="547" t="s">
        <v>424</v>
      </c>
      <c r="C162" s="487"/>
      <c r="D162" s="487"/>
      <c r="E162" s="580"/>
      <c r="F162" s="581">
        <f>F169+F181+F183+F188+F189+F195+F200+F203+F204+F208+F213+F223+F215+F225+F219</f>
        <v>6883834</v>
      </c>
      <c r="G162" s="581"/>
      <c r="H162" s="581"/>
      <c r="I162" s="581"/>
      <c r="J162" s="581"/>
      <c r="K162" s="581">
        <f>K169+K181+K183+K188+K189+K195+K200+K203+K204+K208+K213+K223+K215+K225+K219</f>
        <v>31000000</v>
      </c>
      <c r="L162" s="581"/>
      <c r="M162" s="581"/>
      <c r="N162" s="581"/>
      <c r="O162" s="581"/>
      <c r="P162" s="581">
        <f>P169+P181+P183+P188+P189+P195+P200+P203+P204+P208+P213+P223+P215+P225+P219</f>
        <v>41000000</v>
      </c>
      <c r="Q162" s="581"/>
      <c r="R162" s="487"/>
    </row>
    <row r="163" spans="1:31" ht="79.2">
      <c r="B163" s="476" t="s">
        <v>306</v>
      </c>
      <c r="E163" s="562"/>
      <c r="F163" s="562"/>
      <c r="G163" s="562"/>
      <c r="H163" s="562"/>
      <c r="I163" s="562"/>
      <c r="J163" s="562"/>
      <c r="K163" s="562"/>
      <c r="L163" s="562"/>
      <c r="M163" s="562"/>
      <c r="N163" s="562"/>
      <c r="O163" s="562"/>
      <c r="P163" s="562"/>
      <c r="Q163" s="562"/>
    </row>
    <row r="164" spans="1:31">
      <c r="B164" s="476" t="s">
        <v>292</v>
      </c>
      <c r="E164" s="562"/>
      <c r="F164" s="562">
        <v>51644</v>
      </c>
      <c r="G164" s="562"/>
      <c r="H164" s="562"/>
      <c r="I164" s="562"/>
      <c r="J164" s="562"/>
      <c r="K164" s="562">
        <v>51644</v>
      </c>
      <c r="L164" s="562"/>
      <c r="M164" s="562"/>
      <c r="N164" s="562"/>
      <c r="O164" s="562"/>
      <c r="P164" s="562">
        <v>51644</v>
      </c>
      <c r="Q164" s="562"/>
    </row>
    <row r="165" spans="1:31">
      <c r="B165" s="476" t="s">
        <v>293</v>
      </c>
      <c r="E165" s="562"/>
      <c r="F165" s="562">
        <v>-51644</v>
      </c>
      <c r="G165" s="562"/>
      <c r="H165" s="562"/>
      <c r="I165" s="562"/>
      <c r="J165" s="562"/>
      <c r="K165" s="562">
        <v>-51644</v>
      </c>
      <c r="L165" s="562"/>
      <c r="M165" s="562"/>
      <c r="N165" s="562"/>
      <c r="O165" s="562"/>
      <c r="P165" s="562">
        <v>-51644</v>
      </c>
      <c r="Q165" s="562"/>
    </row>
    <row r="166" spans="1:31">
      <c r="A166" s="377"/>
      <c r="B166" s="376"/>
      <c r="E166" s="562"/>
      <c r="F166" s="562"/>
      <c r="G166" s="562"/>
      <c r="H166" s="562"/>
      <c r="I166" s="562"/>
      <c r="J166" s="562"/>
      <c r="K166" s="562"/>
      <c r="L166" s="562"/>
      <c r="M166" s="562"/>
      <c r="N166" s="562"/>
      <c r="O166" s="562"/>
      <c r="P166" s="562"/>
      <c r="Q166" s="562"/>
    </row>
    <row r="167" spans="1:31" s="312" customFormat="1" ht="66">
      <c r="A167" s="377"/>
      <c r="B167" s="376" t="s">
        <v>412</v>
      </c>
      <c r="C167" s="45" t="s">
        <v>421</v>
      </c>
      <c r="D167" s="45"/>
      <c r="E167" s="562"/>
      <c r="F167" s="482">
        <v>3000</v>
      </c>
      <c r="G167" s="482"/>
      <c r="H167" s="482"/>
      <c r="I167" s="482"/>
      <c r="J167" s="482"/>
      <c r="K167" s="482">
        <v>3000</v>
      </c>
      <c r="L167" s="482"/>
      <c r="M167" s="482"/>
      <c r="N167" s="482"/>
      <c r="O167" s="482"/>
      <c r="P167" s="482"/>
      <c r="Q167" s="482"/>
      <c r="R167" s="482"/>
      <c r="S167" s="45"/>
      <c r="AC167" s="553"/>
      <c r="AD167" s="553"/>
      <c r="AE167" s="553"/>
    </row>
    <row r="168" spans="1:31" s="312" customFormat="1" ht="66">
      <c r="A168" s="377"/>
      <c r="B168" s="376" t="s">
        <v>413</v>
      </c>
      <c r="C168" s="45" t="s">
        <v>421</v>
      </c>
      <c r="D168" s="45"/>
      <c r="E168" s="562"/>
      <c r="F168" s="482">
        <v>105922</v>
      </c>
      <c r="G168" s="482"/>
      <c r="H168" s="482"/>
      <c r="I168" s="482"/>
      <c r="J168" s="482"/>
      <c r="K168" s="482">
        <v>105922</v>
      </c>
      <c r="L168" s="482"/>
      <c r="M168" s="482"/>
      <c r="N168" s="482"/>
      <c r="O168" s="482"/>
      <c r="P168" s="482">
        <v>105922</v>
      </c>
      <c r="Q168" s="482"/>
      <c r="R168" s="482"/>
      <c r="S168" s="45"/>
      <c r="AC168" s="553"/>
      <c r="AD168" s="553"/>
      <c r="AE168" s="553"/>
    </row>
    <row r="169" spans="1:31" s="312" customFormat="1" ht="52.8">
      <c r="A169" s="377"/>
      <c r="B169" s="376" t="s">
        <v>414</v>
      </c>
      <c r="C169" s="45"/>
      <c r="D169" s="45"/>
      <c r="E169" s="562"/>
      <c r="F169" s="482">
        <v>757011</v>
      </c>
      <c r="G169" s="482"/>
      <c r="H169" s="482"/>
      <c r="I169" s="482"/>
      <c r="J169" s="482"/>
      <c r="K169" s="482">
        <v>30913</v>
      </c>
      <c r="L169" s="482"/>
      <c r="M169" s="482"/>
      <c r="N169" s="482"/>
      <c r="O169" s="482"/>
      <c r="P169" s="482"/>
      <c r="Q169" s="482"/>
      <c r="R169" s="482"/>
      <c r="S169" s="45"/>
      <c r="AC169" s="553"/>
      <c r="AD169" s="553"/>
      <c r="AE169" s="553"/>
    </row>
    <row r="170" spans="1:31" s="312" customFormat="1" ht="52.8">
      <c r="A170" s="377"/>
      <c r="B170" s="376" t="s">
        <v>415</v>
      </c>
      <c r="C170" s="45"/>
      <c r="D170" s="45"/>
      <c r="E170" s="562"/>
      <c r="F170" s="482">
        <v>-20000</v>
      </c>
      <c r="G170" s="482"/>
      <c r="H170" s="482"/>
      <c r="I170" s="482"/>
      <c r="J170" s="482"/>
      <c r="K170" s="482">
        <v>-20000</v>
      </c>
      <c r="L170" s="482"/>
      <c r="M170" s="483"/>
      <c r="N170" s="483"/>
      <c r="O170" s="482"/>
      <c r="P170" s="483"/>
      <c r="Q170" s="483"/>
      <c r="R170" s="483"/>
      <c r="S170" s="45"/>
      <c r="AC170" s="553"/>
      <c r="AD170" s="553"/>
      <c r="AE170" s="553"/>
    </row>
    <row r="171" spans="1:31" ht="66">
      <c r="A171" s="377"/>
      <c r="B171" s="372" t="s">
        <v>305</v>
      </c>
      <c r="E171" s="562"/>
      <c r="F171" s="562">
        <v>174355</v>
      </c>
      <c r="G171" s="562"/>
      <c r="H171" s="562"/>
      <c r="I171" s="562"/>
      <c r="J171" s="562"/>
      <c r="K171" s="562">
        <v>174355</v>
      </c>
      <c r="L171" s="562"/>
      <c r="M171" s="562"/>
      <c r="N171" s="562"/>
      <c r="O171" s="562"/>
      <c r="P171" s="562">
        <v>174355</v>
      </c>
      <c r="Q171" s="562"/>
    </row>
    <row r="172" spans="1:31" s="312" customFormat="1" ht="66">
      <c r="A172" s="496"/>
      <c r="B172" s="497" t="s">
        <v>332</v>
      </c>
      <c r="C172" s="583"/>
      <c r="D172" s="583"/>
      <c r="E172" s="518"/>
      <c r="F172" s="518">
        <v>890272</v>
      </c>
      <c r="G172" s="518"/>
      <c r="H172" s="518"/>
      <c r="I172" s="518"/>
      <c r="J172" s="518"/>
      <c r="K172" s="518">
        <v>890272</v>
      </c>
      <c r="L172" s="518"/>
      <c r="M172" s="518"/>
      <c r="N172" s="518"/>
      <c r="O172" s="518"/>
      <c r="P172" s="518">
        <v>890272</v>
      </c>
      <c r="Q172" s="518"/>
      <c r="R172" s="518"/>
      <c r="S172" s="45"/>
      <c r="AC172" s="553"/>
      <c r="AD172" s="553"/>
      <c r="AE172" s="553"/>
    </row>
    <row r="173" spans="1:31" s="312" customFormat="1" ht="66">
      <c r="A173" s="496"/>
      <c r="B173" s="497" t="s">
        <v>333</v>
      </c>
      <c r="C173" s="583"/>
      <c r="D173" s="583"/>
      <c r="E173" s="518"/>
      <c r="F173" s="518">
        <v>1758570</v>
      </c>
      <c r="G173" s="518"/>
      <c r="H173" s="518"/>
      <c r="I173" s="518"/>
      <c r="J173" s="518"/>
      <c r="K173" s="518">
        <v>1758570</v>
      </c>
      <c r="L173" s="518"/>
      <c r="M173" s="518"/>
      <c r="N173" s="518"/>
      <c r="O173" s="518"/>
      <c r="P173" s="518">
        <v>1758570</v>
      </c>
      <c r="Q173" s="518"/>
      <c r="R173" s="518"/>
      <c r="S173" s="45"/>
      <c r="AC173" s="553"/>
      <c r="AD173" s="553"/>
      <c r="AE173" s="553"/>
    </row>
    <row r="174" spans="1:31" s="312" customFormat="1" ht="52.8">
      <c r="A174" s="496"/>
      <c r="B174" s="497" t="s">
        <v>334</v>
      </c>
      <c r="C174" s="583"/>
      <c r="D174" s="583"/>
      <c r="E174" s="518"/>
      <c r="F174" s="518">
        <v>12045</v>
      </c>
      <c r="G174" s="518"/>
      <c r="H174" s="518"/>
      <c r="I174" s="518"/>
      <c r="J174" s="518"/>
      <c r="K174" s="518">
        <v>12045</v>
      </c>
      <c r="L174" s="518"/>
      <c r="M174" s="518"/>
      <c r="N174" s="518"/>
      <c r="O174" s="518"/>
      <c r="P174" s="518">
        <v>12045</v>
      </c>
      <c r="Q174" s="518"/>
      <c r="R174" s="518"/>
      <c r="S174" s="45"/>
      <c r="AC174" s="553"/>
      <c r="AD174" s="553"/>
      <c r="AE174" s="553"/>
    </row>
    <row r="175" spans="1:31" s="312" customFormat="1" ht="52.8">
      <c r="A175" s="496"/>
      <c r="B175" s="497" t="s">
        <v>335</v>
      </c>
      <c r="C175" s="583"/>
      <c r="D175" s="583"/>
      <c r="E175" s="518"/>
      <c r="F175" s="518">
        <v>8395</v>
      </c>
      <c r="G175" s="518"/>
      <c r="H175" s="518"/>
      <c r="I175" s="518"/>
      <c r="J175" s="518"/>
      <c r="K175" s="518">
        <v>8395</v>
      </c>
      <c r="L175" s="518"/>
      <c r="M175" s="518"/>
      <c r="N175" s="518"/>
      <c r="O175" s="518"/>
      <c r="P175" s="518">
        <v>8395</v>
      </c>
      <c r="Q175" s="518"/>
      <c r="R175" s="518"/>
      <c r="S175" s="45"/>
      <c r="AC175" s="553"/>
      <c r="AD175" s="553"/>
      <c r="AE175" s="553"/>
    </row>
    <row r="176" spans="1:31" s="312" customFormat="1" ht="52.8">
      <c r="A176" s="496"/>
      <c r="B176" s="497" t="s">
        <v>336</v>
      </c>
      <c r="C176" s="583"/>
      <c r="D176" s="583"/>
      <c r="E176" s="518"/>
      <c r="F176" s="518">
        <v>3285</v>
      </c>
      <c r="G176" s="518"/>
      <c r="H176" s="518"/>
      <c r="I176" s="518"/>
      <c r="J176" s="518"/>
      <c r="K176" s="518">
        <v>3285</v>
      </c>
      <c r="L176" s="518"/>
      <c r="M176" s="518"/>
      <c r="N176" s="518"/>
      <c r="O176" s="518"/>
      <c r="P176" s="518">
        <v>3285</v>
      </c>
      <c r="Q176" s="518"/>
      <c r="R176" s="518"/>
      <c r="S176" s="45"/>
      <c r="AC176" s="553"/>
      <c r="AD176" s="553"/>
      <c r="AE176" s="553"/>
    </row>
    <row r="177" spans="1:31" s="312" customFormat="1" ht="52.8">
      <c r="A177" s="496"/>
      <c r="B177" s="497" t="s">
        <v>337</v>
      </c>
      <c r="C177" s="583"/>
      <c r="D177" s="583"/>
      <c r="E177" s="518"/>
      <c r="F177" s="518">
        <v>21535</v>
      </c>
      <c r="G177" s="518"/>
      <c r="H177" s="518"/>
      <c r="I177" s="518"/>
      <c r="J177" s="518"/>
      <c r="K177" s="518">
        <v>21535</v>
      </c>
      <c r="L177" s="518"/>
      <c r="M177" s="518"/>
      <c r="N177" s="518"/>
      <c r="O177" s="518"/>
      <c r="P177" s="518">
        <v>21535</v>
      </c>
      <c r="Q177" s="518"/>
      <c r="R177" s="518"/>
      <c r="S177" s="45"/>
      <c r="AC177" s="553"/>
      <c r="AD177" s="553"/>
      <c r="AE177" s="553"/>
    </row>
    <row r="178" spans="1:31" s="312" customFormat="1" ht="52.8">
      <c r="A178" s="496"/>
      <c r="B178" s="497" t="s">
        <v>338</v>
      </c>
      <c r="C178" s="583"/>
      <c r="D178" s="583"/>
      <c r="E178" s="518"/>
      <c r="F178" s="518"/>
      <c r="G178" s="518"/>
      <c r="H178" s="518"/>
      <c r="I178" s="518"/>
      <c r="J178" s="518"/>
      <c r="K178" s="518">
        <v>202900</v>
      </c>
      <c r="L178" s="518"/>
      <c r="M178" s="518"/>
      <c r="N178" s="518"/>
      <c r="O178" s="518"/>
      <c r="P178" s="518">
        <v>1961700</v>
      </c>
      <c r="Q178" s="518"/>
      <c r="R178" s="518"/>
      <c r="S178" s="45"/>
      <c r="AC178" s="553"/>
      <c r="AD178" s="553"/>
      <c r="AE178" s="553"/>
    </row>
    <row r="179" spans="1:31" s="312" customFormat="1" ht="52.8">
      <c r="A179" s="496"/>
      <c r="B179" s="497" t="s">
        <v>339</v>
      </c>
      <c r="C179" s="583"/>
      <c r="D179" s="583"/>
      <c r="E179" s="518"/>
      <c r="F179" s="518">
        <v>6271564</v>
      </c>
      <c r="G179" s="518"/>
      <c r="H179" s="518"/>
      <c r="I179" s="518"/>
      <c r="J179" s="518"/>
      <c r="K179" s="518">
        <v>3145005</v>
      </c>
      <c r="L179" s="518"/>
      <c r="M179" s="518"/>
      <c r="N179" s="518"/>
      <c r="O179" s="518"/>
      <c r="P179" s="518">
        <v>13373698</v>
      </c>
      <c r="Q179" s="518"/>
      <c r="R179" s="518"/>
      <c r="S179" s="45"/>
      <c r="AC179" s="553"/>
      <c r="AD179" s="553"/>
      <c r="AE179" s="553"/>
    </row>
    <row r="180" spans="1:31" ht="79.2">
      <c r="A180" s="377"/>
      <c r="B180" s="521" t="s">
        <v>363</v>
      </c>
      <c r="C180" s="45" t="s">
        <v>421</v>
      </c>
      <c r="E180" s="582"/>
      <c r="F180" s="518">
        <v>201585</v>
      </c>
      <c r="G180" s="518"/>
      <c r="H180" s="518"/>
      <c r="I180" s="518"/>
      <c r="J180" s="518"/>
      <c r="K180" s="518">
        <v>230566</v>
      </c>
      <c r="L180" s="518"/>
      <c r="M180" s="518"/>
      <c r="N180" s="518"/>
      <c r="O180" s="518"/>
      <c r="P180" s="518">
        <v>246579</v>
      </c>
      <c r="Q180" s="518"/>
      <c r="R180" s="518"/>
      <c r="S180" s="517"/>
    </row>
    <row r="181" spans="1:31" ht="66">
      <c r="A181" s="377"/>
      <c r="B181" s="522" t="s">
        <v>364</v>
      </c>
      <c r="E181" s="582"/>
      <c r="F181" s="491">
        <f>188951</f>
        <v>188951</v>
      </c>
      <c r="G181" s="491"/>
      <c r="H181" s="492"/>
      <c r="I181" s="492"/>
      <c r="J181" s="491"/>
      <c r="K181" s="491">
        <v>111340</v>
      </c>
      <c r="L181" s="491"/>
      <c r="M181" s="492"/>
      <c r="N181" s="492"/>
      <c r="O181" s="491"/>
      <c r="P181" s="491">
        <v>123248</v>
      </c>
      <c r="Q181" s="491"/>
      <c r="R181" s="492"/>
      <c r="S181" s="517"/>
    </row>
    <row r="182" spans="1:31" ht="52.8">
      <c r="A182" s="377"/>
      <c r="B182" s="418" t="s">
        <v>349</v>
      </c>
      <c r="C182" s="482"/>
      <c r="D182" s="483"/>
      <c r="E182" s="482"/>
      <c r="F182" s="482">
        <v>167940</v>
      </c>
      <c r="G182" s="482"/>
      <c r="H182" s="483"/>
      <c r="I182" s="483"/>
      <c r="J182" s="482"/>
      <c r="K182" s="482">
        <v>167940</v>
      </c>
      <c r="L182" s="482"/>
      <c r="M182" s="482"/>
      <c r="N182" s="482"/>
      <c r="O182" s="482"/>
      <c r="P182" s="482">
        <v>167940</v>
      </c>
      <c r="Q182" s="482"/>
      <c r="R182" s="483"/>
    </row>
    <row r="183" spans="1:31" ht="52.8">
      <c r="A183" s="377"/>
      <c r="B183" s="376" t="s">
        <v>416</v>
      </c>
      <c r="C183" s="482"/>
      <c r="D183" s="483"/>
      <c r="E183" s="482"/>
      <c r="F183" s="485">
        <v>2949976</v>
      </c>
      <c r="G183" s="485"/>
      <c r="H183" s="485"/>
      <c r="I183" s="485"/>
      <c r="J183" s="485"/>
      <c r="K183" s="485">
        <v>2121500</v>
      </c>
      <c r="L183" s="485"/>
      <c r="M183" s="485"/>
      <c r="N183" s="485"/>
      <c r="O183" s="485"/>
      <c r="P183" s="485">
        <v>2080174</v>
      </c>
      <c r="Q183" s="485"/>
      <c r="R183" s="483"/>
    </row>
    <row r="184" spans="1:31" ht="95.4" customHeight="1">
      <c r="A184" s="377"/>
      <c r="B184" s="376" t="s">
        <v>417</v>
      </c>
      <c r="C184" s="45" t="s">
        <v>421</v>
      </c>
      <c r="D184" s="483"/>
      <c r="E184" s="482"/>
      <c r="F184" s="93">
        <v>527540</v>
      </c>
      <c r="G184" s="93"/>
      <c r="H184" s="485"/>
      <c r="I184" s="485"/>
      <c r="J184" s="485"/>
      <c r="K184" s="93">
        <v>527540</v>
      </c>
      <c r="L184" s="93"/>
      <c r="M184" s="485"/>
      <c r="N184" s="485"/>
      <c r="O184" s="485"/>
      <c r="P184" s="93">
        <v>527540</v>
      </c>
      <c r="Q184" s="93"/>
      <c r="R184" s="483"/>
    </row>
    <row r="185" spans="1:31" ht="66">
      <c r="A185" s="377"/>
      <c r="B185" s="376" t="s">
        <v>418</v>
      </c>
      <c r="C185" s="45" t="s">
        <v>421</v>
      </c>
      <c r="D185" s="483"/>
      <c r="E185" s="482"/>
      <c r="F185" s="93">
        <v>34484</v>
      </c>
      <c r="G185" s="93"/>
      <c r="H185" s="485"/>
      <c r="I185" s="485"/>
      <c r="J185" s="485"/>
      <c r="K185" s="93">
        <v>34484</v>
      </c>
      <c r="L185" s="93"/>
      <c r="M185" s="485"/>
      <c r="N185" s="485"/>
      <c r="O185" s="485"/>
      <c r="P185" s="93">
        <v>34484</v>
      </c>
      <c r="Q185" s="93"/>
      <c r="R185" s="483"/>
    </row>
    <row r="186" spans="1:31" ht="39.6">
      <c r="A186" s="377"/>
      <c r="B186" s="376" t="s">
        <v>322</v>
      </c>
      <c r="E186" s="562"/>
      <c r="F186" s="562">
        <v>200000</v>
      </c>
      <c r="G186" s="562"/>
      <c r="H186" s="562"/>
      <c r="I186" s="562"/>
      <c r="J186" s="562"/>
      <c r="K186" s="562"/>
      <c r="L186" s="562"/>
      <c r="M186" s="562"/>
      <c r="N186" s="562"/>
      <c r="O186" s="562"/>
      <c r="P186" s="562"/>
      <c r="Q186" s="562"/>
    </row>
    <row r="187" spans="1:31" ht="26.4">
      <c r="A187" s="377"/>
      <c r="B187" s="376" t="s">
        <v>406</v>
      </c>
      <c r="C187" s="45" t="s">
        <v>421</v>
      </c>
      <c r="E187" s="562"/>
      <c r="F187" s="482">
        <v>5128600</v>
      </c>
      <c r="G187" s="482"/>
      <c r="H187" s="483"/>
      <c r="I187" s="483"/>
      <c r="J187" s="482"/>
      <c r="K187" s="482">
        <v>5128600</v>
      </c>
      <c r="L187" s="482"/>
      <c r="M187" s="483"/>
      <c r="N187" s="483"/>
      <c r="O187" s="482"/>
      <c r="P187" s="482">
        <v>5128600</v>
      </c>
      <c r="Q187" s="482"/>
    </row>
    <row r="188" spans="1:31" ht="66">
      <c r="A188" s="377"/>
      <c r="B188" s="376" t="s">
        <v>407</v>
      </c>
      <c r="E188" s="562"/>
      <c r="F188" s="482">
        <v>797428</v>
      </c>
      <c r="G188" s="482"/>
      <c r="H188" s="483"/>
      <c r="I188" s="483"/>
      <c r="J188" s="482"/>
      <c r="K188" s="482">
        <v>916512</v>
      </c>
      <c r="L188" s="482"/>
      <c r="M188" s="483"/>
      <c r="N188" s="483"/>
      <c r="O188" s="482"/>
      <c r="P188" s="482">
        <v>526860</v>
      </c>
      <c r="Q188" s="482"/>
    </row>
    <row r="189" spans="1:31" ht="52.8">
      <c r="A189" s="377"/>
      <c r="B189" s="376" t="s">
        <v>419</v>
      </c>
      <c r="E189" s="562"/>
      <c r="F189" s="485">
        <v>548447</v>
      </c>
      <c r="G189" s="485"/>
      <c r="H189" s="482"/>
      <c r="I189" s="482"/>
      <c r="J189" s="482"/>
      <c r="K189" s="482">
        <v>512589</v>
      </c>
      <c r="L189" s="482"/>
      <c r="M189" s="482"/>
      <c r="N189" s="482"/>
      <c r="O189" s="482"/>
      <c r="P189" s="482">
        <v>417447</v>
      </c>
      <c r="Q189" s="482"/>
      <c r="R189" s="482"/>
    </row>
    <row r="190" spans="1:31" ht="39.6">
      <c r="A190" s="377"/>
      <c r="B190" s="376" t="s">
        <v>426</v>
      </c>
      <c r="E190" s="562"/>
      <c r="F190" s="485">
        <v>8700000</v>
      </c>
      <c r="G190" s="485"/>
      <c r="H190" s="482"/>
      <c r="I190" s="482"/>
      <c r="J190" s="482"/>
      <c r="K190" s="482">
        <v>9990000</v>
      </c>
      <c r="L190" s="482"/>
      <c r="M190" s="482"/>
      <c r="N190" s="482"/>
      <c r="O190" s="482"/>
      <c r="P190" s="482">
        <v>5000000</v>
      </c>
      <c r="Q190" s="482"/>
      <c r="R190" s="482"/>
    </row>
    <row r="191" spans="1:31" ht="39.6">
      <c r="A191" s="377"/>
      <c r="B191" s="372" t="s">
        <v>304</v>
      </c>
      <c r="E191" s="562"/>
      <c r="F191" s="562">
        <v>177283</v>
      </c>
      <c r="G191" s="562"/>
      <c r="H191" s="562"/>
      <c r="I191" s="562"/>
      <c r="J191" s="562"/>
      <c r="K191" s="562">
        <v>177283</v>
      </c>
      <c r="L191" s="562"/>
      <c r="M191" s="562"/>
      <c r="N191" s="562"/>
      <c r="O191" s="562"/>
      <c r="P191" s="562">
        <v>177283</v>
      </c>
      <c r="Q191" s="562"/>
    </row>
    <row r="192" spans="1:31" ht="79.2">
      <c r="A192" s="377"/>
      <c r="B192" s="372" t="s">
        <v>303</v>
      </c>
      <c r="E192" s="562"/>
      <c r="F192" s="562">
        <v>2000</v>
      </c>
      <c r="G192" s="562"/>
      <c r="H192" s="562"/>
      <c r="I192" s="562"/>
      <c r="J192" s="562"/>
      <c r="K192" s="562">
        <v>2000</v>
      </c>
      <c r="L192" s="562"/>
      <c r="M192" s="562"/>
      <c r="N192" s="562"/>
      <c r="O192" s="562"/>
      <c r="P192" s="562">
        <v>2000</v>
      </c>
      <c r="Q192" s="562"/>
    </row>
    <row r="193" spans="1:31" ht="66">
      <c r="A193" s="377"/>
      <c r="B193" s="418" t="s">
        <v>386</v>
      </c>
      <c r="E193" s="562"/>
      <c r="F193" s="482">
        <f>-14000</f>
        <v>-14000</v>
      </c>
      <c r="G193" s="482"/>
      <c r="H193" s="483"/>
      <c r="I193" s="483"/>
      <c r="J193" s="482"/>
      <c r="K193" s="482"/>
      <c r="L193" s="482"/>
      <c r="M193" s="483"/>
      <c r="N193" s="483"/>
      <c r="O193" s="482"/>
      <c r="P193" s="482"/>
      <c r="Q193" s="482"/>
      <c r="R193" s="483"/>
    </row>
    <row r="194" spans="1:31" ht="39.6">
      <c r="A194" s="377"/>
      <c r="B194" s="418" t="s">
        <v>387</v>
      </c>
      <c r="E194" s="562"/>
      <c r="F194" s="482">
        <f>15911180</f>
        <v>15911180</v>
      </c>
      <c r="G194" s="482"/>
      <c r="H194" s="483"/>
      <c r="I194" s="483"/>
      <c r="J194" s="482"/>
      <c r="K194" s="482">
        <f>15911180</f>
        <v>15911180</v>
      </c>
      <c r="L194" s="482"/>
      <c r="M194" s="483"/>
      <c r="N194" s="483"/>
      <c r="O194" s="482"/>
      <c r="P194" s="482">
        <f>15911180</f>
        <v>15911180</v>
      </c>
      <c r="Q194" s="482"/>
      <c r="R194" s="483"/>
    </row>
    <row r="195" spans="1:31" ht="66">
      <c r="A195" s="377"/>
      <c r="B195" s="418" t="s">
        <v>388</v>
      </c>
      <c r="E195" s="562"/>
      <c r="F195" s="482">
        <v>241273</v>
      </c>
      <c r="G195" s="482"/>
      <c r="H195" s="483"/>
      <c r="I195" s="483"/>
      <c r="J195" s="482"/>
      <c r="K195" s="482">
        <v>72635</v>
      </c>
      <c r="L195" s="482"/>
      <c r="M195" s="483"/>
      <c r="N195" s="483"/>
      <c r="O195" s="482"/>
      <c r="P195" s="482">
        <v>50471</v>
      </c>
      <c r="Q195" s="482"/>
      <c r="R195" s="483"/>
    </row>
    <row r="196" spans="1:31" s="312" customFormat="1" ht="39.6">
      <c r="A196" s="377"/>
      <c r="B196" s="376" t="s">
        <v>372</v>
      </c>
      <c r="C196" s="45" t="s">
        <v>421</v>
      </c>
      <c r="D196" s="45"/>
      <c r="E196" s="562"/>
      <c r="F196" s="482"/>
      <c r="G196" s="482"/>
      <c r="H196" s="482"/>
      <c r="I196" s="482"/>
      <c r="J196" s="482"/>
      <c r="K196" s="482">
        <v>386542</v>
      </c>
      <c r="L196" s="482"/>
      <c r="M196" s="482"/>
      <c r="N196" s="482"/>
      <c r="O196" s="482"/>
      <c r="P196" s="482"/>
      <c r="Q196" s="482"/>
      <c r="R196" s="45"/>
      <c r="S196" s="45"/>
      <c r="AC196" s="553"/>
      <c r="AD196" s="553"/>
      <c r="AE196" s="553"/>
    </row>
    <row r="197" spans="1:31" s="312" customFormat="1" ht="39.6">
      <c r="A197" s="377"/>
      <c r="B197" s="376" t="s">
        <v>373</v>
      </c>
      <c r="C197" s="45" t="s">
        <v>421</v>
      </c>
      <c r="D197" s="45"/>
      <c r="E197" s="562"/>
      <c r="F197" s="482">
        <v>29250</v>
      </c>
      <c r="G197" s="482"/>
      <c r="H197" s="482"/>
      <c r="I197" s="482"/>
      <c r="J197" s="482"/>
      <c r="K197" s="482">
        <v>29250</v>
      </c>
      <c r="L197" s="482"/>
      <c r="M197" s="482"/>
      <c r="N197" s="482"/>
      <c r="O197" s="482"/>
      <c r="P197" s="482">
        <v>29250</v>
      </c>
      <c r="Q197" s="482"/>
      <c r="R197" s="45"/>
      <c r="S197" s="45"/>
      <c r="AC197" s="553"/>
      <c r="AD197" s="553"/>
      <c r="AE197" s="553"/>
    </row>
    <row r="198" spans="1:31" s="312" customFormat="1" ht="39.6">
      <c r="A198" s="377"/>
      <c r="B198" s="376" t="s">
        <v>374</v>
      </c>
      <c r="C198" s="45" t="s">
        <v>421</v>
      </c>
      <c r="D198" s="45"/>
      <c r="E198" s="562"/>
      <c r="F198" s="482">
        <v>827928</v>
      </c>
      <c r="G198" s="482"/>
      <c r="H198" s="482"/>
      <c r="I198" s="482"/>
      <c r="J198" s="482"/>
      <c r="K198" s="482">
        <v>827928</v>
      </c>
      <c r="L198" s="482"/>
      <c r="M198" s="482"/>
      <c r="N198" s="482"/>
      <c r="O198" s="482"/>
      <c r="P198" s="482">
        <v>827928</v>
      </c>
      <c r="Q198" s="482"/>
      <c r="R198" s="45"/>
      <c r="S198" s="45"/>
      <c r="AC198" s="553"/>
      <c r="AD198" s="553"/>
      <c r="AE198" s="553"/>
    </row>
    <row r="199" spans="1:31" s="312" customFormat="1" ht="39.6">
      <c r="A199" s="377"/>
      <c r="B199" s="376" t="s">
        <v>375</v>
      </c>
      <c r="C199" s="45" t="s">
        <v>421</v>
      </c>
      <c r="D199" s="45"/>
      <c r="E199" s="562"/>
      <c r="F199" s="482">
        <v>17868</v>
      </c>
      <c r="G199" s="482"/>
      <c r="H199" s="482"/>
      <c r="I199" s="482"/>
      <c r="J199" s="482"/>
      <c r="K199" s="482">
        <v>17868</v>
      </c>
      <c r="L199" s="482"/>
      <c r="M199" s="482"/>
      <c r="N199" s="482"/>
      <c r="O199" s="482"/>
      <c r="P199" s="482">
        <v>17868</v>
      </c>
      <c r="Q199" s="482"/>
      <c r="R199" s="45"/>
      <c r="S199" s="45"/>
      <c r="AC199" s="553"/>
      <c r="AD199" s="553"/>
      <c r="AE199" s="553"/>
    </row>
    <row r="200" spans="1:31" s="312" customFormat="1" ht="26.4">
      <c r="A200" s="377"/>
      <c r="B200" s="376" t="s">
        <v>376</v>
      </c>
      <c r="C200" s="45"/>
      <c r="D200" s="45"/>
      <c r="E200" s="562"/>
      <c r="F200" s="482">
        <v>73752</v>
      </c>
      <c r="G200" s="482"/>
      <c r="H200" s="482"/>
      <c r="I200" s="482"/>
      <c r="J200" s="482"/>
      <c r="K200" s="482">
        <v>80666</v>
      </c>
      <c r="L200" s="482"/>
      <c r="M200" s="482"/>
      <c r="N200" s="482"/>
      <c r="O200" s="482"/>
      <c r="P200" s="482">
        <v>57584</v>
      </c>
      <c r="Q200" s="482"/>
      <c r="R200" s="45"/>
      <c r="S200" s="45"/>
      <c r="AC200" s="553"/>
      <c r="AD200" s="553"/>
      <c r="AE200" s="553"/>
    </row>
    <row r="201" spans="1:31" ht="79.2">
      <c r="A201" s="377"/>
      <c r="B201" s="372" t="s">
        <v>295</v>
      </c>
      <c r="E201" s="562"/>
      <c r="F201" s="562">
        <v>35000</v>
      </c>
      <c r="G201" s="562"/>
      <c r="H201" s="562"/>
      <c r="I201" s="562"/>
      <c r="J201" s="562"/>
      <c r="K201" s="562">
        <v>46934</v>
      </c>
      <c r="L201" s="562"/>
      <c r="M201" s="562"/>
      <c r="N201" s="562"/>
      <c r="O201" s="562"/>
      <c r="P201" s="562">
        <v>42714</v>
      </c>
      <c r="Q201" s="562"/>
    </row>
    <row r="202" spans="1:31" ht="52.8">
      <c r="A202" s="377"/>
      <c r="B202" s="372" t="s">
        <v>302</v>
      </c>
      <c r="E202" s="562"/>
      <c r="F202" s="562">
        <v>173026</v>
      </c>
      <c r="G202" s="562"/>
      <c r="H202" s="562"/>
      <c r="I202" s="562"/>
      <c r="J202" s="562"/>
      <c r="K202" s="562">
        <v>147697</v>
      </c>
      <c r="L202" s="562"/>
      <c r="M202" s="562"/>
      <c r="N202" s="562"/>
      <c r="O202" s="562"/>
      <c r="P202" s="562">
        <v>147697</v>
      </c>
      <c r="Q202" s="562"/>
    </row>
    <row r="203" spans="1:31" ht="79.2">
      <c r="A203" s="377"/>
      <c r="B203" s="372" t="s">
        <v>390</v>
      </c>
      <c r="E203" s="562"/>
      <c r="F203" s="482">
        <v>301083</v>
      </c>
      <c r="G203" s="482"/>
      <c r="H203" s="482"/>
      <c r="I203" s="482"/>
      <c r="J203" s="482"/>
      <c r="K203" s="482">
        <v>213126</v>
      </c>
      <c r="L203" s="482"/>
      <c r="M203" s="482"/>
      <c r="N203" s="482"/>
      <c r="O203" s="482"/>
      <c r="P203" s="482">
        <v>130324</v>
      </c>
      <c r="Q203" s="482"/>
    </row>
    <row r="204" spans="1:31" ht="66">
      <c r="A204" s="377"/>
      <c r="B204" s="372" t="s">
        <v>403</v>
      </c>
      <c r="E204" s="562"/>
      <c r="F204" s="482">
        <v>83438</v>
      </c>
      <c r="G204" s="482"/>
      <c r="H204" s="482"/>
      <c r="I204" s="482"/>
      <c r="J204" s="482"/>
      <c r="K204" s="482">
        <v>69396</v>
      </c>
      <c r="L204" s="482"/>
      <c r="M204" s="482"/>
      <c r="N204" s="482"/>
      <c r="O204" s="482"/>
      <c r="P204" s="482">
        <v>46946</v>
      </c>
      <c r="Q204" s="482"/>
    </row>
    <row r="205" spans="1:31" ht="92.4">
      <c r="A205" s="377"/>
      <c r="B205" s="428" t="s">
        <v>379</v>
      </c>
      <c r="C205" s="45" t="s">
        <v>421</v>
      </c>
      <c r="E205" s="562"/>
      <c r="F205" s="482">
        <v>2457230</v>
      </c>
      <c r="G205" s="482"/>
      <c r="H205" s="482"/>
      <c r="I205" s="482"/>
      <c r="J205" s="482"/>
      <c r="K205" s="482">
        <v>2094445</v>
      </c>
      <c r="L205" s="482"/>
      <c r="M205" s="482"/>
      <c r="N205" s="482"/>
      <c r="O205" s="482"/>
      <c r="P205" s="482">
        <v>1703419</v>
      </c>
      <c r="Q205" s="482"/>
      <c r="R205" s="482"/>
    </row>
    <row r="206" spans="1:31" ht="66">
      <c r="A206" s="377"/>
      <c r="B206" s="428" t="s">
        <v>380</v>
      </c>
      <c r="C206" s="45" t="s">
        <v>421</v>
      </c>
      <c r="E206" s="562"/>
      <c r="F206" s="482">
        <v>500619</v>
      </c>
      <c r="G206" s="482"/>
      <c r="H206" s="482"/>
      <c r="I206" s="482"/>
      <c r="J206" s="482"/>
      <c r="K206" s="482">
        <v>688584</v>
      </c>
      <c r="L206" s="482"/>
      <c r="M206" s="482"/>
      <c r="N206" s="482"/>
      <c r="O206" s="482"/>
      <c r="P206" s="482">
        <v>843060</v>
      </c>
      <c r="Q206" s="482"/>
      <c r="R206" s="482"/>
    </row>
    <row r="207" spans="1:31" ht="52.8">
      <c r="A207" s="377"/>
      <c r="B207" s="428" t="s">
        <v>381</v>
      </c>
      <c r="C207" s="45" t="s">
        <v>421</v>
      </c>
      <c r="E207" s="562"/>
      <c r="F207" s="482">
        <v>10796</v>
      </c>
      <c r="G207" s="482"/>
      <c r="H207" s="482"/>
      <c r="I207" s="482"/>
      <c r="J207" s="482"/>
      <c r="K207" s="482">
        <v>10796</v>
      </c>
      <c r="L207" s="482"/>
      <c r="M207" s="482"/>
      <c r="N207" s="482"/>
      <c r="O207" s="482"/>
      <c r="P207" s="482">
        <v>10796</v>
      </c>
      <c r="Q207" s="482"/>
      <c r="R207" s="482"/>
    </row>
    <row r="208" spans="1:31" ht="92.4">
      <c r="A208" s="377"/>
      <c r="B208" s="428" t="s">
        <v>383</v>
      </c>
      <c r="E208" s="562"/>
      <c r="F208" s="482">
        <f>42103+37050</f>
        <v>79153</v>
      </c>
      <c r="G208" s="482"/>
      <c r="H208" s="482"/>
      <c r="I208" s="482"/>
      <c r="J208" s="482"/>
      <c r="K208" s="482">
        <f>64741</f>
        <v>64741</v>
      </c>
      <c r="L208" s="482"/>
      <c r="M208" s="482"/>
      <c r="N208" s="482"/>
      <c r="O208" s="482"/>
      <c r="P208" s="482">
        <v>38839</v>
      </c>
      <c r="Q208" s="482"/>
      <c r="R208" s="482"/>
    </row>
    <row r="209" spans="1:31" ht="123.6" customHeight="1">
      <c r="A209" s="377"/>
      <c r="B209" s="428" t="s">
        <v>382</v>
      </c>
      <c r="E209" s="562"/>
      <c r="F209" s="482">
        <f>459679+1866454</f>
        <v>2326133</v>
      </c>
      <c r="G209" s="482"/>
      <c r="H209" s="482"/>
      <c r="I209" s="482"/>
      <c r="J209" s="482"/>
      <c r="K209" s="482">
        <f>459679+1903783</f>
        <v>2363462</v>
      </c>
      <c r="L209" s="482"/>
      <c r="M209" s="482"/>
      <c r="N209" s="482"/>
      <c r="O209" s="482"/>
      <c r="P209" s="482">
        <f>459679+1903783+1280185</f>
        <v>3643647</v>
      </c>
      <c r="Q209" s="482"/>
      <c r="R209" s="482"/>
    </row>
    <row r="210" spans="1:31" ht="145.19999999999999">
      <c r="A210" s="377"/>
      <c r="B210" s="428" t="s">
        <v>432</v>
      </c>
      <c r="E210" s="562"/>
      <c r="F210" s="482"/>
      <c r="G210" s="482"/>
      <c r="H210" s="482"/>
      <c r="I210" s="482"/>
      <c r="J210" s="482"/>
      <c r="K210" s="482"/>
      <c r="L210" s="482"/>
      <c r="M210" s="482"/>
      <c r="N210" s="482"/>
      <c r="O210" s="482"/>
      <c r="P210" s="482">
        <v>17995176</v>
      </c>
      <c r="Q210" s="482"/>
      <c r="R210" s="482"/>
    </row>
    <row r="211" spans="1:31" s="524" customFormat="1" ht="79.2">
      <c r="A211" s="525"/>
      <c r="B211" s="526" t="s">
        <v>397</v>
      </c>
      <c r="C211" s="45" t="s">
        <v>421</v>
      </c>
      <c r="D211" s="517"/>
      <c r="E211" s="582"/>
      <c r="F211" s="583">
        <v>6912</v>
      </c>
      <c r="G211" s="583"/>
      <c r="H211" s="583"/>
      <c r="I211" s="583"/>
      <c r="J211" s="583"/>
      <c r="K211" s="583">
        <v>6912</v>
      </c>
      <c r="L211" s="583"/>
      <c r="M211" s="583"/>
      <c r="N211" s="583"/>
      <c r="O211" s="583"/>
      <c r="P211" s="583">
        <v>6912</v>
      </c>
      <c r="Q211" s="583"/>
      <c r="R211" s="517"/>
      <c r="S211" s="517"/>
      <c r="AC211" s="558"/>
      <c r="AD211" s="558"/>
      <c r="AE211" s="558"/>
    </row>
    <row r="212" spans="1:31" s="524" customFormat="1" ht="66">
      <c r="A212" s="525"/>
      <c r="B212" s="526" t="s">
        <v>398</v>
      </c>
      <c r="C212" s="517"/>
      <c r="D212" s="517"/>
      <c r="E212" s="582"/>
      <c r="F212" s="583">
        <v>3384391</v>
      </c>
      <c r="G212" s="583"/>
      <c r="H212" s="583"/>
      <c r="I212" s="583"/>
      <c r="J212" s="583"/>
      <c r="K212" s="583">
        <v>3384391</v>
      </c>
      <c r="L212" s="583"/>
      <c r="M212" s="583"/>
      <c r="N212" s="583"/>
      <c r="O212" s="583"/>
      <c r="P212" s="583">
        <v>3384391</v>
      </c>
      <c r="Q212" s="583"/>
      <c r="R212" s="517"/>
      <c r="S212" s="517"/>
      <c r="AC212" s="558"/>
      <c r="AD212" s="558"/>
      <c r="AE212" s="558"/>
    </row>
    <row r="213" spans="1:31" s="524" customFormat="1" ht="79.2">
      <c r="A213" s="525"/>
      <c r="B213" s="526" t="s">
        <v>399</v>
      </c>
      <c r="C213" s="517"/>
      <c r="D213" s="517"/>
      <c r="E213" s="582"/>
      <c r="F213" s="583">
        <v>179621</v>
      </c>
      <c r="G213" s="583"/>
      <c r="H213" s="583"/>
      <c r="I213" s="583"/>
      <c r="J213" s="583"/>
      <c r="K213" s="583">
        <v>87909</v>
      </c>
      <c r="L213" s="583"/>
      <c r="M213" s="583"/>
      <c r="N213" s="583"/>
      <c r="O213" s="583"/>
      <c r="P213" s="583">
        <v>65344</v>
      </c>
      <c r="Q213" s="583"/>
      <c r="R213" s="583"/>
      <c r="S213" s="517"/>
      <c r="AC213" s="558"/>
      <c r="AD213" s="558"/>
      <c r="AE213" s="558"/>
    </row>
    <row r="214" spans="1:31" ht="66">
      <c r="A214" s="377"/>
      <c r="B214" s="477" t="s">
        <v>301</v>
      </c>
      <c r="E214" s="562"/>
      <c r="F214" s="562">
        <v>126000</v>
      </c>
      <c r="G214" s="562"/>
      <c r="H214" s="562"/>
      <c r="I214" s="562"/>
      <c r="J214" s="562"/>
      <c r="K214" s="562">
        <v>126000</v>
      </c>
      <c r="L214" s="562"/>
      <c r="M214" s="562"/>
      <c r="N214" s="562"/>
      <c r="O214" s="562"/>
      <c r="P214" s="562">
        <v>126000</v>
      </c>
      <c r="Q214" s="562"/>
    </row>
    <row r="215" spans="1:31" ht="112.2" customHeight="1">
      <c r="A215" s="377"/>
      <c r="B215" s="825" t="s">
        <v>408</v>
      </c>
      <c r="C215" s="584"/>
      <c r="D215" s="585"/>
      <c r="E215" s="584"/>
      <c r="F215" s="584">
        <f>53346+135219+299074</f>
        <v>487639</v>
      </c>
      <c r="G215" s="584"/>
      <c r="H215" s="585"/>
      <c r="I215" s="585"/>
      <c r="J215" s="584"/>
      <c r="K215" s="584">
        <f>48346+156954</f>
        <v>205300</v>
      </c>
      <c r="L215" s="584"/>
      <c r="M215" s="585"/>
      <c r="N215" s="585"/>
      <c r="O215" s="584"/>
      <c r="P215" s="584">
        <f>15169+104158</f>
        <v>119327</v>
      </c>
      <c r="Q215" s="584"/>
      <c r="R215" s="585"/>
    </row>
    <row r="216" spans="1:31" s="312" customFormat="1" ht="39.6">
      <c r="A216" s="377"/>
      <c r="B216" s="376" t="s">
        <v>365</v>
      </c>
      <c r="C216" s="45" t="s">
        <v>421</v>
      </c>
      <c r="D216" s="45"/>
      <c r="E216" s="562"/>
      <c r="F216" s="482">
        <v>2975996</v>
      </c>
      <c r="G216" s="482"/>
      <c r="H216" s="482"/>
      <c r="I216" s="482"/>
      <c r="J216" s="482"/>
      <c r="K216" s="482">
        <v>2975996</v>
      </c>
      <c r="L216" s="482"/>
      <c r="M216" s="482"/>
      <c r="N216" s="482"/>
      <c r="O216" s="482"/>
      <c r="P216" s="482">
        <v>2975996</v>
      </c>
      <c r="Q216" s="482"/>
      <c r="R216" s="482"/>
      <c r="S216" s="45"/>
      <c r="AC216" s="553"/>
      <c r="AD216" s="553"/>
      <c r="AE216" s="553"/>
    </row>
    <row r="217" spans="1:31" s="312" customFormat="1" ht="26.4">
      <c r="A217" s="377"/>
      <c r="B217" s="376" t="s">
        <v>366</v>
      </c>
      <c r="C217" s="45" t="s">
        <v>421</v>
      </c>
      <c r="D217" s="45"/>
      <c r="E217" s="562"/>
      <c r="F217" s="482">
        <v>50000</v>
      </c>
      <c r="G217" s="482"/>
      <c r="H217" s="482"/>
      <c r="I217" s="482"/>
      <c r="J217" s="482"/>
      <c r="K217" s="482">
        <v>50000</v>
      </c>
      <c r="L217" s="482"/>
      <c r="M217" s="482"/>
      <c r="N217" s="482"/>
      <c r="O217" s="482"/>
      <c r="P217" s="482">
        <v>50000</v>
      </c>
      <c r="Q217" s="482"/>
      <c r="R217" s="482"/>
      <c r="S217" s="45"/>
      <c r="AC217" s="553"/>
      <c r="AD217" s="553"/>
      <c r="AE217" s="553"/>
    </row>
    <row r="218" spans="1:31" s="312" customFormat="1" ht="26.4">
      <c r="A218" s="377"/>
      <c r="B218" s="376" t="s">
        <v>367</v>
      </c>
      <c r="C218" s="45" t="s">
        <v>421</v>
      </c>
      <c r="D218" s="45"/>
      <c r="E218" s="562"/>
      <c r="F218" s="482">
        <v>850000</v>
      </c>
      <c r="G218" s="482"/>
      <c r="H218" s="482"/>
      <c r="I218" s="482"/>
      <c r="J218" s="482"/>
      <c r="K218" s="482">
        <v>500000</v>
      </c>
      <c r="L218" s="482"/>
      <c r="M218" s="482"/>
      <c r="N218" s="482"/>
      <c r="O218" s="482"/>
      <c r="P218" s="482"/>
      <c r="Q218" s="482"/>
      <c r="R218" s="482"/>
      <c r="S218" s="45"/>
      <c r="AC218" s="553"/>
      <c r="AD218" s="553"/>
      <c r="AE218" s="553"/>
    </row>
    <row r="219" spans="1:31" s="312" customFormat="1">
      <c r="A219" s="377"/>
      <c r="B219" s="376" t="s">
        <v>368</v>
      </c>
      <c r="C219" s="45"/>
      <c r="D219" s="45"/>
      <c r="E219" s="562"/>
      <c r="F219" s="482">
        <v>116974</v>
      </c>
      <c r="G219" s="482"/>
      <c r="H219" s="482"/>
      <c r="I219" s="482"/>
      <c r="J219" s="482"/>
      <c r="K219" s="482">
        <v>71252</v>
      </c>
      <c r="L219" s="482"/>
      <c r="M219" s="482"/>
      <c r="N219" s="482"/>
      <c r="O219" s="482"/>
      <c r="P219" s="482">
        <v>46009</v>
      </c>
      <c r="Q219" s="482"/>
      <c r="R219" s="482"/>
      <c r="S219" s="45"/>
      <c r="AC219" s="553"/>
      <c r="AD219" s="553"/>
      <c r="AE219" s="553"/>
    </row>
    <row r="220" spans="1:31" ht="92.4">
      <c r="A220" s="377"/>
      <c r="B220" s="481" t="s">
        <v>499</v>
      </c>
      <c r="C220" s="482"/>
      <c r="D220" s="483"/>
      <c r="E220" s="482"/>
      <c r="F220" s="485">
        <v>148109</v>
      </c>
      <c r="G220" s="485"/>
      <c r="H220" s="486"/>
      <c r="I220" s="486"/>
      <c r="J220" s="485"/>
      <c r="K220" s="485">
        <v>794996</v>
      </c>
      <c r="L220" s="485"/>
      <c r="M220" s="486"/>
      <c r="N220" s="486"/>
      <c r="O220" s="485"/>
      <c r="P220" s="485">
        <v>794996</v>
      </c>
      <c r="Q220" s="485"/>
      <c r="R220" s="528"/>
    </row>
    <row r="221" spans="1:31" ht="92.4">
      <c r="A221" s="377"/>
      <c r="B221" s="484" t="s">
        <v>500</v>
      </c>
      <c r="C221" s="482"/>
      <c r="D221" s="483"/>
      <c r="E221" s="482"/>
      <c r="F221" s="485">
        <v>7989</v>
      </c>
      <c r="G221" s="485"/>
      <c r="H221" s="486"/>
      <c r="I221" s="486"/>
      <c r="J221" s="485"/>
      <c r="K221" s="485">
        <v>42882</v>
      </c>
      <c r="L221" s="485"/>
      <c r="M221" s="486"/>
      <c r="N221" s="486"/>
      <c r="O221" s="485"/>
      <c r="P221" s="485">
        <v>42882</v>
      </c>
      <c r="Q221" s="485"/>
      <c r="R221" s="528"/>
    </row>
    <row r="222" spans="1:31" ht="39.6">
      <c r="A222" s="377"/>
      <c r="B222" s="428" t="s">
        <v>400</v>
      </c>
      <c r="C222" s="45" t="s">
        <v>421</v>
      </c>
      <c r="D222" s="483"/>
      <c r="E222" s="482"/>
      <c r="F222" s="527">
        <v>2871492</v>
      </c>
      <c r="G222" s="527"/>
      <c r="H222" s="528"/>
      <c r="I222" s="528"/>
      <c r="J222" s="527"/>
      <c r="K222" s="527">
        <v>3446992</v>
      </c>
      <c r="L222" s="527"/>
      <c r="M222" s="528"/>
      <c r="N222" s="528"/>
      <c r="O222" s="527"/>
      <c r="P222" s="527"/>
      <c r="Q222" s="527"/>
      <c r="R222" s="528"/>
      <c r="S222" s="86"/>
    </row>
    <row r="223" spans="1:31" ht="98.4" customHeight="1">
      <c r="A223" s="377"/>
      <c r="B223" s="428" t="s">
        <v>401</v>
      </c>
      <c r="C223" s="482"/>
      <c r="D223" s="483"/>
      <c r="E223" s="482"/>
      <c r="F223" s="527">
        <v>79088</v>
      </c>
      <c r="G223" s="527"/>
      <c r="H223" s="528"/>
      <c r="I223" s="528"/>
      <c r="J223" s="527"/>
      <c r="K223" s="527"/>
      <c r="L223" s="527"/>
      <c r="M223" s="528"/>
      <c r="N223" s="528"/>
      <c r="O223" s="527"/>
      <c r="P223" s="527"/>
      <c r="Q223" s="527"/>
      <c r="R223" s="528"/>
      <c r="S223" s="86"/>
    </row>
    <row r="224" spans="1:31" s="535" customFormat="1" ht="52.8">
      <c r="A224" s="534"/>
      <c r="B224" s="376" t="s">
        <v>904</v>
      </c>
      <c r="C224" s="45" t="s">
        <v>421</v>
      </c>
      <c r="D224" s="483"/>
      <c r="E224" s="482"/>
      <c r="F224" s="482">
        <v>21133</v>
      </c>
      <c r="G224" s="482"/>
      <c r="H224" s="482"/>
      <c r="I224" s="482"/>
      <c r="J224" s="482"/>
      <c r="K224" s="482">
        <v>21133</v>
      </c>
      <c r="L224" s="482"/>
      <c r="M224" s="482"/>
      <c r="N224" s="482"/>
      <c r="O224" s="482"/>
      <c r="P224" s="482">
        <v>21133</v>
      </c>
      <c r="Q224" s="482"/>
      <c r="R224" s="483"/>
      <c r="S224" s="45"/>
      <c r="AC224" s="559"/>
      <c r="AD224" s="559"/>
      <c r="AE224" s="559"/>
    </row>
    <row r="225" spans="1:31" s="535" customFormat="1" ht="92.4">
      <c r="A225" s="534"/>
      <c r="B225" s="376" t="s">
        <v>903</v>
      </c>
      <c r="C225" s="45"/>
      <c r="D225" s="483"/>
      <c r="E225" s="482"/>
      <c r="F225" s="482"/>
      <c r="G225" s="482"/>
      <c r="H225" s="482"/>
      <c r="I225" s="482"/>
      <c r="J225" s="482"/>
      <c r="K225" s="482">
        <v>26442121</v>
      </c>
      <c r="L225" s="482"/>
      <c r="M225" s="482"/>
      <c r="N225" s="482"/>
      <c r="O225" s="482"/>
      <c r="P225" s="482">
        <v>37297427</v>
      </c>
      <c r="Q225" s="482"/>
      <c r="R225" s="483"/>
      <c r="S225" s="45"/>
      <c r="AC225" s="559"/>
      <c r="AD225" s="559"/>
      <c r="AE225" s="559"/>
    </row>
    <row r="226" spans="1:31">
      <c r="A226" s="377"/>
      <c r="B226" s="484"/>
      <c r="C226" s="482"/>
      <c r="D226" s="483"/>
      <c r="E226" s="482"/>
      <c r="F226" s="485"/>
      <c r="G226" s="485"/>
      <c r="H226" s="486"/>
      <c r="I226" s="486"/>
      <c r="J226" s="485"/>
      <c r="K226" s="485"/>
      <c r="L226" s="485"/>
      <c r="M226" s="486"/>
      <c r="N226" s="486"/>
      <c r="O226" s="485"/>
      <c r="P226" s="485"/>
      <c r="Q226" s="485"/>
      <c r="R226" s="528"/>
    </row>
    <row r="227" spans="1:31" ht="39.6">
      <c r="A227" s="377"/>
      <c r="B227" s="490" t="s">
        <v>296</v>
      </c>
      <c r="C227" s="487"/>
      <c r="D227" s="487"/>
      <c r="E227" s="580"/>
      <c r="F227" s="581">
        <f>SUM(F228:F230)</f>
        <v>-14355</v>
      </c>
      <c r="G227" s="581"/>
      <c r="H227" s="581"/>
      <c r="I227" s="581"/>
      <c r="J227" s="581"/>
      <c r="K227" s="581">
        <f>SUM(K228:K230)</f>
        <v>-14355</v>
      </c>
      <c r="L227" s="581"/>
      <c r="M227" s="581"/>
      <c r="N227" s="581"/>
      <c r="O227" s="581"/>
      <c r="P227" s="581">
        <f>SUM(P228:P230)</f>
        <v>-14355</v>
      </c>
      <c r="Q227" s="581"/>
      <c r="R227" s="487"/>
    </row>
    <row r="228" spans="1:31" ht="104.25" customHeight="1">
      <c r="A228" s="377"/>
      <c r="B228" s="477" t="s">
        <v>300</v>
      </c>
      <c r="C228" s="491"/>
      <c r="D228" s="492"/>
      <c r="E228" s="491"/>
      <c r="F228" s="491">
        <f>-225999+51644</f>
        <v>-174355</v>
      </c>
      <c r="G228" s="491"/>
      <c r="H228" s="492"/>
      <c r="I228" s="492"/>
      <c r="J228" s="491"/>
      <c r="K228" s="491">
        <f>-225999+51644</f>
        <v>-174355</v>
      </c>
      <c r="L228" s="491"/>
      <c r="M228" s="492"/>
      <c r="N228" s="492"/>
      <c r="O228" s="491"/>
      <c r="P228" s="491">
        <f>-225999+51644</f>
        <v>-174355</v>
      </c>
      <c r="Q228" s="491"/>
    </row>
    <row r="229" spans="1:31" ht="79.2">
      <c r="A229" s="377"/>
      <c r="B229" s="477" t="s">
        <v>299</v>
      </c>
      <c r="C229" s="491"/>
      <c r="D229" s="492"/>
      <c r="E229" s="491"/>
      <c r="F229" s="491">
        <v>160000</v>
      </c>
      <c r="G229" s="491"/>
      <c r="H229" s="492"/>
      <c r="I229" s="492"/>
      <c r="J229" s="491"/>
      <c r="K229" s="491">
        <v>160000</v>
      </c>
      <c r="L229" s="491"/>
      <c r="M229" s="492"/>
      <c r="N229" s="492"/>
      <c r="O229" s="491"/>
      <c r="P229" s="491">
        <v>160000</v>
      </c>
      <c r="Q229" s="491"/>
    </row>
    <row r="230" spans="1:31">
      <c r="A230" s="377"/>
      <c r="B230" s="376"/>
      <c r="E230" s="562"/>
      <c r="F230" s="562"/>
      <c r="G230" s="562"/>
      <c r="H230" s="562"/>
      <c r="I230" s="562"/>
      <c r="J230" s="562"/>
      <c r="K230" s="562"/>
      <c r="L230" s="562"/>
      <c r="M230" s="562"/>
      <c r="N230" s="562"/>
      <c r="O230" s="562"/>
      <c r="P230" s="562"/>
      <c r="Q230" s="562"/>
    </row>
    <row r="231" spans="1:31" ht="26.4">
      <c r="A231" s="377"/>
      <c r="B231" s="490" t="s">
        <v>297</v>
      </c>
      <c r="C231" s="487"/>
      <c r="D231" s="487"/>
      <c r="E231" s="580"/>
      <c r="F231" s="581">
        <f>SUM(F232:F234)</f>
        <v>186107</v>
      </c>
      <c r="G231" s="581"/>
      <c r="H231" s="581"/>
      <c r="I231" s="581"/>
      <c r="J231" s="581"/>
      <c r="K231" s="581">
        <f>SUM(K232:K234)</f>
        <v>998956</v>
      </c>
      <c r="L231" s="581"/>
      <c r="M231" s="581"/>
      <c r="N231" s="581"/>
      <c r="O231" s="581"/>
      <c r="P231" s="581">
        <f>SUM(P232:P234)</f>
        <v>998956</v>
      </c>
      <c r="Q231" s="581"/>
      <c r="R231" s="487"/>
    </row>
    <row r="232" spans="1:31" ht="138.6" customHeight="1">
      <c r="A232" s="377"/>
      <c r="B232" s="484" t="s">
        <v>298</v>
      </c>
      <c r="C232" s="482"/>
      <c r="D232" s="483"/>
      <c r="E232" s="482"/>
      <c r="F232" s="482">
        <v>186107</v>
      </c>
      <c r="G232" s="482"/>
      <c r="H232" s="483"/>
      <c r="I232" s="483"/>
      <c r="J232" s="482"/>
      <c r="K232" s="482">
        <v>998956</v>
      </c>
      <c r="L232" s="482"/>
      <c r="M232" s="483"/>
      <c r="N232" s="483"/>
      <c r="O232" s="482"/>
      <c r="P232" s="482">
        <v>998956</v>
      </c>
      <c r="Q232" s="482"/>
      <c r="R232" s="483"/>
    </row>
    <row r="233" spans="1:31">
      <c r="A233" s="377"/>
      <c r="B233" s="376"/>
      <c r="E233" s="562"/>
      <c r="F233" s="562"/>
      <c r="G233" s="562"/>
      <c r="H233" s="562"/>
      <c r="I233" s="562"/>
      <c r="J233" s="562"/>
      <c r="K233" s="562"/>
      <c r="L233" s="562"/>
      <c r="M233" s="562"/>
      <c r="N233" s="562"/>
      <c r="O233" s="562"/>
      <c r="P233" s="562"/>
      <c r="Q233" s="562"/>
    </row>
    <row r="234" spans="1:31">
      <c r="A234" s="377"/>
      <c r="B234" s="376"/>
      <c r="E234" s="562"/>
      <c r="F234" s="562"/>
      <c r="G234" s="562"/>
      <c r="H234" s="562"/>
      <c r="I234" s="562"/>
      <c r="J234" s="562"/>
      <c r="K234" s="562"/>
      <c r="L234" s="562"/>
      <c r="M234" s="562"/>
      <c r="N234" s="562"/>
      <c r="O234" s="562"/>
      <c r="P234" s="562"/>
      <c r="Q234" s="562"/>
    </row>
    <row r="235" spans="1:31">
      <c r="A235" s="369" t="s">
        <v>245</v>
      </c>
      <c r="B235" s="370" t="s">
        <v>140</v>
      </c>
      <c r="E235" s="562"/>
      <c r="F235" s="562"/>
      <c r="G235" s="562"/>
      <c r="H235" s="562"/>
      <c r="I235" s="562"/>
      <c r="J235" s="562"/>
      <c r="K235" s="562"/>
      <c r="L235" s="562"/>
      <c r="M235" s="562"/>
      <c r="N235" s="562"/>
      <c r="O235" s="562"/>
      <c r="P235" s="562"/>
      <c r="Q235" s="562"/>
    </row>
    <row r="236" spans="1:31">
      <c r="A236" s="371"/>
      <c r="B236" s="372" t="s">
        <v>238</v>
      </c>
      <c r="E236" s="562"/>
      <c r="F236" s="562"/>
      <c r="G236" s="562"/>
      <c r="H236" s="562"/>
      <c r="I236" s="562"/>
      <c r="J236" s="562"/>
      <c r="K236" s="562"/>
      <c r="L236" s="562"/>
      <c r="M236" s="562"/>
      <c r="N236" s="562"/>
      <c r="O236" s="562"/>
      <c r="P236" s="562"/>
      <c r="Q236" s="562"/>
    </row>
    <row r="237" spans="1:31">
      <c r="A237" s="373" t="s">
        <v>223</v>
      </c>
      <c r="B237" s="374" t="s">
        <v>239</v>
      </c>
      <c r="E237" s="579">
        <f>E238+E239+E245+E249</f>
        <v>62310</v>
      </c>
      <c r="F237" s="579">
        <f>F238+F239+F245+F249</f>
        <v>0</v>
      </c>
      <c r="G237" s="579"/>
      <c r="H237" s="579"/>
      <c r="I237" s="579"/>
      <c r="J237" s="579">
        <f>J238+J239+J245+J249</f>
        <v>41282</v>
      </c>
      <c r="K237" s="579">
        <f>K238+K239+K245+K249</f>
        <v>0</v>
      </c>
      <c r="L237" s="579"/>
      <c r="M237" s="579"/>
      <c r="N237" s="579"/>
      <c r="O237" s="579">
        <f>O238+O239+O245+O249</f>
        <v>8256</v>
      </c>
      <c r="P237" s="579">
        <f>P238+P239+P245+P249</f>
        <v>0</v>
      </c>
      <c r="Q237" s="579"/>
      <c r="R237" s="339"/>
    </row>
    <row r="238" spans="1:31" ht="26.4">
      <c r="A238" s="375"/>
      <c r="B238" s="490" t="s">
        <v>307</v>
      </c>
      <c r="C238" s="487"/>
      <c r="D238" s="487"/>
      <c r="E238" s="581">
        <f>-E239</f>
        <v>-610360</v>
      </c>
      <c r="F238" s="581">
        <f t="shared" ref="F238:P238" si="150">-F239</f>
        <v>0</v>
      </c>
      <c r="G238" s="581"/>
      <c r="H238" s="581"/>
      <c r="I238" s="581"/>
      <c r="J238" s="581">
        <f t="shared" si="150"/>
        <v>-520</v>
      </c>
      <c r="K238" s="581">
        <f t="shared" si="150"/>
        <v>0</v>
      </c>
      <c r="L238" s="581"/>
      <c r="M238" s="581"/>
      <c r="N238" s="581"/>
      <c r="O238" s="581">
        <f t="shared" si="150"/>
        <v>0</v>
      </c>
      <c r="P238" s="581">
        <f t="shared" si="150"/>
        <v>0</v>
      </c>
      <c r="Q238" s="581"/>
      <c r="R238" s="487"/>
    </row>
    <row r="239" spans="1:31">
      <c r="A239" s="377"/>
      <c r="B239" s="490" t="s">
        <v>319</v>
      </c>
      <c r="C239" s="487"/>
      <c r="D239" s="487"/>
      <c r="E239" s="581">
        <f>SUM(E240:E244)</f>
        <v>610360</v>
      </c>
      <c r="F239" s="581">
        <f>SUM(F240:F244)</f>
        <v>0</v>
      </c>
      <c r="G239" s="581"/>
      <c r="H239" s="581"/>
      <c r="I239" s="581"/>
      <c r="J239" s="581">
        <f>SUM(J240:J244)</f>
        <v>520</v>
      </c>
      <c r="K239" s="581">
        <f>SUM(K240:K244)</f>
        <v>0</v>
      </c>
      <c r="L239" s="581"/>
      <c r="M239" s="581"/>
      <c r="N239" s="581"/>
      <c r="O239" s="581">
        <f>SUM(O240:O244)</f>
        <v>0</v>
      </c>
      <c r="P239" s="581">
        <f>SUM(P240:P244)</f>
        <v>0</v>
      </c>
      <c r="Q239" s="581"/>
      <c r="R239" s="943"/>
    </row>
    <row r="240" spans="1:31" ht="39.6">
      <c r="A240" s="375"/>
      <c r="B240" s="418" t="s">
        <v>310</v>
      </c>
      <c r="C240" s="482"/>
      <c r="D240" s="483"/>
      <c r="E240" s="482">
        <v>587081</v>
      </c>
      <c r="F240" s="482"/>
      <c r="G240" s="482"/>
      <c r="H240" s="482"/>
      <c r="I240" s="482"/>
      <c r="J240" s="482">
        <v>520</v>
      </c>
      <c r="K240" s="483"/>
      <c r="L240" s="483"/>
      <c r="M240" s="483"/>
      <c r="N240" s="483"/>
      <c r="O240" s="482"/>
      <c r="P240" s="483"/>
      <c r="Q240" s="483"/>
      <c r="R240" s="483"/>
    </row>
    <row r="241" spans="1:18" ht="39.6">
      <c r="A241" s="377"/>
      <c r="B241" s="418" t="s">
        <v>311</v>
      </c>
      <c r="C241" s="482"/>
      <c r="D241" s="483"/>
      <c r="E241" s="482">
        <v>11244</v>
      </c>
      <c r="F241" s="483"/>
      <c r="G241" s="483"/>
      <c r="H241" s="483"/>
      <c r="I241" s="483"/>
      <c r="J241" s="482"/>
      <c r="K241" s="483"/>
      <c r="L241" s="483"/>
      <c r="M241" s="483"/>
      <c r="N241" s="483"/>
      <c r="O241" s="482"/>
      <c r="P241" s="483"/>
      <c r="Q241" s="483"/>
      <c r="R241" s="483"/>
    </row>
    <row r="242" spans="1:18" ht="39.6">
      <c r="A242" s="377"/>
      <c r="B242" s="418" t="s">
        <v>312</v>
      </c>
      <c r="C242" s="482"/>
      <c r="D242" s="483"/>
      <c r="E242" s="482">
        <v>4204</v>
      </c>
      <c r="F242" s="483"/>
      <c r="G242" s="483"/>
      <c r="H242" s="483"/>
      <c r="I242" s="483"/>
      <c r="J242" s="482"/>
      <c r="K242" s="483"/>
      <c r="L242" s="483"/>
      <c r="M242" s="483"/>
      <c r="N242" s="483"/>
      <c r="O242" s="482"/>
      <c r="P242" s="483"/>
      <c r="Q242" s="483"/>
      <c r="R242" s="483"/>
    </row>
    <row r="243" spans="1:18" ht="39.6">
      <c r="A243" s="377"/>
      <c r="B243" s="418" t="s">
        <v>321</v>
      </c>
      <c r="E243" s="584">
        <v>7831</v>
      </c>
      <c r="F243" s="562"/>
      <c r="G243" s="562"/>
      <c r="H243" s="562"/>
      <c r="I243" s="562"/>
      <c r="J243" s="562"/>
      <c r="K243" s="562"/>
      <c r="L243" s="562"/>
      <c r="M243" s="562"/>
      <c r="N243" s="562"/>
      <c r="O243" s="562"/>
      <c r="P243" s="562"/>
      <c r="Q243" s="562"/>
    </row>
    <row r="244" spans="1:18">
      <c r="A244" s="377"/>
      <c r="B244" s="376"/>
      <c r="E244" s="562"/>
      <c r="F244" s="562"/>
      <c r="G244" s="562"/>
      <c r="H244" s="562"/>
      <c r="I244" s="562"/>
      <c r="J244" s="562"/>
      <c r="K244" s="562"/>
      <c r="L244" s="562"/>
      <c r="M244" s="562"/>
      <c r="N244" s="562"/>
      <c r="O244" s="562"/>
      <c r="P244" s="562"/>
      <c r="Q244" s="562"/>
    </row>
    <row r="245" spans="1:18">
      <c r="A245" s="377"/>
      <c r="B245" s="490" t="s">
        <v>308</v>
      </c>
      <c r="C245" s="487"/>
      <c r="D245" s="487"/>
      <c r="E245" s="581">
        <f>SUM(E246:E246)</f>
        <v>0</v>
      </c>
      <c r="F245" s="581">
        <f>SUM(F246:F246)</f>
        <v>0</v>
      </c>
      <c r="G245" s="581"/>
      <c r="H245" s="581"/>
      <c r="I245" s="581"/>
      <c r="J245" s="581">
        <f>SUM(J246:J246)</f>
        <v>0</v>
      </c>
      <c r="K245" s="581">
        <f>SUM(K246:K246)</f>
        <v>0</v>
      </c>
      <c r="L245" s="581"/>
      <c r="M245" s="581"/>
      <c r="N245" s="581"/>
      <c r="O245" s="581">
        <f>SUM(O246:O246)</f>
        <v>0</v>
      </c>
      <c r="P245" s="581">
        <f>SUM(P246:P246)</f>
        <v>0</v>
      </c>
      <c r="Q245" s="581"/>
      <c r="R245" s="487"/>
    </row>
    <row r="246" spans="1:18">
      <c r="A246" s="377"/>
      <c r="B246" s="376"/>
      <c r="E246" s="562"/>
      <c r="F246" s="562"/>
      <c r="G246" s="562"/>
      <c r="H246" s="562"/>
      <c r="I246" s="562"/>
      <c r="J246" s="562"/>
      <c r="K246" s="562"/>
      <c r="L246" s="562"/>
      <c r="M246" s="562"/>
      <c r="N246" s="562"/>
      <c r="O246" s="562"/>
      <c r="P246" s="562"/>
      <c r="Q246" s="562"/>
    </row>
    <row r="247" spans="1:18">
      <c r="A247" s="377"/>
      <c r="B247" s="490" t="s">
        <v>309</v>
      </c>
      <c r="C247" s="487"/>
      <c r="D247" s="487"/>
      <c r="E247" s="581">
        <f>E250+E252+E254+E256+E258+E259+E261</f>
        <v>1000883</v>
      </c>
      <c r="F247" s="581">
        <f t="shared" ref="F247:P247" si="151">F250+F252+F254+F256+F258+F259+F261</f>
        <v>0</v>
      </c>
      <c r="G247" s="581"/>
      <c r="H247" s="581"/>
      <c r="I247" s="581"/>
      <c r="J247" s="581">
        <f t="shared" si="151"/>
        <v>59580</v>
      </c>
      <c r="K247" s="581">
        <f t="shared" si="151"/>
        <v>0</v>
      </c>
      <c r="L247" s="581"/>
      <c r="M247" s="581"/>
      <c r="N247" s="581"/>
      <c r="O247" s="581">
        <f t="shared" si="151"/>
        <v>8256</v>
      </c>
      <c r="P247" s="581">
        <f t="shared" si="151"/>
        <v>0</v>
      </c>
      <c r="Q247" s="581"/>
      <c r="R247" s="943"/>
    </row>
    <row r="248" spans="1:18">
      <c r="A248" s="377"/>
      <c r="B248" s="490" t="s">
        <v>313</v>
      </c>
      <c r="C248" s="487"/>
      <c r="D248" s="487"/>
      <c r="E248" s="581">
        <f>E251+E253+E255+E257+E260</f>
        <v>938573</v>
      </c>
      <c r="F248" s="581">
        <f t="shared" ref="F248:P248" si="152">F251+F253+F255+F257+F260</f>
        <v>0</v>
      </c>
      <c r="G248" s="581"/>
      <c r="H248" s="581"/>
      <c r="I248" s="581"/>
      <c r="J248" s="581">
        <f t="shared" si="152"/>
        <v>18298</v>
      </c>
      <c r="K248" s="581">
        <f t="shared" si="152"/>
        <v>0</v>
      </c>
      <c r="L248" s="581"/>
      <c r="M248" s="581"/>
      <c r="N248" s="581"/>
      <c r="O248" s="581">
        <f t="shared" si="152"/>
        <v>0</v>
      </c>
      <c r="P248" s="581">
        <f t="shared" si="152"/>
        <v>0</v>
      </c>
      <c r="Q248" s="581"/>
      <c r="R248" s="943"/>
    </row>
    <row r="249" spans="1:18">
      <c r="A249" s="377"/>
      <c r="B249" s="490" t="s">
        <v>320</v>
      </c>
      <c r="C249" s="487"/>
      <c r="D249" s="487"/>
      <c r="E249" s="581">
        <f>E247-E248</f>
        <v>62310</v>
      </c>
      <c r="F249" s="581">
        <f t="shared" ref="F249" si="153">F247-F248</f>
        <v>0</v>
      </c>
      <c r="G249" s="581"/>
      <c r="H249" s="581"/>
      <c r="I249" s="581"/>
      <c r="J249" s="581">
        <f t="shared" ref="J249:O249" si="154">J247-J248</f>
        <v>41282</v>
      </c>
      <c r="K249" s="581">
        <f t="shared" ref="K249" si="155">K247-K248</f>
        <v>0</v>
      </c>
      <c r="L249" s="581"/>
      <c r="M249" s="581"/>
      <c r="N249" s="581"/>
      <c r="O249" s="581">
        <f t="shared" si="154"/>
        <v>8256</v>
      </c>
      <c r="P249" s="581">
        <f t="shared" ref="P249" si="156">P247-P248</f>
        <v>0</v>
      </c>
      <c r="Q249" s="581"/>
      <c r="R249" s="943"/>
    </row>
    <row r="250" spans="1:18" ht="39.6">
      <c r="A250" s="377"/>
      <c r="B250" s="418" t="s">
        <v>315</v>
      </c>
      <c r="E250" s="482">
        <v>68861</v>
      </c>
      <c r="F250" s="562"/>
      <c r="G250" s="562"/>
      <c r="H250" s="562"/>
      <c r="I250" s="562"/>
      <c r="J250" s="562"/>
      <c r="K250" s="562"/>
      <c r="L250" s="562"/>
      <c r="M250" s="562"/>
      <c r="N250" s="562"/>
      <c r="O250" s="562"/>
      <c r="P250" s="562"/>
      <c r="Q250" s="562"/>
    </row>
    <row r="251" spans="1:18">
      <c r="A251" s="377"/>
      <c r="B251" s="412" t="s">
        <v>313</v>
      </c>
      <c r="E251" s="482">
        <v>68861</v>
      </c>
      <c r="F251" s="562"/>
      <c r="G251" s="562"/>
      <c r="H251" s="562"/>
      <c r="I251" s="562"/>
      <c r="J251" s="562"/>
      <c r="K251" s="562"/>
      <c r="L251" s="562"/>
      <c r="M251" s="562"/>
      <c r="N251" s="562"/>
      <c r="O251" s="562"/>
      <c r="P251" s="562"/>
      <c r="Q251" s="562"/>
    </row>
    <row r="252" spans="1:18" ht="39.6">
      <c r="A252" s="377"/>
      <c r="B252" s="418" t="s">
        <v>315</v>
      </c>
      <c r="C252" s="482"/>
      <c r="D252" s="483"/>
      <c r="E252" s="482">
        <v>41173</v>
      </c>
      <c r="F252" s="483"/>
      <c r="G252" s="483"/>
      <c r="H252" s="483"/>
      <c r="I252" s="483"/>
      <c r="J252" s="482">
        <v>8433</v>
      </c>
      <c r="K252" s="483"/>
      <c r="L252" s="483"/>
      <c r="M252" s="483"/>
      <c r="N252" s="483"/>
      <c r="O252" s="482"/>
      <c r="P252" s="483"/>
      <c r="Q252" s="483"/>
      <c r="R252" s="483"/>
    </row>
    <row r="253" spans="1:18">
      <c r="A253" s="377"/>
      <c r="B253" s="412" t="s">
        <v>313</v>
      </c>
      <c r="C253" s="482"/>
      <c r="D253" s="483"/>
      <c r="E253" s="482">
        <v>41173</v>
      </c>
      <c r="F253" s="483"/>
      <c r="G253" s="483"/>
      <c r="H253" s="483"/>
      <c r="I253" s="483"/>
      <c r="J253" s="482">
        <v>8433</v>
      </c>
      <c r="K253" s="483"/>
      <c r="L253" s="483"/>
      <c r="M253" s="483"/>
      <c r="N253" s="483"/>
      <c r="O253" s="482"/>
      <c r="P253" s="483"/>
      <c r="Q253" s="483"/>
      <c r="R253" s="483"/>
    </row>
    <row r="254" spans="1:18" ht="52.8">
      <c r="A254" s="377"/>
      <c r="B254" s="418" t="s">
        <v>317</v>
      </c>
      <c r="C254" s="482"/>
      <c r="D254" s="483"/>
      <c r="E254" s="482">
        <f>356901+255914+202795</f>
        <v>815610</v>
      </c>
      <c r="F254" s="483"/>
      <c r="G254" s="483"/>
      <c r="H254" s="483"/>
      <c r="I254" s="483"/>
      <c r="J254" s="482">
        <f>442+4968+4455</f>
        <v>9865</v>
      </c>
      <c r="K254" s="483"/>
      <c r="L254" s="483"/>
      <c r="M254" s="483"/>
      <c r="N254" s="483"/>
      <c r="O254" s="482"/>
      <c r="P254" s="483"/>
      <c r="Q254" s="483"/>
      <c r="R254" s="483"/>
    </row>
    <row r="255" spans="1:18">
      <c r="A255" s="377"/>
      <c r="B255" s="412" t="s">
        <v>313</v>
      </c>
      <c r="C255" s="482"/>
      <c r="D255" s="483"/>
      <c r="E255" s="482">
        <f>356901+255914+202795</f>
        <v>815610</v>
      </c>
      <c r="F255" s="483"/>
      <c r="G255" s="483"/>
      <c r="H255" s="483"/>
      <c r="I255" s="483"/>
      <c r="J255" s="482">
        <f>442+4968+4455</f>
        <v>9865</v>
      </c>
      <c r="K255" s="483"/>
      <c r="L255" s="483"/>
      <c r="M255" s="483"/>
      <c r="N255" s="483"/>
      <c r="O255" s="482"/>
      <c r="P255" s="483"/>
      <c r="Q255" s="483"/>
      <c r="R255" s="483"/>
    </row>
    <row r="256" spans="1:18" ht="52.8">
      <c r="A256" s="377"/>
      <c r="B256" s="418" t="s">
        <v>314</v>
      </c>
      <c r="C256" s="482"/>
      <c r="D256" s="483"/>
      <c r="E256" s="482">
        <f>E257</f>
        <v>12191</v>
      </c>
      <c r="F256" s="562"/>
      <c r="G256" s="562"/>
      <c r="H256" s="562"/>
      <c r="I256" s="562"/>
      <c r="J256" s="562"/>
      <c r="K256" s="562"/>
      <c r="L256" s="562"/>
      <c r="M256" s="562"/>
      <c r="N256" s="562"/>
      <c r="O256" s="562"/>
      <c r="P256" s="562"/>
      <c r="Q256" s="562"/>
    </row>
    <row r="257" spans="1:31">
      <c r="A257" s="377"/>
      <c r="B257" s="412" t="s">
        <v>313</v>
      </c>
      <c r="C257" s="482"/>
      <c r="D257" s="483"/>
      <c r="E257" s="482">
        <v>12191</v>
      </c>
      <c r="F257" s="562"/>
      <c r="G257" s="562"/>
      <c r="H257" s="562"/>
      <c r="I257" s="562"/>
      <c r="J257" s="562"/>
      <c r="K257" s="562"/>
      <c r="L257" s="562"/>
      <c r="M257" s="562"/>
      <c r="N257" s="562"/>
      <c r="O257" s="562"/>
      <c r="P257" s="562"/>
      <c r="Q257" s="562"/>
    </row>
    <row r="258" spans="1:31" ht="39.6">
      <c r="A258" s="377"/>
      <c r="B258" s="418" t="s">
        <v>318</v>
      </c>
      <c r="E258" s="482">
        <v>21028</v>
      </c>
      <c r="F258" s="562"/>
      <c r="G258" s="562"/>
      <c r="H258" s="562"/>
      <c r="I258" s="562"/>
      <c r="J258" s="562"/>
      <c r="K258" s="562"/>
      <c r="L258" s="562"/>
      <c r="M258" s="562"/>
      <c r="N258" s="562"/>
      <c r="O258" s="562"/>
      <c r="P258" s="562"/>
      <c r="Q258" s="562"/>
    </row>
    <row r="259" spans="1:31" ht="39.6">
      <c r="A259" s="377"/>
      <c r="B259" s="418" t="s">
        <v>316</v>
      </c>
      <c r="E259" s="482">
        <v>738</v>
      </c>
      <c r="F259" s="562"/>
      <c r="G259" s="562"/>
      <c r="H259" s="562"/>
      <c r="I259" s="562"/>
      <c r="J259" s="562"/>
      <c r="K259" s="562"/>
      <c r="L259" s="562"/>
      <c r="M259" s="562"/>
      <c r="N259" s="562"/>
      <c r="O259" s="562"/>
      <c r="P259" s="562"/>
      <c r="Q259" s="562"/>
    </row>
    <row r="260" spans="1:31">
      <c r="A260" s="377"/>
      <c r="B260" s="412" t="s">
        <v>313</v>
      </c>
      <c r="C260" s="482"/>
      <c r="D260" s="483"/>
      <c r="E260" s="482">
        <v>738</v>
      </c>
      <c r="F260" s="562"/>
      <c r="G260" s="562"/>
      <c r="H260" s="562"/>
      <c r="I260" s="562"/>
      <c r="J260" s="562"/>
      <c r="K260" s="562"/>
      <c r="L260" s="562"/>
      <c r="M260" s="562"/>
      <c r="N260" s="562"/>
      <c r="O260" s="562"/>
      <c r="P260" s="562"/>
      <c r="Q260" s="562"/>
    </row>
    <row r="261" spans="1:31" ht="52.8">
      <c r="A261" s="377"/>
      <c r="B261" s="418" t="s">
        <v>341</v>
      </c>
      <c r="C261" s="482"/>
      <c r="D261" s="483"/>
      <c r="E261" s="482">
        <v>41282</v>
      </c>
      <c r="F261" s="483"/>
      <c r="G261" s="483"/>
      <c r="H261" s="483"/>
      <c r="I261" s="483"/>
      <c r="J261" s="482">
        <v>41282</v>
      </c>
      <c r="K261" s="483"/>
      <c r="L261" s="483"/>
      <c r="M261" s="483"/>
      <c r="N261" s="483"/>
      <c r="O261" s="482">
        <v>8256</v>
      </c>
      <c r="P261" s="562"/>
      <c r="Q261" s="562"/>
    </row>
    <row r="262" spans="1:31">
      <c r="A262" s="377"/>
      <c r="B262" s="376"/>
      <c r="E262" s="562"/>
      <c r="F262" s="562"/>
      <c r="G262" s="562"/>
      <c r="H262" s="562"/>
      <c r="I262" s="562"/>
      <c r="J262" s="562"/>
      <c r="K262" s="562"/>
      <c r="L262" s="562"/>
      <c r="M262" s="562"/>
      <c r="N262" s="562"/>
      <c r="O262" s="562"/>
      <c r="P262" s="562"/>
      <c r="Q262" s="562"/>
    </row>
    <row r="263" spans="1:31">
      <c r="A263" s="498"/>
      <c r="B263" s="569"/>
      <c r="E263" s="562"/>
      <c r="F263" s="562"/>
      <c r="G263" s="562"/>
      <c r="H263" s="562"/>
      <c r="I263" s="562"/>
      <c r="J263" s="562"/>
      <c r="K263" s="562"/>
      <c r="L263" s="562"/>
      <c r="M263" s="562"/>
      <c r="N263" s="562"/>
      <c r="O263" s="562"/>
      <c r="P263" s="562"/>
      <c r="Q263" s="562"/>
    </row>
    <row r="264" spans="1:31">
      <c r="A264" s="498"/>
      <c r="B264" s="569"/>
      <c r="E264" s="562"/>
      <c r="F264" s="562"/>
      <c r="G264" s="562"/>
      <c r="H264" s="562"/>
      <c r="I264" s="562"/>
      <c r="J264" s="562"/>
      <c r="K264" s="562"/>
      <c r="L264" s="562"/>
      <c r="M264" s="562"/>
      <c r="N264" s="562"/>
      <c r="O264" s="562"/>
      <c r="P264" s="562"/>
      <c r="Q264" s="562"/>
    </row>
    <row r="265" spans="1:31">
      <c r="A265" s="498"/>
      <c r="B265" s="569"/>
      <c r="E265" s="562"/>
      <c r="F265" s="562"/>
      <c r="G265" s="562"/>
      <c r="H265" s="562"/>
      <c r="I265" s="562"/>
      <c r="J265" s="562"/>
      <c r="K265" s="562"/>
      <c r="L265" s="562"/>
      <c r="M265" s="562"/>
      <c r="N265" s="562"/>
      <c r="O265" s="562"/>
      <c r="P265" s="562"/>
      <c r="Q265" s="562"/>
    </row>
    <row r="266" spans="1:31">
      <c r="A266" s="498"/>
      <c r="B266" s="1317" t="s">
        <v>949</v>
      </c>
      <c r="C266" s="1318"/>
      <c r="D266" s="1318"/>
      <c r="E266" s="902">
        <f>E273+E452</f>
        <v>1135993</v>
      </c>
      <c r="F266" s="902">
        <f>F273+F452</f>
        <v>1136212</v>
      </c>
      <c r="G266" s="902">
        <f>G273+G452</f>
        <v>114458082</v>
      </c>
      <c r="H266" s="1319"/>
      <c r="I266" s="1319"/>
      <c r="J266" s="902">
        <f>J273+J452</f>
        <v>629728</v>
      </c>
      <c r="K266" s="902">
        <f>K273+K452</f>
        <v>1362660</v>
      </c>
      <c r="L266" s="902">
        <f>L273+L452</f>
        <v>147885768</v>
      </c>
      <c r="M266" s="1319"/>
      <c r="N266" s="1319"/>
      <c r="O266" s="902">
        <f>O273+O452</f>
        <v>181762</v>
      </c>
      <c r="P266" s="902">
        <f>P273+P452</f>
        <v>1391410</v>
      </c>
      <c r="Q266" s="902">
        <f>Q273+Q452</f>
        <v>118158082.01353294</v>
      </c>
      <c r="R266" s="1318"/>
    </row>
    <row r="267" spans="1:31">
      <c r="A267" s="498"/>
      <c r="B267" s="569"/>
      <c r="E267" s="562"/>
      <c r="F267" s="562"/>
      <c r="G267" s="562"/>
      <c r="H267" s="562"/>
      <c r="I267" s="562"/>
      <c r="J267" s="562"/>
      <c r="K267" s="562"/>
      <c r="L267" s="562"/>
      <c r="M267" s="562"/>
      <c r="N267" s="562"/>
      <c r="O267" s="562"/>
      <c r="P267" s="562"/>
      <c r="Q267" s="562"/>
    </row>
    <row r="268" spans="1:31">
      <c r="A268" s="369" t="s">
        <v>236</v>
      </c>
      <c r="B268" s="370" t="s">
        <v>237</v>
      </c>
      <c r="E268" s="562"/>
      <c r="F268" s="562"/>
      <c r="G268" s="562"/>
      <c r="H268" s="562"/>
      <c r="I268" s="562"/>
      <c r="J268" s="562"/>
      <c r="K268" s="562"/>
      <c r="L268" s="562"/>
      <c r="M268" s="562"/>
      <c r="N268" s="562"/>
      <c r="O268" s="562"/>
      <c r="P268" s="562"/>
      <c r="Q268" s="562"/>
      <c r="AC268" s="562"/>
      <c r="AD268" s="562"/>
      <c r="AE268" s="562"/>
    </row>
    <row r="269" spans="1:31">
      <c r="A269" s="371"/>
      <c r="B269" s="372" t="s">
        <v>238</v>
      </c>
      <c r="E269" s="562"/>
      <c r="F269" s="562"/>
      <c r="G269" s="562"/>
      <c r="H269" s="562"/>
      <c r="I269" s="562"/>
      <c r="J269" s="562"/>
      <c r="K269" s="562"/>
      <c r="L269" s="562"/>
      <c r="M269" s="562"/>
      <c r="N269" s="562"/>
      <c r="O269" s="562"/>
      <c r="P269" s="562"/>
      <c r="Q269" s="562"/>
      <c r="AC269" s="562"/>
      <c r="AD269" s="562"/>
      <c r="AE269" s="562"/>
    </row>
    <row r="270" spans="1:31">
      <c r="A270" s="373" t="s">
        <v>223</v>
      </c>
      <c r="B270" s="374" t="s">
        <v>239</v>
      </c>
      <c r="E270" s="579"/>
      <c r="F270" s="579"/>
      <c r="G270" s="579"/>
      <c r="H270" s="579"/>
      <c r="I270" s="579"/>
      <c r="J270" s="579"/>
      <c r="K270" s="579"/>
      <c r="L270" s="579"/>
      <c r="M270" s="579"/>
      <c r="N270" s="579"/>
      <c r="O270" s="579"/>
      <c r="P270" s="562"/>
      <c r="Q270" s="562"/>
    </row>
    <row r="271" spans="1:31">
      <c r="A271" s="375"/>
      <c r="B271" s="376"/>
      <c r="E271" s="562"/>
      <c r="F271" s="562"/>
      <c r="G271" s="562"/>
      <c r="H271" s="562"/>
      <c r="I271" s="562"/>
      <c r="J271" s="562"/>
      <c r="K271" s="562"/>
      <c r="L271" s="562"/>
      <c r="M271" s="562"/>
      <c r="N271" s="562"/>
      <c r="O271" s="562"/>
      <c r="P271" s="562"/>
      <c r="Q271" s="562"/>
    </row>
    <row r="272" spans="1:31">
      <c r="A272" s="377"/>
      <c r="B272" s="376"/>
      <c r="E272" s="562"/>
      <c r="F272" s="562"/>
      <c r="G272" s="562"/>
      <c r="H272" s="562"/>
      <c r="I272" s="562"/>
      <c r="J272" s="562"/>
      <c r="K272" s="562"/>
      <c r="L272" s="562"/>
      <c r="M272" s="562"/>
      <c r="N272" s="562"/>
      <c r="O272" s="562"/>
      <c r="P272" s="562"/>
      <c r="Q272" s="562"/>
    </row>
    <row r="273" spans="1:31" ht="17.25" customHeight="1">
      <c r="A273" s="488" t="s">
        <v>224</v>
      </c>
      <c r="B273" s="489" t="s">
        <v>242</v>
      </c>
      <c r="E273" s="579">
        <f>E274+E440+E443</f>
        <v>130467</v>
      </c>
      <c r="F273" s="579">
        <f>F274+F440+F443</f>
        <v>1136212</v>
      </c>
      <c r="G273" s="579">
        <f>G274+G440+G443</f>
        <v>114458082</v>
      </c>
      <c r="H273" s="579"/>
      <c r="I273" s="579"/>
      <c r="J273" s="579">
        <f>J274+J440+J443</f>
        <v>-73827</v>
      </c>
      <c r="K273" s="579">
        <f>K274+K440+K443</f>
        <v>1362660</v>
      </c>
      <c r="L273" s="579">
        <f>L274+L440+L443</f>
        <v>147885768</v>
      </c>
      <c r="M273" s="579"/>
      <c r="N273" s="579"/>
      <c r="O273" s="579">
        <f>O274+O440+O443</f>
        <v>-73827</v>
      </c>
      <c r="P273" s="579">
        <f>P274+P440+P443</f>
        <v>1391410</v>
      </c>
      <c r="Q273" s="579">
        <f>Q274+Q440+Q443</f>
        <v>118158082.01353294</v>
      </c>
      <c r="R273" s="339"/>
    </row>
    <row r="274" spans="1:31" ht="30" customHeight="1">
      <c r="A274" s="375"/>
      <c r="B274" s="490" t="s">
        <v>422</v>
      </c>
      <c r="C274" s="487"/>
      <c r="D274" s="487"/>
      <c r="E274" s="581">
        <f>SUM(E277:E438)</f>
        <v>-1512</v>
      </c>
      <c r="F274" s="581">
        <f>SUM(F277:F438)</f>
        <v>1136212</v>
      </c>
      <c r="G274" s="581">
        <f>SUM(G277:G427)-20000</f>
        <v>114368082</v>
      </c>
      <c r="H274" s="581"/>
      <c r="I274" s="581"/>
      <c r="J274" s="581">
        <f>SUM(J277:J438)</f>
        <v>-1512</v>
      </c>
      <c r="K274" s="581">
        <f>SUM(K277:K438)</f>
        <v>1362660</v>
      </c>
      <c r="L274" s="581">
        <f>SUM(L277:L427)</f>
        <v>147878082</v>
      </c>
      <c r="M274" s="581"/>
      <c r="N274" s="581"/>
      <c r="O274" s="581">
        <f>SUM(O277:O438)</f>
        <v>-1512</v>
      </c>
      <c r="P274" s="581">
        <f>SUM(P277:P438)</f>
        <v>1391410</v>
      </c>
      <c r="Q274" s="581">
        <f>SUM(Q277:Q427)</f>
        <v>118158082.01353294</v>
      </c>
      <c r="R274" s="487"/>
    </row>
    <row r="275" spans="1:31" hidden="1">
      <c r="A275" s="375"/>
      <c r="B275" s="547" t="s">
        <v>424</v>
      </c>
      <c r="C275" s="487"/>
      <c r="D275" s="487"/>
      <c r="E275" s="580"/>
      <c r="F275" s="581">
        <f>F282+F294+F296+F301+F302+F309+F314+F316+F317+F321+F326+F344+F328+F346+F340</f>
        <v>0</v>
      </c>
      <c r="G275" s="581"/>
      <c r="H275" s="581"/>
      <c r="I275" s="581"/>
      <c r="J275" s="581"/>
      <c r="K275" s="581">
        <f>K282+K294+K296+K301+K302+K309+K314+K316+K317+K321+K326+K344+K328+K346+K340</f>
        <v>0</v>
      </c>
      <c r="L275" s="581"/>
      <c r="M275" s="581"/>
      <c r="N275" s="581"/>
      <c r="O275" s="581"/>
      <c r="P275" s="581">
        <f>P282+P294+P296+P301+P302+P309+P314+P316+P317+P321+P326+P344+P328+P346+P340</f>
        <v>0</v>
      </c>
      <c r="Q275" s="581"/>
      <c r="R275" s="487"/>
    </row>
    <row r="276" spans="1:31">
      <c r="B276" s="476"/>
      <c r="E276" s="562"/>
      <c r="F276" s="562"/>
      <c r="G276" s="562"/>
      <c r="H276" s="562"/>
      <c r="I276" s="562"/>
      <c r="J276" s="562"/>
      <c r="K276" s="562"/>
      <c r="L276" s="562"/>
      <c r="M276" s="562"/>
      <c r="N276" s="562"/>
      <c r="O276" s="562"/>
      <c r="P276" s="562"/>
      <c r="Q276" s="562"/>
    </row>
    <row r="277" spans="1:31" ht="53.4">
      <c r="B277" s="376" t="s">
        <v>783</v>
      </c>
      <c r="C277" s="482"/>
      <c r="D277" s="483"/>
      <c r="E277" s="482"/>
      <c r="F277" s="482"/>
      <c r="G277" s="482">
        <v>51940</v>
      </c>
      <c r="H277" s="482"/>
      <c r="I277" s="482"/>
      <c r="J277" s="482"/>
      <c r="K277" s="482"/>
      <c r="L277" s="482"/>
      <c r="M277" s="482"/>
      <c r="N277" s="482"/>
      <c r="O277" s="482"/>
      <c r="P277" s="482"/>
      <c r="Q277" s="482"/>
      <c r="R277" s="482"/>
    </row>
    <row r="278" spans="1:31" ht="53.4">
      <c r="B278" s="376" t="s">
        <v>784</v>
      </c>
      <c r="C278" s="482"/>
      <c r="D278" s="483"/>
      <c r="E278" s="482"/>
      <c r="F278" s="482"/>
      <c r="G278" s="482">
        <v>4250</v>
      </c>
      <c r="H278" s="482"/>
      <c r="I278" s="482"/>
      <c r="J278" s="482"/>
      <c r="K278" s="482"/>
      <c r="L278" s="482">
        <v>4250</v>
      </c>
      <c r="M278" s="482"/>
      <c r="N278" s="482"/>
      <c r="O278" s="482"/>
      <c r="P278" s="482"/>
      <c r="Q278" s="482">
        <v>4250</v>
      </c>
      <c r="R278" s="482"/>
    </row>
    <row r="279" spans="1:31" ht="40.200000000000003">
      <c r="A279" s="498"/>
      <c r="B279" s="376" t="s">
        <v>785</v>
      </c>
      <c r="C279" s="482"/>
      <c r="D279" s="483"/>
      <c r="E279" s="482"/>
      <c r="F279" s="482"/>
      <c r="G279" s="482">
        <v>25000</v>
      </c>
      <c r="H279" s="482"/>
      <c r="I279" s="482"/>
      <c r="J279" s="482"/>
      <c r="K279" s="482"/>
      <c r="L279" s="482">
        <v>25000</v>
      </c>
      <c r="M279" s="483"/>
      <c r="N279" s="483"/>
      <c r="O279" s="482"/>
      <c r="P279" s="483"/>
      <c r="Q279" s="483"/>
      <c r="R279" s="483"/>
    </row>
    <row r="280" spans="1:31" s="312" customFormat="1" ht="40.200000000000003">
      <c r="A280" s="498"/>
      <c r="B280" s="376" t="s">
        <v>786</v>
      </c>
      <c r="C280" s="482"/>
      <c r="D280" s="483"/>
      <c r="E280" s="482"/>
      <c r="F280" s="482"/>
      <c r="G280" s="482">
        <v>62000</v>
      </c>
      <c r="H280" s="482"/>
      <c r="I280" s="482"/>
      <c r="J280" s="482"/>
      <c r="K280" s="482"/>
      <c r="L280" s="482">
        <v>62000</v>
      </c>
      <c r="M280" s="483"/>
      <c r="N280" s="483"/>
      <c r="O280" s="482"/>
      <c r="P280" s="483"/>
      <c r="Q280" s="482">
        <v>62000</v>
      </c>
      <c r="R280" s="483"/>
      <c r="S280" s="45"/>
      <c r="AC280" s="553"/>
      <c r="AD280" s="553"/>
      <c r="AE280" s="553"/>
    </row>
    <row r="281" spans="1:31" s="312" customFormat="1" ht="43.8" customHeight="1">
      <c r="A281" s="498"/>
      <c r="B281" s="475" t="s">
        <v>787</v>
      </c>
      <c r="C281" s="482"/>
      <c r="D281" s="483"/>
      <c r="E281" s="482"/>
      <c r="F281" s="482"/>
      <c r="G281" s="482">
        <v>8270</v>
      </c>
      <c r="H281" s="482"/>
      <c r="I281" s="482"/>
      <c r="J281" s="482"/>
      <c r="K281" s="482"/>
      <c r="L281" s="482">
        <v>8270</v>
      </c>
      <c r="M281" s="483"/>
      <c r="N281" s="483"/>
      <c r="O281" s="482"/>
      <c r="P281" s="483"/>
      <c r="Q281" s="483"/>
      <c r="R281" s="483"/>
      <c r="S281" s="45"/>
      <c r="AC281" s="553"/>
      <c r="AD281" s="553"/>
      <c r="AE281" s="553"/>
    </row>
    <row r="282" spans="1:31" s="312" customFormat="1" ht="26.4">
      <c r="A282" s="498"/>
      <c r="B282" s="475" t="s">
        <v>778</v>
      </c>
      <c r="C282" s="482"/>
      <c r="D282" s="483"/>
      <c r="E282" s="482"/>
      <c r="F282" s="483"/>
      <c r="G282" s="482">
        <v>100000</v>
      </c>
      <c r="H282" s="482"/>
      <c r="I282" s="483"/>
      <c r="J282" s="482"/>
      <c r="K282" s="483"/>
      <c r="L282" s="482">
        <v>100000</v>
      </c>
      <c r="M282" s="483"/>
      <c r="N282" s="483"/>
      <c r="O282" s="482"/>
      <c r="P282" s="483"/>
      <c r="Q282" s="482">
        <v>100000</v>
      </c>
      <c r="R282" s="483"/>
      <c r="S282" s="45"/>
      <c r="AC282" s="553"/>
      <c r="AD282" s="553"/>
      <c r="AE282" s="553"/>
    </row>
    <row r="283" spans="1:31" s="312" customFormat="1" ht="92.4">
      <c r="A283" s="498"/>
      <c r="B283" s="521" t="s">
        <v>788</v>
      </c>
      <c r="C283" s="482"/>
      <c r="D283" s="483"/>
      <c r="E283" s="482"/>
      <c r="F283" s="483"/>
      <c r="G283" s="482">
        <v>5768</v>
      </c>
      <c r="H283" s="482"/>
      <c r="I283" s="483"/>
      <c r="J283" s="482"/>
      <c r="K283" s="483"/>
      <c r="L283" s="482"/>
      <c r="M283" s="483"/>
      <c r="N283" s="483"/>
      <c r="O283" s="482"/>
      <c r="P283" s="483"/>
      <c r="Q283" s="482"/>
      <c r="R283" s="483"/>
      <c r="S283" s="45"/>
      <c r="AC283" s="553"/>
      <c r="AD283" s="553"/>
      <c r="AE283" s="553"/>
    </row>
    <row r="284" spans="1:31" s="312" customFormat="1" ht="52.8">
      <c r="A284" s="498"/>
      <c r="B284" s="942" t="s">
        <v>789</v>
      </c>
      <c r="C284" s="45"/>
      <c r="D284" s="45"/>
      <c r="E284" s="562"/>
      <c r="F284" s="584"/>
      <c r="G284" s="584">
        <v>190050</v>
      </c>
      <c r="H284" s="584"/>
      <c r="I284" s="584"/>
      <c r="J284" s="584"/>
      <c r="K284" s="584"/>
      <c r="L284" s="584">
        <v>211603</v>
      </c>
      <c r="M284" s="585"/>
      <c r="N284" s="585"/>
      <c r="O284" s="584"/>
      <c r="P284" s="585"/>
      <c r="Q284" s="585">
        <v>646873</v>
      </c>
      <c r="R284" s="585"/>
      <c r="S284" s="45"/>
      <c r="AC284" s="553"/>
      <c r="AD284" s="553"/>
      <c r="AE284" s="553"/>
    </row>
    <row r="285" spans="1:31" ht="52.8">
      <c r="A285" s="498"/>
      <c r="B285" s="942" t="s">
        <v>790</v>
      </c>
      <c r="E285" s="562"/>
      <c r="F285" s="562"/>
      <c r="G285" s="562">
        <v>1343500</v>
      </c>
      <c r="H285" s="562"/>
      <c r="I285" s="562"/>
      <c r="J285" s="562"/>
      <c r="K285" s="562"/>
      <c r="L285" s="562">
        <v>427200</v>
      </c>
      <c r="M285" s="562"/>
      <c r="N285" s="562"/>
      <c r="O285" s="562"/>
      <c r="P285" s="562"/>
      <c r="Q285" s="562">
        <v>107300</v>
      </c>
    </row>
    <row r="286" spans="1:31" s="312" customFormat="1" ht="52.8">
      <c r="A286" s="496"/>
      <c r="B286" s="942" t="s">
        <v>791</v>
      </c>
      <c r="C286" s="583"/>
      <c r="D286" s="583"/>
      <c r="E286" s="518"/>
      <c r="F286" s="518"/>
      <c r="G286" s="518">
        <v>351400</v>
      </c>
      <c r="H286" s="518"/>
      <c r="I286" s="518"/>
      <c r="J286" s="518"/>
      <c r="K286" s="518"/>
      <c r="L286" s="518">
        <v>0</v>
      </c>
      <c r="M286" s="518"/>
      <c r="N286" s="518"/>
      <c r="O286" s="518"/>
      <c r="P286" s="518"/>
      <c r="Q286" s="518">
        <v>0</v>
      </c>
      <c r="R286" s="518"/>
      <c r="S286" s="45"/>
      <c r="AC286" s="553"/>
      <c r="AD286" s="553"/>
      <c r="AE286" s="553"/>
    </row>
    <row r="287" spans="1:31" s="312" customFormat="1" ht="39.6">
      <c r="A287" s="496"/>
      <c r="B287" s="942" t="s">
        <v>792</v>
      </c>
      <c r="C287" s="583"/>
      <c r="D287" s="583"/>
      <c r="E287" s="518"/>
      <c r="F287" s="518"/>
      <c r="G287" s="518">
        <v>1090000</v>
      </c>
      <c r="H287" s="518"/>
      <c r="I287" s="518"/>
      <c r="J287" s="518"/>
      <c r="K287" s="518"/>
      <c r="L287" s="518">
        <v>2500000</v>
      </c>
      <c r="M287" s="518"/>
      <c r="N287" s="518"/>
      <c r="O287" s="518"/>
      <c r="P287" s="518"/>
      <c r="Q287" s="518">
        <v>1260000</v>
      </c>
      <c r="R287" s="518"/>
      <c r="S287" s="45"/>
      <c r="AC287" s="553"/>
      <c r="AD287" s="553"/>
      <c r="AE287" s="553"/>
    </row>
    <row r="288" spans="1:31" s="312" customFormat="1" ht="39.6">
      <c r="A288" s="496"/>
      <c r="B288" s="942" t="s">
        <v>793</v>
      </c>
      <c r="C288" s="583"/>
      <c r="D288" s="583"/>
      <c r="E288" s="518"/>
      <c r="F288" s="518"/>
      <c r="G288" s="518">
        <v>1014582</v>
      </c>
      <c r="H288" s="518"/>
      <c r="I288" s="518"/>
      <c r="J288" s="518"/>
      <c r="K288" s="518"/>
      <c r="L288" s="518">
        <v>1014582</v>
      </c>
      <c r="M288" s="518"/>
      <c r="N288" s="518"/>
      <c r="O288" s="518"/>
      <c r="P288" s="518"/>
      <c r="Q288" s="518">
        <v>1014582</v>
      </c>
      <c r="R288" s="518"/>
      <c r="S288" s="45"/>
      <c r="AC288" s="553"/>
      <c r="AD288" s="553"/>
      <c r="AE288" s="553"/>
    </row>
    <row r="289" spans="1:31" s="312" customFormat="1" ht="66">
      <c r="A289" s="496"/>
      <c r="B289" s="942" t="s">
        <v>794</v>
      </c>
      <c r="C289" s="583"/>
      <c r="D289" s="583"/>
      <c r="E289" s="518"/>
      <c r="F289" s="518"/>
      <c r="G289" s="518">
        <v>286790</v>
      </c>
      <c r="H289" s="518"/>
      <c r="I289" s="518"/>
      <c r="J289" s="518"/>
      <c r="K289" s="518"/>
      <c r="L289" s="518">
        <v>286790</v>
      </c>
      <c r="M289" s="518"/>
      <c r="N289" s="518"/>
      <c r="O289" s="518"/>
      <c r="P289" s="518"/>
      <c r="Q289" s="518">
        <v>286790</v>
      </c>
      <c r="R289" s="518"/>
      <c r="S289" s="45"/>
      <c r="AC289" s="553"/>
      <c r="AD289" s="553"/>
      <c r="AE289" s="553"/>
    </row>
    <row r="290" spans="1:31" s="312" customFormat="1" ht="66">
      <c r="A290" s="496"/>
      <c r="B290" s="942" t="s">
        <v>795</v>
      </c>
      <c r="C290" s="583"/>
      <c r="D290" s="583"/>
      <c r="E290" s="518"/>
      <c r="F290" s="518"/>
      <c r="G290" s="518">
        <v>56320</v>
      </c>
      <c r="H290" s="518"/>
      <c r="I290" s="518"/>
      <c r="J290" s="518"/>
      <c r="K290" s="518"/>
      <c r="L290" s="518">
        <v>56320</v>
      </c>
      <c r="M290" s="518"/>
      <c r="N290" s="518"/>
      <c r="O290" s="518"/>
      <c r="P290" s="518"/>
      <c r="Q290" s="518">
        <v>56320</v>
      </c>
      <c r="R290" s="518"/>
      <c r="S290" s="45"/>
      <c r="AC290" s="553"/>
      <c r="AD290" s="553"/>
      <c r="AE290" s="553"/>
    </row>
    <row r="291" spans="1:31" s="312" customFormat="1" ht="66">
      <c r="A291" s="496"/>
      <c r="B291" s="942" t="s">
        <v>796</v>
      </c>
      <c r="C291" s="583"/>
      <c r="D291" s="583"/>
      <c r="E291" s="518"/>
      <c r="F291" s="518"/>
      <c r="G291" s="518">
        <v>0</v>
      </c>
      <c r="H291" s="518"/>
      <c r="I291" s="518"/>
      <c r="J291" s="518"/>
      <c r="K291" s="518"/>
      <c r="L291" s="518">
        <v>59385</v>
      </c>
      <c r="M291" s="518"/>
      <c r="N291" s="518"/>
      <c r="O291" s="518"/>
      <c r="P291" s="518"/>
      <c r="Q291" s="518">
        <v>0</v>
      </c>
      <c r="R291" s="518"/>
      <c r="S291" s="45"/>
      <c r="AC291" s="553"/>
      <c r="AD291" s="553"/>
      <c r="AE291" s="553"/>
    </row>
    <row r="292" spans="1:31" s="312" customFormat="1" ht="65.25" customHeight="1">
      <c r="A292" s="496"/>
      <c r="B292" s="475" t="s">
        <v>797</v>
      </c>
      <c r="C292" s="482"/>
      <c r="D292" s="483"/>
      <c r="E292" s="482"/>
      <c r="F292" s="93"/>
      <c r="G292" s="485">
        <v>593649</v>
      </c>
      <c r="H292" s="485"/>
      <c r="I292" s="485"/>
      <c r="J292" s="485"/>
      <c r="K292" s="93"/>
      <c r="L292" s="485">
        <v>634086</v>
      </c>
      <c r="M292" s="485"/>
      <c r="N292" s="485"/>
      <c r="O292" s="485"/>
      <c r="P292" s="93"/>
      <c r="Q292" s="485">
        <v>634086</v>
      </c>
      <c r="R292" s="483"/>
      <c r="S292" s="45"/>
      <c r="AC292" s="553"/>
      <c r="AD292" s="553"/>
      <c r="AE292" s="553"/>
    </row>
    <row r="293" spans="1:31" ht="52.8">
      <c r="A293" s="498"/>
      <c r="B293" s="475" t="s">
        <v>798</v>
      </c>
      <c r="C293" s="482"/>
      <c r="D293" s="483"/>
      <c r="E293" s="482"/>
      <c r="F293" s="93"/>
      <c r="G293" s="93">
        <v>61090</v>
      </c>
      <c r="H293" s="485"/>
      <c r="I293" s="485"/>
      <c r="J293" s="485"/>
      <c r="K293" s="93"/>
      <c r="L293" s="93">
        <v>61090</v>
      </c>
      <c r="M293" s="485"/>
      <c r="N293" s="485"/>
      <c r="O293" s="485"/>
      <c r="P293" s="93"/>
      <c r="Q293" s="93">
        <v>61090</v>
      </c>
      <c r="R293" s="483"/>
      <c r="S293" s="517"/>
    </row>
    <row r="294" spans="1:31" ht="39.6">
      <c r="A294" s="498"/>
      <c r="B294" s="475" t="s">
        <v>799</v>
      </c>
      <c r="C294" s="482"/>
      <c r="D294" s="483"/>
      <c r="E294" s="482"/>
      <c r="F294" s="93"/>
      <c r="G294" s="93">
        <v>136351</v>
      </c>
      <c r="H294" s="485"/>
      <c r="I294" s="485"/>
      <c r="J294" s="485"/>
      <c r="K294" s="93"/>
      <c r="L294" s="93">
        <v>95914</v>
      </c>
      <c r="M294" s="485"/>
      <c r="N294" s="485"/>
      <c r="O294" s="485"/>
      <c r="P294" s="93"/>
      <c r="Q294" s="93">
        <v>95914</v>
      </c>
      <c r="R294" s="483"/>
      <c r="S294" s="517"/>
    </row>
    <row r="295" spans="1:31" ht="66">
      <c r="A295" s="498"/>
      <c r="B295" s="475" t="s">
        <v>800</v>
      </c>
      <c r="C295" s="482"/>
      <c r="D295" s="483"/>
      <c r="E295" s="482"/>
      <c r="F295" s="93"/>
      <c r="G295" s="93">
        <v>187620</v>
      </c>
      <c r="H295" s="485"/>
      <c r="I295" s="485"/>
      <c r="J295" s="485"/>
      <c r="K295" s="93"/>
      <c r="L295" s="93">
        <v>312402</v>
      </c>
      <c r="M295" s="485"/>
      <c r="N295" s="485"/>
      <c r="O295" s="485"/>
      <c r="P295" s="93"/>
      <c r="Q295" s="93"/>
      <c r="R295" s="483"/>
    </row>
    <row r="296" spans="1:31" ht="52.8">
      <c r="A296" s="498"/>
      <c r="B296" s="475" t="s">
        <v>801</v>
      </c>
      <c r="C296" s="482"/>
      <c r="D296" s="483"/>
      <c r="E296" s="482"/>
      <c r="F296" s="93"/>
      <c r="G296" s="93">
        <v>642389</v>
      </c>
      <c r="H296" s="485"/>
      <c r="I296" s="485"/>
      <c r="J296" s="485"/>
      <c r="K296" s="93"/>
      <c r="L296" s="93">
        <v>956065</v>
      </c>
      <c r="M296" s="485"/>
      <c r="N296" s="485"/>
      <c r="O296" s="485"/>
      <c r="P296" s="93"/>
      <c r="Q296" s="93">
        <v>879326.01353293413</v>
      </c>
      <c r="R296" s="483"/>
    </row>
    <row r="297" spans="1:31" ht="107.4" customHeight="1">
      <c r="A297" s="498"/>
      <c r="B297" s="475" t="s">
        <v>802</v>
      </c>
      <c r="C297" s="482"/>
      <c r="D297" s="483"/>
      <c r="E297" s="482"/>
      <c r="F297" s="93"/>
      <c r="G297" s="93">
        <v>64202</v>
      </c>
      <c r="H297" s="485"/>
      <c r="I297" s="485"/>
      <c r="J297" s="485"/>
      <c r="K297" s="93"/>
      <c r="L297" s="93">
        <v>66585</v>
      </c>
      <c r="M297" s="485"/>
      <c r="N297" s="485"/>
      <c r="O297" s="485"/>
      <c r="P297" s="93"/>
      <c r="Q297" s="93">
        <v>58818</v>
      </c>
      <c r="R297" s="483"/>
    </row>
    <row r="298" spans="1:31" ht="136.80000000000001" customHeight="1">
      <c r="A298" s="498"/>
      <c r="B298" s="475" t="s">
        <v>803</v>
      </c>
      <c r="C298" s="482"/>
      <c r="D298" s="483"/>
      <c r="E298" s="482"/>
      <c r="F298" s="93"/>
      <c r="G298" s="93">
        <v>20000</v>
      </c>
      <c r="H298" s="485"/>
      <c r="I298" s="485"/>
      <c r="J298" s="485"/>
      <c r="K298" s="93"/>
      <c r="L298" s="93"/>
      <c r="M298" s="485"/>
      <c r="N298" s="485"/>
      <c r="O298" s="485"/>
      <c r="P298" s="93"/>
      <c r="Q298" s="93"/>
      <c r="R298" s="483"/>
    </row>
    <row r="299" spans="1:31" ht="26.4">
      <c r="A299" s="498"/>
      <c r="B299" s="475" t="s">
        <v>779</v>
      </c>
      <c r="E299" s="562"/>
      <c r="F299" s="562"/>
      <c r="G299" s="562">
        <v>372000</v>
      </c>
      <c r="H299" s="562"/>
      <c r="I299" s="562"/>
      <c r="J299" s="562"/>
      <c r="K299" s="562"/>
      <c r="L299" s="562">
        <v>372000</v>
      </c>
      <c r="M299" s="562"/>
      <c r="N299" s="562"/>
      <c r="O299" s="562"/>
      <c r="P299" s="562"/>
      <c r="Q299" s="562">
        <v>372000</v>
      </c>
    </row>
    <row r="300" spans="1:31" ht="26.4">
      <c r="A300" s="498"/>
      <c r="B300" s="475" t="s">
        <v>780</v>
      </c>
      <c r="E300" s="562"/>
      <c r="F300" s="584"/>
      <c r="G300" s="584">
        <v>111243</v>
      </c>
      <c r="H300" s="585"/>
      <c r="I300" s="585"/>
      <c r="J300" s="584"/>
      <c r="K300" s="584"/>
      <c r="L300" s="584">
        <v>111243</v>
      </c>
      <c r="M300" s="585"/>
      <c r="N300" s="585"/>
      <c r="O300" s="584"/>
      <c r="P300" s="584"/>
      <c r="Q300" s="584">
        <v>111243</v>
      </c>
    </row>
    <row r="301" spans="1:31" ht="26.4">
      <c r="A301" s="498"/>
      <c r="B301" s="475" t="s">
        <v>781</v>
      </c>
      <c r="E301" s="562"/>
      <c r="F301" s="584"/>
      <c r="G301" s="584">
        <v>35532</v>
      </c>
      <c r="H301" s="585"/>
      <c r="I301" s="585"/>
      <c r="J301" s="584"/>
      <c r="K301" s="584"/>
      <c r="L301" s="584">
        <v>208636</v>
      </c>
      <c r="M301" s="585"/>
      <c r="N301" s="585"/>
      <c r="O301" s="584"/>
      <c r="P301" s="584"/>
      <c r="Q301" s="584">
        <v>55832</v>
      </c>
    </row>
    <row r="302" spans="1:31" ht="39.6">
      <c r="A302" s="498"/>
      <c r="B302" s="475" t="s">
        <v>782</v>
      </c>
      <c r="E302" s="562"/>
      <c r="F302" s="815"/>
      <c r="G302" s="815">
        <v>24570</v>
      </c>
      <c r="H302" s="584"/>
      <c r="I302" s="584"/>
      <c r="J302" s="584"/>
      <c r="K302" s="584"/>
      <c r="L302" s="584"/>
      <c r="M302" s="584"/>
      <c r="N302" s="584"/>
      <c r="O302" s="584"/>
      <c r="P302" s="584"/>
      <c r="Q302" s="584"/>
      <c r="R302" s="584"/>
    </row>
    <row r="303" spans="1:31" ht="124.2" customHeight="1">
      <c r="A303" s="498"/>
      <c r="B303" s="376" t="s">
        <v>950</v>
      </c>
      <c r="C303" s="482"/>
      <c r="D303" s="483"/>
      <c r="E303" s="482"/>
      <c r="F303" s="485"/>
      <c r="G303" s="485">
        <v>27830</v>
      </c>
      <c r="H303" s="482"/>
      <c r="I303" s="482"/>
      <c r="J303" s="482"/>
      <c r="K303" s="482"/>
      <c r="L303" s="482">
        <v>16123</v>
      </c>
      <c r="M303" s="482"/>
      <c r="N303" s="482"/>
      <c r="O303" s="482"/>
      <c r="P303" s="482"/>
      <c r="Q303" s="482">
        <v>8062</v>
      </c>
      <c r="R303" s="584"/>
    </row>
    <row r="304" spans="1:31" ht="79.2">
      <c r="A304" s="498"/>
      <c r="B304" s="376" t="s">
        <v>818</v>
      </c>
      <c r="C304" s="482"/>
      <c r="D304" s="483"/>
      <c r="E304" s="482"/>
      <c r="F304" s="485"/>
      <c r="G304" s="485">
        <v>509703</v>
      </c>
      <c r="H304" s="482"/>
      <c r="I304" s="482"/>
      <c r="J304" s="482"/>
      <c r="K304" s="482"/>
      <c r="L304" s="482">
        <v>9415007</v>
      </c>
      <c r="M304" s="482"/>
      <c r="N304" s="482"/>
      <c r="O304" s="482"/>
      <c r="P304" s="482"/>
      <c r="Q304" s="482">
        <v>4451747</v>
      </c>
      <c r="R304" s="482"/>
    </row>
    <row r="305" spans="1:31" ht="52.8">
      <c r="A305" s="498"/>
      <c r="B305" s="376" t="s">
        <v>817</v>
      </c>
      <c r="C305" s="482"/>
      <c r="D305" s="483"/>
      <c r="E305" s="482"/>
      <c r="F305" s="485"/>
      <c r="G305" s="485">
        <v>283109</v>
      </c>
      <c r="H305" s="482"/>
      <c r="I305" s="482"/>
      <c r="J305" s="482"/>
      <c r="K305" s="482"/>
      <c r="L305" s="482"/>
      <c r="M305" s="482"/>
      <c r="N305" s="482"/>
      <c r="O305" s="482"/>
      <c r="P305" s="482"/>
      <c r="Q305" s="482"/>
      <c r="R305" s="482"/>
    </row>
    <row r="306" spans="1:31" ht="66">
      <c r="A306" s="498"/>
      <c r="B306" s="376" t="s">
        <v>804</v>
      </c>
      <c r="C306" s="482"/>
      <c r="D306" s="483"/>
      <c r="E306" s="482"/>
      <c r="F306" s="485"/>
      <c r="G306" s="485">
        <v>154883</v>
      </c>
      <c r="H306" s="482"/>
      <c r="I306" s="482"/>
      <c r="J306" s="482"/>
      <c r="K306" s="482"/>
      <c r="L306" s="482">
        <v>218026</v>
      </c>
      <c r="M306" s="482"/>
      <c r="N306" s="482"/>
      <c r="O306" s="482"/>
      <c r="P306" s="482"/>
      <c r="Q306" s="482">
        <v>210536</v>
      </c>
      <c r="R306" s="482"/>
    </row>
    <row r="307" spans="1:31" ht="52.8">
      <c r="A307" s="498"/>
      <c r="B307" s="376" t="s">
        <v>816</v>
      </c>
      <c r="C307" s="482"/>
      <c r="D307" s="483"/>
      <c r="E307" s="482"/>
      <c r="F307" s="485"/>
      <c r="G307" s="485">
        <v>510705</v>
      </c>
      <c r="H307" s="482"/>
      <c r="I307" s="482"/>
      <c r="J307" s="482"/>
      <c r="K307" s="482"/>
      <c r="L307" s="482">
        <v>1500000</v>
      </c>
      <c r="M307" s="482"/>
      <c r="N307" s="482"/>
      <c r="O307" s="482"/>
      <c r="P307" s="482"/>
      <c r="Q307" s="482">
        <v>2000000</v>
      </c>
      <c r="R307" s="482"/>
    </row>
    <row r="308" spans="1:31" ht="52.8">
      <c r="A308" s="498"/>
      <c r="B308" s="376" t="s">
        <v>815</v>
      </c>
      <c r="C308" s="482"/>
      <c r="D308" s="483"/>
      <c r="E308" s="482"/>
      <c r="F308" s="485"/>
      <c r="G308" s="485">
        <v>219000</v>
      </c>
      <c r="H308" s="482"/>
      <c r="I308" s="482"/>
      <c r="J308" s="482"/>
      <c r="K308" s="482"/>
      <c r="L308" s="482">
        <v>219000</v>
      </c>
      <c r="M308" s="482"/>
      <c r="N308" s="482"/>
      <c r="O308" s="482"/>
      <c r="P308" s="482"/>
      <c r="Q308" s="482">
        <v>219000</v>
      </c>
      <c r="R308" s="482"/>
    </row>
    <row r="309" spans="1:31" ht="52.8">
      <c r="A309" s="498"/>
      <c r="B309" s="376" t="s">
        <v>814</v>
      </c>
      <c r="C309" s="482"/>
      <c r="D309" s="483"/>
      <c r="E309" s="482"/>
      <c r="F309" s="485"/>
      <c r="G309" s="485">
        <v>73292</v>
      </c>
      <c r="H309" s="482"/>
      <c r="I309" s="482"/>
      <c r="J309" s="482"/>
      <c r="K309" s="482"/>
      <c r="L309" s="482"/>
      <c r="M309" s="482"/>
      <c r="N309" s="482"/>
      <c r="O309" s="482"/>
      <c r="P309" s="482"/>
      <c r="Q309" s="482"/>
      <c r="R309" s="482"/>
    </row>
    <row r="310" spans="1:31" s="312" customFormat="1" ht="79.2">
      <c r="A310" s="498"/>
      <c r="B310" s="376" t="s">
        <v>813</v>
      </c>
      <c r="C310" s="482"/>
      <c r="D310" s="483"/>
      <c r="E310" s="482"/>
      <c r="F310" s="485"/>
      <c r="G310" s="485">
        <v>592265</v>
      </c>
      <c r="H310" s="482"/>
      <c r="I310" s="482"/>
      <c r="J310" s="482"/>
      <c r="K310" s="482"/>
      <c r="L310" s="482">
        <v>389982</v>
      </c>
      <c r="M310" s="482"/>
      <c r="N310" s="482"/>
      <c r="O310" s="482"/>
      <c r="P310" s="482"/>
      <c r="Q310" s="482">
        <v>4423614</v>
      </c>
      <c r="R310" s="482"/>
      <c r="S310" s="45"/>
      <c r="AC310" s="553"/>
      <c r="AD310" s="553"/>
      <c r="AE310" s="553"/>
    </row>
    <row r="311" spans="1:31" s="312" customFormat="1" ht="92.4">
      <c r="A311" s="498"/>
      <c r="B311" s="376" t="s">
        <v>812</v>
      </c>
      <c r="C311" s="482"/>
      <c r="D311" s="483"/>
      <c r="E311" s="482"/>
      <c r="F311" s="485"/>
      <c r="G311" s="485">
        <v>2732789</v>
      </c>
      <c r="H311" s="482"/>
      <c r="I311" s="482"/>
      <c r="J311" s="482"/>
      <c r="K311" s="482"/>
      <c r="L311" s="482">
        <v>8777914</v>
      </c>
      <c r="M311" s="482"/>
      <c r="N311" s="482"/>
      <c r="O311" s="482"/>
      <c r="P311" s="482"/>
      <c r="Q311" s="482">
        <v>6583436</v>
      </c>
      <c r="R311" s="482"/>
      <c r="S311" s="45"/>
      <c r="AC311" s="553"/>
      <c r="AD311" s="553"/>
      <c r="AE311" s="553"/>
    </row>
    <row r="312" spans="1:31" s="312" customFormat="1" ht="66">
      <c r="A312" s="498"/>
      <c r="B312" s="376" t="s">
        <v>811</v>
      </c>
      <c r="C312" s="482"/>
      <c r="D312" s="483"/>
      <c r="E312" s="482"/>
      <c r="F312" s="485"/>
      <c r="G312" s="485">
        <v>33516</v>
      </c>
      <c r="H312" s="482"/>
      <c r="I312" s="482"/>
      <c r="J312" s="482"/>
      <c r="K312" s="482"/>
      <c r="L312" s="482">
        <v>394465</v>
      </c>
      <c r="M312" s="482"/>
      <c r="N312" s="482"/>
      <c r="O312" s="482"/>
      <c r="P312" s="482"/>
      <c r="Q312" s="482">
        <v>195777</v>
      </c>
      <c r="R312" s="482"/>
      <c r="S312" s="45"/>
      <c r="AC312" s="553"/>
      <c r="AD312" s="553"/>
      <c r="AE312" s="553"/>
    </row>
    <row r="313" spans="1:31" s="312" customFormat="1" ht="66">
      <c r="A313" s="498"/>
      <c r="B313" s="376" t="s">
        <v>810</v>
      </c>
      <c r="C313" s="482"/>
      <c r="D313" s="483"/>
      <c r="E313" s="482"/>
      <c r="F313" s="485"/>
      <c r="G313" s="485">
        <v>365588</v>
      </c>
      <c r="H313" s="482"/>
      <c r="I313" s="482"/>
      <c r="J313" s="482"/>
      <c r="K313" s="482"/>
      <c r="L313" s="482">
        <v>1484400</v>
      </c>
      <c r="M313" s="482"/>
      <c r="N313" s="482"/>
      <c r="O313" s="482"/>
      <c r="P313" s="482"/>
      <c r="Q313" s="482">
        <v>2199096</v>
      </c>
      <c r="R313" s="482"/>
      <c r="S313" s="45"/>
      <c r="AC313" s="553"/>
      <c r="AD313" s="553"/>
      <c r="AE313" s="553"/>
    </row>
    <row r="314" spans="1:31" s="312" customFormat="1" ht="66">
      <c r="A314" s="498"/>
      <c r="B314" s="376" t="s">
        <v>809</v>
      </c>
      <c r="C314" s="482"/>
      <c r="D314" s="483"/>
      <c r="E314" s="482"/>
      <c r="F314" s="485"/>
      <c r="G314" s="485">
        <v>183322</v>
      </c>
      <c r="H314" s="482"/>
      <c r="I314" s="482"/>
      <c r="J314" s="482"/>
      <c r="K314" s="482"/>
      <c r="L314" s="482">
        <v>2147877</v>
      </c>
      <c r="M314" s="482"/>
      <c r="N314" s="482"/>
      <c r="O314" s="482"/>
      <c r="P314" s="482"/>
      <c r="Q314" s="482"/>
      <c r="R314" s="482"/>
      <c r="S314" s="45"/>
      <c r="AC314" s="553"/>
      <c r="AD314" s="553"/>
      <c r="AE314" s="553"/>
    </row>
    <row r="315" spans="1:31" ht="26.4">
      <c r="A315" s="498"/>
      <c r="B315" s="418" t="s">
        <v>807</v>
      </c>
      <c r="E315" s="562"/>
      <c r="F315" s="562"/>
      <c r="G315" s="562">
        <v>879412</v>
      </c>
      <c r="H315" s="562"/>
      <c r="I315" s="562"/>
      <c r="J315" s="562"/>
      <c r="K315" s="562"/>
      <c r="L315" s="562">
        <v>0</v>
      </c>
      <c r="M315" s="562"/>
      <c r="N315" s="562"/>
      <c r="O315" s="562"/>
      <c r="P315" s="562"/>
      <c r="Q315" s="562">
        <v>0</v>
      </c>
    </row>
    <row r="316" spans="1:31" ht="26.4">
      <c r="A316" s="498"/>
      <c r="B316" s="418" t="s">
        <v>806</v>
      </c>
      <c r="E316" s="562"/>
      <c r="F316" s="584"/>
      <c r="G316" s="584">
        <v>83051</v>
      </c>
      <c r="H316" s="584"/>
      <c r="I316" s="584"/>
      <c r="J316" s="584"/>
      <c r="K316" s="584"/>
      <c r="L316" s="584">
        <v>0</v>
      </c>
      <c r="M316" s="584"/>
      <c r="N316" s="584"/>
      <c r="O316" s="584"/>
      <c r="P316" s="584"/>
      <c r="Q316" s="584">
        <v>0</v>
      </c>
    </row>
    <row r="317" spans="1:31" ht="39.6">
      <c r="A317" s="498"/>
      <c r="B317" s="418" t="s">
        <v>805</v>
      </c>
      <c r="E317" s="562"/>
      <c r="F317" s="584"/>
      <c r="G317" s="584">
        <v>237616</v>
      </c>
      <c r="H317" s="584"/>
      <c r="I317" s="584"/>
      <c r="J317" s="584"/>
      <c r="K317" s="584"/>
      <c r="L317" s="584">
        <v>237616</v>
      </c>
      <c r="M317" s="584"/>
      <c r="N317" s="584"/>
      <c r="O317" s="584"/>
      <c r="P317" s="584"/>
      <c r="Q317" s="584">
        <v>237616</v>
      </c>
    </row>
    <row r="318" spans="1:31" ht="52.8">
      <c r="A318" s="498"/>
      <c r="B318" s="418" t="s">
        <v>819</v>
      </c>
      <c r="E318" s="562"/>
      <c r="F318" s="584"/>
      <c r="G318" s="584">
        <v>648125</v>
      </c>
      <c r="H318" s="584"/>
      <c r="I318" s="584"/>
      <c r="J318" s="584"/>
      <c r="K318" s="584"/>
      <c r="L318" s="584">
        <v>0</v>
      </c>
      <c r="M318" s="584"/>
      <c r="N318" s="584"/>
      <c r="O318" s="584"/>
      <c r="P318" s="584"/>
      <c r="Q318" s="584">
        <v>0</v>
      </c>
      <c r="R318" s="584"/>
    </row>
    <row r="319" spans="1:31" ht="39.6">
      <c r="A319" s="498"/>
      <c r="B319" s="418" t="s">
        <v>820</v>
      </c>
      <c r="E319" s="562"/>
      <c r="F319" s="584"/>
      <c r="G319" s="584">
        <v>250200</v>
      </c>
      <c r="H319" s="584"/>
      <c r="I319" s="584"/>
      <c r="J319" s="584"/>
      <c r="K319" s="584"/>
      <c r="L319" s="584">
        <v>68200</v>
      </c>
      <c r="M319" s="584"/>
      <c r="N319" s="584"/>
      <c r="O319" s="584"/>
      <c r="P319" s="584"/>
      <c r="Q319" s="584">
        <v>10000</v>
      </c>
      <c r="R319" s="584"/>
    </row>
    <row r="320" spans="1:31" ht="39.6">
      <c r="A320" s="498"/>
      <c r="B320" s="418" t="s">
        <v>821</v>
      </c>
      <c r="E320" s="562"/>
      <c r="F320" s="584"/>
      <c r="G320" s="584">
        <v>204783</v>
      </c>
      <c r="H320" s="584"/>
      <c r="I320" s="584"/>
      <c r="J320" s="584"/>
      <c r="K320" s="584"/>
      <c r="L320" s="584">
        <v>204783</v>
      </c>
      <c r="M320" s="584"/>
      <c r="N320" s="584"/>
      <c r="O320" s="584"/>
      <c r="P320" s="584"/>
      <c r="Q320" s="584">
        <v>204783</v>
      </c>
      <c r="R320" s="584"/>
    </row>
    <row r="321" spans="1:31" ht="39.6">
      <c r="A321" s="498"/>
      <c r="B321" s="418" t="s">
        <v>822</v>
      </c>
      <c r="E321" s="562"/>
      <c r="F321" s="584"/>
      <c r="G321" s="584">
        <v>55645</v>
      </c>
      <c r="H321" s="584"/>
      <c r="I321" s="584"/>
      <c r="J321" s="584"/>
      <c r="K321" s="584"/>
      <c r="L321" s="584">
        <v>55645</v>
      </c>
      <c r="M321" s="584"/>
      <c r="N321" s="584"/>
      <c r="O321" s="584"/>
      <c r="P321" s="584"/>
      <c r="Q321" s="584">
        <v>55645</v>
      </c>
      <c r="R321" s="584"/>
    </row>
    <row r="322" spans="1:31" ht="39.6">
      <c r="A322" s="498"/>
      <c r="B322" s="418" t="s">
        <v>823</v>
      </c>
      <c r="E322" s="562"/>
      <c r="F322" s="584"/>
      <c r="G322" s="584">
        <v>461509</v>
      </c>
      <c r="H322" s="584"/>
      <c r="I322" s="584"/>
      <c r="J322" s="584"/>
      <c r="K322" s="584"/>
      <c r="L322" s="584">
        <v>0</v>
      </c>
      <c r="M322" s="584"/>
      <c r="N322" s="584"/>
      <c r="O322" s="584"/>
      <c r="P322" s="584"/>
      <c r="Q322" s="584">
        <v>0</v>
      </c>
      <c r="R322" s="584"/>
    </row>
    <row r="323" spans="1:31" ht="39.6">
      <c r="A323" s="498"/>
      <c r="B323" s="418" t="s">
        <v>824</v>
      </c>
      <c r="E323" s="562"/>
      <c r="F323" s="584"/>
      <c r="G323" s="584">
        <v>576685</v>
      </c>
      <c r="H323" s="584"/>
      <c r="I323" s="584"/>
      <c r="J323" s="584"/>
      <c r="K323" s="584"/>
      <c r="L323" s="584">
        <v>576685</v>
      </c>
      <c r="M323" s="584"/>
      <c r="N323" s="584"/>
      <c r="O323" s="584"/>
      <c r="P323" s="584"/>
      <c r="Q323" s="584">
        <v>576685</v>
      </c>
      <c r="R323" s="584"/>
    </row>
    <row r="324" spans="1:31" s="524" customFormat="1" ht="39.6">
      <c r="A324" s="525"/>
      <c r="B324" s="418" t="s">
        <v>825</v>
      </c>
      <c r="C324" s="45"/>
      <c r="D324" s="517"/>
      <c r="E324" s="582"/>
      <c r="F324" s="583"/>
      <c r="G324" s="583">
        <v>12131</v>
      </c>
      <c r="H324" s="583"/>
      <c r="I324" s="583"/>
      <c r="J324" s="583"/>
      <c r="K324" s="583"/>
      <c r="L324" s="583">
        <v>12131</v>
      </c>
      <c r="M324" s="583"/>
      <c r="N324" s="583"/>
      <c r="O324" s="583"/>
      <c r="P324" s="583"/>
      <c r="Q324" s="583">
        <v>12131</v>
      </c>
      <c r="R324" s="517"/>
      <c r="S324" s="517"/>
      <c r="AC324" s="558"/>
      <c r="AD324" s="558"/>
      <c r="AE324" s="558"/>
    </row>
    <row r="325" spans="1:31" s="524" customFormat="1" ht="81.599999999999994" customHeight="1">
      <c r="A325" s="525"/>
      <c r="B325" s="418" t="s">
        <v>826</v>
      </c>
      <c r="C325" s="517"/>
      <c r="D325" s="517"/>
      <c r="E325" s="582"/>
      <c r="F325" s="583"/>
      <c r="G325" s="583">
        <v>173205</v>
      </c>
      <c r="H325" s="583"/>
      <c r="I325" s="583"/>
      <c r="J325" s="583"/>
      <c r="K325" s="583"/>
      <c r="L325" s="583">
        <v>0</v>
      </c>
      <c r="M325" s="583"/>
      <c r="N325" s="583"/>
      <c r="O325" s="583"/>
      <c r="P325" s="583"/>
      <c r="Q325" s="583">
        <v>0</v>
      </c>
      <c r="R325" s="517"/>
      <c r="S325" s="517"/>
      <c r="AC325" s="558"/>
      <c r="AD325" s="558"/>
      <c r="AE325" s="558"/>
    </row>
    <row r="326" spans="1:31" s="524" customFormat="1" ht="65.400000000000006" customHeight="1">
      <c r="A326" s="525"/>
      <c r="B326" s="418" t="s">
        <v>827</v>
      </c>
      <c r="C326" s="517"/>
      <c r="D326" s="517"/>
      <c r="E326" s="582"/>
      <c r="F326" s="583"/>
      <c r="G326" s="583">
        <v>0</v>
      </c>
      <c r="H326" s="583"/>
      <c r="I326" s="583"/>
      <c r="J326" s="583"/>
      <c r="K326" s="583"/>
      <c r="L326" s="583">
        <v>385408</v>
      </c>
      <c r="M326" s="583"/>
      <c r="N326" s="583"/>
      <c r="O326" s="583"/>
      <c r="P326" s="583"/>
      <c r="Q326" s="583">
        <v>0</v>
      </c>
      <c r="R326" s="583"/>
      <c r="S326" s="517"/>
      <c r="AC326" s="558"/>
      <c r="AD326" s="558"/>
      <c r="AE326" s="558"/>
    </row>
    <row r="327" spans="1:31" ht="109.8" customHeight="1">
      <c r="A327" s="498"/>
      <c r="B327" s="418" t="s">
        <v>828</v>
      </c>
      <c r="E327" s="562"/>
      <c r="F327" s="562"/>
      <c r="G327" s="562">
        <v>0</v>
      </c>
      <c r="H327" s="562"/>
      <c r="I327" s="562"/>
      <c r="J327" s="562"/>
      <c r="K327" s="562"/>
      <c r="L327" s="562">
        <v>6548</v>
      </c>
      <c r="M327" s="562"/>
      <c r="N327" s="562"/>
      <c r="O327" s="562"/>
      <c r="P327" s="562"/>
      <c r="Q327" s="562">
        <v>80886</v>
      </c>
    </row>
    <row r="328" spans="1:31" ht="52.8">
      <c r="A328" s="498"/>
      <c r="B328" s="418" t="s">
        <v>829</v>
      </c>
      <c r="C328" s="584"/>
      <c r="D328" s="585"/>
      <c r="E328" s="584"/>
      <c r="F328" s="584"/>
      <c r="G328" s="584">
        <v>20000</v>
      </c>
      <c r="H328" s="585"/>
      <c r="I328" s="585"/>
      <c r="J328" s="584"/>
      <c r="K328" s="584"/>
      <c r="L328" s="584">
        <v>0</v>
      </c>
      <c r="M328" s="585"/>
      <c r="N328" s="585"/>
      <c r="O328" s="584"/>
      <c r="P328" s="584"/>
      <c r="Q328" s="584">
        <v>0</v>
      </c>
      <c r="R328" s="585"/>
    </row>
    <row r="329" spans="1:31" s="312" customFormat="1" ht="52.8">
      <c r="A329" s="498"/>
      <c r="B329" s="418" t="s">
        <v>830</v>
      </c>
      <c r="C329" s="45"/>
      <c r="D329" s="45"/>
      <c r="E329" s="562"/>
      <c r="F329" s="584"/>
      <c r="G329" s="584">
        <v>16779</v>
      </c>
      <c r="H329" s="584"/>
      <c r="I329" s="584"/>
      <c r="J329" s="584"/>
      <c r="K329" s="584"/>
      <c r="L329" s="584">
        <v>0</v>
      </c>
      <c r="M329" s="584"/>
      <c r="N329" s="584"/>
      <c r="O329" s="584"/>
      <c r="P329" s="584"/>
      <c r="Q329" s="584">
        <v>0</v>
      </c>
      <c r="R329" s="584"/>
      <c r="S329" s="45"/>
      <c r="AC329" s="553"/>
      <c r="AD329" s="553"/>
      <c r="AE329" s="553"/>
    </row>
    <row r="330" spans="1:31" s="312" customFormat="1" ht="44.4" customHeight="1">
      <c r="A330" s="411"/>
      <c r="B330" s="940" t="s">
        <v>983</v>
      </c>
      <c r="C330" s="485"/>
      <c r="D330" s="485"/>
      <c r="E330" s="485"/>
      <c r="F330" s="485"/>
      <c r="G330" s="485">
        <v>1821894</v>
      </c>
      <c r="H330" s="485"/>
      <c r="I330" s="485"/>
      <c r="J330" s="485"/>
      <c r="K330" s="485"/>
      <c r="L330" s="485">
        <v>3160964</v>
      </c>
      <c r="M330" s="485"/>
      <c r="N330" s="485"/>
      <c r="O330" s="485"/>
      <c r="P330" s="485"/>
      <c r="Q330" s="485">
        <v>3160964</v>
      </c>
      <c r="R330" s="485"/>
      <c r="S330" s="45"/>
      <c r="AC330" s="553"/>
      <c r="AD330" s="553"/>
      <c r="AE330" s="553"/>
    </row>
    <row r="331" spans="1:31" s="312" customFormat="1" ht="52.8">
      <c r="A331" s="411"/>
      <c r="B331" s="475" t="s">
        <v>984</v>
      </c>
      <c r="C331" s="485"/>
      <c r="D331" s="485"/>
      <c r="E331" s="485"/>
      <c r="F331" s="485"/>
      <c r="G331" s="485">
        <v>650000</v>
      </c>
      <c r="H331" s="485"/>
      <c r="I331" s="485"/>
      <c r="J331" s="485"/>
      <c r="K331" s="485"/>
      <c r="L331" s="485">
        <v>650000</v>
      </c>
      <c r="M331" s="485"/>
      <c r="N331" s="485"/>
      <c r="O331" s="485"/>
      <c r="P331" s="485"/>
      <c r="Q331" s="485"/>
      <c r="R331" s="485"/>
      <c r="S331" s="45"/>
      <c r="AC331" s="553"/>
      <c r="AD331" s="553"/>
      <c r="AE331" s="553"/>
    </row>
    <row r="332" spans="1:31" s="312" customFormat="1" ht="66">
      <c r="A332" s="411"/>
      <c r="B332" s="941" t="s">
        <v>985</v>
      </c>
      <c r="C332" s="485"/>
      <c r="D332" s="485"/>
      <c r="E332" s="485"/>
      <c r="F332" s="485"/>
      <c r="G332" s="485">
        <v>70000</v>
      </c>
      <c r="H332" s="485"/>
      <c r="I332" s="485"/>
      <c r="J332" s="485"/>
      <c r="K332" s="485"/>
      <c r="L332" s="485">
        <v>70000</v>
      </c>
      <c r="M332" s="485"/>
      <c r="N332" s="485"/>
      <c r="O332" s="485"/>
      <c r="P332" s="485"/>
      <c r="Q332" s="485">
        <v>70000</v>
      </c>
      <c r="R332" s="485"/>
      <c r="S332" s="45"/>
      <c r="AC332" s="553"/>
      <c r="AD332" s="553"/>
      <c r="AE332" s="553"/>
    </row>
    <row r="333" spans="1:31" s="312" customFormat="1" ht="85.2" customHeight="1">
      <c r="A333" s="411"/>
      <c r="B333" s="940" t="s">
        <v>986</v>
      </c>
      <c r="C333" s="485"/>
      <c r="D333" s="485"/>
      <c r="E333" s="485"/>
      <c r="F333" s="485"/>
      <c r="G333" s="485">
        <v>63563</v>
      </c>
      <c r="H333" s="485"/>
      <c r="I333" s="485"/>
      <c r="J333" s="485"/>
      <c r="K333" s="485"/>
      <c r="L333" s="485">
        <v>63563</v>
      </c>
      <c r="M333" s="485"/>
      <c r="N333" s="485"/>
      <c r="O333" s="485"/>
      <c r="P333" s="485"/>
      <c r="Q333" s="485">
        <v>63563</v>
      </c>
      <c r="R333" s="485"/>
      <c r="S333" s="45"/>
      <c r="AC333" s="553"/>
      <c r="AD333" s="553"/>
      <c r="AE333" s="553"/>
    </row>
    <row r="334" spans="1:31" s="312" customFormat="1" ht="99" customHeight="1">
      <c r="A334" s="411"/>
      <c r="B334" s="475" t="s">
        <v>987</v>
      </c>
      <c r="C334" s="485"/>
      <c r="D334" s="485"/>
      <c r="E334" s="485"/>
      <c r="F334" s="485"/>
      <c r="G334" s="485">
        <v>232000</v>
      </c>
      <c r="H334" s="485"/>
      <c r="I334" s="485"/>
      <c r="J334" s="485"/>
      <c r="K334" s="485"/>
      <c r="L334" s="485">
        <v>232000</v>
      </c>
      <c r="M334" s="485"/>
      <c r="N334" s="485"/>
      <c r="O334" s="485"/>
      <c r="P334" s="485"/>
      <c r="Q334" s="485">
        <v>232000</v>
      </c>
      <c r="R334" s="485"/>
      <c r="S334" s="45"/>
      <c r="AC334" s="553"/>
      <c r="AD334" s="553"/>
      <c r="AE334" s="553"/>
    </row>
    <row r="335" spans="1:31" s="312" customFormat="1" ht="97.2" customHeight="1">
      <c r="A335" s="411"/>
      <c r="B335" s="475" t="s">
        <v>988</v>
      </c>
      <c r="C335" s="485"/>
      <c r="D335" s="485"/>
      <c r="E335" s="485"/>
      <c r="F335" s="485"/>
      <c r="G335" s="485">
        <v>107220</v>
      </c>
      <c r="H335" s="485"/>
      <c r="I335" s="485"/>
      <c r="J335" s="485"/>
      <c r="K335" s="485"/>
      <c r="L335" s="485">
        <v>274650</v>
      </c>
      <c r="M335" s="485"/>
      <c r="N335" s="485"/>
      <c r="O335" s="485"/>
      <c r="P335" s="485"/>
      <c r="Q335" s="485">
        <v>2940000</v>
      </c>
      <c r="R335" s="485"/>
      <c r="S335" s="45"/>
      <c r="AC335" s="553"/>
      <c r="AD335" s="553"/>
      <c r="AE335" s="553"/>
    </row>
    <row r="336" spans="1:31" s="312" customFormat="1" ht="39.6">
      <c r="A336" s="411"/>
      <c r="B336" s="475" t="s">
        <v>989</v>
      </c>
      <c r="C336" s="485"/>
      <c r="D336" s="485"/>
      <c r="E336" s="485"/>
      <c r="F336" s="485"/>
      <c r="G336" s="485">
        <v>20941</v>
      </c>
      <c r="H336" s="485"/>
      <c r="I336" s="485"/>
      <c r="J336" s="485"/>
      <c r="K336" s="485"/>
      <c r="L336" s="485">
        <v>16738</v>
      </c>
      <c r="M336" s="485"/>
      <c r="N336" s="485"/>
      <c r="O336" s="485"/>
      <c r="P336" s="485"/>
      <c r="Q336" s="485">
        <v>11918</v>
      </c>
      <c r="R336" s="485"/>
      <c r="S336" s="45"/>
      <c r="AC336" s="553"/>
      <c r="AD336" s="553"/>
      <c r="AE336" s="553"/>
    </row>
    <row r="337" spans="1:31" s="312" customFormat="1" ht="26.4" customHeight="1">
      <c r="A337" s="411"/>
      <c r="B337" s="475" t="s">
        <v>990</v>
      </c>
      <c r="C337" s="485"/>
      <c r="D337" s="485"/>
      <c r="E337" s="485"/>
      <c r="F337" s="485"/>
      <c r="G337" s="485">
        <v>1112595</v>
      </c>
      <c r="H337" s="485"/>
      <c r="I337" s="485"/>
      <c r="J337" s="485"/>
      <c r="K337" s="485"/>
      <c r="L337" s="485">
        <v>3372875</v>
      </c>
      <c r="M337" s="485"/>
      <c r="N337" s="485"/>
      <c r="O337" s="485"/>
      <c r="P337" s="485"/>
      <c r="Q337" s="485">
        <v>2181630</v>
      </c>
      <c r="R337" s="485"/>
      <c r="S337" s="45"/>
      <c r="AC337" s="553"/>
      <c r="AD337" s="553"/>
      <c r="AE337" s="553"/>
    </row>
    <row r="338" spans="1:31" s="312" customFormat="1" ht="39.6">
      <c r="A338" s="498"/>
      <c r="B338" s="464" t="s">
        <v>831</v>
      </c>
      <c r="C338" s="45"/>
      <c r="D338" s="45"/>
      <c r="E338" s="562"/>
      <c r="F338" s="584"/>
      <c r="G338" s="584">
        <v>800900</v>
      </c>
      <c r="H338" s="584"/>
      <c r="I338" s="584"/>
      <c r="J338" s="584"/>
      <c r="K338" s="584"/>
      <c r="L338" s="584">
        <v>0</v>
      </c>
      <c r="M338" s="584"/>
      <c r="N338" s="584"/>
      <c r="O338" s="584"/>
      <c r="P338" s="584"/>
      <c r="Q338" s="584">
        <v>0</v>
      </c>
      <c r="R338" s="584"/>
      <c r="S338" s="45"/>
      <c r="AC338" s="553"/>
      <c r="AD338" s="553"/>
      <c r="AE338" s="553"/>
    </row>
    <row r="339" spans="1:31" s="312" customFormat="1" ht="52.8">
      <c r="A339" s="498"/>
      <c r="B339" s="464" t="s">
        <v>832</v>
      </c>
      <c r="C339" s="45"/>
      <c r="D339" s="45"/>
      <c r="E339" s="562"/>
      <c r="F339" s="584"/>
      <c r="G339" s="584">
        <v>199100</v>
      </c>
      <c r="H339" s="584"/>
      <c r="I339" s="584"/>
      <c r="J339" s="584"/>
      <c r="K339" s="584"/>
      <c r="L339" s="584">
        <v>0</v>
      </c>
      <c r="M339" s="584"/>
      <c r="N339" s="584"/>
      <c r="O339" s="584"/>
      <c r="P339" s="584"/>
      <c r="Q339" s="584">
        <v>0</v>
      </c>
      <c r="R339" s="584"/>
      <c r="S339" s="45"/>
      <c r="AC339" s="553"/>
      <c r="AD339" s="553"/>
      <c r="AE339" s="553"/>
    </row>
    <row r="340" spans="1:31" s="312" customFormat="1" ht="39.6">
      <c r="A340" s="525"/>
      <c r="B340" s="828" t="s">
        <v>833</v>
      </c>
      <c r="C340" s="517"/>
      <c r="D340" s="45"/>
      <c r="E340" s="562"/>
      <c r="F340" s="584"/>
      <c r="G340" s="584">
        <v>572884</v>
      </c>
      <c r="H340" s="584"/>
      <c r="I340" s="584"/>
      <c r="J340" s="584"/>
      <c r="K340" s="584"/>
      <c r="L340" s="584">
        <v>572884</v>
      </c>
      <c r="M340" s="584"/>
      <c r="N340" s="584"/>
      <c r="O340" s="584"/>
      <c r="P340" s="584"/>
      <c r="Q340" s="584">
        <v>572884</v>
      </c>
      <c r="R340" s="584"/>
      <c r="S340" s="45"/>
      <c r="AC340" s="553"/>
      <c r="AD340" s="553"/>
      <c r="AE340" s="553"/>
    </row>
    <row r="341" spans="1:31" ht="26.4">
      <c r="A341" s="525"/>
      <c r="B341" s="828" t="s">
        <v>834</v>
      </c>
      <c r="C341" s="826"/>
      <c r="D341" s="585"/>
      <c r="E341" s="584"/>
      <c r="F341" s="815"/>
      <c r="G341" s="815">
        <v>1000000</v>
      </c>
      <c r="H341" s="816"/>
      <c r="I341" s="816"/>
      <c r="J341" s="815"/>
      <c r="K341" s="815"/>
      <c r="L341" s="815">
        <v>0</v>
      </c>
      <c r="M341" s="816"/>
      <c r="N341" s="816"/>
      <c r="O341" s="815"/>
      <c r="P341" s="815"/>
      <c r="Q341" s="815">
        <v>0</v>
      </c>
      <c r="R341" s="818"/>
    </row>
    <row r="342" spans="1:31" ht="52.8">
      <c r="A342" s="525"/>
      <c r="B342" s="828" t="s">
        <v>835</v>
      </c>
      <c r="C342" s="826"/>
      <c r="D342" s="585"/>
      <c r="E342" s="584"/>
      <c r="F342" s="815"/>
      <c r="G342" s="815">
        <v>10263</v>
      </c>
      <c r="H342" s="816"/>
      <c r="I342" s="816"/>
      <c r="J342" s="815"/>
      <c r="K342" s="815"/>
      <c r="L342" s="815">
        <v>0</v>
      </c>
      <c r="M342" s="816"/>
      <c r="N342" s="816"/>
      <c r="O342" s="815"/>
      <c r="P342" s="815"/>
      <c r="Q342" s="815">
        <v>0</v>
      </c>
      <c r="R342" s="818"/>
    </row>
    <row r="343" spans="1:31" ht="26.4">
      <c r="A343" s="525"/>
      <c r="B343" s="828" t="s">
        <v>836</v>
      </c>
      <c r="C343" s="826"/>
      <c r="D343" s="585"/>
      <c r="E343" s="584"/>
      <c r="F343" s="815"/>
      <c r="G343" s="815">
        <v>10443</v>
      </c>
      <c r="H343" s="815"/>
      <c r="I343" s="816"/>
      <c r="J343" s="815"/>
      <c r="K343" s="815"/>
      <c r="L343" s="815"/>
      <c r="M343" s="816"/>
      <c r="N343" s="816"/>
      <c r="O343" s="815"/>
      <c r="P343" s="815"/>
      <c r="Q343" s="815"/>
      <c r="R343" s="818"/>
    </row>
    <row r="344" spans="1:31" ht="39.6">
      <c r="A344" s="525"/>
      <c r="B344" s="829" t="s">
        <v>837</v>
      </c>
      <c r="C344" s="826"/>
      <c r="D344" s="585"/>
      <c r="E344" s="584"/>
      <c r="F344" s="817"/>
      <c r="G344" s="817">
        <v>1000000</v>
      </c>
      <c r="H344" s="818"/>
      <c r="I344" s="818"/>
      <c r="J344" s="817"/>
      <c r="K344" s="817"/>
      <c r="L344" s="817">
        <v>3200000</v>
      </c>
      <c r="M344" s="818"/>
      <c r="N344" s="818"/>
      <c r="O344" s="817"/>
      <c r="P344" s="817"/>
      <c r="Q344" s="817">
        <v>3200000</v>
      </c>
      <c r="R344" s="818"/>
      <c r="S344" s="819"/>
    </row>
    <row r="345" spans="1:31" s="312" customFormat="1" ht="26.4">
      <c r="A345" s="525"/>
      <c r="B345" s="829" t="s">
        <v>838</v>
      </c>
      <c r="C345" s="517"/>
      <c r="D345" s="585"/>
      <c r="E345" s="584"/>
      <c r="F345" s="584"/>
      <c r="G345" s="584">
        <v>11705713</v>
      </c>
      <c r="H345" s="584"/>
      <c r="I345" s="584"/>
      <c r="J345" s="584"/>
      <c r="K345" s="584"/>
      <c r="L345" s="584">
        <v>12099847</v>
      </c>
      <c r="M345" s="584"/>
      <c r="N345" s="584"/>
      <c r="O345" s="584"/>
      <c r="P345" s="584"/>
      <c r="Q345" s="584">
        <v>12507544</v>
      </c>
      <c r="R345" s="585"/>
      <c r="S345" s="45"/>
      <c r="AC345" s="553"/>
      <c r="AD345" s="553"/>
      <c r="AE345" s="553"/>
    </row>
    <row r="346" spans="1:31" s="312" customFormat="1" ht="26.4">
      <c r="A346" s="525"/>
      <c r="B346" s="830" t="s">
        <v>839</v>
      </c>
      <c r="C346" s="517"/>
      <c r="D346" s="585"/>
      <c r="E346" s="584"/>
      <c r="F346" s="584"/>
      <c r="G346" s="584">
        <v>9994287</v>
      </c>
      <c r="H346" s="584"/>
      <c r="I346" s="584"/>
      <c r="J346" s="584"/>
      <c r="K346" s="584"/>
      <c r="L346" s="584">
        <v>9600153</v>
      </c>
      <c r="M346" s="584"/>
      <c r="N346" s="584"/>
      <c r="O346" s="584"/>
      <c r="P346" s="584"/>
      <c r="Q346" s="584">
        <v>9192456</v>
      </c>
      <c r="R346" s="585"/>
      <c r="S346" s="45"/>
      <c r="AC346" s="553"/>
      <c r="AD346" s="553"/>
      <c r="AE346" s="553"/>
    </row>
    <row r="347" spans="1:31" ht="93.6" customHeight="1">
      <c r="A347" s="525"/>
      <c r="B347" s="831" t="s">
        <v>840</v>
      </c>
      <c r="C347" s="826"/>
      <c r="D347" s="585"/>
      <c r="E347" s="584"/>
      <c r="F347" s="815"/>
      <c r="G347" s="815">
        <v>1476000</v>
      </c>
      <c r="H347" s="815"/>
      <c r="I347" s="816"/>
      <c r="J347" s="815"/>
      <c r="K347" s="815"/>
      <c r="L347" s="815">
        <v>1476000</v>
      </c>
      <c r="M347" s="816"/>
      <c r="N347" s="816"/>
      <c r="O347" s="815"/>
      <c r="P347" s="815"/>
      <c r="Q347" s="815">
        <v>1476000</v>
      </c>
      <c r="R347" s="818"/>
    </row>
    <row r="348" spans="1:31" ht="53.4" customHeight="1">
      <c r="A348" s="496"/>
      <c r="B348" s="825" t="s">
        <v>841</v>
      </c>
      <c r="C348" s="826"/>
      <c r="D348" s="585"/>
      <c r="E348" s="584"/>
      <c r="F348" s="585"/>
      <c r="G348" s="585">
        <v>749646</v>
      </c>
      <c r="H348" s="585"/>
      <c r="I348" s="585"/>
      <c r="J348" s="584"/>
      <c r="K348" s="585"/>
      <c r="L348" s="585">
        <v>749646</v>
      </c>
      <c r="M348" s="585"/>
      <c r="N348" s="585"/>
      <c r="O348" s="584"/>
      <c r="P348" s="585"/>
      <c r="Q348" s="585">
        <v>749646</v>
      </c>
      <c r="R348" s="585"/>
    </row>
    <row r="349" spans="1:31" ht="39.6">
      <c r="A349" s="820"/>
      <c r="B349" s="407" t="s">
        <v>842</v>
      </c>
      <c r="C349" s="944"/>
      <c r="D349" s="945"/>
      <c r="E349" s="821"/>
      <c r="F349" s="821"/>
      <c r="G349" s="493">
        <v>3685299</v>
      </c>
      <c r="H349" s="493"/>
      <c r="I349" s="493"/>
      <c r="J349" s="493"/>
      <c r="K349" s="493"/>
      <c r="L349" s="493">
        <v>3648381</v>
      </c>
      <c r="M349" s="498"/>
      <c r="N349" s="498"/>
      <c r="O349" s="493"/>
      <c r="P349" s="493"/>
      <c r="Q349" s="493">
        <v>3648381</v>
      </c>
      <c r="R349" s="822"/>
    </row>
    <row r="350" spans="1:31" ht="42" customHeight="1">
      <c r="A350" s="525"/>
      <c r="B350" s="831" t="s">
        <v>843</v>
      </c>
      <c r="C350" s="826"/>
      <c r="D350" s="585"/>
      <c r="E350" s="584"/>
      <c r="F350" s="815"/>
      <c r="G350" s="815">
        <v>411961</v>
      </c>
      <c r="H350" s="816"/>
      <c r="I350" s="816"/>
      <c r="J350" s="815"/>
      <c r="K350" s="815"/>
      <c r="L350" s="815">
        <v>422614</v>
      </c>
      <c r="M350" s="816"/>
      <c r="N350" s="816"/>
      <c r="O350" s="815"/>
      <c r="P350" s="815"/>
      <c r="Q350" s="815">
        <v>422614</v>
      </c>
      <c r="R350" s="818"/>
    </row>
    <row r="351" spans="1:31" ht="66">
      <c r="A351" s="525"/>
      <c r="B351" s="831" t="s">
        <v>844</v>
      </c>
      <c r="C351" s="826"/>
      <c r="D351" s="585"/>
      <c r="E351" s="584"/>
      <c r="F351" s="815"/>
      <c r="G351" s="815">
        <v>1934</v>
      </c>
      <c r="H351" s="816"/>
      <c r="I351" s="816"/>
      <c r="J351" s="815"/>
      <c r="K351" s="815"/>
      <c r="L351" s="815">
        <v>5802</v>
      </c>
      <c r="M351" s="816"/>
      <c r="N351" s="816"/>
      <c r="O351" s="815"/>
      <c r="P351" s="815"/>
      <c r="Q351" s="815">
        <v>5802</v>
      </c>
      <c r="R351" s="818"/>
    </row>
    <row r="352" spans="1:31" ht="52.8">
      <c r="A352" s="525"/>
      <c r="B352" s="831" t="s">
        <v>845</v>
      </c>
      <c r="C352" s="826"/>
      <c r="D352" s="585"/>
      <c r="E352" s="584"/>
      <c r="F352" s="815"/>
      <c r="G352" s="815">
        <v>3829000</v>
      </c>
      <c r="H352" s="816"/>
      <c r="I352" s="816"/>
      <c r="J352" s="815"/>
      <c r="K352" s="815"/>
      <c r="L352" s="815">
        <v>11487000</v>
      </c>
      <c r="M352" s="816"/>
      <c r="N352" s="816"/>
      <c r="O352" s="815"/>
      <c r="P352" s="815"/>
      <c r="Q352" s="815">
        <v>11487000</v>
      </c>
      <c r="R352" s="818"/>
    </row>
    <row r="353" spans="1:31" ht="52.8">
      <c r="A353" s="498"/>
      <c r="B353" s="569" t="s">
        <v>846</v>
      </c>
      <c r="C353" s="584"/>
      <c r="D353" s="585"/>
      <c r="E353" s="584"/>
      <c r="F353" s="815"/>
      <c r="G353" s="815">
        <v>4663</v>
      </c>
      <c r="H353" s="816"/>
      <c r="I353" s="816"/>
      <c r="J353" s="815"/>
      <c r="K353" s="815"/>
      <c r="L353" s="815"/>
      <c r="M353" s="816"/>
      <c r="N353" s="816"/>
      <c r="O353" s="815"/>
      <c r="P353" s="815"/>
      <c r="Q353" s="815"/>
      <c r="R353" s="818"/>
    </row>
    <row r="354" spans="1:31" ht="69" customHeight="1">
      <c r="A354" s="498"/>
      <c r="B354" s="418" t="s">
        <v>847</v>
      </c>
      <c r="C354" s="584"/>
      <c r="D354" s="585"/>
      <c r="E354" s="584"/>
      <c r="F354" s="815"/>
      <c r="G354" s="815">
        <v>982384</v>
      </c>
      <c r="H354" s="815"/>
      <c r="I354" s="816"/>
      <c r="J354" s="815"/>
      <c r="K354" s="815"/>
      <c r="L354" s="815">
        <v>982384</v>
      </c>
      <c r="M354" s="816"/>
      <c r="N354" s="816"/>
      <c r="O354" s="815"/>
      <c r="P354" s="815"/>
      <c r="Q354" s="815">
        <v>982384</v>
      </c>
      <c r="R354" s="818"/>
      <c r="AC354" s="45"/>
      <c r="AD354" s="45"/>
      <c r="AE354" s="45"/>
    </row>
    <row r="355" spans="1:31" ht="51.75" customHeight="1">
      <c r="A355" s="498"/>
      <c r="B355" s="418" t="s">
        <v>848</v>
      </c>
      <c r="C355" s="584"/>
      <c r="D355" s="585"/>
      <c r="E355" s="584"/>
      <c r="F355" s="815"/>
      <c r="G355" s="815">
        <v>165663</v>
      </c>
      <c r="H355" s="816"/>
      <c r="I355" s="816"/>
      <c r="J355" s="815"/>
      <c r="K355" s="815"/>
      <c r="L355" s="815">
        <v>2613517</v>
      </c>
      <c r="M355" s="816"/>
      <c r="N355" s="816"/>
      <c r="O355" s="815"/>
      <c r="P355" s="815"/>
      <c r="Q355" s="815">
        <v>54123</v>
      </c>
      <c r="R355" s="818"/>
      <c r="AC355" s="45"/>
      <c r="AD355" s="45"/>
      <c r="AE355" s="45"/>
    </row>
    <row r="356" spans="1:31" ht="70.2" customHeight="1">
      <c r="A356" s="498"/>
      <c r="B356" s="418" t="s">
        <v>849</v>
      </c>
      <c r="C356" s="584"/>
      <c r="D356" s="585"/>
      <c r="E356" s="584"/>
      <c r="F356" s="815"/>
      <c r="G356" s="815">
        <v>253</v>
      </c>
      <c r="H356" s="816"/>
      <c r="I356" s="816"/>
      <c r="J356" s="815"/>
      <c r="K356" s="815"/>
      <c r="L356" s="815">
        <v>760</v>
      </c>
      <c r="M356" s="816"/>
      <c r="N356" s="816"/>
      <c r="O356" s="815"/>
      <c r="P356" s="815"/>
      <c r="Q356" s="815">
        <v>760</v>
      </c>
      <c r="R356" s="818"/>
      <c r="AC356" s="45"/>
      <c r="AD356" s="45"/>
      <c r="AE356" s="45"/>
    </row>
    <row r="357" spans="1:31" ht="78.75" customHeight="1">
      <c r="A357" s="498"/>
      <c r="B357" s="418" t="s">
        <v>850</v>
      </c>
      <c r="C357" s="584"/>
      <c r="D357" s="585"/>
      <c r="E357" s="584"/>
      <c r="F357" s="815"/>
      <c r="G357" s="815">
        <v>362420</v>
      </c>
      <c r="H357" s="816"/>
      <c r="I357" s="816"/>
      <c r="J357" s="815"/>
      <c r="K357" s="815"/>
      <c r="L357" s="815">
        <v>362420</v>
      </c>
      <c r="M357" s="816"/>
      <c r="N357" s="816"/>
      <c r="O357" s="815"/>
      <c r="P357" s="815"/>
      <c r="Q357" s="815">
        <v>362420</v>
      </c>
      <c r="R357" s="818"/>
      <c r="AC357" s="45"/>
      <c r="AD357" s="45"/>
      <c r="AE357" s="45"/>
    </row>
    <row r="358" spans="1:31" ht="79.2">
      <c r="A358" s="498"/>
      <c r="B358" s="418" t="s">
        <v>851</v>
      </c>
      <c r="C358" s="584"/>
      <c r="D358" s="585"/>
      <c r="E358" s="584"/>
      <c r="F358" s="815"/>
      <c r="G358" s="815">
        <v>54400</v>
      </c>
      <c r="H358" s="816"/>
      <c r="I358" s="816"/>
      <c r="J358" s="815"/>
      <c r="K358" s="815"/>
      <c r="L358" s="815">
        <v>54400</v>
      </c>
      <c r="M358" s="816"/>
      <c r="N358" s="816"/>
      <c r="O358" s="815"/>
      <c r="P358" s="815"/>
      <c r="Q358" s="815">
        <v>54400</v>
      </c>
      <c r="R358" s="818"/>
      <c r="AC358" s="45"/>
      <c r="AD358" s="45"/>
      <c r="AE358" s="45"/>
    </row>
    <row r="359" spans="1:31" ht="66">
      <c r="A359" s="498"/>
      <c r="B359" s="418" t="s">
        <v>852</v>
      </c>
      <c r="C359" s="584"/>
      <c r="D359" s="585"/>
      <c r="E359" s="584"/>
      <c r="F359" s="815"/>
      <c r="G359" s="815">
        <v>173088</v>
      </c>
      <c r="H359" s="816"/>
      <c r="I359" s="816"/>
      <c r="J359" s="815"/>
      <c r="K359" s="815"/>
      <c r="L359" s="815">
        <v>173088</v>
      </c>
      <c r="M359" s="816"/>
      <c r="N359" s="816"/>
      <c r="O359" s="815"/>
      <c r="P359" s="815"/>
      <c r="Q359" s="815">
        <v>173088</v>
      </c>
      <c r="R359" s="818"/>
      <c r="AC359" s="45"/>
      <c r="AD359" s="45"/>
      <c r="AE359" s="45"/>
    </row>
    <row r="360" spans="1:31" ht="52.8">
      <c r="A360" s="498"/>
      <c r="B360" s="418" t="s">
        <v>853</v>
      </c>
      <c r="C360" s="584"/>
      <c r="D360" s="585"/>
      <c r="E360" s="584"/>
      <c r="F360" s="815"/>
      <c r="G360" s="815">
        <v>943367</v>
      </c>
      <c r="H360" s="816"/>
      <c r="I360" s="816"/>
      <c r="J360" s="815"/>
      <c r="K360" s="815"/>
      <c r="L360" s="815">
        <v>4349383</v>
      </c>
      <c r="M360" s="816"/>
      <c r="N360" s="816"/>
      <c r="O360" s="815"/>
      <c r="P360" s="815"/>
      <c r="Q360" s="815">
        <v>6694502</v>
      </c>
      <c r="R360" s="818"/>
      <c r="AC360" s="45"/>
      <c r="AD360" s="45"/>
      <c r="AE360" s="45"/>
    </row>
    <row r="361" spans="1:31" ht="66">
      <c r="A361" s="498"/>
      <c r="B361" s="418" t="s">
        <v>854</v>
      </c>
      <c r="C361" s="584"/>
      <c r="D361" s="585"/>
      <c r="E361" s="584"/>
      <c r="F361" s="815"/>
      <c r="G361" s="815">
        <v>10000</v>
      </c>
      <c r="H361" s="816"/>
      <c r="I361" s="816"/>
      <c r="J361" s="815"/>
      <c r="K361" s="815"/>
      <c r="L361" s="815">
        <v>0</v>
      </c>
      <c r="M361" s="816"/>
      <c r="N361" s="816"/>
      <c r="O361" s="815"/>
      <c r="P361" s="815"/>
      <c r="Q361" s="815">
        <v>0</v>
      </c>
      <c r="R361" s="818"/>
      <c r="AC361" s="45"/>
      <c r="AD361" s="45"/>
      <c r="AE361" s="45"/>
    </row>
    <row r="362" spans="1:31" ht="82.2" customHeight="1">
      <c r="A362" s="498"/>
      <c r="B362" s="418" t="s">
        <v>855</v>
      </c>
      <c r="C362" s="584"/>
      <c r="D362" s="585"/>
      <c r="E362" s="584"/>
      <c r="F362" s="815"/>
      <c r="G362" s="815">
        <v>8153</v>
      </c>
      <c r="H362" s="816"/>
      <c r="I362" s="816"/>
      <c r="J362" s="815"/>
      <c r="K362" s="815"/>
      <c r="L362" s="815">
        <v>0</v>
      </c>
      <c r="M362" s="816"/>
      <c r="N362" s="816"/>
      <c r="O362" s="815"/>
      <c r="P362" s="815"/>
      <c r="Q362" s="815">
        <v>0</v>
      </c>
      <c r="R362" s="818"/>
      <c r="AC362" s="45"/>
      <c r="AD362" s="45"/>
      <c r="AE362" s="45"/>
    </row>
    <row r="363" spans="1:31" ht="26.4">
      <c r="A363" s="498"/>
      <c r="B363" s="418" t="s">
        <v>1050</v>
      </c>
      <c r="C363" s="584"/>
      <c r="D363" s="585"/>
      <c r="E363" s="584"/>
      <c r="F363" s="815"/>
      <c r="G363" s="815">
        <v>246198</v>
      </c>
      <c r="H363" s="815"/>
      <c r="I363" s="816"/>
      <c r="J363" s="815"/>
      <c r="K363" s="815"/>
      <c r="L363" s="815">
        <v>88708</v>
      </c>
      <c r="M363" s="816"/>
      <c r="N363" s="816"/>
      <c r="O363" s="815"/>
      <c r="P363" s="815"/>
      <c r="Q363" s="815">
        <v>146948</v>
      </c>
      <c r="R363" s="818"/>
      <c r="AC363" s="45"/>
      <c r="AD363" s="45"/>
      <c r="AE363" s="45"/>
    </row>
    <row r="364" spans="1:31">
      <c r="A364" s="498"/>
      <c r="B364" s="418" t="s">
        <v>1051</v>
      </c>
      <c r="C364" s="584"/>
      <c r="D364" s="585"/>
      <c r="E364" s="584"/>
      <c r="F364" s="815"/>
      <c r="G364" s="815">
        <v>462870</v>
      </c>
      <c r="H364" s="816"/>
      <c r="I364" s="816"/>
      <c r="J364" s="815"/>
      <c r="K364" s="815"/>
      <c r="L364" s="815">
        <v>462870</v>
      </c>
      <c r="M364" s="816"/>
      <c r="N364" s="816"/>
      <c r="O364" s="815"/>
      <c r="P364" s="815"/>
      <c r="Q364" s="815">
        <v>462870</v>
      </c>
      <c r="R364" s="818"/>
      <c r="AC364" s="45"/>
      <c r="AD364" s="45"/>
      <c r="AE364" s="45"/>
    </row>
    <row r="365" spans="1:31">
      <c r="A365" s="498"/>
      <c r="B365" s="418" t="s">
        <v>1052</v>
      </c>
      <c r="C365" s="584"/>
      <c r="D365" s="585"/>
      <c r="E365" s="584"/>
      <c r="F365" s="815"/>
      <c r="G365" s="815">
        <v>1612918</v>
      </c>
      <c r="H365" s="816"/>
      <c r="I365" s="816"/>
      <c r="J365" s="815"/>
      <c r="K365" s="815"/>
      <c r="L365" s="815">
        <v>1646018</v>
      </c>
      <c r="M365" s="816"/>
      <c r="N365" s="816"/>
      <c r="O365" s="815"/>
      <c r="P365" s="815"/>
      <c r="Q365" s="815">
        <v>1648018</v>
      </c>
      <c r="R365" s="818"/>
      <c r="AC365" s="45"/>
      <c r="AD365" s="45"/>
      <c r="AE365" s="45"/>
    </row>
    <row r="366" spans="1:31" ht="26.4">
      <c r="A366" s="498"/>
      <c r="B366" s="418" t="s">
        <v>1053</v>
      </c>
      <c r="C366" s="584"/>
      <c r="D366" s="585"/>
      <c r="E366" s="584"/>
      <c r="F366" s="815"/>
      <c r="G366" s="815">
        <v>150000</v>
      </c>
      <c r="H366" s="816"/>
      <c r="I366" s="816"/>
      <c r="J366" s="815"/>
      <c r="K366" s="815"/>
      <c r="L366" s="815">
        <v>150000</v>
      </c>
      <c r="M366" s="816"/>
      <c r="N366" s="816"/>
      <c r="O366" s="815"/>
      <c r="P366" s="815"/>
      <c r="Q366" s="815">
        <v>150000</v>
      </c>
      <c r="R366" s="818"/>
      <c r="AC366" s="45"/>
      <c r="AD366" s="45"/>
      <c r="AE366" s="45"/>
    </row>
    <row r="367" spans="1:31">
      <c r="A367" s="498"/>
      <c r="B367" s="418" t="s">
        <v>1054</v>
      </c>
      <c r="C367" s="584"/>
      <c r="D367" s="585"/>
      <c r="E367" s="584"/>
      <c r="F367" s="815"/>
      <c r="G367" s="815">
        <v>39266</v>
      </c>
      <c r="H367" s="816"/>
      <c r="I367" s="816"/>
      <c r="J367" s="815"/>
      <c r="K367" s="815"/>
      <c r="L367" s="815">
        <v>37330</v>
      </c>
      <c r="M367" s="816"/>
      <c r="N367" s="816"/>
      <c r="O367" s="815"/>
      <c r="P367" s="815"/>
      <c r="Q367" s="815">
        <v>0</v>
      </c>
      <c r="R367" s="818"/>
      <c r="AC367" s="45"/>
      <c r="AD367" s="45"/>
      <c r="AE367" s="45"/>
    </row>
    <row r="368" spans="1:31" ht="39.6">
      <c r="A368" s="498"/>
      <c r="B368" s="418" t="s">
        <v>1055</v>
      </c>
      <c r="C368" s="584"/>
      <c r="D368" s="585"/>
      <c r="E368" s="584"/>
      <c r="F368" s="815"/>
      <c r="G368" s="815">
        <v>79000</v>
      </c>
      <c r="H368" s="816"/>
      <c r="I368" s="816"/>
      <c r="J368" s="815"/>
      <c r="K368" s="815"/>
      <c r="L368" s="815">
        <v>5000</v>
      </c>
      <c r="M368" s="816"/>
      <c r="N368" s="816"/>
      <c r="O368" s="815"/>
      <c r="P368" s="815"/>
      <c r="Q368" s="815">
        <v>5000</v>
      </c>
      <c r="R368" s="818"/>
      <c r="AC368" s="45"/>
      <c r="AD368" s="45"/>
      <c r="AE368" s="45"/>
    </row>
    <row r="369" spans="1:31" ht="39.6">
      <c r="A369" s="498"/>
      <c r="B369" s="418" t="s">
        <v>1056</v>
      </c>
      <c r="C369" s="584"/>
      <c r="D369" s="585"/>
      <c r="E369" s="584"/>
      <c r="F369" s="815"/>
      <c r="G369" s="815">
        <v>15524</v>
      </c>
      <c r="H369" s="816"/>
      <c r="I369" s="816"/>
      <c r="J369" s="815"/>
      <c r="K369" s="815"/>
      <c r="L369" s="815">
        <v>0</v>
      </c>
      <c r="M369" s="816"/>
      <c r="N369" s="816"/>
      <c r="O369" s="815"/>
      <c r="P369" s="815"/>
      <c r="Q369" s="815">
        <v>0</v>
      </c>
      <c r="R369" s="818"/>
      <c r="AC369" s="45"/>
      <c r="AD369" s="45"/>
      <c r="AE369" s="45"/>
    </row>
    <row r="370" spans="1:31" ht="26.4">
      <c r="A370" s="498"/>
      <c r="B370" s="920" t="s">
        <v>951</v>
      </c>
      <c r="C370" s="584"/>
      <c r="D370" s="585"/>
      <c r="E370" s="584"/>
      <c r="F370" s="815"/>
      <c r="G370" s="815">
        <v>728094</v>
      </c>
      <c r="H370" s="815"/>
      <c r="I370" s="815"/>
      <c r="J370" s="815"/>
      <c r="K370" s="815"/>
      <c r="L370" s="815">
        <v>728094</v>
      </c>
      <c r="M370" s="816"/>
      <c r="N370" s="816"/>
      <c r="O370" s="815"/>
      <c r="P370" s="815"/>
      <c r="Q370" s="815">
        <v>728094</v>
      </c>
      <c r="R370" s="818"/>
      <c r="AC370" s="45"/>
      <c r="AD370" s="45"/>
      <c r="AE370" s="45"/>
    </row>
    <row r="371" spans="1:31">
      <c r="A371" s="498"/>
      <c r="B371" s="920" t="s">
        <v>952</v>
      </c>
      <c r="C371" s="584"/>
      <c r="D371" s="585"/>
      <c r="E371" s="584"/>
      <c r="F371" s="815"/>
      <c r="G371" s="815">
        <v>1500000</v>
      </c>
      <c r="H371" s="816"/>
      <c r="I371" s="816"/>
      <c r="J371" s="815"/>
      <c r="K371" s="815"/>
      <c r="L371" s="815">
        <v>1000000</v>
      </c>
      <c r="M371" s="816"/>
      <c r="N371" s="816"/>
      <c r="O371" s="815"/>
      <c r="P371" s="815"/>
      <c r="Q371" s="815">
        <v>1000000</v>
      </c>
      <c r="R371" s="818"/>
      <c r="AC371" s="45"/>
      <c r="AD371" s="45"/>
      <c r="AE371" s="45"/>
    </row>
    <row r="372" spans="1:31" ht="97.8" customHeight="1">
      <c r="A372" s="498"/>
      <c r="B372" s="920" t="s">
        <v>953</v>
      </c>
      <c r="C372" s="584"/>
      <c r="D372" s="585"/>
      <c r="E372" s="584"/>
      <c r="F372" s="815"/>
      <c r="G372" s="815">
        <v>1147588</v>
      </c>
      <c r="H372" s="816"/>
      <c r="I372" s="816"/>
      <c r="J372" s="815"/>
      <c r="K372" s="815"/>
      <c r="L372" s="815">
        <v>1694709</v>
      </c>
      <c r="M372" s="816"/>
      <c r="N372" s="816"/>
      <c r="O372" s="815"/>
      <c r="P372" s="815"/>
      <c r="Q372" s="815">
        <v>1694709</v>
      </c>
      <c r="R372" s="818"/>
      <c r="AC372" s="45"/>
      <c r="AD372" s="45"/>
      <c r="AE372" s="45"/>
    </row>
    <row r="373" spans="1:31" ht="19.2" customHeight="1">
      <c r="A373" s="498"/>
      <c r="B373" s="920" t="s">
        <v>954</v>
      </c>
      <c r="C373" s="584"/>
      <c r="D373" s="585"/>
      <c r="E373" s="584"/>
      <c r="F373" s="815"/>
      <c r="G373" s="815">
        <v>1126399</v>
      </c>
      <c r="H373" s="816"/>
      <c r="I373" s="816"/>
      <c r="J373" s="815"/>
      <c r="K373" s="815"/>
      <c r="L373" s="815">
        <v>1126399</v>
      </c>
      <c r="M373" s="816"/>
      <c r="N373" s="816"/>
      <c r="O373" s="815"/>
      <c r="P373" s="815"/>
      <c r="Q373" s="815">
        <v>1126399</v>
      </c>
      <c r="R373" s="818"/>
      <c r="AC373" s="45"/>
      <c r="AD373" s="45"/>
      <c r="AE373" s="45"/>
    </row>
    <row r="374" spans="1:31" ht="31.8" customHeight="1">
      <c r="A374" s="498"/>
      <c r="B374" s="920" t="s">
        <v>955</v>
      </c>
      <c r="C374" s="584"/>
      <c r="D374" s="585"/>
      <c r="E374" s="584"/>
      <c r="F374" s="815"/>
      <c r="G374" s="815">
        <v>28000</v>
      </c>
      <c r="H374" s="816"/>
      <c r="I374" s="816"/>
      <c r="J374" s="815"/>
      <c r="K374" s="815"/>
      <c r="L374" s="815">
        <v>28000</v>
      </c>
      <c r="M374" s="816"/>
      <c r="N374" s="816"/>
      <c r="O374" s="815"/>
      <c r="P374" s="815"/>
      <c r="Q374" s="815">
        <v>28000</v>
      </c>
      <c r="R374" s="818"/>
      <c r="AC374" s="45"/>
      <c r="AD374" s="45"/>
      <c r="AE374" s="45"/>
    </row>
    <row r="375" spans="1:31" ht="26.4">
      <c r="A375" s="498"/>
      <c r="B375" s="920" t="s">
        <v>956</v>
      </c>
      <c r="C375" s="584"/>
      <c r="D375" s="585"/>
      <c r="E375" s="584"/>
      <c r="F375" s="815"/>
      <c r="G375" s="815">
        <v>39000</v>
      </c>
      <c r="H375" s="816"/>
      <c r="I375" s="816"/>
      <c r="J375" s="815"/>
      <c r="K375" s="815"/>
      <c r="L375" s="815">
        <v>39000</v>
      </c>
      <c r="M375" s="816"/>
      <c r="N375" s="816"/>
      <c r="O375" s="815"/>
      <c r="P375" s="815"/>
      <c r="Q375" s="815">
        <v>39000</v>
      </c>
      <c r="R375" s="818"/>
      <c r="AC375" s="45"/>
      <c r="AD375" s="45"/>
      <c r="AE375" s="45"/>
    </row>
    <row r="376" spans="1:31" ht="26.4">
      <c r="A376" s="498"/>
      <c r="B376" s="920" t="s">
        <v>957</v>
      </c>
      <c r="C376" s="584"/>
      <c r="D376" s="585"/>
      <c r="E376" s="584"/>
      <c r="F376" s="815"/>
      <c r="G376" s="815">
        <v>45500</v>
      </c>
      <c r="H376" s="816"/>
      <c r="I376" s="816"/>
      <c r="J376" s="815"/>
      <c r="K376" s="815"/>
      <c r="L376" s="815">
        <v>45500</v>
      </c>
      <c r="M376" s="816"/>
      <c r="N376" s="816"/>
      <c r="O376" s="815"/>
      <c r="P376" s="815"/>
      <c r="Q376" s="815">
        <v>45500</v>
      </c>
      <c r="R376" s="818"/>
      <c r="AC376" s="45"/>
      <c r="AD376" s="45"/>
      <c r="AE376" s="45"/>
    </row>
    <row r="377" spans="1:31" ht="26.4">
      <c r="A377" s="498"/>
      <c r="B377" s="920" t="s">
        <v>958</v>
      </c>
      <c r="C377" s="584"/>
      <c r="D377" s="585"/>
      <c r="E377" s="584"/>
      <c r="F377" s="815"/>
      <c r="G377" s="815">
        <v>15500</v>
      </c>
      <c r="H377" s="816"/>
      <c r="I377" s="816"/>
      <c r="J377" s="815"/>
      <c r="K377" s="815"/>
      <c r="L377" s="815">
        <v>15500</v>
      </c>
      <c r="M377" s="816"/>
      <c r="N377" s="816"/>
      <c r="O377" s="815"/>
      <c r="P377" s="815"/>
      <c r="Q377" s="815">
        <v>15500</v>
      </c>
      <c r="R377" s="818"/>
      <c r="AC377" s="45"/>
      <c r="AD377" s="45"/>
      <c r="AE377" s="45"/>
    </row>
    <row r="378" spans="1:31" ht="26.4">
      <c r="A378" s="498"/>
      <c r="B378" s="920" t="s">
        <v>959</v>
      </c>
      <c r="C378" s="584"/>
      <c r="D378" s="585"/>
      <c r="E378" s="584"/>
      <c r="F378" s="815"/>
      <c r="G378" s="815">
        <v>2431720</v>
      </c>
      <c r="H378" s="816"/>
      <c r="I378" s="816"/>
      <c r="J378" s="815"/>
      <c r="K378" s="815"/>
      <c r="L378" s="815"/>
      <c r="M378" s="816"/>
      <c r="N378" s="816"/>
      <c r="O378" s="815"/>
      <c r="P378" s="815"/>
      <c r="Q378" s="815"/>
      <c r="R378" s="818"/>
      <c r="AC378" s="45"/>
      <c r="AD378" s="45"/>
      <c r="AE378" s="45"/>
    </row>
    <row r="379" spans="1:31" ht="31.8" customHeight="1">
      <c r="A379" s="498"/>
      <c r="B379" s="920" t="s">
        <v>960</v>
      </c>
      <c r="C379" s="584"/>
      <c r="D379" s="585"/>
      <c r="E379" s="584"/>
      <c r="F379" s="815"/>
      <c r="G379" s="815">
        <v>1638138</v>
      </c>
      <c r="H379" s="816"/>
      <c r="I379" s="816"/>
      <c r="J379" s="815"/>
      <c r="K379" s="815"/>
      <c r="L379" s="815">
        <v>3773362</v>
      </c>
      <c r="M379" s="816"/>
      <c r="N379" s="816"/>
      <c r="O379" s="815"/>
      <c r="P379" s="815"/>
      <c r="Q379" s="815"/>
      <c r="R379" s="818"/>
      <c r="AC379" s="45"/>
      <c r="AD379" s="45"/>
      <c r="AE379" s="45"/>
    </row>
    <row r="380" spans="1:31" ht="28.8" customHeight="1">
      <c r="A380" s="498"/>
      <c r="B380" s="920" t="s">
        <v>961</v>
      </c>
      <c r="C380" s="584"/>
      <c r="D380" s="585"/>
      <c r="E380" s="584"/>
      <c r="F380" s="815"/>
      <c r="G380" s="815">
        <v>541545</v>
      </c>
      <c r="H380" s="816"/>
      <c r="I380" s="816"/>
      <c r="J380" s="815"/>
      <c r="K380" s="815"/>
      <c r="L380" s="815">
        <v>1416319</v>
      </c>
      <c r="M380" s="816"/>
      <c r="N380" s="816"/>
      <c r="O380" s="815"/>
      <c r="P380" s="815"/>
      <c r="Q380" s="815">
        <v>1439251</v>
      </c>
      <c r="R380" s="818"/>
      <c r="AC380" s="45"/>
      <c r="AD380" s="45"/>
      <c r="AE380" s="45"/>
    </row>
    <row r="381" spans="1:31" ht="56.4" customHeight="1">
      <c r="A381" s="498"/>
      <c r="B381" s="920" t="s">
        <v>1057</v>
      </c>
      <c r="C381" s="584"/>
      <c r="D381" s="585"/>
      <c r="E381" s="584"/>
      <c r="F381" s="815"/>
      <c r="G381" s="815">
        <v>32243</v>
      </c>
      <c r="H381" s="816"/>
      <c r="I381" s="816"/>
      <c r="J381" s="815"/>
      <c r="K381" s="815"/>
      <c r="L381" s="815"/>
      <c r="M381" s="816"/>
      <c r="N381" s="816"/>
      <c r="O381" s="815"/>
      <c r="P381" s="815"/>
      <c r="Q381" s="815"/>
      <c r="R381" s="818"/>
      <c r="AC381" s="45"/>
      <c r="AD381" s="45"/>
      <c r="AE381" s="45"/>
    </row>
    <row r="382" spans="1:31" ht="40.200000000000003">
      <c r="A382" s="498"/>
      <c r="B382" s="376" t="s">
        <v>856</v>
      </c>
      <c r="C382" s="482"/>
      <c r="D382" s="483"/>
      <c r="E382" s="482"/>
      <c r="F382" s="483"/>
      <c r="G382" s="482">
        <v>1430</v>
      </c>
      <c r="H382" s="482"/>
      <c r="I382" s="482"/>
      <c r="J382" s="482"/>
      <c r="K382" s="482"/>
      <c r="L382" s="482">
        <v>1430</v>
      </c>
      <c r="M382" s="482"/>
      <c r="N382" s="482"/>
      <c r="O382" s="482"/>
      <c r="P382" s="482"/>
      <c r="Q382" s="482">
        <v>1430</v>
      </c>
      <c r="R382" s="482"/>
      <c r="AC382" s="45"/>
      <c r="AD382" s="45"/>
      <c r="AE382" s="45"/>
    </row>
    <row r="383" spans="1:31" ht="39.6">
      <c r="A383" s="498"/>
      <c r="B383" s="569" t="s">
        <v>857</v>
      </c>
      <c r="C383" s="584"/>
      <c r="D383" s="585"/>
      <c r="E383" s="584"/>
      <c r="F383" s="815"/>
      <c r="G383" s="815">
        <v>10000</v>
      </c>
      <c r="H383" s="816"/>
      <c r="I383" s="816"/>
      <c r="J383" s="815"/>
      <c r="K383" s="815"/>
      <c r="L383" s="815">
        <v>10000</v>
      </c>
      <c r="M383" s="816"/>
      <c r="N383" s="816"/>
      <c r="O383" s="815"/>
      <c r="P383" s="815"/>
      <c r="Q383" s="815">
        <v>10000</v>
      </c>
      <c r="R383" s="818"/>
      <c r="AC383" s="45"/>
      <c r="AD383" s="45"/>
      <c r="AE383" s="45"/>
    </row>
    <row r="384" spans="1:31" ht="39.6">
      <c r="A384" s="498"/>
      <c r="B384" s="569" t="s">
        <v>858</v>
      </c>
      <c r="C384" s="584"/>
      <c r="D384" s="585"/>
      <c r="E384" s="584"/>
      <c r="F384" s="815"/>
      <c r="G384" s="815">
        <v>17100</v>
      </c>
      <c r="H384" s="816"/>
      <c r="I384" s="816"/>
      <c r="J384" s="815"/>
      <c r="K384" s="815"/>
      <c r="L384" s="815">
        <v>17100</v>
      </c>
      <c r="M384" s="816"/>
      <c r="N384" s="816"/>
      <c r="O384" s="815"/>
      <c r="P384" s="815"/>
      <c r="Q384" s="815">
        <v>17100</v>
      </c>
      <c r="R384" s="818"/>
      <c r="AC384" s="45"/>
      <c r="AD384" s="45"/>
      <c r="AE384" s="45"/>
    </row>
    <row r="385" spans="1:31" ht="39.6">
      <c r="A385" s="498"/>
      <c r="B385" s="569" t="s">
        <v>859</v>
      </c>
      <c r="C385" s="584"/>
      <c r="D385" s="585"/>
      <c r="E385" s="584"/>
      <c r="F385" s="815"/>
      <c r="G385" s="815">
        <v>25986</v>
      </c>
      <c r="H385" s="816"/>
      <c r="I385" s="816"/>
      <c r="J385" s="815"/>
      <c r="K385" s="815"/>
      <c r="L385" s="815">
        <v>25986</v>
      </c>
      <c r="M385" s="816"/>
      <c r="N385" s="816"/>
      <c r="O385" s="815"/>
      <c r="P385" s="815"/>
      <c r="Q385" s="815">
        <v>25986</v>
      </c>
      <c r="R385" s="818"/>
      <c r="AC385" s="45"/>
      <c r="AD385" s="45"/>
      <c r="AE385" s="45"/>
    </row>
    <row r="386" spans="1:31" ht="52.8">
      <c r="A386" s="498"/>
      <c r="B386" s="569" t="s">
        <v>860</v>
      </c>
      <c r="C386" s="584"/>
      <c r="D386" s="585"/>
      <c r="E386" s="584"/>
      <c r="F386" s="815"/>
      <c r="G386" s="815">
        <v>149435</v>
      </c>
      <c r="H386" s="816"/>
      <c r="I386" s="816"/>
      <c r="J386" s="815"/>
      <c r="K386" s="815"/>
      <c r="L386" s="815">
        <v>149435</v>
      </c>
      <c r="M386" s="816"/>
      <c r="N386" s="816"/>
      <c r="O386" s="815"/>
      <c r="P386" s="815"/>
      <c r="Q386" s="815">
        <v>149435</v>
      </c>
      <c r="R386" s="818"/>
      <c r="AC386" s="45"/>
      <c r="AD386" s="45"/>
      <c r="AE386" s="45"/>
    </row>
    <row r="387" spans="1:31" ht="39.6">
      <c r="A387" s="498"/>
      <c r="B387" s="569" t="s">
        <v>861</v>
      </c>
      <c r="C387" s="584"/>
      <c r="D387" s="585"/>
      <c r="E387" s="584"/>
      <c r="F387" s="815"/>
      <c r="G387" s="815">
        <v>30000</v>
      </c>
      <c r="H387" s="816"/>
      <c r="I387" s="816"/>
      <c r="J387" s="815"/>
      <c r="K387" s="815"/>
      <c r="L387" s="815">
        <v>30000</v>
      </c>
      <c r="M387" s="816"/>
      <c r="N387" s="816"/>
      <c r="O387" s="815"/>
      <c r="P387" s="815"/>
      <c r="Q387" s="815">
        <v>30000</v>
      </c>
      <c r="R387" s="818"/>
      <c r="AC387" s="45"/>
      <c r="AD387" s="45"/>
      <c r="AE387" s="45"/>
    </row>
    <row r="388" spans="1:31" ht="39.6">
      <c r="A388" s="498"/>
      <c r="B388" s="569" t="s">
        <v>862</v>
      </c>
      <c r="C388" s="584"/>
      <c r="D388" s="585"/>
      <c r="E388" s="584"/>
      <c r="F388" s="815"/>
      <c r="G388" s="815">
        <v>20000</v>
      </c>
      <c r="H388" s="816"/>
      <c r="I388" s="816"/>
      <c r="J388" s="815"/>
      <c r="K388" s="815"/>
      <c r="L388" s="815">
        <v>20000</v>
      </c>
      <c r="M388" s="816"/>
      <c r="N388" s="816"/>
      <c r="O388" s="815"/>
      <c r="P388" s="815"/>
      <c r="Q388" s="815">
        <v>20000</v>
      </c>
      <c r="R388" s="818"/>
      <c r="AC388" s="45"/>
      <c r="AD388" s="45"/>
      <c r="AE388" s="45"/>
    </row>
    <row r="389" spans="1:31" ht="52.8">
      <c r="A389" s="498"/>
      <c r="B389" s="428" t="s">
        <v>863</v>
      </c>
      <c r="C389" s="482"/>
      <c r="D389" s="483"/>
      <c r="E389" s="482"/>
      <c r="F389" s="527"/>
      <c r="G389" s="527">
        <v>10000000</v>
      </c>
      <c r="H389" s="528"/>
      <c r="I389" s="528"/>
      <c r="J389" s="527"/>
      <c r="K389" s="527"/>
      <c r="L389" s="527">
        <v>10000000</v>
      </c>
      <c r="M389" s="528"/>
      <c r="N389" s="528"/>
      <c r="O389" s="527"/>
      <c r="P389" s="527"/>
      <c r="Q389" s="527">
        <v>10000000</v>
      </c>
      <c r="R389" s="528"/>
      <c r="AC389" s="45"/>
      <c r="AD389" s="45"/>
      <c r="AE389" s="45"/>
    </row>
    <row r="390" spans="1:31" ht="52.8">
      <c r="A390" s="498"/>
      <c r="B390" s="428" t="s">
        <v>864</v>
      </c>
      <c r="C390" s="482"/>
      <c r="D390" s="483"/>
      <c r="E390" s="482"/>
      <c r="F390" s="527"/>
      <c r="G390" s="527">
        <v>16151224</v>
      </c>
      <c r="H390" s="528"/>
      <c r="I390" s="528"/>
      <c r="J390" s="527"/>
      <c r="K390" s="527"/>
      <c r="L390" s="527">
        <v>16564252</v>
      </c>
      <c r="M390" s="528"/>
      <c r="N390" s="528"/>
      <c r="O390" s="527"/>
      <c r="P390" s="527"/>
      <c r="Q390" s="527">
        <v>16564252</v>
      </c>
      <c r="R390" s="528"/>
      <c r="AC390" s="45"/>
      <c r="AD390" s="45"/>
      <c r="AE390" s="45"/>
    </row>
    <row r="391" spans="1:31" ht="79.2">
      <c r="A391" s="498"/>
      <c r="B391" s="428" t="s">
        <v>865</v>
      </c>
      <c r="C391" s="482"/>
      <c r="D391" s="483"/>
      <c r="E391" s="482"/>
      <c r="F391" s="527"/>
      <c r="G391" s="527">
        <v>3589033</v>
      </c>
      <c r="H391" s="528"/>
      <c r="I391" s="528"/>
      <c r="J391" s="527"/>
      <c r="K391" s="527"/>
      <c r="L391" s="527">
        <v>3589033</v>
      </c>
      <c r="M391" s="528"/>
      <c r="N391" s="528"/>
      <c r="O391" s="527"/>
      <c r="P391" s="527"/>
      <c r="Q391" s="527">
        <v>3589033</v>
      </c>
      <c r="R391" s="528"/>
      <c r="AC391" s="45"/>
      <c r="AD391" s="45"/>
      <c r="AE391" s="45"/>
    </row>
    <row r="392" spans="1:31" ht="66">
      <c r="A392" s="498"/>
      <c r="B392" s="428" t="s">
        <v>866</v>
      </c>
      <c r="C392" s="482"/>
      <c r="D392" s="483"/>
      <c r="E392" s="482"/>
      <c r="F392" s="527"/>
      <c r="G392" s="527">
        <v>382970</v>
      </c>
      <c r="H392" s="528"/>
      <c r="I392" s="528"/>
      <c r="J392" s="527"/>
      <c r="K392" s="527"/>
      <c r="L392" s="527">
        <v>382970</v>
      </c>
      <c r="M392" s="528"/>
      <c r="N392" s="528"/>
      <c r="O392" s="527"/>
      <c r="P392" s="527"/>
      <c r="Q392" s="527">
        <v>382970</v>
      </c>
      <c r="R392" s="528"/>
      <c r="AC392" s="45"/>
      <c r="AD392" s="45"/>
      <c r="AE392" s="45"/>
    </row>
    <row r="393" spans="1:31" ht="52.8">
      <c r="A393" s="498"/>
      <c r="B393" s="428" t="s">
        <v>867</v>
      </c>
      <c r="C393" s="482"/>
      <c r="D393" s="483"/>
      <c r="E393" s="482"/>
      <c r="F393" s="527"/>
      <c r="G393" s="527">
        <v>678501</v>
      </c>
      <c r="H393" s="528"/>
      <c r="I393" s="528"/>
      <c r="J393" s="527"/>
      <c r="K393" s="527"/>
      <c r="L393" s="527">
        <v>678501</v>
      </c>
      <c r="M393" s="528"/>
      <c r="N393" s="528"/>
      <c r="O393" s="527"/>
      <c r="P393" s="527"/>
      <c r="Q393" s="527">
        <v>678501</v>
      </c>
      <c r="R393" s="528"/>
      <c r="AC393" s="45"/>
      <c r="AD393" s="45"/>
      <c r="AE393" s="45"/>
    </row>
    <row r="394" spans="1:31" ht="92.4">
      <c r="A394" s="498"/>
      <c r="B394" s="428" t="s">
        <v>868</v>
      </c>
      <c r="C394" s="482"/>
      <c r="D394" s="483"/>
      <c r="E394" s="482"/>
      <c r="F394" s="527"/>
      <c r="G394" s="527">
        <v>367203</v>
      </c>
      <c r="H394" s="528"/>
      <c r="I394" s="528"/>
      <c r="J394" s="527"/>
      <c r="K394" s="527"/>
      <c r="L394" s="527">
        <v>367203</v>
      </c>
      <c r="M394" s="528"/>
      <c r="N394" s="528"/>
      <c r="O394" s="527"/>
      <c r="P394" s="527"/>
      <c r="Q394" s="527">
        <v>367203</v>
      </c>
      <c r="R394" s="528"/>
      <c r="AC394" s="45"/>
      <c r="AD394" s="45"/>
      <c r="AE394" s="45"/>
    </row>
    <row r="395" spans="1:31" ht="79.2">
      <c r="A395" s="498"/>
      <c r="B395" s="428" t="s">
        <v>869</v>
      </c>
      <c r="C395" s="482"/>
      <c r="D395" s="483"/>
      <c r="E395" s="482"/>
      <c r="F395" s="527"/>
      <c r="G395" s="527">
        <v>356382</v>
      </c>
      <c r="H395" s="528"/>
      <c r="I395" s="528"/>
      <c r="J395" s="527"/>
      <c r="K395" s="527"/>
      <c r="L395" s="527">
        <v>712764</v>
      </c>
      <c r="M395" s="528"/>
      <c r="N395" s="528"/>
      <c r="O395" s="527"/>
      <c r="P395" s="527"/>
      <c r="Q395" s="527">
        <v>712764</v>
      </c>
      <c r="R395" s="528"/>
      <c r="AC395" s="45"/>
      <c r="AD395" s="45"/>
      <c r="AE395" s="45"/>
    </row>
    <row r="396" spans="1:31" ht="52.8">
      <c r="A396" s="498"/>
      <c r="B396" s="428" t="s">
        <v>871</v>
      </c>
      <c r="C396" s="482"/>
      <c r="D396" s="483"/>
      <c r="E396" s="482"/>
      <c r="F396" s="527"/>
      <c r="G396" s="527">
        <v>4984399</v>
      </c>
      <c r="H396" s="528"/>
      <c r="I396" s="528"/>
      <c r="J396" s="527"/>
      <c r="K396" s="527"/>
      <c r="L396" s="527">
        <v>7649238</v>
      </c>
      <c r="M396" s="528"/>
      <c r="N396" s="528"/>
      <c r="O396" s="527"/>
      <c r="P396" s="527"/>
      <c r="Q396" s="527">
        <v>4405122</v>
      </c>
      <c r="R396" s="528"/>
      <c r="AC396" s="45"/>
      <c r="AD396" s="45"/>
      <c r="AE396" s="45"/>
    </row>
    <row r="397" spans="1:31" ht="52.8">
      <c r="A397" s="498"/>
      <c r="B397" s="428" t="s">
        <v>870</v>
      </c>
      <c r="C397" s="482"/>
      <c r="D397" s="483"/>
      <c r="E397" s="482"/>
      <c r="F397" s="527"/>
      <c r="G397" s="527">
        <v>6087960</v>
      </c>
      <c r="H397" s="528"/>
      <c r="I397" s="528"/>
      <c r="J397" s="527"/>
      <c r="K397" s="527"/>
      <c r="L397" s="527">
        <v>6655772</v>
      </c>
      <c r="M397" s="528"/>
      <c r="N397" s="528"/>
      <c r="O397" s="527"/>
      <c r="P397" s="527"/>
      <c r="Q397" s="527">
        <v>5892896</v>
      </c>
      <c r="R397" s="528"/>
      <c r="AC397" s="45"/>
      <c r="AD397" s="45"/>
      <c r="AE397" s="45"/>
    </row>
    <row r="398" spans="1:31" ht="52.8">
      <c r="A398" s="498"/>
      <c r="B398" s="428" t="s">
        <v>872</v>
      </c>
      <c r="C398" s="482"/>
      <c r="D398" s="483"/>
      <c r="E398" s="482"/>
      <c r="F398" s="527"/>
      <c r="G398" s="527">
        <v>704109</v>
      </c>
      <c r="H398" s="528"/>
      <c r="I398" s="528"/>
      <c r="J398" s="527"/>
      <c r="K398" s="527"/>
      <c r="L398" s="527">
        <v>704109</v>
      </c>
      <c r="M398" s="528"/>
      <c r="N398" s="528"/>
      <c r="O398" s="527"/>
      <c r="P398" s="527"/>
      <c r="Q398" s="527">
        <v>704109</v>
      </c>
      <c r="R398" s="528"/>
      <c r="AC398" s="45"/>
      <c r="AD398" s="45"/>
      <c r="AE398" s="45"/>
    </row>
    <row r="399" spans="1:31" ht="39.6">
      <c r="A399" s="498"/>
      <c r="B399" s="428" t="s">
        <v>873</v>
      </c>
      <c r="C399" s="482"/>
      <c r="D399" s="483"/>
      <c r="E399" s="482"/>
      <c r="F399" s="527"/>
      <c r="G399" s="527">
        <v>747484</v>
      </c>
      <c r="H399" s="528"/>
      <c r="I399" s="528"/>
      <c r="J399" s="527"/>
      <c r="K399" s="527"/>
      <c r="L399" s="527">
        <v>747484</v>
      </c>
      <c r="M399" s="528"/>
      <c r="N399" s="528"/>
      <c r="O399" s="527"/>
      <c r="P399" s="527"/>
      <c r="Q399" s="527">
        <v>747484</v>
      </c>
      <c r="R399" s="528"/>
      <c r="AC399" s="45"/>
      <c r="AD399" s="45"/>
      <c r="AE399" s="45"/>
    </row>
    <row r="400" spans="1:31" ht="66">
      <c r="A400" s="498"/>
      <c r="B400" s="428" t="s">
        <v>874</v>
      </c>
      <c r="C400" s="482"/>
      <c r="D400" s="483"/>
      <c r="E400" s="482"/>
      <c r="F400" s="527"/>
      <c r="G400" s="527">
        <v>708162</v>
      </c>
      <c r="H400" s="528"/>
      <c r="I400" s="528"/>
      <c r="J400" s="527"/>
      <c r="K400" s="527"/>
      <c r="L400" s="527">
        <v>708162</v>
      </c>
      <c r="M400" s="528"/>
      <c r="N400" s="528"/>
      <c r="O400" s="527"/>
      <c r="P400" s="527"/>
      <c r="Q400" s="527">
        <v>708162</v>
      </c>
      <c r="R400" s="528"/>
      <c r="AC400" s="45"/>
      <c r="AD400" s="45"/>
      <c r="AE400" s="45"/>
    </row>
    <row r="401" spans="1:31" ht="52.8">
      <c r="A401" s="498"/>
      <c r="B401" s="428" t="s">
        <v>875</v>
      </c>
      <c r="C401" s="482"/>
      <c r="D401" s="483"/>
      <c r="E401" s="482"/>
      <c r="F401" s="527"/>
      <c r="G401" s="527">
        <v>0</v>
      </c>
      <c r="H401" s="528"/>
      <c r="I401" s="528"/>
      <c r="J401" s="527"/>
      <c r="K401" s="527"/>
      <c r="L401" s="527">
        <v>0</v>
      </c>
      <c r="M401" s="528"/>
      <c r="N401" s="528"/>
      <c r="O401" s="527"/>
      <c r="P401" s="527"/>
      <c r="Q401" s="527">
        <v>560000</v>
      </c>
      <c r="R401" s="528"/>
      <c r="AC401" s="45"/>
      <c r="AD401" s="45"/>
      <c r="AE401" s="45"/>
    </row>
    <row r="402" spans="1:31" ht="63.75" customHeight="1">
      <c r="A402" s="498"/>
      <c r="B402" s="428" t="s">
        <v>876</v>
      </c>
      <c r="C402" s="482"/>
      <c r="D402" s="483"/>
      <c r="E402" s="482"/>
      <c r="F402" s="527"/>
      <c r="G402" s="527">
        <v>0</v>
      </c>
      <c r="H402" s="528"/>
      <c r="I402" s="528"/>
      <c r="J402" s="527"/>
      <c r="K402" s="527"/>
      <c r="L402" s="527">
        <v>0</v>
      </c>
      <c r="M402" s="528"/>
      <c r="N402" s="528"/>
      <c r="O402" s="527"/>
      <c r="P402" s="527"/>
      <c r="Q402" s="527">
        <v>3446992</v>
      </c>
      <c r="R402" s="528"/>
      <c r="AC402" s="45"/>
      <c r="AD402" s="45"/>
      <c r="AE402" s="45"/>
    </row>
    <row r="403" spans="1:31" ht="79.2">
      <c r="A403" s="498"/>
      <c r="B403" s="428" t="s">
        <v>877</v>
      </c>
      <c r="C403" s="482"/>
      <c r="D403" s="483"/>
      <c r="E403" s="482"/>
      <c r="F403" s="527"/>
      <c r="G403" s="527">
        <v>72439</v>
      </c>
      <c r="H403" s="528"/>
      <c r="I403" s="528"/>
      <c r="J403" s="527"/>
      <c r="K403" s="527"/>
      <c r="L403" s="527">
        <v>0</v>
      </c>
      <c r="M403" s="528"/>
      <c r="N403" s="528"/>
      <c r="O403" s="527"/>
      <c r="P403" s="527"/>
      <c r="Q403" s="527">
        <v>0</v>
      </c>
      <c r="R403" s="528"/>
      <c r="AC403" s="45"/>
      <c r="AD403" s="45"/>
      <c r="AE403" s="45"/>
    </row>
    <row r="404" spans="1:31" ht="39.6">
      <c r="A404" s="498"/>
      <c r="B404" s="428" t="s">
        <v>878</v>
      </c>
      <c r="C404" s="482"/>
      <c r="D404" s="483"/>
      <c r="E404" s="482"/>
      <c r="F404" s="527"/>
      <c r="G404" s="527">
        <v>32100</v>
      </c>
      <c r="H404" s="528"/>
      <c r="I404" s="528"/>
      <c r="J404" s="527"/>
      <c r="K404" s="527"/>
      <c r="L404" s="527">
        <v>415307</v>
      </c>
      <c r="M404" s="528"/>
      <c r="N404" s="528"/>
      <c r="O404" s="527"/>
      <c r="P404" s="527"/>
      <c r="Q404" s="527">
        <v>0</v>
      </c>
      <c r="R404" s="528"/>
      <c r="AC404" s="45"/>
      <c r="AD404" s="45"/>
      <c r="AE404" s="45"/>
    </row>
    <row r="405" spans="1:31" ht="92.4">
      <c r="A405" s="498"/>
      <c r="B405" s="428" t="s">
        <v>879</v>
      </c>
      <c r="C405" s="482"/>
      <c r="D405" s="483"/>
      <c r="E405" s="482"/>
      <c r="F405" s="527"/>
      <c r="G405" s="527">
        <v>0</v>
      </c>
      <c r="H405" s="528"/>
      <c r="I405" s="528"/>
      <c r="J405" s="527"/>
      <c r="K405" s="527"/>
      <c r="L405" s="527">
        <v>8500</v>
      </c>
      <c r="M405" s="528"/>
      <c r="N405" s="528"/>
      <c r="O405" s="527"/>
      <c r="P405" s="527"/>
      <c r="Q405" s="527">
        <v>65000</v>
      </c>
      <c r="R405" s="528"/>
      <c r="AC405" s="45"/>
      <c r="AD405" s="45"/>
      <c r="AE405" s="45"/>
    </row>
    <row r="406" spans="1:31" ht="52.8">
      <c r="A406" s="525"/>
      <c r="B406" s="824" t="s">
        <v>880</v>
      </c>
      <c r="C406" s="491"/>
      <c r="D406" s="483"/>
      <c r="E406" s="482"/>
      <c r="F406" s="527"/>
      <c r="G406" s="527">
        <v>1932</v>
      </c>
      <c r="H406" s="528"/>
      <c r="I406" s="528"/>
      <c r="J406" s="527"/>
      <c r="K406" s="527"/>
      <c r="L406" s="527">
        <v>0</v>
      </c>
      <c r="M406" s="528"/>
      <c r="N406" s="528"/>
      <c r="O406" s="527"/>
      <c r="P406" s="527"/>
      <c r="Q406" s="527">
        <v>0</v>
      </c>
      <c r="R406" s="528"/>
      <c r="AC406" s="45"/>
      <c r="AD406" s="45"/>
      <c r="AE406" s="45"/>
    </row>
    <row r="407" spans="1:31" ht="66" customHeight="1">
      <c r="A407" s="525"/>
      <c r="B407" s="825" t="s">
        <v>881</v>
      </c>
      <c r="C407" s="826"/>
      <c r="D407" s="585"/>
      <c r="E407" s="584"/>
      <c r="F407" s="815"/>
      <c r="G407" s="815">
        <v>30000</v>
      </c>
      <c r="H407" s="816"/>
      <c r="I407" s="816"/>
      <c r="J407" s="815"/>
      <c r="K407" s="815"/>
      <c r="L407" s="815">
        <v>40000</v>
      </c>
      <c r="M407" s="816"/>
      <c r="N407" s="816"/>
      <c r="O407" s="815"/>
      <c r="P407" s="815"/>
      <c r="Q407" s="815">
        <v>18000</v>
      </c>
      <c r="R407" s="818"/>
      <c r="AC407" s="45"/>
      <c r="AD407" s="45"/>
      <c r="AE407" s="45"/>
    </row>
    <row r="408" spans="1:31" ht="39.6">
      <c r="A408" s="525"/>
      <c r="B408" s="825" t="s">
        <v>882</v>
      </c>
      <c r="C408" s="826"/>
      <c r="D408" s="585"/>
      <c r="E408" s="584"/>
      <c r="F408" s="815"/>
      <c r="G408" s="815">
        <v>65780</v>
      </c>
      <c r="H408" s="816"/>
      <c r="I408" s="816"/>
      <c r="J408" s="815"/>
      <c r="K408" s="815"/>
      <c r="L408" s="815">
        <v>65780</v>
      </c>
      <c r="M408" s="816"/>
      <c r="N408" s="816"/>
      <c r="O408" s="815"/>
      <c r="P408" s="815"/>
      <c r="Q408" s="815">
        <v>65780</v>
      </c>
      <c r="R408" s="818"/>
      <c r="AC408" s="45"/>
      <c r="AD408" s="45"/>
      <c r="AE408" s="45"/>
    </row>
    <row r="409" spans="1:31" ht="39.6">
      <c r="A409" s="525"/>
      <c r="B409" s="825" t="s">
        <v>883</v>
      </c>
      <c r="C409" s="826"/>
      <c r="D409" s="585"/>
      <c r="E409" s="584"/>
      <c r="F409" s="815"/>
      <c r="G409" s="815">
        <v>23460</v>
      </c>
      <c r="H409" s="816"/>
      <c r="I409" s="816"/>
      <c r="J409" s="815"/>
      <c r="K409" s="815"/>
      <c r="L409" s="815">
        <v>23460</v>
      </c>
      <c r="M409" s="816"/>
      <c r="N409" s="816"/>
      <c r="O409" s="815"/>
      <c r="P409" s="815"/>
      <c r="Q409" s="815">
        <v>23460</v>
      </c>
      <c r="R409" s="818"/>
      <c r="AC409" s="45"/>
      <c r="AD409" s="45"/>
      <c r="AE409" s="45"/>
    </row>
    <row r="410" spans="1:31" ht="39.6">
      <c r="A410" s="525"/>
      <c r="B410" s="825" t="s">
        <v>884</v>
      </c>
      <c r="C410" s="826"/>
      <c r="D410" s="585"/>
      <c r="E410" s="584"/>
      <c r="F410" s="815"/>
      <c r="G410" s="815">
        <v>8000</v>
      </c>
      <c r="H410" s="816"/>
      <c r="I410" s="816"/>
      <c r="J410" s="815"/>
      <c r="K410" s="815"/>
      <c r="L410" s="815">
        <v>8000</v>
      </c>
      <c r="M410" s="816"/>
      <c r="N410" s="816"/>
      <c r="O410" s="815"/>
      <c r="P410" s="815"/>
      <c r="Q410" s="815">
        <v>8000</v>
      </c>
      <c r="R410" s="818"/>
      <c r="AC410" s="45"/>
      <c r="AD410" s="45"/>
      <c r="AE410" s="45"/>
    </row>
    <row r="411" spans="1:31" ht="52.8">
      <c r="A411" s="525"/>
      <c r="B411" s="827" t="s">
        <v>885</v>
      </c>
      <c r="C411" s="826"/>
      <c r="D411" s="585"/>
      <c r="E411" s="584"/>
      <c r="F411" s="815"/>
      <c r="G411" s="815">
        <v>45000</v>
      </c>
      <c r="H411" s="816"/>
      <c r="I411" s="816"/>
      <c r="J411" s="815"/>
      <c r="K411" s="815"/>
      <c r="L411" s="815"/>
      <c r="M411" s="816"/>
      <c r="N411" s="816"/>
      <c r="O411" s="815"/>
      <c r="P411" s="815"/>
      <c r="Q411" s="815"/>
      <c r="R411" s="818"/>
      <c r="AC411" s="45"/>
      <c r="AD411" s="45"/>
      <c r="AE411" s="45"/>
    </row>
    <row r="412" spans="1:31" ht="39.6">
      <c r="A412" s="525"/>
      <c r="B412" s="827" t="s">
        <v>886</v>
      </c>
      <c r="C412" s="826"/>
      <c r="D412" s="585"/>
      <c r="E412" s="584"/>
      <c r="F412" s="815"/>
      <c r="G412" s="815">
        <v>66000</v>
      </c>
      <c r="H412" s="816"/>
      <c r="I412" s="816"/>
      <c r="J412" s="815"/>
      <c r="K412" s="815"/>
      <c r="L412" s="815"/>
      <c r="M412" s="816"/>
      <c r="N412" s="816"/>
      <c r="O412" s="815"/>
      <c r="P412" s="815"/>
      <c r="Q412" s="815"/>
      <c r="R412" s="818"/>
      <c r="AC412" s="45"/>
      <c r="AD412" s="45"/>
      <c r="AE412" s="45"/>
    </row>
    <row r="413" spans="1:31" ht="26.4">
      <c r="A413" s="525"/>
      <c r="B413" s="475" t="s">
        <v>887</v>
      </c>
      <c r="C413" s="491"/>
      <c r="D413" s="483"/>
      <c r="E413" s="482"/>
      <c r="F413" s="483"/>
      <c r="G413" s="482">
        <v>216948</v>
      </c>
      <c r="H413" s="483"/>
      <c r="I413" s="483"/>
      <c r="J413" s="482"/>
      <c r="K413" s="483"/>
      <c r="L413" s="483"/>
      <c r="M413" s="483"/>
      <c r="N413" s="483"/>
      <c r="O413" s="482"/>
      <c r="P413" s="483"/>
      <c r="Q413" s="483"/>
      <c r="R413" s="483"/>
      <c r="AC413" s="45"/>
      <c r="AD413" s="45"/>
      <c r="AE413" s="45"/>
    </row>
    <row r="414" spans="1:31">
      <c r="A414" s="525"/>
      <c r="B414" s="475" t="s">
        <v>888</v>
      </c>
      <c r="C414" s="491"/>
      <c r="D414" s="483"/>
      <c r="E414" s="482"/>
      <c r="F414" s="483"/>
      <c r="G414" s="482">
        <v>102738</v>
      </c>
      <c r="H414" s="483"/>
      <c r="I414" s="483"/>
      <c r="J414" s="482"/>
      <c r="K414" s="483"/>
      <c r="L414" s="482">
        <v>935988</v>
      </c>
      <c r="M414" s="483"/>
      <c r="N414" s="483"/>
      <c r="O414" s="482"/>
      <c r="P414" s="483"/>
      <c r="Q414" s="483"/>
      <c r="R414" s="483"/>
      <c r="AC414" s="45"/>
      <c r="AD414" s="45"/>
      <c r="AE414" s="45"/>
    </row>
    <row r="415" spans="1:31" ht="26.4">
      <c r="A415" s="525"/>
      <c r="B415" s="823" t="s">
        <v>894</v>
      </c>
      <c r="C415" s="491"/>
      <c r="D415" s="483"/>
      <c r="E415" s="482"/>
      <c r="F415" s="483"/>
      <c r="G415" s="483"/>
      <c r="H415" s="483"/>
      <c r="I415" s="483"/>
      <c r="J415" s="482"/>
      <c r="K415" s="483"/>
      <c r="L415" s="482">
        <v>55610</v>
      </c>
      <c r="M415" s="483"/>
      <c r="N415" s="483"/>
      <c r="O415" s="482"/>
      <c r="P415" s="483"/>
      <c r="Q415" s="482">
        <v>176355</v>
      </c>
      <c r="R415" s="483"/>
      <c r="AC415" s="45"/>
      <c r="AD415" s="45"/>
      <c r="AE415" s="45"/>
    </row>
    <row r="416" spans="1:31" ht="26.4">
      <c r="A416" s="525"/>
      <c r="B416" s="475" t="s">
        <v>893</v>
      </c>
      <c r="C416" s="491"/>
      <c r="D416" s="483"/>
      <c r="E416" s="482"/>
      <c r="F416" s="483"/>
      <c r="G416" s="482">
        <v>43541</v>
      </c>
      <c r="H416" s="483"/>
      <c r="I416" s="483"/>
      <c r="J416" s="482"/>
      <c r="K416" s="483"/>
      <c r="L416" s="482">
        <v>43541</v>
      </c>
      <c r="M416" s="483"/>
      <c r="N416" s="483"/>
      <c r="O416" s="482"/>
      <c r="P416" s="483"/>
      <c r="Q416" s="482">
        <v>43541</v>
      </c>
      <c r="R416" s="483"/>
      <c r="AC416" s="45"/>
      <c r="AD416" s="45"/>
      <c r="AE416" s="45"/>
    </row>
    <row r="417" spans="1:31" ht="26.4">
      <c r="A417" s="525"/>
      <c r="B417" s="475" t="s">
        <v>892</v>
      </c>
      <c r="C417" s="491"/>
      <c r="D417" s="483"/>
      <c r="E417" s="482"/>
      <c r="F417" s="483"/>
      <c r="G417" s="482">
        <v>405000</v>
      </c>
      <c r="H417" s="483"/>
      <c r="I417" s="483"/>
      <c r="J417" s="482"/>
      <c r="K417" s="483"/>
      <c r="L417" s="482">
        <v>405000</v>
      </c>
      <c r="M417" s="483"/>
      <c r="N417" s="483"/>
      <c r="O417" s="482"/>
      <c r="P417" s="483"/>
      <c r="Q417" s="482">
        <v>405000</v>
      </c>
      <c r="R417" s="483"/>
      <c r="AC417" s="45"/>
      <c r="AD417" s="45"/>
      <c r="AE417" s="45"/>
    </row>
    <row r="418" spans="1:31" ht="39.6">
      <c r="A418" s="414"/>
      <c r="B418" s="475" t="s">
        <v>889</v>
      </c>
      <c r="C418" s="491"/>
      <c r="D418" s="483"/>
      <c r="E418" s="482"/>
      <c r="F418" s="483"/>
      <c r="G418" s="482">
        <v>50000</v>
      </c>
      <c r="H418" s="483"/>
      <c r="I418" s="483"/>
      <c r="J418" s="482"/>
      <c r="K418" s="483"/>
      <c r="L418" s="482">
        <v>50000</v>
      </c>
      <c r="M418" s="483"/>
      <c r="N418" s="483"/>
      <c r="O418" s="482"/>
      <c r="P418" s="483"/>
      <c r="Q418" s="482">
        <v>50000</v>
      </c>
      <c r="R418" s="483"/>
      <c r="AC418" s="45"/>
      <c r="AD418" s="45"/>
      <c r="AE418" s="45"/>
    </row>
    <row r="419" spans="1:31" ht="26.4">
      <c r="A419" s="414"/>
      <c r="B419" s="475" t="s">
        <v>890</v>
      </c>
      <c r="C419" s="491"/>
      <c r="D419" s="483"/>
      <c r="E419" s="482"/>
      <c r="F419" s="483"/>
      <c r="G419" s="482">
        <v>350000</v>
      </c>
      <c r="H419" s="483"/>
      <c r="I419" s="483"/>
      <c r="J419" s="482"/>
      <c r="K419" s="483"/>
      <c r="L419" s="482">
        <v>350000</v>
      </c>
      <c r="M419" s="483"/>
      <c r="N419" s="483"/>
      <c r="O419" s="482"/>
      <c r="P419" s="483"/>
      <c r="Q419" s="482">
        <v>350000</v>
      </c>
      <c r="R419" s="483"/>
      <c r="AC419" s="45"/>
      <c r="AD419" s="45"/>
      <c r="AE419" s="45"/>
    </row>
    <row r="420" spans="1:31" ht="26.4">
      <c r="A420" s="377"/>
      <c r="B420" s="376" t="s">
        <v>891</v>
      </c>
      <c r="C420" s="482"/>
      <c r="D420" s="483"/>
      <c r="E420" s="482"/>
      <c r="F420" s="483"/>
      <c r="G420" s="482">
        <v>269312</v>
      </c>
      <c r="H420" s="483"/>
      <c r="I420" s="483"/>
      <c r="J420" s="482"/>
      <c r="K420" s="483"/>
      <c r="L420" s="482">
        <v>269312</v>
      </c>
      <c r="M420" s="483"/>
      <c r="N420" s="483"/>
      <c r="O420" s="482"/>
      <c r="P420" s="483"/>
      <c r="Q420" s="482">
        <v>269312</v>
      </c>
      <c r="R420" s="483"/>
      <c r="AC420" s="45"/>
      <c r="AD420" s="45"/>
      <c r="AE420" s="45"/>
    </row>
    <row r="421" spans="1:31" ht="26.4">
      <c r="A421" s="377"/>
      <c r="B421" s="376" t="s">
        <v>1015</v>
      </c>
      <c r="C421" s="482"/>
      <c r="D421" s="483"/>
      <c r="E421" s="482"/>
      <c r="F421" s="483"/>
      <c r="G421" s="482">
        <v>1403499</v>
      </c>
      <c r="H421" s="483"/>
      <c r="I421" s="483"/>
      <c r="J421" s="482"/>
      <c r="K421" s="483"/>
      <c r="L421" s="482">
        <v>1403499</v>
      </c>
      <c r="M421" s="483"/>
      <c r="N421" s="483"/>
      <c r="O421" s="482"/>
      <c r="P421" s="483"/>
      <c r="Q421" s="482">
        <v>1403499</v>
      </c>
      <c r="R421" s="483"/>
      <c r="AC421" s="45"/>
      <c r="AD421" s="45"/>
      <c r="AE421" s="45"/>
    </row>
    <row r="422" spans="1:31" ht="26.4">
      <c r="A422" s="377"/>
      <c r="B422" s="376" t="s">
        <v>1016</v>
      </c>
      <c r="C422" s="482"/>
      <c r="D422" s="483"/>
      <c r="E422" s="482"/>
      <c r="F422" s="483"/>
      <c r="G422" s="482">
        <v>3280000</v>
      </c>
      <c r="H422" s="483"/>
      <c r="I422" s="483"/>
      <c r="J422" s="482"/>
      <c r="K422" s="483"/>
      <c r="L422" s="482">
        <v>9840000</v>
      </c>
      <c r="M422" s="483"/>
      <c r="N422" s="483"/>
      <c r="O422" s="482"/>
      <c r="P422" s="483"/>
      <c r="Q422" s="482">
        <v>9840000</v>
      </c>
      <c r="R422" s="483"/>
      <c r="AC422" s="45"/>
      <c r="AD422" s="45"/>
      <c r="AE422" s="45"/>
    </row>
    <row r="423" spans="1:31" ht="26.4">
      <c r="A423" s="377"/>
      <c r="B423" s="376" t="s">
        <v>1017</v>
      </c>
      <c r="C423" s="482"/>
      <c r="D423" s="483"/>
      <c r="E423" s="482"/>
      <c r="F423" s="483"/>
      <c r="G423" s="482">
        <v>491396</v>
      </c>
      <c r="H423" s="482"/>
      <c r="I423" s="482"/>
      <c r="J423" s="482"/>
      <c r="K423" s="482"/>
      <c r="L423" s="482">
        <v>491396</v>
      </c>
      <c r="M423" s="482"/>
      <c r="N423" s="482"/>
      <c r="O423" s="482"/>
      <c r="P423" s="482"/>
      <c r="Q423" s="482">
        <v>491396</v>
      </c>
      <c r="R423" s="483"/>
      <c r="AC423" s="45"/>
      <c r="AD423" s="45"/>
      <c r="AE423" s="45"/>
    </row>
    <row r="424" spans="1:31">
      <c r="A424" s="377"/>
      <c r="B424" s="376" t="s">
        <v>1086</v>
      </c>
      <c r="C424" s="482"/>
      <c r="D424" s="482"/>
      <c r="E424" s="482"/>
      <c r="F424" s="482"/>
      <c r="G424" s="482">
        <f>-7331031</f>
        <v>-7331031</v>
      </c>
      <c r="H424" s="482"/>
      <c r="I424" s="482"/>
      <c r="J424" s="482"/>
      <c r="K424" s="482"/>
      <c r="L424" s="482">
        <f>-20383069</f>
        <v>-20383069</v>
      </c>
      <c r="M424" s="482"/>
      <c r="N424" s="482"/>
      <c r="O424" s="482"/>
      <c r="P424" s="482"/>
      <c r="Q424" s="482">
        <f>-39405634</f>
        <v>-39405634</v>
      </c>
      <c r="R424" s="482"/>
      <c r="AC424" s="45"/>
      <c r="AD424" s="45"/>
      <c r="AE424" s="45"/>
    </row>
    <row r="425" spans="1:31" ht="26.4">
      <c r="A425" s="377"/>
      <c r="B425" s="376" t="s">
        <v>1087</v>
      </c>
      <c r="C425" s="482"/>
      <c r="D425" s="482"/>
      <c r="E425" s="482"/>
      <c r="F425" s="482"/>
      <c r="G425" s="482">
        <f>-502606</f>
        <v>-502606</v>
      </c>
      <c r="H425" s="482"/>
      <c r="I425" s="482"/>
      <c r="J425" s="482"/>
      <c r="K425" s="482"/>
      <c r="L425" s="482">
        <f>-736790</f>
        <v>-736790</v>
      </c>
      <c r="M425" s="482"/>
      <c r="N425" s="482"/>
      <c r="O425" s="482"/>
      <c r="P425" s="482"/>
      <c r="Q425" s="482">
        <f>-707872</f>
        <v>-707872</v>
      </c>
      <c r="R425" s="482"/>
      <c r="AC425" s="45"/>
      <c r="AD425" s="45"/>
      <c r="AE425" s="45"/>
    </row>
    <row r="426" spans="1:31" ht="14.25" customHeight="1">
      <c r="A426" s="377"/>
      <c r="B426" s="376"/>
      <c r="E426" s="562"/>
      <c r="F426" s="562"/>
      <c r="G426" s="562"/>
      <c r="H426" s="562"/>
      <c r="I426" s="562"/>
      <c r="J426" s="562"/>
      <c r="K426" s="562"/>
      <c r="L426" s="562"/>
      <c r="M426" s="562"/>
      <c r="N426" s="562"/>
      <c r="O426" s="562"/>
      <c r="P426" s="562"/>
      <c r="Q426" s="562"/>
      <c r="AC426" s="45"/>
      <c r="AD426" s="45"/>
      <c r="AE426" s="45"/>
    </row>
    <row r="427" spans="1:31" ht="14.25" customHeight="1">
      <c r="A427" s="377"/>
      <c r="B427" s="376"/>
      <c r="E427" s="562"/>
      <c r="F427" s="562"/>
      <c r="G427" s="562"/>
      <c r="H427" s="562"/>
      <c r="I427" s="562"/>
      <c r="J427" s="562"/>
      <c r="K427" s="562"/>
      <c r="L427" s="562"/>
      <c r="M427" s="562"/>
      <c r="N427" s="562"/>
      <c r="O427" s="562"/>
      <c r="P427" s="562"/>
      <c r="Q427" s="562"/>
      <c r="AC427" s="45"/>
      <c r="AD427" s="45"/>
      <c r="AE427" s="45"/>
    </row>
    <row r="428" spans="1:31" ht="67.2" customHeight="1">
      <c r="A428" s="377"/>
      <c r="B428" s="475" t="s">
        <v>898</v>
      </c>
      <c r="C428" s="517"/>
      <c r="E428" s="562"/>
      <c r="F428" s="562">
        <v>-165538</v>
      </c>
      <c r="G428" s="562"/>
      <c r="H428" s="562"/>
      <c r="I428" s="562"/>
      <c r="J428" s="562"/>
      <c r="K428" s="562">
        <v>80990</v>
      </c>
      <c r="L428" s="562"/>
      <c r="M428" s="562"/>
      <c r="N428" s="562"/>
      <c r="O428" s="562"/>
      <c r="P428" s="562">
        <v>84548</v>
      </c>
      <c r="Q428" s="562"/>
      <c r="AC428" s="45"/>
      <c r="AD428" s="45"/>
      <c r="AE428" s="45"/>
    </row>
    <row r="429" spans="1:31" ht="66">
      <c r="A429" s="377"/>
      <c r="B429" s="376" t="s">
        <v>1088</v>
      </c>
      <c r="C429" s="165"/>
      <c r="D429" s="163"/>
      <c r="E429" s="165"/>
      <c r="F429" s="541">
        <v>-6298</v>
      </c>
      <c r="G429" s="541"/>
      <c r="H429" s="540"/>
      <c r="I429" s="540"/>
      <c r="J429" s="540"/>
      <c r="K429" s="541">
        <v>-6298</v>
      </c>
      <c r="L429" s="541"/>
      <c r="M429" s="540"/>
      <c r="N429" s="540"/>
      <c r="O429" s="540"/>
      <c r="P429" s="541">
        <v>18894</v>
      </c>
      <c r="Q429" s="562"/>
      <c r="AC429" s="45"/>
      <c r="AD429" s="45"/>
      <c r="AE429" s="45"/>
    </row>
    <row r="430" spans="1:31" ht="57" customHeight="1">
      <c r="A430" s="459"/>
      <c r="B430" s="825" t="s">
        <v>1005</v>
      </c>
      <c r="C430" s="826"/>
      <c r="D430" s="585"/>
      <c r="E430" s="584"/>
      <c r="F430" s="585">
        <v>1492</v>
      </c>
      <c r="G430" s="585"/>
      <c r="H430" s="585"/>
      <c r="I430" s="585"/>
      <c r="J430" s="584"/>
      <c r="K430" s="585">
        <v>1492</v>
      </c>
      <c r="L430" s="585"/>
      <c r="M430" s="585"/>
      <c r="N430" s="585"/>
      <c r="O430" s="584"/>
      <c r="P430" s="585">
        <v>1492</v>
      </c>
      <c r="Q430" s="585"/>
      <c r="R430" s="585"/>
    </row>
    <row r="431" spans="1:31" ht="79.2">
      <c r="A431" s="377"/>
      <c r="B431" s="829" t="s">
        <v>900</v>
      </c>
      <c r="C431" s="517"/>
      <c r="E431" s="562"/>
      <c r="F431" s="562">
        <v>142740</v>
      </c>
      <c r="G431" s="562"/>
      <c r="H431" s="562"/>
      <c r="I431" s="562"/>
      <c r="J431" s="562"/>
      <c r="K431" s="562">
        <v>131300</v>
      </c>
      <c r="L431" s="562"/>
      <c r="M431" s="562"/>
      <c r="N431" s="562"/>
      <c r="O431" s="562"/>
      <c r="P431" s="562">
        <v>131300</v>
      </c>
      <c r="Q431" s="562"/>
      <c r="AC431" s="45"/>
      <c r="AD431" s="45"/>
      <c r="AE431" s="45"/>
    </row>
    <row r="432" spans="1:31" ht="52.8">
      <c r="A432" s="377"/>
      <c r="B432" s="825" t="s">
        <v>905</v>
      </c>
      <c r="C432" s="517"/>
      <c r="E432" s="562"/>
      <c r="F432" s="562">
        <v>6600</v>
      </c>
      <c r="G432" s="562"/>
      <c r="H432" s="562"/>
      <c r="I432" s="562"/>
      <c r="J432" s="562"/>
      <c r="K432" s="562">
        <v>6600</v>
      </c>
      <c r="L432" s="562"/>
      <c r="M432" s="562"/>
      <c r="N432" s="562"/>
      <c r="O432" s="562"/>
      <c r="P432" s="562">
        <v>6600</v>
      </c>
      <c r="Q432" s="562"/>
      <c r="AC432" s="45"/>
      <c r="AD432" s="45"/>
      <c r="AE432" s="45"/>
    </row>
    <row r="433" spans="1:31" ht="64.5" customHeight="1">
      <c r="A433" s="377"/>
      <c r="B433" s="825" t="s">
        <v>906</v>
      </c>
      <c r="C433" s="517"/>
      <c r="E433" s="562"/>
      <c r="F433" s="562">
        <v>85058</v>
      </c>
      <c r="G433" s="562"/>
      <c r="H433" s="562"/>
      <c r="I433" s="562"/>
      <c r="J433" s="562"/>
      <c r="K433" s="562">
        <v>85058</v>
      </c>
      <c r="L433" s="562"/>
      <c r="M433" s="562"/>
      <c r="N433" s="562"/>
      <c r="O433" s="562"/>
      <c r="P433" s="562">
        <v>85058</v>
      </c>
      <c r="Q433" s="562"/>
      <c r="AC433" s="45"/>
      <c r="AD433" s="45"/>
      <c r="AE433" s="45"/>
    </row>
    <row r="434" spans="1:31" ht="78.75" customHeight="1">
      <c r="A434" s="377"/>
      <c r="B434" s="825" t="s">
        <v>907</v>
      </c>
      <c r="C434" s="517"/>
      <c r="E434" s="562"/>
      <c r="F434" s="562">
        <v>1260118</v>
      </c>
      <c r="G434" s="562"/>
      <c r="H434" s="562"/>
      <c r="I434" s="562"/>
      <c r="J434" s="562"/>
      <c r="K434" s="562">
        <v>1260118</v>
      </c>
      <c r="L434" s="562"/>
      <c r="M434" s="562"/>
      <c r="N434" s="562"/>
      <c r="O434" s="562"/>
      <c r="P434" s="562">
        <v>1260118</v>
      </c>
      <c r="Q434" s="562"/>
      <c r="AC434" s="45"/>
      <c r="AD434" s="45"/>
      <c r="AE434" s="45"/>
    </row>
    <row r="435" spans="1:31" ht="66">
      <c r="A435" s="377"/>
      <c r="B435" s="825" t="s">
        <v>908</v>
      </c>
      <c r="C435" s="517"/>
      <c r="E435" s="562"/>
      <c r="F435" s="562">
        <v>3400</v>
      </c>
      <c r="G435" s="562"/>
      <c r="H435" s="562"/>
      <c r="I435" s="562"/>
      <c r="J435" s="562"/>
      <c r="K435" s="562">
        <v>3400</v>
      </c>
      <c r="L435" s="562"/>
      <c r="M435" s="562"/>
      <c r="N435" s="562"/>
      <c r="O435" s="562"/>
      <c r="P435" s="562">
        <v>3400</v>
      </c>
      <c r="Q435" s="562"/>
      <c r="AC435" s="45"/>
      <c r="AD435" s="45"/>
      <c r="AE435" s="45"/>
    </row>
    <row r="436" spans="1:31" ht="52.8">
      <c r="A436" s="377"/>
      <c r="B436" s="825" t="s">
        <v>909</v>
      </c>
      <c r="C436" s="517"/>
      <c r="E436" s="562"/>
      <c r="F436" s="562">
        <v>8640</v>
      </c>
      <c r="G436" s="562"/>
      <c r="H436" s="562"/>
      <c r="I436" s="562"/>
      <c r="J436" s="562"/>
      <c r="K436" s="562">
        <v>0</v>
      </c>
      <c r="L436" s="562"/>
      <c r="M436" s="562"/>
      <c r="N436" s="562"/>
      <c r="O436" s="562"/>
      <c r="P436" s="562">
        <v>0</v>
      </c>
      <c r="Q436" s="562"/>
      <c r="AC436" s="45"/>
      <c r="AD436" s="45"/>
      <c r="AE436" s="45"/>
    </row>
    <row r="437" spans="1:31" ht="39.6">
      <c r="A437" s="377"/>
      <c r="B437" s="825" t="s">
        <v>1059</v>
      </c>
      <c r="C437" s="517"/>
      <c r="E437" s="562"/>
      <c r="F437" s="562">
        <v>-200000</v>
      </c>
      <c r="G437" s="562"/>
      <c r="H437" s="562"/>
      <c r="I437" s="562"/>
      <c r="J437" s="562"/>
      <c r="K437" s="562">
        <v>-200000</v>
      </c>
      <c r="L437" s="562"/>
      <c r="M437" s="562"/>
      <c r="N437" s="562"/>
      <c r="O437" s="562"/>
      <c r="P437" s="562">
        <v>-200000</v>
      </c>
      <c r="Q437" s="562"/>
      <c r="AC437" s="45"/>
      <c r="AD437" s="45"/>
      <c r="AE437" s="45"/>
    </row>
    <row r="438" spans="1:31" ht="132">
      <c r="A438" s="377"/>
      <c r="B438" s="824" t="s">
        <v>911</v>
      </c>
      <c r="C438" s="491"/>
      <c r="D438" s="483"/>
      <c r="E438" s="808">
        <v>-1512</v>
      </c>
      <c r="F438" s="808"/>
      <c r="G438" s="808"/>
      <c r="H438" s="809"/>
      <c r="I438" s="809"/>
      <c r="J438" s="808">
        <v>-1512</v>
      </c>
      <c r="K438" s="808"/>
      <c r="L438" s="808"/>
      <c r="M438" s="809"/>
      <c r="N438" s="809"/>
      <c r="O438" s="808">
        <v>-1512</v>
      </c>
      <c r="P438" s="808"/>
      <c r="Q438" s="808"/>
      <c r="AC438" s="45"/>
      <c r="AD438" s="45"/>
      <c r="AE438" s="45"/>
    </row>
    <row r="439" spans="1:31" ht="14.25" customHeight="1">
      <c r="A439" s="377"/>
      <c r="B439" s="833"/>
      <c r="E439" s="562"/>
      <c r="F439" s="562"/>
      <c r="G439" s="562"/>
      <c r="H439" s="562"/>
      <c r="I439" s="562"/>
      <c r="J439" s="562"/>
      <c r="K439" s="562"/>
      <c r="L439" s="562"/>
      <c r="M439" s="562"/>
      <c r="N439" s="562"/>
      <c r="O439" s="562"/>
      <c r="P439" s="562"/>
      <c r="Q439" s="562"/>
      <c r="AC439" s="45"/>
      <c r="AD439" s="45"/>
      <c r="AE439" s="45"/>
    </row>
    <row r="440" spans="1:31" ht="26.4" customHeight="1">
      <c r="A440" s="377"/>
      <c r="B440" s="490" t="s">
        <v>296</v>
      </c>
      <c r="C440" s="487"/>
      <c r="D440" s="487"/>
      <c r="E440" s="580"/>
      <c r="F440" s="581">
        <f>SUM(F441:F442)</f>
        <v>0</v>
      </c>
      <c r="G440" s="581">
        <f>SUM(G441:G442)</f>
        <v>90000</v>
      </c>
      <c r="H440" s="581"/>
      <c r="I440" s="581"/>
      <c r="J440" s="581"/>
      <c r="K440" s="581">
        <f>SUM(K441:K442)</f>
        <v>0</v>
      </c>
      <c r="L440" s="581">
        <f>SUM(L441:L442)</f>
        <v>7686</v>
      </c>
      <c r="M440" s="581"/>
      <c r="N440" s="581"/>
      <c r="O440" s="581"/>
      <c r="P440" s="581">
        <f>SUM(P441:P442)</f>
        <v>0</v>
      </c>
      <c r="Q440" s="581"/>
      <c r="R440" s="487"/>
      <c r="AC440" s="45"/>
      <c r="AD440" s="45"/>
      <c r="AE440" s="45"/>
    </row>
    <row r="441" spans="1:31" s="312" customFormat="1" ht="45" customHeight="1">
      <c r="A441" s="377"/>
      <c r="B441" s="484" t="s">
        <v>895</v>
      </c>
      <c r="C441" s="482"/>
      <c r="D441" s="483"/>
      <c r="E441" s="482"/>
      <c r="F441" s="482"/>
      <c r="G441" s="946">
        <v>90000</v>
      </c>
      <c r="H441" s="947"/>
      <c r="I441" s="947"/>
      <c r="J441" s="948"/>
      <c r="K441" s="948"/>
      <c r="L441" s="946">
        <v>7686</v>
      </c>
      <c r="M441" s="949"/>
      <c r="N441" s="949"/>
      <c r="O441" s="482"/>
      <c r="P441" s="482"/>
      <c r="Q441" s="482"/>
      <c r="R441" s="483"/>
      <c r="S441" s="45"/>
    </row>
    <row r="442" spans="1:31">
      <c r="A442" s="377"/>
      <c r="B442" s="477"/>
      <c r="C442" s="491"/>
      <c r="D442" s="492"/>
      <c r="E442" s="491"/>
      <c r="F442" s="491"/>
      <c r="G442" s="491"/>
      <c r="H442" s="492"/>
      <c r="I442" s="492"/>
      <c r="J442" s="491"/>
      <c r="K442" s="491"/>
      <c r="L442" s="491"/>
      <c r="M442" s="492"/>
      <c r="N442" s="492"/>
      <c r="O442" s="491"/>
      <c r="P442" s="491"/>
      <c r="Q442" s="491"/>
      <c r="AC442" s="45"/>
      <c r="AD442" s="45"/>
      <c r="AE442" s="45"/>
    </row>
    <row r="443" spans="1:31" ht="27.75" customHeight="1">
      <c r="A443" s="377"/>
      <c r="B443" s="490" t="s">
        <v>297</v>
      </c>
      <c r="C443" s="487"/>
      <c r="D443" s="487"/>
      <c r="E443" s="581">
        <f>SUM(E444:E449)</f>
        <v>131979</v>
      </c>
      <c r="F443" s="581">
        <f>SUM(F444:F449)</f>
        <v>0</v>
      </c>
      <c r="G443" s="581">
        <f>SUM(G444:G449)</f>
        <v>0</v>
      </c>
      <c r="H443" s="581"/>
      <c r="I443" s="581"/>
      <c r="J443" s="581">
        <f>SUM(J444:J449)</f>
        <v>-72315</v>
      </c>
      <c r="K443" s="581">
        <f>SUM(K444:K449)</f>
        <v>0</v>
      </c>
      <c r="L443" s="581">
        <f>SUM(L444:L449)</f>
        <v>0</v>
      </c>
      <c r="M443" s="581"/>
      <c r="N443" s="581"/>
      <c r="O443" s="581">
        <f>SUM(O444:O449)</f>
        <v>-72315</v>
      </c>
      <c r="P443" s="581">
        <f>SUM(P444:P449)</f>
        <v>0</v>
      </c>
      <c r="Q443" s="581"/>
      <c r="R443" s="487"/>
      <c r="AC443" s="45"/>
      <c r="AD443" s="45"/>
      <c r="AE443" s="45"/>
    </row>
    <row r="444" spans="1:31" ht="43.2" customHeight="1">
      <c r="A444" s="377"/>
      <c r="B444" s="376" t="s">
        <v>897</v>
      </c>
      <c r="E444" s="562">
        <v>65170</v>
      </c>
      <c r="F444" s="562"/>
      <c r="G444" s="562"/>
      <c r="H444" s="562"/>
      <c r="I444" s="562"/>
      <c r="J444" s="562"/>
      <c r="K444" s="562"/>
      <c r="L444" s="562"/>
      <c r="M444" s="562"/>
      <c r="N444" s="562"/>
      <c r="O444" s="562"/>
      <c r="P444" s="562"/>
      <c r="Q444" s="562"/>
      <c r="AC444" s="45"/>
      <c r="AD444" s="45"/>
      <c r="AE444" s="45"/>
    </row>
    <row r="445" spans="1:31" ht="33" customHeight="1">
      <c r="A445" s="377"/>
      <c r="B445" s="376" t="s">
        <v>1014</v>
      </c>
      <c r="E445" s="485">
        <v>133664</v>
      </c>
      <c r="F445" s="562"/>
      <c r="G445" s="562"/>
      <c r="H445" s="562"/>
      <c r="I445" s="562"/>
      <c r="J445" s="562"/>
      <c r="K445" s="562"/>
      <c r="L445" s="562"/>
      <c r="M445" s="562"/>
      <c r="N445" s="562"/>
      <c r="O445" s="562"/>
      <c r="P445" s="562"/>
      <c r="Q445" s="562"/>
      <c r="AC445" s="45"/>
      <c r="AD445" s="45"/>
      <c r="AE445" s="45"/>
    </row>
    <row r="446" spans="1:31" ht="96" customHeight="1">
      <c r="A446" s="377"/>
      <c r="B446" s="428" t="s">
        <v>910</v>
      </c>
      <c r="C446" s="482"/>
      <c r="D446" s="483"/>
      <c r="E446" s="808">
        <v>-72315</v>
      </c>
      <c r="F446" s="808"/>
      <c r="G446" s="808"/>
      <c r="H446" s="809"/>
      <c r="I446" s="809"/>
      <c r="J446" s="808">
        <v>-72315</v>
      </c>
      <c r="K446" s="808"/>
      <c r="L446" s="808"/>
      <c r="M446" s="809"/>
      <c r="N446" s="809"/>
      <c r="O446" s="808">
        <v>-72315</v>
      </c>
      <c r="P446" s="808"/>
      <c r="Q446" s="808"/>
      <c r="AC446" s="45"/>
      <c r="AD446" s="45"/>
      <c r="AE446" s="45"/>
    </row>
    <row r="447" spans="1:31" ht="79.2">
      <c r="A447" s="377"/>
      <c r="B447" s="825" t="s">
        <v>912</v>
      </c>
      <c r="E447" s="562">
        <v>5460</v>
      </c>
      <c r="F447" s="562"/>
      <c r="G447" s="562"/>
      <c r="H447" s="562"/>
      <c r="I447" s="562"/>
      <c r="J447" s="562"/>
      <c r="K447" s="562"/>
      <c r="L447" s="562"/>
      <c r="M447" s="562"/>
      <c r="N447" s="562"/>
      <c r="O447" s="562"/>
      <c r="P447" s="562"/>
      <c r="Q447" s="562"/>
      <c r="AC447" s="45"/>
      <c r="AD447" s="45"/>
      <c r="AE447" s="45"/>
    </row>
    <row r="448" spans="1:31" ht="14.25" customHeight="1">
      <c r="A448" s="377"/>
      <c r="B448" s="376"/>
      <c r="E448" s="562"/>
      <c r="F448" s="562"/>
      <c r="G448" s="562"/>
      <c r="H448" s="562"/>
      <c r="I448" s="562"/>
      <c r="J448" s="562"/>
      <c r="K448" s="562"/>
      <c r="L448" s="562"/>
      <c r="M448" s="562"/>
      <c r="N448" s="562"/>
      <c r="O448" s="562"/>
      <c r="P448" s="562"/>
      <c r="Q448" s="562"/>
      <c r="AC448" s="45"/>
      <c r="AD448" s="45"/>
      <c r="AE448" s="45"/>
    </row>
    <row r="449" spans="1:31" ht="14.25" customHeight="1">
      <c r="A449" s="377"/>
      <c r="B449" s="376"/>
      <c r="E449" s="562"/>
      <c r="F449" s="562"/>
      <c r="G449" s="562"/>
      <c r="H449" s="562"/>
      <c r="I449" s="562"/>
      <c r="J449" s="562"/>
      <c r="K449" s="562"/>
      <c r="L449" s="562"/>
      <c r="M449" s="562"/>
      <c r="N449" s="562"/>
      <c r="O449" s="562"/>
      <c r="P449" s="562"/>
      <c r="Q449" s="562"/>
      <c r="AC449" s="45"/>
      <c r="AD449" s="45"/>
      <c r="AE449" s="45"/>
    </row>
    <row r="450" spans="1:31">
      <c r="A450" s="369" t="s">
        <v>245</v>
      </c>
      <c r="B450" s="370" t="s">
        <v>140</v>
      </c>
      <c r="E450" s="562"/>
      <c r="F450" s="562"/>
      <c r="G450" s="562"/>
      <c r="H450" s="562"/>
      <c r="I450" s="562"/>
      <c r="J450" s="562"/>
      <c r="K450" s="562"/>
      <c r="L450" s="562"/>
      <c r="M450" s="562"/>
      <c r="N450" s="562"/>
      <c r="O450" s="562"/>
      <c r="P450" s="562"/>
      <c r="Q450" s="562"/>
      <c r="AC450" s="45"/>
      <c r="AD450" s="45"/>
      <c r="AE450" s="45"/>
    </row>
    <row r="451" spans="1:31">
      <c r="A451" s="371"/>
      <c r="B451" s="372" t="s">
        <v>238</v>
      </c>
      <c r="E451" s="562"/>
      <c r="F451" s="562"/>
      <c r="G451" s="562"/>
      <c r="H451" s="562"/>
      <c r="I451" s="562"/>
      <c r="J451" s="562"/>
      <c r="K451" s="562"/>
      <c r="L451" s="562"/>
      <c r="M451" s="562"/>
      <c r="N451" s="562"/>
      <c r="O451" s="562"/>
      <c r="P451" s="562"/>
      <c r="Q451" s="562"/>
      <c r="AC451" s="45"/>
      <c r="AD451" s="45"/>
      <c r="AE451" s="45"/>
    </row>
    <row r="452" spans="1:31">
      <c r="A452" s="373" t="s">
        <v>223</v>
      </c>
      <c r="B452" s="374" t="s">
        <v>434</v>
      </c>
      <c r="E452" s="579">
        <f>E453+E454+E480+E484+E495</f>
        <v>1005526</v>
      </c>
      <c r="F452" s="579">
        <f>F453+F454+F480+F484+F495</f>
        <v>0</v>
      </c>
      <c r="G452" s="579"/>
      <c r="H452" s="579"/>
      <c r="I452" s="579"/>
      <c r="J452" s="579">
        <f>J453+J454+J480+J484+J495</f>
        <v>703555</v>
      </c>
      <c r="K452" s="579">
        <f>K453+K454+K480+K484+K495</f>
        <v>0</v>
      </c>
      <c r="L452" s="579"/>
      <c r="M452" s="579"/>
      <c r="N452" s="579"/>
      <c r="O452" s="579">
        <f>O453+O454+O480+O484+O495</f>
        <v>255589</v>
      </c>
      <c r="P452" s="579">
        <f>P453+P454+P480+P484+P495</f>
        <v>0</v>
      </c>
      <c r="Q452" s="579"/>
      <c r="R452" s="339"/>
      <c r="AC452" s="45"/>
      <c r="AD452" s="45"/>
      <c r="AE452" s="45"/>
    </row>
    <row r="453" spans="1:31" ht="26.4">
      <c r="A453" s="375"/>
      <c r="B453" s="490" t="s">
        <v>307</v>
      </c>
      <c r="C453" s="487"/>
      <c r="D453" s="487"/>
      <c r="E453" s="581">
        <f>-E454</f>
        <v>-9621029</v>
      </c>
      <c r="F453" s="581">
        <f t="shared" ref="F453:P453" si="157">-F454</f>
        <v>0</v>
      </c>
      <c r="G453" s="581"/>
      <c r="H453" s="581"/>
      <c r="I453" s="581"/>
      <c r="J453" s="581">
        <f t="shared" si="157"/>
        <v>-21816577</v>
      </c>
      <c r="K453" s="581">
        <f t="shared" si="157"/>
        <v>0</v>
      </c>
      <c r="L453" s="581"/>
      <c r="M453" s="581"/>
      <c r="N453" s="581"/>
      <c r="O453" s="581">
        <f t="shared" si="157"/>
        <v>-5707882</v>
      </c>
      <c r="P453" s="581">
        <f t="shared" si="157"/>
        <v>0</v>
      </c>
      <c r="Q453" s="581"/>
      <c r="R453" s="487"/>
      <c r="AC453" s="45"/>
      <c r="AD453" s="45"/>
      <c r="AE453" s="45"/>
    </row>
    <row r="454" spans="1:31">
      <c r="A454" s="377"/>
      <c r="B454" s="490" t="s">
        <v>319</v>
      </c>
      <c r="C454" s="487"/>
      <c r="D454" s="487"/>
      <c r="E454" s="581">
        <f t="shared" ref="E454:R454" si="158">SUM(E455:E474)</f>
        <v>9621029</v>
      </c>
      <c r="F454" s="581">
        <f t="shared" si="158"/>
        <v>0</v>
      </c>
      <c r="G454" s="581">
        <f t="shared" si="158"/>
        <v>0</v>
      </c>
      <c r="H454" s="581">
        <f t="shared" si="158"/>
        <v>0</v>
      </c>
      <c r="I454" s="581">
        <f t="shared" si="158"/>
        <v>0</v>
      </c>
      <c r="J454" s="581">
        <f t="shared" si="158"/>
        <v>21816577</v>
      </c>
      <c r="K454" s="581">
        <f t="shared" si="158"/>
        <v>0</v>
      </c>
      <c r="L454" s="581">
        <f t="shared" si="158"/>
        <v>0</v>
      </c>
      <c r="M454" s="581">
        <f t="shared" si="158"/>
        <v>0</v>
      </c>
      <c r="N454" s="581">
        <f t="shared" si="158"/>
        <v>0</v>
      </c>
      <c r="O454" s="581">
        <f t="shared" si="158"/>
        <v>5707882</v>
      </c>
      <c r="P454" s="581">
        <f t="shared" si="158"/>
        <v>0</v>
      </c>
      <c r="Q454" s="581">
        <f t="shared" si="158"/>
        <v>0</v>
      </c>
      <c r="R454" s="581">
        <f t="shared" si="158"/>
        <v>0</v>
      </c>
      <c r="AC454" s="45"/>
      <c r="AD454" s="45"/>
      <c r="AE454" s="45"/>
    </row>
    <row r="455" spans="1:31" ht="28.8" customHeight="1">
      <c r="A455" s="498"/>
      <c r="B455" s="418" t="s">
        <v>1006</v>
      </c>
      <c r="C455" s="584"/>
      <c r="D455" s="585"/>
      <c r="E455" s="584">
        <v>2265007</v>
      </c>
      <c r="F455" s="585"/>
      <c r="G455" s="585"/>
      <c r="H455" s="585"/>
      <c r="I455" s="585"/>
      <c r="J455" s="584">
        <v>2873774</v>
      </c>
      <c r="K455" s="585"/>
      <c r="L455" s="585"/>
      <c r="M455" s="585"/>
      <c r="N455" s="585"/>
      <c r="O455" s="584">
        <v>3034184</v>
      </c>
      <c r="P455" s="585"/>
      <c r="Q455" s="585"/>
      <c r="R455" s="585"/>
      <c r="AC455" s="45"/>
      <c r="AD455" s="45"/>
      <c r="AE455" s="45"/>
    </row>
    <row r="456" spans="1:31" ht="54.6" customHeight="1">
      <c r="A456" s="498"/>
      <c r="B456" s="475" t="s">
        <v>1007</v>
      </c>
      <c r="C456" s="482"/>
      <c r="D456" s="483"/>
      <c r="E456" s="482">
        <v>6500</v>
      </c>
      <c r="F456" s="485"/>
      <c r="G456" s="485"/>
      <c r="H456" s="482"/>
      <c r="I456" s="482"/>
      <c r="J456" s="482"/>
      <c r="K456" s="482"/>
      <c r="L456" s="482"/>
      <c r="M456" s="482"/>
      <c r="N456" s="482"/>
      <c r="O456" s="482"/>
      <c r="P456" s="482"/>
      <c r="Q456" s="482"/>
      <c r="R456" s="482"/>
      <c r="AC456" s="45"/>
      <c r="AD456" s="45"/>
      <c r="AE456" s="45"/>
    </row>
    <row r="457" spans="1:31" ht="80.400000000000006" customHeight="1">
      <c r="A457" s="498"/>
      <c r="B457" s="418" t="s">
        <v>991</v>
      </c>
      <c r="C457" s="584"/>
      <c r="D457" s="585"/>
      <c r="E457" s="584">
        <v>12890</v>
      </c>
      <c r="F457" s="562"/>
      <c r="G457" s="562"/>
      <c r="H457" s="562"/>
      <c r="I457" s="562"/>
      <c r="J457" s="562"/>
      <c r="K457" s="562"/>
      <c r="L457" s="562"/>
      <c r="M457" s="562"/>
      <c r="N457" s="562"/>
      <c r="O457" s="562"/>
      <c r="P457" s="562"/>
      <c r="Q457" s="562"/>
    </row>
    <row r="458" spans="1:31" ht="82.8" customHeight="1">
      <c r="A458" s="498"/>
      <c r="B458" s="418" t="s">
        <v>991</v>
      </c>
      <c r="E458" s="482">
        <v>25977</v>
      </c>
      <c r="F458" s="562"/>
      <c r="G458" s="562"/>
      <c r="H458" s="562"/>
      <c r="I458" s="562"/>
      <c r="J458" s="562"/>
      <c r="K458" s="562"/>
      <c r="L458" s="562"/>
      <c r="M458" s="562"/>
      <c r="N458" s="562"/>
      <c r="O458" s="562"/>
      <c r="P458" s="562"/>
      <c r="Q458" s="562"/>
    </row>
    <row r="459" spans="1:31" ht="55.2" customHeight="1">
      <c r="A459" s="498"/>
      <c r="B459" s="958" t="s">
        <v>1013</v>
      </c>
      <c r="C459" s="957"/>
      <c r="D459" s="832"/>
      <c r="E459" s="1352">
        <f>-1474286+73</f>
        <v>-1474213</v>
      </c>
      <c r="F459" s="832"/>
      <c r="G459" s="832"/>
      <c r="H459" s="832"/>
      <c r="I459" s="832"/>
      <c r="J459" s="832">
        <v>-620539</v>
      </c>
      <c r="K459" s="832"/>
      <c r="L459" s="832"/>
      <c r="M459" s="832"/>
      <c r="N459" s="832"/>
      <c r="O459" s="832">
        <v>-335022</v>
      </c>
      <c r="P459" s="832"/>
      <c r="Q459" s="832"/>
      <c r="R459" s="832"/>
    </row>
    <row r="460" spans="1:31" s="312" customFormat="1" ht="71.400000000000006" customHeight="1">
      <c r="A460" s="498"/>
      <c r="B460" s="428" t="s">
        <v>992</v>
      </c>
      <c r="C460" s="482"/>
      <c r="D460" s="483"/>
      <c r="E460" s="950">
        <v>1050000</v>
      </c>
      <c r="F460" s="951"/>
      <c r="G460" s="951"/>
      <c r="H460" s="951"/>
      <c r="I460" s="951"/>
      <c r="J460" s="950">
        <v>1360000</v>
      </c>
      <c r="K460" s="951"/>
      <c r="L460" s="951"/>
      <c r="M460" s="951"/>
      <c r="N460" s="951"/>
      <c r="O460" s="950">
        <v>250028</v>
      </c>
      <c r="P460" s="483"/>
      <c r="Q460" s="562"/>
      <c r="R460" s="45"/>
      <c r="S460" s="45"/>
    </row>
    <row r="461" spans="1:31" s="312" customFormat="1" ht="39.6">
      <c r="A461" s="498"/>
      <c r="B461" s="376" t="s">
        <v>993</v>
      </c>
      <c r="C461" s="482"/>
      <c r="D461" s="483"/>
      <c r="E461" s="950">
        <v>516173</v>
      </c>
      <c r="F461" s="951"/>
      <c r="G461" s="951"/>
      <c r="H461" s="951"/>
      <c r="I461" s="951"/>
      <c r="J461" s="950"/>
      <c r="K461" s="951"/>
      <c r="L461" s="951"/>
      <c r="M461" s="951"/>
      <c r="N461" s="951"/>
      <c r="O461" s="950"/>
      <c r="P461" s="483"/>
      <c r="Q461" s="562"/>
      <c r="R461" s="45"/>
      <c r="S461" s="45"/>
    </row>
    <row r="462" spans="1:31" s="312" customFormat="1" ht="106.8" customHeight="1">
      <c r="A462" s="498"/>
      <c r="B462" s="813" t="s">
        <v>994</v>
      </c>
      <c r="C462" s="482"/>
      <c r="D462" s="483"/>
      <c r="E462" s="482"/>
      <c r="F462" s="483"/>
      <c r="G462" s="483"/>
      <c r="H462" s="483"/>
      <c r="I462" s="483"/>
      <c r="J462" s="482"/>
      <c r="K462" s="483"/>
      <c r="L462" s="483"/>
      <c r="M462" s="483"/>
      <c r="N462" s="483"/>
      <c r="O462" s="482"/>
      <c r="P462" s="483"/>
      <c r="Q462" s="562"/>
      <c r="R462" s="45"/>
      <c r="S462" s="45"/>
    </row>
    <row r="463" spans="1:31" s="312" customFormat="1" ht="69.599999999999994" customHeight="1">
      <c r="A463" s="498"/>
      <c r="B463" s="813" t="s">
        <v>995</v>
      </c>
      <c r="C463" s="482"/>
      <c r="D463" s="483"/>
      <c r="E463" s="950">
        <v>165</v>
      </c>
      <c r="F463" s="483"/>
      <c r="G463" s="483"/>
      <c r="H463" s="483"/>
      <c r="I463" s="483"/>
      <c r="J463" s="950">
        <v>47365</v>
      </c>
      <c r="K463" s="483"/>
      <c r="L463" s="483"/>
      <c r="M463" s="483"/>
      <c r="N463" s="483"/>
      <c r="O463" s="950">
        <v>206740</v>
      </c>
      <c r="P463" s="483"/>
      <c r="Q463" s="562"/>
      <c r="R463" s="45"/>
      <c r="S463" s="45"/>
    </row>
    <row r="464" spans="1:31" s="312" customFormat="1" ht="28.8" customHeight="1">
      <c r="A464" s="498"/>
      <c r="B464" s="428" t="s">
        <v>996</v>
      </c>
      <c r="C464" s="952"/>
      <c r="D464" s="699"/>
      <c r="E464" s="953">
        <v>8153967</v>
      </c>
      <c r="F464" s="699"/>
      <c r="G464" s="699"/>
      <c r="H464" s="699"/>
      <c r="I464" s="699"/>
      <c r="J464" s="952"/>
      <c r="K464" s="699"/>
      <c r="L464" s="699"/>
      <c r="M464" s="699"/>
      <c r="N464" s="699"/>
      <c r="O464" s="952"/>
      <c r="P464" s="699"/>
      <c r="Q464" s="562"/>
      <c r="R464" s="45"/>
      <c r="S464" s="45"/>
    </row>
    <row r="465" spans="1:31" s="312" customFormat="1" ht="30" customHeight="1">
      <c r="A465" s="498"/>
      <c r="B465" s="814" t="s">
        <v>996</v>
      </c>
      <c r="C465" s="952"/>
      <c r="D465" s="699"/>
      <c r="E465" s="952"/>
      <c r="F465" s="699"/>
      <c r="G465" s="699"/>
      <c r="H465" s="699"/>
      <c r="I465" s="699"/>
      <c r="J465" s="953">
        <f>10247230-105730</f>
        <v>10141500</v>
      </c>
      <c r="K465" s="699"/>
      <c r="L465" s="699"/>
      <c r="M465" s="699"/>
      <c r="N465" s="699"/>
      <c r="O465" s="952"/>
      <c r="P465" s="699"/>
      <c r="Q465" s="562"/>
      <c r="R465" s="45"/>
      <c r="S465" s="45"/>
    </row>
    <row r="466" spans="1:31" s="312" customFormat="1" ht="26.4">
      <c r="A466" s="377"/>
      <c r="B466" s="428" t="s">
        <v>996</v>
      </c>
      <c r="C466" s="482"/>
      <c r="D466" s="483"/>
      <c r="E466" s="482"/>
      <c r="F466" s="483"/>
      <c r="G466" s="483"/>
      <c r="H466" s="483"/>
      <c r="I466" s="483"/>
      <c r="J466" s="482"/>
      <c r="K466" s="483"/>
      <c r="L466" s="483"/>
      <c r="M466" s="483"/>
      <c r="N466" s="483"/>
      <c r="O466" s="482">
        <v>3120542</v>
      </c>
      <c r="P466" s="483"/>
      <c r="Q466" s="562"/>
      <c r="R466" s="45"/>
      <c r="S466" s="45"/>
    </row>
    <row r="467" spans="1:31" ht="65.400000000000006" customHeight="1">
      <c r="A467" s="377"/>
      <c r="B467" s="418" t="s">
        <v>997</v>
      </c>
      <c r="E467" s="562">
        <v>1526866</v>
      </c>
      <c r="F467" s="562"/>
      <c r="G467" s="562"/>
      <c r="H467" s="562"/>
      <c r="I467" s="562"/>
      <c r="J467" s="562"/>
      <c r="K467" s="562"/>
      <c r="L467" s="562"/>
      <c r="M467" s="562"/>
      <c r="N467" s="562"/>
      <c r="O467" s="562"/>
      <c r="P467" s="562"/>
      <c r="Q467" s="562"/>
    </row>
    <row r="468" spans="1:31" ht="49.8" customHeight="1">
      <c r="A468" s="377"/>
      <c r="B468" s="418" t="s">
        <v>998</v>
      </c>
      <c r="E468" s="562">
        <v>512916</v>
      </c>
      <c r="F468" s="562"/>
      <c r="G468" s="562"/>
      <c r="H468" s="562"/>
      <c r="I468" s="562"/>
      <c r="J468" s="562"/>
      <c r="K468" s="562"/>
      <c r="L468" s="562"/>
      <c r="M468" s="562"/>
      <c r="N468" s="562"/>
      <c r="O468" s="562"/>
      <c r="P468" s="562"/>
      <c r="Q468" s="562"/>
    </row>
    <row r="469" spans="1:31" ht="70.8" customHeight="1">
      <c r="A469" s="459"/>
      <c r="B469" s="418" t="s">
        <v>1003</v>
      </c>
      <c r="C469" s="584"/>
      <c r="D469" s="585"/>
      <c r="E469" s="584">
        <v>8130</v>
      </c>
      <c r="F469" s="584"/>
      <c r="G469" s="584"/>
      <c r="H469" s="584"/>
      <c r="I469" s="584"/>
      <c r="J469" s="584"/>
      <c r="K469" s="585"/>
      <c r="L469" s="585"/>
      <c r="M469" s="585"/>
      <c r="N469" s="585"/>
      <c r="O469" s="584"/>
      <c r="P469" s="585"/>
      <c r="Q469" s="585"/>
      <c r="R469" s="585"/>
      <c r="AC469" s="45"/>
      <c r="AD469" s="45"/>
      <c r="AE469" s="45"/>
    </row>
    <row r="470" spans="1:31" ht="42" customHeight="1">
      <c r="A470" s="459"/>
      <c r="B470" s="418" t="s">
        <v>1004</v>
      </c>
      <c r="C470" s="584"/>
      <c r="D470" s="585"/>
      <c r="E470" s="584">
        <v>3463</v>
      </c>
      <c r="F470" s="584"/>
      <c r="G470" s="584"/>
      <c r="H470" s="584"/>
      <c r="I470" s="584"/>
      <c r="J470" s="584">
        <v>10426</v>
      </c>
      <c r="K470" s="585"/>
      <c r="L470" s="585"/>
      <c r="M470" s="585"/>
      <c r="N470" s="585"/>
      <c r="O470" s="584"/>
      <c r="P470" s="585"/>
      <c r="Q470" s="585"/>
      <c r="R470" s="585"/>
      <c r="AC470" s="45"/>
      <c r="AD470" s="45"/>
      <c r="AE470" s="45"/>
    </row>
    <row r="471" spans="1:31" ht="52.8">
      <c r="A471" s="377"/>
      <c r="B471" s="376" t="s">
        <v>1066</v>
      </c>
      <c r="E471" s="562">
        <v>-374760</v>
      </c>
      <c r="F471" s="562"/>
      <c r="G471" s="562"/>
      <c r="H471" s="562"/>
      <c r="I471" s="562"/>
      <c r="J471" s="562">
        <v>-531419</v>
      </c>
      <c r="K471" s="562"/>
      <c r="L471" s="562"/>
      <c r="M471" s="562"/>
      <c r="N471" s="562"/>
      <c r="O471" s="562">
        <v>-568590</v>
      </c>
      <c r="P471" s="562"/>
      <c r="Q471" s="562"/>
      <c r="AC471" s="45"/>
      <c r="AD471" s="45"/>
      <c r="AE471" s="45"/>
    </row>
    <row r="472" spans="1:31" ht="52.8">
      <c r="A472" s="377"/>
      <c r="B472" s="376" t="s">
        <v>1067</v>
      </c>
      <c r="E472" s="562">
        <v>-2637375</v>
      </c>
      <c r="F472" s="562"/>
      <c r="G472" s="562"/>
      <c r="H472" s="562"/>
      <c r="I472" s="562"/>
      <c r="J472" s="562">
        <v>8526349</v>
      </c>
      <c r="K472" s="562"/>
      <c r="L472" s="562"/>
      <c r="M472" s="562"/>
      <c r="N472" s="562"/>
      <c r="O472" s="562"/>
      <c r="P472" s="562"/>
      <c r="Q472" s="562"/>
      <c r="AC472" s="45"/>
      <c r="AD472" s="45"/>
      <c r="AE472" s="45"/>
    </row>
    <row r="473" spans="1:31" ht="92.4">
      <c r="A473" s="377"/>
      <c r="B473" s="376" t="s">
        <v>1068</v>
      </c>
      <c r="E473" s="562">
        <v>25323</v>
      </c>
      <c r="F473" s="562"/>
      <c r="G473" s="562"/>
      <c r="H473" s="562"/>
      <c r="I473" s="562"/>
      <c r="J473" s="562">
        <v>9121</v>
      </c>
      <c r="K473" s="562"/>
      <c r="L473" s="562"/>
      <c r="M473" s="562"/>
      <c r="N473" s="562"/>
      <c r="O473" s="562"/>
      <c r="P473" s="562"/>
      <c r="Q473" s="562"/>
      <c r="AC473" s="45"/>
      <c r="AD473" s="45"/>
      <c r="AE473" s="45"/>
    </row>
    <row r="474" spans="1:31">
      <c r="A474" s="377"/>
      <c r="B474" s="376"/>
      <c r="E474" s="562"/>
      <c r="F474" s="562"/>
      <c r="G474" s="562"/>
      <c r="H474" s="562"/>
      <c r="I474" s="562"/>
      <c r="J474" s="562"/>
      <c r="K474" s="562"/>
      <c r="L474" s="562"/>
      <c r="M474" s="562"/>
      <c r="N474" s="562"/>
      <c r="O474" s="562"/>
      <c r="P474" s="562"/>
      <c r="Q474" s="562"/>
      <c r="AC474" s="45"/>
      <c r="AD474" s="45"/>
      <c r="AE474" s="45"/>
    </row>
    <row r="475" spans="1:31">
      <c r="A475" s="377"/>
      <c r="B475" s="376"/>
      <c r="E475" s="562"/>
      <c r="F475" s="562"/>
      <c r="G475" s="562"/>
      <c r="H475" s="562"/>
      <c r="I475" s="562"/>
      <c r="J475" s="562"/>
      <c r="K475" s="562"/>
      <c r="L475" s="562"/>
      <c r="M475" s="562"/>
      <c r="N475" s="562"/>
      <c r="O475" s="562"/>
      <c r="P475" s="562"/>
      <c r="Q475" s="562"/>
      <c r="AC475" s="45"/>
      <c r="AD475" s="45"/>
      <c r="AE475" s="45"/>
    </row>
    <row r="476" spans="1:31" ht="26.4">
      <c r="A476" s="377"/>
      <c r="B476" s="372" t="s">
        <v>902</v>
      </c>
      <c r="E476" s="562"/>
      <c r="F476" s="562"/>
      <c r="G476" s="562"/>
      <c r="H476" s="562"/>
      <c r="I476" s="562"/>
      <c r="J476" s="562"/>
      <c r="K476" s="562"/>
      <c r="L476" s="562"/>
      <c r="M476" s="562"/>
      <c r="N476" s="562"/>
      <c r="O476" s="562"/>
      <c r="P476" s="562"/>
      <c r="Q476" s="562"/>
      <c r="AC476" s="45"/>
      <c r="AD476" s="45"/>
      <c r="AE476" s="45"/>
    </row>
    <row r="477" spans="1:31" s="312" customFormat="1" ht="52.8">
      <c r="A477" s="498"/>
      <c r="B477" s="428" t="s">
        <v>901</v>
      </c>
      <c r="C477" s="482"/>
      <c r="D477" s="483"/>
      <c r="E477" s="950">
        <v>11020118</v>
      </c>
      <c r="F477" s="483"/>
      <c r="G477" s="483"/>
      <c r="H477" s="483"/>
      <c r="I477" s="483"/>
      <c r="J477" s="950">
        <v>9541605</v>
      </c>
      <c r="K477" s="483"/>
      <c r="L477" s="483"/>
      <c r="M477" s="483"/>
      <c r="N477" s="483"/>
      <c r="O477" s="950">
        <v>2659930</v>
      </c>
      <c r="P477" s="483"/>
      <c r="Q477" s="562"/>
      <c r="R477" s="45"/>
      <c r="S477" s="45"/>
    </row>
    <row r="478" spans="1:31">
      <c r="A478" s="377"/>
      <c r="B478" s="376"/>
      <c r="E478" s="562"/>
      <c r="F478" s="562"/>
      <c r="G478" s="562"/>
      <c r="H478" s="562"/>
      <c r="I478" s="562"/>
      <c r="J478" s="562"/>
      <c r="K478" s="562"/>
      <c r="L478" s="562"/>
      <c r="M478" s="562"/>
      <c r="N478" s="562"/>
      <c r="O478" s="562"/>
      <c r="P478" s="562"/>
      <c r="Q478" s="562"/>
      <c r="AC478" s="45"/>
      <c r="AD478" s="45"/>
      <c r="AE478" s="45"/>
    </row>
    <row r="479" spans="1:31">
      <c r="A479" s="377"/>
      <c r="B479" s="376"/>
      <c r="E479" s="562"/>
      <c r="F479" s="562"/>
      <c r="G479" s="562"/>
      <c r="H479" s="562"/>
      <c r="I479" s="562"/>
      <c r="J479" s="562"/>
      <c r="K479" s="562"/>
      <c r="L479" s="562"/>
      <c r="M479" s="562"/>
      <c r="N479" s="562"/>
      <c r="O479" s="562"/>
      <c r="P479" s="562"/>
      <c r="Q479" s="562"/>
      <c r="AC479" s="45"/>
      <c r="AD479" s="45"/>
      <c r="AE479" s="45"/>
    </row>
    <row r="480" spans="1:31">
      <c r="A480" s="377"/>
      <c r="B480" s="490" t="s">
        <v>308</v>
      </c>
      <c r="C480" s="487"/>
      <c r="D480" s="487"/>
      <c r="E480" s="581">
        <f>SUM(E481:E481)</f>
        <v>0</v>
      </c>
      <c r="F480" s="581">
        <f>SUM(F481:F481)</f>
        <v>0</v>
      </c>
      <c r="G480" s="581"/>
      <c r="H480" s="581"/>
      <c r="I480" s="581"/>
      <c r="J480" s="581">
        <f>SUM(J481:J481)</f>
        <v>0</v>
      </c>
      <c r="K480" s="581">
        <f>SUM(K481:K481)</f>
        <v>0</v>
      </c>
      <c r="L480" s="581"/>
      <c r="M480" s="581"/>
      <c r="N480" s="581"/>
      <c r="O480" s="581">
        <f>SUM(O481:O481)</f>
        <v>0</v>
      </c>
      <c r="P480" s="581">
        <f>SUM(P481:P481)</f>
        <v>0</v>
      </c>
      <c r="Q480" s="581"/>
      <c r="R480" s="487"/>
      <c r="AC480" s="45"/>
      <c r="AD480" s="45"/>
      <c r="AE480" s="45"/>
    </row>
    <row r="481" spans="1:31">
      <c r="A481" s="377"/>
      <c r="B481" s="420"/>
      <c r="C481" s="482"/>
      <c r="D481" s="483"/>
      <c r="E481" s="482"/>
      <c r="F481" s="562"/>
      <c r="G481" s="562"/>
      <c r="H481" s="562"/>
      <c r="I481" s="562"/>
      <c r="J481" s="562"/>
      <c r="K481" s="562"/>
      <c r="L481" s="562"/>
      <c r="M481" s="562"/>
      <c r="N481" s="562"/>
      <c r="O481" s="562"/>
      <c r="P481" s="562"/>
      <c r="Q481" s="562"/>
      <c r="AC481" s="45"/>
      <c r="AD481" s="45"/>
      <c r="AE481" s="45"/>
    </row>
    <row r="482" spans="1:31">
      <c r="A482" s="377"/>
      <c r="B482" s="490" t="s">
        <v>309</v>
      </c>
      <c r="C482" s="487"/>
      <c r="D482" s="487"/>
      <c r="E482" s="581">
        <f>E485+E486+E489+E490+E491+E488+E492</f>
        <v>250586</v>
      </c>
      <c r="F482" s="581">
        <f>F485+F486+F489+F490+F491+F488+F492</f>
        <v>0</v>
      </c>
      <c r="G482" s="581"/>
      <c r="H482" s="581"/>
      <c r="I482" s="581"/>
      <c r="J482" s="581">
        <f>J485+J486+J489+J490+J491+J488+J492</f>
        <v>16586</v>
      </c>
      <c r="K482" s="581">
        <f>K485+K486+K489+K490+K491+K488+K492</f>
        <v>0</v>
      </c>
      <c r="L482" s="581"/>
      <c r="M482" s="581"/>
      <c r="N482" s="581"/>
      <c r="O482" s="581">
        <f>O485+O486+O489+O490+O491+O488+O492</f>
        <v>0</v>
      </c>
      <c r="P482" s="581">
        <f>P485+P486+P489+P490+P491+P488+P492</f>
        <v>0</v>
      </c>
      <c r="Q482" s="581"/>
      <c r="R482" s="943"/>
      <c r="AC482" s="45"/>
      <c r="AD482" s="45"/>
      <c r="AE482" s="45"/>
    </row>
    <row r="483" spans="1:31">
      <c r="A483" s="377"/>
      <c r="B483" s="490" t="s">
        <v>313</v>
      </c>
      <c r="C483" s="487"/>
      <c r="D483" s="487"/>
      <c r="E483" s="581">
        <f>E487+E493</f>
        <v>94668</v>
      </c>
      <c r="F483" s="581">
        <f>F487+F493</f>
        <v>0</v>
      </c>
      <c r="G483" s="581"/>
      <c r="H483" s="581"/>
      <c r="I483" s="581"/>
      <c r="J483" s="581">
        <f>J487+J493</f>
        <v>13503</v>
      </c>
      <c r="K483" s="581">
        <f>K487+K493</f>
        <v>0</v>
      </c>
      <c r="L483" s="581"/>
      <c r="M483" s="581"/>
      <c r="N483" s="581"/>
      <c r="O483" s="581">
        <f>O487+O493</f>
        <v>0</v>
      </c>
      <c r="P483" s="581">
        <f>P487+P493</f>
        <v>0</v>
      </c>
      <c r="Q483" s="581"/>
      <c r="R483" s="943"/>
      <c r="AC483" s="45"/>
      <c r="AD483" s="45"/>
      <c r="AE483" s="45"/>
    </row>
    <row r="484" spans="1:31">
      <c r="A484" s="377"/>
      <c r="B484" s="490" t="s">
        <v>320</v>
      </c>
      <c r="C484" s="487"/>
      <c r="D484" s="487"/>
      <c r="E484" s="581">
        <f>E482-E483</f>
        <v>155918</v>
      </c>
      <c r="F484" s="581">
        <f>F482-F483</f>
        <v>0</v>
      </c>
      <c r="G484" s="581"/>
      <c r="H484" s="581"/>
      <c r="I484" s="581"/>
      <c r="J484" s="581">
        <f>J482-J483</f>
        <v>3083</v>
      </c>
      <c r="K484" s="581">
        <f>K482-K483</f>
        <v>0</v>
      </c>
      <c r="L484" s="581"/>
      <c r="M484" s="581"/>
      <c r="N484" s="581"/>
      <c r="O484" s="581">
        <f>O482-O483</f>
        <v>0</v>
      </c>
      <c r="P484" s="581">
        <f>P482-P483</f>
        <v>0</v>
      </c>
      <c r="Q484" s="581"/>
      <c r="R484" s="943"/>
      <c r="AC484" s="45"/>
      <c r="AD484" s="45"/>
      <c r="AE484" s="45"/>
    </row>
    <row r="485" spans="1:31" ht="52.8">
      <c r="A485" s="377"/>
      <c r="B485" s="418" t="s">
        <v>899</v>
      </c>
      <c r="E485" s="584">
        <v>10382</v>
      </c>
      <c r="F485" s="562"/>
      <c r="G485" s="562"/>
      <c r="H485" s="562"/>
      <c r="I485" s="562"/>
      <c r="J485" s="562"/>
      <c r="K485" s="562"/>
      <c r="L485" s="562"/>
      <c r="M485" s="562"/>
      <c r="N485" s="562"/>
      <c r="O485" s="562"/>
      <c r="P485" s="562"/>
      <c r="Q485" s="562"/>
    </row>
    <row r="486" spans="1:31" ht="52.8">
      <c r="A486" s="498"/>
      <c r="B486" s="418" t="s">
        <v>999</v>
      </c>
      <c r="E486" s="482">
        <v>8286</v>
      </c>
      <c r="F486" s="562"/>
      <c r="G486" s="562"/>
      <c r="H486" s="562"/>
      <c r="I486" s="562"/>
      <c r="J486" s="562"/>
      <c r="K486" s="562"/>
      <c r="L486" s="562"/>
      <c r="M486" s="562"/>
      <c r="N486" s="562"/>
      <c r="O486" s="562"/>
      <c r="P486" s="562"/>
      <c r="Q486" s="562"/>
    </row>
    <row r="487" spans="1:31">
      <c r="A487" s="498"/>
      <c r="B487" s="412" t="s">
        <v>313</v>
      </c>
      <c r="E487" s="482">
        <v>8286</v>
      </c>
      <c r="F487" s="562"/>
      <c r="G487" s="562"/>
      <c r="H487" s="562"/>
      <c r="I487" s="562"/>
      <c r="J487" s="562"/>
      <c r="K487" s="562"/>
      <c r="L487" s="562"/>
      <c r="M487" s="562"/>
      <c r="N487" s="562"/>
      <c r="O487" s="562"/>
      <c r="P487" s="562"/>
      <c r="Q487" s="562"/>
    </row>
    <row r="488" spans="1:31" ht="105.6">
      <c r="A488" s="498"/>
      <c r="B488" s="412" t="s">
        <v>1010</v>
      </c>
      <c r="E488" s="482">
        <v>46440</v>
      </c>
      <c r="F488" s="562"/>
      <c r="G488" s="562"/>
      <c r="H488" s="562"/>
      <c r="I488" s="562"/>
      <c r="J488" s="562"/>
      <c r="K488" s="562"/>
      <c r="L488" s="562"/>
      <c r="M488" s="562"/>
      <c r="N488" s="562"/>
      <c r="O488" s="562"/>
      <c r="P488" s="562"/>
      <c r="Q488" s="562"/>
    </row>
    <row r="489" spans="1:31" ht="105.6">
      <c r="A489" s="498"/>
      <c r="B489" s="418" t="s">
        <v>1000</v>
      </c>
      <c r="E489" s="562">
        <v>97459</v>
      </c>
      <c r="F489" s="562"/>
      <c r="G489" s="562"/>
      <c r="H489" s="562"/>
      <c r="I489" s="562"/>
      <c r="J489" s="562">
        <v>3083</v>
      </c>
      <c r="K489" s="562"/>
      <c r="L489" s="562"/>
      <c r="M489" s="562"/>
      <c r="N489" s="562"/>
      <c r="O489" s="562"/>
      <c r="P489" s="562"/>
      <c r="Q489" s="562"/>
    </row>
    <row r="490" spans="1:31" ht="51" customHeight="1">
      <c r="A490" s="498"/>
      <c r="B490" s="418" t="s">
        <v>1001</v>
      </c>
      <c r="E490" s="562">
        <v>205</v>
      </c>
      <c r="F490" s="562"/>
      <c r="G490" s="562"/>
      <c r="H490" s="562"/>
      <c r="I490" s="562"/>
      <c r="J490" s="562"/>
      <c r="K490" s="562"/>
      <c r="L490" s="562"/>
      <c r="M490" s="562"/>
      <c r="N490" s="562"/>
      <c r="O490" s="562"/>
      <c r="P490" s="562"/>
      <c r="Q490" s="562"/>
    </row>
    <row r="491" spans="1:31" ht="52.8">
      <c r="A491" s="498"/>
      <c r="B491" s="376" t="s">
        <v>1002</v>
      </c>
      <c r="C491" s="485"/>
      <c r="D491" s="485"/>
      <c r="E491" s="832">
        <v>1432</v>
      </c>
      <c r="F491" s="485"/>
      <c r="G491" s="485"/>
      <c r="H491" s="485"/>
      <c r="I491" s="485"/>
      <c r="J491" s="485"/>
      <c r="K491" s="485"/>
      <c r="L491" s="485"/>
      <c r="M491" s="485"/>
      <c r="N491" s="485"/>
      <c r="O491" s="485"/>
      <c r="P491" s="485"/>
      <c r="Q491" s="485"/>
      <c r="AC491" s="45"/>
      <c r="AD491" s="45"/>
      <c r="AE491" s="45"/>
    </row>
    <row r="492" spans="1:31" ht="89.4" customHeight="1">
      <c r="A492" s="498"/>
      <c r="B492" s="418" t="s">
        <v>1069</v>
      </c>
      <c r="C492" s="584"/>
      <c r="D492" s="585"/>
      <c r="E492" s="584">
        <v>86382</v>
      </c>
      <c r="F492" s="585"/>
      <c r="G492" s="585"/>
      <c r="H492" s="585"/>
      <c r="I492" s="585"/>
      <c r="J492" s="584">
        <v>13503</v>
      </c>
      <c r="K492" s="585"/>
      <c r="L492" s="585"/>
      <c r="M492" s="585"/>
      <c r="N492" s="585"/>
      <c r="O492" s="584"/>
      <c r="P492" s="562"/>
      <c r="Q492" s="562"/>
      <c r="AC492" s="45"/>
      <c r="AD492" s="45"/>
      <c r="AE492" s="45"/>
    </row>
    <row r="493" spans="1:31">
      <c r="A493" s="498"/>
      <c r="B493" s="412" t="s">
        <v>313</v>
      </c>
      <c r="C493" s="584"/>
      <c r="D493" s="585"/>
      <c r="E493" s="584">
        <f>E492</f>
        <v>86382</v>
      </c>
      <c r="F493" s="585"/>
      <c r="G493" s="585"/>
      <c r="H493" s="585"/>
      <c r="I493" s="585"/>
      <c r="J493" s="584">
        <f>J492</f>
        <v>13503</v>
      </c>
      <c r="K493" s="585"/>
      <c r="L493" s="585"/>
      <c r="M493" s="585"/>
      <c r="N493" s="585"/>
      <c r="O493" s="584"/>
      <c r="P493" s="562"/>
      <c r="Q493" s="562"/>
      <c r="AC493" s="45"/>
      <c r="AD493" s="45"/>
      <c r="AE493" s="45"/>
    </row>
    <row r="494" spans="1:31">
      <c r="A494" s="498"/>
      <c r="B494" s="569"/>
      <c r="E494" s="562"/>
      <c r="F494" s="562"/>
      <c r="G494" s="562"/>
      <c r="H494" s="562"/>
      <c r="I494" s="562"/>
      <c r="J494" s="562"/>
      <c r="K494" s="562"/>
      <c r="L494" s="562"/>
      <c r="M494" s="562"/>
      <c r="N494" s="562"/>
      <c r="O494" s="562"/>
      <c r="P494" s="562"/>
      <c r="Q494" s="562"/>
      <c r="AC494" s="45"/>
      <c r="AD494" s="45"/>
      <c r="AE494" s="45"/>
    </row>
    <row r="495" spans="1:31">
      <c r="A495" s="498"/>
      <c r="B495" s="490" t="s">
        <v>1070</v>
      </c>
      <c r="C495" s="487"/>
      <c r="D495" s="487"/>
      <c r="E495" s="581">
        <f>SUM(E496:E496)+E497</f>
        <v>849608</v>
      </c>
      <c r="F495" s="581">
        <f>SUM(F496:F496)</f>
        <v>0</v>
      </c>
      <c r="G495" s="581"/>
      <c r="H495" s="581"/>
      <c r="I495" s="581"/>
      <c r="J495" s="581">
        <f>SUM(J496:J496)</f>
        <v>700472</v>
      </c>
      <c r="K495" s="581">
        <f>SUM(K496:K496)</f>
        <v>0</v>
      </c>
      <c r="L495" s="581"/>
      <c r="M495" s="581"/>
      <c r="N495" s="581"/>
      <c r="O495" s="581">
        <f>SUM(O496:O496)</f>
        <v>255589</v>
      </c>
      <c r="P495" s="581">
        <f>SUM(P496:P496)</f>
        <v>0</v>
      </c>
      <c r="Q495" s="581"/>
      <c r="R495" s="487"/>
      <c r="AC495" s="45"/>
      <c r="AD495" s="45"/>
      <c r="AE495" s="45"/>
    </row>
    <row r="496" spans="1:31" ht="92.4">
      <c r="A496" s="498"/>
      <c r="B496" s="418" t="s">
        <v>1071</v>
      </c>
      <c r="C496" s="584"/>
      <c r="D496" s="585"/>
      <c r="E496" s="584">
        <v>849608</v>
      </c>
      <c r="F496" s="585"/>
      <c r="G496" s="585"/>
      <c r="H496" s="585"/>
      <c r="I496" s="585"/>
      <c r="J496" s="584">
        <v>700472</v>
      </c>
      <c r="K496" s="585"/>
      <c r="L496" s="585"/>
      <c r="M496" s="585"/>
      <c r="N496" s="585"/>
      <c r="O496" s="584">
        <v>255589</v>
      </c>
      <c r="P496" s="562"/>
      <c r="Q496" s="562"/>
      <c r="AC496" s="45"/>
      <c r="AD496" s="45"/>
      <c r="AE496" s="45"/>
    </row>
    <row r="497" spans="1:31">
      <c r="A497" s="498"/>
      <c r="B497" s="418"/>
      <c r="E497" s="584"/>
      <c r="F497" s="562"/>
      <c r="G497" s="562"/>
      <c r="H497" s="562"/>
      <c r="I497" s="562"/>
      <c r="J497" s="562"/>
      <c r="K497" s="562"/>
      <c r="L497" s="562"/>
      <c r="M497" s="562"/>
      <c r="N497" s="562"/>
      <c r="O497" s="562"/>
      <c r="P497" s="562"/>
      <c r="Q497" s="562"/>
      <c r="AC497" s="45"/>
      <c r="AD497" s="45"/>
      <c r="AE497" s="45"/>
    </row>
    <row r="498" spans="1:31">
      <c r="A498" s="498"/>
      <c r="B498" s="418"/>
      <c r="E498" s="584"/>
      <c r="F498" s="562"/>
      <c r="G498" s="562"/>
      <c r="H498" s="562"/>
      <c r="I498" s="562"/>
      <c r="J498" s="562"/>
      <c r="K498" s="562"/>
      <c r="L498" s="562"/>
      <c r="M498" s="562"/>
      <c r="N498" s="562"/>
      <c r="O498" s="562"/>
      <c r="P498" s="562"/>
      <c r="Q498" s="562"/>
      <c r="AC498" s="45"/>
      <c r="AD498" s="45"/>
      <c r="AE498" s="45"/>
    </row>
    <row r="499" spans="1:31">
      <c r="B499" s="45" t="s">
        <v>1065</v>
      </c>
    </row>
    <row r="500" spans="1:31" ht="72.599999999999994" customHeight="1">
      <c r="A500" s="498"/>
      <c r="B500" s="376" t="s">
        <v>808</v>
      </c>
      <c r="C500" s="482"/>
      <c r="D500" s="483"/>
      <c r="E500" s="482"/>
      <c r="F500" s="485"/>
      <c r="G500" s="485">
        <v>6496018</v>
      </c>
      <c r="H500" s="482"/>
      <c r="I500" s="482"/>
      <c r="J500" s="482"/>
      <c r="K500" s="482"/>
      <c r="L500" s="482"/>
      <c r="M500" s="482"/>
      <c r="N500" s="482"/>
      <c r="O500" s="482"/>
      <c r="P500" s="482"/>
      <c r="Q500" s="482"/>
      <c r="R500" s="482"/>
    </row>
  </sheetData>
  <mergeCells count="25">
    <mergeCell ref="P1:R1"/>
    <mergeCell ref="W6:W7"/>
    <mergeCell ref="Y6:Y7"/>
    <mergeCell ref="U6:U7"/>
    <mergeCell ref="R5:R7"/>
    <mergeCell ref="O6:O7"/>
    <mergeCell ref="N5:N7"/>
    <mergeCell ref="L6:L7"/>
    <mergeCell ref="Q6:Q7"/>
    <mergeCell ref="M5:M7"/>
    <mergeCell ref="O5:Q5"/>
    <mergeCell ref="P6:P7"/>
    <mergeCell ref="B3:J3"/>
    <mergeCell ref="H5:H7"/>
    <mergeCell ref="B5:B7"/>
    <mergeCell ref="C5:C7"/>
    <mergeCell ref="D5:D7"/>
    <mergeCell ref="I5:I7"/>
    <mergeCell ref="G6:G7"/>
    <mergeCell ref="E5:G5"/>
    <mergeCell ref="E6:E7"/>
    <mergeCell ref="J5:L5"/>
    <mergeCell ref="F6:F7"/>
    <mergeCell ref="J6:J7"/>
    <mergeCell ref="K6:K7"/>
  </mergeCells>
  <pageMargins left="0.35433070866141736" right="0.19685039370078741" top="0.51181102362204722" bottom="0.47244094488188981" header="0.27559055118110237" footer="0.15748031496062992"/>
  <pageSetup paperSize="9" scale="50" orientation="landscape" useFirstPageNumber="1" r:id="rId1"/>
  <headerFooter>
    <oddFooter>&amp;L&amp;F&amp;C&amp;P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rgb="FFFFC000"/>
  </sheetPr>
  <dimension ref="A3:R592"/>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T381" sqref="T381"/>
    </sheetView>
  </sheetViews>
  <sheetFormatPr defaultColWidth="9.109375" defaultRowHeight="10.199999999999999"/>
  <cols>
    <col min="1" max="1" width="11.44140625" style="21" bestFit="1" customWidth="1"/>
    <col min="2" max="2" width="39.109375" style="1" customWidth="1"/>
    <col min="3" max="3" width="13" style="22" customWidth="1"/>
    <col min="4" max="4" width="12" style="21"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3"/>
  </cols>
  <sheetData>
    <row r="3" spans="1:18" s="1" customFormat="1" ht="13.2" customHeight="1">
      <c r="A3" s="221"/>
      <c r="B3" s="1400" t="s">
        <v>489</v>
      </c>
      <c r="C3" s="1400"/>
      <c r="D3" s="1400"/>
      <c r="E3" s="1400"/>
      <c r="F3" s="1400"/>
      <c r="G3" s="1400"/>
      <c r="H3" s="1400"/>
      <c r="I3" s="578"/>
      <c r="J3" s="578"/>
      <c r="K3" s="578"/>
      <c r="L3" s="578"/>
      <c r="M3" s="220"/>
      <c r="N3" s="578"/>
      <c r="O3" s="578"/>
      <c r="P3" s="578"/>
      <c r="Q3" s="578"/>
      <c r="R3" s="220"/>
    </row>
    <row r="4" spans="1:18" s="1" customFormat="1" ht="13.2" customHeight="1">
      <c r="A4" s="221"/>
      <c r="B4" s="578"/>
      <c r="C4" s="222"/>
      <c r="D4" s="578"/>
      <c r="E4" s="578"/>
      <c r="F4" s="578"/>
      <c r="G4" s="578"/>
      <c r="H4" s="578"/>
      <c r="I4" s="578"/>
      <c r="J4" s="578"/>
      <c r="K4" s="578"/>
      <c r="L4" s="578"/>
      <c r="M4" s="578"/>
      <c r="N4" s="578"/>
      <c r="O4" s="578"/>
      <c r="P4" s="578"/>
      <c r="Q4" s="578"/>
      <c r="R4" s="578"/>
    </row>
    <row r="5" spans="1:18" s="1" customFormat="1" ht="14.25" customHeight="1">
      <c r="A5" s="1437" t="s">
        <v>213</v>
      </c>
      <c r="B5" s="1438"/>
      <c r="C5" s="1412" t="s">
        <v>202</v>
      </c>
      <c r="D5" s="1401" t="s">
        <v>231</v>
      </c>
      <c r="E5" s="1404" t="s">
        <v>232</v>
      </c>
      <c r="F5" s="1405"/>
      <c r="G5" s="1406"/>
      <c r="H5" s="1407" t="s">
        <v>486</v>
      </c>
      <c r="I5" s="1415" t="s">
        <v>234</v>
      </c>
      <c r="J5" s="1425" t="s">
        <v>232</v>
      </c>
      <c r="K5" s="1426"/>
      <c r="L5" s="1427"/>
      <c r="M5" s="1428" t="s">
        <v>487</v>
      </c>
      <c r="N5" s="1431" t="s">
        <v>235</v>
      </c>
      <c r="O5" s="1434" t="s">
        <v>232</v>
      </c>
      <c r="P5" s="1435"/>
      <c r="Q5" s="1436"/>
      <c r="R5" s="1418" t="s">
        <v>488</v>
      </c>
    </row>
    <row r="6" spans="1:18" s="1" customFormat="1" ht="18" customHeight="1">
      <c r="A6" s="1437"/>
      <c r="B6" s="1439"/>
      <c r="C6" s="1413"/>
      <c r="D6" s="1402"/>
      <c r="E6" s="1410" t="s">
        <v>233</v>
      </c>
      <c r="F6" s="1410" t="s">
        <v>496</v>
      </c>
      <c r="G6" s="1410" t="s">
        <v>485</v>
      </c>
      <c r="H6" s="1408"/>
      <c r="I6" s="1416"/>
      <c r="J6" s="1421" t="s">
        <v>233</v>
      </c>
      <c r="K6" s="1421" t="s">
        <v>496</v>
      </c>
      <c r="L6" s="1421" t="s">
        <v>485</v>
      </c>
      <c r="M6" s="1429"/>
      <c r="N6" s="1432"/>
      <c r="O6" s="1423" t="s">
        <v>233</v>
      </c>
      <c r="P6" s="1423" t="s">
        <v>496</v>
      </c>
      <c r="Q6" s="1423" t="s">
        <v>485</v>
      </c>
      <c r="R6" s="1419"/>
    </row>
    <row r="7" spans="1:18" s="1" customFormat="1" ht="25.95" customHeight="1">
      <c r="A7" s="1437"/>
      <c r="B7" s="1440"/>
      <c r="C7" s="1414"/>
      <c r="D7" s="1403"/>
      <c r="E7" s="1411"/>
      <c r="F7" s="1411"/>
      <c r="G7" s="1411"/>
      <c r="H7" s="1409"/>
      <c r="I7" s="1417"/>
      <c r="J7" s="1422"/>
      <c r="K7" s="1422"/>
      <c r="L7" s="1422"/>
      <c r="M7" s="1430"/>
      <c r="N7" s="1433"/>
      <c r="O7" s="1424"/>
      <c r="P7" s="1424"/>
      <c r="Q7" s="1424"/>
      <c r="R7" s="1420"/>
    </row>
    <row r="8" spans="1:18" s="25" customFormat="1" ht="13.2" customHeigh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8"/>
      <c r="B9" s="392" t="s">
        <v>136</v>
      </c>
      <c r="C9" s="387"/>
      <c r="D9" s="387"/>
      <c r="E9" s="226"/>
      <c r="F9" s="226"/>
      <c r="G9" s="226"/>
      <c r="H9" s="226"/>
      <c r="I9" s="365"/>
      <c r="J9" s="226"/>
      <c r="K9" s="226"/>
      <c r="L9" s="226"/>
      <c r="M9" s="226"/>
      <c r="N9" s="365"/>
      <c r="O9" s="226"/>
      <c r="P9" s="226"/>
      <c r="Q9" s="226"/>
      <c r="R9" s="226"/>
    </row>
    <row r="10" spans="1:18" s="4" customFormat="1" ht="20.399999999999999">
      <c r="A10" s="595" t="s">
        <v>201</v>
      </c>
      <c r="B10" s="99" t="s">
        <v>88</v>
      </c>
      <c r="C10" s="193">
        <v>142724672</v>
      </c>
      <c r="D10" s="193">
        <v>144722061</v>
      </c>
      <c r="E10" s="228">
        <f>E11+E12+E14+E32</f>
        <v>0</v>
      </c>
      <c r="F10" s="228">
        <f>F11+F12+F14+F32</f>
        <v>9416663</v>
      </c>
      <c r="G10" s="228">
        <f>G11+G12+G14+G32</f>
        <v>4338410</v>
      </c>
      <c r="H10" s="229">
        <f t="shared" ref="H10:H41" si="0">SUM(D10:G10)</f>
        <v>158477134</v>
      </c>
      <c r="I10" s="228">
        <v>132093624</v>
      </c>
      <c r="J10" s="228">
        <f>J11+J12+J14+J32</f>
        <v>0</v>
      </c>
      <c r="K10" s="228">
        <f>K11+K12+K14+K32</f>
        <v>6690902</v>
      </c>
      <c r="L10" s="228">
        <f>L11+L12+L14+L32</f>
        <v>4555880</v>
      </c>
      <c r="M10" s="229">
        <f t="shared" ref="M10:M41" si="1">SUM(I10:L10)</f>
        <v>143340406</v>
      </c>
      <c r="N10" s="228">
        <v>113171463</v>
      </c>
      <c r="O10" s="228">
        <f>O11+O12+O14+O32</f>
        <v>0</v>
      </c>
      <c r="P10" s="228">
        <f>P11+P12+P14+P32</f>
        <v>18709874</v>
      </c>
      <c r="Q10" s="228">
        <f>Q11+Q12+Q14+Q32</f>
        <v>3371865</v>
      </c>
      <c r="R10" s="229">
        <f t="shared" ref="R10:R41" si="2">SUM(N10:Q10)</f>
        <v>135253202</v>
      </c>
    </row>
    <row r="11" spans="1:18" ht="22.8">
      <c r="A11" s="344" t="s">
        <v>177</v>
      </c>
      <c r="B11" s="100" t="s">
        <v>90</v>
      </c>
      <c r="C11" s="198">
        <v>1668179</v>
      </c>
      <c r="D11" s="198">
        <v>1668179</v>
      </c>
      <c r="E11" s="262"/>
      <c r="F11" s="262"/>
      <c r="G11" s="262"/>
      <c r="H11" s="253">
        <f t="shared" si="0"/>
        <v>1668179</v>
      </c>
      <c r="I11" s="262">
        <v>1668179</v>
      </c>
      <c r="J11" s="262"/>
      <c r="K11" s="262"/>
      <c r="L11" s="262"/>
      <c r="M11" s="253">
        <f t="shared" si="1"/>
        <v>1668179</v>
      </c>
      <c r="N11" s="262">
        <v>1668179</v>
      </c>
      <c r="O11" s="262"/>
      <c r="P11" s="262"/>
      <c r="Q11" s="262"/>
      <c r="R11" s="253">
        <f t="shared" si="2"/>
        <v>1668179</v>
      </c>
    </row>
    <row r="12" spans="1:18" ht="11.4">
      <c r="A12" s="344" t="s">
        <v>91</v>
      </c>
      <c r="B12" s="100" t="s">
        <v>92</v>
      </c>
      <c r="C12" s="198">
        <v>4584300</v>
      </c>
      <c r="D12" s="198">
        <v>4448259</v>
      </c>
      <c r="E12" s="262"/>
      <c r="F12" s="262"/>
      <c r="G12" s="262"/>
      <c r="H12" s="253">
        <f t="shared" si="0"/>
        <v>4448259</v>
      </c>
      <c r="I12" s="262">
        <v>0</v>
      </c>
      <c r="J12" s="262"/>
      <c r="K12" s="262"/>
      <c r="L12" s="262"/>
      <c r="M12" s="253">
        <f t="shared" si="1"/>
        <v>0</v>
      </c>
      <c r="N12" s="262">
        <v>0</v>
      </c>
      <c r="O12" s="262"/>
      <c r="P12" s="262"/>
      <c r="Q12" s="262"/>
      <c r="R12" s="253">
        <f t="shared" si="2"/>
        <v>0</v>
      </c>
    </row>
    <row r="13" spans="1:18" ht="24" hidden="1" customHeight="1">
      <c r="A13" s="344">
        <v>21210</v>
      </c>
      <c r="B13" s="100" t="s">
        <v>93</v>
      </c>
      <c r="C13" s="198"/>
      <c r="D13" s="198">
        <v>0</v>
      </c>
      <c r="E13" s="262"/>
      <c r="F13" s="262"/>
      <c r="G13" s="262"/>
      <c r="H13" s="253">
        <f t="shared" si="0"/>
        <v>0</v>
      </c>
      <c r="I13" s="262">
        <v>0</v>
      </c>
      <c r="J13" s="262"/>
      <c r="K13" s="262"/>
      <c r="L13" s="262"/>
      <c r="M13" s="253">
        <f t="shared" si="1"/>
        <v>0</v>
      </c>
      <c r="N13" s="262">
        <v>0</v>
      </c>
      <c r="O13" s="262"/>
      <c r="P13" s="262"/>
      <c r="Q13" s="262"/>
      <c r="R13" s="253">
        <f t="shared" si="2"/>
        <v>0</v>
      </c>
    </row>
    <row r="14" spans="1:18" ht="20.399999999999999">
      <c r="A14" s="344" t="s">
        <v>178</v>
      </c>
      <c r="B14" s="100" t="s">
        <v>94</v>
      </c>
      <c r="C14" s="162">
        <v>382070</v>
      </c>
      <c r="D14" s="162">
        <v>0</v>
      </c>
      <c r="E14" s="254">
        <f>E15+E21</f>
        <v>0</v>
      </c>
      <c r="F14" s="254">
        <f>F15+F21</f>
        <v>0</v>
      </c>
      <c r="G14" s="254">
        <f>G15+G21</f>
        <v>0</v>
      </c>
      <c r="H14" s="253">
        <f t="shared" si="0"/>
        <v>0</v>
      </c>
      <c r="I14" s="254">
        <v>0</v>
      </c>
      <c r="J14" s="254">
        <f>J15+J21</f>
        <v>0</v>
      </c>
      <c r="K14" s="254">
        <f>K15+K21</f>
        <v>0</v>
      </c>
      <c r="L14" s="254">
        <f>L15+L21</f>
        <v>0</v>
      </c>
      <c r="M14" s="253">
        <f t="shared" si="1"/>
        <v>0</v>
      </c>
      <c r="N14" s="254">
        <v>0</v>
      </c>
      <c r="O14" s="254">
        <f>O15+O21</f>
        <v>0</v>
      </c>
      <c r="P14" s="254">
        <f>P15+P21</f>
        <v>0</v>
      </c>
      <c r="Q14" s="254">
        <f>Q15+Q21</f>
        <v>0</v>
      </c>
      <c r="R14" s="253">
        <f t="shared" si="2"/>
        <v>0</v>
      </c>
    </row>
    <row r="15" spans="1:18" ht="12">
      <c r="A15" s="132">
        <v>18000</v>
      </c>
      <c r="B15" s="125" t="s">
        <v>95</v>
      </c>
      <c r="C15" s="170">
        <v>382070</v>
      </c>
      <c r="D15" s="170">
        <v>0</v>
      </c>
      <c r="E15" s="233">
        <f t="shared" ref="E15:G16" si="3">E16</f>
        <v>0</v>
      </c>
      <c r="F15" s="233">
        <f t="shared" si="3"/>
        <v>0</v>
      </c>
      <c r="G15" s="233">
        <f t="shared" si="3"/>
        <v>0</v>
      </c>
      <c r="H15" s="232">
        <f t="shared" si="0"/>
        <v>0</v>
      </c>
      <c r="I15" s="233">
        <v>0</v>
      </c>
      <c r="J15" s="233">
        <f t="shared" ref="J15:L16" si="4">J16</f>
        <v>0</v>
      </c>
      <c r="K15" s="233">
        <f t="shared" si="4"/>
        <v>0</v>
      </c>
      <c r="L15" s="233">
        <f t="shared" si="4"/>
        <v>0</v>
      </c>
      <c r="M15" s="232">
        <f t="shared" si="1"/>
        <v>0</v>
      </c>
      <c r="N15" s="233">
        <v>0</v>
      </c>
      <c r="O15" s="233">
        <f t="shared" ref="O15:Q16" si="5">O16</f>
        <v>0</v>
      </c>
      <c r="P15" s="233">
        <f t="shared" si="5"/>
        <v>0</v>
      </c>
      <c r="Q15" s="233">
        <f t="shared" si="5"/>
        <v>0</v>
      </c>
      <c r="R15" s="232">
        <f t="shared" si="2"/>
        <v>0</v>
      </c>
    </row>
    <row r="16" spans="1:18" ht="12">
      <c r="A16" s="132">
        <v>18100</v>
      </c>
      <c r="B16" s="125" t="s">
        <v>96</v>
      </c>
      <c r="C16" s="170">
        <v>382070</v>
      </c>
      <c r="D16" s="170">
        <v>0</v>
      </c>
      <c r="E16" s="233">
        <f t="shared" si="3"/>
        <v>0</v>
      </c>
      <c r="F16" s="233">
        <f t="shared" si="3"/>
        <v>0</v>
      </c>
      <c r="G16" s="233">
        <f t="shared" si="3"/>
        <v>0</v>
      </c>
      <c r="H16" s="232">
        <f t="shared" si="0"/>
        <v>0</v>
      </c>
      <c r="I16" s="233">
        <v>0</v>
      </c>
      <c r="J16" s="233">
        <f t="shared" si="4"/>
        <v>0</v>
      </c>
      <c r="K16" s="233">
        <f t="shared" si="4"/>
        <v>0</v>
      </c>
      <c r="L16" s="233">
        <f t="shared" si="4"/>
        <v>0</v>
      </c>
      <c r="M16" s="232">
        <f t="shared" si="1"/>
        <v>0</v>
      </c>
      <c r="N16" s="233">
        <v>0</v>
      </c>
      <c r="O16" s="233">
        <f t="shared" si="5"/>
        <v>0</v>
      </c>
      <c r="P16" s="233">
        <f t="shared" si="5"/>
        <v>0</v>
      </c>
      <c r="Q16" s="233">
        <f t="shared" si="5"/>
        <v>0</v>
      </c>
      <c r="R16" s="232">
        <f t="shared" si="2"/>
        <v>0</v>
      </c>
    </row>
    <row r="17" spans="1:18" s="4" customFormat="1" ht="24">
      <c r="A17" s="133">
        <v>18130</v>
      </c>
      <c r="B17" s="172" t="s">
        <v>159</v>
      </c>
      <c r="C17" s="170">
        <v>382070</v>
      </c>
      <c r="D17" s="170">
        <v>0</v>
      </c>
      <c r="E17" s="233">
        <f>SUM(E18:E20)</f>
        <v>0</v>
      </c>
      <c r="F17" s="233">
        <f>SUM(F18:F20)</f>
        <v>0</v>
      </c>
      <c r="G17" s="233">
        <f>SUM(G18:G20)</f>
        <v>0</v>
      </c>
      <c r="H17" s="232">
        <f t="shared" si="0"/>
        <v>0</v>
      </c>
      <c r="I17" s="233">
        <v>0</v>
      </c>
      <c r="J17" s="233">
        <f>SUM(J18:J20)</f>
        <v>0</v>
      </c>
      <c r="K17" s="233">
        <f>SUM(K18:K20)</f>
        <v>0</v>
      </c>
      <c r="L17" s="233">
        <f>SUM(L18:L20)</f>
        <v>0</v>
      </c>
      <c r="M17" s="232">
        <f t="shared" si="1"/>
        <v>0</v>
      </c>
      <c r="N17" s="233">
        <v>0</v>
      </c>
      <c r="O17" s="233">
        <f>SUM(O18:O20)</f>
        <v>0</v>
      </c>
      <c r="P17" s="233">
        <f>SUM(P18:P20)</f>
        <v>0</v>
      </c>
      <c r="Q17" s="233">
        <f>SUM(Q18:Q20)</f>
        <v>0</v>
      </c>
      <c r="R17" s="232">
        <f t="shared" si="2"/>
        <v>0</v>
      </c>
    </row>
    <row r="18" spans="1:18" s="6" customFormat="1" ht="24">
      <c r="A18" s="134">
        <v>18131</v>
      </c>
      <c r="B18" s="172" t="s">
        <v>160</v>
      </c>
      <c r="C18" s="170">
        <v>382070</v>
      </c>
      <c r="D18" s="170">
        <v>0</v>
      </c>
      <c r="E18" s="233"/>
      <c r="F18" s="233"/>
      <c r="G18" s="233"/>
      <c r="H18" s="232">
        <f t="shared" si="0"/>
        <v>0</v>
      </c>
      <c r="I18" s="233">
        <v>0</v>
      </c>
      <c r="J18" s="233"/>
      <c r="K18" s="233"/>
      <c r="L18" s="233"/>
      <c r="M18" s="232">
        <f t="shared" si="1"/>
        <v>0</v>
      </c>
      <c r="N18" s="233">
        <v>0</v>
      </c>
      <c r="O18" s="233"/>
      <c r="P18" s="233"/>
      <c r="Q18" s="233"/>
      <c r="R18" s="232">
        <f t="shared" si="2"/>
        <v>0</v>
      </c>
    </row>
    <row r="19" spans="1:18" s="6" customFormat="1" ht="24" hidden="1" customHeight="1">
      <c r="A19" s="134">
        <v>18132</v>
      </c>
      <c r="B19" s="172" t="s">
        <v>169</v>
      </c>
      <c r="C19" s="170"/>
      <c r="D19" s="170">
        <v>0</v>
      </c>
      <c r="E19" s="233"/>
      <c r="F19" s="233"/>
      <c r="G19" s="233"/>
      <c r="H19" s="232">
        <f t="shared" si="0"/>
        <v>0</v>
      </c>
      <c r="I19" s="233">
        <v>0</v>
      </c>
      <c r="J19" s="233"/>
      <c r="K19" s="233"/>
      <c r="L19" s="233"/>
      <c r="M19" s="232">
        <f t="shared" si="1"/>
        <v>0</v>
      </c>
      <c r="N19" s="233">
        <v>0</v>
      </c>
      <c r="O19" s="233"/>
      <c r="P19" s="233"/>
      <c r="Q19" s="233"/>
      <c r="R19" s="232">
        <f t="shared" si="2"/>
        <v>0</v>
      </c>
    </row>
    <row r="20" spans="1:18" s="6" customFormat="1" ht="24" hidden="1" customHeight="1">
      <c r="A20" s="134">
        <v>18139</v>
      </c>
      <c r="B20" s="172" t="s">
        <v>179</v>
      </c>
      <c r="C20" s="170"/>
      <c r="D20" s="170">
        <v>0</v>
      </c>
      <c r="E20" s="233"/>
      <c r="F20" s="233"/>
      <c r="G20" s="233"/>
      <c r="H20" s="232">
        <f t="shared" si="0"/>
        <v>0</v>
      </c>
      <c r="I20" s="233">
        <v>0</v>
      </c>
      <c r="J20" s="233"/>
      <c r="K20" s="233"/>
      <c r="L20" s="233"/>
      <c r="M20" s="232">
        <f t="shared" si="1"/>
        <v>0</v>
      </c>
      <c r="N20" s="233">
        <v>0</v>
      </c>
      <c r="O20" s="233"/>
      <c r="P20" s="233"/>
      <c r="Q20" s="233"/>
      <c r="R20" s="232">
        <f t="shared" si="2"/>
        <v>0</v>
      </c>
    </row>
    <row r="21" spans="1:18" s="6" customFormat="1" ht="12" hidden="1" customHeight="1">
      <c r="A21" s="135" t="s">
        <v>180</v>
      </c>
      <c r="B21" s="173" t="s">
        <v>173</v>
      </c>
      <c r="C21" s="201">
        <v>0</v>
      </c>
      <c r="D21" s="201">
        <v>0</v>
      </c>
      <c r="E21" s="238">
        <f>E22</f>
        <v>0</v>
      </c>
      <c r="F21" s="238">
        <f>F22</f>
        <v>0</v>
      </c>
      <c r="G21" s="238">
        <f>G22</f>
        <v>0</v>
      </c>
      <c r="H21" s="232">
        <f t="shared" si="0"/>
        <v>0</v>
      </c>
      <c r="I21" s="238">
        <v>0</v>
      </c>
      <c r="J21" s="238">
        <f>J22</f>
        <v>0</v>
      </c>
      <c r="K21" s="238">
        <f>K22</f>
        <v>0</v>
      </c>
      <c r="L21" s="238">
        <f>L22</f>
        <v>0</v>
      </c>
      <c r="M21" s="232">
        <f t="shared" si="1"/>
        <v>0</v>
      </c>
      <c r="N21" s="238">
        <v>0</v>
      </c>
      <c r="O21" s="238">
        <f>O22</f>
        <v>0</v>
      </c>
      <c r="P21" s="238">
        <f>P22</f>
        <v>0</v>
      </c>
      <c r="Q21" s="238">
        <f>Q22</f>
        <v>0</v>
      </c>
      <c r="R21" s="232">
        <f t="shared" si="2"/>
        <v>0</v>
      </c>
    </row>
    <row r="22" spans="1:18" s="6" customFormat="1" ht="24" hidden="1" customHeight="1">
      <c r="A22" s="135">
        <v>19500</v>
      </c>
      <c r="B22" s="172" t="s">
        <v>174</v>
      </c>
      <c r="C22" s="170">
        <v>0</v>
      </c>
      <c r="D22" s="170">
        <v>0</v>
      </c>
      <c r="E22" s="233">
        <f>SUM(E23:E25)</f>
        <v>0</v>
      </c>
      <c r="F22" s="233">
        <f>SUM(F23:F25)</f>
        <v>0</v>
      </c>
      <c r="G22" s="233">
        <f>SUM(G23:G25)</f>
        <v>0</v>
      </c>
      <c r="H22" s="232">
        <f t="shared" si="0"/>
        <v>0</v>
      </c>
      <c r="I22" s="233">
        <v>0</v>
      </c>
      <c r="J22" s="233">
        <f>SUM(J23:J25)</f>
        <v>0</v>
      </c>
      <c r="K22" s="233">
        <f>SUM(K23:K25)</f>
        <v>0</v>
      </c>
      <c r="L22" s="233">
        <f>SUM(L23:L25)</f>
        <v>0</v>
      </c>
      <c r="M22" s="232">
        <f t="shared" si="1"/>
        <v>0</v>
      </c>
      <c r="N22" s="233">
        <v>0</v>
      </c>
      <c r="O22" s="233">
        <f>SUM(O23:O25)</f>
        <v>0</v>
      </c>
      <c r="P22" s="233">
        <f>SUM(P23:P25)</f>
        <v>0</v>
      </c>
      <c r="Q22" s="233">
        <f>SUM(Q23:Q25)</f>
        <v>0</v>
      </c>
      <c r="R22" s="232">
        <f t="shared" si="2"/>
        <v>0</v>
      </c>
    </row>
    <row r="23" spans="1:18" s="6" customFormat="1" ht="24" hidden="1" customHeight="1">
      <c r="A23" s="136">
        <v>19550</v>
      </c>
      <c r="B23" s="172" t="s">
        <v>175</v>
      </c>
      <c r="C23" s="170"/>
      <c r="D23" s="170">
        <v>0</v>
      </c>
      <c r="E23" s="233"/>
      <c r="F23" s="233"/>
      <c r="G23" s="233"/>
      <c r="H23" s="232">
        <f t="shared" si="0"/>
        <v>0</v>
      </c>
      <c r="I23" s="233">
        <v>0</v>
      </c>
      <c r="J23" s="233"/>
      <c r="K23" s="233"/>
      <c r="L23" s="233"/>
      <c r="M23" s="232">
        <f t="shared" si="1"/>
        <v>0</v>
      </c>
      <c r="N23" s="233">
        <v>0</v>
      </c>
      <c r="O23" s="233"/>
      <c r="P23" s="233"/>
      <c r="Q23" s="233"/>
      <c r="R23" s="232">
        <f t="shared" si="2"/>
        <v>0</v>
      </c>
    </row>
    <row r="24" spans="1:18" s="6" customFormat="1" ht="36" hidden="1" customHeight="1">
      <c r="A24" s="136">
        <v>19560</v>
      </c>
      <c r="B24" s="172" t="s">
        <v>181</v>
      </c>
      <c r="C24" s="170"/>
      <c r="D24" s="170">
        <v>0</v>
      </c>
      <c r="E24" s="233"/>
      <c r="F24" s="233"/>
      <c r="G24" s="233"/>
      <c r="H24" s="232">
        <f t="shared" si="0"/>
        <v>0</v>
      </c>
      <c r="I24" s="233">
        <v>0</v>
      </c>
      <c r="J24" s="233"/>
      <c r="K24" s="233"/>
      <c r="L24" s="233"/>
      <c r="M24" s="232">
        <f t="shared" si="1"/>
        <v>0</v>
      </c>
      <c r="N24" s="233">
        <v>0</v>
      </c>
      <c r="O24" s="233"/>
      <c r="P24" s="233"/>
      <c r="Q24" s="233"/>
      <c r="R24" s="232">
        <f t="shared" si="2"/>
        <v>0</v>
      </c>
    </row>
    <row r="25" spans="1:18" s="6" customFormat="1" ht="72" hidden="1" customHeight="1">
      <c r="A25" s="136">
        <v>19570</v>
      </c>
      <c r="B25" s="172" t="s">
        <v>182</v>
      </c>
      <c r="C25" s="170"/>
      <c r="D25" s="170">
        <v>0</v>
      </c>
      <c r="E25" s="233"/>
      <c r="F25" s="233"/>
      <c r="G25" s="233"/>
      <c r="H25" s="232">
        <f t="shared" si="0"/>
        <v>0</v>
      </c>
      <c r="I25" s="233">
        <v>0</v>
      </c>
      <c r="J25" s="233"/>
      <c r="K25" s="233"/>
      <c r="L25" s="233"/>
      <c r="M25" s="232">
        <f t="shared" si="1"/>
        <v>0</v>
      </c>
      <c r="N25" s="233">
        <v>0</v>
      </c>
      <c r="O25" s="233"/>
      <c r="P25" s="233"/>
      <c r="Q25" s="233"/>
      <c r="R25" s="232">
        <f t="shared" si="2"/>
        <v>0</v>
      </c>
    </row>
    <row r="26" spans="1:18" s="6" customFormat="1" ht="24" hidden="1" customHeight="1">
      <c r="A26" s="209" t="s">
        <v>222</v>
      </c>
      <c r="B26" s="208" t="s">
        <v>216</v>
      </c>
      <c r="C26" s="106">
        <v>0</v>
      </c>
      <c r="D26" s="106">
        <v>0</v>
      </c>
      <c r="E26" s="232">
        <f>E27</f>
        <v>0</v>
      </c>
      <c r="F26" s="232">
        <f>F27</f>
        <v>0</v>
      </c>
      <c r="G26" s="232">
        <f>G27</f>
        <v>0</v>
      </c>
      <c r="H26" s="232">
        <f t="shared" si="0"/>
        <v>0</v>
      </c>
      <c r="I26" s="233">
        <v>0</v>
      </c>
      <c r="J26" s="232">
        <f>J27</f>
        <v>0</v>
      </c>
      <c r="K26" s="232">
        <f>K27</f>
        <v>0</v>
      </c>
      <c r="L26" s="232">
        <f>L27</f>
        <v>0</v>
      </c>
      <c r="M26" s="232">
        <f t="shared" si="1"/>
        <v>0</v>
      </c>
      <c r="N26" s="233">
        <v>0</v>
      </c>
      <c r="O26" s="232">
        <f>O27</f>
        <v>0</v>
      </c>
      <c r="P26" s="232">
        <f>P27</f>
        <v>0</v>
      </c>
      <c r="Q26" s="232">
        <f>Q27</f>
        <v>0</v>
      </c>
      <c r="R26" s="232">
        <f t="shared" si="2"/>
        <v>0</v>
      </c>
    </row>
    <row r="27" spans="1:18" s="6" customFormat="1" ht="36" hidden="1" customHeight="1">
      <c r="A27" s="209">
        <v>17100</v>
      </c>
      <c r="B27" s="208" t="s">
        <v>217</v>
      </c>
      <c r="C27" s="106">
        <v>0</v>
      </c>
      <c r="D27" s="106">
        <v>0</v>
      </c>
      <c r="E27" s="232">
        <f>SUM(E28:E31)</f>
        <v>0</v>
      </c>
      <c r="F27" s="232">
        <f>SUM(F28:F31)</f>
        <v>0</v>
      </c>
      <c r="G27" s="232">
        <f>SUM(G28:G31)</f>
        <v>0</v>
      </c>
      <c r="H27" s="232">
        <f t="shared" si="0"/>
        <v>0</v>
      </c>
      <c r="I27" s="233">
        <v>0</v>
      </c>
      <c r="J27" s="232">
        <f>SUM(J28:J31)</f>
        <v>0</v>
      </c>
      <c r="K27" s="232">
        <f>SUM(K28:K31)</f>
        <v>0</v>
      </c>
      <c r="L27" s="232">
        <f>SUM(L28:L31)</f>
        <v>0</v>
      </c>
      <c r="M27" s="232">
        <f t="shared" si="1"/>
        <v>0</v>
      </c>
      <c r="N27" s="233">
        <v>0</v>
      </c>
      <c r="O27" s="232">
        <f>SUM(O28:O31)</f>
        <v>0</v>
      </c>
      <c r="P27" s="232">
        <f>SUM(P28:P31)</f>
        <v>0</v>
      </c>
      <c r="Q27" s="232">
        <f>SUM(Q28:Q31)</f>
        <v>0</v>
      </c>
      <c r="R27" s="232">
        <f t="shared" si="2"/>
        <v>0</v>
      </c>
    </row>
    <row r="28" spans="1:18" s="6" customFormat="1" ht="60" hidden="1" customHeight="1">
      <c r="A28" s="149">
        <v>17110</v>
      </c>
      <c r="B28" s="208" t="s">
        <v>218</v>
      </c>
      <c r="C28" s="106"/>
      <c r="D28" s="106">
        <v>0</v>
      </c>
      <c r="E28" s="233"/>
      <c r="F28" s="233"/>
      <c r="G28" s="233"/>
      <c r="H28" s="232">
        <f t="shared" si="0"/>
        <v>0</v>
      </c>
      <c r="I28" s="233">
        <v>0</v>
      </c>
      <c r="J28" s="233"/>
      <c r="K28" s="233"/>
      <c r="L28" s="233"/>
      <c r="M28" s="232">
        <f t="shared" si="1"/>
        <v>0</v>
      </c>
      <c r="N28" s="233">
        <v>0</v>
      </c>
      <c r="O28" s="233"/>
      <c r="P28" s="233"/>
      <c r="Q28" s="233"/>
      <c r="R28" s="232">
        <f t="shared" si="2"/>
        <v>0</v>
      </c>
    </row>
    <row r="29" spans="1:18" s="6" customFormat="1" ht="60" hidden="1" customHeight="1">
      <c r="A29" s="149">
        <v>17120</v>
      </c>
      <c r="B29" s="208" t="s">
        <v>219</v>
      </c>
      <c r="C29" s="106"/>
      <c r="D29" s="106">
        <v>0</v>
      </c>
      <c r="E29" s="233"/>
      <c r="F29" s="233"/>
      <c r="G29" s="233"/>
      <c r="H29" s="232">
        <f t="shared" si="0"/>
        <v>0</v>
      </c>
      <c r="I29" s="233">
        <v>0</v>
      </c>
      <c r="J29" s="233"/>
      <c r="K29" s="233"/>
      <c r="L29" s="233"/>
      <c r="M29" s="232">
        <f t="shared" si="1"/>
        <v>0</v>
      </c>
      <c r="N29" s="233">
        <v>0</v>
      </c>
      <c r="O29" s="233"/>
      <c r="P29" s="233"/>
      <c r="Q29" s="233"/>
      <c r="R29" s="232">
        <f t="shared" si="2"/>
        <v>0</v>
      </c>
    </row>
    <row r="30" spans="1:18" s="6" customFormat="1" ht="108" hidden="1" customHeight="1">
      <c r="A30" s="149">
        <v>17130</v>
      </c>
      <c r="B30" s="208" t="s">
        <v>220</v>
      </c>
      <c r="C30" s="106"/>
      <c r="D30" s="106">
        <v>0</v>
      </c>
      <c r="E30" s="233"/>
      <c r="F30" s="233"/>
      <c r="G30" s="233"/>
      <c r="H30" s="232">
        <f t="shared" si="0"/>
        <v>0</v>
      </c>
      <c r="I30" s="233">
        <v>0</v>
      </c>
      <c r="J30" s="233"/>
      <c r="K30" s="233"/>
      <c r="L30" s="233"/>
      <c r="M30" s="232">
        <f t="shared" si="1"/>
        <v>0</v>
      </c>
      <c r="N30" s="233">
        <v>0</v>
      </c>
      <c r="O30" s="233"/>
      <c r="P30" s="233"/>
      <c r="Q30" s="233"/>
      <c r="R30" s="232">
        <f t="shared" si="2"/>
        <v>0</v>
      </c>
    </row>
    <row r="31" spans="1:18" s="6" customFormat="1" ht="108" hidden="1" customHeight="1">
      <c r="A31" s="149">
        <v>17140</v>
      </c>
      <c r="B31" s="208" t="s">
        <v>221</v>
      </c>
      <c r="C31" s="106"/>
      <c r="D31" s="106">
        <v>0</v>
      </c>
      <c r="E31" s="233"/>
      <c r="F31" s="233"/>
      <c r="G31" s="233"/>
      <c r="H31" s="232">
        <f t="shared" si="0"/>
        <v>0</v>
      </c>
      <c r="I31" s="233">
        <v>0</v>
      </c>
      <c r="J31" s="233"/>
      <c r="K31" s="233"/>
      <c r="L31" s="233"/>
      <c r="M31" s="232">
        <f t="shared" si="1"/>
        <v>0</v>
      </c>
      <c r="N31" s="233">
        <v>0</v>
      </c>
      <c r="O31" s="233"/>
      <c r="P31" s="233"/>
      <c r="Q31" s="233"/>
      <c r="R31" s="232">
        <f t="shared" si="2"/>
        <v>0</v>
      </c>
    </row>
    <row r="32" spans="1:18" s="6" customFormat="1" ht="11.4">
      <c r="A32" s="596">
        <v>21700</v>
      </c>
      <c r="B32" s="100" t="s">
        <v>97</v>
      </c>
      <c r="C32" s="162">
        <v>136090123</v>
      </c>
      <c r="D32" s="162">
        <v>138605623</v>
      </c>
      <c r="E32" s="254">
        <f>E33+E34</f>
        <v>0</v>
      </c>
      <c r="F32" s="254">
        <f>F33+F34</f>
        <v>9416663</v>
      </c>
      <c r="G32" s="254">
        <f>G33+G34</f>
        <v>4338410</v>
      </c>
      <c r="H32" s="253">
        <f t="shared" si="0"/>
        <v>152360696</v>
      </c>
      <c r="I32" s="254">
        <v>130425445</v>
      </c>
      <c r="J32" s="254">
        <f>J33+J34</f>
        <v>0</v>
      </c>
      <c r="K32" s="254">
        <f>K33+K34</f>
        <v>6690902</v>
      </c>
      <c r="L32" s="254">
        <f>L33+L34</f>
        <v>4555880</v>
      </c>
      <c r="M32" s="253">
        <f t="shared" si="1"/>
        <v>141672227</v>
      </c>
      <c r="N32" s="254">
        <v>111503284</v>
      </c>
      <c r="O32" s="254">
        <f>O33+O34</f>
        <v>0</v>
      </c>
      <c r="P32" s="254">
        <f>P33+P34</f>
        <v>18709874</v>
      </c>
      <c r="Q32" s="254">
        <f>Q33+Q34</f>
        <v>3371865</v>
      </c>
      <c r="R32" s="253">
        <f t="shared" si="2"/>
        <v>133585023</v>
      </c>
    </row>
    <row r="33" spans="1:18" s="6" customFormat="1" ht="24">
      <c r="A33" s="138">
        <v>21710</v>
      </c>
      <c r="B33" s="125" t="s">
        <v>98</v>
      </c>
      <c r="C33" s="170">
        <v>136090123</v>
      </c>
      <c r="D33" s="170">
        <v>138605623</v>
      </c>
      <c r="E33" s="233">
        <f>E117</f>
        <v>0</v>
      </c>
      <c r="F33" s="233">
        <f>F117</f>
        <v>9416663</v>
      </c>
      <c r="G33" s="233">
        <f>G117</f>
        <v>4338410</v>
      </c>
      <c r="H33" s="232">
        <f t="shared" si="0"/>
        <v>152360696</v>
      </c>
      <c r="I33" s="233">
        <v>130425445</v>
      </c>
      <c r="J33" s="233">
        <f>J117</f>
        <v>0</v>
      </c>
      <c r="K33" s="233">
        <f>K117</f>
        <v>6690902</v>
      </c>
      <c r="L33" s="233">
        <f>L117</f>
        <v>4555880</v>
      </c>
      <c r="M33" s="232">
        <f t="shared" si="1"/>
        <v>141672227</v>
      </c>
      <c r="N33" s="233">
        <v>111503284</v>
      </c>
      <c r="O33" s="233">
        <f>O117</f>
        <v>0</v>
      </c>
      <c r="P33" s="233">
        <f>P117</f>
        <v>18709874</v>
      </c>
      <c r="Q33" s="233">
        <f>Q117</f>
        <v>3371865</v>
      </c>
      <c r="R33" s="232">
        <f t="shared" si="2"/>
        <v>133585023</v>
      </c>
    </row>
    <row r="34" spans="1:18" s="6" customFormat="1" ht="24" hidden="1" customHeight="1">
      <c r="A34" s="138">
        <v>21720</v>
      </c>
      <c r="B34" s="125" t="s">
        <v>99</v>
      </c>
      <c r="C34" s="170"/>
      <c r="D34" s="170">
        <v>0</v>
      </c>
      <c r="E34" s="233"/>
      <c r="F34" s="233"/>
      <c r="G34" s="233"/>
      <c r="H34" s="232">
        <f t="shared" si="0"/>
        <v>0</v>
      </c>
      <c r="I34" s="233">
        <v>0</v>
      </c>
      <c r="J34" s="233"/>
      <c r="K34" s="233"/>
      <c r="L34" s="233"/>
      <c r="M34" s="232">
        <f t="shared" si="1"/>
        <v>0</v>
      </c>
      <c r="N34" s="233">
        <v>0</v>
      </c>
      <c r="O34" s="233"/>
      <c r="P34" s="233"/>
      <c r="Q34" s="233"/>
      <c r="R34" s="232">
        <f t="shared" si="2"/>
        <v>0</v>
      </c>
    </row>
    <row r="35" spans="1:18" s="6" customFormat="1" ht="11.4">
      <c r="A35" s="595" t="s">
        <v>100</v>
      </c>
      <c r="B35" s="99" t="s">
        <v>101</v>
      </c>
      <c r="C35" s="104">
        <v>142724672</v>
      </c>
      <c r="D35" s="104">
        <v>144722061</v>
      </c>
      <c r="E35" s="243">
        <f>E36+E63</f>
        <v>0</v>
      </c>
      <c r="F35" s="243">
        <f>F36+F63</f>
        <v>9416663</v>
      </c>
      <c r="G35" s="243">
        <f>G36+G63</f>
        <v>4338410</v>
      </c>
      <c r="H35" s="229">
        <f t="shared" si="0"/>
        <v>158477134</v>
      </c>
      <c r="I35" s="243">
        <v>132093624</v>
      </c>
      <c r="J35" s="243">
        <f>J36+J63</f>
        <v>0</v>
      </c>
      <c r="K35" s="243">
        <f>K36+K63</f>
        <v>6690902</v>
      </c>
      <c r="L35" s="243">
        <f>L36+L63</f>
        <v>4555880</v>
      </c>
      <c r="M35" s="229">
        <f t="shared" si="1"/>
        <v>143340406</v>
      </c>
      <c r="N35" s="243">
        <v>113171463</v>
      </c>
      <c r="O35" s="243">
        <f>O36+O63</f>
        <v>0</v>
      </c>
      <c r="P35" s="243">
        <f>P36+P63</f>
        <v>18709874</v>
      </c>
      <c r="Q35" s="243">
        <f>Q36+Q63</f>
        <v>3371865</v>
      </c>
      <c r="R35" s="229">
        <f t="shared" si="2"/>
        <v>135253202</v>
      </c>
    </row>
    <row r="36" spans="1:18" s="6" customFormat="1" ht="20.399999999999999">
      <c r="A36" s="344" t="s">
        <v>102</v>
      </c>
      <c r="B36" s="100" t="s">
        <v>103</v>
      </c>
      <c r="C36" s="162">
        <v>130877019</v>
      </c>
      <c r="D36" s="162">
        <v>126301736</v>
      </c>
      <c r="E36" s="254">
        <f>E37+E41+E42+E45+E48</f>
        <v>0</v>
      </c>
      <c r="F36" s="254">
        <f>F37+F41+F42+F45+F48</f>
        <v>9398125</v>
      </c>
      <c r="G36" s="254">
        <f>G37+G41+G42+G45+G48</f>
        <v>3217680</v>
      </c>
      <c r="H36" s="253">
        <f t="shared" si="0"/>
        <v>138917541</v>
      </c>
      <c r="I36" s="254">
        <v>124067966</v>
      </c>
      <c r="J36" s="254">
        <f>J37+J41+J42+J45+J48</f>
        <v>0</v>
      </c>
      <c r="K36" s="254">
        <f>K37+K41+K42+K45+K48</f>
        <v>6499451</v>
      </c>
      <c r="L36" s="254">
        <f>L37+L41+L42+L45+L48</f>
        <v>2030220</v>
      </c>
      <c r="M36" s="253">
        <f t="shared" si="1"/>
        <v>132597637</v>
      </c>
      <c r="N36" s="254">
        <v>110159635</v>
      </c>
      <c r="O36" s="254">
        <f>O37+O41+O42+O45+O48</f>
        <v>0</v>
      </c>
      <c r="P36" s="254">
        <f>P37+P41+P42+P45+P48</f>
        <v>18138102</v>
      </c>
      <c r="Q36" s="254">
        <f>Q37+Q41+Q42+Q45+Q48</f>
        <v>2085625</v>
      </c>
      <c r="R36" s="253">
        <f t="shared" si="2"/>
        <v>130383362</v>
      </c>
    </row>
    <row r="37" spans="1:18" s="6" customFormat="1" ht="11.4">
      <c r="A37" s="344" t="s">
        <v>104</v>
      </c>
      <c r="B37" s="100" t="s">
        <v>105</v>
      </c>
      <c r="C37" s="162">
        <v>118653165</v>
      </c>
      <c r="D37" s="162">
        <v>113432582</v>
      </c>
      <c r="E37" s="254">
        <f>E38+E40</f>
        <v>0</v>
      </c>
      <c r="F37" s="254">
        <f>F38+F40</f>
        <v>9172126</v>
      </c>
      <c r="G37" s="254">
        <f>G38+G40</f>
        <v>3161360</v>
      </c>
      <c r="H37" s="253">
        <f t="shared" si="0"/>
        <v>125766068</v>
      </c>
      <c r="I37" s="254">
        <v>110498812</v>
      </c>
      <c r="J37" s="254">
        <f>J38+J40</f>
        <v>0</v>
      </c>
      <c r="K37" s="254">
        <f>K38+K40</f>
        <v>6273452</v>
      </c>
      <c r="L37" s="254">
        <f>L38+L40</f>
        <v>1973900</v>
      </c>
      <c r="M37" s="253">
        <f t="shared" si="1"/>
        <v>118746164</v>
      </c>
      <c r="N37" s="254">
        <v>95509929</v>
      </c>
      <c r="O37" s="254">
        <f>O38+O40</f>
        <v>0</v>
      </c>
      <c r="P37" s="254">
        <f>P38+P40</f>
        <v>17912103</v>
      </c>
      <c r="Q37" s="254">
        <f>Q38+Q40</f>
        <v>2029305</v>
      </c>
      <c r="R37" s="253">
        <f t="shared" si="2"/>
        <v>115451337</v>
      </c>
    </row>
    <row r="38" spans="1:18" s="6" customFormat="1" ht="12">
      <c r="A38" s="132">
        <v>1000</v>
      </c>
      <c r="B38" s="125" t="s">
        <v>106</v>
      </c>
      <c r="C38" s="170">
        <v>62235534</v>
      </c>
      <c r="D38" s="170">
        <v>62439919</v>
      </c>
      <c r="E38" s="233">
        <f t="shared" ref="E38:G40" si="6">E122</f>
        <v>0</v>
      </c>
      <c r="F38" s="233">
        <f t="shared" si="6"/>
        <v>1875556</v>
      </c>
      <c r="G38" s="233">
        <f t="shared" si="6"/>
        <v>142735</v>
      </c>
      <c r="H38" s="232">
        <f t="shared" si="0"/>
        <v>64458210</v>
      </c>
      <c r="I38" s="233">
        <v>62232484</v>
      </c>
      <c r="J38" s="233">
        <f t="shared" ref="J38:L40" si="7">J122</f>
        <v>0</v>
      </c>
      <c r="K38" s="233">
        <f t="shared" si="7"/>
        <v>2029994</v>
      </c>
      <c r="L38" s="233">
        <f t="shared" si="7"/>
        <v>136967</v>
      </c>
      <c r="M38" s="232">
        <f t="shared" si="1"/>
        <v>64399445</v>
      </c>
      <c r="N38" s="233">
        <v>62154886</v>
      </c>
      <c r="O38" s="233">
        <f t="shared" ref="O38:Q40" si="8">O122</f>
        <v>0</v>
      </c>
      <c r="P38" s="233">
        <f t="shared" si="8"/>
        <v>2027937</v>
      </c>
      <c r="Q38" s="233">
        <f t="shared" si="8"/>
        <v>136967</v>
      </c>
      <c r="R38" s="232">
        <f t="shared" si="2"/>
        <v>64319790</v>
      </c>
    </row>
    <row r="39" spans="1:18" s="6" customFormat="1" ht="12">
      <c r="A39" s="139">
        <v>1100</v>
      </c>
      <c r="B39" s="125" t="s">
        <v>107</v>
      </c>
      <c r="C39" s="170">
        <v>39373212</v>
      </c>
      <c r="D39" s="170">
        <v>39537920</v>
      </c>
      <c r="E39" s="233">
        <f t="shared" si="6"/>
        <v>0</v>
      </c>
      <c r="F39" s="233">
        <f t="shared" si="6"/>
        <v>1620</v>
      </c>
      <c r="G39" s="233">
        <f t="shared" si="6"/>
        <v>115025</v>
      </c>
      <c r="H39" s="233">
        <f t="shared" si="0"/>
        <v>39654565</v>
      </c>
      <c r="I39" s="233">
        <v>39370755</v>
      </c>
      <c r="J39" s="233">
        <f t="shared" si="7"/>
        <v>0</v>
      </c>
      <c r="K39" s="233">
        <f t="shared" si="7"/>
        <v>166927</v>
      </c>
      <c r="L39" s="233">
        <f t="shared" si="7"/>
        <v>110377</v>
      </c>
      <c r="M39" s="233">
        <f t="shared" si="1"/>
        <v>39648059</v>
      </c>
      <c r="N39" s="233">
        <v>39308221</v>
      </c>
      <c r="O39" s="233">
        <f t="shared" si="8"/>
        <v>0</v>
      </c>
      <c r="P39" s="233">
        <f t="shared" si="8"/>
        <v>165270</v>
      </c>
      <c r="Q39" s="233">
        <f t="shared" si="8"/>
        <v>110377</v>
      </c>
      <c r="R39" s="233">
        <f t="shared" si="2"/>
        <v>39583868</v>
      </c>
    </row>
    <row r="40" spans="1:18" s="6" customFormat="1" ht="12">
      <c r="A40" s="132">
        <v>2000</v>
      </c>
      <c r="B40" s="125" t="s">
        <v>108</v>
      </c>
      <c r="C40" s="170">
        <v>56417631</v>
      </c>
      <c r="D40" s="170">
        <v>50992663</v>
      </c>
      <c r="E40" s="233">
        <f t="shared" si="6"/>
        <v>0</v>
      </c>
      <c r="F40" s="233">
        <f t="shared" si="6"/>
        <v>7296570</v>
      </c>
      <c r="G40" s="233">
        <f t="shared" si="6"/>
        <v>3018625</v>
      </c>
      <c r="H40" s="232">
        <f t="shared" si="0"/>
        <v>61307858</v>
      </c>
      <c r="I40" s="233">
        <v>48266328</v>
      </c>
      <c r="J40" s="233">
        <f t="shared" si="7"/>
        <v>0</v>
      </c>
      <c r="K40" s="233">
        <f t="shared" si="7"/>
        <v>4243458</v>
      </c>
      <c r="L40" s="233">
        <f t="shared" si="7"/>
        <v>1836933</v>
      </c>
      <c r="M40" s="232">
        <f t="shared" si="1"/>
        <v>54346719</v>
      </c>
      <c r="N40" s="233">
        <v>33355043</v>
      </c>
      <c r="O40" s="233">
        <f t="shared" si="8"/>
        <v>0</v>
      </c>
      <c r="P40" s="233">
        <f t="shared" si="8"/>
        <v>15884166</v>
      </c>
      <c r="Q40" s="233">
        <f t="shared" si="8"/>
        <v>1892338</v>
      </c>
      <c r="R40" s="232">
        <f t="shared" si="2"/>
        <v>51131547</v>
      </c>
    </row>
    <row r="41" spans="1:18" s="6" customFormat="1" ht="12" hidden="1" customHeight="1">
      <c r="A41" s="140">
        <v>4000</v>
      </c>
      <c r="B41" s="124" t="s">
        <v>132</v>
      </c>
      <c r="C41" s="170"/>
      <c r="D41" s="170">
        <v>0</v>
      </c>
      <c r="E41" s="244"/>
      <c r="F41" s="244"/>
      <c r="G41" s="244"/>
      <c r="H41" s="232">
        <f t="shared" si="0"/>
        <v>0</v>
      </c>
      <c r="I41" s="233">
        <v>0</v>
      </c>
      <c r="J41" s="244"/>
      <c r="K41" s="244"/>
      <c r="L41" s="244"/>
      <c r="M41" s="232">
        <f t="shared" si="1"/>
        <v>0</v>
      </c>
      <c r="N41" s="233">
        <v>0</v>
      </c>
      <c r="O41" s="244"/>
      <c r="P41" s="244"/>
      <c r="Q41" s="244"/>
      <c r="R41" s="232">
        <f t="shared" si="2"/>
        <v>0</v>
      </c>
    </row>
    <row r="42" spans="1:18" s="6" customFormat="1" ht="11.4">
      <c r="A42" s="337" t="s">
        <v>109</v>
      </c>
      <c r="B42" s="100" t="s">
        <v>110</v>
      </c>
      <c r="C42" s="162">
        <v>6732620</v>
      </c>
      <c r="D42" s="162">
        <v>7357920</v>
      </c>
      <c r="E42" s="254">
        <f>E43+E44</f>
        <v>0</v>
      </c>
      <c r="F42" s="254">
        <f>F43+F44</f>
        <v>0</v>
      </c>
      <c r="G42" s="254">
        <f>G43+G44</f>
        <v>56320</v>
      </c>
      <c r="H42" s="253">
        <f t="shared" ref="H42:H73" si="9">SUM(D42:G42)</f>
        <v>7414240</v>
      </c>
      <c r="I42" s="254">
        <v>8057920</v>
      </c>
      <c r="J42" s="254">
        <f>J43+J44</f>
        <v>0</v>
      </c>
      <c r="K42" s="254">
        <f>K43+K44</f>
        <v>0</v>
      </c>
      <c r="L42" s="254">
        <f>L43+L44</f>
        <v>56320</v>
      </c>
      <c r="M42" s="253">
        <f t="shared" ref="M42:M92" si="10">SUM(I42:L42)</f>
        <v>8114240</v>
      </c>
      <c r="N42" s="254">
        <v>9216232</v>
      </c>
      <c r="O42" s="254">
        <f>O43+O44</f>
        <v>0</v>
      </c>
      <c r="P42" s="254">
        <f>P43+P44</f>
        <v>0</v>
      </c>
      <c r="Q42" s="254">
        <f>Q43+Q44</f>
        <v>56320</v>
      </c>
      <c r="R42" s="253">
        <f t="shared" ref="R42:R92" si="11">SUM(N42:Q42)</f>
        <v>9272552</v>
      </c>
    </row>
    <row r="43" spans="1:18" s="6" customFormat="1" ht="12">
      <c r="A43" s="132">
        <v>3000</v>
      </c>
      <c r="B43" s="125" t="s">
        <v>111</v>
      </c>
      <c r="C43" s="202">
        <v>69920</v>
      </c>
      <c r="D43" s="202">
        <v>29920</v>
      </c>
      <c r="E43" s="246"/>
      <c r="F43" s="246"/>
      <c r="G43" s="345">
        <f>+G127</f>
        <v>56320</v>
      </c>
      <c r="H43" s="232">
        <f t="shared" si="9"/>
        <v>86240</v>
      </c>
      <c r="I43" s="345">
        <v>29920</v>
      </c>
      <c r="J43" s="246"/>
      <c r="K43" s="246"/>
      <c r="L43" s="345">
        <f>+L127</f>
        <v>56320</v>
      </c>
      <c r="M43" s="232">
        <f t="shared" si="10"/>
        <v>86240</v>
      </c>
      <c r="N43" s="345">
        <v>29920</v>
      </c>
      <c r="O43" s="246"/>
      <c r="P43" s="246"/>
      <c r="Q43" s="345">
        <f>+Q127</f>
        <v>56320</v>
      </c>
      <c r="R43" s="232">
        <f t="shared" si="11"/>
        <v>86240</v>
      </c>
    </row>
    <row r="44" spans="1:18" s="6" customFormat="1" ht="12">
      <c r="A44" s="132">
        <v>6000</v>
      </c>
      <c r="B44" s="125" t="s">
        <v>112</v>
      </c>
      <c r="C44" s="203">
        <v>6662700</v>
      </c>
      <c r="D44" s="203">
        <v>7328000</v>
      </c>
      <c r="E44" s="248"/>
      <c r="F44" s="248"/>
      <c r="G44" s="248"/>
      <c r="H44" s="232">
        <f t="shared" si="9"/>
        <v>7328000</v>
      </c>
      <c r="I44" s="346">
        <v>8028000</v>
      </c>
      <c r="J44" s="248"/>
      <c r="K44" s="248"/>
      <c r="L44" s="248"/>
      <c r="M44" s="232">
        <f t="shared" si="10"/>
        <v>8028000</v>
      </c>
      <c r="N44" s="346">
        <v>9186312</v>
      </c>
      <c r="O44" s="248"/>
      <c r="P44" s="248"/>
      <c r="Q44" s="248"/>
      <c r="R44" s="232">
        <f t="shared" si="11"/>
        <v>9186312</v>
      </c>
    </row>
    <row r="45" spans="1:18" s="6" customFormat="1" ht="22.8">
      <c r="A45" s="337" t="s">
        <v>113</v>
      </c>
      <c r="B45" s="100" t="s">
        <v>183</v>
      </c>
      <c r="C45" s="162">
        <v>5411572</v>
      </c>
      <c r="D45" s="162">
        <v>5431572</v>
      </c>
      <c r="E45" s="254">
        <f>E46+E47</f>
        <v>0</v>
      </c>
      <c r="F45" s="254">
        <f>F46+F47</f>
        <v>0</v>
      </c>
      <c r="G45" s="254">
        <f>G46+G47</f>
        <v>0</v>
      </c>
      <c r="H45" s="253">
        <f t="shared" si="9"/>
        <v>5431572</v>
      </c>
      <c r="I45" s="254">
        <v>5431572</v>
      </c>
      <c r="J45" s="254">
        <f>J46+J47</f>
        <v>0</v>
      </c>
      <c r="K45" s="254">
        <f>K46+K47</f>
        <v>0</v>
      </c>
      <c r="L45" s="254">
        <f>L46+L47</f>
        <v>0</v>
      </c>
      <c r="M45" s="253">
        <f t="shared" si="10"/>
        <v>5431572</v>
      </c>
      <c r="N45" s="254">
        <v>5431572</v>
      </c>
      <c r="O45" s="254">
        <f>O46+O47</f>
        <v>0</v>
      </c>
      <c r="P45" s="254">
        <f>P46+P47</f>
        <v>0</v>
      </c>
      <c r="Q45" s="254">
        <f>Q46+Q47</f>
        <v>0</v>
      </c>
      <c r="R45" s="253">
        <f t="shared" si="11"/>
        <v>5431572</v>
      </c>
    </row>
    <row r="46" spans="1:18" s="6" customFormat="1" ht="12" hidden="1" customHeight="1">
      <c r="A46" s="132">
        <v>7600</v>
      </c>
      <c r="B46" s="179" t="s">
        <v>184</v>
      </c>
      <c r="C46" s="170"/>
      <c r="D46" s="170">
        <v>0</v>
      </c>
      <c r="E46" s="244"/>
      <c r="F46" s="244"/>
      <c r="G46" s="244"/>
      <c r="H46" s="232">
        <f t="shared" si="9"/>
        <v>0</v>
      </c>
      <c r="I46" s="233">
        <v>0</v>
      </c>
      <c r="J46" s="244"/>
      <c r="K46" s="244"/>
      <c r="L46" s="244"/>
      <c r="M46" s="232">
        <f t="shared" si="10"/>
        <v>0</v>
      </c>
      <c r="N46" s="233">
        <v>0</v>
      </c>
      <c r="O46" s="244"/>
      <c r="P46" s="244"/>
      <c r="Q46" s="244"/>
      <c r="R46" s="232">
        <f t="shared" si="11"/>
        <v>0</v>
      </c>
    </row>
    <row r="47" spans="1:18" s="6" customFormat="1" ht="12">
      <c r="A47" s="132">
        <v>7700</v>
      </c>
      <c r="B47" s="126" t="s">
        <v>114</v>
      </c>
      <c r="C47" s="170">
        <v>5411572</v>
      </c>
      <c r="D47" s="170">
        <v>5431572</v>
      </c>
      <c r="E47" s="244"/>
      <c r="F47" s="244"/>
      <c r="G47" s="244"/>
      <c r="H47" s="232">
        <f t="shared" si="9"/>
        <v>5431572</v>
      </c>
      <c r="I47" s="233">
        <v>5431572</v>
      </c>
      <c r="J47" s="244"/>
      <c r="K47" s="244"/>
      <c r="L47" s="244"/>
      <c r="M47" s="232">
        <f t="shared" si="10"/>
        <v>5431572</v>
      </c>
      <c r="N47" s="233">
        <v>5431572</v>
      </c>
      <c r="O47" s="244"/>
      <c r="P47" s="244"/>
      <c r="Q47" s="244"/>
      <c r="R47" s="232">
        <f t="shared" si="11"/>
        <v>5431572</v>
      </c>
    </row>
    <row r="48" spans="1:18" s="6" customFormat="1" ht="20.399999999999999">
      <c r="A48" s="337" t="s">
        <v>185</v>
      </c>
      <c r="B48" s="100" t="s">
        <v>115</v>
      </c>
      <c r="C48" s="162">
        <v>79662</v>
      </c>
      <c r="D48" s="162">
        <v>79662</v>
      </c>
      <c r="E48" s="254">
        <f>E49+E55+E59+E62</f>
        <v>0</v>
      </c>
      <c r="F48" s="254">
        <f>F49+F55+F59+F62</f>
        <v>225999</v>
      </c>
      <c r="G48" s="254">
        <f>G49+G55+G59+G62</f>
        <v>0</v>
      </c>
      <c r="H48" s="253">
        <f t="shared" si="9"/>
        <v>305661</v>
      </c>
      <c r="I48" s="254">
        <v>79662</v>
      </c>
      <c r="J48" s="254">
        <f>J49+J55+J59+J62</f>
        <v>0</v>
      </c>
      <c r="K48" s="254">
        <f>K49+K55+K59+K62</f>
        <v>225999</v>
      </c>
      <c r="L48" s="254">
        <f>L49+L55+L59+L62</f>
        <v>0</v>
      </c>
      <c r="M48" s="253">
        <f t="shared" si="10"/>
        <v>305661</v>
      </c>
      <c r="N48" s="254">
        <v>1902</v>
      </c>
      <c r="O48" s="254">
        <f>O49+O55+O59+O62</f>
        <v>0</v>
      </c>
      <c r="P48" s="254">
        <f>P49+P55+P59+P62</f>
        <v>225999</v>
      </c>
      <c r="Q48" s="254">
        <f>Q49+Q55+Q59+Q62</f>
        <v>0</v>
      </c>
      <c r="R48" s="253">
        <f t="shared" si="11"/>
        <v>227901</v>
      </c>
    </row>
    <row r="49" spans="1:18" s="6" customFormat="1" ht="12">
      <c r="A49" s="132">
        <v>7100</v>
      </c>
      <c r="B49" s="179" t="s">
        <v>116</v>
      </c>
      <c r="C49" s="170">
        <v>77760</v>
      </c>
      <c r="D49" s="170">
        <v>77760</v>
      </c>
      <c r="E49" s="233">
        <f>E50+E51</f>
        <v>0</v>
      </c>
      <c r="F49" s="233">
        <f>F50+F51</f>
        <v>0</v>
      </c>
      <c r="G49" s="233">
        <f>G50+G51</f>
        <v>0</v>
      </c>
      <c r="H49" s="232">
        <f t="shared" si="9"/>
        <v>77760</v>
      </c>
      <c r="I49" s="233">
        <v>77760</v>
      </c>
      <c r="J49" s="233">
        <f>J50+J51</f>
        <v>0</v>
      </c>
      <c r="K49" s="233">
        <f>K50+K51</f>
        <v>0</v>
      </c>
      <c r="L49" s="233">
        <f>L50+L51</f>
        <v>0</v>
      </c>
      <c r="M49" s="232">
        <f t="shared" si="10"/>
        <v>77760</v>
      </c>
      <c r="N49" s="233">
        <v>0</v>
      </c>
      <c r="O49" s="233">
        <f>O50+O51</f>
        <v>0</v>
      </c>
      <c r="P49" s="233">
        <f>P50+P51</f>
        <v>0</v>
      </c>
      <c r="Q49" s="233">
        <f>Q50+Q51</f>
        <v>0</v>
      </c>
      <c r="R49" s="232">
        <f t="shared" si="11"/>
        <v>0</v>
      </c>
    </row>
    <row r="50" spans="1:18" s="6" customFormat="1" ht="24" hidden="1" customHeight="1">
      <c r="A50" s="133" t="s">
        <v>117</v>
      </c>
      <c r="B50" s="179" t="s">
        <v>118</v>
      </c>
      <c r="C50" s="170"/>
      <c r="D50" s="170">
        <v>0</v>
      </c>
      <c r="E50" s="233"/>
      <c r="F50" s="233"/>
      <c r="G50" s="233"/>
      <c r="H50" s="232">
        <f t="shared" si="9"/>
        <v>0</v>
      </c>
      <c r="I50" s="233">
        <v>0</v>
      </c>
      <c r="J50" s="233"/>
      <c r="K50" s="233"/>
      <c r="L50" s="233"/>
      <c r="M50" s="232">
        <f t="shared" si="10"/>
        <v>0</v>
      </c>
      <c r="N50" s="233">
        <v>0</v>
      </c>
      <c r="O50" s="233"/>
      <c r="P50" s="233"/>
      <c r="Q50" s="233"/>
      <c r="R50" s="232">
        <f t="shared" si="11"/>
        <v>0</v>
      </c>
    </row>
    <row r="51" spans="1:18" s="6" customFormat="1" ht="24">
      <c r="A51" s="133">
        <v>7130</v>
      </c>
      <c r="B51" s="179" t="s">
        <v>119</v>
      </c>
      <c r="C51" s="170">
        <v>77760</v>
      </c>
      <c r="D51" s="170">
        <v>77760</v>
      </c>
      <c r="E51" s="233">
        <f>SUM(E52:E54)</f>
        <v>0</v>
      </c>
      <c r="F51" s="233">
        <f>SUM(F52:F54)</f>
        <v>0</v>
      </c>
      <c r="G51" s="233">
        <f>SUM(G52:G54)</f>
        <v>0</v>
      </c>
      <c r="H51" s="232">
        <f t="shared" si="9"/>
        <v>77760</v>
      </c>
      <c r="I51" s="233">
        <v>77760</v>
      </c>
      <c r="J51" s="233">
        <f>SUM(J52:J54)</f>
        <v>0</v>
      </c>
      <c r="K51" s="233">
        <f>SUM(K52:K54)</f>
        <v>0</v>
      </c>
      <c r="L51" s="233">
        <f>SUM(L52:L54)</f>
        <v>0</v>
      </c>
      <c r="M51" s="232">
        <f t="shared" si="10"/>
        <v>77760</v>
      </c>
      <c r="N51" s="233">
        <v>0</v>
      </c>
      <c r="O51" s="233">
        <f>SUM(O52:O54)</f>
        <v>0</v>
      </c>
      <c r="P51" s="233">
        <f>SUM(P52:P54)</f>
        <v>0</v>
      </c>
      <c r="Q51" s="233">
        <f>SUM(Q52:Q54)</f>
        <v>0</v>
      </c>
      <c r="R51" s="232">
        <f t="shared" si="11"/>
        <v>0</v>
      </c>
    </row>
    <row r="52" spans="1:18" s="6" customFormat="1" ht="36">
      <c r="A52" s="134">
        <v>7131</v>
      </c>
      <c r="B52" s="179" t="s">
        <v>120</v>
      </c>
      <c r="C52" s="170">
        <v>77760</v>
      </c>
      <c r="D52" s="170">
        <v>77760</v>
      </c>
      <c r="E52" s="233"/>
      <c r="F52" s="233"/>
      <c r="G52" s="233"/>
      <c r="H52" s="232">
        <f t="shared" si="9"/>
        <v>77760</v>
      </c>
      <c r="I52" s="233">
        <v>77760</v>
      </c>
      <c r="J52" s="233"/>
      <c r="K52" s="233"/>
      <c r="L52" s="233"/>
      <c r="M52" s="232">
        <f t="shared" si="10"/>
        <v>77760</v>
      </c>
      <c r="N52" s="233">
        <v>0</v>
      </c>
      <c r="O52" s="233"/>
      <c r="P52" s="233"/>
      <c r="Q52" s="233"/>
      <c r="R52" s="232">
        <f t="shared" si="11"/>
        <v>0</v>
      </c>
    </row>
    <row r="53" spans="1:18" s="6" customFormat="1" ht="36" hidden="1" customHeight="1">
      <c r="A53" s="134">
        <v>7132</v>
      </c>
      <c r="B53" s="179" t="s">
        <v>121</v>
      </c>
      <c r="C53" s="170"/>
      <c r="D53" s="170">
        <v>0</v>
      </c>
      <c r="E53" s="233"/>
      <c r="F53" s="233"/>
      <c r="G53" s="233"/>
      <c r="H53" s="232">
        <f t="shared" si="9"/>
        <v>0</v>
      </c>
      <c r="I53" s="233">
        <v>0</v>
      </c>
      <c r="J53" s="233"/>
      <c r="K53" s="233"/>
      <c r="L53" s="233"/>
      <c r="M53" s="232">
        <f t="shared" si="10"/>
        <v>0</v>
      </c>
      <c r="N53" s="233">
        <v>0</v>
      </c>
      <c r="O53" s="233"/>
      <c r="P53" s="233"/>
      <c r="Q53" s="233"/>
      <c r="R53" s="232">
        <f t="shared" si="11"/>
        <v>0</v>
      </c>
    </row>
    <row r="54" spans="1:18" s="6" customFormat="1" ht="36" hidden="1" customHeight="1">
      <c r="A54" s="134" t="s">
        <v>186</v>
      </c>
      <c r="B54" s="179" t="s">
        <v>187</v>
      </c>
      <c r="C54" s="170"/>
      <c r="D54" s="170">
        <v>0</v>
      </c>
      <c r="E54" s="233"/>
      <c r="F54" s="233"/>
      <c r="G54" s="233"/>
      <c r="H54" s="232">
        <f t="shared" si="9"/>
        <v>0</v>
      </c>
      <c r="I54" s="233">
        <v>0</v>
      </c>
      <c r="J54" s="233"/>
      <c r="K54" s="233"/>
      <c r="L54" s="233"/>
      <c r="M54" s="232">
        <f t="shared" si="10"/>
        <v>0</v>
      </c>
      <c r="N54" s="233">
        <v>0</v>
      </c>
      <c r="O54" s="233"/>
      <c r="P54" s="233"/>
      <c r="Q54" s="233"/>
      <c r="R54" s="232">
        <f t="shared" si="11"/>
        <v>0</v>
      </c>
    </row>
    <row r="55" spans="1:18" s="6" customFormat="1" ht="24" hidden="1" customHeight="1">
      <c r="A55" s="132">
        <v>7300</v>
      </c>
      <c r="B55" s="172" t="s">
        <v>155</v>
      </c>
      <c r="C55" s="170">
        <v>0</v>
      </c>
      <c r="D55" s="170">
        <v>0</v>
      </c>
      <c r="E55" s="233">
        <f>SUM(E56:E58)</f>
        <v>0</v>
      </c>
      <c r="F55" s="233">
        <f>SUM(F56:F58)</f>
        <v>0</v>
      </c>
      <c r="G55" s="233">
        <f>SUM(G56:G58)</f>
        <v>0</v>
      </c>
      <c r="H55" s="232">
        <f t="shared" si="9"/>
        <v>0</v>
      </c>
      <c r="I55" s="233">
        <v>0</v>
      </c>
      <c r="J55" s="233">
        <f>SUM(J56:J58)</f>
        <v>0</v>
      </c>
      <c r="K55" s="233">
        <f>SUM(K56:K58)</f>
        <v>0</v>
      </c>
      <c r="L55" s="233">
        <f>SUM(L56:L58)</f>
        <v>0</v>
      </c>
      <c r="M55" s="232">
        <f t="shared" si="10"/>
        <v>0</v>
      </c>
      <c r="N55" s="233">
        <v>0</v>
      </c>
      <c r="O55" s="233">
        <f>SUM(O56:O58)</f>
        <v>0</v>
      </c>
      <c r="P55" s="233">
        <f>SUM(P56:P58)</f>
        <v>0</v>
      </c>
      <c r="Q55" s="233">
        <f>SUM(Q56:Q58)</f>
        <v>0</v>
      </c>
      <c r="R55" s="232">
        <f t="shared" si="11"/>
        <v>0</v>
      </c>
    </row>
    <row r="56" spans="1:18" s="6" customFormat="1" ht="24" hidden="1" customHeight="1">
      <c r="A56" s="133" t="s">
        <v>188</v>
      </c>
      <c r="B56" s="179" t="s">
        <v>170</v>
      </c>
      <c r="C56" s="204"/>
      <c r="D56" s="204">
        <v>0</v>
      </c>
      <c r="E56" s="252"/>
      <c r="F56" s="252"/>
      <c r="G56" s="252"/>
      <c r="H56" s="232">
        <f t="shared" si="9"/>
        <v>0</v>
      </c>
      <c r="I56" s="252">
        <v>0</v>
      </c>
      <c r="J56" s="252"/>
      <c r="K56" s="252"/>
      <c r="L56" s="252"/>
      <c r="M56" s="232">
        <f t="shared" si="10"/>
        <v>0</v>
      </c>
      <c r="N56" s="252">
        <v>0</v>
      </c>
      <c r="O56" s="252"/>
      <c r="P56" s="252"/>
      <c r="Q56" s="252"/>
      <c r="R56" s="232">
        <f t="shared" si="11"/>
        <v>0</v>
      </c>
    </row>
    <row r="57" spans="1:18" s="29" customFormat="1" ht="48" hidden="1" customHeight="1">
      <c r="A57" s="133" t="s">
        <v>189</v>
      </c>
      <c r="B57" s="179" t="s">
        <v>156</v>
      </c>
      <c r="C57" s="204"/>
      <c r="D57" s="204">
        <v>0</v>
      </c>
      <c r="E57" s="252"/>
      <c r="F57" s="252"/>
      <c r="G57" s="252"/>
      <c r="H57" s="232">
        <f t="shared" si="9"/>
        <v>0</v>
      </c>
      <c r="I57" s="252">
        <v>0</v>
      </c>
      <c r="J57" s="252"/>
      <c r="K57" s="252"/>
      <c r="L57" s="252"/>
      <c r="M57" s="232">
        <f t="shared" si="10"/>
        <v>0</v>
      </c>
      <c r="N57" s="252">
        <v>0</v>
      </c>
      <c r="O57" s="252"/>
      <c r="P57" s="252"/>
      <c r="Q57" s="252"/>
      <c r="R57" s="232">
        <f t="shared" si="11"/>
        <v>0</v>
      </c>
    </row>
    <row r="58" spans="1:18" s="89" customFormat="1" ht="36" hidden="1" customHeight="1">
      <c r="A58" s="133">
        <v>7350</v>
      </c>
      <c r="B58" s="179" t="s">
        <v>163</v>
      </c>
      <c r="C58" s="204"/>
      <c r="D58" s="204">
        <v>0</v>
      </c>
      <c r="E58" s="252"/>
      <c r="F58" s="252"/>
      <c r="G58" s="252"/>
      <c r="H58" s="232">
        <f t="shared" si="9"/>
        <v>0</v>
      </c>
      <c r="I58" s="252">
        <v>0</v>
      </c>
      <c r="J58" s="252"/>
      <c r="K58" s="252"/>
      <c r="L58" s="252"/>
      <c r="M58" s="232">
        <f t="shared" si="10"/>
        <v>0</v>
      </c>
      <c r="N58" s="252">
        <v>0</v>
      </c>
      <c r="O58" s="252"/>
      <c r="P58" s="252"/>
      <c r="Q58" s="252"/>
      <c r="R58" s="232">
        <f t="shared" si="11"/>
        <v>0</v>
      </c>
    </row>
    <row r="59" spans="1:18" s="89" customFormat="1" ht="24">
      <c r="A59" s="132">
        <v>7400</v>
      </c>
      <c r="B59" s="172" t="s">
        <v>161</v>
      </c>
      <c r="C59" s="170">
        <v>1902</v>
      </c>
      <c r="D59" s="170">
        <v>1902</v>
      </c>
      <c r="E59" s="233">
        <f>SUM(E60:E61)</f>
        <v>0</v>
      </c>
      <c r="F59" s="233">
        <f>SUM(F60:F61)</f>
        <v>225999</v>
      </c>
      <c r="G59" s="233">
        <f>SUM(G60:G61)</f>
        <v>0</v>
      </c>
      <c r="H59" s="232">
        <f t="shared" si="9"/>
        <v>227901</v>
      </c>
      <c r="I59" s="233">
        <v>1902</v>
      </c>
      <c r="J59" s="233">
        <f>SUM(J60:J61)</f>
        <v>0</v>
      </c>
      <c r="K59" s="233">
        <f>SUM(K60:K61)</f>
        <v>225999</v>
      </c>
      <c r="L59" s="233">
        <f>SUM(L60:L61)</f>
        <v>0</v>
      </c>
      <c r="M59" s="232">
        <f t="shared" si="10"/>
        <v>227901</v>
      </c>
      <c r="N59" s="233">
        <v>1902</v>
      </c>
      <c r="O59" s="233">
        <f>SUM(O60:O61)</f>
        <v>0</v>
      </c>
      <c r="P59" s="233">
        <f>SUM(P60:P61)</f>
        <v>225999</v>
      </c>
      <c r="Q59" s="233">
        <f>SUM(Q60:Q61)</f>
        <v>0</v>
      </c>
      <c r="R59" s="232">
        <f t="shared" si="11"/>
        <v>227901</v>
      </c>
    </row>
    <row r="60" spans="1:18" s="89" customFormat="1" ht="24">
      <c r="A60" s="133">
        <v>7460</v>
      </c>
      <c r="B60" s="172" t="s">
        <v>162</v>
      </c>
      <c r="C60" s="204">
        <v>1902</v>
      </c>
      <c r="D60" s="204">
        <v>1902</v>
      </c>
      <c r="E60" s="252"/>
      <c r="F60" s="252"/>
      <c r="G60" s="252"/>
      <c r="H60" s="232">
        <f t="shared" si="9"/>
        <v>1902</v>
      </c>
      <c r="I60" s="252">
        <v>1902</v>
      </c>
      <c r="J60" s="252"/>
      <c r="K60" s="252"/>
      <c r="L60" s="252"/>
      <c r="M60" s="232">
        <f t="shared" si="10"/>
        <v>1902</v>
      </c>
      <c r="N60" s="252">
        <v>1902</v>
      </c>
      <c r="O60" s="252"/>
      <c r="P60" s="252"/>
      <c r="Q60" s="252"/>
      <c r="R60" s="232">
        <f t="shared" si="11"/>
        <v>1902</v>
      </c>
    </row>
    <row r="61" spans="1:18" s="89" customFormat="1" ht="48" hidden="1" customHeight="1">
      <c r="A61" s="133">
        <v>7470</v>
      </c>
      <c r="B61" s="179" t="s">
        <v>167</v>
      </c>
      <c r="C61" s="204">
        <v>0</v>
      </c>
      <c r="D61" s="204">
        <v>0</v>
      </c>
      <c r="E61" s="252"/>
      <c r="F61" s="252">
        <f>F145</f>
        <v>225999</v>
      </c>
      <c r="G61" s="252">
        <f>G145</f>
        <v>0</v>
      </c>
      <c r="H61" s="232">
        <f t="shared" si="9"/>
        <v>225999</v>
      </c>
      <c r="I61" s="252">
        <v>0</v>
      </c>
      <c r="J61" s="252"/>
      <c r="K61" s="252">
        <f>K145</f>
        <v>225999</v>
      </c>
      <c r="L61" s="252">
        <f>L145</f>
        <v>0</v>
      </c>
      <c r="M61" s="232">
        <f t="shared" si="10"/>
        <v>225999</v>
      </c>
      <c r="N61" s="252">
        <v>0</v>
      </c>
      <c r="O61" s="252"/>
      <c r="P61" s="252">
        <f>P286+P277</f>
        <v>225999</v>
      </c>
      <c r="Q61" s="252">
        <f>Q286+Q277</f>
        <v>0</v>
      </c>
      <c r="R61" s="232">
        <f t="shared" si="11"/>
        <v>225999</v>
      </c>
    </row>
    <row r="62" spans="1:18" s="89" customFormat="1" ht="24" hidden="1" customHeight="1">
      <c r="A62" s="132">
        <v>7500</v>
      </c>
      <c r="B62" s="179" t="s">
        <v>157</v>
      </c>
      <c r="C62" s="170"/>
      <c r="D62" s="170">
        <v>0</v>
      </c>
      <c r="E62" s="233"/>
      <c r="F62" s="233"/>
      <c r="G62" s="233"/>
      <c r="H62" s="232">
        <f t="shared" si="9"/>
        <v>0</v>
      </c>
      <c r="I62" s="233">
        <v>0</v>
      </c>
      <c r="J62" s="233"/>
      <c r="K62" s="233"/>
      <c r="L62" s="233"/>
      <c r="M62" s="232">
        <f t="shared" si="10"/>
        <v>0</v>
      </c>
      <c r="N62" s="233">
        <v>0</v>
      </c>
      <c r="O62" s="233"/>
      <c r="P62" s="233"/>
      <c r="Q62" s="233"/>
      <c r="R62" s="232">
        <f t="shared" si="11"/>
        <v>0</v>
      </c>
    </row>
    <row r="63" spans="1:18" s="89" customFormat="1" ht="11.4">
      <c r="A63" s="337" t="s">
        <v>133</v>
      </c>
      <c r="B63" s="100" t="s">
        <v>122</v>
      </c>
      <c r="C63" s="162">
        <v>11847653</v>
      </c>
      <c r="D63" s="162">
        <v>18420325</v>
      </c>
      <c r="E63" s="254">
        <f>E64+E65</f>
        <v>0</v>
      </c>
      <c r="F63" s="254">
        <f>F64+F65</f>
        <v>18538</v>
      </c>
      <c r="G63" s="254">
        <f>G64+G65</f>
        <v>1120730</v>
      </c>
      <c r="H63" s="253">
        <f t="shared" si="9"/>
        <v>19559593</v>
      </c>
      <c r="I63" s="254">
        <v>8025658</v>
      </c>
      <c r="J63" s="254">
        <f>J64+J65</f>
        <v>0</v>
      </c>
      <c r="K63" s="254">
        <f>K64+K65</f>
        <v>191451</v>
      </c>
      <c r="L63" s="254">
        <f>L64+L65</f>
        <v>2525660</v>
      </c>
      <c r="M63" s="253">
        <f t="shared" si="10"/>
        <v>10742769</v>
      </c>
      <c r="N63" s="254">
        <v>3011828</v>
      </c>
      <c r="O63" s="254">
        <f>O64+O65</f>
        <v>0</v>
      </c>
      <c r="P63" s="254">
        <f>P64+P65</f>
        <v>571772</v>
      </c>
      <c r="Q63" s="254">
        <f>Q64+Q65</f>
        <v>1286240</v>
      </c>
      <c r="R63" s="253">
        <f t="shared" si="11"/>
        <v>4869840</v>
      </c>
    </row>
    <row r="64" spans="1:18" s="89" customFormat="1" ht="12">
      <c r="A64" s="140">
        <v>5000</v>
      </c>
      <c r="B64" s="124" t="s">
        <v>123</v>
      </c>
      <c r="C64" s="170">
        <v>11847653</v>
      </c>
      <c r="D64" s="170">
        <v>18420325</v>
      </c>
      <c r="E64" s="233">
        <f>E148</f>
        <v>0</v>
      </c>
      <c r="F64" s="233">
        <f>F148</f>
        <v>18538</v>
      </c>
      <c r="G64" s="233">
        <f>G148</f>
        <v>1120730</v>
      </c>
      <c r="H64" s="232">
        <f t="shared" si="9"/>
        <v>19559593</v>
      </c>
      <c r="I64" s="233">
        <v>8025658</v>
      </c>
      <c r="J64" s="233">
        <f>J148</f>
        <v>0</v>
      </c>
      <c r="K64" s="233">
        <f>K148</f>
        <v>191451</v>
      </c>
      <c r="L64" s="233">
        <f>L148</f>
        <v>2525660</v>
      </c>
      <c r="M64" s="232">
        <f t="shared" si="10"/>
        <v>10742769</v>
      </c>
      <c r="N64" s="233">
        <v>3011828</v>
      </c>
      <c r="O64" s="233">
        <f>O148</f>
        <v>0</v>
      </c>
      <c r="P64" s="233">
        <f>P148</f>
        <v>571772</v>
      </c>
      <c r="Q64" s="233">
        <f>Q148</f>
        <v>1286240</v>
      </c>
      <c r="R64" s="232">
        <f t="shared" si="11"/>
        <v>4869840</v>
      </c>
    </row>
    <row r="65" spans="1:18" s="89" customFormat="1" ht="12" hidden="1" customHeight="1">
      <c r="A65" s="140">
        <v>9000</v>
      </c>
      <c r="B65" s="182" t="s">
        <v>164</v>
      </c>
      <c r="C65" s="170">
        <v>0</v>
      </c>
      <c r="D65" s="170">
        <v>0</v>
      </c>
      <c r="E65" s="233">
        <f>E66+E72+E76+E79</f>
        <v>0</v>
      </c>
      <c r="F65" s="233">
        <f>F66+F72+F76+F79</f>
        <v>0</v>
      </c>
      <c r="G65" s="233">
        <f>G66+G72+G76+G79</f>
        <v>0</v>
      </c>
      <c r="H65" s="232">
        <f t="shared" si="9"/>
        <v>0</v>
      </c>
      <c r="I65" s="233">
        <v>0</v>
      </c>
      <c r="J65" s="233">
        <f>J66+J72+J76+J79</f>
        <v>0</v>
      </c>
      <c r="K65" s="233">
        <f>K66+K72+K76+K79</f>
        <v>0</v>
      </c>
      <c r="L65" s="233">
        <f>L66+L72+L76+L79</f>
        <v>0</v>
      </c>
      <c r="M65" s="232">
        <f t="shared" si="10"/>
        <v>0</v>
      </c>
      <c r="N65" s="233">
        <v>0</v>
      </c>
      <c r="O65" s="233">
        <f>O66+O72+O76+O79</f>
        <v>0</v>
      </c>
      <c r="P65" s="233">
        <f>P66+P72+P76+P79</f>
        <v>0</v>
      </c>
      <c r="Q65" s="233">
        <f>Q66+Q72+Q76+Q79</f>
        <v>0</v>
      </c>
      <c r="R65" s="232">
        <f t="shared" si="11"/>
        <v>0</v>
      </c>
    </row>
    <row r="66" spans="1:18" s="89" customFormat="1" ht="12" hidden="1" customHeight="1">
      <c r="A66" s="141">
        <v>9100</v>
      </c>
      <c r="B66" s="179" t="s">
        <v>124</v>
      </c>
      <c r="C66" s="170">
        <v>0</v>
      </c>
      <c r="D66" s="170">
        <v>0</v>
      </c>
      <c r="E66" s="233">
        <f>SUM(E67:E68)</f>
        <v>0</v>
      </c>
      <c r="F66" s="233">
        <f>SUM(F67:F68)</f>
        <v>0</v>
      </c>
      <c r="G66" s="233">
        <f>SUM(G67:G68)</f>
        <v>0</v>
      </c>
      <c r="H66" s="232">
        <f t="shared" si="9"/>
        <v>0</v>
      </c>
      <c r="I66" s="233">
        <v>0</v>
      </c>
      <c r="J66" s="233">
        <f>SUM(J67:J68)</f>
        <v>0</v>
      </c>
      <c r="K66" s="233">
        <f>SUM(K67:K68)</f>
        <v>0</v>
      </c>
      <c r="L66" s="233">
        <f>SUM(L67:L68)</f>
        <v>0</v>
      </c>
      <c r="M66" s="232">
        <f t="shared" si="10"/>
        <v>0</v>
      </c>
      <c r="N66" s="233">
        <v>0</v>
      </c>
      <c r="O66" s="233">
        <f>SUM(O67:O68)</f>
        <v>0</v>
      </c>
      <c r="P66" s="233">
        <f>SUM(P67:P68)</f>
        <v>0</v>
      </c>
      <c r="Q66" s="233">
        <f>SUM(Q67:Q68)</f>
        <v>0</v>
      </c>
      <c r="R66" s="232">
        <f t="shared" si="11"/>
        <v>0</v>
      </c>
    </row>
    <row r="67" spans="1:18" s="89" customFormat="1" ht="24" hidden="1" customHeight="1">
      <c r="A67" s="133" t="s">
        <v>125</v>
      </c>
      <c r="B67" s="179" t="s">
        <v>214</v>
      </c>
      <c r="C67" s="170"/>
      <c r="D67" s="170">
        <v>0</v>
      </c>
      <c r="E67" s="233"/>
      <c r="F67" s="233"/>
      <c r="G67" s="233"/>
      <c r="H67" s="232">
        <f t="shared" si="9"/>
        <v>0</v>
      </c>
      <c r="I67" s="233">
        <v>0</v>
      </c>
      <c r="J67" s="233"/>
      <c r="K67" s="233"/>
      <c r="L67" s="233"/>
      <c r="M67" s="232">
        <f t="shared" si="10"/>
        <v>0</v>
      </c>
      <c r="N67" s="233">
        <v>0</v>
      </c>
      <c r="O67" s="233"/>
      <c r="P67" s="233"/>
      <c r="Q67" s="233"/>
      <c r="R67" s="232">
        <f t="shared" si="11"/>
        <v>0</v>
      </c>
    </row>
    <row r="68" spans="1:18" s="89" customFormat="1" ht="24" hidden="1" customHeight="1">
      <c r="A68" s="133">
        <v>9140</v>
      </c>
      <c r="B68" s="179" t="s">
        <v>215</v>
      </c>
      <c r="C68" s="170">
        <v>0</v>
      </c>
      <c r="D68" s="170">
        <v>0</v>
      </c>
      <c r="E68" s="233">
        <f>SUM(E69:E71)</f>
        <v>0</v>
      </c>
      <c r="F68" s="233">
        <f>SUM(F69:F71)</f>
        <v>0</v>
      </c>
      <c r="G68" s="233">
        <f>SUM(G69:G71)</f>
        <v>0</v>
      </c>
      <c r="H68" s="232">
        <f t="shared" si="9"/>
        <v>0</v>
      </c>
      <c r="I68" s="233">
        <v>0</v>
      </c>
      <c r="J68" s="233">
        <f>SUM(J69:J71)</f>
        <v>0</v>
      </c>
      <c r="K68" s="233">
        <f>SUM(K69:K71)</f>
        <v>0</v>
      </c>
      <c r="L68" s="233">
        <f>SUM(L69:L71)</f>
        <v>0</v>
      </c>
      <c r="M68" s="232">
        <f t="shared" si="10"/>
        <v>0</v>
      </c>
      <c r="N68" s="233">
        <v>0</v>
      </c>
      <c r="O68" s="233">
        <f>SUM(O69:O71)</f>
        <v>0</v>
      </c>
      <c r="P68" s="233">
        <f>SUM(P69:P71)</f>
        <v>0</v>
      </c>
      <c r="Q68" s="233">
        <f>SUM(Q69:Q71)</f>
        <v>0</v>
      </c>
      <c r="R68" s="232">
        <f t="shared" si="11"/>
        <v>0</v>
      </c>
    </row>
    <row r="69" spans="1:18" s="89" customFormat="1" ht="36" hidden="1" customHeight="1">
      <c r="A69" s="134">
        <v>9141</v>
      </c>
      <c r="B69" s="172" t="s">
        <v>190</v>
      </c>
      <c r="C69" s="204"/>
      <c r="D69" s="204">
        <v>0</v>
      </c>
      <c r="E69" s="252"/>
      <c r="F69" s="252"/>
      <c r="G69" s="252"/>
      <c r="H69" s="232">
        <f t="shared" si="9"/>
        <v>0</v>
      </c>
      <c r="I69" s="252">
        <v>0</v>
      </c>
      <c r="J69" s="252"/>
      <c r="K69" s="252"/>
      <c r="L69" s="252"/>
      <c r="M69" s="232">
        <f t="shared" si="10"/>
        <v>0</v>
      </c>
      <c r="N69" s="252">
        <v>0</v>
      </c>
      <c r="O69" s="252"/>
      <c r="P69" s="252"/>
      <c r="Q69" s="252"/>
      <c r="R69" s="232">
        <f t="shared" si="11"/>
        <v>0</v>
      </c>
    </row>
    <row r="70" spans="1:18" s="89" customFormat="1" ht="36" hidden="1" customHeight="1">
      <c r="A70" s="134">
        <v>9142</v>
      </c>
      <c r="B70" s="172" t="s">
        <v>191</v>
      </c>
      <c r="C70" s="204"/>
      <c r="D70" s="204">
        <v>0</v>
      </c>
      <c r="E70" s="252"/>
      <c r="F70" s="252"/>
      <c r="G70" s="252"/>
      <c r="H70" s="232">
        <f t="shared" si="9"/>
        <v>0</v>
      </c>
      <c r="I70" s="252">
        <v>0</v>
      </c>
      <c r="J70" s="252"/>
      <c r="K70" s="252"/>
      <c r="L70" s="252"/>
      <c r="M70" s="232">
        <f t="shared" si="10"/>
        <v>0</v>
      </c>
      <c r="N70" s="252">
        <v>0</v>
      </c>
      <c r="O70" s="252"/>
      <c r="P70" s="252"/>
      <c r="Q70" s="252"/>
      <c r="R70" s="232">
        <f t="shared" si="11"/>
        <v>0</v>
      </c>
    </row>
    <row r="71" spans="1:18" s="89" customFormat="1" ht="24" hidden="1" customHeight="1">
      <c r="A71" s="134">
        <v>9149</v>
      </c>
      <c r="B71" s="172" t="s">
        <v>192</v>
      </c>
      <c r="C71" s="204"/>
      <c r="D71" s="204">
        <v>0</v>
      </c>
      <c r="E71" s="252"/>
      <c r="F71" s="252"/>
      <c r="G71" s="252"/>
      <c r="H71" s="232">
        <f t="shared" si="9"/>
        <v>0</v>
      </c>
      <c r="I71" s="252">
        <v>0</v>
      </c>
      <c r="J71" s="252"/>
      <c r="K71" s="252"/>
      <c r="L71" s="252"/>
      <c r="M71" s="232">
        <f t="shared" si="10"/>
        <v>0</v>
      </c>
      <c r="N71" s="252">
        <v>0</v>
      </c>
      <c r="O71" s="252"/>
      <c r="P71" s="252"/>
      <c r="Q71" s="252"/>
      <c r="R71" s="232">
        <f t="shared" si="11"/>
        <v>0</v>
      </c>
    </row>
    <row r="72" spans="1:18" s="29" customFormat="1" ht="24" hidden="1" customHeight="1">
      <c r="A72" s="141">
        <v>9500</v>
      </c>
      <c r="B72" s="172" t="s">
        <v>165</v>
      </c>
      <c r="C72" s="170">
        <v>0</v>
      </c>
      <c r="D72" s="170">
        <v>0</v>
      </c>
      <c r="E72" s="233">
        <f>SUM(E73:E75)</f>
        <v>0</v>
      </c>
      <c r="F72" s="233">
        <f>SUM(F73:F75)</f>
        <v>0</v>
      </c>
      <c r="G72" s="233">
        <f>SUM(G73:G75)</f>
        <v>0</v>
      </c>
      <c r="H72" s="232">
        <f t="shared" si="9"/>
        <v>0</v>
      </c>
      <c r="I72" s="233">
        <v>0</v>
      </c>
      <c r="J72" s="233">
        <f>SUM(J73:J75)</f>
        <v>0</v>
      </c>
      <c r="K72" s="233">
        <f>SUM(K73:K75)</f>
        <v>0</v>
      </c>
      <c r="L72" s="233">
        <f>SUM(L73:L75)</f>
        <v>0</v>
      </c>
      <c r="M72" s="232">
        <f t="shared" si="10"/>
        <v>0</v>
      </c>
      <c r="N72" s="233">
        <v>0</v>
      </c>
      <c r="O72" s="233">
        <f>SUM(O73:O75)</f>
        <v>0</v>
      </c>
      <c r="P72" s="233">
        <f>SUM(P73:P75)</f>
        <v>0</v>
      </c>
      <c r="Q72" s="233">
        <f>SUM(Q73:Q75)</f>
        <v>0</v>
      </c>
      <c r="R72" s="232">
        <f t="shared" si="11"/>
        <v>0</v>
      </c>
    </row>
    <row r="73" spans="1:18" s="29" customFormat="1" ht="24" hidden="1" customHeight="1">
      <c r="A73" s="133" t="s">
        <v>193</v>
      </c>
      <c r="B73" s="172" t="s">
        <v>171</v>
      </c>
      <c r="C73" s="170"/>
      <c r="D73" s="170">
        <v>0</v>
      </c>
      <c r="E73" s="233"/>
      <c r="F73" s="233"/>
      <c r="G73" s="233"/>
      <c r="H73" s="232">
        <f t="shared" si="9"/>
        <v>0</v>
      </c>
      <c r="I73" s="233">
        <v>0</v>
      </c>
      <c r="J73" s="233"/>
      <c r="K73" s="233"/>
      <c r="L73" s="233"/>
      <c r="M73" s="232">
        <f t="shared" si="10"/>
        <v>0</v>
      </c>
      <c r="N73" s="233">
        <v>0</v>
      </c>
      <c r="O73" s="233"/>
      <c r="P73" s="233"/>
      <c r="Q73" s="233"/>
      <c r="R73" s="232">
        <f t="shared" si="11"/>
        <v>0</v>
      </c>
    </row>
    <row r="74" spans="1:18" s="28" customFormat="1" ht="48" hidden="1" customHeight="1">
      <c r="A74" s="133">
        <v>9580</v>
      </c>
      <c r="B74" s="172" t="s">
        <v>166</v>
      </c>
      <c r="C74" s="204"/>
      <c r="D74" s="204">
        <v>0</v>
      </c>
      <c r="E74" s="252"/>
      <c r="F74" s="252"/>
      <c r="G74" s="252"/>
      <c r="H74" s="232">
        <f t="shared" ref="H74:H92" si="12">SUM(D74:G74)</f>
        <v>0</v>
      </c>
      <c r="I74" s="252">
        <v>0</v>
      </c>
      <c r="J74" s="252"/>
      <c r="K74" s="252"/>
      <c r="L74" s="252"/>
      <c r="M74" s="232">
        <f t="shared" si="10"/>
        <v>0</v>
      </c>
      <c r="N74" s="252">
        <v>0</v>
      </c>
      <c r="O74" s="252"/>
      <c r="P74" s="252"/>
      <c r="Q74" s="252"/>
      <c r="R74" s="232">
        <f t="shared" si="11"/>
        <v>0</v>
      </c>
    </row>
    <row r="75" spans="1:18" s="4" customFormat="1" ht="48" hidden="1" customHeight="1">
      <c r="A75" s="133">
        <v>9590</v>
      </c>
      <c r="B75" s="179" t="s">
        <v>172</v>
      </c>
      <c r="C75" s="204"/>
      <c r="D75" s="204">
        <v>0</v>
      </c>
      <c r="E75" s="252"/>
      <c r="F75" s="252"/>
      <c r="G75" s="252"/>
      <c r="H75" s="232">
        <f t="shared" si="12"/>
        <v>0</v>
      </c>
      <c r="I75" s="252">
        <v>0</v>
      </c>
      <c r="J75" s="252"/>
      <c r="K75" s="252"/>
      <c r="L75" s="252"/>
      <c r="M75" s="232">
        <f t="shared" si="10"/>
        <v>0</v>
      </c>
      <c r="N75" s="252">
        <v>0</v>
      </c>
      <c r="O75" s="252"/>
      <c r="P75" s="252"/>
      <c r="Q75" s="252"/>
      <c r="R75" s="232">
        <f t="shared" si="11"/>
        <v>0</v>
      </c>
    </row>
    <row r="76" spans="1:18" ht="24" hidden="1" customHeight="1">
      <c r="A76" s="141">
        <v>9700</v>
      </c>
      <c r="B76" s="183" t="s">
        <v>194</v>
      </c>
      <c r="C76" s="170">
        <v>0</v>
      </c>
      <c r="D76" s="170">
        <v>0</v>
      </c>
      <c r="E76" s="233">
        <f>SUM(E77:E78)</f>
        <v>0</v>
      </c>
      <c r="F76" s="233">
        <f>SUM(F77:F78)</f>
        <v>0</v>
      </c>
      <c r="G76" s="233">
        <f>SUM(G77:G78)</f>
        <v>0</v>
      </c>
      <c r="H76" s="232">
        <f t="shared" si="12"/>
        <v>0</v>
      </c>
      <c r="I76" s="233">
        <v>0</v>
      </c>
      <c r="J76" s="233">
        <f>SUM(J77:J78)</f>
        <v>0</v>
      </c>
      <c r="K76" s="233">
        <f>SUM(K77:K78)</f>
        <v>0</v>
      </c>
      <c r="L76" s="233">
        <f>SUM(L77:L78)</f>
        <v>0</v>
      </c>
      <c r="M76" s="232">
        <f t="shared" si="10"/>
        <v>0</v>
      </c>
      <c r="N76" s="233">
        <v>0</v>
      </c>
      <c r="O76" s="233">
        <f>SUM(O77:O78)</f>
        <v>0</v>
      </c>
      <c r="P76" s="233">
        <f>SUM(P77:P78)</f>
        <v>0</v>
      </c>
      <c r="Q76" s="233">
        <f>SUM(Q77:Q78)</f>
        <v>0</v>
      </c>
      <c r="R76" s="232">
        <f t="shared" si="11"/>
        <v>0</v>
      </c>
    </row>
    <row r="77" spans="1:18" ht="24" hidden="1" customHeight="1">
      <c r="A77" s="133">
        <v>9710</v>
      </c>
      <c r="B77" s="184" t="s">
        <v>195</v>
      </c>
      <c r="C77" s="204"/>
      <c r="D77" s="204">
        <v>0</v>
      </c>
      <c r="E77" s="252"/>
      <c r="F77" s="252"/>
      <c r="G77" s="252"/>
      <c r="H77" s="232">
        <f t="shared" si="12"/>
        <v>0</v>
      </c>
      <c r="I77" s="252">
        <v>0</v>
      </c>
      <c r="J77" s="252"/>
      <c r="K77" s="252"/>
      <c r="L77" s="252"/>
      <c r="M77" s="232">
        <f t="shared" si="10"/>
        <v>0</v>
      </c>
      <c r="N77" s="252">
        <v>0</v>
      </c>
      <c r="O77" s="252"/>
      <c r="P77" s="252"/>
      <c r="Q77" s="252"/>
      <c r="R77" s="232">
        <f t="shared" si="11"/>
        <v>0</v>
      </c>
    </row>
    <row r="78" spans="1:18" ht="48" hidden="1" customHeight="1">
      <c r="A78" s="142">
        <v>9720</v>
      </c>
      <c r="B78" s="183" t="s">
        <v>196</v>
      </c>
      <c r="C78" s="204"/>
      <c r="D78" s="204">
        <v>0</v>
      </c>
      <c r="E78" s="252"/>
      <c r="F78" s="252"/>
      <c r="G78" s="252"/>
      <c r="H78" s="232">
        <f t="shared" si="12"/>
        <v>0</v>
      </c>
      <c r="I78" s="252">
        <v>0</v>
      </c>
      <c r="J78" s="252"/>
      <c r="K78" s="252"/>
      <c r="L78" s="252"/>
      <c r="M78" s="232">
        <f t="shared" si="10"/>
        <v>0</v>
      </c>
      <c r="N78" s="252">
        <v>0</v>
      </c>
      <c r="O78" s="252"/>
      <c r="P78" s="252"/>
      <c r="Q78" s="252"/>
      <c r="R78" s="232">
        <f t="shared" si="11"/>
        <v>0</v>
      </c>
    </row>
    <row r="79" spans="1:18" ht="24" hidden="1" customHeight="1">
      <c r="A79" s="141">
        <v>9600</v>
      </c>
      <c r="B79" s="179" t="s">
        <v>134</v>
      </c>
      <c r="C79" s="204"/>
      <c r="D79" s="204">
        <v>0</v>
      </c>
      <c r="E79" s="252"/>
      <c r="F79" s="252"/>
      <c r="G79" s="252"/>
      <c r="H79" s="232">
        <f t="shared" si="12"/>
        <v>0</v>
      </c>
      <c r="I79" s="252">
        <v>0</v>
      </c>
      <c r="J79" s="252"/>
      <c r="K79" s="252"/>
      <c r="L79" s="252"/>
      <c r="M79" s="232">
        <f t="shared" si="10"/>
        <v>0</v>
      </c>
      <c r="N79" s="252">
        <v>0</v>
      </c>
      <c r="O79" s="252"/>
      <c r="P79" s="252"/>
      <c r="Q79" s="252"/>
      <c r="R79" s="232">
        <f t="shared" si="11"/>
        <v>0</v>
      </c>
    </row>
    <row r="80" spans="1:18" ht="52.5" hidden="1" customHeight="1">
      <c r="A80" s="130" t="s">
        <v>197</v>
      </c>
      <c r="B80" s="185" t="s">
        <v>47</v>
      </c>
      <c r="C80" s="206"/>
      <c r="D80" s="206">
        <v>0</v>
      </c>
      <c r="E80" s="262">
        <f>E10-E35</f>
        <v>0</v>
      </c>
      <c r="F80" s="262">
        <f>F10-F35</f>
        <v>0</v>
      </c>
      <c r="G80" s="262">
        <f>G10-G35</f>
        <v>0</v>
      </c>
      <c r="H80" s="232">
        <f t="shared" si="12"/>
        <v>0</v>
      </c>
      <c r="I80" s="262">
        <v>0</v>
      </c>
      <c r="J80" s="262">
        <f>J10-J35</f>
        <v>0</v>
      </c>
      <c r="K80" s="262">
        <f>K10-K35</f>
        <v>0</v>
      </c>
      <c r="L80" s="262">
        <f>L10-L35</f>
        <v>0</v>
      </c>
      <c r="M80" s="232">
        <f t="shared" si="10"/>
        <v>0</v>
      </c>
      <c r="N80" s="262">
        <v>0</v>
      </c>
      <c r="O80" s="262">
        <f>O10-O35</f>
        <v>0</v>
      </c>
      <c r="P80" s="262">
        <f>P10-P35</f>
        <v>0</v>
      </c>
      <c r="Q80" s="262">
        <f>Q10-Q35</f>
        <v>0</v>
      </c>
      <c r="R80" s="232">
        <f t="shared" si="11"/>
        <v>0</v>
      </c>
    </row>
    <row r="81" spans="1:18" ht="12" hidden="1" customHeight="1">
      <c r="A81" s="143" t="s">
        <v>48</v>
      </c>
      <c r="B81" s="185" t="s">
        <v>49</v>
      </c>
      <c r="C81" s="206">
        <v>0</v>
      </c>
      <c r="D81" s="206">
        <v>0</v>
      </c>
      <c r="E81" s="262">
        <f>E82+E85+E89+E88</f>
        <v>0</v>
      </c>
      <c r="F81" s="262">
        <f>F82+F85+F89+F88</f>
        <v>0</v>
      </c>
      <c r="G81" s="262">
        <f>G82+G85+G89+G88</f>
        <v>0</v>
      </c>
      <c r="H81" s="232">
        <f t="shared" si="12"/>
        <v>0</v>
      </c>
      <c r="I81" s="262">
        <v>0</v>
      </c>
      <c r="J81" s="262">
        <f>J82+J85+J89+J88</f>
        <v>0</v>
      </c>
      <c r="K81" s="262">
        <f>K82+K85+K89+K88</f>
        <v>0</v>
      </c>
      <c r="L81" s="262">
        <f>L82+L85+L89+L88</f>
        <v>0</v>
      </c>
      <c r="M81" s="232">
        <f t="shared" si="10"/>
        <v>0</v>
      </c>
      <c r="N81" s="262">
        <v>0</v>
      </c>
      <c r="O81" s="262">
        <f>O82+O85+O89+O88</f>
        <v>0</v>
      </c>
      <c r="P81" s="262">
        <f>P82+P85+P89+P88</f>
        <v>0</v>
      </c>
      <c r="Q81" s="262">
        <f>Q82+Q85+Q89+Q88</f>
        <v>0</v>
      </c>
      <c r="R81" s="232">
        <f t="shared" si="11"/>
        <v>0</v>
      </c>
    </row>
    <row r="82" spans="1:18" s="4" customFormat="1" ht="12" hidden="1" customHeight="1">
      <c r="A82" s="141" t="s">
        <v>50</v>
      </c>
      <c r="B82" s="179" t="s">
        <v>51</v>
      </c>
      <c r="C82" s="98">
        <v>0</v>
      </c>
      <c r="D82" s="98">
        <v>0</v>
      </c>
      <c r="E82" s="231">
        <f>E83+E84</f>
        <v>0</v>
      </c>
      <c r="F82" s="231">
        <f>F83+F84</f>
        <v>0</v>
      </c>
      <c r="G82" s="231">
        <f>G83+G84</f>
        <v>0</v>
      </c>
      <c r="H82" s="232">
        <f t="shared" si="12"/>
        <v>0</v>
      </c>
      <c r="I82" s="231">
        <v>0</v>
      </c>
      <c r="J82" s="231">
        <f>J83+J84</f>
        <v>0</v>
      </c>
      <c r="K82" s="231">
        <f>K83+K84</f>
        <v>0</v>
      </c>
      <c r="L82" s="231">
        <f>L83+L84</f>
        <v>0</v>
      </c>
      <c r="M82" s="232">
        <f t="shared" si="10"/>
        <v>0</v>
      </c>
      <c r="N82" s="231">
        <v>0</v>
      </c>
      <c r="O82" s="231">
        <f>O83+O84</f>
        <v>0</v>
      </c>
      <c r="P82" s="231">
        <f>P83+P84</f>
        <v>0</v>
      </c>
      <c r="Q82" s="231">
        <f>Q83+Q84</f>
        <v>0</v>
      </c>
      <c r="R82" s="232">
        <f t="shared" si="11"/>
        <v>0</v>
      </c>
    </row>
    <row r="83" spans="1:18" s="6" customFormat="1" ht="12" hidden="1" customHeight="1">
      <c r="A83" s="141" t="s">
        <v>52</v>
      </c>
      <c r="B83" s="179" t="s">
        <v>53</v>
      </c>
      <c r="C83" s="98"/>
      <c r="D83" s="98">
        <v>0</v>
      </c>
      <c r="E83" s="231"/>
      <c r="F83" s="231"/>
      <c r="G83" s="231"/>
      <c r="H83" s="232">
        <f t="shared" si="12"/>
        <v>0</v>
      </c>
      <c r="I83" s="231">
        <v>0</v>
      </c>
      <c r="J83" s="231"/>
      <c r="K83" s="231"/>
      <c r="L83" s="231"/>
      <c r="M83" s="232">
        <f t="shared" si="10"/>
        <v>0</v>
      </c>
      <c r="N83" s="231">
        <v>0</v>
      </c>
      <c r="O83" s="231"/>
      <c r="P83" s="231"/>
      <c r="Q83" s="231"/>
      <c r="R83" s="232">
        <f t="shared" si="11"/>
        <v>0</v>
      </c>
    </row>
    <row r="84" spans="1:18" s="6" customFormat="1" ht="12" hidden="1" customHeight="1">
      <c r="A84" s="141" t="s">
        <v>54</v>
      </c>
      <c r="B84" s="179" t="s">
        <v>55</v>
      </c>
      <c r="C84" s="98"/>
      <c r="D84" s="98">
        <v>0</v>
      </c>
      <c r="E84" s="231"/>
      <c r="F84" s="231"/>
      <c r="G84" s="231"/>
      <c r="H84" s="232">
        <f t="shared" si="12"/>
        <v>0</v>
      </c>
      <c r="I84" s="231">
        <v>0</v>
      </c>
      <c r="J84" s="231"/>
      <c r="K84" s="231"/>
      <c r="L84" s="231"/>
      <c r="M84" s="232">
        <f t="shared" si="10"/>
        <v>0</v>
      </c>
      <c r="N84" s="231">
        <v>0</v>
      </c>
      <c r="O84" s="231"/>
      <c r="P84" s="231"/>
      <c r="Q84" s="231"/>
      <c r="R84" s="232">
        <f t="shared" si="11"/>
        <v>0</v>
      </c>
    </row>
    <row r="85" spans="1:18" s="6" customFormat="1" ht="12" hidden="1" customHeight="1">
      <c r="A85" s="141" t="s">
        <v>56</v>
      </c>
      <c r="B85" s="179" t="s">
        <v>57</v>
      </c>
      <c r="C85" s="98">
        <v>0</v>
      </c>
      <c r="D85" s="98">
        <v>0</v>
      </c>
      <c r="E85" s="231">
        <f>E86+E87</f>
        <v>0</v>
      </c>
      <c r="F85" s="231">
        <f>F86+F87</f>
        <v>0</v>
      </c>
      <c r="G85" s="231">
        <f>G86+G87</f>
        <v>0</v>
      </c>
      <c r="H85" s="232">
        <f t="shared" si="12"/>
        <v>0</v>
      </c>
      <c r="I85" s="231">
        <v>0</v>
      </c>
      <c r="J85" s="231">
        <f>J86+J87</f>
        <v>0</v>
      </c>
      <c r="K85" s="231">
        <f>K86+K87</f>
        <v>0</v>
      </c>
      <c r="L85" s="231">
        <f>L86+L87</f>
        <v>0</v>
      </c>
      <c r="M85" s="232">
        <f t="shared" si="10"/>
        <v>0</v>
      </c>
      <c r="N85" s="231">
        <v>0</v>
      </c>
      <c r="O85" s="231">
        <f>O86+O87</f>
        <v>0</v>
      </c>
      <c r="P85" s="231">
        <f>P86+P87</f>
        <v>0</v>
      </c>
      <c r="Q85" s="231">
        <f>Q86+Q87</f>
        <v>0</v>
      </c>
      <c r="R85" s="232">
        <f t="shared" si="11"/>
        <v>0</v>
      </c>
    </row>
    <row r="86" spans="1:18" s="6" customFormat="1" ht="12" hidden="1" customHeight="1">
      <c r="A86" s="141" t="s">
        <v>58</v>
      </c>
      <c r="B86" s="179" t="s">
        <v>59</v>
      </c>
      <c r="C86" s="98"/>
      <c r="D86" s="98">
        <v>0</v>
      </c>
      <c r="E86" s="231"/>
      <c r="F86" s="231"/>
      <c r="G86" s="231"/>
      <c r="H86" s="232">
        <f t="shared" si="12"/>
        <v>0</v>
      </c>
      <c r="I86" s="231">
        <v>0</v>
      </c>
      <c r="J86" s="231"/>
      <c r="K86" s="231"/>
      <c r="L86" s="231"/>
      <c r="M86" s="232">
        <f t="shared" si="10"/>
        <v>0</v>
      </c>
      <c r="N86" s="231">
        <v>0</v>
      </c>
      <c r="O86" s="231"/>
      <c r="P86" s="231"/>
      <c r="Q86" s="231"/>
      <c r="R86" s="232">
        <f t="shared" si="11"/>
        <v>0</v>
      </c>
    </row>
    <row r="87" spans="1:18" s="6" customFormat="1" ht="12" hidden="1" customHeight="1">
      <c r="A87" s="141" t="s">
        <v>60</v>
      </c>
      <c r="B87" s="179" t="s">
        <v>61</v>
      </c>
      <c r="C87" s="98"/>
      <c r="D87" s="98">
        <v>0</v>
      </c>
      <c r="E87" s="231"/>
      <c r="F87" s="231"/>
      <c r="G87" s="231"/>
      <c r="H87" s="232">
        <f t="shared" si="12"/>
        <v>0</v>
      </c>
      <c r="I87" s="231">
        <v>0</v>
      </c>
      <c r="J87" s="231"/>
      <c r="K87" s="231"/>
      <c r="L87" s="231"/>
      <c r="M87" s="232">
        <f t="shared" si="10"/>
        <v>0</v>
      </c>
      <c r="N87" s="231">
        <v>0</v>
      </c>
      <c r="O87" s="231"/>
      <c r="P87" s="231"/>
      <c r="Q87" s="231"/>
      <c r="R87" s="232">
        <f t="shared" si="11"/>
        <v>0</v>
      </c>
    </row>
    <row r="88" spans="1:18" s="6" customFormat="1" ht="12" hidden="1" customHeight="1">
      <c r="A88" s="141" t="s">
        <v>198</v>
      </c>
      <c r="B88" s="187" t="s">
        <v>168</v>
      </c>
      <c r="C88" s="98"/>
      <c r="D88" s="98">
        <v>0</v>
      </c>
      <c r="E88" s="231"/>
      <c r="F88" s="231"/>
      <c r="G88" s="231"/>
      <c r="H88" s="232">
        <f t="shared" si="12"/>
        <v>0</v>
      </c>
      <c r="I88" s="231">
        <v>0</v>
      </c>
      <c r="J88" s="231"/>
      <c r="K88" s="231"/>
      <c r="L88" s="231"/>
      <c r="M88" s="232">
        <f t="shared" si="10"/>
        <v>0</v>
      </c>
      <c r="N88" s="231">
        <v>0</v>
      </c>
      <c r="O88" s="231"/>
      <c r="P88" s="231"/>
      <c r="Q88" s="231"/>
      <c r="R88" s="232">
        <f t="shared" si="11"/>
        <v>0</v>
      </c>
    </row>
    <row r="89" spans="1:18" s="6" customFormat="1" ht="12" hidden="1" customHeight="1">
      <c r="A89" s="144" t="s">
        <v>62</v>
      </c>
      <c r="B89" s="125" t="s">
        <v>63</v>
      </c>
      <c r="C89" s="170">
        <v>0</v>
      </c>
      <c r="D89" s="170">
        <v>0</v>
      </c>
      <c r="E89" s="233">
        <f>E90+E91+E92</f>
        <v>0</v>
      </c>
      <c r="F89" s="233">
        <f>F90+F91+F92</f>
        <v>0</v>
      </c>
      <c r="G89" s="233">
        <f>G90+G91+G92</f>
        <v>0</v>
      </c>
      <c r="H89" s="232">
        <f t="shared" si="12"/>
        <v>0</v>
      </c>
      <c r="I89" s="233">
        <v>0</v>
      </c>
      <c r="J89" s="233">
        <f>J90+J91+J92</f>
        <v>0</v>
      </c>
      <c r="K89" s="233">
        <f>K90+K91+K92</f>
        <v>0</v>
      </c>
      <c r="L89" s="233">
        <f>L90+L91+L92</f>
        <v>0</v>
      </c>
      <c r="M89" s="232">
        <f t="shared" si="10"/>
        <v>0</v>
      </c>
      <c r="N89" s="233">
        <v>0</v>
      </c>
      <c r="O89" s="233">
        <f>O90+O91+O92</f>
        <v>0</v>
      </c>
      <c r="P89" s="233">
        <f>P90+P91+P92</f>
        <v>0</v>
      </c>
      <c r="Q89" s="233">
        <f>Q90+Q91+Q92</f>
        <v>0</v>
      </c>
      <c r="R89" s="232">
        <f t="shared" si="11"/>
        <v>0</v>
      </c>
    </row>
    <row r="90" spans="1:18" s="6" customFormat="1" ht="36" hidden="1" customHeight="1">
      <c r="A90" s="144" t="s">
        <v>64</v>
      </c>
      <c r="B90" s="179" t="s">
        <v>65</v>
      </c>
      <c r="C90" s="98">
        <v>0</v>
      </c>
      <c r="D90" s="98">
        <v>0</v>
      </c>
      <c r="E90" s="231"/>
      <c r="F90" s="231"/>
      <c r="G90" s="231"/>
      <c r="H90" s="232">
        <f t="shared" si="12"/>
        <v>0</v>
      </c>
      <c r="I90" s="231">
        <v>0</v>
      </c>
      <c r="J90" s="231"/>
      <c r="K90" s="231"/>
      <c r="L90" s="231"/>
      <c r="M90" s="232">
        <f t="shared" si="10"/>
        <v>0</v>
      </c>
      <c r="N90" s="231">
        <v>0</v>
      </c>
      <c r="O90" s="231"/>
      <c r="P90" s="231"/>
      <c r="Q90" s="231"/>
      <c r="R90" s="232">
        <f t="shared" si="11"/>
        <v>0</v>
      </c>
    </row>
    <row r="91" spans="1:18" s="6" customFormat="1" ht="24" hidden="1" customHeight="1">
      <c r="A91" s="144" t="s">
        <v>66</v>
      </c>
      <c r="B91" s="179" t="s">
        <v>67</v>
      </c>
      <c r="C91" s="98">
        <v>0</v>
      </c>
      <c r="D91" s="98">
        <v>0</v>
      </c>
      <c r="E91" s="231"/>
      <c r="F91" s="231"/>
      <c r="G91" s="231"/>
      <c r="H91" s="232">
        <f t="shared" si="12"/>
        <v>0</v>
      </c>
      <c r="I91" s="231">
        <v>0</v>
      </c>
      <c r="J91" s="231"/>
      <c r="K91" s="231"/>
      <c r="L91" s="231"/>
      <c r="M91" s="232">
        <f t="shared" si="10"/>
        <v>0</v>
      </c>
      <c r="N91" s="231">
        <v>0</v>
      </c>
      <c r="O91" s="231"/>
      <c r="P91" s="231"/>
      <c r="Q91" s="231"/>
      <c r="R91" s="232">
        <f t="shared" si="11"/>
        <v>0</v>
      </c>
    </row>
    <row r="92" spans="1:18" s="6" customFormat="1" ht="24" hidden="1" customHeight="1">
      <c r="A92" s="144" t="s">
        <v>68</v>
      </c>
      <c r="B92" s="125" t="s">
        <v>69</v>
      </c>
      <c r="C92" s="98"/>
      <c r="D92" s="98">
        <v>0</v>
      </c>
      <c r="E92" s="231"/>
      <c r="F92" s="231"/>
      <c r="G92" s="231"/>
      <c r="H92" s="232">
        <f t="shared" si="12"/>
        <v>0</v>
      </c>
      <c r="I92" s="231">
        <v>0</v>
      </c>
      <c r="J92" s="231"/>
      <c r="K92" s="231"/>
      <c r="L92" s="231"/>
      <c r="M92" s="232">
        <f t="shared" si="10"/>
        <v>0</v>
      </c>
      <c r="N92" s="231">
        <v>0</v>
      </c>
      <c r="O92" s="231"/>
      <c r="P92" s="231"/>
      <c r="Q92" s="231"/>
      <c r="R92" s="232">
        <f t="shared" si="11"/>
        <v>0</v>
      </c>
    </row>
    <row r="93" spans="1:18" s="6" customFormat="1" ht="12">
      <c r="A93" s="145"/>
      <c r="B93" s="494" t="s">
        <v>199</v>
      </c>
      <c r="C93" s="207"/>
      <c r="D93" s="190"/>
      <c r="E93" s="268"/>
      <c r="F93" s="268"/>
      <c r="G93" s="268"/>
      <c r="H93" s="269"/>
      <c r="I93" s="347"/>
      <c r="J93" s="268"/>
      <c r="K93" s="268"/>
      <c r="L93" s="268"/>
      <c r="M93" s="269"/>
      <c r="N93" s="347"/>
      <c r="O93" s="268"/>
      <c r="P93" s="268"/>
      <c r="Q93" s="268"/>
      <c r="R93" s="269"/>
    </row>
    <row r="94" spans="1:18" s="6" customFormat="1" ht="20.399999999999999">
      <c r="A94" s="129" t="s">
        <v>201</v>
      </c>
      <c r="B94" s="123" t="s">
        <v>88</v>
      </c>
      <c r="C94" s="200">
        <v>133755296</v>
      </c>
      <c r="D94" s="200">
        <v>130238493</v>
      </c>
      <c r="E94" s="228">
        <f>E95+E96+E98+E116</f>
        <v>0</v>
      </c>
      <c r="F94" s="228">
        <f>F95+F96+F98+F116</f>
        <v>9416663</v>
      </c>
      <c r="G94" s="228">
        <f>G95+G96+G98+G116</f>
        <v>4338410</v>
      </c>
      <c r="H94" s="229">
        <f t="shared" ref="H94:H125" si="13">SUM(D94:G94)</f>
        <v>143993566</v>
      </c>
      <c r="I94" s="228">
        <v>127462815</v>
      </c>
      <c r="J94" s="228">
        <f>J95+J96+J98+J116</f>
        <v>0</v>
      </c>
      <c r="K94" s="228">
        <f>K95+K96+K98+K116</f>
        <v>6690902</v>
      </c>
      <c r="L94" s="228">
        <f>L95+L96+L98+L116</f>
        <v>4555880</v>
      </c>
      <c r="M94" s="229">
        <f t="shared" ref="M94:M125" si="14">SUM(I94:L94)</f>
        <v>138709597</v>
      </c>
      <c r="N94" s="228">
        <v>113171463</v>
      </c>
      <c r="O94" s="228">
        <f>O95+O96+O98+O116</f>
        <v>0</v>
      </c>
      <c r="P94" s="228">
        <f>P95+P96+P98+P116</f>
        <v>18709874</v>
      </c>
      <c r="Q94" s="228">
        <f>Q95+Q96+Q98+Q116</f>
        <v>3371865</v>
      </c>
      <c r="R94" s="229">
        <f t="shared" ref="R94:R125" si="15">SUM(N94:Q94)</f>
        <v>135253202</v>
      </c>
    </row>
    <row r="95" spans="1:18" s="6" customFormat="1" ht="22.8">
      <c r="A95" s="130" t="s">
        <v>177</v>
      </c>
      <c r="B95" s="124" t="s">
        <v>90</v>
      </c>
      <c r="C95" s="98">
        <v>1668179</v>
      </c>
      <c r="D95" s="98">
        <v>1668179</v>
      </c>
      <c r="E95" s="231"/>
      <c r="F95" s="231"/>
      <c r="G95" s="231"/>
      <c r="H95" s="232">
        <f t="shared" si="13"/>
        <v>1668179</v>
      </c>
      <c r="I95" s="231">
        <v>1668179</v>
      </c>
      <c r="J95" s="231"/>
      <c r="K95" s="231"/>
      <c r="L95" s="231"/>
      <c r="M95" s="232">
        <f t="shared" si="14"/>
        <v>1668179</v>
      </c>
      <c r="N95" s="231">
        <v>1668179</v>
      </c>
      <c r="O95" s="231"/>
      <c r="P95" s="231"/>
      <c r="Q95" s="231"/>
      <c r="R95" s="232">
        <f t="shared" si="15"/>
        <v>1668179</v>
      </c>
    </row>
    <row r="96" spans="1:18" s="6" customFormat="1" ht="12" hidden="1" customHeight="1">
      <c r="A96" s="130" t="s">
        <v>91</v>
      </c>
      <c r="B96" s="124" t="s">
        <v>92</v>
      </c>
      <c r="C96" s="98"/>
      <c r="D96" s="98">
        <v>0</v>
      </c>
      <c r="E96" s="231"/>
      <c r="F96" s="231"/>
      <c r="G96" s="231"/>
      <c r="H96" s="232">
        <f t="shared" si="13"/>
        <v>0</v>
      </c>
      <c r="I96" s="231">
        <v>0</v>
      </c>
      <c r="J96" s="231"/>
      <c r="K96" s="231"/>
      <c r="L96" s="231"/>
      <c r="M96" s="232">
        <f t="shared" si="14"/>
        <v>0</v>
      </c>
      <c r="N96" s="231">
        <v>0</v>
      </c>
      <c r="O96" s="231"/>
      <c r="P96" s="231"/>
      <c r="Q96" s="231"/>
      <c r="R96" s="232">
        <f t="shared" si="15"/>
        <v>0</v>
      </c>
    </row>
    <row r="97" spans="1:18" s="6" customFormat="1" ht="24" hidden="1" customHeight="1">
      <c r="A97" s="131">
        <v>21210</v>
      </c>
      <c r="B97" s="125" t="s">
        <v>93</v>
      </c>
      <c r="C97" s="98"/>
      <c r="D97" s="98">
        <v>0</v>
      </c>
      <c r="E97" s="231"/>
      <c r="F97" s="231"/>
      <c r="G97" s="231"/>
      <c r="H97" s="232">
        <f t="shared" si="13"/>
        <v>0</v>
      </c>
      <c r="I97" s="231">
        <v>0</v>
      </c>
      <c r="J97" s="231"/>
      <c r="K97" s="231"/>
      <c r="L97" s="231"/>
      <c r="M97" s="232">
        <f t="shared" si="14"/>
        <v>0</v>
      </c>
      <c r="N97" s="231">
        <v>0</v>
      </c>
      <c r="O97" s="231"/>
      <c r="P97" s="231"/>
      <c r="Q97" s="231"/>
      <c r="R97" s="232">
        <f t="shared" si="15"/>
        <v>0</v>
      </c>
    </row>
    <row r="98" spans="1:18" s="6" customFormat="1" ht="20.399999999999999">
      <c r="A98" s="130" t="s">
        <v>178</v>
      </c>
      <c r="B98" s="124" t="s">
        <v>94</v>
      </c>
      <c r="C98" s="170">
        <v>382070</v>
      </c>
      <c r="D98" s="170">
        <v>0</v>
      </c>
      <c r="E98" s="233">
        <f>E99+E105</f>
        <v>0</v>
      </c>
      <c r="F98" s="233">
        <f>F99+F105</f>
        <v>0</v>
      </c>
      <c r="G98" s="233">
        <f>G99+G105</f>
        <v>0</v>
      </c>
      <c r="H98" s="232">
        <f t="shared" si="13"/>
        <v>0</v>
      </c>
      <c r="I98" s="233">
        <v>0</v>
      </c>
      <c r="J98" s="233">
        <f>J99+J105</f>
        <v>0</v>
      </c>
      <c r="K98" s="233">
        <f>K99+K105</f>
        <v>0</v>
      </c>
      <c r="L98" s="233">
        <f>L99+L105</f>
        <v>0</v>
      </c>
      <c r="M98" s="232">
        <f t="shared" si="14"/>
        <v>0</v>
      </c>
      <c r="N98" s="233">
        <v>0</v>
      </c>
      <c r="O98" s="233">
        <f>O99+O105</f>
        <v>0</v>
      </c>
      <c r="P98" s="233">
        <f>P99+P105</f>
        <v>0</v>
      </c>
      <c r="Q98" s="233">
        <f>Q99+Q105</f>
        <v>0</v>
      </c>
      <c r="R98" s="232">
        <f t="shared" si="15"/>
        <v>0</v>
      </c>
    </row>
    <row r="99" spans="1:18" s="6" customFormat="1" ht="12">
      <c r="A99" s="132">
        <v>18000</v>
      </c>
      <c r="B99" s="125" t="s">
        <v>95</v>
      </c>
      <c r="C99" s="170">
        <v>382070</v>
      </c>
      <c r="D99" s="170">
        <v>0</v>
      </c>
      <c r="E99" s="233">
        <f t="shared" ref="E99:G100" si="16">E100</f>
        <v>0</v>
      </c>
      <c r="F99" s="233">
        <f t="shared" si="16"/>
        <v>0</v>
      </c>
      <c r="G99" s="233">
        <f t="shared" si="16"/>
        <v>0</v>
      </c>
      <c r="H99" s="232">
        <f t="shared" si="13"/>
        <v>0</v>
      </c>
      <c r="I99" s="233">
        <v>0</v>
      </c>
      <c r="J99" s="233">
        <f t="shared" ref="J99:L100" si="17">J100</f>
        <v>0</v>
      </c>
      <c r="K99" s="233">
        <f t="shared" si="17"/>
        <v>0</v>
      </c>
      <c r="L99" s="233">
        <f t="shared" si="17"/>
        <v>0</v>
      </c>
      <c r="M99" s="232">
        <f t="shared" si="14"/>
        <v>0</v>
      </c>
      <c r="N99" s="233">
        <v>0</v>
      </c>
      <c r="O99" s="233">
        <f t="shared" ref="O99:Q100" si="18">O100</f>
        <v>0</v>
      </c>
      <c r="P99" s="233">
        <f t="shared" si="18"/>
        <v>0</v>
      </c>
      <c r="Q99" s="233">
        <f t="shared" si="18"/>
        <v>0</v>
      </c>
      <c r="R99" s="232">
        <f t="shared" si="15"/>
        <v>0</v>
      </c>
    </row>
    <row r="100" spans="1:18" s="6" customFormat="1" ht="12">
      <c r="A100" s="132">
        <v>18100</v>
      </c>
      <c r="B100" s="125" t="s">
        <v>96</v>
      </c>
      <c r="C100" s="170">
        <v>382070</v>
      </c>
      <c r="D100" s="170">
        <v>0</v>
      </c>
      <c r="E100" s="233">
        <f t="shared" si="16"/>
        <v>0</v>
      </c>
      <c r="F100" s="233">
        <f t="shared" si="16"/>
        <v>0</v>
      </c>
      <c r="G100" s="233">
        <f t="shared" si="16"/>
        <v>0</v>
      </c>
      <c r="H100" s="232">
        <f t="shared" si="13"/>
        <v>0</v>
      </c>
      <c r="I100" s="233">
        <v>0</v>
      </c>
      <c r="J100" s="233">
        <f t="shared" si="17"/>
        <v>0</v>
      </c>
      <c r="K100" s="233">
        <f t="shared" si="17"/>
        <v>0</v>
      </c>
      <c r="L100" s="233">
        <f t="shared" si="17"/>
        <v>0</v>
      </c>
      <c r="M100" s="232">
        <f t="shared" si="14"/>
        <v>0</v>
      </c>
      <c r="N100" s="233">
        <v>0</v>
      </c>
      <c r="O100" s="233">
        <f t="shared" si="18"/>
        <v>0</v>
      </c>
      <c r="P100" s="233">
        <f t="shared" si="18"/>
        <v>0</v>
      </c>
      <c r="Q100" s="233">
        <f t="shared" si="18"/>
        <v>0</v>
      </c>
      <c r="R100" s="232">
        <f t="shared" si="15"/>
        <v>0</v>
      </c>
    </row>
    <row r="101" spans="1:18" s="6" customFormat="1" ht="24">
      <c r="A101" s="133">
        <v>18130</v>
      </c>
      <c r="B101" s="172" t="s">
        <v>159</v>
      </c>
      <c r="C101" s="170">
        <v>382070</v>
      </c>
      <c r="D101" s="170">
        <v>0</v>
      </c>
      <c r="E101" s="233">
        <f>SUM(E102:E104)</f>
        <v>0</v>
      </c>
      <c r="F101" s="233">
        <f>SUM(F102:F104)</f>
        <v>0</v>
      </c>
      <c r="G101" s="233">
        <f>SUM(G102:G104)</f>
        <v>0</v>
      </c>
      <c r="H101" s="232">
        <f t="shared" si="13"/>
        <v>0</v>
      </c>
      <c r="I101" s="233">
        <v>0</v>
      </c>
      <c r="J101" s="233">
        <f>SUM(J102:J104)</f>
        <v>0</v>
      </c>
      <c r="K101" s="233">
        <f>SUM(K102:K104)</f>
        <v>0</v>
      </c>
      <c r="L101" s="233">
        <f>SUM(L102:L104)</f>
        <v>0</v>
      </c>
      <c r="M101" s="232">
        <f t="shared" si="14"/>
        <v>0</v>
      </c>
      <c r="N101" s="233">
        <v>0</v>
      </c>
      <c r="O101" s="233">
        <f>SUM(O102:O104)</f>
        <v>0</v>
      </c>
      <c r="P101" s="233">
        <f>SUM(P102:P104)</f>
        <v>0</v>
      </c>
      <c r="Q101" s="233">
        <f>SUM(Q102:Q104)</f>
        <v>0</v>
      </c>
      <c r="R101" s="232">
        <f t="shared" si="15"/>
        <v>0</v>
      </c>
    </row>
    <row r="102" spans="1:18" s="6" customFormat="1" ht="24">
      <c r="A102" s="134">
        <v>18131</v>
      </c>
      <c r="B102" s="172" t="s">
        <v>160</v>
      </c>
      <c r="C102" s="170">
        <v>382070</v>
      </c>
      <c r="D102" s="170">
        <v>0</v>
      </c>
      <c r="E102" s="233"/>
      <c r="F102" s="233"/>
      <c r="G102" s="233"/>
      <c r="H102" s="232">
        <f t="shared" si="13"/>
        <v>0</v>
      </c>
      <c r="I102" s="233">
        <v>0</v>
      </c>
      <c r="J102" s="233"/>
      <c r="K102" s="233"/>
      <c r="L102" s="233"/>
      <c r="M102" s="232">
        <f t="shared" si="14"/>
        <v>0</v>
      </c>
      <c r="N102" s="233">
        <v>0</v>
      </c>
      <c r="O102" s="233"/>
      <c r="P102" s="233"/>
      <c r="Q102" s="233"/>
      <c r="R102" s="232">
        <f t="shared" si="15"/>
        <v>0</v>
      </c>
    </row>
    <row r="103" spans="1:18" s="6" customFormat="1" ht="24" hidden="1" customHeight="1">
      <c r="A103" s="134">
        <v>18132</v>
      </c>
      <c r="B103" s="172" t="s">
        <v>169</v>
      </c>
      <c r="C103" s="170"/>
      <c r="D103" s="170">
        <v>0</v>
      </c>
      <c r="E103" s="233"/>
      <c r="F103" s="233"/>
      <c r="G103" s="233"/>
      <c r="H103" s="232">
        <f t="shared" si="13"/>
        <v>0</v>
      </c>
      <c r="I103" s="233">
        <v>0</v>
      </c>
      <c r="J103" s="233"/>
      <c r="K103" s="233"/>
      <c r="L103" s="233"/>
      <c r="M103" s="232">
        <f t="shared" si="14"/>
        <v>0</v>
      </c>
      <c r="N103" s="233">
        <v>0</v>
      </c>
      <c r="O103" s="233"/>
      <c r="P103" s="233"/>
      <c r="Q103" s="233"/>
      <c r="R103" s="232">
        <f t="shared" si="15"/>
        <v>0</v>
      </c>
    </row>
    <row r="104" spans="1:18" s="6" customFormat="1" ht="24" hidden="1" customHeight="1">
      <c r="A104" s="134">
        <v>18139</v>
      </c>
      <c r="B104" s="172" t="s">
        <v>179</v>
      </c>
      <c r="C104" s="170"/>
      <c r="D104" s="170">
        <v>0</v>
      </c>
      <c r="E104" s="233"/>
      <c r="F104" s="233"/>
      <c r="G104" s="233"/>
      <c r="H104" s="232">
        <f t="shared" si="13"/>
        <v>0</v>
      </c>
      <c r="I104" s="233">
        <v>0</v>
      </c>
      <c r="J104" s="233"/>
      <c r="K104" s="233"/>
      <c r="L104" s="233"/>
      <c r="M104" s="232">
        <f t="shared" si="14"/>
        <v>0</v>
      </c>
      <c r="N104" s="233">
        <v>0</v>
      </c>
      <c r="O104" s="233"/>
      <c r="P104" s="233"/>
      <c r="Q104" s="233"/>
      <c r="R104" s="232">
        <f t="shared" si="15"/>
        <v>0</v>
      </c>
    </row>
    <row r="105" spans="1:18" s="6" customFormat="1" ht="12" hidden="1" customHeight="1">
      <c r="A105" s="135" t="s">
        <v>180</v>
      </c>
      <c r="B105" s="173" t="s">
        <v>173</v>
      </c>
      <c r="C105" s="201">
        <v>0</v>
      </c>
      <c r="D105" s="201">
        <v>0</v>
      </c>
      <c r="E105" s="238">
        <f>E106</f>
        <v>0</v>
      </c>
      <c r="F105" s="238">
        <f>F106</f>
        <v>0</v>
      </c>
      <c r="G105" s="238">
        <f>G106</f>
        <v>0</v>
      </c>
      <c r="H105" s="232">
        <f t="shared" si="13"/>
        <v>0</v>
      </c>
      <c r="I105" s="238">
        <v>0</v>
      </c>
      <c r="J105" s="238">
        <f>J106</f>
        <v>0</v>
      </c>
      <c r="K105" s="238">
        <f>K106</f>
        <v>0</v>
      </c>
      <c r="L105" s="238">
        <f>L106</f>
        <v>0</v>
      </c>
      <c r="M105" s="232">
        <f t="shared" si="14"/>
        <v>0</v>
      </c>
      <c r="N105" s="238">
        <v>0</v>
      </c>
      <c r="O105" s="238">
        <f>O106</f>
        <v>0</v>
      </c>
      <c r="P105" s="238">
        <f>P106</f>
        <v>0</v>
      </c>
      <c r="Q105" s="238">
        <f>Q106</f>
        <v>0</v>
      </c>
      <c r="R105" s="232">
        <f t="shared" si="15"/>
        <v>0</v>
      </c>
    </row>
    <row r="106" spans="1:18" s="6" customFormat="1" ht="24" hidden="1" customHeight="1">
      <c r="A106" s="135">
        <v>19500</v>
      </c>
      <c r="B106" s="172" t="s">
        <v>174</v>
      </c>
      <c r="C106" s="170">
        <v>0</v>
      </c>
      <c r="D106" s="170">
        <v>0</v>
      </c>
      <c r="E106" s="233">
        <f>SUM(E107:E109)</f>
        <v>0</v>
      </c>
      <c r="F106" s="233">
        <f>SUM(F107:F109)</f>
        <v>0</v>
      </c>
      <c r="G106" s="233">
        <f>SUM(G107:G109)</f>
        <v>0</v>
      </c>
      <c r="H106" s="232">
        <f t="shared" si="13"/>
        <v>0</v>
      </c>
      <c r="I106" s="233">
        <v>0</v>
      </c>
      <c r="J106" s="233">
        <f>SUM(J107:J109)</f>
        <v>0</v>
      </c>
      <c r="K106" s="233">
        <f>SUM(K107:K109)</f>
        <v>0</v>
      </c>
      <c r="L106" s="233">
        <f>SUM(L107:L109)</f>
        <v>0</v>
      </c>
      <c r="M106" s="232">
        <f t="shared" si="14"/>
        <v>0</v>
      </c>
      <c r="N106" s="233">
        <v>0</v>
      </c>
      <c r="O106" s="233">
        <f>SUM(O107:O109)</f>
        <v>0</v>
      </c>
      <c r="P106" s="233">
        <f>SUM(P107:P109)</f>
        <v>0</v>
      </c>
      <c r="Q106" s="233">
        <f>SUM(Q107:Q109)</f>
        <v>0</v>
      </c>
      <c r="R106" s="232">
        <f t="shared" si="15"/>
        <v>0</v>
      </c>
    </row>
    <row r="107" spans="1:18" s="6" customFormat="1" ht="24" hidden="1" customHeight="1">
      <c r="A107" s="136">
        <v>19550</v>
      </c>
      <c r="B107" s="172" t="s">
        <v>175</v>
      </c>
      <c r="C107" s="170"/>
      <c r="D107" s="170">
        <v>0</v>
      </c>
      <c r="E107" s="233"/>
      <c r="F107" s="233"/>
      <c r="G107" s="233"/>
      <c r="H107" s="232">
        <f t="shared" si="13"/>
        <v>0</v>
      </c>
      <c r="I107" s="233">
        <v>0</v>
      </c>
      <c r="J107" s="233"/>
      <c r="K107" s="233"/>
      <c r="L107" s="233"/>
      <c r="M107" s="232">
        <f t="shared" si="14"/>
        <v>0</v>
      </c>
      <c r="N107" s="233">
        <v>0</v>
      </c>
      <c r="O107" s="233"/>
      <c r="P107" s="233"/>
      <c r="Q107" s="233"/>
      <c r="R107" s="232">
        <f t="shared" si="15"/>
        <v>0</v>
      </c>
    </row>
    <row r="108" spans="1:18" s="6" customFormat="1" ht="36" hidden="1" customHeight="1">
      <c r="A108" s="136">
        <v>19560</v>
      </c>
      <c r="B108" s="172" t="s">
        <v>181</v>
      </c>
      <c r="C108" s="170"/>
      <c r="D108" s="170">
        <v>0</v>
      </c>
      <c r="E108" s="233"/>
      <c r="F108" s="233"/>
      <c r="G108" s="233"/>
      <c r="H108" s="232">
        <f t="shared" si="13"/>
        <v>0</v>
      </c>
      <c r="I108" s="233">
        <v>0</v>
      </c>
      <c r="J108" s="233"/>
      <c r="K108" s="233"/>
      <c r="L108" s="233"/>
      <c r="M108" s="232">
        <f t="shared" si="14"/>
        <v>0</v>
      </c>
      <c r="N108" s="233">
        <v>0</v>
      </c>
      <c r="O108" s="233"/>
      <c r="P108" s="233"/>
      <c r="Q108" s="233"/>
      <c r="R108" s="232">
        <f t="shared" si="15"/>
        <v>0</v>
      </c>
    </row>
    <row r="109" spans="1:18" s="6" customFormat="1" ht="72" hidden="1" customHeight="1">
      <c r="A109" s="136">
        <v>19570</v>
      </c>
      <c r="B109" s="172" t="s">
        <v>182</v>
      </c>
      <c r="C109" s="170"/>
      <c r="D109" s="170">
        <v>0</v>
      </c>
      <c r="E109" s="233"/>
      <c r="F109" s="233"/>
      <c r="G109" s="233"/>
      <c r="H109" s="232">
        <f t="shared" si="13"/>
        <v>0</v>
      </c>
      <c r="I109" s="233">
        <v>0</v>
      </c>
      <c r="J109" s="233"/>
      <c r="K109" s="233"/>
      <c r="L109" s="233"/>
      <c r="M109" s="232">
        <f t="shared" si="14"/>
        <v>0</v>
      </c>
      <c r="N109" s="233">
        <v>0</v>
      </c>
      <c r="O109" s="233"/>
      <c r="P109" s="233"/>
      <c r="Q109" s="233"/>
      <c r="R109" s="232">
        <f t="shared" si="15"/>
        <v>0</v>
      </c>
    </row>
    <row r="110" spans="1:18" s="6" customFormat="1" ht="24" hidden="1" customHeight="1">
      <c r="A110" s="209" t="s">
        <v>222</v>
      </c>
      <c r="B110" s="208" t="s">
        <v>216</v>
      </c>
      <c r="C110" s="106">
        <v>0</v>
      </c>
      <c r="D110" s="106">
        <v>0</v>
      </c>
      <c r="E110" s="232">
        <f>E111</f>
        <v>0</v>
      </c>
      <c r="F110" s="232">
        <f>F111</f>
        <v>0</v>
      </c>
      <c r="G110" s="232">
        <f>G111</f>
        <v>0</v>
      </c>
      <c r="H110" s="232">
        <f t="shared" si="13"/>
        <v>0</v>
      </c>
      <c r="I110" s="233">
        <v>0</v>
      </c>
      <c r="J110" s="232">
        <f>J111</f>
        <v>0</v>
      </c>
      <c r="K110" s="232">
        <f>K111</f>
        <v>0</v>
      </c>
      <c r="L110" s="232">
        <f>L111</f>
        <v>0</v>
      </c>
      <c r="M110" s="232">
        <f t="shared" si="14"/>
        <v>0</v>
      </c>
      <c r="N110" s="233">
        <v>0</v>
      </c>
      <c r="O110" s="232">
        <f>O111</f>
        <v>0</v>
      </c>
      <c r="P110" s="232">
        <f>P111</f>
        <v>0</v>
      </c>
      <c r="Q110" s="232">
        <f>Q111</f>
        <v>0</v>
      </c>
      <c r="R110" s="232">
        <f t="shared" si="15"/>
        <v>0</v>
      </c>
    </row>
    <row r="111" spans="1:18" s="6" customFormat="1" ht="36" hidden="1" customHeight="1">
      <c r="A111" s="209">
        <v>17100</v>
      </c>
      <c r="B111" s="208" t="s">
        <v>217</v>
      </c>
      <c r="C111" s="106">
        <v>0</v>
      </c>
      <c r="D111" s="106">
        <v>0</v>
      </c>
      <c r="E111" s="232">
        <f>SUM(E112:E115)</f>
        <v>0</v>
      </c>
      <c r="F111" s="232">
        <f>SUM(F112:F115)</f>
        <v>0</v>
      </c>
      <c r="G111" s="232">
        <f>SUM(G112:G115)</f>
        <v>0</v>
      </c>
      <c r="H111" s="232">
        <f t="shared" si="13"/>
        <v>0</v>
      </c>
      <c r="I111" s="233">
        <v>0</v>
      </c>
      <c r="J111" s="232">
        <f>SUM(J112:J115)</f>
        <v>0</v>
      </c>
      <c r="K111" s="232">
        <f>SUM(K112:K115)</f>
        <v>0</v>
      </c>
      <c r="L111" s="232">
        <f>SUM(L112:L115)</f>
        <v>0</v>
      </c>
      <c r="M111" s="232">
        <f t="shared" si="14"/>
        <v>0</v>
      </c>
      <c r="N111" s="233">
        <v>0</v>
      </c>
      <c r="O111" s="232">
        <f>SUM(O112:O115)</f>
        <v>0</v>
      </c>
      <c r="P111" s="232">
        <f>SUM(P112:P115)</f>
        <v>0</v>
      </c>
      <c r="Q111" s="232">
        <f>SUM(Q112:Q115)</f>
        <v>0</v>
      </c>
      <c r="R111" s="232">
        <f t="shared" si="15"/>
        <v>0</v>
      </c>
    </row>
    <row r="112" spans="1:18" s="6" customFormat="1" ht="60" hidden="1" customHeight="1">
      <c r="A112" s="149">
        <v>17110</v>
      </c>
      <c r="B112" s="208" t="s">
        <v>218</v>
      </c>
      <c r="C112" s="106"/>
      <c r="D112" s="106">
        <v>0</v>
      </c>
      <c r="E112" s="233"/>
      <c r="F112" s="233"/>
      <c r="G112" s="233"/>
      <c r="H112" s="232">
        <f t="shared" si="13"/>
        <v>0</v>
      </c>
      <c r="I112" s="233">
        <v>0</v>
      </c>
      <c r="J112" s="233"/>
      <c r="K112" s="233"/>
      <c r="L112" s="233"/>
      <c r="M112" s="232">
        <f t="shared" si="14"/>
        <v>0</v>
      </c>
      <c r="N112" s="233">
        <v>0</v>
      </c>
      <c r="O112" s="233"/>
      <c r="P112" s="233"/>
      <c r="Q112" s="233"/>
      <c r="R112" s="232">
        <f t="shared" si="15"/>
        <v>0</v>
      </c>
    </row>
    <row r="113" spans="1:18" s="6" customFormat="1" ht="60" hidden="1" customHeight="1">
      <c r="A113" s="149">
        <v>17120</v>
      </c>
      <c r="B113" s="208" t="s">
        <v>219</v>
      </c>
      <c r="C113" s="106"/>
      <c r="D113" s="106">
        <v>0</v>
      </c>
      <c r="E113" s="233"/>
      <c r="F113" s="233"/>
      <c r="G113" s="233"/>
      <c r="H113" s="232">
        <f t="shared" si="13"/>
        <v>0</v>
      </c>
      <c r="I113" s="233">
        <v>0</v>
      </c>
      <c r="J113" s="233"/>
      <c r="K113" s="233"/>
      <c r="L113" s="233"/>
      <c r="M113" s="232">
        <f t="shared" si="14"/>
        <v>0</v>
      </c>
      <c r="N113" s="233">
        <v>0</v>
      </c>
      <c r="O113" s="233"/>
      <c r="P113" s="233"/>
      <c r="Q113" s="233"/>
      <c r="R113" s="232">
        <f t="shared" si="15"/>
        <v>0</v>
      </c>
    </row>
    <row r="114" spans="1:18" s="6" customFormat="1" ht="108" hidden="1" customHeight="1">
      <c r="A114" s="149">
        <v>17130</v>
      </c>
      <c r="B114" s="208" t="s">
        <v>220</v>
      </c>
      <c r="C114" s="106"/>
      <c r="D114" s="106">
        <v>0</v>
      </c>
      <c r="E114" s="233"/>
      <c r="F114" s="233"/>
      <c r="G114" s="233"/>
      <c r="H114" s="232">
        <f t="shared" si="13"/>
        <v>0</v>
      </c>
      <c r="I114" s="233">
        <v>0</v>
      </c>
      <c r="J114" s="233"/>
      <c r="K114" s="233"/>
      <c r="L114" s="233"/>
      <c r="M114" s="232">
        <f t="shared" si="14"/>
        <v>0</v>
      </c>
      <c r="N114" s="233">
        <v>0</v>
      </c>
      <c r="O114" s="233"/>
      <c r="P114" s="233"/>
      <c r="Q114" s="233"/>
      <c r="R114" s="232">
        <f t="shared" si="15"/>
        <v>0</v>
      </c>
    </row>
    <row r="115" spans="1:18" s="6" customFormat="1" ht="108" hidden="1" customHeight="1">
      <c r="A115" s="149">
        <v>17140</v>
      </c>
      <c r="B115" s="208" t="s">
        <v>221</v>
      </c>
      <c r="C115" s="106"/>
      <c r="D115" s="106">
        <v>0</v>
      </c>
      <c r="E115" s="233"/>
      <c r="F115" s="233"/>
      <c r="G115" s="233"/>
      <c r="H115" s="232">
        <f t="shared" si="13"/>
        <v>0</v>
      </c>
      <c r="I115" s="233">
        <v>0</v>
      </c>
      <c r="J115" s="233"/>
      <c r="K115" s="233"/>
      <c r="L115" s="233"/>
      <c r="M115" s="232">
        <f t="shared" si="14"/>
        <v>0</v>
      </c>
      <c r="N115" s="233">
        <v>0</v>
      </c>
      <c r="O115" s="233"/>
      <c r="P115" s="233"/>
      <c r="Q115" s="233"/>
      <c r="R115" s="232">
        <f t="shared" si="15"/>
        <v>0</v>
      </c>
    </row>
    <row r="116" spans="1:18" s="6" customFormat="1" ht="12">
      <c r="A116" s="137">
        <v>21700</v>
      </c>
      <c r="B116" s="124" t="s">
        <v>97</v>
      </c>
      <c r="C116" s="170">
        <v>131705047</v>
      </c>
      <c r="D116" s="170">
        <v>128570314</v>
      </c>
      <c r="E116" s="233">
        <f>E117+E118</f>
        <v>0</v>
      </c>
      <c r="F116" s="233">
        <f>F117+F118</f>
        <v>9416663</v>
      </c>
      <c r="G116" s="233">
        <f>G117+G118</f>
        <v>4338410</v>
      </c>
      <c r="H116" s="232">
        <f t="shared" si="13"/>
        <v>142325387</v>
      </c>
      <c r="I116" s="233">
        <v>125794636</v>
      </c>
      <c r="J116" s="233">
        <f>J117+J118</f>
        <v>0</v>
      </c>
      <c r="K116" s="233">
        <f>K117+K118</f>
        <v>6690902</v>
      </c>
      <c r="L116" s="233">
        <f>L117+L118</f>
        <v>4555880</v>
      </c>
      <c r="M116" s="232">
        <f t="shared" si="14"/>
        <v>137041418</v>
      </c>
      <c r="N116" s="233">
        <v>111503284</v>
      </c>
      <c r="O116" s="233">
        <f>O117+O118</f>
        <v>0</v>
      </c>
      <c r="P116" s="233">
        <f>P117+P118</f>
        <v>18709874</v>
      </c>
      <c r="Q116" s="233">
        <f>Q117+Q118</f>
        <v>3371865</v>
      </c>
      <c r="R116" s="232">
        <f t="shared" si="15"/>
        <v>133585023</v>
      </c>
    </row>
    <row r="117" spans="1:18" s="6" customFormat="1" ht="24">
      <c r="A117" s="138">
        <v>21710</v>
      </c>
      <c r="B117" s="125" t="s">
        <v>98</v>
      </c>
      <c r="C117" s="170">
        <v>131705047</v>
      </c>
      <c r="D117" s="170">
        <v>128570314</v>
      </c>
      <c r="E117" s="233">
        <f>+E272+E281+E290+E298+E306+E314+E322+E330+E338+E348+E356+E368+E378+E386+E394+E402+E409+E417+E429+E437+E445</f>
        <v>0</v>
      </c>
      <c r="F117" s="233">
        <f>F272+F281+F348+F298+F306+F314+F322+F330+F290+F356+F368+F445</f>
        <v>9416663</v>
      </c>
      <c r="G117" s="233">
        <f>+G272+G281+G290+G298+G306+G314+G322+G330+G338+G348+G356+G368+G378+G386+G394+G402+G409+G417+G429+G437+G445</f>
        <v>4338410</v>
      </c>
      <c r="H117" s="232">
        <f t="shared" si="13"/>
        <v>142325387</v>
      </c>
      <c r="I117" s="233">
        <v>125794636</v>
      </c>
      <c r="J117" s="233">
        <f>+J272+J281+J290+J298+J306+J314+J322+J330+J338+J348+J356+J368+J378+J386+J394+J402+J409+J417+J429+J437+J445</f>
        <v>0</v>
      </c>
      <c r="K117" s="233">
        <f>K272+K281+K348+K298+K306+K314+K322+K330+K290+K356+K368+K445+K338+K378+K386</f>
        <v>6690902</v>
      </c>
      <c r="L117" s="233">
        <f>+L272+L281+L290+L298+L306+L314+L322+L330+L338+L348+L356+L368+L378+L386+L394+L402+L409+L417+L429+L437+L445</f>
        <v>4555880</v>
      </c>
      <c r="M117" s="232">
        <f t="shared" si="14"/>
        <v>137041418</v>
      </c>
      <c r="N117" s="233">
        <v>111503284</v>
      </c>
      <c r="O117" s="233">
        <f>+O272+O281+O290+O298+O306+O314+O322+O330+O338+O348+O356+O368+O378+O386+O394+O402+O409+O417+O429+O437+O445</f>
        <v>0</v>
      </c>
      <c r="P117" s="233">
        <f>P272+P281+P348+P298+P306+P314+P322+P330+P290+P356+P368+P445+P338</f>
        <v>18709874</v>
      </c>
      <c r="Q117" s="233">
        <f>+Q272+Q281+Q290+Q298+Q306+Q314+Q322+Q330+Q338+Q348+Q356+Q368+Q378+Q386+Q394+Q402+Q409+Q417+Q429+Q437+Q445</f>
        <v>3371865</v>
      </c>
      <c r="R117" s="232">
        <f t="shared" si="15"/>
        <v>133585023</v>
      </c>
    </row>
    <row r="118" spans="1:18" s="6" customFormat="1" ht="24" hidden="1" customHeight="1">
      <c r="A118" s="138">
        <v>21720</v>
      </c>
      <c r="B118" s="125" t="s">
        <v>99</v>
      </c>
      <c r="C118" s="170"/>
      <c r="D118" s="170">
        <v>0</v>
      </c>
      <c r="E118" s="233"/>
      <c r="F118" s="233"/>
      <c r="G118" s="233"/>
      <c r="H118" s="232">
        <f t="shared" si="13"/>
        <v>0</v>
      </c>
      <c r="I118" s="233">
        <v>0</v>
      </c>
      <c r="J118" s="233"/>
      <c r="K118" s="233"/>
      <c r="L118" s="233"/>
      <c r="M118" s="232">
        <f t="shared" si="14"/>
        <v>0</v>
      </c>
      <c r="N118" s="233">
        <v>0</v>
      </c>
      <c r="O118" s="233"/>
      <c r="P118" s="233"/>
      <c r="Q118" s="233"/>
      <c r="R118" s="232">
        <f t="shared" si="15"/>
        <v>0</v>
      </c>
    </row>
    <row r="119" spans="1:18" s="6" customFormat="1" ht="11.4">
      <c r="A119" s="129" t="s">
        <v>100</v>
      </c>
      <c r="B119" s="123" t="s">
        <v>101</v>
      </c>
      <c r="C119" s="168">
        <v>133755296</v>
      </c>
      <c r="D119" s="168">
        <v>130238493</v>
      </c>
      <c r="E119" s="243">
        <f>E120+E147</f>
        <v>0</v>
      </c>
      <c r="F119" s="243">
        <f>F120+F147</f>
        <v>9416663</v>
      </c>
      <c r="G119" s="243">
        <f>G120+G147</f>
        <v>4338410</v>
      </c>
      <c r="H119" s="229">
        <f t="shared" si="13"/>
        <v>143993566</v>
      </c>
      <c r="I119" s="243">
        <v>127462815</v>
      </c>
      <c r="J119" s="243">
        <f>J120+J147</f>
        <v>0</v>
      </c>
      <c r="K119" s="243">
        <f>K120+K147</f>
        <v>6690902</v>
      </c>
      <c r="L119" s="243">
        <f>L120+L147</f>
        <v>4555880</v>
      </c>
      <c r="M119" s="229">
        <f t="shared" si="14"/>
        <v>138709597</v>
      </c>
      <c r="N119" s="243">
        <v>113171463</v>
      </c>
      <c r="O119" s="243">
        <f>O120+O147</f>
        <v>0</v>
      </c>
      <c r="P119" s="243">
        <f>P120+P147</f>
        <v>18709874</v>
      </c>
      <c r="Q119" s="243">
        <f>Q120+Q147</f>
        <v>3371865</v>
      </c>
      <c r="R119" s="229">
        <f t="shared" si="15"/>
        <v>135253202</v>
      </c>
    </row>
    <row r="120" spans="1:18" s="6" customFormat="1" ht="20.399999999999999">
      <c r="A120" s="130" t="s">
        <v>102</v>
      </c>
      <c r="B120" s="124" t="s">
        <v>103</v>
      </c>
      <c r="C120" s="170">
        <v>129626995</v>
      </c>
      <c r="D120" s="170">
        <v>126301736</v>
      </c>
      <c r="E120" s="233">
        <f>E121+E125+E126+E129+E132</f>
        <v>0</v>
      </c>
      <c r="F120" s="233">
        <f>F121+F125+F126+F129+F132</f>
        <v>9398125</v>
      </c>
      <c r="G120" s="233">
        <f>G121+G125+G126+G129+G132</f>
        <v>3217680</v>
      </c>
      <c r="H120" s="232">
        <f t="shared" si="13"/>
        <v>138917541</v>
      </c>
      <c r="I120" s="233">
        <v>124067966</v>
      </c>
      <c r="J120" s="233">
        <f>J121+J125+J126+J129+J132</f>
        <v>0</v>
      </c>
      <c r="K120" s="233">
        <f>K121+K125+K126+K129+K132</f>
        <v>6499451</v>
      </c>
      <c r="L120" s="233">
        <f>L121+L125+L126+L129+L132</f>
        <v>2030220</v>
      </c>
      <c r="M120" s="232">
        <f t="shared" si="14"/>
        <v>132597637</v>
      </c>
      <c r="N120" s="233">
        <v>110159635</v>
      </c>
      <c r="O120" s="233">
        <f>O121+O125+O126+O129+O132</f>
        <v>0</v>
      </c>
      <c r="P120" s="233">
        <f>P121+P125+P126+P129+P132</f>
        <v>18138102</v>
      </c>
      <c r="Q120" s="233">
        <f>Q121+Q125+Q126+Q129+Q132</f>
        <v>2085625</v>
      </c>
      <c r="R120" s="232">
        <f t="shared" si="15"/>
        <v>130383362</v>
      </c>
    </row>
    <row r="121" spans="1:18" s="6" customFormat="1" ht="12">
      <c r="A121" s="130" t="s">
        <v>104</v>
      </c>
      <c r="B121" s="124" t="s">
        <v>105</v>
      </c>
      <c r="C121" s="170">
        <v>117403141</v>
      </c>
      <c r="D121" s="170">
        <v>113432582</v>
      </c>
      <c r="E121" s="233">
        <f>E122+E124</f>
        <v>0</v>
      </c>
      <c r="F121" s="233">
        <f>F122+F124</f>
        <v>9172126</v>
      </c>
      <c r="G121" s="233">
        <f>G122+G124</f>
        <v>3161360</v>
      </c>
      <c r="H121" s="232">
        <f t="shared" si="13"/>
        <v>125766068</v>
      </c>
      <c r="I121" s="233">
        <v>110498812</v>
      </c>
      <c r="J121" s="233">
        <f>J122+J124</f>
        <v>0</v>
      </c>
      <c r="K121" s="233">
        <f>K122+K124</f>
        <v>6273452</v>
      </c>
      <c r="L121" s="233">
        <f>L122+L124</f>
        <v>1973900</v>
      </c>
      <c r="M121" s="232">
        <f t="shared" si="14"/>
        <v>118746164</v>
      </c>
      <c r="N121" s="233">
        <v>95509929</v>
      </c>
      <c r="O121" s="233">
        <f>O122+O124</f>
        <v>0</v>
      </c>
      <c r="P121" s="233">
        <f>P122+P124</f>
        <v>17912103</v>
      </c>
      <c r="Q121" s="233">
        <f>Q122+Q124</f>
        <v>2029305</v>
      </c>
      <c r="R121" s="232">
        <f t="shared" si="15"/>
        <v>115451337</v>
      </c>
    </row>
    <row r="122" spans="1:18" s="29" customFormat="1" ht="12">
      <c r="A122" s="132">
        <v>1000</v>
      </c>
      <c r="B122" s="125" t="s">
        <v>106</v>
      </c>
      <c r="C122" s="170">
        <v>62235534</v>
      </c>
      <c r="D122" s="170">
        <v>62439919</v>
      </c>
      <c r="E122" s="233">
        <f>+E302+E310+E318+E326+E334+E360+E372+E421+E449</f>
        <v>0</v>
      </c>
      <c r="F122" s="233">
        <f>F302+F310+F318+F326+F334+F360+F372+F449</f>
        <v>1875556</v>
      </c>
      <c r="G122" s="233">
        <f>+G302+G310+G318+G326+G334+G360+G372+G421+G449</f>
        <v>142735</v>
      </c>
      <c r="H122" s="232">
        <f t="shared" si="13"/>
        <v>64458210</v>
      </c>
      <c r="I122" s="233">
        <v>62232484</v>
      </c>
      <c r="J122" s="233">
        <f>+J302+J310+J318+J326+J334+J360+J372+J421+J449</f>
        <v>0</v>
      </c>
      <c r="K122" s="233">
        <f>K302+K310+K318+K326+K334+K360+K372+K449</f>
        <v>2029994</v>
      </c>
      <c r="L122" s="233">
        <f>+L302+L310+L318+L326+L334+L360+L372+L421+L449</f>
        <v>136967</v>
      </c>
      <c r="M122" s="232">
        <f t="shared" si="14"/>
        <v>64399445</v>
      </c>
      <c r="N122" s="233">
        <v>62154886</v>
      </c>
      <c r="O122" s="233">
        <f>+O302+O310+O318+O326+O334+O360+O372+O421+O449</f>
        <v>0</v>
      </c>
      <c r="P122" s="233">
        <f>P302+P310+P318+P326+P334+P360+P372+P449</f>
        <v>2027937</v>
      </c>
      <c r="Q122" s="233">
        <f>+Q302+Q310+Q318+Q326+Q334+Q360+Q372+Q421+Q449</f>
        <v>136967</v>
      </c>
      <c r="R122" s="232">
        <f t="shared" si="15"/>
        <v>64319790</v>
      </c>
    </row>
    <row r="123" spans="1:18" s="89" customFormat="1" ht="12">
      <c r="A123" s="139">
        <v>1100</v>
      </c>
      <c r="B123" s="125" t="s">
        <v>107</v>
      </c>
      <c r="C123" s="170">
        <v>39373212</v>
      </c>
      <c r="D123" s="170">
        <v>39537920</v>
      </c>
      <c r="E123" s="233">
        <f>+E361+E373+E422+E450</f>
        <v>0</v>
      </c>
      <c r="F123" s="233">
        <f>F361+F373+F450</f>
        <v>1620</v>
      </c>
      <c r="G123" s="233">
        <f>+G361+G373+G422+G450</f>
        <v>115025</v>
      </c>
      <c r="H123" s="233">
        <f t="shared" si="13"/>
        <v>39654565</v>
      </c>
      <c r="I123" s="233">
        <v>39370755</v>
      </c>
      <c r="J123" s="233">
        <f>+J361+J373+J422+J450</f>
        <v>0</v>
      </c>
      <c r="K123" s="233">
        <f>K361+K373+K450</f>
        <v>166927</v>
      </c>
      <c r="L123" s="233">
        <f>+L361+L373+L422+L450</f>
        <v>110377</v>
      </c>
      <c r="M123" s="233">
        <f t="shared" si="14"/>
        <v>39648059</v>
      </c>
      <c r="N123" s="233">
        <v>39308221</v>
      </c>
      <c r="O123" s="233">
        <f>+O361+O373+O422+O450</f>
        <v>0</v>
      </c>
      <c r="P123" s="233">
        <f>P361+P373+P450</f>
        <v>165270</v>
      </c>
      <c r="Q123" s="233">
        <f>+Q361+Q373+Q422+Q450</f>
        <v>110377</v>
      </c>
      <c r="R123" s="233">
        <f t="shared" si="15"/>
        <v>39583868</v>
      </c>
    </row>
    <row r="124" spans="1:18" s="89" customFormat="1" ht="12">
      <c r="A124" s="132">
        <v>2000</v>
      </c>
      <c r="B124" s="125" t="s">
        <v>108</v>
      </c>
      <c r="C124" s="170">
        <v>55167607</v>
      </c>
      <c r="D124" s="170">
        <v>50992663</v>
      </c>
      <c r="E124" s="233">
        <f>+E374+E382+E390+E398+E413+E423+E441+E451</f>
        <v>0</v>
      </c>
      <c r="F124" s="233">
        <f>F352+F294+F362+F374+F451</f>
        <v>7296570</v>
      </c>
      <c r="G124" s="233">
        <f>+G374+G382+G390+G398+G413+G423+G441+G451</f>
        <v>3018625</v>
      </c>
      <c r="H124" s="232">
        <f t="shared" si="13"/>
        <v>61307858</v>
      </c>
      <c r="I124" s="233">
        <v>48266328</v>
      </c>
      <c r="J124" s="233">
        <f>+J374+J382+J390+J398+J413+J423+J441+J451</f>
        <v>0</v>
      </c>
      <c r="K124" s="233">
        <f>K352+K294+K362+K374+K451</f>
        <v>4243458</v>
      </c>
      <c r="L124" s="233">
        <f>+L374+L382+L390+L398+L413+L423+L441+L451</f>
        <v>1836933</v>
      </c>
      <c r="M124" s="232">
        <f t="shared" si="14"/>
        <v>54346719</v>
      </c>
      <c r="N124" s="233">
        <v>33355043</v>
      </c>
      <c r="O124" s="233">
        <f>+O374+O382+O390+O398+O413+O423+O441+O451</f>
        <v>0</v>
      </c>
      <c r="P124" s="233">
        <f>P352+P294+P362+P374+P451+P342</f>
        <v>15884166</v>
      </c>
      <c r="Q124" s="233">
        <f>+Q374+Q382+Q390+Q398+Q413+Q423+Q441+Q451</f>
        <v>1892338</v>
      </c>
      <c r="R124" s="232">
        <f t="shared" si="15"/>
        <v>51131547</v>
      </c>
    </row>
    <row r="125" spans="1:18" s="89" customFormat="1" ht="12" hidden="1" customHeight="1">
      <c r="A125" s="140">
        <v>4000</v>
      </c>
      <c r="B125" s="124" t="s">
        <v>132</v>
      </c>
      <c r="C125" s="170"/>
      <c r="D125" s="170">
        <v>0</v>
      </c>
      <c r="E125" s="244"/>
      <c r="F125" s="244"/>
      <c r="G125" s="244"/>
      <c r="H125" s="232">
        <f t="shared" si="13"/>
        <v>0</v>
      </c>
      <c r="I125" s="233">
        <v>0</v>
      </c>
      <c r="J125" s="244"/>
      <c r="K125" s="244"/>
      <c r="L125" s="244"/>
      <c r="M125" s="232">
        <f t="shared" si="14"/>
        <v>0</v>
      </c>
      <c r="N125" s="233">
        <v>0</v>
      </c>
      <c r="O125" s="244"/>
      <c r="P125" s="244"/>
      <c r="Q125" s="244"/>
      <c r="R125" s="232">
        <f t="shared" si="15"/>
        <v>0</v>
      </c>
    </row>
    <row r="126" spans="1:18" s="89" customFormat="1" ht="12">
      <c r="A126" s="140" t="s">
        <v>109</v>
      </c>
      <c r="B126" s="124" t="s">
        <v>110</v>
      </c>
      <c r="C126" s="170">
        <v>6732620</v>
      </c>
      <c r="D126" s="170">
        <v>7357920</v>
      </c>
      <c r="E126" s="233">
        <f>E127+E128</f>
        <v>0</v>
      </c>
      <c r="F126" s="233">
        <f>F127+F128</f>
        <v>0</v>
      </c>
      <c r="G126" s="233">
        <f>G127+G128</f>
        <v>56320</v>
      </c>
      <c r="H126" s="232">
        <f t="shared" ref="H126:H157" si="19">SUM(D126:G126)</f>
        <v>7414240</v>
      </c>
      <c r="I126" s="233">
        <v>8057920</v>
      </c>
      <c r="J126" s="233">
        <f>J127+J128</f>
        <v>0</v>
      </c>
      <c r="K126" s="233">
        <f>K127+K128</f>
        <v>0</v>
      </c>
      <c r="L126" s="233">
        <f>L127+L128</f>
        <v>56320</v>
      </c>
      <c r="M126" s="232">
        <f t="shared" ref="M126:M157" si="20">SUM(I126:L126)</f>
        <v>8114240</v>
      </c>
      <c r="N126" s="233">
        <v>9216232</v>
      </c>
      <c r="O126" s="233">
        <f>O127+O128</f>
        <v>0</v>
      </c>
      <c r="P126" s="233">
        <f>P127+P128</f>
        <v>0</v>
      </c>
      <c r="Q126" s="233">
        <f>Q127+Q128</f>
        <v>56320</v>
      </c>
      <c r="R126" s="232">
        <f t="shared" ref="R126:R157" si="21">SUM(N126:Q126)</f>
        <v>9272552</v>
      </c>
    </row>
    <row r="127" spans="1:18" s="89" customFormat="1" ht="12">
      <c r="A127" s="132">
        <v>3000</v>
      </c>
      <c r="B127" s="125" t="s">
        <v>111</v>
      </c>
      <c r="C127" s="202">
        <v>69920</v>
      </c>
      <c r="D127" s="202">
        <v>29920</v>
      </c>
      <c r="E127" s="345">
        <f>+E433</f>
        <v>0</v>
      </c>
      <c r="F127" s="345">
        <f>+F433</f>
        <v>0</v>
      </c>
      <c r="G127" s="345">
        <f>+G433</f>
        <v>56320</v>
      </c>
      <c r="H127" s="232">
        <f t="shared" si="19"/>
        <v>86240</v>
      </c>
      <c r="I127" s="345">
        <v>29920</v>
      </c>
      <c r="J127" s="345">
        <f t="shared" ref="J127:L127" si="22">+J433</f>
        <v>0</v>
      </c>
      <c r="K127" s="345">
        <f t="shared" si="22"/>
        <v>0</v>
      </c>
      <c r="L127" s="345">
        <f t="shared" si="22"/>
        <v>56320</v>
      </c>
      <c r="M127" s="232">
        <f t="shared" si="20"/>
        <v>86240</v>
      </c>
      <c r="N127" s="345">
        <v>29920</v>
      </c>
      <c r="O127" s="345">
        <f t="shared" ref="O127:Q127" si="23">+O433</f>
        <v>0</v>
      </c>
      <c r="P127" s="345">
        <f t="shared" si="23"/>
        <v>0</v>
      </c>
      <c r="Q127" s="345">
        <f t="shared" si="23"/>
        <v>56320</v>
      </c>
      <c r="R127" s="232">
        <f t="shared" si="21"/>
        <v>86240</v>
      </c>
    </row>
    <row r="128" spans="1:18" s="89" customFormat="1" ht="12">
      <c r="A128" s="132">
        <v>6000</v>
      </c>
      <c r="B128" s="125" t="s">
        <v>112</v>
      </c>
      <c r="C128" s="203">
        <v>6662700</v>
      </c>
      <c r="D128" s="203">
        <v>7328000</v>
      </c>
      <c r="E128" s="248"/>
      <c r="F128" s="248"/>
      <c r="G128" s="248"/>
      <c r="H128" s="232">
        <f t="shared" si="19"/>
        <v>7328000</v>
      </c>
      <c r="I128" s="346">
        <v>8028000</v>
      </c>
      <c r="J128" s="248"/>
      <c r="K128" s="248"/>
      <c r="L128" s="248"/>
      <c r="M128" s="232">
        <f t="shared" si="20"/>
        <v>8028000</v>
      </c>
      <c r="N128" s="346">
        <v>9186312</v>
      </c>
      <c r="O128" s="248"/>
      <c r="P128" s="248"/>
      <c r="Q128" s="248"/>
      <c r="R128" s="232">
        <f t="shared" si="21"/>
        <v>9186312</v>
      </c>
    </row>
    <row r="129" spans="1:18" s="89" customFormat="1" ht="22.8">
      <c r="A129" s="140" t="s">
        <v>113</v>
      </c>
      <c r="B129" s="124" t="s">
        <v>183</v>
      </c>
      <c r="C129" s="170">
        <v>5411572</v>
      </c>
      <c r="D129" s="170">
        <v>5431572</v>
      </c>
      <c r="E129" s="233">
        <f>E130+E131</f>
        <v>0</v>
      </c>
      <c r="F129" s="233">
        <f>F130+F131</f>
        <v>0</v>
      </c>
      <c r="G129" s="233">
        <f>G130+G131</f>
        <v>0</v>
      </c>
      <c r="H129" s="232">
        <f t="shared" si="19"/>
        <v>5431572</v>
      </c>
      <c r="I129" s="233">
        <v>5431572</v>
      </c>
      <c r="J129" s="233">
        <f>J130+J131</f>
        <v>0</v>
      </c>
      <c r="K129" s="233">
        <f>K130+K131</f>
        <v>0</v>
      </c>
      <c r="L129" s="233">
        <f>L130+L131</f>
        <v>0</v>
      </c>
      <c r="M129" s="232">
        <f t="shared" si="20"/>
        <v>5431572</v>
      </c>
      <c r="N129" s="233">
        <v>5431572</v>
      </c>
      <c r="O129" s="233">
        <f>O130+O131</f>
        <v>0</v>
      </c>
      <c r="P129" s="233">
        <f>P130+P131</f>
        <v>0</v>
      </c>
      <c r="Q129" s="233">
        <f>Q130+Q131</f>
        <v>0</v>
      </c>
      <c r="R129" s="232">
        <f t="shared" si="21"/>
        <v>5431572</v>
      </c>
    </row>
    <row r="130" spans="1:18" s="89" customFormat="1" ht="12" hidden="1" customHeight="1">
      <c r="A130" s="132">
        <v>7600</v>
      </c>
      <c r="B130" s="179" t="s">
        <v>184</v>
      </c>
      <c r="C130" s="170"/>
      <c r="D130" s="170">
        <v>0</v>
      </c>
      <c r="E130" s="244"/>
      <c r="F130" s="244"/>
      <c r="G130" s="244"/>
      <c r="H130" s="232">
        <f t="shared" si="19"/>
        <v>0</v>
      </c>
      <c r="I130" s="233">
        <v>0</v>
      </c>
      <c r="J130" s="244"/>
      <c r="K130" s="244"/>
      <c r="L130" s="244"/>
      <c r="M130" s="232">
        <f t="shared" si="20"/>
        <v>0</v>
      </c>
      <c r="N130" s="233">
        <v>0</v>
      </c>
      <c r="O130" s="244"/>
      <c r="P130" s="244"/>
      <c r="Q130" s="244"/>
      <c r="R130" s="232">
        <f t="shared" si="21"/>
        <v>0</v>
      </c>
    </row>
    <row r="131" spans="1:18" s="89" customFormat="1" ht="12">
      <c r="A131" s="132">
        <v>7700</v>
      </c>
      <c r="B131" s="126" t="s">
        <v>114</v>
      </c>
      <c r="C131" s="170">
        <v>5411572</v>
      </c>
      <c r="D131" s="170">
        <v>5431572</v>
      </c>
      <c r="E131" s="244"/>
      <c r="F131" s="244"/>
      <c r="G131" s="244"/>
      <c r="H131" s="232">
        <f t="shared" si="19"/>
        <v>5431572</v>
      </c>
      <c r="I131" s="233">
        <v>5431572</v>
      </c>
      <c r="J131" s="244"/>
      <c r="K131" s="244"/>
      <c r="L131" s="244"/>
      <c r="M131" s="232">
        <f t="shared" si="20"/>
        <v>5431572</v>
      </c>
      <c r="N131" s="233">
        <v>5431572</v>
      </c>
      <c r="O131" s="244"/>
      <c r="P131" s="244"/>
      <c r="Q131" s="244"/>
      <c r="R131" s="232">
        <f t="shared" si="21"/>
        <v>5431572</v>
      </c>
    </row>
    <row r="132" spans="1:18" s="89" customFormat="1" ht="20.399999999999999">
      <c r="A132" s="140" t="s">
        <v>185</v>
      </c>
      <c r="B132" s="124" t="s">
        <v>115</v>
      </c>
      <c r="C132" s="170">
        <v>79662</v>
      </c>
      <c r="D132" s="170">
        <v>79662</v>
      </c>
      <c r="E132" s="233">
        <f>E133+E139+E143+E146</f>
        <v>0</v>
      </c>
      <c r="F132" s="233">
        <f>F133+F139+F143+F146</f>
        <v>225999</v>
      </c>
      <c r="G132" s="233">
        <f>G133+G139+G143+G146</f>
        <v>0</v>
      </c>
      <c r="H132" s="232">
        <f t="shared" si="19"/>
        <v>305661</v>
      </c>
      <c r="I132" s="233">
        <v>79662</v>
      </c>
      <c r="J132" s="233">
        <f>J133+J139+J143+J146</f>
        <v>0</v>
      </c>
      <c r="K132" s="233">
        <f>K133+K139+K143+K146</f>
        <v>225999</v>
      </c>
      <c r="L132" s="233">
        <f>L133+L139+L143+L146</f>
        <v>0</v>
      </c>
      <c r="M132" s="232">
        <f t="shared" si="20"/>
        <v>305661</v>
      </c>
      <c r="N132" s="233">
        <v>1902</v>
      </c>
      <c r="O132" s="233">
        <f>O133+O139+O143+O146</f>
        <v>0</v>
      </c>
      <c r="P132" s="233">
        <f>P133+P139+P143+P146</f>
        <v>225999</v>
      </c>
      <c r="Q132" s="233">
        <f>Q133+Q139+Q143+Q146</f>
        <v>0</v>
      </c>
      <c r="R132" s="232">
        <f t="shared" si="21"/>
        <v>227901</v>
      </c>
    </row>
    <row r="133" spans="1:18" s="89" customFormat="1" ht="12">
      <c r="A133" s="132">
        <v>7100</v>
      </c>
      <c r="B133" s="179" t="s">
        <v>116</v>
      </c>
      <c r="C133" s="170">
        <v>77760</v>
      </c>
      <c r="D133" s="170">
        <v>77760</v>
      </c>
      <c r="E133" s="233">
        <f>E134+E135</f>
        <v>0</v>
      </c>
      <c r="F133" s="233">
        <f>F134+F135</f>
        <v>0</v>
      </c>
      <c r="G133" s="233">
        <f>G134+G135</f>
        <v>0</v>
      </c>
      <c r="H133" s="232">
        <f t="shared" si="19"/>
        <v>77760</v>
      </c>
      <c r="I133" s="233">
        <v>77760</v>
      </c>
      <c r="J133" s="233">
        <f>J134+J135</f>
        <v>0</v>
      </c>
      <c r="K133" s="233">
        <f>K134+K135</f>
        <v>0</v>
      </c>
      <c r="L133" s="233">
        <f>L134+L135</f>
        <v>0</v>
      </c>
      <c r="M133" s="232">
        <f t="shared" si="20"/>
        <v>77760</v>
      </c>
      <c r="N133" s="233">
        <v>0</v>
      </c>
      <c r="O133" s="233">
        <f>O134+O135</f>
        <v>0</v>
      </c>
      <c r="P133" s="233">
        <f>P134+P135</f>
        <v>0</v>
      </c>
      <c r="Q133" s="233">
        <f>Q134+Q135</f>
        <v>0</v>
      </c>
      <c r="R133" s="232">
        <f t="shared" si="21"/>
        <v>0</v>
      </c>
    </row>
    <row r="134" spans="1:18" s="89" customFormat="1" ht="24" hidden="1" customHeight="1">
      <c r="A134" s="133" t="s">
        <v>117</v>
      </c>
      <c r="B134" s="179" t="s">
        <v>118</v>
      </c>
      <c r="C134" s="170"/>
      <c r="D134" s="170">
        <v>0</v>
      </c>
      <c r="E134" s="233"/>
      <c r="F134" s="233"/>
      <c r="G134" s="233"/>
      <c r="H134" s="232">
        <f t="shared" si="19"/>
        <v>0</v>
      </c>
      <c r="I134" s="233">
        <v>0</v>
      </c>
      <c r="J134" s="233"/>
      <c r="K134" s="233"/>
      <c r="L134" s="233"/>
      <c r="M134" s="232">
        <f t="shared" si="20"/>
        <v>0</v>
      </c>
      <c r="N134" s="233">
        <v>0</v>
      </c>
      <c r="O134" s="233"/>
      <c r="P134" s="233"/>
      <c r="Q134" s="233"/>
      <c r="R134" s="232">
        <f t="shared" si="21"/>
        <v>0</v>
      </c>
    </row>
    <row r="135" spans="1:18" s="89" customFormat="1" ht="24">
      <c r="A135" s="133">
        <v>7130</v>
      </c>
      <c r="B135" s="179" t="s">
        <v>119</v>
      </c>
      <c r="C135" s="170">
        <v>77760</v>
      </c>
      <c r="D135" s="170">
        <v>77760</v>
      </c>
      <c r="E135" s="233">
        <f>SUM(E136:E138)</f>
        <v>0</v>
      </c>
      <c r="F135" s="233">
        <f>SUM(F136:F138)</f>
        <v>0</v>
      </c>
      <c r="G135" s="233">
        <f>SUM(G136:G138)</f>
        <v>0</v>
      </c>
      <c r="H135" s="232">
        <f t="shared" si="19"/>
        <v>77760</v>
      </c>
      <c r="I135" s="233">
        <v>77760</v>
      </c>
      <c r="J135" s="233">
        <f>SUM(J136:J138)</f>
        <v>0</v>
      </c>
      <c r="K135" s="233">
        <f>SUM(K136:K138)</f>
        <v>0</v>
      </c>
      <c r="L135" s="233">
        <f>SUM(L136:L138)</f>
        <v>0</v>
      </c>
      <c r="M135" s="232">
        <f t="shared" si="20"/>
        <v>77760</v>
      </c>
      <c r="N135" s="233">
        <v>0</v>
      </c>
      <c r="O135" s="233">
        <f>SUM(O136:O138)</f>
        <v>0</v>
      </c>
      <c r="P135" s="233">
        <f>SUM(P136:P138)</f>
        <v>0</v>
      </c>
      <c r="Q135" s="233">
        <f>SUM(Q136:Q138)</f>
        <v>0</v>
      </c>
      <c r="R135" s="232">
        <f t="shared" si="21"/>
        <v>0</v>
      </c>
    </row>
    <row r="136" spans="1:18" s="89" customFormat="1" ht="36">
      <c r="A136" s="134">
        <v>7131</v>
      </c>
      <c r="B136" s="179" t="s">
        <v>120</v>
      </c>
      <c r="C136" s="170">
        <v>77760</v>
      </c>
      <c r="D136" s="170">
        <v>77760</v>
      </c>
      <c r="E136" s="233"/>
      <c r="F136" s="233"/>
      <c r="G136" s="233"/>
      <c r="H136" s="232">
        <f t="shared" si="19"/>
        <v>77760</v>
      </c>
      <c r="I136" s="233">
        <v>77760</v>
      </c>
      <c r="J136" s="233"/>
      <c r="K136" s="233"/>
      <c r="L136" s="233"/>
      <c r="M136" s="232">
        <f t="shared" si="20"/>
        <v>77760</v>
      </c>
      <c r="N136" s="233">
        <v>0</v>
      </c>
      <c r="O136" s="233"/>
      <c r="P136" s="233"/>
      <c r="Q136" s="233"/>
      <c r="R136" s="232">
        <f t="shared" si="21"/>
        <v>0</v>
      </c>
    </row>
    <row r="137" spans="1:18" s="29" customFormat="1" ht="36" hidden="1" customHeight="1">
      <c r="A137" s="134">
        <v>7132</v>
      </c>
      <c r="B137" s="179" t="s">
        <v>121</v>
      </c>
      <c r="C137" s="170"/>
      <c r="D137" s="170">
        <v>0</v>
      </c>
      <c r="E137" s="233"/>
      <c r="F137" s="233"/>
      <c r="G137" s="233"/>
      <c r="H137" s="232">
        <f t="shared" si="19"/>
        <v>0</v>
      </c>
      <c r="I137" s="233">
        <v>0</v>
      </c>
      <c r="J137" s="233"/>
      <c r="K137" s="233"/>
      <c r="L137" s="233"/>
      <c r="M137" s="232">
        <f t="shared" si="20"/>
        <v>0</v>
      </c>
      <c r="N137" s="233">
        <v>0</v>
      </c>
      <c r="O137" s="233"/>
      <c r="P137" s="233"/>
      <c r="Q137" s="233"/>
      <c r="R137" s="232">
        <f t="shared" si="21"/>
        <v>0</v>
      </c>
    </row>
    <row r="138" spans="1:18" s="29" customFormat="1" ht="36" hidden="1" customHeight="1">
      <c r="A138" s="134" t="s">
        <v>186</v>
      </c>
      <c r="B138" s="179" t="s">
        <v>187</v>
      </c>
      <c r="C138" s="170"/>
      <c r="D138" s="170">
        <v>0</v>
      </c>
      <c r="E138" s="233"/>
      <c r="F138" s="233"/>
      <c r="G138" s="233"/>
      <c r="H138" s="232">
        <f t="shared" si="19"/>
        <v>0</v>
      </c>
      <c r="I138" s="233">
        <v>0</v>
      </c>
      <c r="J138" s="233"/>
      <c r="K138" s="233"/>
      <c r="L138" s="233"/>
      <c r="M138" s="232">
        <f t="shared" si="20"/>
        <v>0</v>
      </c>
      <c r="N138" s="233">
        <v>0</v>
      </c>
      <c r="O138" s="233"/>
      <c r="P138" s="233"/>
      <c r="Q138" s="233"/>
      <c r="R138" s="232">
        <f t="shared" si="21"/>
        <v>0</v>
      </c>
    </row>
    <row r="139" spans="1:18" s="29" customFormat="1" ht="24" hidden="1" customHeight="1">
      <c r="A139" s="132">
        <v>7300</v>
      </c>
      <c r="B139" s="172" t="s">
        <v>155</v>
      </c>
      <c r="C139" s="170">
        <v>0</v>
      </c>
      <c r="D139" s="170">
        <v>0</v>
      </c>
      <c r="E139" s="233">
        <f>SUM(E140:E142)</f>
        <v>0</v>
      </c>
      <c r="F139" s="233">
        <f>SUM(F140:F142)</f>
        <v>0</v>
      </c>
      <c r="G139" s="233">
        <f>SUM(G140:G142)</f>
        <v>0</v>
      </c>
      <c r="H139" s="232">
        <f t="shared" si="19"/>
        <v>0</v>
      </c>
      <c r="I139" s="233">
        <v>0</v>
      </c>
      <c r="J139" s="233">
        <f>SUM(J140:J142)</f>
        <v>0</v>
      </c>
      <c r="K139" s="233">
        <f>SUM(K140:K142)</f>
        <v>0</v>
      </c>
      <c r="L139" s="233">
        <f>SUM(L140:L142)</f>
        <v>0</v>
      </c>
      <c r="M139" s="232">
        <f t="shared" si="20"/>
        <v>0</v>
      </c>
      <c r="N139" s="233">
        <v>0</v>
      </c>
      <c r="O139" s="233">
        <f>SUM(O140:O142)</f>
        <v>0</v>
      </c>
      <c r="P139" s="233">
        <f>SUM(P140:P142)</f>
        <v>0</v>
      </c>
      <c r="Q139" s="233">
        <f>SUM(Q140:Q142)</f>
        <v>0</v>
      </c>
      <c r="R139" s="232">
        <f t="shared" si="21"/>
        <v>0</v>
      </c>
    </row>
    <row r="140" spans="1:18" s="4" customFormat="1" ht="24" hidden="1" customHeight="1">
      <c r="A140" s="133" t="s">
        <v>188</v>
      </c>
      <c r="B140" s="179" t="s">
        <v>170</v>
      </c>
      <c r="C140" s="204"/>
      <c r="D140" s="204">
        <v>0</v>
      </c>
      <c r="E140" s="252"/>
      <c r="F140" s="252"/>
      <c r="G140" s="252"/>
      <c r="H140" s="232">
        <f t="shared" si="19"/>
        <v>0</v>
      </c>
      <c r="I140" s="252">
        <v>0</v>
      </c>
      <c r="J140" s="252"/>
      <c r="K140" s="252"/>
      <c r="L140" s="252"/>
      <c r="M140" s="232">
        <f t="shared" si="20"/>
        <v>0</v>
      </c>
      <c r="N140" s="252">
        <v>0</v>
      </c>
      <c r="O140" s="252"/>
      <c r="P140" s="252"/>
      <c r="Q140" s="252"/>
      <c r="R140" s="232">
        <f t="shared" si="21"/>
        <v>0</v>
      </c>
    </row>
    <row r="141" spans="1:18" ht="48" hidden="1" customHeight="1">
      <c r="A141" s="133" t="s">
        <v>189</v>
      </c>
      <c r="B141" s="179" t="s">
        <v>156</v>
      </c>
      <c r="C141" s="204"/>
      <c r="D141" s="204">
        <v>0</v>
      </c>
      <c r="E141" s="252"/>
      <c r="F141" s="252"/>
      <c r="G141" s="252"/>
      <c r="H141" s="232">
        <f t="shared" si="19"/>
        <v>0</v>
      </c>
      <c r="I141" s="252">
        <v>0</v>
      </c>
      <c r="J141" s="252"/>
      <c r="K141" s="252"/>
      <c r="L141" s="252"/>
      <c r="M141" s="232">
        <f t="shared" si="20"/>
        <v>0</v>
      </c>
      <c r="N141" s="252">
        <v>0</v>
      </c>
      <c r="O141" s="252"/>
      <c r="P141" s="252"/>
      <c r="Q141" s="252"/>
      <c r="R141" s="232">
        <f t="shared" si="21"/>
        <v>0</v>
      </c>
    </row>
    <row r="142" spans="1:18" ht="36" hidden="1" customHeight="1">
      <c r="A142" s="133">
        <v>7350</v>
      </c>
      <c r="B142" s="179" t="s">
        <v>163</v>
      </c>
      <c r="C142" s="204"/>
      <c r="D142" s="204">
        <v>0</v>
      </c>
      <c r="E142" s="252"/>
      <c r="F142" s="252"/>
      <c r="G142" s="252"/>
      <c r="H142" s="232">
        <f t="shared" si="19"/>
        <v>0</v>
      </c>
      <c r="I142" s="252">
        <v>0</v>
      </c>
      <c r="J142" s="252"/>
      <c r="K142" s="252"/>
      <c r="L142" s="252"/>
      <c r="M142" s="232">
        <f t="shared" si="20"/>
        <v>0</v>
      </c>
      <c r="N142" s="252">
        <v>0</v>
      </c>
      <c r="O142" s="252"/>
      <c r="P142" s="252"/>
      <c r="Q142" s="252"/>
      <c r="R142" s="232">
        <f t="shared" si="21"/>
        <v>0</v>
      </c>
    </row>
    <row r="143" spans="1:18" ht="24">
      <c r="A143" s="132">
        <v>7400</v>
      </c>
      <c r="B143" s="172" t="s">
        <v>161</v>
      </c>
      <c r="C143" s="170">
        <v>1902</v>
      </c>
      <c r="D143" s="170">
        <v>1902</v>
      </c>
      <c r="E143" s="233">
        <f>SUM(E144:E145)</f>
        <v>0</v>
      </c>
      <c r="F143" s="233">
        <f>SUM(F144:F145)</f>
        <v>225999</v>
      </c>
      <c r="G143" s="233">
        <f>SUM(G144:G145)</f>
        <v>0</v>
      </c>
      <c r="H143" s="232">
        <f t="shared" si="19"/>
        <v>227901</v>
      </c>
      <c r="I143" s="233">
        <v>1902</v>
      </c>
      <c r="J143" s="233">
        <f>SUM(J144:J145)</f>
        <v>0</v>
      </c>
      <c r="K143" s="233">
        <f>SUM(K144:K145)</f>
        <v>225999</v>
      </c>
      <c r="L143" s="233">
        <f>SUM(L144:L145)</f>
        <v>0</v>
      </c>
      <c r="M143" s="232">
        <f t="shared" si="20"/>
        <v>227901</v>
      </c>
      <c r="N143" s="233">
        <v>1902</v>
      </c>
      <c r="O143" s="233">
        <f>SUM(O144:O145)</f>
        <v>0</v>
      </c>
      <c r="P143" s="233">
        <f>SUM(P144:P145)</f>
        <v>225999</v>
      </c>
      <c r="Q143" s="233">
        <f>SUM(Q144:Q145)</f>
        <v>0</v>
      </c>
      <c r="R143" s="232">
        <f t="shared" si="21"/>
        <v>227901</v>
      </c>
    </row>
    <row r="144" spans="1:18" ht="24">
      <c r="A144" s="133">
        <v>7460</v>
      </c>
      <c r="B144" s="172" t="s">
        <v>162</v>
      </c>
      <c r="C144" s="197">
        <v>1902</v>
      </c>
      <c r="D144" s="197">
        <v>1902</v>
      </c>
      <c r="E144" s="252"/>
      <c r="F144" s="252"/>
      <c r="G144" s="252"/>
      <c r="H144" s="232">
        <f t="shared" si="19"/>
        <v>1902</v>
      </c>
      <c r="I144" s="252">
        <v>1902</v>
      </c>
      <c r="J144" s="252"/>
      <c r="K144" s="252"/>
      <c r="L144" s="252"/>
      <c r="M144" s="232">
        <f t="shared" si="20"/>
        <v>1902</v>
      </c>
      <c r="N144" s="252">
        <v>1902</v>
      </c>
      <c r="O144" s="252"/>
      <c r="P144" s="252"/>
      <c r="Q144" s="252"/>
      <c r="R144" s="232">
        <f t="shared" si="21"/>
        <v>1902</v>
      </c>
    </row>
    <row r="145" spans="1:18" ht="48" hidden="1" customHeight="1">
      <c r="A145" s="133">
        <v>7470</v>
      </c>
      <c r="B145" s="179" t="s">
        <v>167</v>
      </c>
      <c r="C145" s="197">
        <v>0</v>
      </c>
      <c r="D145" s="197">
        <v>0</v>
      </c>
      <c r="E145" s="252"/>
      <c r="F145" s="252">
        <f>F286+F277</f>
        <v>225999</v>
      </c>
      <c r="G145" s="252">
        <f>G286+G277</f>
        <v>0</v>
      </c>
      <c r="H145" s="232">
        <f t="shared" si="19"/>
        <v>225999</v>
      </c>
      <c r="I145" s="252">
        <v>0</v>
      </c>
      <c r="J145" s="252"/>
      <c r="K145" s="252">
        <f>K277+K286</f>
        <v>225999</v>
      </c>
      <c r="L145" s="252">
        <f>L277+L286</f>
        <v>0</v>
      </c>
      <c r="M145" s="232">
        <f t="shared" si="20"/>
        <v>225999</v>
      </c>
      <c r="N145" s="252">
        <v>0</v>
      </c>
      <c r="O145" s="252"/>
      <c r="P145" s="252">
        <f>P277+P286</f>
        <v>225999</v>
      </c>
      <c r="Q145" s="252">
        <f>Q277+Q286</f>
        <v>0</v>
      </c>
      <c r="R145" s="232">
        <f t="shared" si="21"/>
        <v>225999</v>
      </c>
    </row>
    <row r="146" spans="1:18" ht="24" hidden="1" customHeight="1">
      <c r="A146" s="132">
        <v>7500</v>
      </c>
      <c r="B146" s="179" t="s">
        <v>157</v>
      </c>
      <c r="C146" s="106"/>
      <c r="D146" s="106">
        <v>0</v>
      </c>
      <c r="E146" s="233"/>
      <c r="F146" s="233"/>
      <c r="G146" s="233"/>
      <c r="H146" s="232">
        <f t="shared" si="19"/>
        <v>0</v>
      </c>
      <c r="I146" s="233">
        <v>0</v>
      </c>
      <c r="J146" s="233"/>
      <c r="K146" s="233"/>
      <c r="L146" s="233"/>
      <c r="M146" s="232">
        <f t="shared" si="20"/>
        <v>0</v>
      </c>
      <c r="N146" s="233">
        <v>0</v>
      </c>
      <c r="O146" s="233"/>
      <c r="P146" s="233"/>
      <c r="Q146" s="233"/>
      <c r="R146" s="232">
        <f t="shared" si="21"/>
        <v>0</v>
      </c>
    </row>
    <row r="147" spans="1:18" s="4" customFormat="1" ht="12">
      <c r="A147" s="140" t="s">
        <v>133</v>
      </c>
      <c r="B147" s="124" t="s">
        <v>122</v>
      </c>
      <c r="C147" s="106">
        <v>4128301</v>
      </c>
      <c r="D147" s="106">
        <v>3936757</v>
      </c>
      <c r="E147" s="254">
        <f>E148+E149</f>
        <v>0</v>
      </c>
      <c r="F147" s="254">
        <f>F148+F149</f>
        <v>18538</v>
      </c>
      <c r="G147" s="254">
        <f>G148+G149</f>
        <v>1120730</v>
      </c>
      <c r="H147" s="232">
        <f t="shared" si="19"/>
        <v>5076025</v>
      </c>
      <c r="I147" s="254">
        <v>3394849</v>
      </c>
      <c r="J147" s="254">
        <f>J148+J149</f>
        <v>0</v>
      </c>
      <c r="K147" s="254">
        <f>K148+K149</f>
        <v>191451</v>
      </c>
      <c r="L147" s="254">
        <f>L148+L149</f>
        <v>2525660</v>
      </c>
      <c r="M147" s="232">
        <f t="shared" si="20"/>
        <v>6111960</v>
      </c>
      <c r="N147" s="254">
        <v>3011828</v>
      </c>
      <c r="O147" s="254">
        <f>O148+O149</f>
        <v>0</v>
      </c>
      <c r="P147" s="254">
        <f>P148+P149</f>
        <v>571772</v>
      </c>
      <c r="Q147" s="254">
        <f>Q148+Q149</f>
        <v>1286240</v>
      </c>
      <c r="R147" s="232">
        <f t="shared" si="21"/>
        <v>4869840</v>
      </c>
    </row>
    <row r="148" spans="1:18" s="6" customFormat="1" ht="12">
      <c r="A148" s="140">
        <v>5000</v>
      </c>
      <c r="B148" s="124" t="s">
        <v>123</v>
      </c>
      <c r="C148" s="170">
        <v>4128301</v>
      </c>
      <c r="D148" s="170">
        <v>3936757</v>
      </c>
      <c r="E148" s="233">
        <f>+E405+E425+E453</f>
        <v>0</v>
      </c>
      <c r="F148" s="233">
        <f>F364+F453</f>
        <v>18538</v>
      </c>
      <c r="G148" s="233">
        <f>+G405+G425+G453</f>
        <v>1120730</v>
      </c>
      <c r="H148" s="232">
        <f t="shared" si="19"/>
        <v>5076025</v>
      </c>
      <c r="I148" s="233">
        <v>3394849</v>
      </c>
      <c r="J148" s="233">
        <f>+J405+J425+J453</f>
        <v>0</v>
      </c>
      <c r="K148" s="233">
        <f>K364+K453+K344</f>
        <v>191451</v>
      </c>
      <c r="L148" s="233">
        <f>+L405+L425+L453</f>
        <v>2525660</v>
      </c>
      <c r="M148" s="232">
        <f t="shared" si="20"/>
        <v>6111960</v>
      </c>
      <c r="N148" s="233">
        <v>3011828</v>
      </c>
      <c r="O148" s="233">
        <f>+O405+O425+O453</f>
        <v>0</v>
      </c>
      <c r="P148" s="233">
        <f>P364+P453+P344</f>
        <v>571772</v>
      </c>
      <c r="Q148" s="233">
        <f>+Q405+Q425+Q453</f>
        <v>1286240</v>
      </c>
      <c r="R148" s="232">
        <f t="shared" si="21"/>
        <v>4869840</v>
      </c>
    </row>
    <row r="149" spans="1:18" s="6" customFormat="1" ht="12" hidden="1" customHeight="1">
      <c r="A149" s="140">
        <v>9000</v>
      </c>
      <c r="B149" s="182" t="s">
        <v>164</v>
      </c>
      <c r="C149" s="170">
        <v>0</v>
      </c>
      <c r="D149" s="170">
        <v>0</v>
      </c>
      <c r="E149" s="233">
        <f>E150+E156+E160+E163</f>
        <v>0</v>
      </c>
      <c r="F149" s="233">
        <f>F150+F156+F160+F163</f>
        <v>0</v>
      </c>
      <c r="G149" s="233">
        <f>G150+G156+G160+G163</f>
        <v>0</v>
      </c>
      <c r="H149" s="232">
        <f t="shared" si="19"/>
        <v>0</v>
      </c>
      <c r="I149" s="233">
        <v>0</v>
      </c>
      <c r="J149" s="233">
        <f>J150+J156+J160+J163</f>
        <v>0</v>
      </c>
      <c r="K149" s="233">
        <f>K150+K156+K160+K163</f>
        <v>0</v>
      </c>
      <c r="L149" s="233">
        <f>L150+L156+L160+L163</f>
        <v>0</v>
      </c>
      <c r="M149" s="232">
        <f t="shared" si="20"/>
        <v>0</v>
      </c>
      <c r="N149" s="233">
        <v>0</v>
      </c>
      <c r="O149" s="233">
        <f>O150+O156+O160+O163</f>
        <v>0</v>
      </c>
      <c r="P149" s="233">
        <f>P150+P156+P160+P163</f>
        <v>0</v>
      </c>
      <c r="Q149" s="233">
        <f>Q150+Q156+Q160+Q163</f>
        <v>0</v>
      </c>
      <c r="R149" s="232">
        <f t="shared" si="21"/>
        <v>0</v>
      </c>
    </row>
    <row r="150" spans="1:18" s="6" customFormat="1" ht="12" hidden="1" customHeight="1">
      <c r="A150" s="141">
        <v>9100</v>
      </c>
      <c r="B150" s="179" t="s">
        <v>124</v>
      </c>
      <c r="C150" s="170">
        <v>0</v>
      </c>
      <c r="D150" s="170">
        <v>0</v>
      </c>
      <c r="E150" s="233">
        <f>SUM(E151:E152)</f>
        <v>0</v>
      </c>
      <c r="F150" s="233">
        <f>SUM(F151:F152)</f>
        <v>0</v>
      </c>
      <c r="G150" s="233">
        <f>SUM(G151:G152)</f>
        <v>0</v>
      </c>
      <c r="H150" s="232">
        <f t="shared" si="19"/>
        <v>0</v>
      </c>
      <c r="I150" s="233">
        <v>0</v>
      </c>
      <c r="J150" s="233">
        <f>SUM(J151:J152)</f>
        <v>0</v>
      </c>
      <c r="K150" s="233">
        <f>SUM(K151:K152)</f>
        <v>0</v>
      </c>
      <c r="L150" s="233">
        <f>SUM(L151:L152)</f>
        <v>0</v>
      </c>
      <c r="M150" s="232">
        <f t="shared" si="20"/>
        <v>0</v>
      </c>
      <c r="N150" s="233">
        <v>0</v>
      </c>
      <c r="O150" s="233">
        <f>SUM(O151:O152)</f>
        <v>0</v>
      </c>
      <c r="P150" s="233">
        <f>SUM(P151:P152)</f>
        <v>0</v>
      </c>
      <c r="Q150" s="233">
        <f>SUM(Q151:Q152)</f>
        <v>0</v>
      </c>
      <c r="R150" s="232">
        <f t="shared" si="21"/>
        <v>0</v>
      </c>
    </row>
    <row r="151" spans="1:18" s="6" customFormat="1" ht="24" hidden="1" customHeight="1">
      <c r="A151" s="133" t="s">
        <v>125</v>
      </c>
      <c r="B151" s="179" t="s">
        <v>214</v>
      </c>
      <c r="C151" s="170"/>
      <c r="D151" s="170">
        <v>0</v>
      </c>
      <c r="E151" s="233"/>
      <c r="F151" s="233"/>
      <c r="G151" s="233"/>
      <c r="H151" s="232">
        <f t="shared" si="19"/>
        <v>0</v>
      </c>
      <c r="I151" s="233">
        <v>0</v>
      </c>
      <c r="J151" s="233"/>
      <c r="K151" s="233"/>
      <c r="L151" s="233"/>
      <c r="M151" s="232">
        <f t="shared" si="20"/>
        <v>0</v>
      </c>
      <c r="N151" s="233">
        <v>0</v>
      </c>
      <c r="O151" s="233"/>
      <c r="P151" s="233"/>
      <c r="Q151" s="233"/>
      <c r="R151" s="232">
        <f t="shared" si="21"/>
        <v>0</v>
      </c>
    </row>
    <row r="152" spans="1:18" s="6" customFormat="1" ht="24" hidden="1" customHeight="1">
      <c r="A152" s="133">
        <v>9140</v>
      </c>
      <c r="B152" s="179" t="s">
        <v>215</v>
      </c>
      <c r="C152" s="170">
        <v>0</v>
      </c>
      <c r="D152" s="170">
        <v>0</v>
      </c>
      <c r="E152" s="233">
        <f>SUM(E153:E155)</f>
        <v>0</v>
      </c>
      <c r="F152" s="233">
        <f>SUM(F153:F155)</f>
        <v>0</v>
      </c>
      <c r="G152" s="233">
        <f>SUM(G153:G155)</f>
        <v>0</v>
      </c>
      <c r="H152" s="232">
        <f t="shared" si="19"/>
        <v>0</v>
      </c>
      <c r="I152" s="233">
        <v>0</v>
      </c>
      <c r="J152" s="233">
        <f>SUM(J153:J155)</f>
        <v>0</v>
      </c>
      <c r="K152" s="233">
        <f>SUM(K153:K155)</f>
        <v>0</v>
      </c>
      <c r="L152" s="233">
        <f>SUM(L153:L155)</f>
        <v>0</v>
      </c>
      <c r="M152" s="232">
        <f t="shared" si="20"/>
        <v>0</v>
      </c>
      <c r="N152" s="233">
        <v>0</v>
      </c>
      <c r="O152" s="233">
        <f>SUM(O153:O155)</f>
        <v>0</v>
      </c>
      <c r="P152" s="233">
        <f>SUM(P153:P155)</f>
        <v>0</v>
      </c>
      <c r="Q152" s="233">
        <f>SUM(Q153:Q155)</f>
        <v>0</v>
      </c>
      <c r="R152" s="232">
        <f t="shared" si="21"/>
        <v>0</v>
      </c>
    </row>
    <row r="153" spans="1:18" s="6" customFormat="1" ht="36" hidden="1" customHeight="1">
      <c r="A153" s="134">
        <v>9141</v>
      </c>
      <c r="B153" s="172" t="s">
        <v>190</v>
      </c>
      <c r="C153" s="204"/>
      <c r="D153" s="204">
        <v>0</v>
      </c>
      <c r="E153" s="252"/>
      <c r="F153" s="252"/>
      <c r="G153" s="252"/>
      <c r="H153" s="232">
        <f t="shared" si="19"/>
        <v>0</v>
      </c>
      <c r="I153" s="252">
        <v>0</v>
      </c>
      <c r="J153" s="252"/>
      <c r="K153" s="252"/>
      <c r="L153" s="252"/>
      <c r="M153" s="232">
        <f t="shared" si="20"/>
        <v>0</v>
      </c>
      <c r="N153" s="252">
        <v>0</v>
      </c>
      <c r="O153" s="252"/>
      <c r="P153" s="252"/>
      <c r="Q153" s="252"/>
      <c r="R153" s="232">
        <f t="shared" si="21"/>
        <v>0</v>
      </c>
    </row>
    <row r="154" spans="1:18" s="6" customFormat="1" ht="36" hidden="1" customHeight="1">
      <c r="A154" s="134">
        <v>9142</v>
      </c>
      <c r="B154" s="172" t="s">
        <v>191</v>
      </c>
      <c r="C154" s="204"/>
      <c r="D154" s="204">
        <v>0</v>
      </c>
      <c r="E154" s="252"/>
      <c r="F154" s="252"/>
      <c r="G154" s="252"/>
      <c r="H154" s="232">
        <f t="shared" si="19"/>
        <v>0</v>
      </c>
      <c r="I154" s="252">
        <v>0</v>
      </c>
      <c r="J154" s="252"/>
      <c r="K154" s="252"/>
      <c r="L154" s="252"/>
      <c r="M154" s="232">
        <f t="shared" si="20"/>
        <v>0</v>
      </c>
      <c r="N154" s="252">
        <v>0</v>
      </c>
      <c r="O154" s="252"/>
      <c r="P154" s="252"/>
      <c r="Q154" s="252"/>
      <c r="R154" s="232">
        <f t="shared" si="21"/>
        <v>0</v>
      </c>
    </row>
    <row r="155" spans="1:18" s="6" customFormat="1" ht="24" hidden="1" customHeight="1">
      <c r="A155" s="134">
        <v>9149</v>
      </c>
      <c r="B155" s="172" t="s">
        <v>192</v>
      </c>
      <c r="C155" s="204"/>
      <c r="D155" s="204">
        <v>0</v>
      </c>
      <c r="E155" s="252"/>
      <c r="F155" s="252"/>
      <c r="G155" s="252"/>
      <c r="H155" s="232">
        <f t="shared" si="19"/>
        <v>0</v>
      </c>
      <c r="I155" s="252">
        <v>0</v>
      </c>
      <c r="J155" s="252"/>
      <c r="K155" s="252"/>
      <c r="L155" s="252"/>
      <c r="M155" s="232">
        <f t="shared" si="20"/>
        <v>0</v>
      </c>
      <c r="N155" s="252">
        <v>0</v>
      </c>
      <c r="O155" s="252"/>
      <c r="P155" s="252"/>
      <c r="Q155" s="252"/>
      <c r="R155" s="232">
        <f t="shared" si="21"/>
        <v>0</v>
      </c>
    </row>
    <row r="156" spans="1:18" s="6" customFormat="1" ht="24" hidden="1" customHeight="1">
      <c r="A156" s="141">
        <v>9500</v>
      </c>
      <c r="B156" s="172" t="s">
        <v>165</v>
      </c>
      <c r="C156" s="170">
        <v>0</v>
      </c>
      <c r="D156" s="170">
        <v>0</v>
      </c>
      <c r="E156" s="233">
        <f>SUM(E157:E159)</f>
        <v>0</v>
      </c>
      <c r="F156" s="233">
        <f>SUM(F157:F159)</f>
        <v>0</v>
      </c>
      <c r="G156" s="233">
        <f>SUM(G157:G159)</f>
        <v>0</v>
      </c>
      <c r="H156" s="232">
        <f t="shared" si="19"/>
        <v>0</v>
      </c>
      <c r="I156" s="233">
        <v>0</v>
      </c>
      <c r="J156" s="233">
        <f>SUM(J157:J159)</f>
        <v>0</v>
      </c>
      <c r="K156" s="233">
        <f>SUM(K157:K159)</f>
        <v>0</v>
      </c>
      <c r="L156" s="233">
        <f>SUM(L157:L159)</f>
        <v>0</v>
      </c>
      <c r="M156" s="232">
        <f t="shared" si="20"/>
        <v>0</v>
      </c>
      <c r="N156" s="233">
        <v>0</v>
      </c>
      <c r="O156" s="233">
        <f>SUM(O157:O159)</f>
        <v>0</v>
      </c>
      <c r="P156" s="233">
        <f>SUM(P157:P159)</f>
        <v>0</v>
      </c>
      <c r="Q156" s="233">
        <f>SUM(Q157:Q159)</f>
        <v>0</v>
      </c>
      <c r="R156" s="232">
        <f t="shared" si="21"/>
        <v>0</v>
      </c>
    </row>
    <row r="157" spans="1:18" s="6" customFormat="1" ht="24" hidden="1" customHeight="1">
      <c r="A157" s="133" t="s">
        <v>193</v>
      </c>
      <c r="B157" s="172" t="s">
        <v>171</v>
      </c>
      <c r="C157" s="170"/>
      <c r="D157" s="170">
        <v>0</v>
      </c>
      <c r="E157" s="233"/>
      <c r="F157" s="233"/>
      <c r="G157" s="233"/>
      <c r="H157" s="232">
        <f t="shared" si="19"/>
        <v>0</v>
      </c>
      <c r="I157" s="233">
        <v>0</v>
      </c>
      <c r="J157" s="233"/>
      <c r="K157" s="233"/>
      <c r="L157" s="233"/>
      <c r="M157" s="232">
        <f t="shared" si="20"/>
        <v>0</v>
      </c>
      <c r="N157" s="233">
        <v>0</v>
      </c>
      <c r="O157" s="233"/>
      <c r="P157" s="233"/>
      <c r="Q157" s="233"/>
      <c r="R157" s="232">
        <f t="shared" si="21"/>
        <v>0</v>
      </c>
    </row>
    <row r="158" spans="1:18" s="6" customFormat="1" ht="48" hidden="1" customHeight="1">
      <c r="A158" s="133">
        <v>9580</v>
      </c>
      <c r="B158" s="172" t="s">
        <v>166</v>
      </c>
      <c r="C158" s="204"/>
      <c r="D158" s="204">
        <v>0</v>
      </c>
      <c r="E158" s="252"/>
      <c r="F158" s="252"/>
      <c r="G158" s="252"/>
      <c r="H158" s="232">
        <f t="shared" ref="H158:H176" si="24">SUM(D158:G158)</f>
        <v>0</v>
      </c>
      <c r="I158" s="252">
        <v>0</v>
      </c>
      <c r="J158" s="252"/>
      <c r="K158" s="252"/>
      <c r="L158" s="252"/>
      <c r="M158" s="232">
        <f t="shared" ref="M158:M176" si="25">SUM(I158:L158)</f>
        <v>0</v>
      </c>
      <c r="N158" s="252">
        <v>0</v>
      </c>
      <c r="O158" s="252"/>
      <c r="P158" s="252"/>
      <c r="Q158" s="252"/>
      <c r="R158" s="232">
        <f t="shared" ref="R158:R176" si="26">SUM(N158:Q158)</f>
        <v>0</v>
      </c>
    </row>
    <row r="159" spans="1:18" s="6" customFormat="1" ht="48" hidden="1" customHeight="1">
      <c r="A159" s="133">
        <v>9590</v>
      </c>
      <c r="B159" s="179" t="s">
        <v>172</v>
      </c>
      <c r="C159" s="204"/>
      <c r="D159" s="204">
        <v>0</v>
      </c>
      <c r="E159" s="252"/>
      <c r="F159" s="252"/>
      <c r="G159" s="252"/>
      <c r="H159" s="232">
        <f t="shared" si="24"/>
        <v>0</v>
      </c>
      <c r="I159" s="252">
        <v>0</v>
      </c>
      <c r="J159" s="252"/>
      <c r="K159" s="252"/>
      <c r="L159" s="252"/>
      <c r="M159" s="232">
        <f t="shared" si="25"/>
        <v>0</v>
      </c>
      <c r="N159" s="252">
        <v>0</v>
      </c>
      <c r="O159" s="252"/>
      <c r="P159" s="252"/>
      <c r="Q159" s="252"/>
      <c r="R159" s="232">
        <f t="shared" si="26"/>
        <v>0</v>
      </c>
    </row>
    <row r="160" spans="1:18" s="6" customFormat="1" ht="24" hidden="1" customHeight="1">
      <c r="A160" s="141">
        <v>9700</v>
      </c>
      <c r="B160" s="183" t="s">
        <v>194</v>
      </c>
      <c r="C160" s="170">
        <v>0</v>
      </c>
      <c r="D160" s="170">
        <v>0</v>
      </c>
      <c r="E160" s="233">
        <f>SUM(E161:E162)</f>
        <v>0</v>
      </c>
      <c r="F160" s="233">
        <f>SUM(F161:F162)</f>
        <v>0</v>
      </c>
      <c r="G160" s="233">
        <f>SUM(G161:G162)</f>
        <v>0</v>
      </c>
      <c r="H160" s="232">
        <f t="shared" si="24"/>
        <v>0</v>
      </c>
      <c r="I160" s="233">
        <v>0</v>
      </c>
      <c r="J160" s="233">
        <f>SUM(J161:J162)</f>
        <v>0</v>
      </c>
      <c r="K160" s="233">
        <f>SUM(K161:K162)</f>
        <v>0</v>
      </c>
      <c r="L160" s="233">
        <f>SUM(L161:L162)</f>
        <v>0</v>
      </c>
      <c r="M160" s="232">
        <f t="shared" si="25"/>
        <v>0</v>
      </c>
      <c r="N160" s="233">
        <v>0</v>
      </c>
      <c r="O160" s="233">
        <f>SUM(O161:O162)</f>
        <v>0</v>
      </c>
      <c r="P160" s="233">
        <f>SUM(P161:P162)</f>
        <v>0</v>
      </c>
      <c r="Q160" s="233">
        <f>SUM(Q161:Q162)</f>
        <v>0</v>
      </c>
      <c r="R160" s="232">
        <f t="shared" si="26"/>
        <v>0</v>
      </c>
    </row>
    <row r="161" spans="1:18" s="6" customFormat="1" ht="24" hidden="1" customHeight="1">
      <c r="A161" s="133">
        <v>9710</v>
      </c>
      <c r="B161" s="184" t="s">
        <v>195</v>
      </c>
      <c r="C161" s="204"/>
      <c r="D161" s="204">
        <v>0</v>
      </c>
      <c r="E161" s="252"/>
      <c r="F161" s="252"/>
      <c r="G161" s="252"/>
      <c r="H161" s="232">
        <f t="shared" si="24"/>
        <v>0</v>
      </c>
      <c r="I161" s="252">
        <v>0</v>
      </c>
      <c r="J161" s="252"/>
      <c r="K161" s="252"/>
      <c r="L161" s="252"/>
      <c r="M161" s="232">
        <f t="shared" si="25"/>
        <v>0</v>
      </c>
      <c r="N161" s="252">
        <v>0</v>
      </c>
      <c r="O161" s="252"/>
      <c r="P161" s="252"/>
      <c r="Q161" s="252"/>
      <c r="R161" s="232">
        <f t="shared" si="26"/>
        <v>0</v>
      </c>
    </row>
    <row r="162" spans="1:18" s="6" customFormat="1" ht="48" hidden="1" customHeight="1">
      <c r="A162" s="142">
        <v>9720</v>
      </c>
      <c r="B162" s="183" t="s">
        <v>196</v>
      </c>
      <c r="C162" s="204"/>
      <c r="D162" s="204">
        <v>0</v>
      </c>
      <c r="E162" s="252"/>
      <c r="F162" s="252"/>
      <c r="G162" s="252"/>
      <c r="H162" s="232">
        <f t="shared" si="24"/>
        <v>0</v>
      </c>
      <c r="I162" s="252">
        <v>0</v>
      </c>
      <c r="J162" s="252"/>
      <c r="K162" s="252"/>
      <c r="L162" s="252"/>
      <c r="M162" s="232">
        <f t="shared" si="25"/>
        <v>0</v>
      </c>
      <c r="N162" s="252">
        <v>0</v>
      </c>
      <c r="O162" s="252"/>
      <c r="P162" s="252"/>
      <c r="Q162" s="252"/>
      <c r="R162" s="232">
        <f t="shared" si="26"/>
        <v>0</v>
      </c>
    </row>
    <row r="163" spans="1:18" s="6" customFormat="1" ht="24" hidden="1" customHeight="1">
      <c r="A163" s="141">
        <v>9600</v>
      </c>
      <c r="B163" s="179" t="s">
        <v>134</v>
      </c>
      <c r="C163" s="204"/>
      <c r="D163" s="204">
        <v>0</v>
      </c>
      <c r="E163" s="252"/>
      <c r="F163" s="252"/>
      <c r="G163" s="252"/>
      <c r="H163" s="232">
        <f t="shared" si="24"/>
        <v>0</v>
      </c>
      <c r="I163" s="252">
        <v>0</v>
      </c>
      <c r="J163" s="252"/>
      <c r="K163" s="252"/>
      <c r="L163" s="252"/>
      <c r="M163" s="232">
        <f t="shared" si="25"/>
        <v>0</v>
      </c>
      <c r="N163" s="252">
        <v>0</v>
      </c>
      <c r="O163" s="252"/>
      <c r="P163" s="252"/>
      <c r="Q163" s="252"/>
      <c r="R163" s="232">
        <f t="shared" si="26"/>
        <v>0</v>
      </c>
    </row>
    <row r="164" spans="1:18" s="6" customFormat="1" ht="52.5" hidden="1" customHeight="1">
      <c r="A164" s="130" t="s">
        <v>197</v>
      </c>
      <c r="B164" s="185" t="s">
        <v>47</v>
      </c>
      <c r="C164" s="206"/>
      <c r="D164" s="206">
        <v>0</v>
      </c>
      <c r="E164" s="262">
        <f>E94-E119</f>
        <v>0</v>
      </c>
      <c r="F164" s="262">
        <f>F94-F119</f>
        <v>0</v>
      </c>
      <c r="G164" s="262">
        <f>G94-G119</f>
        <v>0</v>
      </c>
      <c r="H164" s="232">
        <f t="shared" si="24"/>
        <v>0</v>
      </c>
      <c r="I164" s="262">
        <v>0</v>
      </c>
      <c r="J164" s="262">
        <f>J94-J119</f>
        <v>0</v>
      </c>
      <c r="K164" s="262">
        <f>K94-K119</f>
        <v>0</v>
      </c>
      <c r="L164" s="262">
        <f>L94-L119</f>
        <v>0</v>
      </c>
      <c r="M164" s="232">
        <f t="shared" si="25"/>
        <v>0</v>
      </c>
      <c r="N164" s="262">
        <v>0</v>
      </c>
      <c r="O164" s="262">
        <f>O94-O119</f>
        <v>0</v>
      </c>
      <c r="P164" s="262">
        <f>P94-P119</f>
        <v>0</v>
      </c>
      <c r="Q164" s="262">
        <f>Q94-Q119</f>
        <v>0</v>
      </c>
      <c r="R164" s="232">
        <f t="shared" si="26"/>
        <v>0</v>
      </c>
    </row>
    <row r="165" spans="1:18" s="6" customFormat="1" ht="12" hidden="1" customHeight="1">
      <c r="A165" s="143" t="s">
        <v>48</v>
      </c>
      <c r="B165" s="185" t="s">
        <v>49</v>
      </c>
      <c r="C165" s="206">
        <v>0</v>
      </c>
      <c r="D165" s="206">
        <v>0</v>
      </c>
      <c r="E165" s="262">
        <f>E166+E169+E173+E172</f>
        <v>0</v>
      </c>
      <c r="F165" s="262">
        <f>F166+F169+F173+F172</f>
        <v>0</v>
      </c>
      <c r="G165" s="262">
        <f>G166+G169+G173+G172</f>
        <v>0</v>
      </c>
      <c r="H165" s="232">
        <f t="shared" si="24"/>
        <v>0</v>
      </c>
      <c r="I165" s="262">
        <v>0</v>
      </c>
      <c r="J165" s="262">
        <f>J166+J169+J173+J172</f>
        <v>0</v>
      </c>
      <c r="K165" s="262">
        <f>K166+K169+K173+K172</f>
        <v>0</v>
      </c>
      <c r="L165" s="262">
        <f>L166+L169+L173+L172</f>
        <v>0</v>
      </c>
      <c r="M165" s="232">
        <f t="shared" si="25"/>
        <v>0</v>
      </c>
      <c r="N165" s="262">
        <v>0</v>
      </c>
      <c r="O165" s="262">
        <f>O166+O169+O173+O172</f>
        <v>0</v>
      </c>
      <c r="P165" s="262">
        <f>P166+P169+P173+P172</f>
        <v>0</v>
      </c>
      <c r="Q165" s="262">
        <f>Q166+Q169+Q173+Q172</f>
        <v>0</v>
      </c>
      <c r="R165" s="232">
        <f t="shared" si="26"/>
        <v>0</v>
      </c>
    </row>
    <row r="166" spans="1:18" s="6" customFormat="1" ht="12" hidden="1" customHeight="1">
      <c r="A166" s="141" t="s">
        <v>50</v>
      </c>
      <c r="B166" s="179" t="s">
        <v>51</v>
      </c>
      <c r="C166" s="98">
        <v>0</v>
      </c>
      <c r="D166" s="98">
        <v>0</v>
      </c>
      <c r="E166" s="231">
        <f>E167+E168</f>
        <v>0</v>
      </c>
      <c r="F166" s="231">
        <f>F167+F168</f>
        <v>0</v>
      </c>
      <c r="G166" s="231">
        <f>G167+G168</f>
        <v>0</v>
      </c>
      <c r="H166" s="232">
        <f t="shared" si="24"/>
        <v>0</v>
      </c>
      <c r="I166" s="231">
        <v>0</v>
      </c>
      <c r="J166" s="231">
        <f>J167+J168</f>
        <v>0</v>
      </c>
      <c r="K166" s="231">
        <f>K167+K168</f>
        <v>0</v>
      </c>
      <c r="L166" s="231">
        <f>L167+L168</f>
        <v>0</v>
      </c>
      <c r="M166" s="232">
        <f t="shared" si="25"/>
        <v>0</v>
      </c>
      <c r="N166" s="231">
        <v>0</v>
      </c>
      <c r="O166" s="231">
        <f>O167+O168</f>
        <v>0</v>
      </c>
      <c r="P166" s="231">
        <f>P167+P168</f>
        <v>0</v>
      </c>
      <c r="Q166" s="231">
        <f>Q167+Q168</f>
        <v>0</v>
      </c>
      <c r="R166" s="232">
        <f t="shared" si="26"/>
        <v>0</v>
      </c>
    </row>
    <row r="167" spans="1:18" s="6" customFormat="1" ht="12" hidden="1" customHeight="1">
      <c r="A167" s="141" t="s">
        <v>52</v>
      </c>
      <c r="B167" s="179" t="s">
        <v>53</v>
      </c>
      <c r="C167" s="98"/>
      <c r="D167" s="98">
        <v>0</v>
      </c>
      <c r="E167" s="231"/>
      <c r="F167" s="231"/>
      <c r="G167" s="231"/>
      <c r="H167" s="232">
        <f t="shared" si="24"/>
        <v>0</v>
      </c>
      <c r="I167" s="231">
        <v>0</v>
      </c>
      <c r="J167" s="231"/>
      <c r="K167" s="231"/>
      <c r="L167" s="231"/>
      <c r="M167" s="232">
        <f t="shared" si="25"/>
        <v>0</v>
      </c>
      <c r="N167" s="231">
        <v>0</v>
      </c>
      <c r="O167" s="231"/>
      <c r="P167" s="231"/>
      <c r="Q167" s="231"/>
      <c r="R167" s="232">
        <f t="shared" si="26"/>
        <v>0</v>
      </c>
    </row>
    <row r="168" spans="1:18" s="6" customFormat="1" ht="12" hidden="1" customHeight="1">
      <c r="A168" s="141" t="s">
        <v>54</v>
      </c>
      <c r="B168" s="179" t="s">
        <v>55</v>
      </c>
      <c r="C168" s="98"/>
      <c r="D168" s="98">
        <v>0</v>
      </c>
      <c r="E168" s="231"/>
      <c r="F168" s="231"/>
      <c r="G168" s="231"/>
      <c r="H168" s="232">
        <f t="shared" si="24"/>
        <v>0</v>
      </c>
      <c r="I168" s="231">
        <v>0</v>
      </c>
      <c r="J168" s="231"/>
      <c r="K168" s="231"/>
      <c r="L168" s="231"/>
      <c r="M168" s="232">
        <f t="shared" si="25"/>
        <v>0</v>
      </c>
      <c r="N168" s="231">
        <v>0</v>
      </c>
      <c r="O168" s="231"/>
      <c r="P168" s="231"/>
      <c r="Q168" s="231"/>
      <c r="R168" s="232">
        <f t="shared" si="26"/>
        <v>0</v>
      </c>
    </row>
    <row r="169" spans="1:18" s="6" customFormat="1" ht="12" hidden="1" customHeight="1">
      <c r="A169" s="141" t="s">
        <v>56</v>
      </c>
      <c r="B169" s="179" t="s">
        <v>57</v>
      </c>
      <c r="C169" s="98">
        <v>0</v>
      </c>
      <c r="D169" s="98">
        <v>0</v>
      </c>
      <c r="E169" s="231">
        <f>E170+E171</f>
        <v>0</v>
      </c>
      <c r="F169" s="231">
        <f>F170+F171</f>
        <v>0</v>
      </c>
      <c r="G169" s="231">
        <f>G170+G171</f>
        <v>0</v>
      </c>
      <c r="H169" s="232">
        <f t="shared" si="24"/>
        <v>0</v>
      </c>
      <c r="I169" s="231">
        <v>0</v>
      </c>
      <c r="J169" s="231">
        <f>J170+J171</f>
        <v>0</v>
      </c>
      <c r="K169" s="231">
        <f>K170+K171</f>
        <v>0</v>
      </c>
      <c r="L169" s="231">
        <f>L170+L171</f>
        <v>0</v>
      </c>
      <c r="M169" s="232">
        <f t="shared" si="25"/>
        <v>0</v>
      </c>
      <c r="N169" s="231">
        <v>0</v>
      </c>
      <c r="O169" s="231">
        <f>O170+O171</f>
        <v>0</v>
      </c>
      <c r="P169" s="231">
        <f>P170+P171</f>
        <v>0</v>
      </c>
      <c r="Q169" s="231">
        <f>Q170+Q171</f>
        <v>0</v>
      </c>
      <c r="R169" s="232">
        <f t="shared" si="26"/>
        <v>0</v>
      </c>
    </row>
    <row r="170" spans="1:18" s="6" customFormat="1" ht="12" hidden="1" customHeight="1">
      <c r="A170" s="141" t="s">
        <v>58</v>
      </c>
      <c r="B170" s="179" t="s">
        <v>59</v>
      </c>
      <c r="C170" s="98"/>
      <c r="D170" s="98">
        <v>0</v>
      </c>
      <c r="E170" s="231"/>
      <c r="F170" s="231"/>
      <c r="G170" s="231"/>
      <c r="H170" s="232">
        <f t="shared" si="24"/>
        <v>0</v>
      </c>
      <c r="I170" s="231">
        <v>0</v>
      </c>
      <c r="J170" s="231"/>
      <c r="K170" s="231"/>
      <c r="L170" s="231"/>
      <c r="M170" s="232">
        <f t="shared" si="25"/>
        <v>0</v>
      </c>
      <c r="N170" s="231">
        <v>0</v>
      </c>
      <c r="O170" s="231"/>
      <c r="P170" s="231"/>
      <c r="Q170" s="231"/>
      <c r="R170" s="232">
        <f t="shared" si="26"/>
        <v>0</v>
      </c>
    </row>
    <row r="171" spans="1:18" s="6" customFormat="1" ht="12" hidden="1" customHeight="1">
      <c r="A171" s="141" t="s">
        <v>60</v>
      </c>
      <c r="B171" s="179" t="s">
        <v>61</v>
      </c>
      <c r="C171" s="98"/>
      <c r="D171" s="98">
        <v>0</v>
      </c>
      <c r="E171" s="231"/>
      <c r="F171" s="231"/>
      <c r="G171" s="231"/>
      <c r="H171" s="232">
        <f t="shared" si="24"/>
        <v>0</v>
      </c>
      <c r="I171" s="231">
        <v>0</v>
      </c>
      <c r="J171" s="231"/>
      <c r="K171" s="231"/>
      <c r="L171" s="231"/>
      <c r="M171" s="232">
        <f t="shared" si="25"/>
        <v>0</v>
      </c>
      <c r="N171" s="231">
        <v>0</v>
      </c>
      <c r="O171" s="231"/>
      <c r="P171" s="231"/>
      <c r="Q171" s="231"/>
      <c r="R171" s="232">
        <f t="shared" si="26"/>
        <v>0</v>
      </c>
    </row>
    <row r="172" spans="1:18" s="6" customFormat="1" ht="12" hidden="1" customHeight="1">
      <c r="A172" s="141" t="s">
        <v>198</v>
      </c>
      <c r="B172" s="187" t="s">
        <v>168</v>
      </c>
      <c r="C172" s="98"/>
      <c r="D172" s="98">
        <v>0</v>
      </c>
      <c r="E172" s="231"/>
      <c r="F172" s="231"/>
      <c r="G172" s="231"/>
      <c r="H172" s="232">
        <f t="shared" si="24"/>
        <v>0</v>
      </c>
      <c r="I172" s="231">
        <v>0</v>
      </c>
      <c r="J172" s="231"/>
      <c r="K172" s="231"/>
      <c r="L172" s="231"/>
      <c r="M172" s="232">
        <f t="shared" si="25"/>
        <v>0</v>
      </c>
      <c r="N172" s="231">
        <v>0</v>
      </c>
      <c r="O172" s="231"/>
      <c r="P172" s="231"/>
      <c r="Q172" s="231"/>
      <c r="R172" s="232">
        <f t="shared" si="26"/>
        <v>0</v>
      </c>
    </row>
    <row r="173" spans="1:18" s="6" customFormat="1" ht="12" hidden="1" customHeight="1">
      <c r="A173" s="144" t="s">
        <v>62</v>
      </c>
      <c r="B173" s="125" t="s">
        <v>63</v>
      </c>
      <c r="C173" s="170">
        <v>0</v>
      </c>
      <c r="D173" s="170">
        <v>0</v>
      </c>
      <c r="E173" s="233">
        <f>E174+E175+E176</f>
        <v>0</v>
      </c>
      <c r="F173" s="233">
        <f>F174+F175+F176</f>
        <v>0</v>
      </c>
      <c r="G173" s="233">
        <f>G174+G175+G176</f>
        <v>0</v>
      </c>
      <c r="H173" s="232">
        <f t="shared" si="24"/>
        <v>0</v>
      </c>
      <c r="I173" s="233">
        <v>0</v>
      </c>
      <c r="J173" s="233">
        <f>J174+J175+J176</f>
        <v>0</v>
      </c>
      <c r="K173" s="233">
        <f>K174+K175+K176</f>
        <v>0</v>
      </c>
      <c r="L173" s="233">
        <f>L174+L175+L176</f>
        <v>0</v>
      </c>
      <c r="M173" s="232">
        <f t="shared" si="25"/>
        <v>0</v>
      </c>
      <c r="N173" s="233">
        <v>0</v>
      </c>
      <c r="O173" s="233">
        <f>O174+O175+O176</f>
        <v>0</v>
      </c>
      <c r="P173" s="233">
        <f>P174+P175+P176</f>
        <v>0</v>
      </c>
      <c r="Q173" s="233">
        <f>Q174+Q175+Q176</f>
        <v>0</v>
      </c>
      <c r="R173" s="232">
        <f t="shared" si="26"/>
        <v>0</v>
      </c>
    </row>
    <row r="174" spans="1:18" s="6" customFormat="1" ht="36" hidden="1" customHeight="1">
      <c r="A174" s="144" t="s">
        <v>64</v>
      </c>
      <c r="B174" s="179" t="s">
        <v>65</v>
      </c>
      <c r="C174" s="98">
        <v>0</v>
      </c>
      <c r="D174" s="98">
        <v>0</v>
      </c>
      <c r="E174" s="231"/>
      <c r="F174" s="231"/>
      <c r="G174" s="231"/>
      <c r="H174" s="232">
        <f t="shared" si="24"/>
        <v>0</v>
      </c>
      <c r="I174" s="231">
        <v>0</v>
      </c>
      <c r="J174" s="231"/>
      <c r="K174" s="231"/>
      <c r="L174" s="231"/>
      <c r="M174" s="232">
        <f t="shared" si="25"/>
        <v>0</v>
      </c>
      <c r="N174" s="231">
        <v>0</v>
      </c>
      <c r="O174" s="231"/>
      <c r="P174" s="231"/>
      <c r="Q174" s="231"/>
      <c r="R174" s="232">
        <f t="shared" si="26"/>
        <v>0</v>
      </c>
    </row>
    <row r="175" spans="1:18" s="6" customFormat="1" ht="24" hidden="1" customHeight="1">
      <c r="A175" s="144" t="s">
        <v>66</v>
      </c>
      <c r="B175" s="179" t="s">
        <v>67</v>
      </c>
      <c r="C175" s="98"/>
      <c r="D175" s="98">
        <v>0</v>
      </c>
      <c r="E175" s="231"/>
      <c r="F175" s="231"/>
      <c r="G175" s="231"/>
      <c r="H175" s="232">
        <f t="shared" si="24"/>
        <v>0</v>
      </c>
      <c r="I175" s="231">
        <v>0</v>
      </c>
      <c r="J175" s="231"/>
      <c r="K175" s="231"/>
      <c r="L175" s="231"/>
      <c r="M175" s="232">
        <f t="shared" si="25"/>
        <v>0</v>
      </c>
      <c r="N175" s="231">
        <v>0</v>
      </c>
      <c r="O175" s="231"/>
      <c r="P175" s="231"/>
      <c r="Q175" s="231"/>
      <c r="R175" s="232">
        <f t="shared" si="26"/>
        <v>0</v>
      </c>
    </row>
    <row r="176" spans="1:18" s="6" customFormat="1" ht="24" hidden="1" customHeight="1">
      <c r="A176" s="144" t="s">
        <v>68</v>
      </c>
      <c r="B176" s="125" t="s">
        <v>69</v>
      </c>
      <c r="C176" s="98"/>
      <c r="D176" s="98">
        <v>0</v>
      </c>
      <c r="E176" s="231"/>
      <c r="F176" s="231"/>
      <c r="G176" s="231"/>
      <c r="H176" s="232">
        <f t="shared" si="24"/>
        <v>0</v>
      </c>
      <c r="I176" s="231">
        <v>0</v>
      </c>
      <c r="J176" s="231"/>
      <c r="K176" s="231"/>
      <c r="L176" s="231"/>
      <c r="M176" s="232">
        <f t="shared" si="25"/>
        <v>0</v>
      </c>
      <c r="N176" s="231">
        <v>0</v>
      </c>
      <c r="O176" s="231"/>
      <c r="P176" s="231"/>
      <c r="Q176" s="231"/>
      <c r="R176" s="232">
        <f t="shared" si="26"/>
        <v>0</v>
      </c>
    </row>
    <row r="177" spans="1:18" s="6" customFormat="1" ht="34.200000000000003">
      <c r="A177" s="145"/>
      <c r="B177" s="494" t="s">
        <v>200</v>
      </c>
      <c r="C177" s="207"/>
      <c r="D177" s="190"/>
      <c r="E177" s="268"/>
      <c r="F177" s="268"/>
      <c r="G177" s="268"/>
      <c r="H177" s="269"/>
      <c r="I177" s="347"/>
      <c r="J177" s="268"/>
      <c r="K177" s="268"/>
      <c r="L177" s="268"/>
      <c r="M177" s="269"/>
      <c r="N177" s="347"/>
      <c r="O177" s="268"/>
      <c r="P177" s="268"/>
      <c r="Q177" s="268"/>
      <c r="R177" s="269"/>
    </row>
    <row r="178" spans="1:18" s="6" customFormat="1" ht="20.399999999999999">
      <c r="A178" s="129" t="s">
        <v>201</v>
      </c>
      <c r="B178" s="123" t="s">
        <v>88</v>
      </c>
      <c r="C178" s="200">
        <v>8969376</v>
      </c>
      <c r="D178" s="200">
        <v>14483568</v>
      </c>
      <c r="E178" s="228">
        <f>E179+E180+E182+E200</f>
        <v>0</v>
      </c>
      <c r="F178" s="228">
        <f>F179+F180+F182+F200</f>
        <v>0</v>
      </c>
      <c r="G178" s="228">
        <f>G179+G180+G182+G200</f>
        <v>0</v>
      </c>
      <c r="H178" s="229">
        <f t="shared" ref="H178:H209" si="27">SUM(D178:G178)</f>
        <v>14483568</v>
      </c>
      <c r="I178" s="228">
        <v>4630809</v>
      </c>
      <c r="J178" s="228">
        <f>J179+J180+J182+J200</f>
        <v>0</v>
      </c>
      <c r="K178" s="228">
        <f>K179+K180+K182+K200</f>
        <v>0</v>
      </c>
      <c r="L178" s="228">
        <f>L179+L180+L182+L200</f>
        <v>0</v>
      </c>
      <c r="M178" s="229">
        <f t="shared" ref="M178:M209" si="28">SUM(I178:L178)</f>
        <v>4630809</v>
      </c>
      <c r="N178" s="228">
        <v>0</v>
      </c>
      <c r="O178" s="228">
        <f>O179+O180+O182+O200</f>
        <v>0</v>
      </c>
      <c r="P178" s="228">
        <f>P179+P180+P182+P200</f>
        <v>0</v>
      </c>
      <c r="Q178" s="228">
        <f>Q179+Q180+Q182+Q200</f>
        <v>0</v>
      </c>
      <c r="R178" s="229">
        <f t="shared" ref="R178:R209" si="29">SUM(N178:Q178)</f>
        <v>0</v>
      </c>
    </row>
    <row r="179" spans="1:18" s="6" customFormat="1" ht="24" hidden="1" customHeight="1">
      <c r="A179" s="130" t="s">
        <v>177</v>
      </c>
      <c r="B179" s="124" t="s">
        <v>90</v>
      </c>
      <c r="C179" s="98"/>
      <c r="D179" s="98">
        <v>0</v>
      </c>
      <c r="E179" s="231"/>
      <c r="F179" s="231"/>
      <c r="G179" s="231"/>
      <c r="H179" s="232">
        <f t="shared" si="27"/>
        <v>0</v>
      </c>
      <c r="I179" s="231">
        <v>0</v>
      </c>
      <c r="J179" s="231"/>
      <c r="K179" s="231"/>
      <c r="L179" s="231"/>
      <c r="M179" s="232">
        <f t="shared" si="28"/>
        <v>0</v>
      </c>
      <c r="N179" s="231">
        <v>0</v>
      </c>
      <c r="O179" s="231"/>
      <c r="P179" s="231"/>
      <c r="Q179" s="231"/>
      <c r="R179" s="232">
        <f t="shared" si="29"/>
        <v>0</v>
      </c>
    </row>
    <row r="180" spans="1:18" s="6" customFormat="1" ht="12">
      <c r="A180" s="130" t="s">
        <v>91</v>
      </c>
      <c r="B180" s="124" t="s">
        <v>92</v>
      </c>
      <c r="C180" s="98">
        <v>4584300</v>
      </c>
      <c r="D180" s="98">
        <v>4448259</v>
      </c>
      <c r="E180" s="231"/>
      <c r="F180" s="231"/>
      <c r="G180" s="231"/>
      <c r="H180" s="232">
        <f t="shared" si="27"/>
        <v>4448259</v>
      </c>
      <c r="I180" s="231">
        <v>0</v>
      </c>
      <c r="J180" s="231"/>
      <c r="K180" s="231"/>
      <c r="L180" s="231"/>
      <c r="M180" s="232">
        <f t="shared" si="28"/>
        <v>0</v>
      </c>
      <c r="N180" s="231">
        <v>0</v>
      </c>
      <c r="O180" s="231"/>
      <c r="P180" s="231"/>
      <c r="Q180" s="231"/>
      <c r="R180" s="232">
        <f t="shared" si="29"/>
        <v>0</v>
      </c>
    </row>
    <row r="181" spans="1:18" s="29" customFormat="1" ht="24" hidden="1" customHeight="1">
      <c r="A181" s="131">
        <v>21210</v>
      </c>
      <c r="B181" s="125" t="s">
        <v>93</v>
      </c>
      <c r="C181" s="98"/>
      <c r="D181" s="98">
        <v>0</v>
      </c>
      <c r="E181" s="231"/>
      <c r="F181" s="231"/>
      <c r="G181" s="231"/>
      <c r="H181" s="232">
        <f t="shared" si="27"/>
        <v>0</v>
      </c>
      <c r="I181" s="231">
        <v>0</v>
      </c>
      <c r="J181" s="231"/>
      <c r="K181" s="231"/>
      <c r="L181" s="231"/>
      <c r="M181" s="232">
        <f t="shared" si="28"/>
        <v>0</v>
      </c>
      <c r="N181" s="231">
        <v>0</v>
      </c>
      <c r="O181" s="231"/>
      <c r="P181" s="231"/>
      <c r="Q181" s="231"/>
      <c r="R181" s="232">
        <f t="shared" si="29"/>
        <v>0</v>
      </c>
    </row>
    <row r="182" spans="1:18" s="89" customFormat="1" ht="21" hidden="1" customHeight="1">
      <c r="A182" s="130" t="s">
        <v>178</v>
      </c>
      <c r="B182" s="124" t="s">
        <v>94</v>
      </c>
      <c r="C182" s="170">
        <v>0</v>
      </c>
      <c r="D182" s="170">
        <v>0</v>
      </c>
      <c r="E182" s="233">
        <f>E183+E189</f>
        <v>0</v>
      </c>
      <c r="F182" s="233">
        <f>F183+F189</f>
        <v>0</v>
      </c>
      <c r="G182" s="233">
        <f>G183+G189</f>
        <v>0</v>
      </c>
      <c r="H182" s="232">
        <f t="shared" si="27"/>
        <v>0</v>
      </c>
      <c r="I182" s="233">
        <v>0</v>
      </c>
      <c r="J182" s="233">
        <f>J183+J189</f>
        <v>0</v>
      </c>
      <c r="K182" s="233">
        <f>K183+K189</f>
        <v>0</v>
      </c>
      <c r="L182" s="233">
        <f>L183+L189</f>
        <v>0</v>
      </c>
      <c r="M182" s="232">
        <f t="shared" si="28"/>
        <v>0</v>
      </c>
      <c r="N182" s="233">
        <v>0</v>
      </c>
      <c r="O182" s="233">
        <f>O183+O189</f>
        <v>0</v>
      </c>
      <c r="P182" s="233">
        <f>P183+P189</f>
        <v>0</v>
      </c>
      <c r="Q182" s="233">
        <f>Q183+Q189</f>
        <v>0</v>
      </c>
      <c r="R182" s="232">
        <f t="shared" si="29"/>
        <v>0</v>
      </c>
    </row>
    <row r="183" spans="1:18" s="89" customFormat="1" ht="12" hidden="1" customHeight="1">
      <c r="A183" s="132">
        <v>18000</v>
      </c>
      <c r="B183" s="125" t="s">
        <v>95</v>
      </c>
      <c r="C183" s="170">
        <v>0</v>
      </c>
      <c r="D183" s="170">
        <v>0</v>
      </c>
      <c r="E183" s="233">
        <f t="shared" ref="E183:G184" si="30">E184</f>
        <v>0</v>
      </c>
      <c r="F183" s="233">
        <f t="shared" si="30"/>
        <v>0</v>
      </c>
      <c r="G183" s="233">
        <f t="shared" si="30"/>
        <v>0</v>
      </c>
      <c r="H183" s="232">
        <f t="shared" si="27"/>
        <v>0</v>
      </c>
      <c r="I183" s="233">
        <v>0</v>
      </c>
      <c r="J183" s="233">
        <f t="shared" ref="J183:L184" si="31">J184</f>
        <v>0</v>
      </c>
      <c r="K183" s="233">
        <f t="shared" si="31"/>
        <v>0</v>
      </c>
      <c r="L183" s="233">
        <f t="shared" si="31"/>
        <v>0</v>
      </c>
      <c r="M183" s="232">
        <f t="shared" si="28"/>
        <v>0</v>
      </c>
      <c r="N183" s="233">
        <v>0</v>
      </c>
      <c r="O183" s="233">
        <f t="shared" ref="O183:Q184" si="32">O184</f>
        <v>0</v>
      </c>
      <c r="P183" s="233">
        <f t="shared" si="32"/>
        <v>0</v>
      </c>
      <c r="Q183" s="233">
        <f t="shared" si="32"/>
        <v>0</v>
      </c>
      <c r="R183" s="232">
        <f t="shared" si="29"/>
        <v>0</v>
      </c>
    </row>
    <row r="184" spans="1:18" s="89" customFormat="1" ht="12" hidden="1" customHeight="1">
      <c r="A184" s="132">
        <v>18100</v>
      </c>
      <c r="B184" s="125" t="s">
        <v>96</v>
      </c>
      <c r="C184" s="170">
        <v>0</v>
      </c>
      <c r="D184" s="170">
        <v>0</v>
      </c>
      <c r="E184" s="233">
        <f t="shared" si="30"/>
        <v>0</v>
      </c>
      <c r="F184" s="233">
        <f t="shared" si="30"/>
        <v>0</v>
      </c>
      <c r="G184" s="233">
        <f t="shared" si="30"/>
        <v>0</v>
      </c>
      <c r="H184" s="232">
        <f t="shared" si="27"/>
        <v>0</v>
      </c>
      <c r="I184" s="233">
        <v>0</v>
      </c>
      <c r="J184" s="233">
        <f t="shared" si="31"/>
        <v>0</v>
      </c>
      <c r="K184" s="233">
        <f t="shared" si="31"/>
        <v>0</v>
      </c>
      <c r="L184" s="233">
        <f t="shared" si="31"/>
        <v>0</v>
      </c>
      <c r="M184" s="232">
        <f t="shared" si="28"/>
        <v>0</v>
      </c>
      <c r="N184" s="233">
        <v>0</v>
      </c>
      <c r="O184" s="233">
        <f t="shared" si="32"/>
        <v>0</v>
      </c>
      <c r="P184" s="233">
        <f t="shared" si="32"/>
        <v>0</v>
      </c>
      <c r="Q184" s="233">
        <f t="shared" si="32"/>
        <v>0</v>
      </c>
      <c r="R184" s="232">
        <f t="shared" si="29"/>
        <v>0</v>
      </c>
    </row>
    <row r="185" spans="1:18" s="89" customFormat="1" ht="24" hidden="1" customHeight="1">
      <c r="A185" s="133">
        <v>18130</v>
      </c>
      <c r="B185" s="172" t="s">
        <v>159</v>
      </c>
      <c r="C185" s="170">
        <v>0</v>
      </c>
      <c r="D185" s="170">
        <v>0</v>
      </c>
      <c r="E185" s="233">
        <f>SUM(E186:E188)</f>
        <v>0</v>
      </c>
      <c r="F185" s="233">
        <f>SUM(F186:F188)</f>
        <v>0</v>
      </c>
      <c r="G185" s="233">
        <f>SUM(G186:G188)</f>
        <v>0</v>
      </c>
      <c r="H185" s="232">
        <f t="shared" si="27"/>
        <v>0</v>
      </c>
      <c r="I185" s="233">
        <v>0</v>
      </c>
      <c r="J185" s="233">
        <f>SUM(J186:J188)</f>
        <v>0</v>
      </c>
      <c r="K185" s="233">
        <f>SUM(K186:K188)</f>
        <v>0</v>
      </c>
      <c r="L185" s="233">
        <f>SUM(L186:L188)</f>
        <v>0</v>
      </c>
      <c r="M185" s="232">
        <f t="shared" si="28"/>
        <v>0</v>
      </c>
      <c r="N185" s="233">
        <v>0</v>
      </c>
      <c r="O185" s="233">
        <f>SUM(O186:O188)</f>
        <v>0</v>
      </c>
      <c r="P185" s="233">
        <f>SUM(P186:P188)</f>
        <v>0</v>
      </c>
      <c r="Q185" s="233">
        <f>SUM(Q186:Q188)</f>
        <v>0</v>
      </c>
      <c r="R185" s="232">
        <f t="shared" si="29"/>
        <v>0</v>
      </c>
    </row>
    <row r="186" spans="1:18" s="89" customFormat="1" ht="36" hidden="1" customHeight="1">
      <c r="A186" s="134">
        <v>18131</v>
      </c>
      <c r="B186" s="172" t="s">
        <v>160</v>
      </c>
      <c r="C186" s="170"/>
      <c r="D186" s="170">
        <v>0</v>
      </c>
      <c r="E186" s="233"/>
      <c r="F186" s="233"/>
      <c r="G186" s="233"/>
      <c r="H186" s="232">
        <f t="shared" si="27"/>
        <v>0</v>
      </c>
      <c r="I186" s="233">
        <v>0</v>
      </c>
      <c r="J186" s="233"/>
      <c r="K186" s="233"/>
      <c r="L186" s="233"/>
      <c r="M186" s="232">
        <f t="shared" si="28"/>
        <v>0</v>
      </c>
      <c r="N186" s="233">
        <v>0</v>
      </c>
      <c r="O186" s="233"/>
      <c r="P186" s="233"/>
      <c r="Q186" s="233"/>
      <c r="R186" s="232">
        <f t="shared" si="29"/>
        <v>0</v>
      </c>
    </row>
    <row r="187" spans="1:18" s="89" customFormat="1" ht="24" hidden="1" customHeight="1">
      <c r="A187" s="134">
        <v>18132</v>
      </c>
      <c r="B187" s="172" t="s">
        <v>169</v>
      </c>
      <c r="C187" s="170"/>
      <c r="D187" s="170">
        <v>0</v>
      </c>
      <c r="E187" s="233"/>
      <c r="F187" s="233"/>
      <c r="G187" s="233"/>
      <c r="H187" s="232">
        <f t="shared" si="27"/>
        <v>0</v>
      </c>
      <c r="I187" s="233">
        <v>0</v>
      </c>
      <c r="J187" s="233"/>
      <c r="K187" s="233"/>
      <c r="L187" s="233"/>
      <c r="M187" s="232">
        <f t="shared" si="28"/>
        <v>0</v>
      </c>
      <c r="N187" s="233">
        <v>0</v>
      </c>
      <c r="O187" s="233"/>
      <c r="P187" s="233"/>
      <c r="Q187" s="233"/>
      <c r="R187" s="232">
        <f t="shared" si="29"/>
        <v>0</v>
      </c>
    </row>
    <row r="188" spans="1:18" s="89" customFormat="1" ht="24" hidden="1" customHeight="1">
      <c r="A188" s="134">
        <v>18139</v>
      </c>
      <c r="B188" s="172" t="s">
        <v>179</v>
      </c>
      <c r="C188" s="170"/>
      <c r="D188" s="170">
        <v>0</v>
      </c>
      <c r="E188" s="233"/>
      <c r="F188" s="233"/>
      <c r="G188" s="233"/>
      <c r="H188" s="232">
        <f t="shared" si="27"/>
        <v>0</v>
      </c>
      <c r="I188" s="233">
        <v>0</v>
      </c>
      <c r="J188" s="233"/>
      <c r="K188" s="233"/>
      <c r="L188" s="233"/>
      <c r="M188" s="232">
        <f t="shared" si="28"/>
        <v>0</v>
      </c>
      <c r="N188" s="233">
        <v>0</v>
      </c>
      <c r="O188" s="233"/>
      <c r="P188" s="233"/>
      <c r="Q188" s="233"/>
      <c r="R188" s="232">
        <f t="shared" si="29"/>
        <v>0</v>
      </c>
    </row>
    <row r="189" spans="1:18" s="89" customFormat="1" ht="12" hidden="1" customHeight="1">
      <c r="A189" s="135" t="s">
        <v>180</v>
      </c>
      <c r="B189" s="173" t="s">
        <v>173</v>
      </c>
      <c r="C189" s="201">
        <v>0</v>
      </c>
      <c r="D189" s="201">
        <v>0</v>
      </c>
      <c r="E189" s="238">
        <f>E190</f>
        <v>0</v>
      </c>
      <c r="F189" s="238">
        <f>F190</f>
        <v>0</v>
      </c>
      <c r="G189" s="238">
        <f>G190</f>
        <v>0</v>
      </c>
      <c r="H189" s="232">
        <f t="shared" si="27"/>
        <v>0</v>
      </c>
      <c r="I189" s="238">
        <v>0</v>
      </c>
      <c r="J189" s="238">
        <f>J190</f>
        <v>0</v>
      </c>
      <c r="K189" s="238">
        <f>K190</f>
        <v>0</v>
      </c>
      <c r="L189" s="238">
        <f>L190</f>
        <v>0</v>
      </c>
      <c r="M189" s="232">
        <f t="shared" si="28"/>
        <v>0</v>
      </c>
      <c r="N189" s="238">
        <v>0</v>
      </c>
      <c r="O189" s="238">
        <f>O190</f>
        <v>0</v>
      </c>
      <c r="P189" s="238">
        <f>P190</f>
        <v>0</v>
      </c>
      <c r="Q189" s="238">
        <f>Q190</f>
        <v>0</v>
      </c>
      <c r="R189" s="232">
        <f t="shared" si="29"/>
        <v>0</v>
      </c>
    </row>
    <row r="190" spans="1:18" s="89" customFormat="1" ht="24" hidden="1" customHeight="1">
      <c r="A190" s="135">
        <v>19500</v>
      </c>
      <c r="B190" s="172" t="s">
        <v>174</v>
      </c>
      <c r="C190" s="170">
        <v>0</v>
      </c>
      <c r="D190" s="170">
        <v>0</v>
      </c>
      <c r="E190" s="233">
        <f>SUM(E191:E193)</f>
        <v>0</v>
      </c>
      <c r="F190" s="233">
        <f>SUM(F191:F193)</f>
        <v>0</v>
      </c>
      <c r="G190" s="233">
        <f>SUM(G191:G193)</f>
        <v>0</v>
      </c>
      <c r="H190" s="232">
        <f t="shared" si="27"/>
        <v>0</v>
      </c>
      <c r="I190" s="233">
        <v>0</v>
      </c>
      <c r="J190" s="233">
        <f>SUM(J191:J193)</f>
        <v>0</v>
      </c>
      <c r="K190" s="233">
        <f>SUM(K191:K193)</f>
        <v>0</v>
      </c>
      <c r="L190" s="233">
        <f>SUM(L191:L193)</f>
        <v>0</v>
      </c>
      <c r="M190" s="232">
        <f t="shared" si="28"/>
        <v>0</v>
      </c>
      <c r="N190" s="233">
        <v>0</v>
      </c>
      <c r="O190" s="233">
        <f>SUM(O191:O193)</f>
        <v>0</v>
      </c>
      <c r="P190" s="233">
        <f>SUM(P191:P193)</f>
        <v>0</v>
      </c>
      <c r="Q190" s="233">
        <f>SUM(Q191:Q193)</f>
        <v>0</v>
      </c>
      <c r="R190" s="232">
        <f t="shared" si="29"/>
        <v>0</v>
      </c>
    </row>
    <row r="191" spans="1:18" s="89" customFormat="1" ht="24" hidden="1" customHeight="1">
      <c r="A191" s="136">
        <v>19550</v>
      </c>
      <c r="B191" s="172" t="s">
        <v>175</v>
      </c>
      <c r="C191" s="170"/>
      <c r="D191" s="170">
        <v>0</v>
      </c>
      <c r="E191" s="233"/>
      <c r="F191" s="233"/>
      <c r="G191" s="233"/>
      <c r="H191" s="232">
        <f t="shared" si="27"/>
        <v>0</v>
      </c>
      <c r="I191" s="233">
        <v>0</v>
      </c>
      <c r="J191" s="233"/>
      <c r="K191" s="233"/>
      <c r="L191" s="233"/>
      <c r="M191" s="232">
        <f t="shared" si="28"/>
        <v>0</v>
      </c>
      <c r="N191" s="233">
        <v>0</v>
      </c>
      <c r="O191" s="233"/>
      <c r="P191" s="233"/>
      <c r="Q191" s="233"/>
      <c r="R191" s="232">
        <f t="shared" si="29"/>
        <v>0</v>
      </c>
    </row>
    <row r="192" spans="1:18" s="89" customFormat="1" ht="36" hidden="1" customHeight="1">
      <c r="A192" s="136">
        <v>19560</v>
      </c>
      <c r="B192" s="172" t="s">
        <v>181</v>
      </c>
      <c r="C192" s="170"/>
      <c r="D192" s="170">
        <v>0</v>
      </c>
      <c r="E192" s="233"/>
      <c r="F192" s="233"/>
      <c r="G192" s="233"/>
      <c r="H192" s="232">
        <f t="shared" si="27"/>
        <v>0</v>
      </c>
      <c r="I192" s="233">
        <v>0</v>
      </c>
      <c r="J192" s="233"/>
      <c r="K192" s="233"/>
      <c r="L192" s="233"/>
      <c r="M192" s="232">
        <f t="shared" si="28"/>
        <v>0</v>
      </c>
      <c r="N192" s="233">
        <v>0</v>
      </c>
      <c r="O192" s="233"/>
      <c r="P192" s="233"/>
      <c r="Q192" s="233"/>
      <c r="R192" s="232">
        <f t="shared" si="29"/>
        <v>0</v>
      </c>
    </row>
    <row r="193" spans="1:18" s="89" customFormat="1" ht="72" hidden="1" customHeight="1">
      <c r="A193" s="136">
        <v>19570</v>
      </c>
      <c r="B193" s="172" t="s">
        <v>182</v>
      </c>
      <c r="C193" s="170"/>
      <c r="D193" s="170">
        <v>0</v>
      </c>
      <c r="E193" s="233"/>
      <c r="F193" s="233"/>
      <c r="G193" s="233"/>
      <c r="H193" s="232">
        <f t="shared" si="27"/>
        <v>0</v>
      </c>
      <c r="I193" s="233">
        <v>0</v>
      </c>
      <c r="J193" s="233"/>
      <c r="K193" s="233"/>
      <c r="L193" s="233"/>
      <c r="M193" s="232">
        <f t="shared" si="28"/>
        <v>0</v>
      </c>
      <c r="N193" s="233">
        <v>0</v>
      </c>
      <c r="O193" s="233"/>
      <c r="P193" s="233"/>
      <c r="Q193" s="233"/>
      <c r="R193" s="232">
        <f t="shared" si="29"/>
        <v>0</v>
      </c>
    </row>
    <row r="194" spans="1:18" s="6" customFormat="1" ht="24" hidden="1" customHeight="1">
      <c r="A194" s="209" t="s">
        <v>222</v>
      </c>
      <c r="B194" s="208" t="s">
        <v>216</v>
      </c>
      <c r="C194" s="106">
        <v>0</v>
      </c>
      <c r="D194" s="106">
        <v>0</v>
      </c>
      <c r="E194" s="232">
        <f>E195</f>
        <v>0</v>
      </c>
      <c r="F194" s="232">
        <f>F195</f>
        <v>0</v>
      </c>
      <c r="G194" s="232">
        <f>G195</f>
        <v>0</v>
      </c>
      <c r="H194" s="232">
        <f t="shared" si="27"/>
        <v>0</v>
      </c>
      <c r="I194" s="233">
        <v>0</v>
      </c>
      <c r="J194" s="232">
        <f>J195</f>
        <v>0</v>
      </c>
      <c r="K194" s="232">
        <f>K195</f>
        <v>0</v>
      </c>
      <c r="L194" s="232">
        <f>L195</f>
        <v>0</v>
      </c>
      <c r="M194" s="232">
        <f t="shared" si="28"/>
        <v>0</v>
      </c>
      <c r="N194" s="233">
        <v>0</v>
      </c>
      <c r="O194" s="232">
        <f>O195</f>
        <v>0</v>
      </c>
      <c r="P194" s="232">
        <f>P195</f>
        <v>0</v>
      </c>
      <c r="Q194" s="232">
        <f>Q195</f>
        <v>0</v>
      </c>
      <c r="R194" s="232">
        <f t="shared" si="29"/>
        <v>0</v>
      </c>
    </row>
    <row r="195" spans="1:18" s="6" customFormat="1" ht="36" hidden="1" customHeight="1">
      <c r="A195" s="209">
        <v>17100</v>
      </c>
      <c r="B195" s="208" t="s">
        <v>217</v>
      </c>
      <c r="C195" s="106">
        <v>0</v>
      </c>
      <c r="D195" s="106">
        <v>0</v>
      </c>
      <c r="E195" s="232">
        <f>SUM(E196:E199)</f>
        <v>0</v>
      </c>
      <c r="F195" s="232">
        <f>SUM(F196:F199)</f>
        <v>0</v>
      </c>
      <c r="G195" s="232">
        <f>SUM(G196:G199)</f>
        <v>0</v>
      </c>
      <c r="H195" s="232">
        <f t="shared" si="27"/>
        <v>0</v>
      </c>
      <c r="I195" s="233">
        <v>0</v>
      </c>
      <c r="J195" s="232">
        <f>SUM(J196:J199)</f>
        <v>0</v>
      </c>
      <c r="K195" s="232">
        <f>SUM(K196:K199)</f>
        <v>0</v>
      </c>
      <c r="L195" s="232">
        <f>SUM(L196:L199)</f>
        <v>0</v>
      </c>
      <c r="M195" s="232">
        <f t="shared" si="28"/>
        <v>0</v>
      </c>
      <c r="N195" s="233">
        <v>0</v>
      </c>
      <c r="O195" s="232">
        <f>SUM(O196:O199)</f>
        <v>0</v>
      </c>
      <c r="P195" s="232">
        <f>SUM(P196:P199)</f>
        <v>0</v>
      </c>
      <c r="Q195" s="232">
        <f>SUM(Q196:Q199)</f>
        <v>0</v>
      </c>
      <c r="R195" s="232">
        <f t="shared" si="29"/>
        <v>0</v>
      </c>
    </row>
    <row r="196" spans="1:18" s="6" customFormat="1" ht="60" hidden="1" customHeight="1">
      <c r="A196" s="149">
        <v>17110</v>
      </c>
      <c r="B196" s="208" t="s">
        <v>218</v>
      </c>
      <c r="C196" s="106"/>
      <c r="D196" s="106">
        <v>0</v>
      </c>
      <c r="E196" s="233"/>
      <c r="F196" s="233"/>
      <c r="G196" s="233"/>
      <c r="H196" s="232">
        <f t="shared" si="27"/>
        <v>0</v>
      </c>
      <c r="I196" s="233">
        <v>0</v>
      </c>
      <c r="J196" s="233"/>
      <c r="K196" s="233"/>
      <c r="L196" s="233"/>
      <c r="M196" s="232">
        <f t="shared" si="28"/>
        <v>0</v>
      </c>
      <c r="N196" s="233">
        <v>0</v>
      </c>
      <c r="O196" s="233"/>
      <c r="P196" s="233"/>
      <c r="Q196" s="233"/>
      <c r="R196" s="232">
        <f t="shared" si="29"/>
        <v>0</v>
      </c>
    </row>
    <row r="197" spans="1:18" s="6" customFormat="1" ht="60" hidden="1" customHeight="1">
      <c r="A197" s="149">
        <v>17120</v>
      </c>
      <c r="B197" s="208" t="s">
        <v>219</v>
      </c>
      <c r="C197" s="106"/>
      <c r="D197" s="106">
        <v>0</v>
      </c>
      <c r="E197" s="233"/>
      <c r="F197" s="233"/>
      <c r="G197" s="233"/>
      <c r="H197" s="232">
        <f t="shared" si="27"/>
        <v>0</v>
      </c>
      <c r="I197" s="233">
        <v>0</v>
      </c>
      <c r="J197" s="233"/>
      <c r="K197" s="233"/>
      <c r="L197" s="233"/>
      <c r="M197" s="232">
        <f t="shared" si="28"/>
        <v>0</v>
      </c>
      <c r="N197" s="233">
        <v>0</v>
      </c>
      <c r="O197" s="233"/>
      <c r="P197" s="233"/>
      <c r="Q197" s="233"/>
      <c r="R197" s="232">
        <f t="shared" si="29"/>
        <v>0</v>
      </c>
    </row>
    <row r="198" spans="1:18" s="6" customFormat="1" ht="108" hidden="1" customHeight="1">
      <c r="A198" s="149">
        <v>17130</v>
      </c>
      <c r="B198" s="208" t="s">
        <v>220</v>
      </c>
      <c r="C198" s="106"/>
      <c r="D198" s="106">
        <v>0</v>
      </c>
      <c r="E198" s="233"/>
      <c r="F198" s="233"/>
      <c r="G198" s="233"/>
      <c r="H198" s="232">
        <f t="shared" si="27"/>
        <v>0</v>
      </c>
      <c r="I198" s="233">
        <v>0</v>
      </c>
      <c r="J198" s="233"/>
      <c r="K198" s="233"/>
      <c r="L198" s="233"/>
      <c r="M198" s="232">
        <f t="shared" si="28"/>
        <v>0</v>
      </c>
      <c r="N198" s="233">
        <v>0</v>
      </c>
      <c r="O198" s="233"/>
      <c r="P198" s="233"/>
      <c r="Q198" s="233"/>
      <c r="R198" s="232">
        <f t="shared" si="29"/>
        <v>0</v>
      </c>
    </row>
    <row r="199" spans="1:18" s="6" customFormat="1" ht="108" hidden="1" customHeight="1">
      <c r="A199" s="149">
        <v>17140</v>
      </c>
      <c r="B199" s="208" t="s">
        <v>221</v>
      </c>
      <c r="C199" s="106"/>
      <c r="D199" s="106">
        <v>0</v>
      </c>
      <c r="E199" s="233"/>
      <c r="F199" s="233"/>
      <c r="G199" s="233"/>
      <c r="H199" s="232">
        <f t="shared" si="27"/>
        <v>0</v>
      </c>
      <c r="I199" s="233">
        <v>0</v>
      </c>
      <c r="J199" s="233"/>
      <c r="K199" s="233"/>
      <c r="L199" s="233"/>
      <c r="M199" s="232">
        <f t="shared" si="28"/>
        <v>0</v>
      </c>
      <c r="N199" s="233">
        <v>0</v>
      </c>
      <c r="O199" s="233"/>
      <c r="P199" s="233"/>
      <c r="Q199" s="233"/>
      <c r="R199" s="232">
        <f t="shared" si="29"/>
        <v>0</v>
      </c>
    </row>
    <row r="200" spans="1:18" s="89" customFormat="1" ht="12">
      <c r="A200" s="137">
        <v>21700</v>
      </c>
      <c r="B200" s="124" t="s">
        <v>97</v>
      </c>
      <c r="C200" s="170">
        <v>4385076</v>
      </c>
      <c r="D200" s="170">
        <v>10035309</v>
      </c>
      <c r="E200" s="233">
        <f>E201+E202</f>
        <v>0</v>
      </c>
      <c r="F200" s="233">
        <f>F201+F202</f>
        <v>0</v>
      </c>
      <c r="G200" s="233">
        <f>G201+G202</f>
        <v>0</v>
      </c>
      <c r="H200" s="232">
        <f t="shared" si="27"/>
        <v>10035309</v>
      </c>
      <c r="I200" s="233">
        <v>4630809</v>
      </c>
      <c r="J200" s="233">
        <f>J201+J202</f>
        <v>0</v>
      </c>
      <c r="K200" s="233">
        <f>K201+K202</f>
        <v>0</v>
      </c>
      <c r="L200" s="233">
        <f>L201+L202</f>
        <v>0</v>
      </c>
      <c r="M200" s="232">
        <f t="shared" si="28"/>
        <v>4630809</v>
      </c>
      <c r="N200" s="233">
        <v>0</v>
      </c>
      <c r="O200" s="233">
        <f>O201+O202</f>
        <v>0</v>
      </c>
      <c r="P200" s="233">
        <f>P201+P202</f>
        <v>0</v>
      </c>
      <c r="Q200" s="233">
        <f>Q201+Q202</f>
        <v>0</v>
      </c>
      <c r="R200" s="232">
        <f t="shared" si="29"/>
        <v>0</v>
      </c>
    </row>
    <row r="201" spans="1:18" s="89" customFormat="1" ht="24">
      <c r="A201" s="138">
        <v>21710</v>
      </c>
      <c r="B201" s="125" t="s">
        <v>98</v>
      </c>
      <c r="C201" s="170">
        <v>4385076</v>
      </c>
      <c r="D201" s="170">
        <v>10035309</v>
      </c>
      <c r="E201" s="233"/>
      <c r="F201" s="233"/>
      <c r="G201" s="233"/>
      <c r="H201" s="232">
        <f t="shared" si="27"/>
        <v>10035309</v>
      </c>
      <c r="I201" s="233">
        <v>4630809</v>
      </c>
      <c r="J201" s="233"/>
      <c r="K201" s="233"/>
      <c r="L201" s="233"/>
      <c r="M201" s="232">
        <f t="shared" si="28"/>
        <v>4630809</v>
      </c>
      <c r="N201" s="233">
        <v>0</v>
      </c>
      <c r="O201" s="233"/>
      <c r="P201" s="233"/>
      <c r="Q201" s="233"/>
      <c r="R201" s="232">
        <f t="shared" si="29"/>
        <v>0</v>
      </c>
    </row>
    <row r="202" spans="1:18" s="29" customFormat="1" ht="24" hidden="1" customHeight="1">
      <c r="A202" s="138">
        <v>21720</v>
      </c>
      <c r="B202" s="125" t="s">
        <v>99</v>
      </c>
      <c r="C202" s="170"/>
      <c r="D202" s="170">
        <v>0</v>
      </c>
      <c r="E202" s="233"/>
      <c r="F202" s="233"/>
      <c r="G202" s="233"/>
      <c r="H202" s="232">
        <f t="shared" si="27"/>
        <v>0</v>
      </c>
      <c r="I202" s="233">
        <v>0</v>
      </c>
      <c r="J202" s="233"/>
      <c r="K202" s="233"/>
      <c r="L202" s="233"/>
      <c r="M202" s="232">
        <f t="shared" si="28"/>
        <v>0</v>
      </c>
      <c r="N202" s="233">
        <v>0</v>
      </c>
      <c r="O202" s="233"/>
      <c r="P202" s="233"/>
      <c r="Q202" s="233"/>
      <c r="R202" s="232">
        <f t="shared" si="29"/>
        <v>0</v>
      </c>
    </row>
    <row r="203" spans="1:18" s="29" customFormat="1" ht="11.4">
      <c r="A203" s="129" t="s">
        <v>100</v>
      </c>
      <c r="B203" s="123" t="s">
        <v>101</v>
      </c>
      <c r="C203" s="168">
        <v>8969376</v>
      </c>
      <c r="D203" s="168">
        <v>14483568</v>
      </c>
      <c r="E203" s="243">
        <f>E204+E231</f>
        <v>0</v>
      </c>
      <c r="F203" s="243">
        <f>F204+F231</f>
        <v>0</v>
      </c>
      <c r="G203" s="243">
        <f>G204+G231</f>
        <v>0</v>
      </c>
      <c r="H203" s="270">
        <f t="shared" si="27"/>
        <v>14483568</v>
      </c>
      <c r="I203" s="243">
        <v>4630809</v>
      </c>
      <c r="J203" s="243">
        <f>J204+J231</f>
        <v>0</v>
      </c>
      <c r="K203" s="243">
        <f>K204+K231</f>
        <v>0</v>
      </c>
      <c r="L203" s="243">
        <f>L204+L231</f>
        <v>0</v>
      </c>
      <c r="M203" s="270">
        <f t="shared" si="28"/>
        <v>4630809</v>
      </c>
      <c r="N203" s="243">
        <v>0</v>
      </c>
      <c r="O203" s="243">
        <f>O204+O231</f>
        <v>0</v>
      </c>
      <c r="P203" s="243">
        <f>P204+P231</f>
        <v>0</v>
      </c>
      <c r="Q203" s="243">
        <f>Q204+Q231</f>
        <v>0</v>
      </c>
      <c r="R203" s="270">
        <f t="shared" si="29"/>
        <v>0</v>
      </c>
    </row>
    <row r="204" spans="1:18" s="29" customFormat="1" ht="20.399999999999999">
      <c r="A204" s="130" t="s">
        <v>102</v>
      </c>
      <c r="B204" s="124" t="s">
        <v>103</v>
      </c>
      <c r="C204" s="170">
        <v>1250024</v>
      </c>
      <c r="D204" s="170">
        <v>0</v>
      </c>
      <c r="E204" s="233">
        <f>E205+E209+E210+E213+E216</f>
        <v>0</v>
      </c>
      <c r="F204" s="233">
        <f>F205+F209+F210+F213+F216</f>
        <v>0</v>
      </c>
      <c r="G204" s="233">
        <f>G205+G209+G210+G213+G216</f>
        <v>0</v>
      </c>
      <c r="H204" s="232">
        <f t="shared" si="27"/>
        <v>0</v>
      </c>
      <c r="I204" s="233">
        <v>0</v>
      </c>
      <c r="J204" s="233">
        <f>J205+J209+J210+J213+J216</f>
        <v>0</v>
      </c>
      <c r="K204" s="233">
        <f>K205+K209+K210+K213+K216</f>
        <v>0</v>
      </c>
      <c r="L204" s="233">
        <f>L205+L209+L210+L213+L216</f>
        <v>0</v>
      </c>
      <c r="M204" s="232">
        <f t="shared" si="28"/>
        <v>0</v>
      </c>
      <c r="N204" s="233">
        <v>0</v>
      </c>
      <c r="O204" s="233">
        <f>O205+O209+O210+O213+O216</f>
        <v>0</v>
      </c>
      <c r="P204" s="233">
        <f>P205+P209+P210+P213+P216</f>
        <v>0</v>
      </c>
      <c r="Q204" s="233">
        <f>Q205+Q209+Q210+Q213+Q216</f>
        <v>0</v>
      </c>
      <c r="R204" s="232">
        <f t="shared" si="29"/>
        <v>0</v>
      </c>
    </row>
    <row r="205" spans="1:18" s="29" customFormat="1" ht="12">
      <c r="A205" s="130" t="s">
        <v>104</v>
      </c>
      <c r="B205" s="124" t="s">
        <v>105</v>
      </c>
      <c r="C205" s="170">
        <v>1250024</v>
      </c>
      <c r="D205" s="170">
        <v>0</v>
      </c>
      <c r="E205" s="233">
        <f>E206+E208</f>
        <v>0</v>
      </c>
      <c r="F205" s="233">
        <f>F206+F208</f>
        <v>0</v>
      </c>
      <c r="G205" s="233">
        <f>G206+G208</f>
        <v>0</v>
      </c>
      <c r="H205" s="232">
        <f t="shared" si="27"/>
        <v>0</v>
      </c>
      <c r="I205" s="233">
        <v>0</v>
      </c>
      <c r="J205" s="233">
        <f>J206+J208</f>
        <v>0</v>
      </c>
      <c r="K205" s="233">
        <f>K206+K208</f>
        <v>0</v>
      </c>
      <c r="L205" s="233">
        <f>L206+L208</f>
        <v>0</v>
      </c>
      <c r="M205" s="232">
        <f t="shared" si="28"/>
        <v>0</v>
      </c>
      <c r="N205" s="233">
        <v>0</v>
      </c>
      <c r="O205" s="233">
        <f>O206+O208</f>
        <v>0</v>
      </c>
      <c r="P205" s="233">
        <f>P206+P208</f>
        <v>0</v>
      </c>
      <c r="Q205" s="233">
        <f>Q206+Q208</f>
        <v>0</v>
      </c>
      <c r="R205" s="232">
        <f t="shared" si="29"/>
        <v>0</v>
      </c>
    </row>
    <row r="206" spans="1:18" s="29" customFormat="1" ht="12" hidden="1" customHeight="1">
      <c r="A206" s="132">
        <v>1000</v>
      </c>
      <c r="B206" s="125" t="s">
        <v>106</v>
      </c>
      <c r="C206" s="170">
        <v>0</v>
      </c>
      <c r="D206" s="170">
        <v>0</v>
      </c>
      <c r="E206" s="244"/>
      <c r="F206" s="244"/>
      <c r="G206" s="244"/>
      <c r="H206" s="232">
        <f t="shared" si="27"/>
        <v>0</v>
      </c>
      <c r="I206" s="233">
        <v>0</v>
      </c>
      <c r="J206" s="244"/>
      <c r="K206" s="244"/>
      <c r="L206" s="244"/>
      <c r="M206" s="232">
        <f t="shared" si="28"/>
        <v>0</v>
      </c>
      <c r="N206" s="233">
        <v>0</v>
      </c>
      <c r="O206" s="244"/>
      <c r="P206" s="244"/>
      <c r="Q206" s="244"/>
      <c r="R206" s="232">
        <f t="shared" si="29"/>
        <v>0</v>
      </c>
    </row>
    <row r="207" spans="1:18" s="29" customFormat="1" ht="12" hidden="1" customHeight="1">
      <c r="A207" s="139">
        <v>1100</v>
      </c>
      <c r="B207" s="125" t="s">
        <v>107</v>
      </c>
      <c r="C207" s="170">
        <v>0</v>
      </c>
      <c r="D207" s="170">
        <v>0</v>
      </c>
      <c r="E207" s="244"/>
      <c r="F207" s="244"/>
      <c r="G207" s="244"/>
      <c r="H207" s="232">
        <f t="shared" si="27"/>
        <v>0</v>
      </c>
      <c r="I207" s="233">
        <v>0</v>
      </c>
      <c r="J207" s="244"/>
      <c r="K207" s="244"/>
      <c r="L207" s="244"/>
      <c r="M207" s="232">
        <f t="shared" si="28"/>
        <v>0</v>
      </c>
      <c r="N207" s="233">
        <v>0</v>
      </c>
      <c r="O207" s="244"/>
      <c r="P207" s="244"/>
      <c r="Q207" s="244"/>
      <c r="R207" s="232">
        <f t="shared" si="29"/>
        <v>0</v>
      </c>
    </row>
    <row r="208" spans="1:18" s="29" customFormat="1" ht="12">
      <c r="A208" s="132">
        <v>2000</v>
      </c>
      <c r="B208" s="125" t="s">
        <v>108</v>
      </c>
      <c r="C208" s="170">
        <v>1250024</v>
      </c>
      <c r="D208" s="170">
        <v>0</v>
      </c>
      <c r="E208" s="244"/>
      <c r="F208" s="244"/>
      <c r="G208" s="244"/>
      <c r="H208" s="232">
        <f t="shared" si="27"/>
        <v>0</v>
      </c>
      <c r="I208" s="233">
        <v>0</v>
      </c>
      <c r="J208" s="244"/>
      <c r="K208" s="244"/>
      <c r="L208" s="244"/>
      <c r="M208" s="232">
        <f t="shared" si="28"/>
        <v>0</v>
      </c>
      <c r="N208" s="233">
        <v>0</v>
      </c>
      <c r="O208" s="244"/>
      <c r="P208" s="244"/>
      <c r="Q208" s="244"/>
      <c r="R208" s="232">
        <f t="shared" si="29"/>
        <v>0</v>
      </c>
    </row>
    <row r="209" spans="1:18" s="29" customFormat="1" ht="12" hidden="1" customHeight="1">
      <c r="A209" s="140">
        <v>4000</v>
      </c>
      <c r="B209" s="124" t="s">
        <v>132</v>
      </c>
      <c r="C209" s="170"/>
      <c r="D209" s="170">
        <v>0</v>
      </c>
      <c r="E209" s="244"/>
      <c r="F209" s="244"/>
      <c r="G209" s="244"/>
      <c r="H209" s="232">
        <f t="shared" si="27"/>
        <v>0</v>
      </c>
      <c r="I209" s="233">
        <v>0</v>
      </c>
      <c r="J209" s="244"/>
      <c r="K209" s="244"/>
      <c r="L209" s="244"/>
      <c r="M209" s="232">
        <f t="shared" si="28"/>
        <v>0</v>
      </c>
      <c r="N209" s="233">
        <v>0</v>
      </c>
      <c r="O209" s="244"/>
      <c r="P209" s="244"/>
      <c r="Q209" s="244"/>
      <c r="R209" s="232">
        <f t="shared" si="29"/>
        <v>0</v>
      </c>
    </row>
    <row r="210" spans="1:18" s="29" customFormat="1" ht="12" hidden="1" customHeight="1">
      <c r="A210" s="140" t="s">
        <v>109</v>
      </c>
      <c r="B210" s="124" t="s">
        <v>110</v>
      </c>
      <c r="C210" s="170">
        <v>0</v>
      </c>
      <c r="D210" s="170">
        <v>0</v>
      </c>
      <c r="E210" s="233">
        <f>E211+E212</f>
        <v>0</v>
      </c>
      <c r="F210" s="233">
        <f>F211+F212</f>
        <v>0</v>
      </c>
      <c r="G210" s="233">
        <f>G211+G212</f>
        <v>0</v>
      </c>
      <c r="H210" s="232">
        <f t="shared" ref="H210:H241" si="33">SUM(D210:G210)</f>
        <v>0</v>
      </c>
      <c r="I210" s="233">
        <v>0</v>
      </c>
      <c r="J210" s="233">
        <f>J211+J212</f>
        <v>0</v>
      </c>
      <c r="K210" s="233">
        <f>K211+K212</f>
        <v>0</v>
      </c>
      <c r="L210" s="233">
        <f>L211+L212</f>
        <v>0</v>
      </c>
      <c r="M210" s="232">
        <f t="shared" ref="M210:M260" si="34">SUM(I210:L210)</f>
        <v>0</v>
      </c>
      <c r="N210" s="233">
        <v>0</v>
      </c>
      <c r="O210" s="233">
        <f>O211+O212</f>
        <v>0</v>
      </c>
      <c r="P210" s="233">
        <f>P211+P212</f>
        <v>0</v>
      </c>
      <c r="Q210" s="233">
        <f>Q211+Q212</f>
        <v>0</v>
      </c>
      <c r="R210" s="232">
        <f t="shared" ref="R210:R260" si="35">SUM(N210:Q210)</f>
        <v>0</v>
      </c>
    </row>
    <row r="211" spans="1:18" s="29" customFormat="1" ht="12" hidden="1" customHeight="1">
      <c r="A211" s="132">
        <v>3000</v>
      </c>
      <c r="B211" s="125" t="s">
        <v>111</v>
      </c>
      <c r="C211" s="202"/>
      <c r="D211" s="202">
        <v>0</v>
      </c>
      <c r="E211" s="246"/>
      <c r="F211" s="246"/>
      <c r="G211" s="246"/>
      <c r="H211" s="232">
        <f t="shared" si="33"/>
        <v>0</v>
      </c>
      <c r="I211" s="345">
        <v>0</v>
      </c>
      <c r="J211" s="246"/>
      <c r="K211" s="246"/>
      <c r="L211" s="246"/>
      <c r="M211" s="232">
        <f t="shared" si="34"/>
        <v>0</v>
      </c>
      <c r="N211" s="345">
        <v>0</v>
      </c>
      <c r="O211" s="246"/>
      <c r="P211" s="246"/>
      <c r="Q211" s="246"/>
      <c r="R211" s="232">
        <f t="shared" si="35"/>
        <v>0</v>
      </c>
    </row>
    <row r="212" spans="1:18" s="29" customFormat="1" ht="12" hidden="1" customHeight="1">
      <c r="A212" s="132">
        <v>6000</v>
      </c>
      <c r="B212" s="125" t="s">
        <v>112</v>
      </c>
      <c r="C212" s="203"/>
      <c r="D212" s="203">
        <v>0</v>
      </c>
      <c r="E212" s="248"/>
      <c r="F212" s="248"/>
      <c r="G212" s="248"/>
      <c r="H212" s="232">
        <f t="shared" si="33"/>
        <v>0</v>
      </c>
      <c r="I212" s="346">
        <v>0</v>
      </c>
      <c r="J212" s="248"/>
      <c r="K212" s="248"/>
      <c r="L212" s="248"/>
      <c r="M212" s="232">
        <f t="shared" si="34"/>
        <v>0</v>
      </c>
      <c r="N212" s="346">
        <v>0</v>
      </c>
      <c r="O212" s="248"/>
      <c r="P212" s="248"/>
      <c r="Q212" s="248"/>
      <c r="R212" s="232">
        <f t="shared" si="35"/>
        <v>0</v>
      </c>
    </row>
    <row r="213" spans="1:18" s="29" customFormat="1" ht="24" hidden="1" customHeight="1">
      <c r="A213" s="140" t="s">
        <v>113</v>
      </c>
      <c r="B213" s="124" t="s">
        <v>183</v>
      </c>
      <c r="C213" s="170">
        <v>0</v>
      </c>
      <c r="D213" s="170">
        <v>0</v>
      </c>
      <c r="E213" s="233">
        <f>E214+E215</f>
        <v>0</v>
      </c>
      <c r="F213" s="233">
        <f>F214+F215</f>
        <v>0</v>
      </c>
      <c r="G213" s="233">
        <f>G214+G215</f>
        <v>0</v>
      </c>
      <c r="H213" s="232">
        <f t="shared" si="33"/>
        <v>0</v>
      </c>
      <c r="I213" s="233">
        <v>0</v>
      </c>
      <c r="J213" s="233">
        <f>J214+J215</f>
        <v>0</v>
      </c>
      <c r="K213" s="233">
        <f>K214+K215</f>
        <v>0</v>
      </c>
      <c r="L213" s="233">
        <f>L214+L215</f>
        <v>0</v>
      </c>
      <c r="M213" s="232">
        <f t="shared" si="34"/>
        <v>0</v>
      </c>
      <c r="N213" s="233">
        <v>0</v>
      </c>
      <c r="O213" s="233">
        <f>O214+O215</f>
        <v>0</v>
      </c>
      <c r="P213" s="233">
        <f>P214+P215</f>
        <v>0</v>
      </c>
      <c r="Q213" s="233">
        <f>Q214+Q215</f>
        <v>0</v>
      </c>
      <c r="R213" s="232">
        <f t="shared" si="35"/>
        <v>0</v>
      </c>
    </row>
    <row r="214" spans="1:18" s="29" customFormat="1" ht="12" hidden="1" customHeight="1">
      <c r="A214" s="132">
        <v>7600</v>
      </c>
      <c r="B214" s="179" t="s">
        <v>184</v>
      </c>
      <c r="C214" s="170"/>
      <c r="D214" s="170">
        <v>0</v>
      </c>
      <c r="E214" s="244"/>
      <c r="F214" s="244"/>
      <c r="G214" s="244"/>
      <c r="H214" s="232">
        <f t="shared" si="33"/>
        <v>0</v>
      </c>
      <c r="I214" s="233">
        <v>0</v>
      </c>
      <c r="J214" s="244"/>
      <c r="K214" s="244"/>
      <c r="L214" s="244"/>
      <c r="M214" s="232">
        <f t="shared" si="34"/>
        <v>0</v>
      </c>
      <c r="N214" s="233">
        <v>0</v>
      </c>
      <c r="O214" s="244"/>
      <c r="P214" s="244"/>
      <c r="Q214" s="244"/>
      <c r="R214" s="232">
        <f t="shared" si="35"/>
        <v>0</v>
      </c>
    </row>
    <row r="215" spans="1:18" s="29" customFormat="1" ht="12" hidden="1" customHeight="1">
      <c r="A215" s="132">
        <v>7700</v>
      </c>
      <c r="B215" s="126" t="s">
        <v>114</v>
      </c>
      <c r="C215" s="170"/>
      <c r="D215" s="170">
        <v>0</v>
      </c>
      <c r="E215" s="244"/>
      <c r="F215" s="244"/>
      <c r="G215" s="244"/>
      <c r="H215" s="232">
        <f t="shared" si="33"/>
        <v>0</v>
      </c>
      <c r="I215" s="233">
        <v>0</v>
      </c>
      <c r="J215" s="244"/>
      <c r="K215" s="244"/>
      <c r="L215" s="244"/>
      <c r="M215" s="232">
        <f t="shared" si="34"/>
        <v>0</v>
      </c>
      <c r="N215" s="233">
        <v>0</v>
      </c>
      <c r="O215" s="244"/>
      <c r="P215" s="244"/>
      <c r="Q215" s="244"/>
      <c r="R215" s="232">
        <f t="shared" si="35"/>
        <v>0</v>
      </c>
    </row>
    <row r="216" spans="1:18" s="29" customFormat="1" ht="21" hidden="1" customHeight="1">
      <c r="A216" s="140" t="s">
        <v>185</v>
      </c>
      <c r="B216" s="124" t="s">
        <v>115</v>
      </c>
      <c r="C216" s="170">
        <v>0</v>
      </c>
      <c r="D216" s="170">
        <v>0</v>
      </c>
      <c r="E216" s="233">
        <f>E217+E223+E227+E230</f>
        <v>0</v>
      </c>
      <c r="F216" s="233">
        <f>F217+F223+F227+F230</f>
        <v>0</v>
      </c>
      <c r="G216" s="233">
        <f>G217+G223+G227+G230</f>
        <v>0</v>
      </c>
      <c r="H216" s="232">
        <f t="shared" si="33"/>
        <v>0</v>
      </c>
      <c r="I216" s="233">
        <v>0</v>
      </c>
      <c r="J216" s="233">
        <f>J217+J223+J227+J230</f>
        <v>0</v>
      </c>
      <c r="K216" s="233">
        <f>K217+K223+K227+K230</f>
        <v>0</v>
      </c>
      <c r="L216" s="233">
        <f>L217+L223+L227+L230</f>
        <v>0</v>
      </c>
      <c r="M216" s="232">
        <f t="shared" si="34"/>
        <v>0</v>
      </c>
      <c r="N216" s="233">
        <v>0</v>
      </c>
      <c r="O216" s="233">
        <f>O217+O223+O227+O230</f>
        <v>0</v>
      </c>
      <c r="P216" s="233">
        <f>P217+P223+P227+P230</f>
        <v>0</v>
      </c>
      <c r="Q216" s="233">
        <f>Q217+Q223+Q227+Q230</f>
        <v>0</v>
      </c>
      <c r="R216" s="232">
        <f t="shared" si="35"/>
        <v>0</v>
      </c>
    </row>
    <row r="217" spans="1:18" s="29" customFormat="1" ht="12" hidden="1" customHeight="1">
      <c r="A217" s="132">
        <v>7100</v>
      </c>
      <c r="B217" s="179" t="s">
        <v>116</v>
      </c>
      <c r="C217" s="170">
        <v>0</v>
      </c>
      <c r="D217" s="170">
        <v>0</v>
      </c>
      <c r="E217" s="233">
        <f>E218+E219</f>
        <v>0</v>
      </c>
      <c r="F217" s="233">
        <f>F218+F219</f>
        <v>0</v>
      </c>
      <c r="G217" s="233">
        <f>G218+G219</f>
        <v>0</v>
      </c>
      <c r="H217" s="232">
        <f t="shared" si="33"/>
        <v>0</v>
      </c>
      <c r="I217" s="233">
        <v>0</v>
      </c>
      <c r="J217" s="233">
        <f>J218+J219</f>
        <v>0</v>
      </c>
      <c r="K217" s="233">
        <f>K218+K219</f>
        <v>0</v>
      </c>
      <c r="L217" s="233">
        <f>L218+L219</f>
        <v>0</v>
      </c>
      <c r="M217" s="232">
        <f t="shared" si="34"/>
        <v>0</v>
      </c>
      <c r="N217" s="233">
        <v>0</v>
      </c>
      <c r="O217" s="233">
        <f>O218+O219</f>
        <v>0</v>
      </c>
      <c r="P217" s="233">
        <f>P218+P219</f>
        <v>0</v>
      </c>
      <c r="Q217" s="233">
        <f>Q218+Q219</f>
        <v>0</v>
      </c>
      <c r="R217" s="232">
        <f t="shared" si="35"/>
        <v>0</v>
      </c>
    </row>
    <row r="218" spans="1:18" s="29" customFormat="1" ht="24" hidden="1" customHeight="1">
      <c r="A218" s="133" t="s">
        <v>117</v>
      </c>
      <c r="B218" s="179" t="s">
        <v>118</v>
      </c>
      <c r="C218" s="170"/>
      <c r="D218" s="170">
        <v>0</v>
      </c>
      <c r="E218" s="233"/>
      <c r="F218" s="233"/>
      <c r="G218" s="233"/>
      <c r="H218" s="232">
        <f t="shared" si="33"/>
        <v>0</v>
      </c>
      <c r="I218" s="233">
        <v>0</v>
      </c>
      <c r="J218" s="233"/>
      <c r="K218" s="233"/>
      <c r="L218" s="233"/>
      <c r="M218" s="232">
        <f t="shared" si="34"/>
        <v>0</v>
      </c>
      <c r="N218" s="233">
        <v>0</v>
      </c>
      <c r="O218" s="233"/>
      <c r="P218" s="233"/>
      <c r="Q218" s="233"/>
      <c r="R218" s="232">
        <f t="shared" si="35"/>
        <v>0</v>
      </c>
    </row>
    <row r="219" spans="1:18" s="29" customFormat="1" ht="24" hidden="1" customHeight="1">
      <c r="A219" s="133">
        <v>7130</v>
      </c>
      <c r="B219" s="179" t="s">
        <v>119</v>
      </c>
      <c r="C219" s="170">
        <v>0</v>
      </c>
      <c r="D219" s="170">
        <v>0</v>
      </c>
      <c r="E219" s="233">
        <f>SUM(E220:E222)</f>
        <v>0</v>
      </c>
      <c r="F219" s="233">
        <f>SUM(F220:F222)</f>
        <v>0</v>
      </c>
      <c r="G219" s="233">
        <f>SUM(G220:G222)</f>
        <v>0</v>
      </c>
      <c r="H219" s="232">
        <f t="shared" si="33"/>
        <v>0</v>
      </c>
      <c r="I219" s="233">
        <v>0</v>
      </c>
      <c r="J219" s="233">
        <f>SUM(J220:J222)</f>
        <v>0</v>
      </c>
      <c r="K219" s="233">
        <f>SUM(K220:K222)</f>
        <v>0</v>
      </c>
      <c r="L219" s="233">
        <f>SUM(L220:L222)</f>
        <v>0</v>
      </c>
      <c r="M219" s="232">
        <f t="shared" si="34"/>
        <v>0</v>
      </c>
      <c r="N219" s="233">
        <v>0</v>
      </c>
      <c r="O219" s="233">
        <f>SUM(O220:O222)</f>
        <v>0</v>
      </c>
      <c r="P219" s="233">
        <f>SUM(P220:P222)</f>
        <v>0</v>
      </c>
      <c r="Q219" s="233">
        <f>SUM(Q220:Q222)</f>
        <v>0</v>
      </c>
      <c r="R219" s="232">
        <f t="shared" si="35"/>
        <v>0</v>
      </c>
    </row>
    <row r="220" spans="1:18" s="29" customFormat="1" ht="36" hidden="1" customHeight="1">
      <c r="A220" s="134">
        <v>7131</v>
      </c>
      <c r="B220" s="179" t="s">
        <v>120</v>
      </c>
      <c r="C220" s="170"/>
      <c r="D220" s="170">
        <v>0</v>
      </c>
      <c r="E220" s="233"/>
      <c r="F220" s="233"/>
      <c r="G220" s="233"/>
      <c r="H220" s="232">
        <f t="shared" si="33"/>
        <v>0</v>
      </c>
      <c r="I220" s="233">
        <v>0</v>
      </c>
      <c r="J220" s="233"/>
      <c r="K220" s="233"/>
      <c r="L220" s="233"/>
      <c r="M220" s="232">
        <f t="shared" si="34"/>
        <v>0</v>
      </c>
      <c r="N220" s="233">
        <v>0</v>
      </c>
      <c r="O220" s="233"/>
      <c r="P220" s="233"/>
      <c r="Q220" s="233"/>
      <c r="R220" s="232">
        <f t="shared" si="35"/>
        <v>0</v>
      </c>
    </row>
    <row r="221" spans="1:18" s="29" customFormat="1" ht="36" hidden="1" customHeight="1">
      <c r="A221" s="134">
        <v>7132</v>
      </c>
      <c r="B221" s="179" t="s">
        <v>121</v>
      </c>
      <c r="C221" s="170"/>
      <c r="D221" s="170">
        <v>0</v>
      </c>
      <c r="E221" s="233"/>
      <c r="F221" s="233"/>
      <c r="G221" s="233"/>
      <c r="H221" s="232">
        <f t="shared" si="33"/>
        <v>0</v>
      </c>
      <c r="I221" s="233">
        <v>0</v>
      </c>
      <c r="J221" s="233"/>
      <c r="K221" s="233"/>
      <c r="L221" s="233"/>
      <c r="M221" s="232">
        <f t="shared" si="34"/>
        <v>0</v>
      </c>
      <c r="N221" s="233">
        <v>0</v>
      </c>
      <c r="O221" s="233"/>
      <c r="P221" s="233"/>
      <c r="Q221" s="233"/>
      <c r="R221" s="232">
        <f t="shared" si="35"/>
        <v>0</v>
      </c>
    </row>
    <row r="222" spans="1:18" s="29" customFormat="1" ht="36" hidden="1" customHeight="1">
      <c r="A222" s="134" t="s">
        <v>186</v>
      </c>
      <c r="B222" s="179" t="s">
        <v>187</v>
      </c>
      <c r="C222" s="170"/>
      <c r="D222" s="170">
        <v>0</v>
      </c>
      <c r="E222" s="233"/>
      <c r="F222" s="233"/>
      <c r="G222" s="233"/>
      <c r="H222" s="232">
        <f t="shared" si="33"/>
        <v>0</v>
      </c>
      <c r="I222" s="233">
        <v>0</v>
      </c>
      <c r="J222" s="233"/>
      <c r="K222" s="233"/>
      <c r="L222" s="233"/>
      <c r="M222" s="232">
        <f t="shared" si="34"/>
        <v>0</v>
      </c>
      <c r="N222" s="233">
        <v>0</v>
      </c>
      <c r="O222" s="233"/>
      <c r="P222" s="233"/>
      <c r="Q222" s="233"/>
      <c r="R222" s="232">
        <f t="shared" si="35"/>
        <v>0</v>
      </c>
    </row>
    <row r="223" spans="1:18" s="29" customFormat="1" ht="24" hidden="1" customHeight="1">
      <c r="A223" s="132">
        <v>7300</v>
      </c>
      <c r="B223" s="172" t="s">
        <v>155</v>
      </c>
      <c r="C223" s="170">
        <v>0</v>
      </c>
      <c r="D223" s="170">
        <v>0</v>
      </c>
      <c r="E223" s="233">
        <f>SUM(E224:E226)</f>
        <v>0</v>
      </c>
      <c r="F223" s="233">
        <f>SUM(F224:F226)</f>
        <v>0</v>
      </c>
      <c r="G223" s="233">
        <f>SUM(G224:G226)</f>
        <v>0</v>
      </c>
      <c r="H223" s="232">
        <f t="shared" si="33"/>
        <v>0</v>
      </c>
      <c r="I223" s="233">
        <v>0</v>
      </c>
      <c r="J223" s="233">
        <f>SUM(J224:J226)</f>
        <v>0</v>
      </c>
      <c r="K223" s="233">
        <f>SUM(K224:K226)</f>
        <v>0</v>
      </c>
      <c r="L223" s="233">
        <f>SUM(L224:L226)</f>
        <v>0</v>
      </c>
      <c r="M223" s="232">
        <f t="shared" si="34"/>
        <v>0</v>
      </c>
      <c r="N223" s="233">
        <v>0</v>
      </c>
      <c r="O223" s="233">
        <f>SUM(O224:O226)</f>
        <v>0</v>
      </c>
      <c r="P223" s="233">
        <f>SUM(P224:P226)</f>
        <v>0</v>
      </c>
      <c r="Q223" s="233">
        <f>SUM(Q224:Q226)</f>
        <v>0</v>
      </c>
      <c r="R223" s="232">
        <f t="shared" si="35"/>
        <v>0</v>
      </c>
    </row>
    <row r="224" spans="1:18" s="29" customFormat="1" ht="24" hidden="1" customHeight="1">
      <c r="A224" s="133" t="s">
        <v>188</v>
      </c>
      <c r="B224" s="179" t="s">
        <v>170</v>
      </c>
      <c r="C224" s="204"/>
      <c r="D224" s="204">
        <v>0</v>
      </c>
      <c r="E224" s="252"/>
      <c r="F224" s="252"/>
      <c r="G224" s="252"/>
      <c r="H224" s="232">
        <f t="shared" si="33"/>
        <v>0</v>
      </c>
      <c r="I224" s="252">
        <v>0</v>
      </c>
      <c r="J224" s="252"/>
      <c r="K224" s="252"/>
      <c r="L224" s="252"/>
      <c r="M224" s="232">
        <f t="shared" si="34"/>
        <v>0</v>
      </c>
      <c r="N224" s="252">
        <v>0</v>
      </c>
      <c r="O224" s="252"/>
      <c r="P224" s="252"/>
      <c r="Q224" s="252"/>
      <c r="R224" s="232">
        <f t="shared" si="35"/>
        <v>0</v>
      </c>
    </row>
    <row r="225" spans="1:18" s="29" customFormat="1" ht="48" hidden="1" customHeight="1">
      <c r="A225" s="133" t="s">
        <v>189</v>
      </c>
      <c r="B225" s="179" t="s">
        <v>156</v>
      </c>
      <c r="C225" s="204"/>
      <c r="D225" s="204">
        <v>0</v>
      </c>
      <c r="E225" s="252"/>
      <c r="F225" s="252"/>
      <c r="G225" s="252"/>
      <c r="H225" s="232">
        <f t="shared" si="33"/>
        <v>0</v>
      </c>
      <c r="I225" s="252">
        <v>0</v>
      </c>
      <c r="J225" s="252"/>
      <c r="K225" s="252"/>
      <c r="L225" s="252"/>
      <c r="M225" s="232">
        <f t="shared" si="34"/>
        <v>0</v>
      </c>
      <c r="N225" s="252">
        <v>0</v>
      </c>
      <c r="O225" s="252"/>
      <c r="P225" s="252"/>
      <c r="Q225" s="252"/>
      <c r="R225" s="232">
        <f t="shared" si="35"/>
        <v>0</v>
      </c>
    </row>
    <row r="226" spans="1:18" s="29" customFormat="1" ht="36" hidden="1" customHeight="1">
      <c r="A226" s="133">
        <v>7350</v>
      </c>
      <c r="B226" s="179" t="s">
        <v>163</v>
      </c>
      <c r="C226" s="204"/>
      <c r="D226" s="204">
        <v>0</v>
      </c>
      <c r="E226" s="252"/>
      <c r="F226" s="252"/>
      <c r="G226" s="252"/>
      <c r="H226" s="232">
        <f t="shared" si="33"/>
        <v>0</v>
      </c>
      <c r="I226" s="252">
        <v>0</v>
      </c>
      <c r="J226" s="252"/>
      <c r="K226" s="252"/>
      <c r="L226" s="252"/>
      <c r="M226" s="232">
        <f t="shared" si="34"/>
        <v>0</v>
      </c>
      <c r="N226" s="252">
        <v>0</v>
      </c>
      <c r="O226" s="252"/>
      <c r="P226" s="252"/>
      <c r="Q226" s="252"/>
      <c r="R226" s="232">
        <f t="shared" si="35"/>
        <v>0</v>
      </c>
    </row>
    <row r="227" spans="1:18" s="29" customFormat="1" ht="24" hidden="1" customHeight="1">
      <c r="A227" s="132">
        <v>7400</v>
      </c>
      <c r="B227" s="172" t="s">
        <v>161</v>
      </c>
      <c r="C227" s="170">
        <v>0</v>
      </c>
      <c r="D227" s="170">
        <v>0</v>
      </c>
      <c r="E227" s="233">
        <f>SUM(E228:E229)</f>
        <v>0</v>
      </c>
      <c r="F227" s="233">
        <f>SUM(F228:F229)</f>
        <v>0</v>
      </c>
      <c r="G227" s="233">
        <f>SUM(G228:G229)</f>
        <v>0</v>
      </c>
      <c r="H227" s="232">
        <f t="shared" si="33"/>
        <v>0</v>
      </c>
      <c r="I227" s="233">
        <v>0</v>
      </c>
      <c r="J227" s="233">
        <f>SUM(J228:J229)</f>
        <v>0</v>
      </c>
      <c r="K227" s="233">
        <f>SUM(K228:K229)</f>
        <v>0</v>
      </c>
      <c r="L227" s="233">
        <f>SUM(L228:L229)</f>
        <v>0</v>
      </c>
      <c r="M227" s="232">
        <f t="shared" si="34"/>
        <v>0</v>
      </c>
      <c r="N227" s="233">
        <v>0</v>
      </c>
      <c r="O227" s="233">
        <f>SUM(O228:O229)</f>
        <v>0</v>
      </c>
      <c r="P227" s="233">
        <f>SUM(P228:P229)</f>
        <v>0</v>
      </c>
      <c r="Q227" s="233">
        <f>SUM(Q228:Q229)</f>
        <v>0</v>
      </c>
      <c r="R227" s="232">
        <f t="shared" si="35"/>
        <v>0</v>
      </c>
    </row>
    <row r="228" spans="1:18" s="29" customFormat="1" ht="24" hidden="1" customHeight="1">
      <c r="A228" s="133">
        <v>7460</v>
      </c>
      <c r="B228" s="172" t="s">
        <v>162</v>
      </c>
      <c r="C228" s="204"/>
      <c r="D228" s="204">
        <v>0</v>
      </c>
      <c r="E228" s="252"/>
      <c r="F228" s="252"/>
      <c r="G228" s="252"/>
      <c r="H228" s="232">
        <f t="shared" si="33"/>
        <v>0</v>
      </c>
      <c r="I228" s="252">
        <v>0</v>
      </c>
      <c r="J228" s="252"/>
      <c r="K228" s="252"/>
      <c r="L228" s="252"/>
      <c r="M228" s="232">
        <f t="shared" si="34"/>
        <v>0</v>
      </c>
      <c r="N228" s="252">
        <v>0</v>
      </c>
      <c r="O228" s="252"/>
      <c r="P228" s="252"/>
      <c r="Q228" s="252"/>
      <c r="R228" s="232">
        <f t="shared" si="35"/>
        <v>0</v>
      </c>
    </row>
    <row r="229" spans="1:18" s="29" customFormat="1" ht="48" hidden="1" customHeight="1">
      <c r="A229" s="133">
        <v>7470</v>
      </c>
      <c r="B229" s="179" t="s">
        <v>167</v>
      </c>
      <c r="C229" s="204"/>
      <c r="D229" s="204">
        <v>0</v>
      </c>
      <c r="E229" s="252"/>
      <c r="F229" s="252"/>
      <c r="G229" s="252"/>
      <c r="H229" s="232">
        <f t="shared" si="33"/>
        <v>0</v>
      </c>
      <c r="I229" s="252">
        <v>0</v>
      </c>
      <c r="J229" s="252"/>
      <c r="K229" s="252"/>
      <c r="L229" s="252"/>
      <c r="M229" s="232">
        <f t="shared" si="34"/>
        <v>0</v>
      </c>
      <c r="N229" s="252">
        <v>0</v>
      </c>
      <c r="O229" s="252"/>
      <c r="P229" s="252"/>
      <c r="Q229" s="252"/>
      <c r="R229" s="232">
        <f t="shared" si="35"/>
        <v>0</v>
      </c>
    </row>
    <row r="230" spans="1:18" s="29" customFormat="1" ht="24" hidden="1" customHeight="1">
      <c r="A230" s="132">
        <v>7500</v>
      </c>
      <c r="B230" s="179" t="s">
        <v>157</v>
      </c>
      <c r="C230" s="170"/>
      <c r="D230" s="170">
        <v>0</v>
      </c>
      <c r="E230" s="233"/>
      <c r="F230" s="233"/>
      <c r="G230" s="233"/>
      <c r="H230" s="232">
        <f t="shared" si="33"/>
        <v>0</v>
      </c>
      <c r="I230" s="233">
        <v>0</v>
      </c>
      <c r="J230" s="233"/>
      <c r="K230" s="233"/>
      <c r="L230" s="233"/>
      <c r="M230" s="232">
        <f t="shared" si="34"/>
        <v>0</v>
      </c>
      <c r="N230" s="233">
        <v>0</v>
      </c>
      <c r="O230" s="233"/>
      <c r="P230" s="233"/>
      <c r="Q230" s="233"/>
      <c r="R230" s="232">
        <f t="shared" si="35"/>
        <v>0</v>
      </c>
    </row>
    <row r="231" spans="1:18" s="29" customFormat="1" ht="12">
      <c r="A231" s="140" t="s">
        <v>133</v>
      </c>
      <c r="B231" s="124" t="s">
        <v>122</v>
      </c>
      <c r="C231" s="106">
        <v>7719352</v>
      </c>
      <c r="D231" s="106">
        <v>14483568</v>
      </c>
      <c r="E231" s="254">
        <f>E232+E233</f>
        <v>0</v>
      </c>
      <c r="F231" s="254">
        <f>F232+F233</f>
        <v>0</v>
      </c>
      <c r="G231" s="254">
        <f>G232+G233</f>
        <v>0</v>
      </c>
      <c r="H231" s="232">
        <f t="shared" si="33"/>
        <v>14483568</v>
      </c>
      <c r="I231" s="254">
        <v>4630809</v>
      </c>
      <c r="J231" s="254">
        <f>J232+J233</f>
        <v>0</v>
      </c>
      <c r="K231" s="254">
        <f>K232+K233</f>
        <v>0</v>
      </c>
      <c r="L231" s="254">
        <f>L232+L233</f>
        <v>0</v>
      </c>
      <c r="M231" s="232">
        <f t="shared" si="34"/>
        <v>4630809</v>
      </c>
      <c r="N231" s="254">
        <v>0</v>
      </c>
      <c r="O231" s="254">
        <f>O232+O233</f>
        <v>0</v>
      </c>
      <c r="P231" s="254">
        <f>P232+P233</f>
        <v>0</v>
      </c>
      <c r="Q231" s="254">
        <f>Q232+Q233</f>
        <v>0</v>
      </c>
      <c r="R231" s="232">
        <f t="shared" si="35"/>
        <v>0</v>
      </c>
    </row>
    <row r="232" spans="1:18" s="29" customFormat="1" ht="12">
      <c r="A232" s="140">
        <v>5000</v>
      </c>
      <c r="B232" s="124" t="s">
        <v>123</v>
      </c>
      <c r="C232" s="170">
        <v>7719352</v>
      </c>
      <c r="D232" s="170">
        <v>14483568</v>
      </c>
      <c r="E232" s="244"/>
      <c r="F232" s="244"/>
      <c r="G232" s="244"/>
      <c r="H232" s="232">
        <f t="shared" si="33"/>
        <v>14483568</v>
      </c>
      <c r="I232" s="233">
        <v>4630809</v>
      </c>
      <c r="J232" s="244"/>
      <c r="K232" s="244"/>
      <c r="L232" s="244"/>
      <c r="M232" s="232">
        <f t="shared" si="34"/>
        <v>4630809</v>
      </c>
      <c r="N232" s="233">
        <v>0</v>
      </c>
      <c r="O232" s="244"/>
      <c r="P232" s="244"/>
      <c r="Q232" s="244"/>
      <c r="R232" s="232">
        <f t="shared" si="35"/>
        <v>0</v>
      </c>
    </row>
    <row r="233" spans="1:18" s="29" customFormat="1" ht="12" hidden="1" customHeight="1">
      <c r="A233" s="140">
        <v>9000</v>
      </c>
      <c r="B233" s="182" t="s">
        <v>164</v>
      </c>
      <c r="C233" s="170">
        <v>0</v>
      </c>
      <c r="D233" s="170">
        <v>0</v>
      </c>
      <c r="E233" s="233">
        <f>E234+E240+E244+E247</f>
        <v>0</v>
      </c>
      <c r="F233" s="233">
        <f>F234+F240+F244+F247</f>
        <v>0</v>
      </c>
      <c r="G233" s="233">
        <f>G234+G240+G244+G247</f>
        <v>0</v>
      </c>
      <c r="H233" s="232">
        <f t="shared" si="33"/>
        <v>0</v>
      </c>
      <c r="I233" s="233">
        <v>0</v>
      </c>
      <c r="J233" s="233">
        <f>J234+J240+J244+J247</f>
        <v>0</v>
      </c>
      <c r="K233" s="233">
        <f>K234+K240+K244+K247</f>
        <v>0</v>
      </c>
      <c r="L233" s="233">
        <f>L234+L240+L244+L247</f>
        <v>0</v>
      </c>
      <c r="M233" s="232">
        <f t="shared" si="34"/>
        <v>0</v>
      </c>
      <c r="N233" s="233">
        <v>0</v>
      </c>
      <c r="O233" s="233">
        <f>O234+O240+O244+O247</f>
        <v>0</v>
      </c>
      <c r="P233" s="233">
        <f>P234+P240+P244+P247</f>
        <v>0</v>
      </c>
      <c r="Q233" s="233">
        <f>Q234+Q240+Q244+Q247</f>
        <v>0</v>
      </c>
      <c r="R233" s="232">
        <f t="shared" si="35"/>
        <v>0</v>
      </c>
    </row>
    <row r="234" spans="1:18" s="29" customFormat="1" ht="12" hidden="1" customHeight="1">
      <c r="A234" s="141">
        <v>9100</v>
      </c>
      <c r="B234" s="179" t="s">
        <v>124</v>
      </c>
      <c r="C234" s="170">
        <v>0</v>
      </c>
      <c r="D234" s="170">
        <v>0</v>
      </c>
      <c r="E234" s="233">
        <f>SUM(E235:E236)</f>
        <v>0</v>
      </c>
      <c r="F234" s="233">
        <f>SUM(F235:F236)</f>
        <v>0</v>
      </c>
      <c r="G234" s="233">
        <f>SUM(G235:G236)</f>
        <v>0</v>
      </c>
      <c r="H234" s="232">
        <f t="shared" si="33"/>
        <v>0</v>
      </c>
      <c r="I234" s="233">
        <v>0</v>
      </c>
      <c r="J234" s="233">
        <f>SUM(J235:J236)</f>
        <v>0</v>
      </c>
      <c r="K234" s="233">
        <f>SUM(K235:K236)</f>
        <v>0</v>
      </c>
      <c r="L234" s="233">
        <f>SUM(L235:L236)</f>
        <v>0</v>
      </c>
      <c r="M234" s="232">
        <f t="shared" si="34"/>
        <v>0</v>
      </c>
      <c r="N234" s="233">
        <v>0</v>
      </c>
      <c r="O234" s="233">
        <f>SUM(O235:O236)</f>
        <v>0</v>
      </c>
      <c r="P234" s="233">
        <f>SUM(P235:P236)</f>
        <v>0</v>
      </c>
      <c r="Q234" s="233">
        <f>SUM(Q235:Q236)</f>
        <v>0</v>
      </c>
      <c r="R234" s="232">
        <f t="shared" si="35"/>
        <v>0</v>
      </c>
    </row>
    <row r="235" spans="1:18" s="29" customFormat="1" ht="24" hidden="1" customHeight="1">
      <c r="A235" s="133" t="s">
        <v>125</v>
      </c>
      <c r="B235" s="179" t="s">
        <v>214</v>
      </c>
      <c r="C235" s="170"/>
      <c r="D235" s="170">
        <v>0</v>
      </c>
      <c r="E235" s="233"/>
      <c r="F235" s="233"/>
      <c r="G235" s="233"/>
      <c r="H235" s="232">
        <f t="shared" si="33"/>
        <v>0</v>
      </c>
      <c r="I235" s="233">
        <v>0</v>
      </c>
      <c r="J235" s="233"/>
      <c r="K235" s="233"/>
      <c r="L235" s="233"/>
      <c r="M235" s="232">
        <f t="shared" si="34"/>
        <v>0</v>
      </c>
      <c r="N235" s="233">
        <v>0</v>
      </c>
      <c r="O235" s="233"/>
      <c r="P235" s="233"/>
      <c r="Q235" s="233"/>
      <c r="R235" s="232">
        <f t="shared" si="35"/>
        <v>0</v>
      </c>
    </row>
    <row r="236" spans="1:18" s="29" customFormat="1" ht="24" hidden="1" customHeight="1">
      <c r="A236" s="133">
        <v>9140</v>
      </c>
      <c r="B236" s="179" t="s">
        <v>215</v>
      </c>
      <c r="C236" s="170">
        <v>0</v>
      </c>
      <c r="D236" s="170">
        <v>0</v>
      </c>
      <c r="E236" s="233">
        <f>SUM(E237:E239)</f>
        <v>0</v>
      </c>
      <c r="F236" s="233">
        <f>SUM(F237:F239)</f>
        <v>0</v>
      </c>
      <c r="G236" s="233">
        <f>SUM(G237:G239)</f>
        <v>0</v>
      </c>
      <c r="H236" s="232">
        <f t="shared" si="33"/>
        <v>0</v>
      </c>
      <c r="I236" s="233">
        <v>0</v>
      </c>
      <c r="J236" s="233">
        <f>SUM(J237:J239)</f>
        <v>0</v>
      </c>
      <c r="K236" s="233">
        <f>SUM(K237:K239)</f>
        <v>0</v>
      </c>
      <c r="L236" s="233">
        <f>SUM(L237:L239)</f>
        <v>0</v>
      </c>
      <c r="M236" s="232">
        <f t="shared" si="34"/>
        <v>0</v>
      </c>
      <c r="N236" s="233">
        <v>0</v>
      </c>
      <c r="O236" s="233">
        <f>SUM(O237:O239)</f>
        <v>0</v>
      </c>
      <c r="P236" s="233">
        <f>SUM(P237:P239)</f>
        <v>0</v>
      </c>
      <c r="Q236" s="233">
        <f>SUM(Q237:Q239)</f>
        <v>0</v>
      </c>
      <c r="R236" s="232">
        <f t="shared" si="35"/>
        <v>0</v>
      </c>
    </row>
    <row r="237" spans="1:18" s="29" customFormat="1" ht="36" hidden="1" customHeight="1">
      <c r="A237" s="134">
        <v>9141</v>
      </c>
      <c r="B237" s="172" t="s">
        <v>190</v>
      </c>
      <c r="C237" s="204"/>
      <c r="D237" s="204">
        <v>0</v>
      </c>
      <c r="E237" s="252"/>
      <c r="F237" s="252"/>
      <c r="G237" s="252"/>
      <c r="H237" s="232">
        <f t="shared" si="33"/>
        <v>0</v>
      </c>
      <c r="I237" s="252">
        <v>0</v>
      </c>
      <c r="J237" s="252"/>
      <c r="K237" s="252"/>
      <c r="L237" s="252"/>
      <c r="M237" s="232">
        <f t="shared" si="34"/>
        <v>0</v>
      </c>
      <c r="N237" s="252">
        <v>0</v>
      </c>
      <c r="O237" s="252"/>
      <c r="P237" s="252"/>
      <c r="Q237" s="252"/>
      <c r="R237" s="232">
        <f t="shared" si="35"/>
        <v>0</v>
      </c>
    </row>
    <row r="238" spans="1:18" s="29" customFormat="1" ht="36" hidden="1" customHeight="1">
      <c r="A238" s="134">
        <v>9142</v>
      </c>
      <c r="B238" s="172" t="s">
        <v>191</v>
      </c>
      <c r="C238" s="204"/>
      <c r="D238" s="204">
        <v>0</v>
      </c>
      <c r="E238" s="252"/>
      <c r="F238" s="252"/>
      <c r="G238" s="252"/>
      <c r="H238" s="232">
        <f t="shared" si="33"/>
        <v>0</v>
      </c>
      <c r="I238" s="252">
        <v>0</v>
      </c>
      <c r="J238" s="252"/>
      <c r="K238" s="252"/>
      <c r="L238" s="252"/>
      <c r="M238" s="232">
        <f t="shared" si="34"/>
        <v>0</v>
      </c>
      <c r="N238" s="252">
        <v>0</v>
      </c>
      <c r="O238" s="252"/>
      <c r="P238" s="252"/>
      <c r="Q238" s="252"/>
      <c r="R238" s="232">
        <f t="shared" si="35"/>
        <v>0</v>
      </c>
    </row>
    <row r="239" spans="1:18" s="29" customFormat="1" ht="24" hidden="1" customHeight="1">
      <c r="A239" s="134">
        <v>9149</v>
      </c>
      <c r="B239" s="172" t="s">
        <v>192</v>
      </c>
      <c r="C239" s="204"/>
      <c r="D239" s="204">
        <v>0</v>
      </c>
      <c r="E239" s="252"/>
      <c r="F239" s="252"/>
      <c r="G239" s="252"/>
      <c r="H239" s="232">
        <f t="shared" si="33"/>
        <v>0</v>
      </c>
      <c r="I239" s="252">
        <v>0</v>
      </c>
      <c r="J239" s="252"/>
      <c r="K239" s="252"/>
      <c r="L239" s="252"/>
      <c r="M239" s="232">
        <f t="shared" si="34"/>
        <v>0</v>
      </c>
      <c r="N239" s="252">
        <v>0</v>
      </c>
      <c r="O239" s="252"/>
      <c r="P239" s="252"/>
      <c r="Q239" s="252"/>
      <c r="R239" s="232">
        <f t="shared" si="35"/>
        <v>0</v>
      </c>
    </row>
    <row r="240" spans="1:18" s="29" customFormat="1" ht="24" hidden="1" customHeight="1">
      <c r="A240" s="141">
        <v>9500</v>
      </c>
      <c r="B240" s="172" t="s">
        <v>165</v>
      </c>
      <c r="C240" s="170">
        <v>0</v>
      </c>
      <c r="D240" s="170">
        <v>0</v>
      </c>
      <c r="E240" s="233">
        <f>SUM(E241:E243)</f>
        <v>0</v>
      </c>
      <c r="F240" s="233">
        <f>SUM(F241:F243)</f>
        <v>0</v>
      </c>
      <c r="G240" s="233">
        <f>SUM(G241:G243)</f>
        <v>0</v>
      </c>
      <c r="H240" s="232">
        <f t="shared" si="33"/>
        <v>0</v>
      </c>
      <c r="I240" s="233">
        <v>0</v>
      </c>
      <c r="J240" s="233">
        <f>SUM(J241:J243)</f>
        <v>0</v>
      </c>
      <c r="K240" s="233">
        <f>SUM(K241:K243)</f>
        <v>0</v>
      </c>
      <c r="L240" s="233">
        <f>SUM(L241:L243)</f>
        <v>0</v>
      </c>
      <c r="M240" s="232">
        <f t="shared" si="34"/>
        <v>0</v>
      </c>
      <c r="N240" s="233">
        <v>0</v>
      </c>
      <c r="O240" s="233">
        <f>SUM(O241:O243)</f>
        <v>0</v>
      </c>
      <c r="P240" s="233">
        <f>SUM(P241:P243)</f>
        <v>0</v>
      </c>
      <c r="Q240" s="233">
        <f>SUM(Q241:Q243)</f>
        <v>0</v>
      </c>
      <c r="R240" s="232">
        <f t="shared" si="35"/>
        <v>0</v>
      </c>
    </row>
    <row r="241" spans="1:18" s="29" customFormat="1" ht="24" hidden="1" customHeight="1">
      <c r="A241" s="133" t="s">
        <v>193</v>
      </c>
      <c r="B241" s="172" t="s">
        <v>171</v>
      </c>
      <c r="C241" s="170"/>
      <c r="D241" s="170">
        <v>0</v>
      </c>
      <c r="E241" s="233"/>
      <c r="F241" s="233"/>
      <c r="G241" s="233"/>
      <c r="H241" s="232">
        <f t="shared" si="33"/>
        <v>0</v>
      </c>
      <c r="I241" s="233">
        <v>0</v>
      </c>
      <c r="J241" s="233"/>
      <c r="K241" s="233"/>
      <c r="L241" s="233"/>
      <c r="M241" s="232">
        <f t="shared" si="34"/>
        <v>0</v>
      </c>
      <c r="N241" s="233">
        <v>0</v>
      </c>
      <c r="O241" s="233"/>
      <c r="P241" s="233"/>
      <c r="Q241" s="233"/>
      <c r="R241" s="232">
        <f t="shared" si="35"/>
        <v>0</v>
      </c>
    </row>
    <row r="242" spans="1:18" s="29" customFormat="1" ht="48" hidden="1" customHeight="1">
      <c r="A242" s="133">
        <v>9580</v>
      </c>
      <c r="B242" s="172" t="s">
        <v>166</v>
      </c>
      <c r="C242" s="204"/>
      <c r="D242" s="204">
        <v>0</v>
      </c>
      <c r="E242" s="252"/>
      <c r="F242" s="252"/>
      <c r="G242" s="252"/>
      <c r="H242" s="232">
        <f t="shared" ref="H242:H260" si="36">SUM(D242:G242)</f>
        <v>0</v>
      </c>
      <c r="I242" s="252">
        <v>0</v>
      </c>
      <c r="J242" s="252"/>
      <c r="K242" s="252"/>
      <c r="L242" s="252"/>
      <c r="M242" s="232">
        <f t="shared" si="34"/>
        <v>0</v>
      </c>
      <c r="N242" s="252">
        <v>0</v>
      </c>
      <c r="O242" s="252"/>
      <c r="P242" s="252"/>
      <c r="Q242" s="252"/>
      <c r="R242" s="232">
        <f t="shared" si="35"/>
        <v>0</v>
      </c>
    </row>
    <row r="243" spans="1:18" s="29" customFormat="1" ht="48" hidden="1" customHeight="1">
      <c r="A243" s="133">
        <v>9590</v>
      </c>
      <c r="B243" s="179" t="s">
        <v>172</v>
      </c>
      <c r="C243" s="204"/>
      <c r="D243" s="204">
        <v>0</v>
      </c>
      <c r="E243" s="252"/>
      <c r="F243" s="252"/>
      <c r="G243" s="252"/>
      <c r="H243" s="232">
        <f t="shared" si="36"/>
        <v>0</v>
      </c>
      <c r="I243" s="252">
        <v>0</v>
      </c>
      <c r="J243" s="252"/>
      <c r="K243" s="252"/>
      <c r="L243" s="252"/>
      <c r="M243" s="232">
        <f t="shared" si="34"/>
        <v>0</v>
      </c>
      <c r="N243" s="252">
        <v>0</v>
      </c>
      <c r="O243" s="252"/>
      <c r="P243" s="252"/>
      <c r="Q243" s="252"/>
      <c r="R243" s="232">
        <f t="shared" si="35"/>
        <v>0</v>
      </c>
    </row>
    <row r="244" spans="1:18" s="29" customFormat="1" ht="24" hidden="1" customHeight="1">
      <c r="A244" s="141">
        <v>9700</v>
      </c>
      <c r="B244" s="183" t="s">
        <v>194</v>
      </c>
      <c r="C244" s="170">
        <v>0</v>
      </c>
      <c r="D244" s="170">
        <v>0</v>
      </c>
      <c r="E244" s="233">
        <f>SUM(E245:E246)</f>
        <v>0</v>
      </c>
      <c r="F244" s="233">
        <f>SUM(F245:F246)</f>
        <v>0</v>
      </c>
      <c r="G244" s="233">
        <f>SUM(G245:G246)</f>
        <v>0</v>
      </c>
      <c r="H244" s="232">
        <f t="shared" si="36"/>
        <v>0</v>
      </c>
      <c r="I244" s="233">
        <v>0</v>
      </c>
      <c r="J244" s="233">
        <f>SUM(J245:J246)</f>
        <v>0</v>
      </c>
      <c r="K244" s="233">
        <f>SUM(K245:K246)</f>
        <v>0</v>
      </c>
      <c r="L244" s="233">
        <f>SUM(L245:L246)</f>
        <v>0</v>
      </c>
      <c r="M244" s="232">
        <f t="shared" si="34"/>
        <v>0</v>
      </c>
      <c r="N244" s="233">
        <v>0</v>
      </c>
      <c r="O244" s="233">
        <f>SUM(O245:O246)</f>
        <v>0</v>
      </c>
      <c r="P244" s="233">
        <f>SUM(P245:P246)</f>
        <v>0</v>
      </c>
      <c r="Q244" s="233">
        <f>SUM(Q245:Q246)</f>
        <v>0</v>
      </c>
      <c r="R244" s="232">
        <f t="shared" si="35"/>
        <v>0</v>
      </c>
    </row>
    <row r="245" spans="1:18" s="29" customFormat="1" ht="24" hidden="1" customHeight="1">
      <c r="A245" s="133">
        <v>9710</v>
      </c>
      <c r="B245" s="184" t="s">
        <v>195</v>
      </c>
      <c r="C245" s="204"/>
      <c r="D245" s="204">
        <v>0</v>
      </c>
      <c r="E245" s="252"/>
      <c r="F245" s="252"/>
      <c r="G245" s="252"/>
      <c r="H245" s="232">
        <f t="shared" si="36"/>
        <v>0</v>
      </c>
      <c r="I245" s="252">
        <v>0</v>
      </c>
      <c r="J245" s="252"/>
      <c r="K245" s="252"/>
      <c r="L245" s="252"/>
      <c r="M245" s="232">
        <f t="shared" si="34"/>
        <v>0</v>
      </c>
      <c r="N245" s="252">
        <v>0</v>
      </c>
      <c r="O245" s="252"/>
      <c r="P245" s="252"/>
      <c r="Q245" s="252"/>
      <c r="R245" s="232">
        <f t="shared" si="35"/>
        <v>0</v>
      </c>
    </row>
    <row r="246" spans="1:18" s="29" customFormat="1" ht="48" hidden="1" customHeight="1">
      <c r="A246" s="142">
        <v>9720</v>
      </c>
      <c r="B246" s="183" t="s">
        <v>196</v>
      </c>
      <c r="C246" s="204"/>
      <c r="D246" s="204">
        <v>0</v>
      </c>
      <c r="E246" s="252"/>
      <c r="F246" s="252"/>
      <c r="G246" s="252"/>
      <c r="H246" s="232">
        <f t="shared" si="36"/>
        <v>0</v>
      </c>
      <c r="I246" s="252">
        <v>0</v>
      </c>
      <c r="J246" s="252"/>
      <c r="K246" s="252"/>
      <c r="L246" s="252"/>
      <c r="M246" s="232">
        <f t="shared" si="34"/>
        <v>0</v>
      </c>
      <c r="N246" s="252">
        <v>0</v>
      </c>
      <c r="O246" s="252"/>
      <c r="P246" s="252"/>
      <c r="Q246" s="252"/>
      <c r="R246" s="232">
        <f t="shared" si="35"/>
        <v>0</v>
      </c>
    </row>
    <row r="247" spans="1:18" s="29" customFormat="1" ht="24" hidden="1" customHeight="1">
      <c r="A247" s="141">
        <v>9600</v>
      </c>
      <c r="B247" s="179" t="s">
        <v>134</v>
      </c>
      <c r="C247" s="204"/>
      <c r="D247" s="204">
        <v>0</v>
      </c>
      <c r="E247" s="252"/>
      <c r="F247" s="252"/>
      <c r="G247" s="252"/>
      <c r="H247" s="232">
        <f t="shared" si="36"/>
        <v>0</v>
      </c>
      <c r="I247" s="252">
        <v>0</v>
      </c>
      <c r="J247" s="252"/>
      <c r="K247" s="252"/>
      <c r="L247" s="252"/>
      <c r="M247" s="232">
        <f t="shared" si="34"/>
        <v>0</v>
      </c>
      <c r="N247" s="252">
        <v>0</v>
      </c>
      <c r="O247" s="252"/>
      <c r="P247" s="252"/>
      <c r="Q247" s="252"/>
      <c r="R247" s="232">
        <f t="shared" si="35"/>
        <v>0</v>
      </c>
    </row>
    <row r="248" spans="1:18" s="29" customFormat="1" ht="52.5" hidden="1" customHeight="1">
      <c r="A248" s="130" t="s">
        <v>197</v>
      </c>
      <c r="B248" s="185" t="s">
        <v>47</v>
      </c>
      <c r="C248" s="206"/>
      <c r="D248" s="206">
        <v>0</v>
      </c>
      <c r="E248" s="262">
        <f>E178-E203</f>
        <v>0</v>
      </c>
      <c r="F248" s="262">
        <f>F178-F203</f>
        <v>0</v>
      </c>
      <c r="G248" s="262">
        <f>G178-G203</f>
        <v>0</v>
      </c>
      <c r="H248" s="232">
        <f t="shared" si="36"/>
        <v>0</v>
      </c>
      <c r="I248" s="262">
        <v>0</v>
      </c>
      <c r="J248" s="262">
        <f>J178-J203</f>
        <v>0</v>
      </c>
      <c r="K248" s="262">
        <f>K178-K203</f>
        <v>0</v>
      </c>
      <c r="L248" s="262">
        <f>L178-L203</f>
        <v>0</v>
      </c>
      <c r="M248" s="232">
        <f t="shared" si="34"/>
        <v>0</v>
      </c>
      <c r="N248" s="262">
        <v>0</v>
      </c>
      <c r="O248" s="262">
        <f>O178-O203</f>
        <v>0</v>
      </c>
      <c r="P248" s="262">
        <f>P178-P203</f>
        <v>0</v>
      </c>
      <c r="Q248" s="262">
        <f>Q178-Q203</f>
        <v>0</v>
      </c>
      <c r="R248" s="232">
        <f t="shared" si="35"/>
        <v>0</v>
      </c>
    </row>
    <row r="249" spans="1:18" s="29" customFormat="1" ht="12" hidden="1" customHeight="1">
      <c r="A249" s="143" t="s">
        <v>48</v>
      </c>
      <c r="B249" s="185" t="s">
        <v>49</v>
      </c>
      <c r="C249" s="206">
        <v>0</v>
      </c>
      <c r="D249" s="206">
        <v>0</v>
      </c>
      <c r="E249" s="262">
        <f>E250+E253+E257+E256</f>
        <v>0</v>
      </c>
      <c r="F249" s="262">
        <f>F250+F253+F257+F256</f>
        <v>0</v>
      </c>
      <c r="G249" s="262">
        <f>G250+G253+G257+G256</f>
        <v>0</v>
      </c>
      <c r="H249" s="232">
        <f t="shared" si="36"/>
        <v>0</v>
      </c>
      <c r="I249" s="262">
        <v>0</v>
      </c>
      <c r="J249" s="262">
        <f>J250+J253+J257+J256</f>
        <v>0</v>
      </c>
      <c r="K249" s="262">
        <f>K250+K253+K257+K256</f>
        <v>0</v>
      </c>
      <c r="L249" s="262">
        <f>L250+L253+L257+L256</f>
        <v>0</v>
      </c>
      <c r="M249" s="232">
        <f t="shared" si="34"/>
        <v>0</v>
      </c>
      <c r="N249" s="262">
        <v>0</v>
      </c>
      <c r="O249" s="262">
        <f>O250+O253+O257+O256</f>
        <v>0</v>
      </c>
      <c r="P249" s="262">
        <f>P250+P253+P257+P256</f>
        <v>0</v>
      </c>
      <c r="Q249" s="262">
        <f>Q250+Q253+Q257+Q256</f>
        <v>0</v>
      </c>
      <c r="R249" s="232">
        <f t="shared" si="35"/>
        <v>0</v>
      </c>
    </row>
    <row r="250" spans="1:18" s="29" customFormat="1" ht="12" hidden="1" customHeight="1">
      <c r="A250" s="141" t="s">
        <v>50</v>
      </c>
      <c r="B250" s="179" t="s">
        <v>51</v>
      </c>
      <c r="C250" s="98">
        <v>0</v>
      </c>
      <c r="D250" s="98">
        <v>0</v>
      </c>
      <c r="E250" s="231">
        <f>E251+E252</f>
        <v>0</v>
      </c>
      <c r="F250" s="231">
        <f>F251+F252</f>
        <v>0</v>
      </c>
      <c r="G250" s="231">
        <f>G251+G252</f>
        <v>0</v>
      </c>
      <c r="H250" s="232">
        <f t="shared" si="36"/>
        <v>0</v>
      </c>
      <c r="I250" s="231">
        <v>0</v>
      </c>
      <c r="J250" s="231">
        <f>J251+J252</f>
        <v>0</v>
      </c>
      <c r="K250" s="231">
        <f>K251+K252</f>
        <v>0</v>
      </c>
      <c r="L250" s="231">
        <f>L251+L252</f>
        <v>0</v>
      </c>
      <c r="M250" s="232">
        <f t="shared" si="34"/>
        <v>0</v>
      </c>
      <c r="N250" s="231">
        <v>0</v>
      </c>
      <c r="O250" s="231">
        <f>O251+O252</f>
        <v>0</v>
      </c>
      <c r="P250" s="231">
        <f>P251+P252</f>
        <v>0</v>
      </c>
      <c r="Q250" s="231">
        <f>Q251+Q252</f>
        <v>0</v>
      </c>
      <c r="R250" s="232">
        <f t="shared" si="35"/>
        <v>0</v>
      </c>
    </row>
    <row r="251" spans="1:18" s="29" customFormat="1" ht="12" hidden="1" customHeight="1">
      <c r="A251" s="141" t="s">
        <v>52</v>
      </c>
      <c r="B251" s="179" t="s">
        <v>53</v>
      </c>
      <c r="C251" s="98"/>
      <c r="D251" s="98">
        <v>0</v>
      </c>
      <c r="E251" s="231"/>
      <c r="F251" s="231"/>
      <c r="G251" s="231"/>
      <c r="H251" s="232">
        <f t="shared" si="36"/>
        <v>0</v>
      </c>
      <c r="I251" s="231">
        <v>0</v>
      </c>
      <c r="J251" s="231"/>
      <c r="K251" s="231"/>
      <c r="L251" s="231"/>
      <c r="M251" s="232">
        <f t="shared" si="34"/>
        <v>0</v>
      </c>
      <c r="N251" s="231">
        <v>0</v>
      </c>
      <c r="O251" s="231"/>
      <c r="P251" s="231"/>
      <c r="Q251" s="231"/>
      <c r="R251" s="232">
        <f t="shared" si="35"/>
        <v>0</v>
      </c>
    </row>
    <row r="252" spans="1:18" s="29" customFormat="1" ht="12" hidden="1" customHeight="1">
      <c r="A252" s="141" t="s">
        <v>54</v>
      </c>
      <c r="B252" s="179" t="s">
        <v>55</v>
      </c>
      <c r="C252" s="98"/>
      <c r="D252" s="98">
        <v>0</v>
      </c>
      <c r="E252" s="231"/>
      <c r="F252" s="231"/>
      <c r="G252" s="231"/>
      <c r="H252" s="232">
        <f t="shared" si="36"/>
        <v>0</v>
      </c>
      <c r="I252" s="231">
        <v>0</v>
      </c>
      <c r="J252" s="231"/>
      <c r="K252" s="231"/>
      <c r="L252" s="231"/>
      <c r="M252" s="232">
        <f t="shared" si="34"/>
        <v>0</v>
      </c>
      <c r="N252" s="231">
        <v>0</v>
      </c>
      <c r="O252" s="231"/>
      <c r="P252" s="231"/>
      <c r="Q252" s="231"/>
      <c r="R252" s="232">
        <f t="shared" si="35"/>
        <v>0</v>
      </c>
    </row>
    <row r="253" spans="1:18" s="29" customFormat="1" ht="12" hidden="1" customHeight="1">
      <c r="A253" s="141" t="s">
        <v>56</v>
      </c>
      <c r="B253" s="179" t="s">
        <v>57</v>
      </c>
      <c r="C253" s="98">
        <v>0</v>
      </c>
      <c r="D253" s="98">
        <v>0</v>
      </c>
      <c r="E253" s="231">
        <f>E254+E255</f>
        <v>0</v>
      </c>
      <c r="F253" s="231">
        <f>F254+F255</f>
        <v>0</v>
      </c>
      <c r="G253" s="231">
        <f>G254+G255</f>
        <v>0</v>
      </c>
      <c r="H253" s="232">
        <f t="shared" si="36"/>
        <v>0</v>
      </c>
      <c r="I253" s="231">
        <v>0</v>
      </c>
      <c r="J253" s="231">
        <f>J254+J255</f>
        <v>0</v>
      </c>
      <c r="K253" s="231">
        <f>K254+K255</f>
        <v>0</v>
      </c>
      <c r="L253" s="231">
        <f>L254+L255</f>
        <v>0</v>
      </c>
      <c r="M253" s="232">
        <f t="shared" si="34"/>
        <v>0</v>
      </c>
      <c r="N253" s="231">
        <v>0</v>
      </c>
      <c r="O253" s="231">
        <f>O254+O255</f>
        <v>0</v>
      </c>
      <c r="P253" s="231">
        <f>P254+P255</f>
        <v>0</v>
      </c>
      <c r="Q253" s="231">
        <f>Q254+Q255</f>
        <v>0</v>
      </c>
      <c r="R253" s="232">
        <f t="shared" si="35"/>
        <v>0</v>
      </c>
    </row>
    <row r="254" spans="1:18" s="29" customFormat="1" ht="12" hidden="1" customHeight="1">
      <c r="A254" s="141" t="s">
        <v>58</v>
      </c>
      <c r="B254" s="179" t="s">
        <v>59</v>
      </c>
      <c r="C254" s="98"/>
      <c r="D254" s="98">
        <v>0</v>
      </c>
      <c r="E254" s="231"/>
      <c r="F254" s="231"/>
      <c r="G254" s="231"/>
      <c r="H254" s="232">
        <f t="shared" si="36"/>
        <v>0</v>
      </c>
      <c r="I254" s="231">
        <v>0</v>
      </c>
      <c r="J254" s="231"/>
      <c r="K254" s="231"/>
      <c r="L254" s="231"/>
      <c r="M254" s="232">
        <f t="shared" si="34"/>
        <v>0</v>
      </c>
      <c r="N254" s="231">
        <v>0</v>
      </c>
      <c r="O254" s="231"/>
      <c r="P254" s="231"/>
      <c r="Q254" s="231"/>
      <c r="R254" s="232">
        <f t="shared" si="35"/>
        <v>0</v>
      </c>
    </row>
    <row r="255" spans="1:18" s="29" customFormat="1" ht="12" hidden="1" customHeight="1">
      <c r="A255" s="141" t="s">
        <v>60</v>
      </c>
      <c r="B255" s="179" t="s">
        <v>61</v>
      </c>
      <c r="C255" s="98"/>
      <c r="D255" s="98">
        <v>0</v>
      </c>
      <c r="E255" s="231"/>
      <c r="F255" s="231"/>
      <c r="G255" s="231"/>
      <c r="H255" s="232">
        <f t="shared" si="36"/>
        <v>0</v>
      </c>
      <c r="I255" s="231">
        <v>0</v>
      </c>
      <c r="J255" s="231"/>
      <c r="K255" s="231"/>
      <c r="L255" s="231"/>
      <c r="M255" s="232">
        <f t="shared" si="34"/>
        <v>0</v>
      </c>
      <c r="N255" s="231">
        <v>0</v>
      </c>
      <c r="O255" s="231"/>
      <c r="P255" s="231"/>
      <c r="Q255" s="231"/>
      <c r="R255" s="232">
        <f t="shared" si="35"/>
        <v>0</v>
      </c>
    </row>
    <row r="256" spans="1:18" s="29" customFormat="1" ht="12" hidden="1" customHeight="1">
      <c r="A256" s="141" t="s">
        <v>198</v>
      </c>
      <c r="B256" s="187" t="s">
        <v>168</v>
      </c>
      <c r="C256" s="98"/>
      <c r="D256" s="98">
        <v>0</v>
      </c>
      <c r="E256" s="231"/>
      <c r="F256" s="231"/>
      <c r="G256" s="231"/>
      <c r="H256" s="232">
        <f t="shared" si="36"/>
        <v>0</v>
      </c>
      <c r="I256" s="231">
        <v>0</v>
      </c>
      <c r="J256" s="231"/>
      <c r="K256" s="231"/>
      <c r="L256" s="231"/>
      <c r="M256" s="232">
        <f t="shared" si="34"/>
        <v>0</v>
      </c>
      <c r="N256" s="231">
        <v>0</v>
      </c>
      <c r="O256" s="231"/>
      <c r="P256" s="231"/>
      <c r="Q256" s="231"/>
      <c r="R256" s="232">
        <f t="shared" si="35"/>
        <v>0</v>
      </c>
    </row>
    <row r="257" spans="1:18" s="29" customFormat="1" ht="12" hidden="1" customHeight="1">
      <c r="A257" s="144" t="s">
        <v>62</v>
      </c>
      <c r="B257" s="125" t="s">
        <v>63</v>
      </c>
      <c r="C257" s="170">
        <v>0</v>
      </c>
      <c r="D257" s="170">
        <v>0</v>
      </c>
      <c r="E257" s="233">
        <f>E258+E259+E260</f>
        <v>0</v>
      </c>
      <c r="F257" s="233">
        <f>F258+F259+F260</f>
        <v>0</v>
      </c>
      <c r="G257" s="233">
        <f>G258+G259+G260</f>
        <v>0</v>
      </c>
      <c r="H257" s="232">
        <f t="shared" si="36"/>
        <v>0</v>
      </c>
      <c r="I257" s="233">
        <v>0</v>
      </c>
      <c r="J257" s="233">
        <f>J258+J259+J260</f>
        <v>0</v>
      </c>
      <c r="K257" s="233">
        <f>K258+K259+K260</f>
        <v>0</v>
      </c>
      <c r="L257" s="233">
        <f>L258+L259+L260</f>
        <v>0</v>
      </c>
      <c r="M257" s="232">
        <f t="shared" si="34"/>
        <v>0</v>
      </c>
      <c r="N257" s="233">
        <v>0</v>
      </c>
      <c r="O257" s="233">
        <f>O258+O259+O260</f>
        <v>0</v>
      </c>
      <c r="P257" s="233">
        <f>P258+P259+P260</f>
        <v>0</v>
      </c>
      <c r="Q257" s="233">
        <f>Q258+Q259+Q260</f>
        <v>0</v>
      </c>
      <c r="R257" s="232">
        <f t="shared" si="35"/>
        <v>0</v>
      </c>
    </row>
    <row r="258" spans="1:18" s="29" customFormat="1" ht="36" hidden="1" customHeight="1">
      <c r="A258" s="144" t="s">
        <v>64</v>
      </c>
      <c r="B258" s="179" t="s">
        <v>65</v>
      </c>
      <c r="C258" s="98"/>
      <c r="D258" s="98">
        <v>0</v>
      </c>
      <c r="E258" s="231"/>
      <c r="F258" s="231"/>
      <c r="G258" s="231"/>
      <c r="H258" s="232">
        <f t="shared" si="36"/>
        <v>0</v>
      </c>
      <c r="I258" s="231">
        <v>0</v>
      </c>
      <c r="J258" s="231"/>
      <c r="K258" s="231"/>
      <c r="L258" s="231"/>
      <c r="M258" s="232">
        <f t="shared" si="34"/>
        <v>0</v>
      </c>
      <c r="N258" s="231">
        <v>0</v>
      </c>
      <c r="O258" s="231"/>
      <c r="P258" s="231"/>
      <c r="Q258" s="231"/>
      <c r="R258" s="232">
        <f t="shared" si="35"/>
        <v>0</v>
      </c>
    </row>
    <row r="259" spans="1:18" s="29" customFormat="1" ht="24" hidden="1" customHeight="1">
      <c r="A259" s="144" t="s">
        <v>66</v>
      </c>
      <c r="B259" s="179" t="s">
        <v>67</v>
      </c>
      <c r="C259" s="98">
        <v>0</v>
      </c>
      <c r="D259" s="98">
        <v>0</v>
      </c>
      <c r="E259" s="231"/>
      <c r="F259" s="231"/>
      <c r="G259" s="231"/>
      <c r="H259" s="232">
        <f t="shared" si="36"/>
        <v>0</v>
      </c>
      <c r="I259" s="231">
        <v>0</v>
      </c>
      <c r="J259" s="231"/>
      <c r="K259" s="231"/>
      <c r="L259" s="231"/>
      <c r="M259" s="232">
        <f t="shared" si="34"/>
        <v>0</v>
      </c>
      <c r="N259" s="231">
        <v>0</v>
      </c>
      <c r="O259" s="231"/>
      <c r="P259" s="231"/>
      <c r="Q259" s="231"/>
      <c r="R259" s="232">
        <f t="shared" si="35"/>
        <v>0</v>
      </c>
    </row>
    <row r="260" spans="1:18" s="29" customFormat="1" ht="24" hidden="1" customHeight="1">
      <c r="A260" s="144" t="s">
        <v>68</v>
      </c>
      <c r="B260" s="125" t="s">
        <v>69</v>
      </c>
      <c r="C260" s="98"/>
      <c r="D260" s="98">
        <v>0</v>
      </c>
      <c r="E260" s="231"/>
      <c r="F260" s="231"/>
      <c r="G260" s="231"/>
      <c r="H260" s="232">
        <f t="shared" si="36"/>
        <v>0</v>
      </c>
      <c r="I260" s="231">
        <v>0</v>
      </c>
      <c r="J260" s="231"/>
      <c r="K260" s="231"/>
      <c r="L260" s="231"/>
      <c r="M260" s="232">
        <f t="shared" si="34"/>
        <v>0</v>
      </c>
      <c r="N260" s="231">
        <v>0</v>
      </c>
      <c r="O260" s="231"/>
      <c r="P260" s="231"/>
      <c r="Q260" s="231"/>
      <c r="R260" s="232">
        <f t="shared" si="35"/>
        <v>0</v>
      </c>
    </row>
    <row r="261" spans="1:18" s="29" customFormat="1" ht="12">
      <c r="A261" s="33"/>
      <c r="B261" s="164"/>
      <c r="C261" s="165"/>
      <c r="D261" s="163"/>
      <c r="E261" s="165"/>
      <c r="F261" s="163"/>
      <c r="G261" s="163"/>
      <c r="H261" s="163"/>
      <c r="I261" s="163"/>
      <c r="J261" s="165"/>
      <c r="K261" s="163"/>
      <c r="L261" s="163"/>
      <c r="M261" s="163"/>
      <c r="N261" s="163"/>
      <c r="O261" s="165"/>
      <c r="P261" s="163"/>
      <c r="Q261" s="163"/>
      <c r="R261" s="163"/>
    </row>
    <row r="262" spans="1:18" ht="12">
      <c r="A262" s="33"/>
      <c r="B262" s="164"/>
      <c r="C262" s="165"/>
      <c r="D262" s="163"/>
      <c r="E262" s="165"/>
      <c r="F262" s="163"/>
      <c r="G262" s="163"/>
      <c r="H262" s="163"/>
      <c r="I262" s="163"/>
      <c r="J262" s="165"/>
      <c r="K262" s="163"/>
      <c r="L262" s="163"/>
      <c r="M262" s="163"/>
      <c r="N262" s="163"/>
      <c r="O262" s="165"/>
      <c r="P262" s="163"/>
      <c r="Q262" s="163"/>
      <c r="R262" s="163"/>
    </row>
    <row r="263" spans="1:18" ht="13.2">
      <c r="A263" s="369" t="s">
        <v>236</v>
      </c>
      <c r="B263" s="370" t="s">
        <v>237</v>
      </c>
      <c r="C263" s="165"/>
      <c r="D263" s="163"/>
      <c r="E263" s="165"/>
      <c r="F263" s="163"/>
      <c r="G263" s="163"/>
      <c r="H263" s="163"/>
      <c r="I263" s="163"/>
      <c r="J263" s="165"/>
      <c r="K263" s="163"/>
      <c r="L263" s="163"/>
      <c r="M263" s="163"/>
      <c r="N263" s="163"/>
      <c r="O263" s="165"/>
      <c r="P263" s="163"/>
      <c r="Q263" s="163"/>
      <c r="R263" s="163"/>
    </row>
    <row r="264" spans="1:18" ht="13.2">
      <c r="A264" s="371"/>
      <c r="B264" s="372" t="s">
        <v>238</v>
      </c>
      <c r="C264" s="165"/>
      <c r="D264" s="163"/>
      <c r="E264" s="165"/>
      <c r="F264" s="163"/>
      <c r="G264" s="163"/>
      <c r="H264" s="163"/>
      <c r="I264" s="163"/>
      <c r="J264" s="165"/>
      <c r="K264" s="163"/>
      <c r="L264" s="163"/>
      <c r="M264" s="163"/>
      <c r="N264" s="163"/>
      <c r="O264" s="165"/>
      <c r="P264" s="163"/>
      <c r="Q264" s="163"/>
      <c r="R264" s="163"/>
    </row>
    <row r="265" spans="1:18" ht="13.2">
      <c r="A265" s="373" t="s">
        <v>223</v>
      </c>
      <c r="B265" s="374" t="s">
        <v>434</v>
      </c>
      <c r="C265" s="165"/>
      <c r="D265" s="163"/>
      <c r="E265" s="165"/>
      <c r="F265" s="163"/>
      <c r="G265" s="163"/>
      <c r="H265" s="163"/>
      <c r="I265" s="163"/>
      <c r="J265" s="165"/>
      <c r="K265" s="163"/>
      <c r="L265" s="163"/>
      <c r="M265" s="163"/>
      <c r="N265" s="163"/>
      <c r="O265" s="165"/>
      <c r="P265" s="163"/>
      <c r="Q265" s="163"/>
      <c r="R265" s="163"/>
    </row>
    <row r="266" spans="1:18" ht="13.2">
      <c r="A266" s="375" t="s">
        <v>240</v>
      </c>
      <c r="B266" s="376" t="s">
        <v>241</v>
      </c>
      <c r="C266" s="165"/>
      <c r="D266" s="163"/>
      <c r="E266" s="165"/>
      <c r="F266" s="163"/>
      <c r="G266" s="163"/>
      <c r="H266" s="163"/>
      <c r="I266" s="163"/>
      <c r="J266" s="165"/>
      <c r="K266" s="163"/>
      <c r="L266" s="163"/>
      <c r="M266" s="163"/>
      <c r="N266" s="163"/>
      <c r="O266" s="165"/>
      <c r="P266" s="163"/>
      <c r="Q266" s="163"/>
      <c r="R266" s="163"/>
    </row>
    <row r="267" spans="1:18" ht="13.2">
      <c r="A267" s="377"/>
      <c r="B267" s="376"/>
      <c r="C267" s="165"/>
      <c r="D267" s="163"/>
      <c r="E267" s="165"/>
      <c r="F267" s="163"/>
      <c r="G267" s="163"/>
      <c r="H267" s="163"/>
      <c r="I267" s="163"/>
      <c r="J267" s="165"/>
      <c r="K267" s="163"/>
      <c r="L267" s="163"/>
      <c r="M267" s="163"/>
      <c r="N267" s="163"/>
      <c r="O267" s="165"/>
      <c r="P267" s="163"/>
      <c r="Q267" s="163"/>
      <c r="R267" s="163"/>
    </row>
    <row r="268" spans="1:18" ht="13.2">
      <c r="A268" s="931" t="s">
        <v>224</v>
      </c>
      <c r="B268" s="932" t="s">
        <v>242</v>
      </c>
      <c r="C268" s="469"/>
      <c r="D268" s="470"/>
      <c r="E268" s="469"/>
      <c r="F268" s="470"/>
      <c r="G268" s="470"/>
      <c r="H268" s="470"/>
      <c r="I268" s="470"/>
      <c r="J268" s="469"/>
      <c r="K268" s="470"/>
      <c r="L268" s="470"/>
      <c r="M268" s="470"/>
      <c r="N268" s="470"/>
      <c r="O268" s="469"/>
      <c r="P268" s="470"/>
      <c r="Q268" s="470"/>
      <c r="R268" s="470"/>
    </row>
    <row r="269" spans="1:18" s="6" customFormat="1" ht="102.6">
      <c r="A269" s="1077" t="s">
        <v>243</v>
      </c>
      <c r="B269" s="1078" t="s">
        <v>260</v>
      </c>
      <c r="C269" s="1079"/>
      <c r="D269" s="1080"/>
      <c r="E269" s="1079"/>
      <c r="F269" s="1080"/>
      <c r="G269" s="1080"/>
      <c r="H269" s="1080"/>
      <c r="I269" s="1080"/>
      <c r="J269" s="1079"/>
      <c r="K269" s="1080"/>
      <c r="L269" s="1080"/>
      <c r="M269" s="1080"/>
      <c r="N269" s="1080"/>
      <c r="O269" s="1079"/>
      <c r="P269" s="1080"/>
      <c r="Q269" s="1080"/>
      <c r="R269" s="1080"/>
    </row>
    <row r="270" spans="1:18" s="6" customFormat="1" ht="20.399999999999999">
      <c r="A270" s="1081" t="s">
        <v>201</v>
      </c>
      <c r="B270" s="1082" t="s">
        <v>88</v>
      </c>
      <c r="C270" s="1083">
        <v>0</v>
      </c>
      <c r="D270" s="1083">
        <v>0</v>
      </c>
      <c r="E270" s="1084"/>
      <c r="F270" s="1084">
        <f>F271</f>
        <v>51644</v>
      </c>
      <c r="G270" s="1084"/>
      <c r="H270" s="1085">
        <f t="shared" ref="H270:H277" si="37">SUM(D270:G270)</f>
        <v>51644</v>
      </c>
      <c r="I270" s="1086">
        <v>0</v>
      </c>
      <c r="J270" s="1084"/>
      <c r="K270" s="1084">
        <f>K271</f>
        <v>51644</v>
      </c>
      <c r="L270" s="1084"/>
      <c r="M270" s="1085">
        <f t="shared" ref="M270:M277" si="38">SUM(I270:L270)</f>
        <v>51644</v>
      </c>
      <c r="N270" s="1086">
        <v>0</v>
      </c>
      <c r="O270" s="1084"/>
      <c r="P270" s="1084">
        <f>P271</f>
        <v>51644</v>
      </c>
      <c r="Q270" s="1084"/>
      <c r="R270" s="1085">
        <f t="shared" ref="R270:R277" si="39">SUM(N270:Q270)</f>
        <v>51644</v>
      </c>
    </row>
    <row r="271" spans="1:18" s="6" customFormat="1" ht="12">
      <c r="A271" s="1087">
        <v>21700</v>
      </c>
      <c r="B271" s="471" t="s">
        <v>97</v>
      </c>
      <c r="C271" s="769">
        <v>0</v>
      </c>
      <c r="D271" s="769">
        <v>0</v>
      </c>
      <c r="E271" s="472"/>
      <c r="F271" s="472">
        <f>F272</f>
        <v>51644</v>
      </c>
      <c r="G271" s="472"/>
      <c r="H271" s="473">
        <f t="shared" si="37"/>
        <v>51644</v>
      </c>
      <c r="I271" s="474">
        <v>0</v>
      </c>
      <c r="J271" s="472"/>
      <c r="K271" s="472">
        <f>K272</f>
        <v>51644</v>
      </c>
      <c r="L271" s="472"/>
      <c r="M271" s="473">
        <f t="shared" si="38"/>
        <v>51644</v>
      </c>
      <c r="N271" s="474">
        <v>0</v>
      </c>
      <c r="O271" s="472"/>
      <c r="P271" s="472">
        <f>P272</f>
        <v>51644</v>
      </c>
      <c r="Q271" s="472"/>
      <c r="R271" s="473">
        <f t="shared" si="39"/>
        <v>51644</v>
      </c>
    </row>
    <row r="272" spans="1:18" s="6" customFormat="1" ht="24">
      <c r="A272" s="1049">
        <v>21710</v>
      </c>
      <c r="B272" s="768" t="s">
        <v>98</v>
      </c>
      <c r="C272" s="769">
        <v>0</v>
      </c>
      <c r="D272" s="769">
        <v>0</v>
      </c>
      <c r="E272" s="472"/>
      <c r="F272" s="472">
        <v>51644</v>
      </c>
      <c r="G272" s="472"/>
      <c r="H272" s="473">
        <f t="shared" si="37"/>
        <v>51644</v>
      </c>
      <c r="I272" s="474">
        <v>0</v>
      </c>
      <c r="J272" s="472"/>
      <c r="K272" s="472">
        <v>51644</v>
      </c>
      <c r="L272" s="472"/>
      <c r="M272" s="473">
        <f t="shared" si="38"/>
        <v>51644</v>
      </c>
      <c r="N272" s="474">
        <v>0</v>
      </c>
      <c r="O272" s="472"/>
      <c r="P272" s="472">
        <v>51644</v>
      </c>
      <c r="Q272" s="472"/>
      <c r="R272" s="473">
        <f t="shared" si="39"/>
        <v>51644</v>
      </c>
    </row>
    <row r="273" spans="1:18" s="6" customFormat="1" ht="11.4">
      <c r="A273" s="1072" t="s">
        <v>100</v>
      </c>
      <c r="B273" s="1073" t="s">
        <v>101</v>
      </c>
      <c r="C273" s="1083">
        <v>0</v>
      </c>
      <c r="D273" s="1083">
        <v>0</v>
      </c>
      <c r="E273" s="1084"/>
      <c r="F273" s="1084">
        <f>F274</f>
        <v>51644</v>
      </c>
      <c r="G273" s="1084"/>
      <c r="H273" s="1085">
        <f t="shared" si="37"/>
        <v>51644</v>
      </c>
      <c r="I273" s="1086">
        <v>0</v>
      </c>
      <c r="J273" s="1084"/>
      <c r="K273" s="1084">
        <f>K274</f>
        <v>51644</v>
      </c>
      <c r="L273" s="1084"/>
      <c r="M273" s="1085">
        <f t="shared" si="38"/>
        <v>51644</v>
      </c>
      <c r="N273" s="1086">
        <v>0</v>
      </c>
      <c r="O273" s="1084"/>
      <c r="P273" s="1084">
        <f>P274</f>
        <v>51644</v>
      </c>
      <c r="Q273" s="1084"/>
      <c r="R273" s="1085">
        <f t="shared" si="39"/>
        <v>51644</v>
      </c>
    </row>
    <row r="274" spans="1:18" s="6" customFormat="1" ht="20.399999999999999">
      <c r="A274" s="1088" t="s">
        <v>102</v>
      </c>
      <c r="B274" s="471" t="s">
        <v>103</v>
      </c>
      <c r="C274" s="769">
        <v>0</v>
      </c>
      <c r="D274" s="769">
        <v>0</v>
      </c>
      <c r="E274" s="472"/>
      <c r="F274" s="472">
        <f>F275</f>
        <v>51644</v>
      </c>
      <c r="G274" s="472"/>
      <c r="H274" s="473">
        <f t="shared" si="37"/>
        <v>51644</v>
      </c>
      <c r="I274" s="474">
        <v>0</v>
      </c>
      <c r="J274" s="472"/>
      <c r="K274" s="472">
        <f>K275</f>
        <v>51644</v>
      </c>
      <c r="L274" s="472"/>
      <c r="M274" s="473">
        <f t="shared" si="38"/>
        <v>51644</v>
      </c>
      <c r="N274" s="474">
        <v>0</v>
      </c>
      <c r="O274" s="472"/>
      <c r="P274" s="472">
        <f>P275</f>
        <v>51644</v>
      </c>
      <c r="Q274" s="472"/>
      <c r="R274" s="473">
        <f t="shared" si="39"/>
        <v>51644</v>
      </c>
    </row>
    <row r="275" spans="1:18" s="6" customFormat="1" ht="12">
      <c r="A275" s="1089" t="s">
        <v>185</v>
      </c>
      <c r="B275" s="471" t="s">
        <v>115</v>
      </c>
      <c r="C275" s="769">
        <v>0</v>
      </c>
      <c r="D275" s="769">
        <v>0</v>
      </c>
      <c r="E275" s="472"/>
      <c r="F275" s="472">
        <f>F276</f>
        <v>51644</v>
      </c>
      <c r="G275" s="472"/>
      <c r="H275" s="473">
        <f t="shared" si="37"/>
        <v>51644</v>
      </c>
      <c r="I275" s="474">
        <v>0</v>
      </c>
      <c r="J275" s="472"/>
      <c r="K275" s="472">
        <f>K276</f>
        <v>51644</v>
      </c>
      <c r="L275" s="472"/>
      <c r="M275" s="473">
        <f t="shared" si="38"/>
        <v>51644</v>
      </c>
      <c r="N275" s="474">
        <v>0</v>
      </c>
      <c r="O275" s="472"/>
      <c r="P275" s="472">
        <f>P276</f>
        <v>51644</v>
      </c>
      <c r="Q275" s="472"/>
      <c r="R275" s="473">
        <f t="shared" si="39"/>
        <v>51644</v>
      </c>
    </row>
    <row r="276" spans="1:18" s="6" customFormat="1" ht="24">
      <c r="A276" s="1090">
        <v>7400</v>
      </c>
      <c r="B276" s="894" t="s">
        <v>161</v>
      </c>
      <c r="C276" s="769">
        <v>0</v>
      </c>
      <c r="D276" s="769">
        <v>0</v>
      </c>
      <c r="E276" s="472"/>
      <c r="F276" s="472">
        <f>F277</f>
        <v>51644</v>
      </c>
      <c r="G276" s="472"/>
      <c r="H276" s="473">
        <f t="shared" si="37"/>
        <v>51644</v>
      </c>
      <c r="I276" s="474">
        <v>0</v>
      </c>
      <c r="J276" s="472"/>
      <c r="K276" s="472">
        <f>K277</f>
        <v>51644</v>
      </c>
      <c r="L276" s="472"/>
      <c r="M276" s="473">
        <f t="shared" si="38"/>
        <v>51644</v>
      </c>
      <c r="N276" s="474">
        <v>0</v>
      </c>
      <c r="O276" s="472"/>
      <c r="P276" s="472">
        <f>P277</f>
        <v>51644</v>
      </c>
      <c r="Q276" s="472"/>
      <c r="R276" s="473">
        <f t="shared" si="39"/>
        <v>51644</v>
      </c>
    </row>
    <row r="277" spans="1:18" s="6" customFormat="1" ht="48">
      <c r="A277" s="1091">
        <v>7470</v>
      </c>
      <c r="B277" s="893" t="s">
        <v>167</v>
      </c>
      <c r="C277" s="769">
        <v>0</v>
      </c>
      <c r="D277" s="769">
        <v>0</v>
      </c>
      <c r="E277" s="472"/>
      <c r="F277" s="472">
        <v>51644</v>
      </c>
      <c r="G277" s="472"/>
      <c r="H277" s="473">
        <f t="shared" si="37"/>
        <v>51644</v>
      </c>
      <c r="I277" s="474">
        <v>0</v>
      </c>
      <c r="J277" s="472"/>
      <c r="K277" s="472">
        <v>51644</v>
      </c>
      <c r="L277" s="472"/>
      <c r="M277" s="473">
        <f t="shared" si="38"/>
        <v>51644</v>
      </c>
      <c r="N277" s="474">
        <v>0</v>
      </c>
      <c r="O277" s="472"/>
      <c r="P277" s="472">
        <v>51644</v>
      </c>
      <c r="Q277" s="472"/>
      <c r="R277" s="473">
        <f t="shared" si="39"/>
        <v>51644</v>
      </c>
    </row>
    <row r="278" spans="1:18" s="6" customFormat="1" ht="91.2">
      <c r="A278" s="1077" t="s">
        <v>250</v>
      </c>
      <c r="B278" s="1078" t="s">
        <v>261</v>
      </c>
      <c r="C278" s="1079"/>
      <c r="D278" s="1080"/>
      <c r="E278" s="1079"/>
      <c r="F278" s="1080"/>
      <c r="G278" s="1080"/>
      <c r="H278" s="1080"/>
      <c r="I278" s="1080"/>
      <c r="J278" s="1079"/>
      <c r="K278" s="1080"/>
      <c r="L278" s="1080"/>
      <c r="M278" s="1080"/>
      <c r="N278" s="1080"/>
      <c r="O278" s="1079"/>
      <c r="P278" s="1080"/>
      <c r="Q278" s="1080"/>
      <c r="R278" s="1080"/>
    </row>
    <row r="279" spans="1:18" s="6" customFormat="1" ht="20.399999999999999">
      <c r="A279" s="1081" t="s">
        <v>201</v>
      </c>
      <c r="B279" s="1082" t="s">
        <v>88</v>
      </c>
      <c r="C279" s="1083">
        <v>0</v>
      </c>
      <c r="D279" s="1083">
        <v>0</v>
      </c>
      <c r="E279" s="1084"/>
      <c r="F279" s="1084">
        <f>F280</f>
        <v>174355</v>
      </c>
      <c r="G279" s="1084"/>
      <c r="H279" s="1085">
        <f t="shared" ref="H279:H286" si="40">SUM(D279:G279)</f>
        <v>174355</v>
      </c>
      <c r="I279" s="1086">
        <v>0</v>
      </c>
      <c r="J279" s="1084"/>
      <c r="K279" s="1084">
        <f>K280</f>
        <v>174355</v>
      </c>
      <c r="L279" s="1084"/>
      <c r="M279" s="1085">
        <f t="shared" ref="M279:M286" si="41">SUM(I279:L279)</f>
        <v>174355</v>
      </c>
      <c r="N279" s="1086">
        <v>0</v>
      </c>
      <c r="O279" s="1084"/>
      <c r="P279" s="1084">
        <f>P280</f>
        <v>174355</v>
      </c>
      <c r="Q279" s="1084"/>
      <c r="R279" s="1085">
        <f t="shared" ref="R279:R286" si="42">SUM(N279:Q279)</f>
        <v>174355</v>
      </c>
    </row>
    <row r="280" spans="1:18" s="6" customFormat="1" ht="12">
      <c r="A280" s="1087">
        <v>21700</v>
      </c>
      <c r="B280" s="471" t="s">
        <v>97</v>
      </c>
      <c r="C280" s="769">
        <v>0</v>
      </c>
      <c r="D280" s="769">
        <v>0</v>
      </c>
      <c r="E280" s="472"/>
      <c r="F280" s="472">
        <f>F281</f>
        <v>174355</v>
      </c>
      <c r="G280" s="472"/>
      <c r="H280" s="473">
        <f t="shared" si="40"/>
        <v>174355</v>
      </c>
      <c r="I280" s="474">
        <v>0</v>
      </c>
      <c r="J280" s="472"/>
      <c r="K280" s="472">
        <f>K281</f>
        <v>174355</v>
      </c>
      <c r="L280" s="472"/>
      <c r="M280" s="473">
        <f t="shared" si="41"/>
        <v>174355</v>
      </c>
      <c r="N280" s="474">
        <v>0</v>
      </c>
      <c r="O280" s="472"/>
      <c r="P280" s="472">
        <f>P281</f>
        <v>174355</v>
      </c>
      <c r="Q280" s="472"/>
      <c r="R280" s="473">
        <f t="shared" si="42"/>
        <v>174355</v>
      </c>
    </row>
    <row r="281" spans="1:18" s="6" customFormat="1" ht="24">
      <c r="A281" s="1049">
        <v>21710</v>
      </c>
      <c r="B281" s="768" t="s">
        <v>98</v>
      </c>
      <c r="C281" s="769">
        <v>0</v>
      </c>
      <c r="D281" s="769">
        <v>0</v>
      </c>
      <c r="E281" s="472"/>
      <c r="F281" s="472">
        <v>174355</v>
      </c>
      <c r="G281" s="472"/>
      <c r="H281" s="473">
        <f t="shared" si="40"/>
        <v>174355</v>
      </c>
      <c r="I281" s="474">
        <v>0</v>
      </c>
      <c r="J281" s="472"/>
      <c r="K281" s="472">
        <v>174355</v>
      </c>
      <c r="L281" s="472"/>
      <c r="M281" s="473">
        <f t="shared" si="41"/>
        <v>174355</v>
      </c>
      <c r="N281" s="474">
        <v>0</v>
      </c>
      <c r="O281" s="472"/>
      <c r="P281" s="472">
        <v>174355</v>
      </c>
      <c r="Q281" s="472"/>
      <c r="R281" s="473">
        <f t="shared" si="42"/>
        <v>174355</v>
      </c>
    </row>
    <row r="282" spans="1:18" s="6" customFormat="1" ht="11.4">
      <c r="A282" s="1072" t="s">
        <v>100</v>
      </c>
      <c r="B282" s="1073" t="s">
        <v>101</v>
      </c>
      <c r="C282" s="1083">
        <v>0</v>
      </c>
      <c r="D282" s="1083">
        <v>0</v>
      </c>
      <c r="E282" s="1084"/>
      <c r="F282" s="1084">
        <f>F283</f>
        <v>174355</v>
      </c>
      <c r="G282" s="1084"/>
      <c r="H282" s="1085">
        <f t="shared" si="40"/>
        <v>174355</v>
      </c>
      <c r="I282" s="1086">
        <v>0</v>
      </c>
      <c r="J282" s="1084"/>
      <c r="K282" s="1084">
        <f>K283</f>
        <v>174355</v>
      </c>
      <c r="L282" s="1084"/>
      <c r="M282" s="1085">
        <f t="shared" si="41"/>
        <v>174355</v>
      </c>
      <c r="N282" s="1086">
        <v>0</v>
      </c>
      <c r="O282" s="1084"/>
      <c r="P282" s="1084">
        <f>P283</f>
        <v>174355</v>
      </c>
      <c r="Q282" s="1084"/>
      <c r="R282" s="1085">
        <f t="shared" si="42"/>
        <v>174355</v>
      </c>
    </row>
    <row r="283" spans="1:18" s="6" customFormat="1" ht="20.399999999999999">
      <c r="A283" s="1088" t="s">
        <v>102</v>
      </c>
      <c r="B283" s="471" t="s">
        <v>103</v>
      </c>
      <c r="C283" s="769">
        <v>0</v>
      </c>
      <c r="D283" s="769">
        <v>0</v>
      </c>
      <c r="E283" s="472"/>
      <c r="F283" s="472">
        <f>F284</f>
        <v>174355</v>
      </c>
      <c r="G283" s="472"/>
      <c r="H283" s="473">
        <f t="shared" si="40"/>
        <v>174355</v>
      </c>
      <c r="I283" s="474">
        <v>0</v>
      </c>
      <c r="J283" s="472"/>
      <c r="K283" s="472">
        <f>K284</f>
        <v>174355</v>
      </c>
      <c r="L283" s="472"/>
      <c r="M283" s="473">
        <f t="shared" si="41"/>
        <v>174355</v>
      </c>
      <c r="N283" s="474">
        <v>0</v>
      </c>
      <c r="O283" s="472"/>
      <c r="P283" s="472">
        <f>P284</f>
        <v>174355</v>
      </c>
      <c r="Q283" s="472"/>
      <c r="R283" s="473">
        <f t="shared" si="42"/>
        <v>174355</v>
      </c>
    </row>
    <row r="284" spans="1:18" s="6" customFormat="1" ht="12">
      <c r="A284" s="1089" t="s">
        <v>185</v>
      </c>
      <c r="B284" s="471" t="s">
        <v>115</v>
      </c>
      <c r="C284" s="769">
        <v>0</v>
      </c>
      <c r="D284" s="769">
        <v>0</v>
      </c>
      <c r="E284" s="472"/>
      <c r="F284" s="472">
        <f>F285</f>
        <v>174355</v>
      </c>
      <c r="G284" s="472"/>
      <c r="H284" s="473">
        <f t="shared" si="40"/>
        <v>174355</v>
      </c>
      <c r="I284" s="474">
        <v>0</v>
      </c>
      <c r="J284" s="472"/>
      <c r="K284" s="472">
        <f>K285</f>
        <v>174355</v>
      </c>
      <c r="L284" s="472"/>
      <c r="M284" s="473">
        <f t="shared" si="41"/>
        <v>174355</v>
      </c>
      <c r="N284" s="474">
        <v>0</v>
      </c>
      <c r="O284" s="472"/>
      <c r="P284" s="472">
        <f>P285</f>
        <v>174355</v>
      </c>
      <c r="Q284" s="472"/>
      <c r="R284" s="473">
        <f t="shared" si="42"/>
        <v>174355</v>
      </c>
    </row>
    <row r="285" spans="1:18" s="6" customFormat="1" ht="24">
      <c r="A285" s="1090">
        <v>7400</v>
      </c>
      <c r="B285" s="894" t="s">
        <v>161</v>
      </c>
      <c r="C285" s="769">
        <v>0</v>
      </c>
      <c r="D285" s="769">
        <v>0</v>
      </c>
      <c r="E285" s="472"/>
      <c r="F285" s="472">
        <f>F286</f>
        <v>174355</v>
      </c>
      <c r="G285" s="472"/>
      <c r="H285" s="473">
        <f t="shared" si="40"/>
        <v>174355</v>
      </c>
      <c r="I285" s="474">
        <v>0</v>
      </c>
      <c r="J285" s="472"/>
      <c r="K285" s="472">
        <f>K286</f>
        <v>174355</v>
      </c>
      <c r="L285" s="472"/>
      <c r="M285" s="473">
        <f t="shared" si="41"/>
        <v>174355</v>
      </c>
      <c r="N285" s="474">
        <v>0</v>
      </c>
      <c r="O285" s="472"/>
      <c r="P285" s="472">
        <f>P286</f>
        <v>174355</v>
      </c>
      <c r="Q285" s="472"/>
      <c r="R285" s="473">
        <f t="shared" si="42"/>
        <v>174355</v>
      </c>
    </row>
    <row r="286" spans="1:18" s="6" customFormat="1" ht="48">
      <c r="A286" s="1091">
        <v>7470</v>
      </c>
      <c r="B286" s="893" t="s">
        <v>167</v>
      </c>
      <c r="C286" s="769">
        <v>0</v>
      </c>
      <c r="D286" s="769">
        <v>0</v>
      </c>
      <c r="E286" s="472"/>
      <c r="F286" s="472">
        <v>174355</v>
      </c>
      <c r="G286" s="472"/>
      <c r="H286" s="473">
        <f t="shared" si="40"/>
        <v>174355</v>
      </c>
      <c r="I286" s="474">
        <v>0</v>
      </c>
      <c r="J286" s="472"/>
      <c r="K286" s="472">
        <v>174355</v>
      </c>
      <c r="L286" s="472"/>
      <c r="M286" s="473">
        <f t="shared" si="41"/>
        <v>174355</v>
      </c>
      <c r="N286" s="474">
        <v>0</v>
      </c>
      <c r="O286" s="472"/>
      <c r="P286" s="472">
        <v>174355</v>
      </c>
      <c r="Q286" s="472"/>
      <c r="R286" s="473">
        <f t="shared" si="42"/>
        <v>174355</v>
      </c>
    </row>
    <row r="287" spans="1:18" s="6" customFormat="1" ht="91.2">
      <c r="A287" s="1077" t="s">
        <v>257</v>
      </c>
      <c r="B287" s="1078" t="s">
        <v>323</v>
      </c>
      <c r="C287" s="1079"/>
      <c r="D287" s="1080"/>
      <c r="E287" s="1079"/>
      <c r="F287" s="1080"/>
      <c r="G287" s="1080"/>
      <c r="H287" s="1080"/>
      <c r="I287" s="1080"/>
      <c r="J287" s="1079"/>
      <c r="K287" s="1080"/>
      <c r="L287" s="1080"/>
      <c r="M287" s="1080"/>
      <c r="N287" s="1080"/>
      <c r="O287" s="1079"/>
      <c r="P287" s="1080"/>
      <c r="Q287" s="1080"/>
      <c r="R287" s="1080"/>
    </row>
    <row r="288" spans="1:18" s="6" customFormat="1" ht="20.399999999999999">
      <c r="A288" s="1081" t="s">
        <v>201</v>
      </c>
      <c r="B288" s="1082" t="s">
        <v>88</v>
      </c>
      <c r="C288" s="1092">
        <f>C289</f>
        <v>0</v>
      </c>
      <c r="D288" s="1092">
        <v>0</v>
      </c>
      <c r="E288" s="1086"/>
      <c r="F288" s="1086">
        <f>F289</f>
        <v>890272</v>
      </c>
      <c r="G288" s="1086"/>
      <c r="H288" s="1086">
        <f t="shared" ref="H288:H294" si="43">SUM(D288:G288)</f>
        <v>890272</v>
      </c>
      <c r="I288" s="1086">
        <v>0</v>
      </c>
      <c r="J288" s="1086"/>
      <c r="K288" s="1086">
        <f>K289</f>
        <v>890272</v>
      </c>
      <c r="L288" s="1086"/>
      <c r="M288" s="1086">
        <f t="shared" ref="M288:M294" si="44">SUM(I288:L288)</f>
        <v>890272</v>
      </c>
      <c r="N288" s="1086">
        <v>0</v>
      </c>
      <c r="O288" s="1086"/>
      <c r="P288" s="1086">
        <f>P289</f>
        <v>890272</v>
      </c>
      <c r="Q288" s="1086"/>
      <c r="R288" s="1086">
        <f t="shared" ref="R288:R294" si="45">SUM(N288:Q288)</f>
        <v>890272</v>
      </c>
    </row>
    <row r="289" spans="1:18" s="6" customFormat="1" ht="12">
      <c r="A289" s="1087">
        <v>21700</v>
      </c>
      <c r="B289" s="471" t="s">
        <v>97</v>
      </c>
      <c r="C289" s="770">
        <f>C290</f>
        <v>0</v>
      </c>
      <c r="D289" s="770">
        <v>0</v>
      </c>
      <c r="E289" s="474"/>
      <c r="F289" s="474">
        <f>F290</f>
        <v>890272</v>
      </c>
      <c r="G289" s="474"/>
      <c r="H289" s="474">
        <f t="shared" si="43"/>
        <v>890272</v>
      </c>
      <c r="I289" s="474">
        <v>0</v>
      </c>
      <c r="J289" s="474"/>
      <c r="K289" s="474">
        <f>K290</f>
        <v>890272</v>
      </c>
      <c r="L289" s="474"/>
      <c r="M289" s="474">
        <f t="shared" si="44"/>
        <v>890272</v>
      </c>
      <c r="N289" s="474">
        <v>0</v>
      </c>
      <c r="O289" s="474"/>
      <c r="P289" s="474">
        <f>P290</f>
        <v>890272</v>
      </c>
      <c r="Q289" s="474"/>
      <c r="R289" s="474">
        <f t="shared" si="45"/>
        <v>890272</v>
      </c>
    </row>
    <row r="290" spans="1:18" s="6" customFormat="1" ht="24">
      <c r="A290" s="1049">
        <v>21710</v>
      </c>
      <c r="B290" s="768" t="s">
        <v>98</v>
      </c>
      <c r="C290" s="770">
        <v>0</v>
      </c>
      <c r="D290" s="770">
        <v>0</v>
      </c>
      <c r="E290" s="474"/>
      <c r="F290" s="474">
        <v>890272</v>
      </c>
      <c r="G290" s="474"/>
      <c r="H290" s="474">
        <f t="shared" si="43"/>
        <v>890272</v>
      </c>
      <c r="I290" s="474">
        <v>0</v>
      </c>
      <c r="J290" s="474"/>
      <c r="K290" s="474">
        <v>890272</v>
      </c>
      <c r="L290" s="474"/>
      <c r="M290" s="474">
        <f t="shared" si="44"/>
        <v>890272</v>
      </c>
      <c r="N290" s="474">
        <v>0</v>
      </c>
      <c r="O290" s="474"/>
      <c r="P290" s="474">
        <v>890272</v>
      </c>
      <c r="Q290" s="474"/>
      <c r="R290" s="474">
        <f t="shared" si="45"/>
        <v>890272</v>
      </c>
    </row>
    <row r="291" spans="1:18" s="6" customFormat="1" ht="11.4">
      <c r="A291" s="1072" t="s">
        <v>100</v>
      </c>
      <c r="B291" s="1073" t="s">
        <v>101</v>
      </c>
      <c r="C291" s="1092">
        <f>C292</f>
        <v>0</v>
      </c>
      <c r="D291" s="1092">
        <v>0</v>
      </c>
      <c r="E291" s="1086"/>
      <c r="F291" s="1086">
        <f>F292</f>
        <v>890272</v>
      </c>
      <c r="G291" s="1086"/>
      <c r="H291" s="1086">
        <f t="shared" si="43"/>
        <v>890272</v>
      </c>
      <c r="I291" s="1086">
        <v>0</v>
      </c>
      <c r="J291" s="1086"/>
      <c r="K291" s="1086">
        <f>K292</f>
        <v>890272</v>
      </c>
      <c r="L291" s="1086"/>
      <c r="M291" s="1086">
        <f t="shared" si="44"/>
        <v>890272</v>
      </c>
      <c r="N291" s="1086">
        <v>0</v>
      </c>
      <c r="O291" s="1086"/>
      <c r="P291" s="1086">
        <f>P292</f>
        <v>890272</v>
      </c>
      <c r="Q291" s="1086"/>
      <c r="R291" s="1086">
        <f t="shared" si="45"/>
        <v>890272</v>
      </c>
    </row>
    <row r="292" spans="1:18" s="6" customFormat="1" ht="20.399999999999999">
      <c r="A292" s="1088" t="s">
        <v>102</v>
      </c>
      <c r="B292" s="471" t="s">
        <v>103</v>
      </c>
      <c r="C292" s="780">
        <f>C293</f>
        <v>0</v>
      </c>
      <c r="D292" s="780">
        <v>0</v>
      </c>
      <c r="E292" s="474"/>
      <c r="F292" s="474">
        <f>F293</f>
        <v>890272</v>
      </c>
      <c r="G292" s="474"/>
      <c r="H292" s="474">
        <f t="shared" si="43"/>
        <v>890272</v>
      </c>
      <c r="I292" s="474">
        <v>0</v>
      </c>
      <c r="J292" s="474"/>
      <c r="K292" s="474">
        <f>K293</f>
        <v>890272</v>
      </c>
      <c r="L292" s="474"/>
      <c r="M292" s="474">
        <f t="shared" si="44"/>
        <v>890272</v>
      </c>
      <c r="N292" s="474">
        <v>0</v>
      </c>
      <c r="O292" s="474"/>
      <c r="P292" s="474">
        <f>P293</f>
        <v>890272</v>
      </c>
      <c r="Q292" s="474"/>
      <c r="R292" s="474">
        <f t="shared" si="45"/>
        <v>890272</v>
      </c>
    </row>
    <row r="293" spans="1:18" s="6" customFormat="1" ht="12">
      <c r="A293" s="1088" t="s">
        <v>104</v>
      </c>
      <c r="B293" s="471" t="s">
        <v>105</v>
      </c>
      <c r="C293" s="780">
        <f>C294</f>
        <v>0</v>
      </c>
      <c r="D293" s="780">
        <v>0</v>
      </c>
      <c r="E293" s="474"/>
      <c r="F293" s="474">
        <f>F294</f>
        <v>890272</v>
      </c>
      <c r="G293" s="474"/>
      <c r="H293" s="474">
        <f t="shared" si="43"/>
        <v>890272</v>
      </c>
      <c r="I293" s="474">
        <v>0</v>
      </c>
      <c r="J293" s="474"/>
      <c r="K293" s="474">
        <f>K294</f>
        <v>890272</v>
      </c>
      <c r="L293" s="474"/>
      <c r="M293" s="474">
        <f t="shared" si="44"/>
        <v>890272</v>
      </c>
      <c r="N293" s="474">
        <v>0</v>
      </c>
      <c r="O293" s="474"/>
      <c r="P293" s="474">
        <f>P294</f>
        <v>890272</v>
      </c>
      <c r="Q293" s="474"/>
      <c r="R293" s="474">
        <f t="shared" si="45"/>
        <v>890272</v>
      </c>
    </row>
    <row r="294" spans="1:18" s="6" customFormat="1" ht="12">
      <c r="A294" s="478">
        <v>2000</v>
      </c>
      <c r="B294" s="471" t="s">
        <v>108</v>
      </c>
      <c r="C294" s="780">
        <v>0</v>
      </c>
      <c r="D294" s="780">
        <v>0</v>
      </c>
      <c r="E294" s="474"/>
      <c r="F294" s="474">
        <v>890272</v>
      </c>
      <c r="G294" s="474"/>
      <c r="H294" s="474">
        <f t="shared" si="43"/>
        <v>890272</v>
      </c>
      <c r="I294" s="474">
        <v>0</v>
      </c>
      <c r="J294" s="474"/>
      <c r="K294" s="474">
        <v>890272</v>
      </c>
      <c r="L294" s="474"/>
      <c r="M294" s="474">
        <f t="shared" si="44"/>
        <v>890272</v>
      </c>
      <c r="N294" s="474">
        <v>0</v>
      </c>
      <c r="O294" s="474"/>
      <c r="P294" s="474">
        <v>890272</v>
      </c>
      <c r="Q294" s="474"/>
      <c r="R294" s="474">
        <f t="shared" si="45"/>
        <v>890272</v>
      </c>
    </row>
    <row r="295" spans="1:18" s="6" customFormat="1" ht="91.2">
      <c r="A295" s="1077" t="s">
        <v>324</v>
      </c>
      <c r="B295" s="1078" t="s">
        <v>325</v>
      </c>
      <c r="C295" s="1093"/>
      <c r="D295" s="1094"/>
      <c r="E295" s="1093"/>
      <c r="F295" s="1094"/>
      <c r="G295" s="1094"/>
      <c r="H295" s="1094"/>
      <c r="I295" s="1094"/>
      <c r="J295" s="1093"/>
      <c r="K295" s="1094"/>
      <c r="L295" s="1094"/>
      <c r="M295" s="1094"/>
      <c r="N295" s="1094"/>
      <c r="O295" s="1093"/>
      <c r="P295" s="1094"/>
      <c r="Q295" s="1094"/>
      <c r="R295" s="1094"/>
    </row>
    <row r="296" spans="1:18" s="6" customFormat="1" ht="20.399999999999999">
      <c r="A296" s="1081" t="s">
        <v>201</v>
      </c>
      <c r="B296" s="1082" t="s">
        <v>88</v>
      </c>
      <c r="C296" s="1092">
        <v>0</v>
      </c>
      <c r="D296" s="1092">
        <v>0</v>
      </c>
      <c r="E296" s="1086"/>
      <c r="F296" s="1086">
        <f>F297</f>
        <v>1758570</v>
      </c>
      <c r="G296" s="1086"/>
      <c r="H296" s="1086">
        <f>SUM(D296:G296)</f>
        <v>1758570</v>
      </c>
      <c r="I296" s="1086">
        <v>0</v>
      </c>
      <c r="J296" s="1086"/>
      <c r="K296" s="1086">
        <f>K297</f>
        <v>1758570</v>
      </c>
      <c r="L296" s="1086"/>
      <c r="M296" s="1086">
        <f>SUM(I296:L296)</f>
        <v>1758570</v>
      </c>
      <c r="N296" s="1086">
        <v>0</v>
      </c>
      <c r="O296" s="1086"/>
      <c r="P296" s="1086">
        <f>P297</f>
        <v>1758570</v>
      </c>
      <c r="Q296" s="1086"/>
      <c r="R296" s="1086">
        <f>SUM(N296:Q296)</f>
        <v>1758570</v>
      </c>
    </row>
    <row r="297" spans="1:18" s="6" customFormat="1" ht="12">
      <c r="A297" s="1087">
        <v>21700</v>
      </c>
      <c r="B297" s="471" t="s">
        <v>97</v>
      </c>
      <c r="C297" s="770">
        <v>0</v>
      </c>
      <c r="D297" s="770">
        <v>0</v>
      </c>
      <c r="E297" s="474"/>
      <c r="F297" s="474">
        <f>F298</f>
        <v>1758570</v>
      </c>
      <c r="G297" s="474"/>
      <c r="H297" s="474">
        <f>SUM(D297:G297)</f>
        <v>1758570</v>
      </c>
      <c r="I297" s="474">
        <v>0</v>
      </c>
      <c r="J297" s="474"/>
      <c r="K297" s="474">
        <f>K298</f>
        <v>1758570</v>
      </c>
      <c r="L297" s="474"/>
      <c r="M297" s="474">
        <f>SUM(I297:L297)</f>
        <v>1758570</v>
      </c>
      <c r="N297" s="474">
        <v>0</v>
      </c>
      <c r="O297" s="474"/>
      <c r="P297" s="474">
        <f>P298</f>
        <v>1758570</v>
      </c>
      <c r="Q297" s="474"/>
      <c r="R297" s="474">
        <f>SUM(N297:Q297)</f>
        <v>1758570</v>
      </c>
    </row>
    <row r="298" spans="1:18" s="6" customFormat="1" ht="24">
      <c r="A298" s="1049">
        <v>21710</v>
      </c>
      <c r="B298" s="768" t="s">
        <v>98</v>
      </c>
      <c r="C298" s="770">
        <v>0</v>
      </c>
      <c r="D298" s="770">
        <v>0</v>
      </c>
      <c r="E298" s="474"/>
      <c r="F298" s="474">
        <v>1758570</v>
      </c>
      <c r="G298" s="474"/>
      <c r="H298" s="474">
        <f>SUM(D298:G298)</f>
        <v>1758570</v>
      </c>
      <c r="I298" s="474">
        <v>0</v>
      </c>
      <c r="J298" s="474"/>
      <c r="K298" s="474">
        <v>1758570</v>
      </c>
      <c r="L298" s="474"/>
      <c r="M298" s="474">
        <f>SUM(I298:L298)</f>
        <v>1758570</v>
      </c>
      <c r="N298" s="474">
        <v>0</v>
      </c>
      <c r="O298" s="474"/>
      <c r="P298" s="474">
        <v>1758570</v>
      </c>
      <c r="Q298" s="474"/>
      <c r="R298" s="474">
        <f>SUM(N298:Q298)</f>
        <v>1758570</v>
      </c>
    </row>
    <row r="299" spans="1:18" s="6" customFormat="1" ht="11.4">
      <c r="A299" s="1072" t="s">
        <v>100</v>
      </c>
      <c r="B299" s="1073" t="s">
        <v>101</v>
      </c>
      <c r="C299" s="1092">
        <v>0</v>
      </c>
      <c r="D299" s="1092">
        <v>0</v>
      </c>
      <c r="E299" s="1086"/>
      <c r="F299" s="1086">
        <f>F300</f>
        <v>1758570</v>
      </c>
      <c r="G299" s="1086"/>
      <c r="H299" s="1086">
        <f>SUM(D299:G299)</f>
        <v>1758570</v>
      </c>
      <c r="I299" s="1086">
        <v>0</v>
      </c>
      <c r="J299" s="1086"/>
      <c r="K299" s="1086">
        <f>K300</f>
        <v>1758570</v>
      </c>
      <c r="L299" s="1086"/>
      <c r="M299" s="1086">
        <f>SUM(I299:L299)</f>
        <v>1758570</v>
      </c>
      <c r="N299" s="1086">
        <v>0</v>
      </c>
      <c r="O299" s="1086"/>
      <c r="P299" s="1086">
        <f>P300</f>
        <v>1758570</v>
      </c>
      <c r="Q299" s="1086"/>
      <c r="R299" s="1086">
        <f>SUM(N299:Q299)</f>
        <v>1758570</v>
      </c>
    </row>
    <row r="300" spans="1:18" s="6" customFormat="1" ht="20.399999999999999">
      <c r="A300" s="1095" t="s">
        <v>102</v>
      </c>
      <c r="B300" s="1019" t="s">
        <v>103</v>
      </c>
      <c r="C300" s="1096">
        <v>0</v>
      </c>
      <c r="D300" s="1096">
        <v>0</v>
      </c>
      <c r="E300" s="971"/>
      <c r="F300" s="971">
        <f>+F301</f>
        <v>1758570</v>
      </c>
      <c r="G300" s="971"/>
      <c r="H300" s="971">
        <f>SUM(D300:G300)</f>
        <v>1758570</v>
      </c>
      <c r="I300" s="971">
        <v>0</v>
      </c>
      <c r="J300" s="971"/>
      <c r="K300" s="971">
        <f>+K301</f>
        <v>1758570</v>
      </c>
      <c r="L300" s="971"/>
      <c r="M300" s="971">
        <f>SUM(I300:L300)</f>
        <v>1758570</v>
      </c>
      <c r="N300" s="971">
        <v>0</v>
      </c>
      <c r="O300" s="971"/>
      <c r="P300" s="971">
        <f>+P301</f>
        <v>1758570</v>
      </c>
      <c r="Q300" s="971"/>
      <c r="R300" s="971">
        <f>SUM(N300:Q300)</f>
        <v>1758570</v>
      </c>
    </row>
    <row r="301" spans="1:18" s="6" customFormat="1" ht="11.4">
      <c r="A301" s="1095" t="s">
        <v>104</v>
      </c>
      <c r="B301" s="1019" t="s">
        <v>105</v>
      </c>
      <c r="C301" s="1096">
        <f>+C302</f>
        <v>0</v>
      </c>
      <c r="D301" s="1096">
        <f>+D302</f>
        <v>0</v>
      </c>
      <c r="E301" s="1096"/>
      <c r="F301" s="1096">
        <f>+F302</f>
        <v>1758570</v>
      </c>
      <c r="G301" s="1096"/>
      <c r="H301" s="1096">
        <f>+H302</f>
        <v>1758570</v>
      </c>
      <c r="I301" s="1096">
        <f>+I302</f>
        <v>0</v>
      </c>
      <c r="J301" s="1096"/>
      <c r="K301" s="1096">
        <f>+K302</f>
        <v>1758570</v>
      </c>
      <c r="L301" s="1096"/>
      <c r="M301" s="1096">
        <f>+M302</f>
        <v>1758570</v>
      </c>
      <c r="N301" s="1096">
        <f>+N302</f>
        <v>0</v>
      </c>
      <c r="O301" s="1096"/>
      <c r="P301" s="1096">
        <f>+P302</f>
        <v>1758570</v>
      </c>
      <c r="Q301" s="1096"/>
      <c r="R301" s="1096">
        <f>+R302</f>
        <v>1758570</v>
      </c>
    </row>
    <row r="302" spans="1:18" s="6" customFormat="1" ht="12">
      <c r="A302" s="767">
        <v>1000</v>
      </c>
      <c r="B302" s="768" t="s">
        <v>106</v>
      </c>
      <c r="C302" s="769">
        <v>0</v>
      </c>
      <c r="D302" s="769">
        <v>0</v>
      </c>
      <c r="E302" s="472"/>
      <c r="F302" s="474">
        <v>1758570</v>
      </c>
      <c r="G302" s="474"/>
      <c r="H302" s="473">
        <f>SUM(D302:G302)</f>
        <v>1758570</v>
      </c>
      <c r="I302" s="474">
        <v>0</v>
      </c>
      <c r="J302" s="472"/>
      <c r="K302" s="474">
        <v>1758570</v>
      </c>
      <c r="L302" s="474"/>
      <c r="M302" s="473">
        <f>SUM(I302:L302)</f>
        <v>1758570</v>
      </c>
      <c r="N302" s="474">
        <v>0</v>
      </c>
      <c r="O302" s="472"/>
      <c r="P302" s="474">
        <v>1758570</v>
      </c>
      <c r="Q302" s="474"/>
      <c r="R302" s="473">
        <f>SUM(N302:Q302)</f>
        <v>1758570</v>
      </c>
    </row>
    <row r="303" spans="1:18" s="6" customFormat="1" ht="79.8">
      <c r="A303" s="1077" t="s">
        <v>326</v>
      </c>
      <c r="B303" s="1078" t="s">
        <v>350</v>
      </c>
      <c r="C303" s="1093"/>
      <c r="D303" s="1094"/>
      <c r="E303" s="1093"/>
      <c r="F303" s="1094"/>
      <c r="G303" s="1094"/>
      <c r="H303" s="1094"/>
      <c r="I303" s="1094"/>
      <c r="J303" s="1093"/>
      <c r="K303" s="1094"/>
      <c r="L303" s="1094"/>
      <c r="M303" s="1094"/>
      <c r="N303" s="1094"/>
      <c r="O303" s="1093"/>
      <c r="P303" s="1094"/>
      <c r="Q303" s="1094"/>
      <c r="R303" s="1094"/>
    </row>
    <row r="304" spans="1:18" s="6" customFormat="1" ht="20.399999999999999">
      <c r="A304" s="1081" t="s">
        <v>201</v>
      </c>
      <c r="B304" s="1082" t="s">
        <v>88</v>
      </c>
      <c r="C304" s="1092">
        <v>0</v>
      </c>
      <c r="D304" s="1092">
        <v>0</v>
      </c>
      <c r="E304" s="1086"/>
      <c r="F304" s="1086">
        <f>F305</f>
        <v>12045</v>
      </c>
      <c r="G304" s="1086"/>
      <c r="H304" s="1086">
        <f>SUM(D304:G304)</f>
        <v>12045</v>
      </c>
      <c r="I304" s="1086">
        <v>0</v>
      </c>
      <c r="J304" s="1086"/>
      <c r="K304" s="1086">
        <f>K305</f>
        <v>12045</v>
      </c>
      <c r="L304" s="1086"/>
      <c r="M304" s="1086">
        <f>SUM(I304:L304)</f>
        <v>12045</v>
      </c>
      <c r="N304" s="1086">
        <v>0</v>
      </c>
      <c r="O304" s="1086"/>
      <c r="P304" s="1086">
        <f>P305</f>
        <v>12045</v>
      </c>
      <c r="Q304" s="1086"/>
      <c r="R304" s="1086">
        <f>SUM(N304:Q304)</f>
        <v>12045</v>
      </c>
    </row>
    <row r="305" spans="1:18" s="6" customFormat="1" ht="12">
      <c r="A305" s="1087">
        <v>21700</v>
      </c>
      <c r="B305" s="471" t="s">
        <v>97</v>
      </c>
      <c r="C305" s="770">
        <v>0</v>
      </c>
      <c r="D305" s="770">
        <v>0</v>
      </c>
      <c r="E305" s="474"/>
      <c r="F305" s="474">
        <f>F306</f>
        <v>12045</v>
      </c>
      <c r="G305" s="474"/>
      <c r="H305" s="474">
        <f>SUM(D305:G305)</f>
        <v>12045</v>
      </c>
      <c r="I305" s="474">
        <v>0</v>
      </c>
      <c r="J305" s="474"/>
      <c r="K305" s="474">
        <f>K306</f>
        <v>12045</v>
      </c>
      <c r="L305" s="474"/>
      <c r="M305" s="474">
        <f>SUM(I305:L305)</f>
        <v>12045</v>
      </c>
      <c r="N305" s="474">
        <v>0</v>
      </c>
      <c r="O305" s="474"/>
      <c r="P305" s="474">
        <f>P306</f>
        <v>12045</v>
      </c>
      <c r="Q305" s="474"/>
      <c r="R305" s="474">
        <f>SUM(N305:Q305)</f>
        <v>12045</v>
      </c>
    </row>
    <row r="306" spans="1:18" s="6" customFormat="1" ht="24">
      <c r="A306" s="1049">
        <v>21710</v>
      </c>
      <c r="B306" s="768" t="s">
        <v>98</v>
      </c>
      <c r="C306" s="770">
        <v>0</v>
      </c>
      <c r="D306" s="770">
        <v>0</v>
      </c>
      <c r="E306" s="474"/>
      <c r="F306" s="474">
        <v>12045</v>
      </c>
      <c r="G306" s="474"/>
      <c r="H306" s="474">
        <f>SUM(D306:G306)</f>
        <v>12045</v>
      </c>
      <c r="I306" s="474">
        <v>0</v>
      </c>
      <c r="J306" s="474"/>
      <c r="K306" s="474">
        <v>12045</v>
      </c>
      <c r="L306" s="474"/>
      <c r="M306" s="474">
        <f>SUM(I306:L306)</f>
        <v>12045</v>
      </c>
      <c r="N306" s="474">
        <v>0</v>
      </c>
      <c r="O306" s="474"/>
      <c r="P306" s="474">
        <v>12045</v>
      </c>
      <c r="Q306" s="474"/>
      <c r="R306" s="474">
        <f>SUM(N306:Q306)</f>
        <v>12045</v>
      </c>
    </row>
    <row r="307" spans="1:18" s="6" customFormat="1" ht="11.4">
      <c r="A307" s="1072" t="s">
        <v>100</v>
      </c>
      <c r="B307" s="1073" t="s">
        <v>101</v>
      </c>
      <c r="C307" s="1092">
        <v>0</v>
      </c>
      <c r="D307" s="1092">
        <v>0</v>
      </c>
      <c r="E307" s="1086"/>
      <c r="F307" s="1086">
        <f>F308</f>
        <v>12045</v>
      </c>
      <c r="G307" s="1086"/>
      <c r="H307" s="1086">
        <f>SUM(D307:G307)</f>
        <v>12045</v>
      </c>
      <c r="I307" s="1086">
        <v>0</v>
      </c>
      <c r="J307" s="1086"/>
      <c r="K307" s="1086">
        <f>K308</f>
        <v>12045</v>
      </c>
      <c r="L307" s="1086"/>
      <c r="M307" s="1086">
        <f>SUM(I307:L307)</f>
        <v>12045</v>
      </c>
      <c r="N307" s="1086">
        <v>0</v>
      </c>
      <c r="O307" s="1086"/>
      <c r="P307" s="1086">
        <f>P308</f>
        <v>12045</v>
      </c>
      <c r="Q307" s="1086"/>
      <c r="R307" s="1086">
        <f>SUM(N307:Q307)</f>
        <v>12045</v>
      </c>
    </row>
    <row r="308" spans="1:18" s="6" customFormat="1" ht="20.399999999999999">
      <c r="A308" s="1088" t="s">
        <v>102</v>
      </c>
      <c r="B308" s="471" t="s">
        <v>103</v>
      </c>
      <c r="C308" s="780">
        <v>0</v>
      </c>
      <c r="D308" s="780">
        <v>0</v>
      </c>
      <c r="E308" s="474"/>
      <c r="F308" s="474">
        <f>+F309</f>
        <v>12045</v>
      </c>
      <c r="G308" s="474"/>
      <c r="H308" s="474">
        <f>SUM(D308:G308)</f>
        <v>12045</v>
      </c>
      <c r="I308" s="474">
        <v>0</v>
      </c>
      <c r="J308" s="474"/>
      <c r="K308" s="474">
        <f>+K309</f>
        <v>12045</v>
      </c>
      <c r="L308" s="474"/>
      <c r="M308" s="474">
        <f>SUM(I308:L308)</f>
        <v>12045</v>
      </c>
      <c r="N308" s="474">
        <v>0</v>
      </c>
      <c r="O308" s="474"/>
      <c r="P308" s="474">
        <f>+P309</f>
        <v>12045</v>
      </c>
      <c r="Q308" s="474"/>
      <c r="R308" s="474">
        <f>SUM(N308:Q308)</f>
        <v>12045</v>
      </c>
    </row>
    <row r="309" spans="1:18" s="6" customFormat="1" ht="12">
      <c r="A309" s="1088" t="s">
        <v>104</v>
      </c>
      <c r="B309" s="471" t="s">
        <v>105</v>
      </c>
      <c r="C309" s="780">
        <f>+C310</f>
        <v>0</v>
      </c>
      <c r="D309" s="780">
        <f>+D310</f>
        <v>0</v>
      </c>
      <c r="E309" s="780"/>
      <c r="F309" s="780">
        <f>+F310</f>
        <v>12045</v>
      </c>
      <c r="G309" s="780"/>
      <c r="H309" s="780">
        <f>+H310</f>
        <v>12045</v>
      </c>
      <c r="I309" s="780">
        <f>+I310</f>
        <v>0</v>
      </c>
      <c r="J309" s="780"/>
      <c r="K309" s="780">
        <f>+K310</f>
        <v>12045</v>
      </c>
      <c r="L309" s="780"/>
      <c r="M309" s="780">
        <f>+M310</f>
        <v>12045</v>
      </c>
      <c r="N309" s="780">
        <f>+N310</f>
        <v>0</v>
      </c>
      <c r="O309" s="780"/>
      <c r="P309" s="780">
        <f>+P310</f>
        <v>12045</v>
      </c>
      <c r="Q309" s="780"/>
      <c r="R309" s="780">
        <f>+R310</f>
        <v>12045</v>
      </c>
    </row>
    <row r="310" spans="1:18" s="6" customFormat="1" ht="12">
      <c r="A310" s="767">
        <v>1000</v>
      </c>
      <c r="B310" s="768" t="s">
        <v>106</v>
      </c>
      <c r="C310" s="769">
        <v>0</v>
      </c>
      <c r="D310" s="769">
        <v>0</v>
      </c>
      <c r="E310" s="472"/>
      <c r="F310" s="474">
        <v>12045</v>
      </c>
      <c r="G310" s="474"/>
      <c r="H310" s="473">
        <f>SUM(D310:G310)</f>
        <v>12045</v>
      </c>
      <c r="I310" s="474">
        <v>0</v>
      </c>
      <c r="J310" s="472"/>
      <c r="K310" s="474">
        <v>12045</v>
      </c>
      <c r="L310" s="474"/>
      <c r="M310" s="473">
        <f>SUM(I310:L310)</f>
        <v>12045</v>
      </c>
      <c r="N310" s="474">
        <v>0</v>
      </c>
      <c r="O310" s="472"/>
      <c r="P310" s="474">
        <v>12045</v>
      </c>
      <c r="Q310" s="474"/>
      <c r="R310" s="473">
        <f>SUM(N310:Q310)</f>
        <v>12045</v>
      </c>
    </row>
    <row r="311" spans="1:18" s="6" customFormat="1" ht="79.8">
      <c r="A311" s="1077" t="s">
        <v>327</v>
      </c>
      <c r="B311" s="1078" t="s">
        <v>351</v>
      </c>
      <c r="C311" s="1093"/>
      <c r="D311" s="1094"/>
      <c r="E311" s="1093"/>
      <c r="F311" s="1094"/>
      <c r="G311" s="1094"/>
      <c r="H311" s="1094"/>
      <c r="I311" s="1094"/>
      <c r="J311" s="1093"/>
      <c r="K311" s="1094"/>
      <c r="L311" s="1094"/>
      <c r="M311" s="1094"/>
      <c r="N311" s="1094"/>
      <c r="O311" s="1093"/>
      <c r="P311" s="1094"/>
      <c r="Q311" s="1094"/>
      <c r="R311" s="1094"/>
    </row>
    <row r="312" spans="1:18" s="6" customFormat="1" ht="20.399999999999999">
      <c r="A312" s="1081" t="s">
        <v>201</v>
      </c>
      <c r="B312" s="1082" t="s">
        <v>88</v>
      </c>
      <c r="C312" s="1092">
        <v>0</v>
      </c>
      <c r="D312" s="1092">
        <v>0</v>
      </c>
      <c r="E312" s="1086"/>
      <c r="F312" s="1086">
        <f>F313</f>
        <v>8395</v>
      </c>
      <c r="G312" s="1086"/>
      <c r="H312" s="1086">
        <f>SUM(D312:G312)</f>
        <v>8395</v>
      </c>
      <c r="I312" s="1086">
        <v>0</v>
      </c>
      <c r="J312" s="1086"/>
      <c r="K312" s="1086">
        <f>K313</f>
        <v>8395</v>
      </c>
      <c r="L312" s="1086"/>
      <c r="M312" s="1086">
        <f>SUM(I312:L312)</f>
        <v>8395</v>
      </c>
      <c r="N312" s="1086">
        <v>0</v>
      </c>
      <c r="O312" s="1086"/>
      <c r="P312" s="1086">
        <f>P313</f>
        <v>8395</v>
      </c>
      <c r="Q312" s="1086"/>
      <c r="R312" s="1086">
        <f>SUM(N312:Q312)</f>
        <v>8395</v>
      </c>
    </row>
    <row r="313" spans="1:18" s="6" customFormat="1" ht="12">
      <c r="A313" s="1087">
        <v>21700</v>
      </c>
      <c r="B313" s="471" t="s">
        <v>97</v>
      </c>
      <c r="C313" s="770">
        <v>0</v>
      </c>
      <c r="D313" s="770">
        <v>0</v>
      </c>
      <c r="E313" s="474"/>
      <c r="F313" s="474">
        <f>F314</f>
        <v>8395</v>
      </c>
      <c r="G313" s="474"/>
      <c r="H313" s="474">
        <f>SUM(D313:G313)</f>
        <v>8395</v>
      </c>
      <c r="I313" s="474">
        <v>0</v>
      </c>
      <c r="J313" s="474"/>
      <c r="K313" s="474">
        <f>K314</f>
        <v>8395</v>
      </c>
      <c r="L313" s="474"/>
      <c r="M313" s="474">
        <f>SUM(I313:L313)</f>
        <v>8395</v>
      </c>
      <c r="N313" s="474">
        <v>0</v>
      </c>
      <c r="O313" s="474"/>
      <c r="P313" s="474">
        <f>P314</f>
        <v>8395</v>
      </c>
      <c r="Q313" s="474"/>
      <c r="R313" s="474">
        <f>SUM(N313:Q313)</f>
        <v>8395</v>
      </c>
    </row>
    <row r="314" spans="1:18" s="6" customFormat="1" ht="24">
      <c r="A314" s="1049">
        <v>21710</v>
      </c>
      <c r="B314" s="768" t="s">
        <v>98</v>
      </c>
      <c r="C314" s="770">
        <v>0</v>
      </c>
      <c r="D314" s="770">
        <v>0</v>
      </c>
      <c r="E314" s="474"/>
      <c r="F314" s="474">
        <v>8395</v>
      </c>
      <c r="G314" s="474"/>
      <c r="H314" s="474">
        <f>SUM(D314:G314)</f>
        <v>8395</v>
      </c>
      <c r="I314" s="474">
        <v>0</v>
      </c>
      <c r="J314" s="474"/>
      <c r="K314" s="474">
        <v>8395</v>
      </c>
      <c r="L314" s="474"/>
      <c r="M314" s="474">
        <f>SUM(I314:L314)</f>
        <v>8395</v>
      </c>
      <c r="N314" s="474">
        <v>0</v>
      </c>
      <c r="O314" s="474"/>
      <c r="P314" s="474">
        <v>8395</v>
      </c>
      <c r="Q314" s="474"/>
      <c r="R314" s="474">
        <f>SUM(N314:Q314)</f>
        <v>8395</v>
      </c>
    </row>
    <row r="315" spans="1:18" s="6" customFormat="1" ht="11.4">
      <c r="A315" s="1072" t="s">
        <v>100</v>
      </c>
      <c r="B315" s="1073" t="s">
        <v>101</v>
      </c>
      <c r="C315" s="1092">
        <v>0</v>
      </c>
      <c r="D315" s="1092">
        <v>0</v>
      </c>
      <c r="E315" s="1086"/>
      <c r="F315" s="1086">
        <f>F316</f>
        <v>8395</v>
      </c>
      <c r="G315" s="1086"/>
      <c r="H315" s="1086">
        <f>SUM(D315:G315)</f>
        <v>8395</v>
      </c>
      <c r="I315" s="1086">
        <v>0</v>
      </c>
      <c r="J315" s="1086"/>
      <c r="K315" s="1086">
        <f>K316</f>
        <v>8395</v>
      </c>
      <c r="L315" s="1086"/>
      <c r="M315" s="1086">
        <f>SUM(I315:L315)</f>
        <v>8395</v>
      </c>
      <c r="N315" s="1086">
        <v>0</v>
      </c>
      <c r="O315" s="1086"/>
      <c r="P315" s="1086">
        <f>P316</f>
        <v>8395</v>
      </c>
      <c r="Q315" s="1086"/>
      <c r="R315" s="1086">
        <f>SUM(N315:Q315)</f>
        <v>8395</v>
      </c>
    </row>
    <row r="316" spans="1:18" s="6" customFormat="1" ht="20.399999999999999">
      <c r="A316" s="1088" t="s">
        <v>102</v>
      </c>
      <c r="B316" s="471" t="s">
        <v>103</v>
      </c>
      <c r="C316" s="780">
        <v>0</v>
      </c>
      <c r="D316" s="780">
        <v>0</v>
      </c>
      <c r="E316" s="474"/>
      <c r="F316" s="474">
        <f>+F317</f>
        <v>8395</v>
      </c>
      <c r="G316" s="474"/>
      <c r="H316" s="474">
        <f>SUM(D316:G316)</f>
        <v>8395</v>
      </c>
      <c r="I316" s="474">
        <v>0</v>
      </c>
      <c r="J316" s="474"/>
      <c r="K316" s="474">
        <f>+K317</f>
        <v>8395</v>
      </c>
      <c r="L316" s="474"/>
      <c r="M316" s="474">
        <f>SUM(I316:L316)</f>
        <v>8395</v>
      </c>
      <c r="N316" s="474">
        <v>0</v>
      </c>
      <c r="O316" s="474"/>
      <c r="P316" s="474">
        <f>+P317</f>
        <v>8395</v>
      </c>
      <c r="Q316" s="474"/>
      <c r="R316" s="474">
        <f>SUM(N316:Q316)</f>
        <v>8395</v>
      </c>
    </row>
    <row r="317" spans="1:18" s="6" customFormat="1" ht="12">
      <c r="A317" s="1088" t="s">
        <v>104</v>
      </c>
      <c r="B317" s="471" t="s">
        <v>105</v>
      </c>
      <c r="C317" s="780">
        <f>+C318</f>
        <v>0</v>
      </c>
      <c r="D317" s="780">
        <f>+D318</f>
        <v>0</v>
      </c>
      <c r="E317" s="780"/>
      <c r="F317" s="780">
        <f>+F318</f>
        <v>8395</v>
      </c>
      <c r="G317" s="780"/>
      <c r="H317" s="780">
        <f>+H318</f>
        <v>8395</v>
      </c>
      <c r="I317" s="780">
        <f>+I318</f>
        <v>0</v>
      </c>
      <c r="J317" s="780"/>
      <c r="K317" s="780">
        <f>+K318</f>
        <v>8395</v>
      </c>
      <c r="L317" s="780"/>
      <c r="M317" s="780">
        <f>+M318</f>
        <v>8395</v>
      </c>
      <c r="N317" s="780">
        <f>+N318</f>
        <v>0</v>
      </c>
      <c r="O317" s="780"/>
      <c r="P317" s="780">
        <f>+P318</f>
        <v>8395</v>
      </c>
      <c r="Q317" s="780"/>
      <c r="R317" s="780">
        <f>+R318</f>
        <v>8395</v>
      </c>
    </row>
    <row r="318" spans="1:18" s="6" customFormat="1" ht="12">
      <c r="A318" s="767">
        <v>1000</v>
      </c>
      <c r="B318" s="768" t="s">
        <v>106</v>
      </c>
      <c r="C318" s="769">
        <v>0</v>
      </c>
      <c r="D318" s="769">
        <v>0</v>
      </c>
      <c r="E318" s="472"/>
      <c r="F318" s="474">
        <v>8395</v>
      </c>
      <c r="G318" s="474"/>
      <c r="H318" s="473">
        <f>SUM(D318:G318)</f>
        <v>8395</v>
      </c>
      <c r="I318" s="474">
        <v>0</v>
      </c>
      <c r="J318" s="472"/>
      <c r="K318" s="474">
        <v>8395</v>
      </c>
      <c r="L318" s="474"/>
      <c r="M318" s="473">
        <f>SUM(I318:L318)</f>
        <v>8395</v>
      </c>
      <c r="N318" s="474">
        <v>0</v>
      </c>
      <c r="O318" s="472"/>
      <c r="P318" s="474">
        <v>8395</v>
      </c>
      <c r="Q318" s="474"/>
      <c r="R318" s="473">
        <f>SUM(N318:Q318)</f>
        <v>8395</v>
      </c>
    </row>
    <row r="319" spans="1:18" s="6" customFormat="1" ht="68.400000000000006">
      <c r="A319" s="1077" t="s">
        <v>328</v>
      </c>
      <c r="B319" s="1078" t="s">
        <v>352</v>
      </c>
      <c r="C319" s="1093"/>
      <c r="D319" s="1094"/>
      <c r="E319" s="1093"/>
      <c r="F319" s="1094"/>
      <c r="G319" s="1094"/>
      <c r="H319" s="1094"/>
      <c r="I319" s="1094"/>
      <c r="J319" s="1093"/>
      <c r="K319" s="1094"/>
      <c r="L319" s="1094"/>
      <c r="M319" s="1094"/>
      <c r="N319" s="1094"/>
      <c r="O319" s="1093"/>
      <c r="P319" s="1094"/>
      <c r="Q319" s="1094"/>
      <c r="R319" s="1094"/>
    </row>
    <row r="320" spans="1:18" s="6" customFormat="1" ht="20.399999999999999">
      <c r="A320" s="1081" t="s">
        <v>201</v>
      </c>
      <c r="B320" s="1082" t="s">
        <v>88</v>
      </c>
      <c r="C320" s="1092">
        <v>0</v>
      </c>
      <c r="D320" s="1092">
        <v>0</v>
      </c>
      <c r="E320" s="1086"/>
      <c r="F320" s="1086">
        <f>F321</f>
        <v>3285</v>
      </c>
      <c r="G320" s="1086"/>
      <c r="H320" s="1086">
        <f>SUM(D320:G320)</f>
        <v>3285</v>
      </c>
      <c r="I320" s="1086">
        <v>0</v>
      </c>
      <c r="J320" s="1086"/>
      <c r="K320" s="1086">
        <f>K321</f>
        <v>3285</v>
      </c>
      <c r="L320" s="1086"/>
      <c r="M320" s="1086">
        <f>SUM(I320:L320)</f>
        <v>3285</v>
      </c>
      <c r="N320" s="1086">
        <v>0</v>
      </c>
      <c r="O320" s="1086"/>
      <c r="P320" s="1086">
        <f>P321</f>
        <v>3285</v>
      </c>
      <c r="Q320" s="1086"/>
      <c r="R320" s="1086">
        <f>SUM(N320:Q320)</f>
        <v>3285</v>
      </c>
    </row>
    <row r="321" spans="1:18" s="6" customFormat="1" ht="12">
      <c r="A321" s="1087">
        <v>21700</v>
      </c>
      <c r="B321" s="471" t="s">
        <v>97</v>
      </c>
      <c r="C321" s="770">
        <v>0</v>
      </c>
      <c r="D321" s="770">
        <v>0</v>
      </c>
      <c r="E321" s="474"/>
      <c r="F321" s="474">
        <f>F322</f>
        <v>3285</v>
      </c>
      <c r="G321" s="474"/>
      <c r="H321" s="474">
        <f>SUM(D321:G321)</f>
        <v>3285</v>
      </c>
      <c r="I321" s="474">
        <v>0</v>
      </c>
      <c r="J321" s="474"/>
      <c r="K321" s="474">
        <f>K322</f>
        <v>3285</v>
      </c>
      <c r="L321" s="474"/>
      <c r="M321" s="474">
        <f>SUM(I321:L321)</f>
        <v>3285</v>
      </c>
      <c r="N321" s="474">
        <v>0</v>
      </c>
      <c r="O321" s="474"/>
      <c r="P321" s="474">
        <f>P322</f>
        <v>3285</v>
      </c>
      <c r="Q321" s="474"/>
      <c r="R321" s="474">
        <f>SUM(N321:Q321)</f>
        <v>3285</v>
      </c>
    </row>
    <row r="322" spans="1:18" s="6" customFormat="1" ht="24">
      <c r="A322" s="1049">
        <v>21710</v>
      </c>
      <c r="B322" s="768" t="s">
        <v>98</v>
      </c>
      <c r="C322" s="770">
        <v>0</v>
      </c>
      <c r="D322" s="770">
        <v>0</v>
      </c>
      <c r="E322" s="474"/>
      <c r="F322" s="474">
        <v>3285</v>
      </c>
      <c r="G322" s="474"/>
      <c r="H322" s="474">
        <f>SUM(D322:G322)</f>
        <v>3285</v>
      </c>
      <c r="I322" s="474">
        <v>0</v>
      </c>
      <c r="J322" s="474"/>
      <c r="K322" s="474">
        <v>3285</v>
      </c>
      <c r="L322" s="474"/>
      <c r="M322" s="474">
        <f>SUM(I322:L322)</f>
        <v>3285</v>
      </c>
      <c r="N322" s="474">
        <v>0</v>
      </c>
      <c r="O322" s="474"/>
      <c r="P322" s="474">
        <v>3285</v>
      </c>
      <c r="Q322" s="474"/>
      <c r="R322" s="474">
        <f>SUM(N322:Q322)</f>
        <v>3285</v>
      </c>
    </row>
    <row r="323" spans="1:18" s="6" customFormat="1" ht="11.4">
      <c r="A323" s="1072" t="s">
        <v>100</v>
      </c>
      <c r="B323" s="1073" t="s">
        <v>101</v>
      </c>
      <c r="C323" s="1092">
        <v>0</v>
      </c>
      <c r="D323" s="1092">
        <v>0</v>
      </c>
      <c r="E323" s="1086"/>
      <c r="F323" s="1086">
        <f>F324</f>
        <v>3285</v>
      </c>
      <c r="G323" s="1086"/>
      <c r="H323" s="1086">
        <f>SUM(D323:G323)</f>
        <v>3285</v>
      </c>
      <c r="I323" s="1086">
        <v>0</v>
      </c>
      <c r="J323" s="1086"/>
      <c r="K323" s="1086">
        <f>K324</f>
        <v>3285</v>
      </c>
      <c r="L323" s="1086"/>
      <c r="M323" s="1086">
        <f>SUM(I323:L323)</f>
        <v>3285</v>
      </c>
      <c r="N323" s="1086">
        <v>0</v>
      </c>
      <c r="O323" s="1086"/>
      <c r="P323" s="1086">
        <f>P324</f>
        <v>3285</v>
      </c>
      <c r="Q323" s="1086"/>
      <c r="R323" s="1086">
        <f>SUM(N323:Q323)</f>
        <v>3285</v>
      </c>
    </row>
    <row r="324" spans="1:18" s="6" customFormat="1" ht="20.399999999999999">
      <c r="A324" s="1088" t="s">
        <v>102</v>
      </c>
      <c r="B324" s="471" t="s">
        <v>103</v>
      </c>
      <c r="C324" s="780">
        <v>0</v>
      </c>
      <c r="D324" s="780">
        <v>0</v>
      </c>
      <c r="E324" s="474"/>
      <c r="F324" s="474">
        <f>+F325</f>
        <v>3285</v>
      </c>
      <c r="G324" s="474"/>
      <c r="H324" s="474">
        <f>SUM(D324:G324)</f>
        <v>3285</v>
      </c>
      <c r="I324" s="474">
        <v>0</v>
      </c>
      <c r="J324" s="474"/>
      <c r="K324" s="474">
        <f>+K325</f>
        <v>3285</v>
      </c>
      <c r="L324" s="474"/>
      <c r="M324" s="474">
        <f>SUM(I324:L324)</f>
        <v>3285</v>
      </c>
      <c r="N324" s="474">
        <v>0</v>
      </c>
      <c r="O324" s="474"/>
      <c r="P324" s="474">
        <f>+P325</f>
        <v>3285</v>
      </c>
      <c r="Q324" s="474"/>
      <c r="R324" s="474">
        <f>SUM(N324:Q324)</f>
        <v>3285</v>
      </c>
    </row>
    <row r="325" spans="1:18" s="6" customFormat="1" ht="12">
      <c r="A325" s="1088" t="s">
        <v>104</v>
      </c>
      <c r="B325" s="471" t="s">
        <v>105</v>
      </c>
      <c r="C325" s="780">
        <f>+C326</f>
        <v>0</v>
      </c>
      <c r="D325" s="780">
        <f>+D326</f>
        <v>0</v>
      </c>
      <c r="E325" s="780"/>
      <c r="F325" s="780">
        <f>+F326</f>
        <v>3285</v>
      </c>
      <c r="G325" s="780"/>
      <c r="H325" s="780">
        <f>+H326</f>
        <v>3285</v>
      </c>
      <c r="I325" s="780">
        <f>+I326</f>
        <v>0</v>
      </c>
      <c r="J325" s="780"/>
      <c r="K325" s="780">
        <f>+K326</f>
        <v>3285</v>
      </c>
      <c r="L325" s="780"/>
      <c r="M325" s="780">
        <f>+M326</f>
        <v>3285</v>
      </c>
      <c r="N325" s="780">
        <f>+N326</f>
        <v>0</v>
      </c>
      <c r="O325" s="780"/>
      <c r="P325" s="780">
        <f>+P326</f>
        <v>3285</v>
      </c>
      <c r="Q325" s="780"/>
      <c r="R325" s="780">
        <f>+R326</f>
        <v>3285</v>
      </c>
    </row>
    <row r="326" spans="1:18" s="6" customFormat="1" ht="12">
      <c r="A326" s="478">
        <v>1000</v>
      </c>
      <c r="B326" s="471" t="s">
        <v>106</v>
      </c>
      <c r="C326" s="495">
        <v>0</v>
      </c>
      <c r="D326" s="495">
        <v>0</v>
      </c>
      <c r="E326" s="472"/>
      <c r="F326" s="474">
        <v>3285</v>
      </c>
      <c r="G326" s="474"/>
      <c r="H326" s="473">
        <f>SUM(D326:G326)</f>
        <v>3285</v>
      </c>
      <c r="I326" s="474">
        <v>0</v>
      </c>
      <c r="J326" s="472"/>
      <c r="K326" s="474">
        <v>3285</v>
      </c>
      <c r="L326" s="474"/>
      <c r="M326" s="473">
        <f>SUM(I326:L326)</f>
        <v>3285</v>
      </c>
      <c r="N326" s="474">
        <v>0</v>
      </c>
      <c r="O326" s="472"/>
      <c r="P326" s="474">
        <v>3285</v>
      </c>
      <c r="Q326" s="474"/>
      <c r="R326" s="473">
        <f>SUM(N326:Q326)</f>
        <v>3285</v>
      </c>
    </row>
    <row r="327" spans="1:18" s="6" customFormat="1" ht="79.8">
      <c r="A327" s="1077" t="s">
        <v>329</v>
      </c>
      <c r="B327" s="1078" t="s">
        <v>353</v>
      </c>
      <c r="C327" s="1093"/>
      <c r="D327" s="1094"/>
      <c r="E327" s="1093"/>
      <c r="F327" s="1094"/>
      <c r="G327" s="1094"/>
      <c r="H327" s="1094"/>
      <c r="I327" s="1094"/>
      <c r="J327" s="1093"/>
      <c r="K327" s="1094"/>
      <c r="L327" s="1094"/>
      <c r="M327" s="1094"/>
      <c r="N327" s="1094"/>
      <c r="O327" s="1093"/>
      <c r="P327" s="1094"/>
      <c r="Q327" s="1094"/>
      <c r="R327" s="1094"/>
    </row>
    <row r="328" spans="1:18" s="6" customFormat="1" ht="20.399999999999999">
      <c r="A328" s="1081" t="s">
        <v>201</v>
      </c>
      <c r="B328" s="1082" t="s">
        <v>88</v>
      </c>
      <c r="C328" s="1092">
        <v>0</v>
      </c>
      <c r="D328" s="1092">
        <v>0</v>
      </c>
      <c r="E328" s="1086"/>
      <c r="F328" s="1086">
        <f>F329</f>
        <v>21535</v>
      </c>
      <c r="G328" s="1086"/>
      <c r="H328" s="1086">
        <f>SUM(D328:G328)</f>
        <v>21535</v>
      </c>
      <c r="I328" s="1086">
        <v>0</v>
      </c>
      <c r="J328" s="1086"/>
      <c r="K328" s="1086">
        <f>K329</f>
        <v>21535</v>
      </c>
      <c r="L328" s="1086"/>
      <c r="M328" s="1086">
        <f>SUM(I328:L328)</f>
        <v>21535</v>
      </c>
      <c r="N328" s="1086">
        <v>0</v>
      </c>
      <c r="O328" s="1086"/>
      <c r="P328" s="1086">
        <f>P329</f>
        <v>21535</v>
      </c>
      <c r="Q328" s="1086"/>
      <c r="R328" s="1086">
        <f>SUM(N328:Q328)</f>
        <v>21535</v>
      </c>
    </row>
    <row r="329" spans="1:18" s="6" customFormat="1" ht="12">
      <c r="A329" s="1087">
        <v>21700</v>
      </c>
      <c r="B329" s="471" t="s">
        <v>97</v>
      </c>
      <c r="C329" s="770">
        <v>0</v>
      </c>
      <c r="D329" s="770">
        <v>0</v>
      </c>
      <c r="E329" s="474"/>
      <c r="F329" s="474">
        <f>F330</f>
        <v>21535</v>
      </c>
      <c r="G329" s="474"/>
      <c r="H329" s="474">
        <f>SUM(D329:G329)</f>
        <v>21535</v>
      </c>
      <c r="I329" s="474">
        <v>0</v>
      </c>
      <c r="J329" s="474"/>
      <c r="K329" s="474">
        <f>K330</f>
        <v>21535</v>
      </c>
      <c r="L329" s="474"/>
      <c r="M329" s="474">
        <f>SUM(I329:L329)</f>
        <v>21535</v>
      </c>
      <c r="N329" s="474">
        <v>0</v>
      </c>
      <c r="O329" s="474"/>
      <c r="P329" s="474">
        <f>P330</f>
        <v>21535</v>
      </c>
      <c r="Q329" s="474"/>
      <c r="R329" s="474">
        <f>SUM(N329:Q329)</f>
        <v>21535</v>
      </c>
    </row>
    <row r="330" spans="1:18" s="6" customFormat="1" ht="24">
      <c r="A330" s="1049">
        <v>21710</v>
      </c>
      <c r="B330" s="768" t="s">
        <v>98</v>
      </c>
      <c r="C330" s="770">
        <v>0</v>
      </c>
      <c r="D330" s="770">
        <v>0</v>
      </c>
      <c r="E330" s="474"/>
      <c r="F330" s="474">
        <v>21535</v>
      </c>
      <c r="G330" s="474"/>
      <c r="H330" s="474">
        <f>SUM(D330:G330)</f>
        <v>21535</v>
      </c>
      <c r="I330" s="474">
        <v>0</v>
      </c>
      <c r="J330" s="474"/>
      <c r="K330" s="474">
        <v>21535</v>
      </c>
      <c r="L330" s="474"/>
      <c r="M330" s="474">
        <f>SUM(I330:L330)</f>
        <v>21535</v>
      </c>
      <c r="N330" s="474">
        <v>0</v>
      </c>
      <c r="O330" s="474"/>
      <c r="P330" s="474">
        <v>21535</v>
      </c>
      <c r="Q330" s="474"/>
      <c r="R330" s="474">
        <f>SUM(N330:Q330)</f>
        <v>21535</v>
      </c>
    </row>
    <row r="331" spans="1:18" s="6" customFormat="1" ht="11.4">
      <c r="A331" s="1072" t="s">
        <v>100</v>
      </c>
      <c r="B331" s="1073" t="s">
        <v>101</v>
      </c>
      <c r="C331" s="1092">
        <v>0</v>
      </c>
      <c r="D331" s="1092">
        <v>0</v>
      </c>
      <c r="E331" s="1086"/>
      <c r="F331" s="1086">
        <f>F332</f>
        <v>21535</v>
      </c>
      <c r="G331" s="1086"/>
      <c r="H331" s="1086">
        <f>SUM(D331:G331)</f>
        <v>21535</v>
      </c>
      <c r="I331" s="1086">
        <v>0</v>
      </c>
      <c r="J331" s="1086"/>
      <c r="K331" s="1086">
        <f>K332</f>
        <v>21535</v>
      </c>
      <c r="L331" s="1086"/>
      <c r="M331" s="1086">
        <f>SUM(I331:L331)</f>
        <v>21535</v>
      </c>
      <c r="N331" s="1086">
        <v>0</v>
      </c>
      <c r="O331" s="1086"/>
      <c r="P331" s="1086">
        <f>P332</f>
        <v>21535</v>
      </c>
      <c r="Q331" s="1086"/>
      <c r="R331" s="1086">
        <f>SUM(N331:Q331)</f>
        <v>21535</v>
      </c>
    </row>
    <row r="332" spans="1:18" s="6" customFormat="1" ht="20.399999999999999">
      <c r="A332" s="1088" t="s">
        <v>102</v>
      </c>
      <c r="B332" s="471" t="s">
        <v>103</v>
      </c>
      <c r="C332" s="780">
        <v>0</v>
      </c>
      <c r="D332" s="780">
        <v>0</v>
      </c>
      <c r="E332" s="474"/>
      <c r="F332" s="474">
        <f>+F333</f>
        <v>21535</v>
      </c>
      <c r="G332" s="474"/>
      <c r="H332" s="474">
        <f>SUM(D332:G332)</f>
        <v>21535</v>
      </c>
      <c r="I332" s="474">
        <v>0</v>
      </c>
      <c r="J332" s="474"/>
      <c r="K332" s="474">
        <f>+K333</f>
        <v>21535</v>
      </c>
      <c r="L332" s="474"/>
      <c r="M332" s="474">
        <f>SUM(I332:L332)</f>
        <v>21535</v>
      </c>
      <c r="N332" s="474">
        <v>0</v>
      </c>
      <c r="O332" s="474"/>
      <c r="P332" s="474">
        <f>+P333</f>
        <v>21535</v>
      </c>
      <c r="Q332" s="474"/>
      <c r="R332" s="474">
        <f>SUM(N332:Q332)</f>
        <v>21535</v>
      </c>
    </row>
    <row r="333" spans="1:18" s="6" customFormat="1" ht="12">
      <c r="A333" s="1088" t="s">
        <v>104</v>
      </c>
      <c r="B333" s="471" t="s">
        <v>105</v>
      </c>
      <c r="C333" s="780">
        <f>+C334</f>
        <v>0</v>
      </c>
      <c r="D333" s="780">
        <f>+D334</f>
        <v>0</v>
      </c>
      <c r="E333" s="780"/>
      <c r="F333" s="780">
        <f>+F334</f>
        <v>21535</v>
      </c>
      <c r="G333" s="780"/>
      <c r="H333" s="780">
        <f>+H334</f>
        <v>21535</v>
      </c>
      <c r="I333" s="780">
        <f>+I334</f>
        <v>0</v>
      </c>
      <c r="J333" s="780"/>
      <c r="K333" s="780">
        <f>+K334</f>
        <v>21535</v>
      </c>
      <c r="L333" s="780"/>
      <c r="M333" s="780">
        <f>+M334</f>
        <v>21535</v>
      </c>
      <c r="N333" s="780">
        <f>+N334</f>
        <v>0</v>
      </c>
      <c r="O333" s="780"/>
      <c r="P333" s="780">
        <f>+P334</f>
        <v>21535</v>
      </c>
      <c r="Q333" s="780"/>
      <c r="R333" s="780">
        <f>+R334</f>
        <v>21535</v>
      </c>
    </row>
    <row r="334" spans="1:18" s="6" customFormat="1" ht="12">
      <c r="A334" s="767">
        <v>1000</v>
      </c>
      <c r="B334" s="768" t="s">
        <v>106</v>
      </c>
      <c r="C334" s="769">
        <v>0</v>
      </c>
      <c r="D334" s="769">
        <v>0</v>
      </c>
      <c r="E334" s="472"/>
      <c r="F334" s="474">
        <v>21535</v>
      </c>
      <c r="G334" s="474"/>
      <c r="H334" s="473">
        <f>SUM(D334:G334)</f>
        <v>21535</v>
      </c>
      <c r="I334" s="474">
        <v>0</v>
      </c>
      <c r="J334" s="472"/>
      <c r="K334" s="474">
        <v>21535</v>
      </c>
      <c r="L334" s="474"/>
      <c r="M334" s="473">
        <f>SUM(I334:L334)</f>
        <v>21535</v>
      </c>
      <c r="N334" s="474">
        <v>0</v>
      </c>
      <c r="O334" s="472"/>
      <c r="P334" s="474">
        <v>21535</v>
      </c>
      <c r="Q334" s="474"/>
      <c r="R334" s="473">
        <f>SUM(N334:Q334)</f>
        <v>21535</v>
      </c>
    </row>
    <row r="335" spans="1:18" s="6" customFormat="1" ht="84" customHeight="1">
      <c r="A335" s="1077" t="s">
        <v>330</v>
      </c>
      <c r="B335" s="1078" t="s">
        <v>354</v>
      </c>
      <c r="C335" s="1093"/>
      <c r="D335" s="1094"/>
      <c r="E335" s="1093"/>
      <c r="F335" s="1094"/>
      <c r="G335" s="1094"/>
      <c r="H335" s="1094"/>
      <c r="I335" s="1094"/>
      <c r="J335" s="1093"/>
      <c r="K335" s="1094"/>
      <c r="L335" s="1094"/>
      <c r="M335" s="1094"/>
      <c r="N335" s="1094"/>
      <c r="O335" s="1093"/>
      <c r="P335" s="1094"/>
      <c r="Q335" s="1094"/>
      <c r="R335" s="1094"/>
    </row>
    <row r="336" spans="1:18" s="6" customFormat="1" ht="20.399999999999999">
      <c r="A336" s="1081" t="s">
        <v>201</v>
      </c>
      <c r="B336" s="1082" t="s">
        <v>88</v>
      </c>
      <c r="C336" s="1092">
        <v>0</v>
      </c>
      <c r="D336" s="1092">
        <v>0</v>
      </c>
      <c r="E336" s="1086"/>
      <c r="F336" s="1086">
        <f>F337</f>
        <v>0</v>
      </c>
      <c r="G336" s="1086"/>
      <c r="H336" s="1086">
        <f>SUM(D336:G336)</f>
        <v>0</v>
      </c>
      <c r="I336" s="1086">
        <v>0</v>
      </c>
      <c r="J336" s="1086"/>
      <c r="K336" s="1086">
        <f>K337</f>
        <v>202900</v>
      </c>
      <c r="L336" s="1086"/>
      <c r="M336" s="1086">
        <f>SUM(I336:L336)</f>
        <v>202900</v>
      </c>
      <c r="N336" s="1086">
        <v>0</v>
      </c>
      <c r="O336" s="1086"/>
      <c r="P336" s="1086">
        <f>P337</f>
        <v>1961700</v>
      </c>
      <c r="Q336" s="1086"/>
      <c r="R336" s="1086">
        <f>SUM(N336:Q336)</f>
        <v>1961700</v>
      </c>
    </row>
    <row r="337" spans="1:18" s="6" customFormat="1" ht="12">
      <c r="A337" s="1087">
        <v>21700</v>
      </c>
      <c r="B337" s="471" t="s">
        <v>97</v>
      </c>
      <c r="C337" s="770">
        <v>0</v>
      </c>
      <c r="D337" s="770">
        <v>0</v>
      </c>
      <c r="E337" s="474"/>
      <c r="F337" s="474">
        <f>F338</f>
        <v>0</v>
      </c>
      <c r="G337" s="474"/>
      <c r="H337" s="474">
        <f>SUM(D337:G337)</f>
        <v>0</v>
      </c>
      <c r="I337" s="474">
        <v>0</v>
      </c>
      <c r="J337" s="474"/>
      <c r="K337" s="474">
        <f>K338</f>
        <v>202900</v>
      </c>
      <c r="L337" s="474"/>
      <c r="M337" s="474">
        <f>SUM(I337:L337)</f>
        <v>202900</v>
      </c>
      <c r="N337" s="474">
        <v>0</v>
      </c>
      <c r="O337" s="474"/>
      <c r="P337" s="474">
        <f>P338</f>
        <v>1961700</v>
      </c>
      <c r="Q337" s="474"/>
      <c r="R337" s="474">
        <f>SUM(N337:Q337)</f>
        <v>1961700</v>
      </c>
    </row>
    <row r="338" spans="1:18" s="6" customFormat="1" ht="24">
      <c r="A338" s="1049">
        <v>21710</v>
      </c>
      <c r="B338" s="768" t="s">
        <v>98</v>
      </c>
      <c r="C338" s="770">
        <v>0</v>
      </c>
      <c r="D338" s="770">
        <v>0</v>
      </c>
      <c r="E338" s="474"/>
      <c r="F338" s="474"/>
      <c r="G338" s="474"/>
      <c r="H338" s="474">
        <f>SUM(D338:G338)</f>
        <v>0</v>
      </c>
      <c r="I338" s="474">
        <v>0</v>
      </c>
      <c r="J338" s="474"/>
      <c r="K338" s="474">
        <v>202900</v>
      </c>
      <c r="L338" s="474"/>
      <c r="M338" s="474">
        <f>SUM(I338:L338)</f>
        <v>202900</v>
      </c>
      <c r="N338" s="474">
        <v>0</v>
      </c>
      <c r="O338" s="474"/>
      <c r="P338" s="474">
        <v>1961700</v>
      </c>
      <c r="Q338" s="474"/>
      <c r="R338" s="474">
        <f>SUM(N338:Q338)</f>
        <v>1961700</v>
      </c>
    </row>
    <row r="339" spans="1:18" s="6" customFormat="1" ht="11.4">
      <c r="A339" s="1072" t="s">
        <v>100</v>
      </c>
      <c r="B339" s="1073" t="s">
        <v>101</v>
      </c>
      <c r="C339" s="1092">
        <f>+C340+C343</f>
        <v>0</v>
      </c>
      <c r="D339" s="1092">
        <f>+D340+D343</f>
        <v>0</v>
      </c>
      <c r="E339" s="1092"/>
      <c r="F339" s="1092">
        <f>+F340+F343</f>
        <v>0</v>
      </c>
      <c r="G339" s="1092"/>
      <c r="H339" s="1092">
        <f>+H340+H343</f>
        <v>0</v>
      </c>
      <c r="I339" s="1092">
        <f>+I340+I343</f>
        <v>0</v>
      </c>
      <c r="J339" s="1092"/>
      <c r="K339" s="1092">
        <f>+K340+K343</f>
        <v>202900</v>
      </c>
      <c r="L339" s="1092"/>
      <c r="M339" s="1092">
        <f>+M340+M343</f>
        <v>202900</v>
      </c>
      <c r="N339" s="1092">
        <f>+N340+N343</f>
        <v>0</v>
      </c>
      <c r="O339" s="1092"/>
      <c r="P339" s="1092">
        <f>+P340+P343</f>
        <v>1961700</v>
      </c>
      <c r="Q339" s="1092"/>
      <c r="R339" s="1092">
        <f>+R340+R343</f>
        <v>1961700</v>
      </c>
    </row>
    <row r="340" spans="1:18" s="6" customFormat="1" ht="20.399999999999999">
      <c r="A340" s="1088" t="s">
        <v>102</v>
      </c>
      <c r="B340" s="471" t="s">
        <v>103</v>
      </c>
      <c r="C340" s="780">
        <f>+C341</f>
        <v>0</v>
      </c>
      <c r="D340" s="780">
        <f>+D341</f>
        <v>0</v>
      </c>
      <c r="E340" s="780"/>
      <c r="F340" s="780">
        <f>+F341</f>
        <v>0</v>
      </c>
      <c r="G340" s="780"/>
      <c r="H340" s="780">
        <f>+H341</f>
        <v>0</v>
      </c>
      <c r="I340" s="780">
        <f>+I341</f>
        <v>0</v>
      </c>
      <c r="J340" s="780"/>
      <c r="K340" s="780"/>
      <c r="L340" s="780"/>
      <c r="M340" s="780"/>
      <c r="N340" s="780">
        <f>+N341</f>
        <v>0</v>
      </c>
      <c r="O340" s="780"/>
      <c r="P340" s="780">
        <f>+P341</f>
        <v>1396768</v>
      </c>
      <c r="Q340" s="780"/>
      <c r="R340" s="780">
        <f>+R341</f>
        <v>1396768</v>
      </c>
    </row>
    <row r="341" spans="1:18" s="6" customFormat="1" ht="12">
      <c r="A341" s="1088" t="s">
        <v>104</v>
      </c>
      <c r="B341" s="471" t="s">
        <v>105</v>
      </c>
      <c r="C341" s="780">
        <f>+C342</f>
        <v>0</v>
      </c>
      <c r="D341" s="780">
        <f>+D342</f>
        <v>0</v>
      </c>
      <c r="E341" s="780"/>
      <c r="F341" s="780">
        <f>+F342</f>
        <v>0</v>
      </c>
      <c r="G341" s="780"/>
      <c r="H341" s="780">
        <f>+H342</f>
        <v>0</v>
      </c>
      <c r="I341" s="780">
        <f>+I342</f>
        <v>0</v>
      </c>
      <c r="J341" s="780"/>
      <c r="K341" s="780"/>
      <c r="L341" s="780"/>
      <c r="M341" s="780"/>
      <c r="N341" s="780">
        <f>+N342</f>
        <v>0</v>
      </c>
      <c r="O341" s="780"/>
      <c r="P341" s="780">
        <f>+P342</f>
        <v>1396768</v>
      </c>
      <c r="Q341" s="780"/>
      <c r="R341" s="780">
        <f>+R342</f>
        <v>1396768</v>
      </c>
    </row>
    <row r="342" spans="1:18" s="6" customFormat="1" ht="12">
      <c r="A342" s="478">
        <v>2000</v>
      </c>
      <c r="B342" s="471" t="s">
        <v>108</v>
      </c>
      <c r="C342" s="495">
        <v>0</v>
      </c>
      <c r="D342" s="495">
        <v>0</v>
      </c>
      <c r="E342" s="472"/>
      <c r="F342" s="474">
        <v>0</v>
      </c>
      <c r="G342" s="474"/>
      <c r="H342" s="474">
        <f>SUM(D342:G342)</f>
        <v>0</v>
      </c>
      <c r="I342" s="474">
        <v>0</v>
      </c>
      <c r="J342" s="474"/>
      <c r="K342" s="472"/>
      <c r="L342" s="472"/>
      <c r="M342" s="473"/>
      <c r="N342" s="474">
        <v>0</v>
      </c>
      <c r="O342" s="472"/>
      <c r="P342" s="474">
        <v>1396768</v>
      </c>
      <c r="Q342" s="474"/>
      <c r="R342" s="473">
        <f>SUM(N342:Q342)</f>
        <v>1396768</v>
      </c>
    </row>
    <row r="343" spans="1:18" s="6" customFormat="1" ht="12">
      <c r="A343" s="478" t="s">
        <v>133</v>
      </c>
      <c r="B343" s="471" t="s">
        <v>122</v>
      </c>
      <c r="C343" s="495">
        <f>+C344</f>
        <v>0</v>
      </c>
      <c r="D343" s="495">
        <f>+D344</f>
        <v>0</v>
      </c>
      <c r="E343" s="495"/>
      <c r="F343" s="780">
        <f>+F344</f>
        <v>0</v>
      </c>
      <c r="G343" s="780"/>
      <c r="H343" s="780">
        <f>+H344</f>
        <v>0</v>
      </c>
      <c r="I343" s="780">
        <f>+I344</f>
        <v>0</v>
      </c>
      <c r="J343" s="780"/>
      <c r="K343" s="495">
        <f>+K344</f>
        <v>202900</v>
      </c>
      <c r="L343" s="495"/>
      <c r="M343" s="495">
        <f>+M344</f>
        <v>202900</v>
      </c>
      <c r="N343" s="495">
        <f>+N344</f>
        <v>0</v>
      </c>
      <c r="O343" s="495"/>
      <c r="P343" s="495">
        <f>+P344</f>
        <v>564932</v>
      </c>
      <c r="Q343" s="495"/>
      <c r="R343" s="495">
        <f>+R344</f>
        <v>564932</v>
      </c>
    </row>
    <row r="344" spans="1:18" s="6" customFormat="1" ht="12">
      <c r="A344" s="478">
        <v>5000</v>
      </c>
      <c r="B344" s="471" t="s">
        <v>123</v>
      </c>
      <c r="C344" s="495">
        <v>0</v>
      </c>
      <c r="D344" s="495">
        <v>0</v>
      </c>
      <c r="E344" s="472"/>
      <c r="F344" s="474">
        <v>0</v>
      </c>
      <c r="G344" s="474"/>
      <c r="H344" s="474">
        <f>SUM(D344:G344)</f>
        <v>0</v>
      </c>
      <c r="I344" s="474">
        <v>0</v>
      </c>
      <c r="J344" s="474"/>
      <c r="K344" s="474">
        <v>202900</v>
      </c>
      <c r="L344" s="474"/>
      <c r="M344" s="473">
        <f>SUM(I344:L344)</f>
        <v>202900</v>
      </c>
      <c r="N344" s="474">
        <v>0</v>
      </c>
      <c r="O344" s="472"/>
      <c r="P344" s="474">
        <v>564932</v>
      </c>
      <c r="Q344" s="474"/>
      <c r="R344" s="473">
        <f>SUM(N344:Q344)</f>
        <v>564932</v>
      </c>
    </row>
    <row r="345" spans="1:18" s="6" customFormat="1" ht="91.2">
      <c r="A345" s="1077" t="s">
        <v>331</v>
      </c>
      <c r="B345" s="1078" t="s">
        <v>355</v>
      </c>
      <c r="C345" s="1093"/>
      <c r="D345" s="1094"/>
      <c r="E345" s="1093"/>
      <c r="F345" s="1094"/>
      <c r="G345" s="1094"/>
      <c r="H345" s="1094"/>
      <c r="I345" s="1094"/>
      <c r="J345" s="1093"/>
      <c r="K345" s="1094"/>
      <c r="L345" s="1094"/>
      <c r="M345" s="1094"/>
      <c r="N345" s="1094"/>
      <c r="O345" s="1093"/>
      <c r="P345" s="1094"/>
      <c r="Q345" s="1094"/>
      <c r="R345" s="1094"/>
    </row>
    <row r="346" spans="1:18" s="6" customFormat="1" ht="20.399999999999999">
      <c r="A346" s="1081" t="s">
        <v>201</v>
      </c>
      <c r="B346" s="1082" t="s">
        <v>88</v>
      </c>
      <c r="C346" s="1092">
        <v>0</v>
      </c>
      <c r="D346" s="1092">
        <v>0</v>
      </c>
      <c r="E346" s="1086"/>
      <c r="F346" s="1086">
        <f>F347</f>
        <v>6271564</v>
      </c>
      <c r="G346" s="1086"/>
      <c r="H346" s="1086">
        <f>SUM(D346:G346)</f>
        <v>6271564</v>
      </c>
      <c r="I346" s="1086">
        <v>0</v>
      </c>
      <c r="J346" s="1086"/>
      <c r="K346" s="1086">
        <f>K347</f>
        <v>3145005</v>
      </c>
      <c r="L346" s="1086"/>
      <c r="M346" s="1086">
        <f>SUM(I346:L346)</f>
        <v>3145005</v>
      </c>
      <c r="N346" s="1086">
        <v>0</v>
      </c>
      <c r="O346" s="1086"/>
      <c r="P346" s="1086">
        <f>P347</f>
        <v>13373698</v>
      </c>
      <c r="Q346" s="1086"/>
      <c r="R346" s="1086">
        <f>SUM(N346:Q346)</f>
        <v>13373698</v>
      </c>
    </row>
    <row r="347" spans="1:18" s="6" customFormat="1" ht="12">
      <c r="A347" s="1087">
        <v>21700</v>
      </c>
      <c r="B347" s="471" t="s">
        <v>97</v>
      </c>
      <c r="C347" s="770">
        <v>0</v>
      </c>
      <c r="D347" s="770">
        <v>0</v>
      </c>
      <c r="E347" s="474"/>
      <c r="F347" s="474">
        <f>F348</f>
        <v>6271564</v>
      </c>
      <c r="G347" s="474"/>
      <c r="H347" s="474">
        <f>SUM(D347:G347)</f>
        <v>6271564</v>
      </c>
      <c r="I347" s="474">
        <v>0</v>
      </c>
      <c r="J347" s="474"/>
      <c r="K347" s="474">
        <f>K348</f>
        <v>3145005</v>
      </c>
      <c r="L347" s="474"/>
      <c r="M347" s="474">
        <f>SUM(I347:L347)</f>
        <v>3145005</v>
      </c>
      <c r="N347" s="474">
        <v>0</v>
      </c>
      <c r="O347" s="474"/>
      <c r="P347" s="474">
        <f>P348</f>
        <v>13373698</v>
      </c>
      <c r="Q347" s="474"/>
      <c r="R347" s="474">
        <f>SUM(N347:Q347)</f>
        <v>13373698</v>
      </c>
    </row>
    <row r="348" spans="1:18" s="6" customFormat="1" ht="24">
      <c r="A348" s="1049">
        <v>21710</v>
      </c>
      <c r="B348" s="768" t="s">
        <v>98</v>
      </c>
      <c r="C348" s="770">
        <v>0</v>
      </c>
      <c r="D348" s="770">
        <v>0</v>
      </c>
      <c r="E348" s="474"/>
      <c r="F348" s="474">
        <v>6271564</v>
      </c>
      <c r="G348" s="474"/>
      <c r="H348" s="474">
        <f>SUM(D348:G348)</f>
        <v>6271564</v>
      </c>
      <c r="I348" s="474">
        <v>0</v>
      </c>
      <c r="J348" s="474"/>
      <c r="K348" s="474">
        <v>3145005</v>
      </c>
      <c r="L348" s="474"/>
      <c r="M348" s="474">
        <f>SUM(I348:L348)</f>
        <v>3145005</v>
      </c>
      <c r="N348" s="474">
        <v>0</v>
      </c>
      <c r="O348" s="474"/>
      <c r="P348" s="474">
        <v>13373698</v>
      </c>
      <c r="Q348" s="474"/>
      <c r="R348" s="474">
        <f>SUM(N348:Q348)</f>
        <v>13373698</v>
      </c>
    </row>
    <row r="349" spans="1:18" s="6" customFormat="1" ht="11.4">
      <c r="A349" s="1072" t="s">
        <v>100</v>
      </c>
      <c r="B349" s="1073" t="s">
        <v>101</v>
      </c>
      <c r="C349" s="1092">
        <f t="shared" ref="C349:D351" si="46">+C350</f>
        <v>0</v>
      </c>
      <c r="D349" s="1092">
        <f t="shared" si="46"/>
        <v>0</v>
      </c>
      <c r="E349" s="1092"/>
      <c r="F349" s="1092">
        <f>+F350</f>
        <v>6271564</v>
      </c>
      <c r="G349" s="1092"/>
      <c r="H349" s="1092">
        <f t="shared" ref="H349:I351" si="47">+H350</f>
        <v>6271564</v>
      </c>
      <c r="I349" s="1092">
        <f t="shared" si="47"/>
        <v>0</v>
      </c>
      <c r="J349" s="1092"/>
      <c r="K349" s="1092">
        <f>+K350</f>
        <v>3145005</v>
      </c>
      <c r="L349" s="1092"/>
      <c r="M349" s="1092">
        <f t="shared" ref="M349:N351" si="48">+M350</f>
        <v>3145005</v>
      </c>
      <c r="N349" s="1092">
        <f t="shared" si="48"/>
        <v>0</v>
      </c>
      <c r="O349" s="1092"/>
      <c r="P349" s="1092">
        <f>+P350</f>
        <v>13373698</v>
      </c>
      <c r="Q349" s="1092"/>
      <c r="R349" s="1092">
        <f>+R350</f>
        <v>13373698</v>
      </c>
    </row>
    <row r="350" spans="1:18" s="6" customFormat="1" ht="20.399999999999999">
      <c r="A350" s="1088" t="s">
        <v>102</v>
      </c>
      <c r="B350" s="471" t="s">
        <v>103</v>
      </c>
      <c r="C350" s="780">
        <f t="shared" si="46"/>
        <v>0</v>
      </c>
      <c r="D350" s="780">
        <f t="shared" si="46"/>
        <v>0</v>
      </c>
      <c r="E350" s="780"/>
      <c r="F350" s="780">
        <f>+F351</f>
        <v>6271564</v>
      </c>
      <c r="G350" s="780"/>
      <c r="H350" s="780">
        <f t="shared" si="47"/>
        <v>6271564</v>
      </c>
      <c r="I350" s="780">
        <f t="shared" si="47"/>
        <v>0</v>
      </c>
      <c r="J350" s="780"/>
      <c r="K350" s="780">
        <f>+K351</f>
        <v>3145005</v>
      </c>
      <c r="L350" s="780"/>
      <c r="M350" s="780">
        <f t="shared" si="48"/>
        <v>3145005</v>
      </c>
      <c r="N350" s="780">
        <f t="shared" si="48"/>
        <v>0</v>
      </c>
      <c r="O350" s="780"/>
      <c r="P350" s="780">
        <f>+P351</f>
        <v>13373698</v>
      </c>
      <c r="Q350" s="780"/>
      <c r="R350" s="780">
        <f>+R351</f>
        <v>13373698</v>
      </c>
    </row>
    <row r="351" spans="1:18" s="6" customFormat="1" ht="12">
      <c r="A351" s="1088" t="s">
        <v>104</v>
      </c>
      <c r="B351" s="471" t="s">
        <v>105</v>
      </c>
      <c r="C351" s="780">
        <f t="shared" si="46"/>
        <v>0</v>
      </c>
      <c r="D351" s="780">
        <f t="shared" si="46"/>
        <v>0</v>
      </c>
      <c r="E351" s="780"/>
      <c r="F351" s="780">
        <f>+F352</f>
        <v>6271564</v>
      </c>
      <c r="G351" s="780"/>
      <c r="H351" s="780">
        <f t="shared" si="47"/>
        <v>6271564</v>
      </c>
      <c r="I351" s="780">
        <f t="shared" si="47"/>
        <v>0</v>
      </c>
      <c r="J351" s="780"/>
      <c r="K351" s="780">
        <f>+K352</f>
        <v>3145005</v>
      </c>
      <c r="L351" s="780"/>
      <c r="M351" s="780">
        <f t="shared" si="48"/>
        <v>3145005</v>
      </c>
      <c r="N351" s="780">
        <f t="shared" si="48"/>
        <v>0</v>
      </c>
      <c r="O351" s="780"/>
      <c r="P351" s="780">
        <f>+P352</f>
        <v>13373698</v>
      </c>
      <c r="Q351" s="780"/>
      <c r="R351" s="780">
        <f>+R352</f>
        <v>13373698</v>
      </c>
    </row>
    <row r="352" spans="1:18" s="6" customFormat="1" ht="12">
      <c r="A352" s="478">
        <v>2000</v>
      </c>
      <c r="B352" s="471" t="s">
        <v>108</v>
      </c>
      <c r="C352" s="495">
        <v>0</v>
      </c>
      <c r="D352" s="495">
        <v>0</v>
      </c>
      <c r="E352" s="474"/>
      <c r="F352" s="474">
        <v>6271564</v>
      </c>
      <c r="G352" s="474"/>
      <c r="H352" s="473">
        <f>SUM(D352:G352)</f>
        <v>6271564</v>
      </c>
      <c r="I352" s="474">
        <v>0</v>
      </c>
      <c r="J352" s="472"/>
      <c r="K352" s="474">
        <v>3145005</v>
      </c>
      <c r="L352" s="474"/>
      <c r="M352" s="473">
        <f>SUM(I352:L352)</f>
        <v>3145005</v>
      </c>
      <c r="N352" s="474">
        <v>0</v>
      </c>
      <c r="O352" s="474"/>
      <c r="P352" s="474">
        <f>8702598+4671100</f>
        <v>13373698</v>
      </c>
      <c r="Q352" s="474"/>
      <c r="R352" s="473">
        <f>SUM(N352:Q352)</f>
        <v>13373698</v>
      </c>
    </row>
    <row r="353" spans="1:18" ht="102.6">
      <c r="A353" s="1077" t="s">
        <v>356</v>
      </c>
      <c r="B353" s="1078" t="s">
        <v>357</v>
      </c>
      <c r="C353" s="1093"/>
      <c r="D353" s="1094"/>
      <c r="E353" s="1093"/>
      <c r="F353" s="1094"/>
      <c r="G353" s="1094"/>
      <c r="H353" s="1094"/>
      <c r="I353" s="1094"/>
      <c r="J353" s="1093"/>
      <c r="K353" s="1094"/>
      <c r="L353" s="1094"/>
      <c r="M353" s="1094"/>
      <c r="N353" s="1094"/>
      <c r="O353" s="1093"/>
      <c r="P353" s="1094"/>
      <c r="Q353" s="1094"/>
      <c r="R353" s="1094"/>
    </row>
    <row r="354" spans="1:18" ht="20.399999999999999">
      <c r="A354" s="1081" t="s">
        <v>201</v>
      </c>
      <c r="B354" s="1082" t="s">
        <v>88</v>
      </c>
      <c r="C354" s="1092">
        <v>0</v>
      </c>
      <c r="D354" s="1092">
        <v>0</v>
      </c>
      <c r="E354" s="1086"/>
      <c r="F354" s="1086">
        <f>F355</f>
        <v>201585</v>
      </c>
      <c r="G354" s="1086"/>
      <c r="H354" s="1086">
        <f t="shared" ref="H354:H362" si="49">SUM(D354:G354)</f>
        <v>201585</v>
      </c>
      <c r="I354" s="1086">
        <v>0</v>
      </c>
      <c r="J354" s="1086"/>
      <c r="K354" s="1086">
        <f>K355</f>
        <v>230566</v>
      </c>
      <c r="L354" s="1086"/>
      <c r="M354" s="1086">
        <f t="shared" ref="M354:M374" si="50">SUM(I354:L354)</f>
        <v>230566</v>
      </c>
      <c r="N354" s="1086">
        <v>0</v>
      </c>
      <c r="O354" s="1086"/>
      <c r="P354" s="1086">
        <f>P355</f>
        <v>246579</v>
      </c>
      <c r="Q354" s="1086"/>
      <c r="R354" s="1086">
        <f t="shared" ref="R354:R374" si="51">SUM(N354:Q354)</f>
        <v>246579</v>
      </c>
    </row>
    <row r="355" spans="1:18" ht="12">
      <c r="A355" s="1087">
        <v>21700</v>
      </c>
      <c r="B355" s="471" t="s">
        <v>97</v>
      </c>
      <c r="C355" s="770">
        <v>0</v>
      </c>
      <c r="D355" s="770">
        <v>0</v>
      </c>
      <c r="E355" s="474"/>
      <c r="F355" s="474">
        <f>F356</f>
        <v>201585</v>
      </c>
      <c r="G355" s="474"/>
      <c r="H355" s="474">
        <f t="shared" si="49"/>
        <v>201585</v>
      </c>
      <c r="I355" s="474">
        <v>0</v>
      </c>
      <c r="J355" s="474"/>
      <c r="K355" s="474">
        <f>K356</f>
        <v>230566</v>
      </c>
      <c r="L355" s="474"/>
      <c r="M355" s="474">
        <f t="shared" si="50"/>
        <v>230566</v>
      </c>
      <c r="N355" s="474">
        <v>0</v>
      </c>
      <c r="O355" s="474"/>
      <c r="P355" s="474">
        <f>P356</f>
        <v>246579</v>
      </c>
      <c r="Q355" s="474"/>
      <c r="R355" s="474">
        <f t="shared" si="51"/>
        <v>246579</v>
      </c>
    </row>
    <row r="356" spans="1:18" ht="24">
      <c r="A356" s="1049">
        <v>21710</v>
      </c>
      <c r="B356" s="768" t="s">
        <v>98</v>
      </c>
      <c r="C356" s="770">
        <v>0</v>
      </c>
      <c r="D356" s="770">
        <v>0</v>
      </c>
      <c r="E356" s="474"/>
      <c r="F356" s="474">
        <v>201585</v>
      </c>
      <c r="G356" s="474"/>
      <c r="H356" s="474">
        <f t="shared" si="49"/>
        <v>201585</v>
      </c>
      <c r="I356" s="474">
        <v>0</v>
      </c>
      <c r="J356" s="474"/>
      <c r="K356" s="474">
        <v>230566</v>
      </c>
      <c r="L356" s="474"/>
      <c r="M356" s="474">
        <f t="shared" si="50"/>
        <v>230566</v>
      </c>
      <c r="N356" s="474">
        <v>0</v>
      </c>
      <c r="O356" s="474"/>
      <c r="P356" s="474">
        <v>246579</v>
      </c>
      <c r="Q356" s="474"/>
      <c r="R356" s="474">
        <f t="shared" si="51"/>
        <v>246579</v>
      </c>
    </row>
    <row r="357" spans="1:18" ht="11.4">
      <c r="A357" s="1072" t="s">
        <v>100</v>
      </c>
      <c r="B357" s="1073" t="s">
        <v>101</v>
      </c>
      <c r="C357" s="1092">
        <f>+C358</f>
        <v>0</v>
      </c>
      <c r="D357" s="1092">
        <f>+D358</f>
        <v>0</v>
      </c>
      <c r="E357" s="1092"/>
      <c r="F357" s="1092">
        <f>F363+F358</f>
        <v>201585</v>
      </c>
      <c r="G357" s="1092"/>
      <c r="H357" s="1085">
        <f t="shared" si="49"/>
        <v>201585</v>
      </c>
      <c r="I357" s="1092">
        <f>+I358</f>
        <v>0</v>
      </c>
      <c r="J357" s="1092"/>
      <c r="K357" s="1092">
        <f>K363+K358</f>
        <v>230566</v>
      </c>
      <c r="L357" s="1092"/>
      <c r="M357" s="1086">
        <f t="shared" si="50"/>
        <v>230566</v>
      </c>
      <c r="N357" s="1092">
        <f>+N358</f>
        <v>0</v>
      </c>
      <c r="O357" s="1092"/>
      <c r="P357" s="1092">
        <f>P363+P358</f>
        <v>246579</v>
      </c>
      <c r="Q357" s="1092"/>
      <c r="R357" s="1086">
        <f t="shared" si="51"/>
        <v>246579</v>
      </c>
    </row>
    <row r="358" spans="1:18" ht="20.399999999999999">
      <c r="A358" s="1088" t="s">
        <v>102</v>
      </c>
      <c r="B358" s="471" t="s">
        <v>103</v>
      </c>
      <c r="C358" s="780">
        <f>+C359</f>
        <v>0</v>
      </c>
      <c r="D358" s="780">
        <f>+D359</f>
        <v>0</v>
      </c>
      <c r="E358" s="780"/>
      <c r="F358" s="780">
        <f>+F359</f>
        <v>198825</v>
      </c>
      <c r="G358" s="780"/>
      <c r="H358" s="473">
        <f t="shared" si="49"/>
        <v>198825</v>
      </c>
      <c r="I358" s="780">
        <f>+I359</f>
        <v>0</v>
      </c>
      <c r="J358" s="780"/>
      <c r="K358" s="780">
        <f>+K359</f>
        <v>228726</v>
      </c>
      <c r="L358" s="780"/>
      <c r="M358" s="474">
        <f t="shared" si="50"/>
        <v>228726</v>
      </c>
      <c r="N358" s="780">
        <f>+N359</f>
        <v>0</v>
      </c>
      <c r="O358" s="780"/>
      <c r="P358" s="780">
        <f>+P359</f>
        <v>239739</v>
      </c>
      <c r="Q358" s="780"/>
      <c r="R358" s="474">
        <f t="shared" si="51"/>
        <v>239739</v>
      </c>
    </row>
    <row r="359" spans="1:18" ht="12">
      <c r="A359" s="1088" t="s">
        <v>104</v>
      </c>
      <c r="B359" s="471" t="s">
        <v>105</v>
      </c>
      <c r="C359" s="780">
        <f>+C362</f>
        <v>0</v>
      </c>
      <c r="D359" s="780">
        <f>+D362</f>
        <v>0</v>
      </c>
      <c r="E359" s="780"/>
      <c r="F359" s="780">
        <f>F360+F362</f>
        <v>198825</v>
      </c>
      <c r="G359" s="780"/>
      <c r="H359" s="473">
        <f t="shared" si="49"/>
        <v>198825</v>
      </c>
      <c r="I359" s="780">
        <f>+I362</f>
        <v>0</v>
      </c>
      <c r="J359" s="780"/>
      <c r="K359" s="780">
        <f>K360+K362</f>
        <v>228726</v>
      </c>
      <c r="L359" s="780"/>
      <c r="M359" s="474">
        <f t="shared" si="50"/>
        <v>228726</v>
      </c>
      <c r="N359" s="780">
        <f>+N362</f>
        <v>0</v>
      </c>
      <c r="O359" s="780"/>
      <c r="P359" s="780">
        <f>P360+P362</f>
        <v>239739</v>
      </c>
      <c r="Q359" s="780"/>
      <c r="R359" s="474">
        <f t="shared" si="51"/>
        <v>239739</v>
      </c>
    </row>
    <row r="360" spans="1:18" ht="12">
      <c r="A360" s="767">
        <v>1000</v>
      </c>
      <c r="B360" s="768" t="s">
        <v>106</v>
      </c>
      <c r="C360" s="769">
        <v>0</v>
      </c>
      <c r="D360" s="769">
        <v>0</v>
      </c>
      <c r="E360" s="472"/>
      <c r="F360" s="474">
        <v>112595</v>
      </c>
      <c r="G360" s="474"/>
      <c r="H360" s="473">
        <f t="shared" si="49"/>
        <v>112595</v>
      </c>
      <c r="I360" s="474">
        <v>0</v>
      </c>
      <c r="J360" s="472"/>
      <c r="K360" s="474">
        <v>112595</v>
      </c>
      <c r="L360" s="474"/>
      <c r="M360" s="474">
        <f t="shared" si="50"/>
        <v>112595</v>
      </c>
      <c r="N360" s="474">
        <v>0</v>
      </c>
      <c r="O360" s="472"/>
      <c r="P360" s="474">
        <v>112595</v>
      </c>
      <c r="Q360" s="474"/>
      <c r="R360" s="474">
        <f t="shared" si="51"/>
        <v>112595</v>
      </c>
    </row>
    <row r="361" spans="1:18" ht="12">
      <c r="A361" s="891">
        <v>1100</v>
      </c>
      <c r="B361" s="768" t="s">
        <v>107</v>
      </c>
      <c r="C361" s="769">
        <v>0</v>
      </c>
      <c r="D361" s="769">
        <v>0</v>
      </c>
      <c r="E361" s="472"/>
      <c r="F361" s="474">
        <v>88416</v>
      </c>
      <c r="G361" s="474"/>
      <c r="H361" s="473">
        <f t="shared" si="49"/>
        <v>88416</v>
      </c>
      <c r="I361" s="474">
        <v>0</v>
      </c>
      <c r="J361" s="472"/>
      <c r="K361" s="474">
        <v>88416</v>
      </c>
      <c r="L361" s="474"/>
      <c r="M361" s="474">
        <f t="shared" si="50"/>
        <v>88416</v>
      </c>
      <c r="N361" s="474">
        <v>0</v>
      </c>
      <c r="O361" s="474"/>
      <c r="P361" s="474">
        <v>88416</v>
      </c>
      <c r="Q361" s="474"/>
      <c r="R361" s="474">
        <f t="shared" si="51"/>
        <v>88416</v>
      </c>
    </row>
    <row r="362" spans="1:18" ht="12">
      <c r="A362" s="478">
        <v>2000</v>
      </c>
      <c r="B362" s="471" t="s">
        <v>108</v>
      </c>
      <c r="C362" s="495">
        <v>0</v>
      </c>
      <c r="D362" s="495">
        <v>0</v>
      </c>
      <c r="E362" s="474"/>
      <c r="F362" s="474">
        <v>86230</v>
      </c>
      <c r="G362" s="474"/>
      <c r="H362" s="473">
        <f t="shared" si="49"/>
        <v>86230</v>
      </c>
      <c r="I362" s="474">
        <v>0</v>
      </c>
      <c r="J362" s="472"/>
      <c r="K362" s="474">
        <v>116131</v>
      </c>
      <c r="L362" s="474"/>
      <c r="M362" s="474">
        <f t="shared" si="50"/>
        <v>116131</v>
      </c>
      <c r="N362" s="474">
        <v>0</v>
      </c>
      <c r="O362" s="474"/>
      <c r="P362" s="474">
        <v>127144</v>
      </c>
      <c r="Q362" s="474"/>
      <c r="R362" s="474">
        <f t="shared" si="51"/>
        <v>127144</v>
      </c>
    </row>
    <row r="363" spans="1:18" ht="12">
      <c r="A363" s="478" t="s">
        <v>133</v>
      </c>
      <c r="B363" s="471" t="s">
        <v>122</v>
      </c>
      <c r="C363" s="495">
        <v>0</v>
      </c>
      <c r="D363" s="495">
        <v>0</v>
      </c>
      <c r="E363" s="474"/>
      <c r="F363" s="474">
        <f>F364+F365</f>
        <v>2760</v>
      </c>
      <c r="G363" s="474"/>
      <c r="H363" s="473"/>
      <c r="I363" s="474">
        <v>0</v>
      </c>
      <c r="J363" s="474"/>
      <c r="K363" s="474">
        <f>K364+K365</f>
        <v>1840</v>
      </c>
      <c r="L363" s="474"/>
      <c r="M363" s="474">
        <f t="shared" si="50"/>
        <v>1840</v>
      </c>
      <c r="N363" s="474">
        <v>0</v>
      </c>
      <c r="O363" s="474"/>
      <c r="P363" s="474">
        <f>P364+P365</f>
        <v>6840</v>
      </c>
      <c r="Q363" s="474"/>
      <c r="R363" s="474">
        <f t="shared" si="51"/>
        <v>6840</v>
      </c>
    </row>
    <row r="364" spans="1:18" ht="12">
      <c r="A364" s="478">
        <v>5000</v>
      </c>
      <c r="B364" s="471" t="s">
        <v>123</v>
      </c>
      <c r="C364" s="495">
        <v>0</v>
      </c>
      <c r="D364" s="495">
        <v>0</v>
      </c>
      <c r="E364" s="472"/>
      <c r="F364" s="474">
        <v>2760</v>
      </c>
      <c r="G364" s="474"/>
      <c r="H364" s="473"/>
      <c r="I364" s="474">
        <v>0</v>
      </c>
      <c r="J364" s="472"/>
      <c r="K364" s="474">
        <v>1840</v>
      </c>
      <c r="L364" s="474"/>
      <c r="M364" s="474">
        <f t="shared" si="50"/>
        <v>1840</v>
      </c>
      <c r="N364" s="474">
        <v>0</v>
      </c>
      <c r="O364" s="474"/>
      <c r="P364" s="474">
        <v>6840</v>
      </c>
      <c r="Q364" s="474"/>
      <c r="R364" s="474">
        <f t="shared" si="51"/>
        <v>6840</v>
      </c>
    </row>
    <row r="365" spans="1:18" ht="114">
      <c r="A365" s="1097" t="s">
        <v>358</v>
      </c>
      <c r="B365" s="1098" t="s">
        <v>541</v>
      </c>
      <c r="C365" s="1099"/>
      <c r="D365" s="1100"/>
      <c r="E365" s="1099"/>
      <c r="F365" s="1100"/>
      <c r="G365" s="1100"/>
      <c r="H365" s="1100"/>
      <c r="I365" s="1100"/>
      <c r="J365" s="1099"/>
      <c r="K365" s="1100"/>
      <c r="L365" s="1100"/>
      <c r="M365" s="1100"/>
      <c r="N365" s="1100"/>
      <c r="O365" s="1099"/>
      <c r="P365" s="1100"/>
      <c r="Q365" s="1100"/>
      <c r="R365" s="1100"/>
    </row>
    <row r="366" spans="1:18" ht="11.4">
      <c r="A366" s="1101"/>
      <c r="B366" s="1073" t="s">
        <v>88</v>
      </c>
      <c r="C366" s="1102"/>
      <c r="D366" s="1103"/>
      <c r="E366" s="1102"/>
      <c r="F366" s="1102">
        <f>F367</f>
        <v>188951</v>
      </c>
      <c r="G366" s="1102">
        <f>G367</f>
        <v>5768</v>
      </c>
      <c r="H366" s="1085">
        <f t="shared" ref="H366:H374" si="52">SUM(D366:G366)</f>
        <v>194719</v>
      </c>
      <c r="I366" s="1104"/>
      <c r="J366" s="1105"/>
      <c r="K366" s="1105">
        <f>K367</f>
        <v>111340</v>
      </c>
      <c r="L366" s="1105"/>
      <c r="M366" s="1086">
        <f t="shared" si="50"/>
        <v>111340</v>
      </c>
      <c r="N366" s="1104"/>
      <c r="O366" s="1105"/>
      <c r="P366" s="1105">
        <f>P367</f>
        <v>123248</v>
      </c>
      <c r="Q366" s="1105"/>
      <c r="R366" s="1086">
        <f>SUM(N366:Q366)</f>
        <v>123248</v>
      </c>
    </row>
    <row r="367" spans="1:18" ht="12">
      <c r="A367" s="1106"/>
      <c r="B367" s="768" t="s">
        <v>97</v>
      </c>
      <c r="C367" s="1107"/>
      <c r="D367" s="1108"/>
      <c r="E367" s="1107"/>
      <c r="F367" s="1107">
        <f>F368</f>
        <v>188951</v>
      </c>
      <c r="G367" s="1107">
        <v>5768</v>
      </c>
      <c r="H367" s="473">
        <f t="shared" si="52"/>
        <v>194719</v>
      </c>
      <c r="I367" s="1108"/>
      <c r="J367" s="1107"/>
      <c r="K367" s="1107">
        <f>K368</f>
        <v>111340</v>
      </c>
      <c r="L367" s="1107"/>
      <c r="M367" s="474">
        <f t="shared" si="50"/>
        <v>111340</v>
      </c>
      <c r="N367" s="1108"/>
      <c r="O367" s="1107"/>
      <c r="P367" s="1107">
        <f>P368</f>
        <v>123248</v>
      </c>
      <c r="Q367" s="1107"/>
      <c r="R367" s="474">
        <f t="shared" si="51"/>
        <v>123248</v>
      </c>
    </row>
    <row r="368" spans="1:18" ht="24">
      <c r="A368" s="1106"/>
      <c r="B368" s="768" t="s">
        <v>98</v>
      </c>
      <c r="C368" s="1107"/>
      <c r="D368" s="1108"/>
      <c r="E368" s="1107"/>
      <c r="F368" s="1107">
        <f>188951</f>
        <v>188951</v>
      </c>
      <c r="G368" s="1107">
        <v>5768</v>
      </c>
      <c r="H368" s="473">
        <f t="shared" si="52"/>
        <v>194719</v>
      </c>
      <c r="I368" s="1108"/>
      <c r="J368" s="1107"/>
      <c r="K368" s="1107">
        <v>111340</v>
      </c>
      <c r="L368" s="1107"/>
      <c r="M368" s="474">
        <f t="shared" si="50"/>
        <v>111340</v>
      </c>
      <c r="N368" s="1108"/>
      <c r="O368" s="1107"/>
      <c r="P368" s="1107">
        <v>123248</v>
      </c>
      <c r="Q368" s="1107"/>
      <c r="R368" s="474">
        <f t="shared" si="51"/>
        <v>123248</v>
      </c>
    </row>
    <row r="369" spans="1:18" ht="11.4">
      <c r="A369" s="1101"/>
      <c r="B369" s="1073" t="s">
        <v>101</v>
      </c>
      <c r="C369" s="1102"/>
      <c r="D369" s="1103"/>
      <c r="E369" s="1102"/>
      <c r="F369" s="1102">
        <f>F370</f>
        <v>188951</v>
      </c>
      <c r="G369" s="1102">
        <f>G370</f>
        <v>5768</v>
      </c>
      <c r="H369" s="1085">
        <f t="shared" si="52"/>
        <v>194719</v>
      </c>
      <c r="I369" s="1104"/>
      <c r="J369" s="1105"/>
      <c r="K369" s="1105">
        <f>K370</f>
        <v>111340</v>
      </c>
      <c r="L369" s="1105"/>
      <c r="M369" s="1086">
        <f t="shared" si="50"/>
        <v>111340</v>
      </c>
      <c r="N369" s="1104"/>
      <c r="O369" s="1105"/>
      <c r="P369" s="1105">
        <f>P370</f>
        <v>123248</v>
      </c>
      <c r="Q369" s="1105"/>
      <c r="R369" s="1086">
        <f t="shared" si="51"/>
        <v>123248</v>
      </c>
    </row>
    <row r="370" spans="1:18" ht="12">
      <c r="A370" s="1106"/>
      <c r="B370" s="768" t="s">
        <v>103</v>
      </c>
      <c r="C370" s="1107"/>
      <c r="D370" s="1108"/>
      <c r="E370" s="1107"/>
      <c r="F370" s="1107">
        <f>F371</f>
        <v>188951</v>
      </c>
      <c r="G370" s="1107">
        <f>G371</f>
        <v>5768</v>
      </c>
      <c r="H370" s="473">
        <f t="shared" si="52"/>
        <v>194719</v>
      </c>
      <c r="I370" s="1108"/>
      <c r="J370" s="1107"/>
      <c r="K370" s="1107">
        <f>K371</f>
        <v>111340</v>
      </c>
      <c r="L370" s="1107"/>
      <c r="M370" s="474">
        <f t="shared" si="50"/>
        <v>111340</v>
      </c>
      <c r="N370" s="1108"/>
      <c r="O370" s="1107"/>
      <c r="P370" s="1107">
        <f>P371</f>
        <v>123248</v>
      </c>
      <c r="Q370" s="1107"/>
      <c r="R370" s="474">
        <f t="shared" si="51"/>
        <v>123248</v>
      </c>
    </row>
    <row r="371" spans="1:18" ht="12">
      <c r="A371" s="1106"/>
      <c r="B371" s="768" t="s">
        <v>105</v>
      </c>
      <c r="C371" s="1107"/>
      <c r="D371" s="1108"/>
      <c r="E371" s="1107"/>
      <c r="F371" s="1107">
        <f>F372+F374</f>
        <v>188951</v>
      </c>
      <c r="G371" s="1107">
        <f>G372+G374</f>
        <v>5768</v>
      </c>
      <c r="H371" s="473">
        <f t="shared" si="52"/>
        <v>194719</v>
      </c>
      <c r="I371" s="1108"/>
      <c r="J371" s="1107"/>
      <c r="K371" s="1107">
        <f>K372+K374</f>
        <v>111340</v>
      </c>
      <c r="L371" s="1107"/>
      <c r="M371" s="474">
        <f t="shared" si="50"/>
        <v>111340</v>
      </c>
      <c r="N371" s="1108"/>
      <c r="O371" s="1107"/>
      <c r="P371" s="1107">
        <f>P372+P374</f>
        <v>123248</v>
      </c>
      <c r="Q371" s="1107"/>
      <c r="R371" s="474">
        <f t="shared" si="51"/>
        <v>123248</v>
      </c>
    </row>
    <row r="372" spans="1:18" ht="12">
      <c r="A372" s="1106"/>
      <c r="B372" s="768" t="s">
        <v>106</v>
      </c>
      <c r="C372" s="1107"/>
      <c r="D372" s="1108"/>
      <c r="E372" s="1107"/>
      <c r="F372" s="1107">
        <v>102261</v>
      </c>
      <c r="G372" s="1107">
        <v>5768</v>
      </c>
      <c r="H372" s="473">
        <f t="shared" si="52"/>
        <v>108029</v>
      </c>
      <c r="I372" s="1108"/>
      <c r="J372" s="1107"/>
      <c r="K372" s="1107">
        <v>53334</v>
      </c>
      <c r="L372" s="1107"/>
      <c r="M372" s="474">
        <f t="shared" si="50"/>
        <v>53334</v>
      </c>
      <c r="N372" s="1108"/>
      <c r="O372" s="1107"/>
      <c r="P372" s="1107">
        <v>61442</v>
      </c>
      <c r="Q372" s="1107"/>
      <c r="R372" s="474">
        <f t="shared" si="51"/>
        <v>61442</v>
      </c>
    </row>
    <row r="373" spans="1:18" ht="12">
      <c r="A373" s="1106"/>
      <c r="B373" s="768" t="s">
        <v>107</v>
      </c>
      <c r="C373" s="1107"/>
      <c r="D373" s="1108"/>
      <c r="E373" s="1107"/>
      <c r="F373" s="1107">
        <v>28548</v>
      </c>
      <c r="G373" s="1107">
        <v>4648</v>
      </c>
      <c r="H373" s="473">
        <f t="shared" si="52"/>
        <v>33196</v>
      </c>
      <c r="I373" s="1108"/>
      <c r="J373" s="1107"/>
      <c r="K373" s="1107">
        <v>29970</v>
      </c>
      <c r="L373" s="1107"/>
      <c r="M373" s="474">
        <f t="shared" si="50"/>
        <v>29970</v>
      </c>
      <c r="N373" s="1108"/>
      <c r="O373" s="1107"/>
      <c r="P373" s="1107">
        <v>36504</v>
      </c>
      <c r="Q373" s="1107"/>
      <c r="R373" s="474">
        <f t="shared" si="51"/>
        <v>36504</v>
      </c>
    </row>
    <row r="374" spans="1:18" ht="12">
      <c r="A374" s="1106"/>
      <c r="B374" s="768" t="s">
        <v>108</v>
      </c>
      <c r="C374" s="1107"/>
      <c r="D374" s="1108"/>
      <c r="E374" s="1107"/>
      <c r="F374" s="1107">
        <f>10158+76532</f>
        <v>86690</v>
      </c>
      <c r="G374" s="1107"/>
      <c r="H374" s="473">
        <f t="shared" si="52"/>
        <v>86690</v>
      </c>
      <c r="I374" s="1108"/>
      <c r="J374" s="1107"/>
      <c r="K374" s="1107">
        <v>58006</v>
      </c>
      <c r="L374" s="1107"/>
      <c r="M374" s="474">
        <f t="shared" si="50"/>
        <v>58006</v>
      </c>
      <c r="N374" s="1108"/>
      <c r="O374" s="1107"/>
      <c r="P374" s="1107">
        <v>61806</v>
      </c>
      <c r="Q374" s="1107"/>
      <c r="R374" s="474">
        <f t="shared" si="51"/>
        <v>61806</v>
      </c>
    </row>
    <row r="375" spans="1:18" ht="79.8">
      <c r="A375" s="1077" t="s">
        <v>542</v>
      </c>
      <c r="B375" s="1078" t="s">
        <v>543</v>
      </c>
      <c r="C375" s="1093"/>
      <c r="D375" s="1094"/>
      <c r="E375" s="1093"/>
      <c r="F375" s="1094"/>
      <c r="G375" s="1094"/>
      <c r="H375" s="1094"/>
      <c r="I375" s="1094"/>
      <c r="J375" s="1093"/>
      <c r="K375" s="1094"/>
      <c r="L375" s="1094"/>
      <c r="M375" s="1094"/>
      <c r="N375" s="1094"/>
      <c r="O375" s="1093"/>
      <c r="P375" s="1094"/>
      <c r="Q375" s="1094"/>
      <c r="R375" s="1094"/>
    </row>
    <row r="376" spans="1:18" ht="20.399999999999999">
      <c r="A376" s="1081" t="s">
        <v>201</v>
      </c>
      <c r="B376" s="1082" t="s">
        <v>88</v>
      </c>
      <c r="C376" s="1092">
        <v>0</v>
      </c>
      <c r="D376" s="1092">
        <v>0</v>
      </c>
      <c r="E376" s="1086"/>
      <c r="F376" s="1086"/>
      <c r="G376" s="1086">
        <f>+G377</f>
        <v>190050</v>
      </c>
      <c r="H376" s="1086">
        <f t="shared" ref="H376:H382" si="53">SUM(D376:G376)</f>
        <v>190050</v>
      </c>
      <c r="I376" s="1086">
        <v>0</v>
      </c>
      <c r="J376" s="1086"/>
      <c r="K376" s="1086"/>
      <c r="L376" s="1086">
        <f>+L377</f>
        <v>211603</v>
      </c>
      <c r="M376" s="1086">
        <f t="shared" ref="M376:M382" si="54">SUM(I376:L376)</f>
        <v>211603</v>
      </c>
      <c r="N376" s="1086">
        <v>0</v>
      </c>
      <c r="O376" s="1086"/>
      <c r="P376" s="1086"/>
      <c r="Q376" s="1086">
        <f>+Q377</f>
        <v>646873</v>
      </c>
      <c r="R376" s="1086">
        <f t="shared" ref="R376:R382" si="55">SUM(N376:Q376)</f>
        <v>646873</v>
      </c>
    </row>
    <row r="377" spans="1:18" ht="12">
      <c r="A377" s="1087">
        <v>21700</v>
      </c>
      <c r="B377" s="471" t="s">
        <v>97</v>
      </c>
      <c r="C377" s="770">
        <v>0</v>
      </c>
      <c r="D377" s="770">
        <v>0</v>
      </c>
      <c r="E377" s="474"/>
      <c r="F377" s="474"/>
      <c r="G377" s="474">
        <v>190050</v>
      </c>
      <c r="H377" s="474">
        <f t="shared" si="53"/>
        <v>190050</v>
      </c>
      <c r="I377" s="474">
        <v>0</v>
      </c>
      <c r="J377" s="474"/>
      <c r="K377" s="474"/>
      <c r="L377" s="474">
        <v>211603</v>
      </c>
      <c r="M377" s="474">
        <f t="shared" si="54"/>
        <v>211603</v>
      </c>
      <c r="N377" s="474">
        <v>0</v>
      </c>
      <c r="O377" s="474"/>
      <c r="P377" s="474"/>
      <c r="Q377" s="474">
        <v>646873</v>
      </c>
      <c r="R377" s="474">
        <f t="shared" si="55"/>
        <v>646873</v>
      </c>
    </row>
    <row r="378" spans="1:18" ht="24">
      <c r="A378" s="1049">
        <v>21710</v>
      </c>
      <c r="B378" s="768" t="s">
        <v>98</v>
      </c>
      <c r="C378" s="770">
        <v>0</v>
      </c>
      <c r="D378" s="770">
        <v>0</v>
      </c>
      <c r="E378" s="474"/>
      <c r="F378" s="474"/>
      <c r="G378" s="474">
        <v>190050</v>
      </c>
      <c r="H378" s="474">
        <f t="shared" si="53"/>
        <v>190050</v>
      </c>
      <c r="I378" s="474">
        <v>0</v>
      </c>
      <c r="J378" s="474"/>
      <c r="K378" s="474"/>
      <c r="L378" s="474">
        <v>211603</v>
      </c>
      <c r="M378" s="474">
        <f t="shared" si="54"/>
        <v>211603</v>
      </c>
      <c r="N378" s="474">
        <v>0</v>
      </c>
      <c r="O378" s="474"/>
      <c r="P378" s="474"/>
      <c r="Q378" s="474">
        <v>646873</v>
      </c>
      <c r="R378" s="474">
        <f t="shared" si="55"/>
        <v>646873</v>
      </c>
    </row>
    <row r="379" spans="1:18" ht="11.4">
      <c r="A379" s="1072" t="s">
        <v>100</v>
      </c>
      <c r="B379" s="1073" t="s">
        <v>101</v>
      </c>
      <c r="C379" s="1092">
        <f t="shared" ref="C379:D381" si="56">+C380</f>
        <v>0</v>
      </c>
      <c r="D379" s="1092">
        <f t="shared" si="56"/>
        <v>0</v>
      </c>
      <c r="E379" s="1092"/>
      <c r="F379" s="1092"/>
      <c r="G379" s="1092">
        <f>+G380</f>
        <v>190050</v>
      </c>
      <c r="H379" s="1085">
        <f t="shared" si="53"/>
        <v>190050</v>
      </c>
      <c r="I379" s="1092">
        <f>+I380</f>
        <v>0</v>
      </c>
      <c r="J379" s="1092"/>
      <c r="K379" s="1092"/>
      <c r="L379" s="1092">
        <f>+L380</f>
        <v>211603</v>
      </c>
      <c r="M379" s="1086">
        <f t="shared" si="54"/>
        <v>211603</v>
      </c>
      <c r="N379" s="1092">
        <f>+N380</f>
        <v>0</v>
      </c>
      <c r="O379" s="1092"/>
      <c r="P379" s="1092"/>
      <c r="Q379" s="1092">
        <f>+Q380</f>
        <v>646873</v>
      </c>
      <c r="R379" s="1086">
        <f t="shared" si="55"/>
        <v>646873</v>
      </c>
    </row>
    <row r="380" spans="1:18" ht="20.399999999999999">
      <c r="A380" s="1088" t="s">
        <v>102</v>
      </c>
      <c r="B380" s="471" t="s">
        <v>103</v>
      </c>
      <c r="C380" s="780">
        <f t="shared" si="56"/>
        <v>0</v>
      </c>
      <c r="D380" s="780">
        <f t="shared" si="56"/>
        <v>0</v>
      </c>
      <c r="E380" s="780"/>
      <c r="F380" s="780"/>
      <c r="G380" s="780">
        <f>+G381</f>
        <v>190050</v>
      </c>
      <c r="H380" s="473">
        <f t="shared" si="53"/>
        <v>190050</v>
      </c>
      <c r="I380" s="780">
        <f>+I381</f>
        <v>0</v>
      </c>
      <c r="J380" s="780"/>
      <c r="K380" s="780"/>
      <c r="L380" s="780">
        <f>+L381</f>
        <v>211603</v>
      </c>
      <c r="M380" s="474">
        <f t="shared" si="54"/>
        <v>211603</v>
      </c>
      <c r="N380" s="780">
        <f>+N381</f>
        <v>0</v>
      </c>
      <c r="O380" s="780"/>
      <c r="P380" s="780"/>
      <c r="Q380" s="780">
        <f>+Q381</f>
        <v>646873</v>
      </c>
      <c r="R380" s="474">
        <f t="shared" si="55"/>
        <v>646873</v>
      </c>
    </row>
    <row r="381" spans="1:18" ht="12">
      <c r="A381" s="1088" t="s">
        <v>104</v>
      </c>
      <c r="B381" s="471" t="s">
        <v>105</v>
      </c>
      <c r="C381" s="780">
        <f t="shared" si="56"/>
        <v>0</v>
      </c>
      <c r="D381" s="780">
        <f t="shared" si="56"/>
        <v>0</v>
      </c>
      <c r="E381" s="780"/>
      <c r="F381" s="780"/>
      <c r="G381" s="780">
        <f>+G382</f>
        <v>190050</v>
      </c>
      <c r="H381" s="473">
        <f t="shared" si="53"/>
        <v>190050</v>
      </c>
      <c r="I381" s="780">
        <f>+I382</f>
        <v>0</v>
      </c>
      <c r="J381" s="780"/>
      <c r="K381" s="780"/>
      <c r="L381" s="780">
        <f>+L382</f>
        <v>211603</v>
      </c>
      <c r="M381" s="474">
        <f t="shared" si="54"/>
        <v>211603</v>
      </c>
      <c r="N381" s="780">
        <f>+N382</f>
        <v>0</v>
      </c>
      <c r="O381" s="780"/>
      <c r="P381" s="780"/>
      <c r="Q381" s="780">
        <f>+Q382</f>
        <v>646873</v>
      </c>
      <c r="R381" s="474">
        <f t="shared" si="55"/>
        <v>646873</v>
      </c>
    </row>
    <row r="382" spans="1:18" ht="12">
      <c r="A382" s="478">
        <v>2000</v>
      </c>
      <c r="B382" s="471" t="s">
        <v>108</v>
      </c>
      <c r="C382" s="495">
        <v>0</v>
      </c>
      <c r="D382" s="495">
        <v>0</v>
      </c>
      <c r="E382" s="474"/>
      <c r="F382" s="474"/>
      <c r="G382" s="474">
        <v>190050</v>
      </c>
      <c r="H382" s="473">
        <f t="shared" si="53"/>
        <v>190050</v>
      </c>
      <c r="I382" s="474">
        <v>0</v>
      </c>
      <c r="J382" s="472"/>
      <c r="K382" s="474"/>
      <c r="L382" s="474">
        <v>211603</v>
      </c>
      <c r="M382" s="474">
        <f t="shared" si="54"/>
        <v>211603</v>
      </c>
      <c r="N382" s="474">
        <v>0</v>
      </c>
      <c r="O382" s="474"/>
      <c r="P382" s="474"/>
      <c r="Q382" s="474">
        <v>646873</v>
      </c>
      <c r="R382" s="474">
        <f t="shared" si="55"/>
        <v>646873</v>
      </c>
    </row>
    <row r="383" spans="1:18" ht="79.8">
      <c r="A383" s="1077" t="s">
        <v>544</v>
      </c>
      <c r="B383" s="1078" t="s">
        <v>545</v>
      </c>
      <c r="C383" s="1093"/>
      <c r="D383" s="1094"/>
      <c r="E383" s="1093"/>
      <c r="F383" s="1094"/>
      <c r="G383" s="1094"/>
      <c r="H383" s="1094"/>
      <c r="I383" s="1094"/>
      <c r="J383" s="1093"/>
      <c r="K383" s="1094"/>
      <c r="L383" s="1094"/>
      <c r="M383" s="1094"/>
      <c r="N383" s="1094"/>
      <c r="O383" s="1093"/>
      <c r="P383" s="1094"/>
      <c r="Q383" s="1094"/>
      <c r="R383" s="1094"/>
    </row>
    <row r="384" spans="1:18" ht="20.399999999999999">
      <c r="A384" s="1081" t="s">
        <v>201</v>
      </c>
      <c r="B384" s="1082" t="s">
        <v>88</v>
      </c>
      <c r="C384" s="1092">
        <v>0</v>
      </c>
      <c r="D384" s="1092">
        <v>0</v>
      </c>
      <c r="E384" s="1086"/>
      <c r="F384" s="1086"/>
      <c r="G384" s="1086">
        <f>+G385</f>
        <v>1343500</v>
      </c>
      <c r="H384" s="1086">
        <f t="shared" ref="H384:H390" si="57">SUM(D384:G384)</f>
        <v>1343500</v>
      </c>
      <c r="I384" s="1086">
        <v>0</v>
      </c>
      <c r="J384" s="1086"/>
      <c r="K384" s="1086"/>
      <c r="L384" s="1086">
        <f>+L385</f>
        <v>427200</v>
      </c>
      <c r="M384" s="1086">
        <f t="shared" ref="M384:M390" si="58">SUM(I384:L384)</f>
        <v>427200</v>
      </c>
      <c r="N384" s="1086">
        <v>0</v>
      </c>
      <c r="O384" s="1086"/>
      <c r="P384" s="1086"/>
      <c r="Q384" s="1086">
        <f>+Q385</f>
        <v>107300</v>
      </c>
      <c r="R384" s="1086">
        <f t="shared" ref="R384:R390" si="59">SUM(N384:Q384)</f>
        <v>107300</v>
      </c>
    </row>
    <row r="385" spans="1:18" ht="12">
      <c r="A385" s="1087">
        <v>21700</v>
      </c>
      <c r="B385" s="471" t="s">
        <v>97</v>
      </c>
      <c r="C385" s="770">
        <v>0</v>
      </c>
      <c r="D385" s="770">
        <v>0</v>
      </c>
      <c r="E385" s="474"/>
      <c r="F385" s="474"/>
      <c r="G385" s="474">
        <v>1343500</v>
      </c>
      <c r="H385" s="474">
        <f t="shared" si="57"/>
        <v>1343500</v>
      </c>
      <c r="I385" s="474">
        <v>0</v>
      </c>
      <c r="J385" s="474"/>
      <c r="K385" s="474"/>
      <c r="L385" s="474">
        <v>427200</v>
      </c>
      <c r="M385" s="474">
        <f t="shared" si="58"/>
        <v>427200</v>
      </c>
      <c r="N385" s="474">
        <v>0</v>
      </c>
      <c r="O385" s="474"/>
      <c r="P385" s="474"/>
      <c r="Q385" s="474">
        <v>107300</v>
      </c>
      <c r="R385" s="474">
        <f t="shared" si="59"/>
        <v>107300</v>
      </c>
    </row>
    <row r="386" spans="1:18" ht="24">
      <c r="A386" s="1049">
        <v>21710</v>
      </c>
      <c r="B386" s="768" t="s">
        <v>98</v>
      </c>
      <c r="C386" s="770">
        <v>0</v>
      </c>
      <c r="D386" s="770">
        <v>0</v>
      </c>
      <c r="E386" s="474"/>
      <c r="F386" s="474"/>
      <c r="G386" s="474">
        <v>1343500</v>
      </c>
      <c r="H386" s="474">
        <f t="shared" si="57"/>
        <v>1343500</v>
      </c>
      <c r="I386" s="474">
        <v>0</v>
      </c>
      <c r="J386" s="474"/>
      <c r="K386" s="474"/>
      <c r="L386" s="474">
        <v>427200</v>
      </c>
      <c r="M386" s="474">
        <f t="shared" si="58"/>
        <v>427200</v>
      </c>
      <c r="N386" s="474">
        <v>0</v>
      </c>
      <c r="O386" s="474"/>
      <c r="P386" s="474"/>
      <c r="Q386" s="474">
        <v>107300</v>
      </c>
      <c r="R386" s="474">
        <f t="shared" si="59"/>
        <v>107300</v>
      </c>
    </row>
    <row r="387" spans="1:18" ht="11.4">
      <c r="A387" s="1072" t="s">
        <v>100</v>
      </c>
      <c r="B387" s="1073" t="s">
        <v>101</v>
      </c>
      <c r="C387" s="1092">
        <f t="shared" ref="C387:D389" si="60">+C388</f>
        <v>0</v>
      </c>
      <c r="D387" s="1092">
        <f t="shared" si="60"/>
        <v>0</v>
      </c>
      <c r="E387" s="1092"/>
      <c r="F387" s="1092"/>
      <c r="G387" s="1092">
        <f>+G388</f>
        <v>1343500</v>
      </c>
      <c r="H387" s="1085">
        <f t="shared" si="57"/>
        <v>1343500</v>
      </c>
      <c r="I387" s="1092">
        <f>+I388</f>
        <v>0</v>
      </c>
      <c r="J387" s="1092"/>
      <c r="K387" s="1092"/>
      <c r="L387" s="1092">
        <f>+L388</f>
        <v>427200</v>
      </c>
      <c r="M387" s="1086">
        <f t="shared" si="58"/>
        <v>427200</v>
      </c>
      <c r="N387" s="1092">
        <f>+N388</f>
        <v>0</v>
      </c>
      <c r="O387" s="1092"/>
      <c r="P387" s="1092"/>
      <c r="Q387" s="1092">
        <f>+Q388</f>
        <v>107300</v>
      </c>
      <c r="R387" s="1086">
        <f t="shared" si="59"/>
        <v>107300</v>
      </c>
    </row>
    <row r="388" spans="1:18" ht="20.399999999999999">
      <c r="A388" s="1088" t="s">
        <v>102</v>
      </c>
      <c r="B388" s="471" t="s">
        <v>103</v>
      </c>
      <c r="C388" s="780">
        <f t="shared" si="60"/>
        <v>0</v>
      </c>
      <c r="D388" s="780">
        <f t="shared" si="60"/>
        <v>0</v>
      </c>
      <c r="E388" s="780"/>
      <c r="F388" s="780"/>
      <c r="G388" s="780">
        <f>+G389</f>
        <v>1343500</v>
      </c>
      <c r="H388" s="473">
        <f t="shared" si="57"/>
        <v>1343500</v>
      </c>
      <c r="I388" s="780">
        <f>+I389</f>
        <v>0</v>
      </c>
      <c r="J388" s="780"/>
      <c r="K388" s="780"/>
      <c r="L388" s="780">
        <f>+L389</f>
        <v>427200</v>
      </c>
      <c r="M388" s="474">
        <f t="shared" si="58"/>
        <v>427200</v>
      </c>
      <c r="N388" s="780">
        <f>+N389</f>
        <v>0</v>
      </c>
      <c r="O388" s="780"/>
      <c r="P388" s="780"/>
      <c r="Q388" s="780">
        <f>+Q389</f>
        <v>107300</v>
      </c>
      <c r="R388" s="474">
        <f t="shared" si="59"/>
        <v>107300</v>
      </c>
    </row>
    <row r="389" spans="1:18" ht="12">
      <c r="A389" s="1088" t="s">
        <v>104</v>
      </c>
      <c r="B389" s="471" t="s">
        <v>105</v>
      </c>
      <c r="C389" s="780">
        <f t="shared" si="60"/>
        <v>0</v>
      </c>
      <c r="D389" s="780">
        <f t="shared" si="60"/>
        <v>0</v>
      </c>
      <c r="E389" s="780"/>
      <c r="F389" s="780"/>
      <c r="G389" s="780">
        <f>+G390</f>
        <v>1343500</v>
      </c>
      <c r="H389" s="473">
        <f t="shared" si="57"/>
        <v>1343500</v>
      </c>
      <c r="I389" s="780">
        <f>+I390</f>
        <v>0</v>
      </c>
      <c r="J389" s="780"/>
      <c r="K389" s="780"/>
      <c r="L389" s="780">
        <f>+L390</f>
        <v>427200</v>
      </c>
      <c r="M389" s="474">
        <f t="shared" si="58"/>
        <v>427200</v>
      </c>
      <c r="N389" s="780">
        <f>+N390</f>
        <v>0</v>
      </c>
      <c r="O389" s="780"/>
      <c r="P389" s="780"/>
      <c r="Q389" s="780">
        <f>+Q390</f>
        <v>107300</v>
      </c>
      <c r="R389" s="474">
        <f t="shared" si="59"/>
        <v>107300</v>
      </c>
    </row>
    <row r="390" spans="1:18" ht="12">
      <c r="A390" s="478">
        <v>2000</v>
      </c>
      <c r="B390" s="471" t="s">
        <v>108</v>
      </c>
      <c r="C390" s="495">
        <v>0</v>
      </c>
      <c r="D390" s="495">
        <v>0</v>
      </c>
      <c r="E390" s="474"/>
      <c r="F390" s="474"/>
      <c r="G390" s="474">
        <v>1343500</v>
      </c>
      <c r="H390" s="473">
        <f t="shared" si="57"/>
        <v>1343500</v>
      </c>
      <c r="I390" s="474">
        <v>0</v>
      </c>
      <c r="J390" s="472"/>
      <c r="K390" s="474"/>
      <c r="L390" s="474">
        <v>427200</v>
      </c>
      <c r="M390" s="474">
        <f t="shared" si="58"/>
        <v>427200</v>
      </c>
      <c r="N390" s="474">
        <v>0</v>
      </c>
      <c r="O390" s="474"/>
      <c r="P390" s="474"/>
      <c r="Q390" s="474">
        <v>107300</v>
      </c>
      <c r="R390" s="474">
        <f t="shared" si="59"/>
        <v>107300</v>
      </c>
    </row>
    <row r="391" spans="1:18" ht="68.400000000000006">
      <c r="A391" s="1077" t="s">
        <v>546</v>
      </c>
      <c r="B391" s="1078" t="s">
        <v>547</v>
      </c>
      <c r="C391" s="1093"/>
      <c r="D391" s="1094"/>
      <c r="E391" s="1093"/>
      <c r="F391" s="1094"/>
      <c r="G391" s="1094"/>
      <c r="H391" s="1094"/>
      <c r="I391" s="1094"/>
      <c r="J391" s="1093"/>
      <c r="K391" s="1094"/>
      <c r="L391" s="1094"/>
      <c r="M391" s="1094"/>
      <c r="N391" s="1094"/>
      <c r="O391" s="1093"/>
      <c r="P391" s="1094"/>
      <c r="Q391" s="1094"/>
      <c r="R391" s="1094"/>
    </row>
    <row r="392" spans="1:18" ht="20.399999999999999">
      <c r="A392" s="1081" t="s">
        <v>201</v>
      </c>
      <c r="B392" s="1082" t="s">
        <v>88</v>
      </c>
      <c r="C392" s="1092">
        <v>0</v>
      </c>
      <c r="D392" s="1092">
        <v>0</v>
      </c>
      <c r="E392" s="1086"/>
      <c r="F392" s="1086"/>
      <c r="G392" s="1086">
        <f>+G393</f>
        <v>351400</v>
      </c>
      <c r="H392" s="1086">
        <f t="shared" ref="H392:H398" si="61">SUM(D392:G392)</f>
        <v>351400</v>
      </c>
      <c r="I392" s="1086">
        <v>0</v>
      </c>
      <c r="J392" s="1086"/>
      <c r="K392" s="1086"/>
      <c r="L392" s="1086">
        <f>+L393</f>
        <v>0</v>
      </c>
      <c r="M392" s="1086">
        <f t="shared" ref="M392:M398" si="62">SUM(I392:L392)</f>
        <v>0</v>
      </c>
      <c r="N392" s="1086">
        <v>0</v>
      </c>
      <c r="O392" s="1086"/>
      <c r="P392" s="1086"/>
      <c r="Q392" s="1086">
        <f>+Q393</f>
        <v>0</v>
      </c>
      <c r="R392" s="1086">
        <f t="shared" ref="R392:R398" si="63">SUM(N392:Q392)</f>
        <v>0</v>
      </c>
    </row>
    <row r="393" spans="1:18" ht="12">
      <c r="A393" s="1087">
        <v>21700</v>
      </c>
      <c r="B393" s="471" t="s">
        <v>97</v>
      </c>
      <c r="C393" s="770">
        <v>0</v>
      </c>
      <c r="D393" s="770">
        <v>0</v>
      </c>
      <c r="E393" s="474"/>
      <c r="F393" s="474"/>
      <c r="G393" s="474">
        <v>351400</v>
      </c>
      <c r="H393" s="474">
        <f t="shared" si="61"/>
        <v>351400</v>
      </c>
      <c r="I393" s="474">
        <v>0</v>
      </c>
      <c r="J393" s="474"/>
      <c r="K393" s="474"/>
      <c r="L393" s="474"/>
      <c r="M393" s="474">
        <f t="shared" si="62"/>
        <v>0</v>
      </c>
      <c r="N393" s="474">
        <v>0</v>
      </c>
      <c r="O393" s="474"/>
      <c r="P393" s="474"/>
      <c r="Q393" s="474"/>
      <c r="R393" s="474">
        <f t="shared" si="63"/>
        <v>0</v>
      </c>
    </row>
    <row r="394" spans="1:18" ht="24">
      <c r="A394" s="1049">
        <v>21710</v>
      </c>
      <c r="B394" s="768" t="s">
        <v>98</v>
      </c>
      <c r="C394" s="770">
        <v>0</v>
      </c>
      <c r="D394" s="770">
        <v>0</v>
      </c>
      <c r="E394" s="474"/>
      <c r="F394" s="474"/>
      <c r="G394" s="474">
        <v>351400</v>
      </c>
      <c r="H394" s="474">
        <f t="shared" si="61"/>
        <v>351400</v>
      </c>
      <c r="I394" s="474">
        <v>0</v>
      </c>
      <c r="J394" s="474"/>
      <c r="K394" s="474"/>
      <c r="L394" s="474"/>
      <c r="M394" s="474">
        <f t="shared" si="62"/>
        <v>0</v>
      </c>
      <c r="N394" s="474">
        <v>0</v>
      </c>
      <c r="O394" s="474"/>
      <c r="P394" s="474"/>
      <c r="Q394" s="474"/>
      <c r="R394" s="474">
        <f t="shared" si="63"/>
        <v>0</v>
      </c>
    </row>
    <row r="395" spans="1:18" ht="11.4">
      <c r="A395" s="1072" t="s">
        <v>100</v>
      </c>
      <c r="B395" s="1073" t="s">
        <v>101</v>
      </c>
      <c r="C395" s="1092">
        <f t="shared" ref="C395:D397" si="64">+C396</f>
        <v>0</v>
      </c>
      <c r="D395" s="1092">
        <f t="shared" si="64"/>
        <v>0</v>
      </c>
      <c r="E395" s="1092"/>
      <c r="F395" s="1092"/>
      <c r="G395" s="1092">
        <f>+G396</f>
        <v>351400</v>
      </c>
      <c r="H395" s="1085">
        <f t="shared" si="61"/>
        <v>351400</v>
      </c>
      <c r="I395" s="1092">
        <f>+I396</f>
        <v>0</v>
      </c>
      <c r="J395" s="1092"/>
      <c r="K395" s="1092"/>
      <c r="L395" s="1092">
        <f>+L396</f>
        <v>0</v>
      </c>
      <c r="M395" s="1086">
        <f t="shared" si="62"/>
        <v>0</v>
      </c>
      <c r="N395" s="1092">
        <f>+N396</f>
        <v>0</v>
      </c>
      <c r="O395" s="1092"/>
      <c r="P395" s="1092"/>
      <c r="Q395" s="1092">
        <f>+Q396</f>
        <v>0</v>
      </c>
      <c r="R395" s="1086">
        <f t="shared" si="63"/>
        <v>0</v>
      </c>
    </row>
    <row r="396" spans="1:18" ht="20.399999999999999">
      <c r="A396" s="1088" t="s">
        <v>102</v>
      </c>
      <c r="B396" s="471" t="s">
        <v>103</v>
      </c>
      <c r="C396" s="780">
        <f t="shared" si="64"/>
        <v>0</v>
      </c>
      <c r="D396" s="780">
        <f t="shared" si="64"/>
        <v>0</v>
      </c>
      <c r="E396" s="780"/>
      <c r="F396" s="780"/>
      <c r="G396" s="780">
        <f>+G397</f>
        <v>351400</v>
      </c>
      <c r="H396" s="473">
        <f t="shared" si="61"/>
        <v>351400</v>
      </c>
      <c r="I396" s="780">
        <f>+I397</f>
        <v>0</v>
      </c>
      <c r="J396" s="780"/>
      <c r="K396" s="780"/>
      <c r="L396" s="780">
        <f>+L397</f>
        <v>0</v>
      </c>
      <c r="M396" s="474">
        <f t="shared" si="62"/>
        <v>0</v>
      </c>
      <c r="N396" s="780">
        <f>+N397</f>
        <v>0</v>
      </c>
      <c r="O396" s="780"/>
      <c r="P396" s="780"/>
      <c r="Q396" s="780">
        <f>+Q397</f>
        <v>0</v>
      </c>
      <c r="R396" s="474">
        <f t="shared" si="63"/>
        <v>0</v>
      </c>
    </row>
    <row r="397" spans="1:18" ht="12">
      <c r="A397" s="1088" t="s">
        <v>104</v>
      </c>
      <c r="B397" s="471" t="s">
        <v>105</v>
      </c>
      <c r="C397" s="780">
        <f t="shared" si="64"/>
        <v>0</v>
      </c>
      <c r="D397" s="780">
        <f t="shared" si="64"/>
        <v>0</v>
      </c>
      <c r="E397" s="780"/>
      <c r="F397" s="780"/>
      <c r="G397" s="780">
        <f>+G398</f>
        <v>351400</v>
      </c>
      <c r="H397" s="473">
        <f t="shared" si="61"/>
        <v>351400</v>
      </c>
      <c r="I397" s="780">
        <f>+I398</f>
        <v>0</v>
      </c>
      <c r="J397" s="780"/>
      <c r="K397" s="780"/>
      <c r="L397" s="780">
        <f>+L398</f>
        <v>0</v>
      </c>
      <c r="M397" s="474">
        <f t="shared" si="62"/>
        <v>0</v>
      </c>
      <c r="N397" s="780">
        <f>+N398</f>
        <v>0</v>
      </c>
      <c r="O397" s="780"/>
      <c r="P397" s="780"/>
      <c r="Q397" s="780">
        <f>+Q398</f>
        <v>0</v>
      </c>
      <c r="R397" s="474">
        <f t="shared" si="63"/>
        <v>0</v>
      </c>
    </row>
    <row r="398" spans="1:18" ht="12">
      <c r="A398" s="478">
        <v>2000</v>
      </c>
      <c r="B398" s="471" t="s">
        <v>108</v>
      </c>
      <c r="C398" s="495">
        <v>0</v>
      </c>
      <c r="D398" s="495">
        <v>0</v>
      </c>
      <c r="E398" s="474"/>
      <c r="F398" s="474"/>
      <c r="G398" s="474">
        <v>351400</v>
      </c>
      <c r="H398" s="473">
        <f t="shared" si="61"/>
        <v>351400</v>
      </c>
      <c r="I398" s="474">
        <v>0</v>
      </c>
      <c r="J398" s="472"/>
      <c r="K398" s="474"/>
      <c r="L398" s="474"/>
      <c r="M398" s="474">
        <f t="shared" si="62"/>
        <v>0</v>
      </c>
      <c r="N398" s="474">
        <v>0</v>
      </c>
      <c r="O398" s="474"/>
      <c r="P398" s="474"/>
      <c r="Q398" s="474"/>
      <c r="R398" s="474">
        <f t="shared" si="63"/>
        <v>0</v>
      </c>
    </row>
    <row r="399" spans="1:18" ht="68.400000000000006">
      <c r="A399" s="1077" t="s">
        <v>548</v>
      </c>
      <c r="B399" s="1078" t="s">
        <v>549</v>
      </c>
      <c r="C399" s="1093"/>
      <c r="D399" s="1094"/>
      <c r="E399" s="1093"/>
      <c r="F399" s="1094"/>
      <c r="G399" s="1094"/>
      <c r="H399" s="1094"/>
      <c r="I399" s="1094"/>
      <c r="J399" s="1093"/>
      <c r="K399" s="1094"/>
      <c r="L399" s="1094"/>
      <c r="M399" s="1094"/>
      <c r="N399" s="1094"/>
      <c r="O399" s="1093"/>
      <c r="P399" s="1094"/>
      <c r="Q399" s="1094"/>
      <c r="R399" s="1094"/>
    </row>
    <row r="400" spans="1:18" ht="20.399999999999999">
      <c r="A400" s="1081" t="s">
        <v>201</v>
      </c>
      <c r="B400" s="1082" t="s">
        <v>88</v>
      </c>
      <c r="C400" s="1092">
        <v>0</v>
      </c>
      <c r="D400" s="1092">
        <v>0</v>
      </c>
      <c r="E400" s="1086"/>
      <c r="F400" s="1086"/>
      <c r="G400" s="1086">
        <f>+G401</f>
        <v>1090000</v>
      </c>
      <c r="H400" s="1086">
        <f t="shared" ref="H400:H405" si="65">SUM(D400:G400)</f>
        <v>1090000</v>
      </c>
      <c r="I400" s="1086">
        <v>0</v>
      </c>
      <c r="J400" s="1086"/>
      <c r="K400" s="1086"/>
      <c r="L400" s="1086">
        <f>+L401</f>
        <v>2500000</v>
      </c>
      <c r="M400" s="1086">
        <f t="shared" ref="M400:M405" si="66">SUM(I400:L400)</f>
        <v>2500000</v>
      </c>
      <c r="N400" s="1086">
        <v>0</v>
      </c>
      <c r="O400" s="1086"/>
      <c r="P400" s="1086"/>
      <c r="Q400" s="1086">
        <f>+Q401</f>
        <v>1260000</v>
      </c>
      <c r="R400" s="1086">
        <f t="shared" ref="R400:R405" si="67">SUM(N400:Q400)</f>
        <v>1260000</v>
      </c>
    </row>
    <row r="401" spans="1:18" ht="12">
      <c r="A401" s="1087">
        <v>21700</v>
      </c>
      <c r="B401" s="471" t="s">
        <v>97</v>
      </c>
      <c r="C401" s="770">
        <v>0</v>
      </c>
      <c r="D401" s="770">
        <v>0</v>
      </c>
      <c r="E401" s="474"/>
      <c r="F401" s="474"/>
      <c r="G401" s="474">
        <v>1090000</v>
      </c>
      <c r="H401" s="474">
        <f t="shared" si="65"/>
        <v>1090000</v>
      </c>
      <c r="I401" s="474">
        <v>0</v>
      </c>
      <c r="J401" s="474"/>
      <c r="K401" s="474"/>
      <c r="L401" s="474">
        <v>2500000</v>
      </c>
      <c r="M401" s="474">
        <f t="shared" si="66"/>
        <v>2500000</v>
      </c>
      <c r="N401" s="474">
        <v>0</v>
      </c>
      <c r="O401" s="474"/>
      <c r="P401" s="474"/>
      <c r="Q401" s="474">
        <v>1260000</v>
      </c>
      <c r="R401" s="474">
        <f t="shared" si="67"/>
        <v>1260000</v>
      </c>
    </row>
    <row r="402" spans="1:18" ht="24">
      <c r="A402" s="1049">
        <v>21710</v>
      </c>
      <c r="B402" s="768" t="s">
        <v>98</v>
      </c>
      <c r="C402" s="770">
        <v>0</v>
      </c>
      <c r="D402" s="770">
        <v>0</v>
      </c>
      <c r="E402" s="474"/>
      <c r="F402" s="474"/>
      <c r="G402" s="474">
        <v>1090000</v>
      </c>
      <c r="H402" s="474">
        <f t="shared" si="65"/>
        <v>1090000</v>
      </c>
      <c r="I402" s="474">
        <v>0</v>
      </c>
      <c r="J402" s="474"/>
      <c r="K402" s="474"/>
      <c r="L402" s="474">
        <v>2500000</v>
      </c>
      <c r="M402" s="474">
        <f t="shared" si="66"/>
        <v>2500000</v>
      </c>
      <c r="N402" s="474">
        <v>0</v>
      </c>
      <c r="O402" s="474"/>
      <c r="P402" s="474"/>
      <c r="Q402" s="474">
        <v>1260000</v>
      </c>
      <c r="R402" s="474">
        <f t="shared" si="67"/>
        <v>1260000</v>
      </c>
    </row>
    <row r="403" spans="1:18" ht="11.4">
      <c r="A403" s="1072" t="s">
        <v>100</v>
      </c>
      <c r="B403" s="1073" t="s">
        <v>101</v>
      </c>
      <c r="C403" s="1092">
        <f>+C404</f>
        <v>0</v>
      </c>
      <c r="D403" s="1092">
        <f>+D404</f>
        <v>0</v>
      </c>
      <c r="E403" s="1092"/>
      <c r="F403" s="1092"/>
      <c r="G403" s="1092">
        <f>+G404</f>
        <v>1090000</v>
      </c>
      <c r="H403" s="1085">
        <f t="shared" si="65"/>
        <v>1090000</v>
      </c>
      <c r="I403" s="1092">
        <f>+I404</f>
        <v>0</v>
      </c>
      <c r="J403" s="1092"/>
      <c r="K403" s="1092"/>
      <c r="L403" s="1092">
        <f>+L404</f>
        <v>2500000</v>
      </c>
      <c r="M403" s="1086">
        <f t="shared" si="66"/>
        <v>2500000</v>
      </c>
      <c r="N403" s="1092">
        <f>+N404</f>
        <v>0</v>
      </c>
      <c r="O403" s="1092"/>
      <c r="P403" s="1092"/>
      <c r="Q403" s="1092">
        <f>+Q404</f>
        <v>1260000</v>
      </c>
      <c r="R403" s="1086">
        <f t="shared" si="67"/>
        <v>1260000</v>
      </c>
    </row>
    <row r="404" spans="1:18" ht="12">
      <c r="A404" s="478" t="s">
        <v>133</v>
      </c>
      <c r="B404" s="471" t="s">
        <v>122</v>
      </c>
      <c r="C404" s="495">
        <v>0</v>
      </c>
      <c r="D404" s="495">
        <v>0</v>
      </c>
      <c r="E404" s="474"/>
      <c r="F404" s="474"/>
      <c r="G404" s="474">
        <f>+G405</f>
        <v>1090000</v>
      </c>
      <c r="H404" s="474">
        <f t="shared" si="65"/>
        <v>1090000</v>
      </c>
      <c r="I404" s="474">
        <v>0</v>
      </c>
      <c r="J404" s="474"/>
      <c r="K404" s="474"/>
      <c r="L404" s="474">
        <f>+L405</f>
        <v>2500000</v>
      </c>
      <c r="M404" s="474">
        <f t="shared" si="66"/>
        <v>2500000</v>
      </c>
      <c r="N404" s="474">
        <v>0</v>
      </c>
      <c r="O404" s="474"/>
      <c r="P404" s="474"/>
      <c r="Q404" s="474">
        <f>+Q405</f>
        <v>1260000</v>
      </c>
      <c r="R404" s="474">
        <f t="shared" si="67"/>
        <v>1260000</v>
      </c>
    </row>
    <row r="405" spans="1:18" ht="12">
      <c r="A405" s="478">
        <v>5000</v>
      </c>
      <c r="B405" s="471" t="s">
        <v>123</v>
      </c>
      <c r="C405" s="495">
        <v>0</v>
      </c>
      <c r="D405" s="495">
        <v>0</v>
      </c>
      <c r="E405" s="472"/>
      <c r="F405" s="474"/>
      <c r="G405" s="474">
        <v>1090000</v>
      </c>
      <c r="H405" s="474">
        <f t="shared" si="65"/>
        <v>1090000</v>
      </c>
      <c r="I405" s="474">
        <v>0</v>
      </c>
      <c r="J405" s="472"/>
      <c r="K405" s="474"/>
      <c r="L405" s="474">
        <v>2500000</v>
      </c>
      <c r="M405" s="474">
        <f t="shared" si="66"/>
        <v>2500000</v>
      </c>
      <c r="N405" s="474">
        <v>0</v>
      </c>
      <c r="O405" s="474"/>
      <c r="P405" s="474"/>
      <c r="Q405" s="474">
        <v>1260000</v>
      </c>
      <c r="R405" s="474">
        <f t="shared" si="67"/>
        <v>1260000</v>
      </c>
    </row>
    <row r="406" spans="1:18" ht="57">
      <c r="A406" s="1077" t="s">
        <v>550</v>
      </c>
      <c r="B406" s="1078" t="s">
        <v>551</v>
      </c>
      <c r="C406" s="1093"/>
      <c r="D406" s="1094"/>
      <c r="E406" s="1093"/>
      <c r="F406" s="1094"/>
      <c r="G406" s="1094"/>
      <c r="H406" s="1094"/>
      <c r="I406" s="1094"/>
      <c r="J406" s="1093"/>
      <c r="K406" s="1094"/>
      <c r="L406" s="1094"/>
      <c r="M406" s="1094"/>
      <c r="N406" s="1094"/>
      <c r="O406" s="1093"/>
      <c r="P406" s="1094"/>
      <c r="Q406" s="1094"/>
      <c r="R406" s="1094"/>
    </row>
    <row r="407" spans="1:18" ht="20.399999999999999">
      <c r="A407" s="1081" t="s">
        <v>201</v>
      </c>
      <c r="B407" s="1082" t="s">
        <v>88</v>
      </c>
      <c r="C407" s="1092">
        <v>0</v>
      </c>
      <c r="D407" s="1092">
        <v>0</v>
      </c>
      <c r="E407" s="1086"/>
      <c r="F407" s="1086"/>
      <c r="G407" s="1086">
        <f>+G408</f>
        <v>1014582</v>
      </c>
      <c r="H407" s="1086">
        <f t="shared" ref="H407:H413" si="68">SUM(D407:G407)</f>
        <v>1014582</v>
      </c>
      <c r="I407" s="1086">
        <v>0</v>
      </c>
      <c r="J407" s="1086"/>
      <c r="K407" s="1086"/>
      <c r="L407" s="1086">
        <f>+L408</f>
        <v>1014582</v>
      </c>
      <c r="M407" s="1086">
        <f t="shared" ref="M407:M413" si="69">SUM(I407:L407)</f>
        <v>1014582</v>
      </c>
      <c r="N407" s="1086">
        <v>0</v>
      </c>
      <c r="O407" s="1086"/>
      <c r="P407" s="1086"/>
      <c r="Q407" s="1086">
        <f>+Q408</f>
        <v>1014582</v>
      </c>
      <c r="R407" s="1086">
        <f t="shared" ref="R407:R413" si="70">SUM(N407:Q407)</f>
        <v>1014582</v>
      </c>
    </row>
    <row r="408" spans="1:18" ht="12">
      <c r="A408" s="1087">
        <v>21700</v>
      </c>
      <c r="B408" s="471" t="s">
        <v>97</v>
      </c>
      <c r="C408" s="770">
        <v>0</v>
      </c>
      <c r="D408" s="770">
        <v>0</v>
      </c>
      <c r="E408" s="474"/>
      <c r="F408" s="474"/>
      <c r="G408" s="474">
        <v>1014582</v>
      </c>
      <c r="H408" s="474">
        <f t="shared" si="68"/>
        <v>1014582</v>
      </c>
      <c r="I408" s="474">
        <v>0</v>
      </c>
      <c r="J408" s="474"/>
      <c r="K408" s="474"/>
      <c r="L408" s="474">
        <v>1014582</v>
      </c>
      <c r="M408" s="474">
        <f t="shared" si="69"/>
        <v>1014582</v>
      </c>
      <c r="N408" s="474">
        <v>0</v>
      </c>
      <c r="O408" s="474"/>
      <c r="P408" s="474"/>
      <c r="Q408" s="474">
        <v>1014582</v>
      </c>
      <c r="R408" s="474">
        <f t="shared" si="70"/>
        <v>1014582</v>
      </c>
    </row>
    <row r="409" spans="1:18" ht="24">
      <c r="A409" s="1049">
        <v>21710</v>
      </c>
      <c r="B409" s="768" t="s">
        <v>98</v>
      </c>
      <c r="C409" s="770">
        <v>0</v>
      </c>
      <c r="D409" s="770">
        <v>0</v>
      </c>
      <c r="E409" s="474"/>
      <c r="F409" s="474"/>
      <c r="G409" s="474">
        <v>1014582</v>
      </c>
      <c r="H409" s="474">
        <f t="shared" si="68"/>
        <v>1014582</v>
      </c>
      <c r="I409" s="474">
        <v>0</v>
      </c>
      <c r="J409" s="474"/>
      <c r="K409" s="474"/>
      <c r="L409" s="474">
        <v>1014582</v>
      </c>
      <c r="M409" s="474">
        <f t="shared" si="69"/>
        <v>1014582</v>
      </c>
      <c r="N409" s="474">
        <v>0</v>
      </c>
      <c r="O409" s="474"/>
      <c r="P409" s="474"/>
      <c r="Q409" s="474">
        <v>1014582</v>
      </c>
      <c r="R409" s="474">
        <f t="shared" si="70"/>
        <v>1014582</v>
      </c>
    </row>
    <row r="410" spans="1:18" ht="11.4">
      <c r="A410" s="1072" t="s">
        <v>100</v>
      </c>
      <c r="B410" s="1073" t="s">
        <v>101</v>
      </c>
      <c r="C410" s="1092">
        <f t="shared" ref="C410:D412" si="71">+C411</f>
        <v>0</v>
      </c>
      <c r="D410" s="1092">
        <f t="shared" si="71"/>
        <v>0</v>
      </c>
      <c r="E410" s="1092"/>
      <c r="F410" s="1092"/>
      <c r="G410" s="1092">
        <f>+G411</f>
        <v>1014582</v>
      </c>
      <c r="H410" s="1085">
        <f t="shared" si="68"/>
        <v>1014582</v>
      </c>
      <c r="I410" s="1092">
        <f>+I411</f>
        <v>0</v>
      </c>
      <c r="J410" s="1092"/>
      <c r="K410" s="1092"/>
      <c r="L410" s="1092">
        <f>+L411</f>
        <v>1014582</v>
      </c>
      <c r="M410" s="1086">
        <f t="shared" si="69"/>
        <v>1014582</v>
      </c>
      <c r="N410" s="1092">
        <f>+N411</f>
        <v>0</v>
      </c>
      <c r="O410" s="1092"/>
      <c r="P410" s="1092"/>
      <c r="Q410" s="1092">
        <f>+Q411</f>
        <v>1014582</v>
      </c>
      <c r="R410" s="1086">
        <f t="shared" si="70"/>
        <v>1014582</v>
      </c>
    </row>
    <row r="411" spans="1:18" ht="20.399999999999999">
      <c r="A411" s="1088" t="s">
        <v>102</v>
      </c>
      <c r="B411" s="471" t="s">
        <v>103</v>
      </c>
      <c r="C411" s="780">
        <f t="shared" si="71"/>
        <v>0</v>
      </c>
      <c r="D411" s="780">
        <f t="shared" si="71"/>
        <v>0</v>
      </c>
      <c r="E411" s="780"/>
      <c r="F411" s="780"/>
      <c r="G411" s="780">
        <f>+G412</f>
        <v>1014582</v>
      </c>
      <c r="H411" s="473">
        <f t="shared" si="68"/>
        <v>1014582</v>
      </c>
      <c r="I411" s="780">
        <f>+I412</f>
        <v>0</v>
      </c>
      <c r="J411" s="780"/>
      <c r="K411" s="780"/>
      <c r="L411" s="780">
        <f>+L412</f>
        <v>1014582</v>
      </c>
      <c r="M411" s="474">
        <f t="shared" si="69"/>
        <v>1014582</v>
      </c>
      <c r="N411" s="780">
        <f>+N412</f>
        <v>0</v>
      </c>
      <c r="O411" s="780"/>
      <c r="P411" s="780"/>
      <c r="Q411" s="780">
        <f>+Q412</f>
        <v>1014582</v>
      </c>
      <c r="R411" s="474">
        <f t="shared" si="70"/>
        <v>1014582</v>
      </c>
    </row>
    <row r="412" spans="1:18" ht="12">
      <c r="A412" s="1088" t="s">
        <v>104</v>
      </c>
      <c r="B412" s="471" t="s">
        <v>105</v>
      </c>
      <c r="C412" s="780">
        <f t="shared" si="71"/>
        <v>0</v>
      </c>
      <c r="D412" s="780">
        <f t="shared" si="71"/>
        <v>0</v>
      </c>
      <c r="E412" s="780"/>
      <c r="F412" s="780"/>
      <c r="G412" s="780">
        <f>+G413</f>
        <v>1014582</v>
      </c>
      <c r="H412" s="473">
        <f t="shared" si="68"/>
        <v>1014582</v>
      </c>
      <c r="I412" s="780">
        <f>+I413</f>
        <v>0</v>
      </c>
      <c r="J412" s="780"/>
      <c r="K412" s="780"/>
      <c r="L412" s="780">
        <f>+L413</f>
        <v>1014582</v>
      </c>
      <c r="M412" s="474">
        <f t="shared" si="69"/>
        <v>1014582</v>
      </c>
      <c r="N412" s="780">
        <f>+N413</f>
        <v>0</v>
      </c>
      <c r="O412" s="780"/>
      <c r="P412" s="780"/>
      <c r="Q412" s="780">
        <f>+Q413</f>
        <v>1014582</v>
      </c>
      <c r="R412" s="474">
        <f t="shared" si="70"/>
        <v>1014582</v>
      </c>
    </row>
    <row r="413" spans="1:18" ht="12">
      <c r="A413" s="478">
        <v>2000</v>
      </c>
      <c r="B413" s="471" t="s">
        <v>108</v>
      </c>
      <c r="C413" s="495">
        <v>0</v>
      </c>
      <c r="D413" s="495">
        <v>0</v>
      </c>
      <c r="E413" s="474"/>
      <c r="F413" s="474"/>
      <c r="G413" s="474">
        <v>1014582</v>
      </c>
      <c r="H413" s="473">
        <f t="shared" si="68"/>
        <v>1014582</v>
      </c>
      <c r="I413" s="474">
        <v>0</v>
      </c>
      <c r="J413" s="472"/>
      <c r="K413" s="474"/>
      <c r="L413" s="474">
        <v>1014582</v>
      </c>
      <c r="M413" s="474">
        <f t="shared" si="69"/>
        <v>1014582</v>
      </c>
      <c r="N413" s="474">
        <v>0</v>
      </c>
      <c r="O413" s="474"/>
      <c r="P413" s="474"/>
      <c r="Q413" s="474">
        <v>1014582</v>
      </c>
      <c r="R413" s="474">
        <f t="shared" si="70"/>
        <v>1014582</v>
      </c>
    </row>
    <row r="414" spans="1:18" ht="68.400000000000006">
      <c r="A414" s="1077" t="s">
        <v>552</v>
      </c>
      <c r="B414" s="1078" t="s">
        <v>553</v>
      </c>
      <c r="C414" s="1093"/>
      <c r="D414" s="1094"/>
      <c r="E414" s="1093"/>
      <c r="F414" s="1094"/>
      <c r="G414" s="1094"/>
      <c r="H414" s="1094"/>
      <c r="I414" s="1094"/>
      <c r="J414" s="1093"/>
      <c r="K414" s="1094"/>
      <c r="L414" s="1094"/>
      <c r="M414" s="1094"/>
      <c r="N414" s="1094"/>
      <c r="O414" s="1093"/>
      <c r="P414" s="1094"/>
      <c r="Q414" s="1094"/>
      <c r="R414" s="1094"/>
    </row>
    <row r="415" spans="1:18" ht="20.399999999999999">
      <c r="A415" s="1081" t="s">
        <v>201</v>
      </c>
      <c r="B415" s="1082" t="s">
        <v>88</v>
      </c>
      <c r="C415" s="1092"/>
      <c r="D415" s="1092"/>
      <c r="E415" s="1086"/>
      <c r="F415" s="1086"/>
      <c r="G415" s="1086">
        <f>+G416</f>
        <v>286790</v>
      </c>
      <c r="H415" s="1086">
        <f>SUM(D415:G415)</f>
        <v>286790</v>
      </c>
      <c r="I415" s="1086">
        <v>0</v>
      </c>
      <c r="J415" s="1086"/>
      <c r="K415" s="1086"/>
      <c r="L415" s="1086">
        <f>+L416</f>
        <v>286790</v>
      </c>
      <c r="M415" s="1086">
        <f>SUM(I415:L415)</f>
        <v>286790</v>
      </c>
      <c r="N415" s="1086">
        <v>0</v>
      </c>
      <c r="O415" s="1086"/>
      <c r="P415" s="1086"/>
      <c r="Q415" s="1086">
        <f>+Q416</f>
        <v>286790</v>
      </c>
      <c r="R415" s="1086">
        <f>SUM(N415:Q415)</f>
        <v>286790</v>
      </c>
    </row>
    <row r="416" spans="1:18" ht="12">
      <c r="A416" s="1087">
        <v>21700</v>
      </c>
      <c r="B416" s="471" t="s">
        <v>97</v>
      </c>
      <c r="C416" s="770"/>
      <c r="D416" s="770"/>
      <c r="E416" s="474"/>
      <c r="F416" s="474"/>
      <c r="G416" s="474">
        <v>286790</v>
      </c>
      <c r="H416" s="474">
        <f>SUM(D416:G416)</f>
        <v>286790</v>
      </c>
      <c r="I416" s="474">
        <v>0</v>
      </c>
      <c r="J416" s="474"/>
      <c r="K416" s="474"/>
      <c r="L416" s="474">
        <v>286790</v>
      </c>
      <c r="M416" s="474">
        <f>SUM(I416:L416)</f>
        <v>286790</v>
      </c>
      <c r="N416" s="474">
        <v>0</v>
      </c>
      <c r="O416" s="474"/>
      <c r="P416" s="474"/>
      <c r="Q416" s="474">
        <v>286790</v>
      </c>
      <c r="R416" s="474">
        <f>SUM(N416:Q416)</f>
        <v>286790</v>
      </c>
    </row>
    <row r="417" spans="1:18" ht="24">
      <c r="A417" s="1049">
        <v>21710</v>
      </c>
      <c r="B417" s="768" t="s">
        <v>98</v>
      </c>
      <c r="C417" s="770"/>
      <c r="D417" s="770"/>
      <c r="E417" s="474"/>
      <c r="F417" s="474"/>
      <c r="G417" s="474">
        <v>286790</v>
      </c>
      <c r="H417" s="474">
        <f>SUM(D417:G417)</f>
        <v>286790</v>
      </c>
      <c r="I417" s="474">
        <v>0</v>
      </c>
      <c r="J417" s="474"/>
      <c r="K417" s="474"/>
      <c r="L417" s="474">
        <v>286790</v>
      </c>
      <c r="M417" s="474">
        <f>SUM(I417:L417)</f>
        <v>286790</v>
      </c>
      <c r="N417" s="474">
        <v>0</v>
      </c>
      <c r="O417" s="474"/>
      <c r="P417" s="474"/>
      <c r="Q417" s="474">
        <v>286790</v>
      </c>
      <c r="R417" s="474">
        <f>SUM(N417:Q417)</f>
        <v>286790</v>
      </c>
    </row>
    <row r="418" spans="1:18" ht="11.4">
      <c r="A418" s="1072" t="s">
        <v>100</v>
      </c>
      <c r="B418" s="1073" t="s">
        <v>101</v>
      </c>
      <c r="C418" s="1092"/>
      <c r="D418" s="1092"/>
      <c r="E418" s="1092"/>
      <c r="F418" s="1092"/>
      <c r="G418" s="1092">
        <f>+G419+G424</f>
        <v>286790</v>
      </c>
      <c r="H418" s="1092">
        <f>+H419+H424</f>
        <v>149823</v>
      </c>
      <c r="I418" s="1092">
        <f>+I419+I424</f>
        <v>0</v>
      </c>
      <c r="J418" s="1092"/>
      <c r="K418" s="1092"/>
      <c r="L418" s="1092">
        <f>+L419+L424</f>
        <v>286790</v>
      </c>
      <c r="M418" s="1092">
        <f>+M419+M424</f>
        <v>286790</v>
      </c>
      <c r="N418" s="1092">
        <f>+N419+N424</f>
        <v>0</v>
      </c>
      <c r="O418" s="1092"/>
      <c r="P418" s="1092"/>
      <c r="Q418" s="1092">
        <f>+Q419+Q424</f>
        <v>286790</v>
      </c>
      <c r="R418" s="1092">
        <f>+R419+R424</f>
        <v>286790</v>
      </c>
    </row>
    <row r="419" spans="1:18" ht="20.399999999999999">
      <c r="A419" s="1088" t="s">
        <v>102</v>
      </c>
      <c r="B419" s="471" t="s">
        <v>103</v>
      </c>
      <c r="C419" s="780"/>
      <c r="D419" s="780"/>
      <c r="E419" s="780"/>
      <c r="F419" s="780"/>
      <c r="G419" s="780">
        <f>+G420</f>
        <v>256060</v>
      </c>
      <c r="H419" s="780">
        <f>+H420</f>
        <v>119093</v>
      </c>
      <c r="I419" s="780">
        <f>+I420</f>
        <v>0</v>
      </c>
      <c r="J419" s="780"/>
      <c r="K419" s="780"/>
      <c r="L419" s="780">
        <f>+L420</f>
        <v>261130</v>
      </c>
      <c r="M419" s="474">
        <f t="shared" ref="M419:M423" si="72">SUM(I419:L419)</f>
        <v>261130</v>
      </c>
      <c r="N419" s="780">
        <f>+N420</f>
        <v>0</v>
      </c>
      <c r="O419" s="780"/>
      <c r="P419" s="780"/>
      <c r="Q419" s="780">
        <f>+Q420</f>
        <v>260550</v>
      </c>
      <c r="R419" s="473">
        <f t="shared" ref="R419:R422" si="73">SUM(N419:Q419)</f>
        <v>260550</v>
      </c>
    </row>
    <row r="420" spans="1:18" ht="12">
      <c r="A420" s="1088" t="s">
        <v>104</v>
      </c>
      <c r="B420" s="471" t="s">
        <v>105</v>
      </c>
      <c r="C420" s="780"/>
      <c r="D420" s="780"/>
      <c r="E420" s="780"/>
      <c r="F420" s="780"/>
      <c r="G420" s="780">
        <f>+G421+G423</f>
        <v>256060</v>
      </c>
      <c r="H420" s="780">
        <f>+H423</f>
        <v>119093</v>
      </c>
      <c r="I420" s="780">
        <f>+I423</f>
        <v>0</v>
      </c>
      <c r="J420" s="780"/>
      <c r="K420" s="780"/>
      <c r="L420" s="780">
        <f>+L421+L423</f>
        <v>261130</v>
      </c>
      <c r="M420" s="474">
        <f t="shared" si="72"/>
        <v>261130</v>
      </c>
      <c r="N420" s="780">
        <f>+N423</f>
        <v>0</v>
      </c>
      <c r="O420" s="780"/>
      <c r="P420" s="780"/>
      <c r="Q420" s="780">
        <f>+Q421+Q423</f>
        <v>260550</v>
      </c>
      <c r="R420" s="473">
        <f t="shared" si="73"/>
        <v>260550</v>
      </c>
    </row>
    <row r="421" spans="1:18" ht="12">
      <c r="A421" s="478">
        <v>1000</v>
      </c>
      <c r="B421" s="471" t="s">
        <v>106</v>
      </c>
      <c r="C421" s="495"/>
      <c r="D421" s="495"/>
      <c r="E421" s="472"/>
      <c r="F421" s="474"/>
      <c r="G421" s="474">
        <v>136967</v>
      </c>
      <c r="H421" s="474">
        <f t="shared" ref="H421:H422" si="74">SUM(D421:G421)</f>
        <v>136967</v>
      </c>
      <c r="I421" s="474"/>
      <c r="J421" s="474"/>
      <c r="K421" s="472"/>
      <c r="L421" s="474">
        <v>136967</v>
      </c>
      <c r="M421" s="474">
        <f t="shared" si="72"/>
        <v>136967</v>
      </c>
      <c r="N421" s="474"/>
      <c r="O421" s="472"/>
      <c r="P421" s="474"/>
      <c r="Q421" s="474">
        <v>136967</v>
      </c>
      <c r="R421" s="473">
        <f t="shared" si="73"/>
        <v>136967</v>
      </c>
    </row>
    <row r="422" spans="1:18" ht="12">
      <c r="A422" s="478">
        <v>1100</v>
      </c>
      <c r="B422" s="471" t="s">
        <v>107</v>
      </c>
      <c r="C422" s="495"/>
      <c r="D422" s="495"/>
      <c r="E422" s="472"/>
      <c r="F422" s="474"/>
      <c r="G422" s="474">
        <v>110377</v>
      </c>
      <c r="H422" s="474">
        <f t="shared" si="74"/>
        <v>110377</v>
      </c>
      <c r="I422" s="474"/>
      <c r="J422" s="474"/>
      <c r="K422" s="472"/>
      <c r="L422" s="474">
        <v>110377</v>
      </c>
      <c r="M422" s="474">
        <f t="shared" si="72"/>
        <v>110377</v>
      </c>
      <c r="N422" s="474"/>
      <c r="O422" s="472"/>
      <c r="P422" s="474"/>
      <c r="Q422" s="474">
        <v>110377</v>
      </c>
      <c r="R422" s="473">
        <f t="shared" si="73"/>
        <v>110377</v>
      </c>
    </row>
    <row r="423" spans="1:18" ht="12">
      <c r="A423" s="478">
        <v>2000</v>
      </c>
      <c r="B423" s="471" t="s">
        <v>108</v>
      </c>
      <c r="C423" s="495"/>
      <c r="D423" s="495"/>
      <c r="E423" s="472"/>
      <c r="F423" s="474"/>
      <c r="G423" s="474">
        <v>119093</v>
      </c>
      <c r="H423" s="474">
        <f>SUM(D423:G423)</f>
        <v>119093</v>
      </c>
      <c r="I423" s="474">
        <v>0</v>
      </c>
      <c r="J423" s="474"/>
      <c r="K423" s="472"/>
      <c r="L423" s="474">
        <v>124163</v>
      </c>
      <c r="M423" s="474">
        <f t="shared" si="72"/>
        <v>124163</v>
      </c>
      <c r="N423" s="474">
        <v>0</v>
      </c>
      <c r="O423" s="472"/>
      <c r="P423" s="474"/>
      <c r="Q423" s="474">
        <v>123583</v>
      </c>
      <c r="R423" s="473">
        <f>SUM(N423:Q423)</f>
        <v>123583</v>
      </c>
    </row>
    <row r="424" spans="1:18" ht="12">
      <c r="A424" s="478" t="s">
        <v>133</v>
      </c>
      <c r="B424" s="471" t="s">
        <v>122</v>
      </c>
      <c r="C424" s="495"/>
      <c r="D424" s="495"/>
      <c r="E424" s="495"/>
      <c r="F424" s="780"/>
      <c r="G424" s="780">
        <f>+G425</f>
        <v>30730</v>
      </c>
      <c r="H424" s="780">
        <f>+H425</f>
        <v>30730</v>
      </c>
      <c r="I424" s="780">
        <f>+I425</f>
        <v>0</v>
      </c>
      <c r="J424" s="780"/>
      <c r="K424" s="495"/>
      <c r="L424" s="780">
        <f>+L425</f>
        <v>25660</v>
      </c>
      <c r="M424" s="495">
        <f>+M425</f>
        <v>25660</v>
      </c>
      <c r="N424" s="495">
        <f>+N425</f>
        <v>0</v>
      </c>
      <c r="O424" s="495"/>
      <c r="P424" s="495"/>
      <c r="Q424" s="780">
        <f>+Q425</f>
        <v>26240</v>
      </c>
      <c r="R424" s="495">
        <f>+R425</f>
        <v>26240</v>
      </c>
    </row>
    <row r="425" spans="1:18" ht="12">
      <c r="A425" s="478">
        <v>5000</v>
      </c>
      <c r="B425" s="471" t="s">
        <v>123</v>
      </c>
      <c r="C425" s="495"/>
      <c r="D425" s="495"/>
      <c r="E425" s="472"/>
      <c r="F425" s="474"/>
      <c r="G425" s="474">
        <v>30730</v>
      </c>
      <c r="H425" s="474">
        <f>SUM(D425:G425)</f>
        <v>30730</v>
      </c>
      <c r="I425" s="474">
        <v>0</v>
      </c>
      <c r="J425" s="474"/>
      <c r="K425" s="474"/>
      <c r="L425" s="474">
        <v>25660</v>
      </c>
      <c r="M425" s="473">
        <f>SUM(I425:L425)</f>
        <v>25660</v>
      </c>
      <c r="N425" s="474">
        <v>0</v>
      </c>
      <c r="O425" s="472"/>
      <c r="P425" s="474"/>
      <c r="Q425" s="474">
        <v>26240</v>
      </c>
      <c r="R425" s="473">
        <f>SUM(N425:Q425)</f>
        <v>26240</v>
      </c>
    </row>
    <row r="426" spans="1:18" ht="80.400000000000006" customHeight="1">
      <c r="A426" s="1077" t="s">
        <v>554</v>
      </c>
      <c r="B426" s="1078" t="s">
        <v>555</v>
      </c>
      <c r="C426" s="1093"/>
      <c r="D426" s="1094"/>
      <c r="E426" s="1093"/>
      <c r="F426" s="1094"/>
      <c r="G426" s="1094"/>
      <c r="H426" s="1094"/>
      <c r="I426" s="1094"/>
      <c r="J426" s="1093"/>
      <c r="K426" s="1094"/>
      <c r="L426" s="1094"/>
      <c r="M426" s="1094"/>
      <c r="N426" s="1094"/>
      <c r="O426" s="1093"/>
      <c r="P426" s="1094"/>
      <c r="Q426" s="1094"/>
      <c r="R426" s="1094"/>
    </row>
    <row r="427" spans="1:18" ht="20.399999999999999">
      <c r="A427" s="1081" t="s">
        <v>201</v>
      </c>
      <c r="B427" s="1082" t="s">
        <v>88</v>
      </c>
      <c r="C427" s="1092"/>
      <c r="D427" s="1092"/>
      <c r="E427" s="1086"/>
      <c r="F427" s="1086"/>
      <c r="G427" s="1086">
        <f>+G428</f>
        <v>56320</v>
      </c>
      <c r="H427" s="1086">
        <f>SUM(D427:G427)</f>
        <v>56320</v>
      </c>
      <c r="I427" s="1086"/>
      <c r="J427" s="1086"/>
      <c r="K427" s="1086"/>
      <c r="L427" s="1086">
        <f>+L428</f>
        <v>56320</v>
      </c>
      <c r="M427" s="1086">
        <f>SUM(I427:L427)</f>
        <v>56320</v>
      </c>
      <c r="N427" s="1086"/>
      <c r="O427" s="1086"/>
      <c r="P427" s="1086"/>
      <c r="Q427" s="1086">
        <f>+Q428</f>
        <v>56320</v>
      </c>
      <c r="R427" s="1086">
        <f>SUM(N427:Q427)</f>
        <v>56320</v>
      </c>
    </row>
    <row r="428" spans="1:18" ht="12">
      <c r="A428" s="1087">
        <v>21700</v>
      </c>
      <c r="B428" s="471" t="s">
        <v>97</v>
      </c>
      <c r="C428" s="770"/>
      <c r="D428" s="770"/>
      <c r="E428" s="474"/>
      <c r="F428" s="474"/>
      <c r="G428" s="474">
        <v>56320</v>
      </c>
      <c r="H428" s="474">
        <f>SUM(D428:G428)</f>
        <v>56320</v>
      </c>
      <c r="I428" s="474"/>
      <c r="J428" s="474"/>
      <c r="K428" s="474"/>
      <c r="L428" s="474">
        <v>56320</v>
      </c>
      <c r="M428" s="474">
        <f>SUM(I428:L428)</f>
        <v>56320</v>
      </c>
      <c r="N428" s="474"/>
      <c r="O428" s="474"/>
      <c r="P428" s="474"/>
      <c r="Q428" s="474">
        <v>56320</v>
      </c>
      <c r="R428" s="474">
        <f>SUM(N428:Q428)</f>
        <v>56320</v>
      </c>
    </row>
    <row r="429" spans="1:18" ht="24">
      <c r="A429" s="1049">
        <v>21710</v>
      </c>
      <c r="B429" s="768" t="s">
        <v>98</v>
      </c>
      <c r="C429" s="770"/>
      <c r="D429" s="770"/>
      <c r="E429" s="474"/>
      <c r="F429" s="474"/>
      <c r="G429" s="474">
        <v>56320</v>
      </c>
      <c r="H429" s="474">
        <f>SUM(D429:G429)</f>
        <v>56320</v>
      </c>
      <c r="I429" s="474"/>
      <c r="J429" s="474"/>
      <c r="K429" s="474"/>
      <c r="L429" s="474">
        <v>56320</v>
      </c>
      <c r="M429" s="474">
        <f>SUM(I429:L429)</f>
        <v>56320</v>
      </c>
      <c r="N429" s="474"/>
      <c r="O429" s="474"/>
      <c r="P429" s="474"/>
      <c r="Q429" s="474">
        <v>56320</v>
      </c>
      <c r="R429" s="474">
        <f>SUM(N429:Q429)</f>
        <v>56320</v>
      </c>
    </row>
    <row r="430" spans="1:18" ht="11.4">
      <c r="A430" s="1072" t="s">
        <v>100</v>
      </c>
      <c r="B430" s="1073" t="s">
        <v>101</v>
      </c>
      <c r="C430" s="1092"/>
      <c r="D430" s="1092"/>
      <c r="E430" s="1092"/>
      <c r="F430" s="1092"/>
      <c r="G430" s="1092">
        <f>+G431</f>
        <v>56320</v>
      </c>
      <c r="H430" s="1092">
        <f>+H431</f>
        <v>56320</v>
      </c>
      <c r="I430" s="1092"/>
      <c r="J430" s="1092"/>
      <c r="K430" s="1092"/>
      <c r="L430" s="1092">
        <f>+L431</f>
        <v>56320</v>
      </c>
      <c r="M430" s="1092">
        <f>+M431</f>
        <v>56320</v>
      </c>
      <c r="N430" s="1092"/>
      <c r="O430" s="1092"/>
      <c r="P430" s="1092"/>
      <c r="Q430" s="1092">
        <f>+Q431</f>
        <v>56320</v>
      </c>
      <c r="R430" s="1092">
        <f>+R431</f>
        <v>56320</v>
      </c>
    </row>
    <row r="431" spans="1:18" ht="20.399999999999999">
      <c r="A431" s="1088" t="s">
        <v>102</v>
      </c>
      <c r="B431" s="471" t="s">
        <v>103</v>
      </c>
      <c r="C431" s="780"/>
      <c r="D431" s="780"/>
      <c r="E431" s="780"/>
      <c r="F431" s="780"/>
      <c r="G431" s="780">
        <f>+G432</f>
        <v>56320</v>
      </c>
      <c r="H431" s="473">
        <f t="shared" ref="H431:H433" si="75">SUM(D431:G431)</f>
        <v>56320</v>
      </c>
      <c r="I431" s="780"/>
      <c r="J431" s="780"/>
      <c r="K431" s="780"/>
      <c r="L431" s="780">
        <f>+L432</f>
        <v>56320</v>
      </c>
      <c r="M431" s="474">
        <f t="shared" ref="M431:M433" si="76">SUM(I431:L431)</f>
        <v>56320</v>
      </c>
      <c r="N431" s="780"/>
      <c r="O431" s="780"/>
      <c r="P431" s="780"/>
      <c r="Q431" s="780">
        <f>+Q432</f>
        <v>56320</v>
      </c>
      <c r="R431" s="780">
        <f>+R432</f>
        <v>56320</v>
      </c>
    </row>
    <row r="432" spans="1:18" ht="12">
      <c r="A432" s="966" t="s">
        <v>109</v>
      </c>
      <c r="B432" s="1008" t="s">
        <v>110</v>
      </c>
      <c r="C432" s="769"/>
      <c r="D432" s="769"/>
      <c r="E432" s="474"/>
      <c r="F432" s="474"/>
      <c r="G432" s="474">
        <f>+G433</f>
        <v>56320</v>
      </c>
      <c r="H432" s="473">
        <f t="shared" si="75"/>
        <v>56320</v>
      </c>
      <c r="I432" s="474"/>
      <c r="J432" s="474"/>
      <c r="K432" s="474"/>
      <c r="L432" s="474">
        <f>+L433</f>
        <v>56320</v>
      </c>
      <c r="M432" s="473">
        <f t="shared" si="76"/>
        <v>56320</v>
      </c>
      <c r="N432" s="474"/>
      <c r="O432" s="474"/>
      <c r="P432" s="474"/>
      <c r="Q432" s="474">
        <f>+Q433</f>
        <v>56320</v>
      </c>
      <c r="R432" s="473">
        <f t="shared" ref="R432:R433" si="77">SUM(N432:Q432)</f>
        <v>56320</v>
      </c>
    </row>
    <row r="433" spans="1:18" ht="12">
      <c r="A433" s="767">
        <v>3000</v>
      </c>
      <c r="B433" s="768" t="s">
        <v>111</v>
      </c>
      <c r="C433" s="1109"/>
      <c r="D433" s="1109"/>
      <c r="E433" s="978"/>
      <c r="F433" s="978"/>
      <c r="G433" s="474">
        <v>56320</v>
      </c>
      <c r="H433" s="473">
        <f t="shared" si="75"/>
        <v>56320</v>
      </c>
      <c r="I433" s="977"/>
      <c r="J433" s="978"/>
      <c r="K433" s="978"/>
      <c r="L433" s="474">
        <v>56320</v>
      </c>
      <c r="M433" s="473">
        <f t="shared" si="76"/>
        <v>56320</v>
      </c>
      <c r="N433" s="977"/>
      <c r="O433" s="978"/>
      <c r="P433" s="978"/>
      <c r="Q433" s="474">
        <v>56320</v>
      </c>
      <c r="R433" s="473">
        <f t="shared" si="77"/>
        <v>56320</v>
      </c>
    </row>
    <row r="434" spans="1:18" ht="79.8">
      <c r="A434" s="1077" t="s">
        <v>556</v>
      </c>
      <c r="B434" s="1078" t="s">
        <v>557</v>
      </c>
      <c r="C434" s="1093"/>
      <c r="D434" s="1094"/>
      <c r="E434" s="1093"/>
      <c r="F434" s="1094"/>
      <c r="G434" s="1094"/>
      <c r="H434" s="1094"/>
      <c r="I434" s="1094"/>
      <c r="J434" s="1093"/>
      <c r="K434" s="1094"/>
      <c r="L434" s="1094"/>
      <c r="M434" s="1094"/>
      <c r="N434" s="1094"/>
      <c r="O434" s="1093"/>
      <c r="P434" s="1094"/>
      <c r="Q434" s="1094"/>
      <c r="R434" s="1094"/>
    </row>
    <row r="435" spans="1:18" ht="20.399999999999999">
      <c r="A435" s="1081" t="s">
        <v>201</v>
      </c>
      <c r="B435" s="1082" t="s">
        <v>88</v>
      </c>
      <c r="C435" s="1092">
        <v>0</v>
      </c>
      <c r="D435" s="1092">
        <v>0</v>
      </c>
      <c r="E435" s="1086"/>
      <c r="F435" s="1086"/>
      <c r="G435" s="1086">
        <f>+G436</f>
        <v>0</v>
      </c>
      <c r="H435" s="1086">
        <f t="shared" ref="H435:H441" si="78">SUM(D435:G435)</f>
        <v>0</v>
      </c>
      <c r="I435" s="1086">
        <v>0</v>
      </c>
      <c r="J435" s="1086"/>
      <c r="K435" s="1086"/>
      <c r="L435" s="1086">
        <f>+L436</f>
        <v>59385</v>
      </c>
      <c r="M435" s="1086">
        <f t="shared" ref="M435:M441" si="79">SUM(I435:L435)</f>
        <v>59385</v>
      </c>
      <c r="N435" s="1086">
        <v>0</v>
      </c>
      <c r="O435" s="1086"/>
      <c r="P435" s="1086"/>
      <c r="Q435" s="1086">
        <f>+Q436</f>
        <v>0</v>
      </c>
      <c r="R435" s="1086">
        <f t="shared" ref="R435:R441" si="80">SUM(N435:Q435)</f>
        <v>0</v>
      </c>
    </row>
    <row r="436" spans="1:18" ht="12">
      <c r="A436" s="1087">
        <v>21700</v>
      </c>
      <c r="B436" s="471" t="s">
        <v>97</v>
      </c>
      <c r="C436" s="770">
        <v>0</v>
      </c>
      <c r="D436" s="770">
        <v>0</v>
      </c>
      <c r="E436" s="474"/>
      <c r="F436" s="474"/>
      <c r="G436" s="474"/>
      <c r="H436" s="474">
        <f t="shared" si="78"/>
        <v>0</v>
      </c>
      <c r="I436" s="474">
        <v>0</v>
      </c>
      <c r="J436" s="474"/>
      <c r="K436" s="474"/>
      <c r="L436" s="474">
        <v>59385</v>
      </c>
      <c r="M436" s="474">
        <f t="shared" si="79"/>
        <v>59385</v>
      </c>
      <c r="N436" s="474">
        <v>0</v>
      </c>
      <c r="O436" s="474"/>
      <c r="P436" s="474"/>
      <c r="Q436" s="474"/>
      <c r="R436" s="474">
        <f t="shared" si="80"/>
        <v>0</v>
      </c>
    </row>
    <row r="437" spans="1:18" ht="24">
      <c r="A437" s="1049">
        <v>21710</v>
      </c>
      <c r="B437" s="768" t="s">
        <v>98</v>
      </c>
      <c r="C437" s="770">
        <v>0</v>
      </c>
      <c r="D437" s="770">
        <v>0</v>
      </c>
      <c r="E437" s="474"/>
      <c r="F437" s="474"/>
      <c r="G437" s="474"/>
      <c r="H437" s="474">
        <f t="shared" si="78"/>
        <v>0</v>
      </c>
      <c r="I437" s="474">
        <v>0</v>
      </c>
      <c r="J437" s="474"/>
      <c r="K437" s="474"/>
      <c r="L437" s="474">
        <v>59385</v>
      </c>
      <c r="M437" s="474">
        <f t="shared" si="79"/>
        <v>59385</v>
      </c>
      <c r="N437" s="474">
        <v>0</v>
      </c>
      <c r="O437" s="474"/>
      <c r="P437" s="474"/>
      <c r="Q437" s="474"/>
      <c r="R437" s="474">
        <f t="shared" si="80"/>
        <v>0</v>
      </c>
    </row>
    <row r="438" spans="1:18" ht="11.4">
      <c r="A438" s="1072" t="s">
        <v>100</v>
      </c>
      <c r="B438" s="1073" t="s">
        <v>101</v>
      </c>
      <c r="C438" s="1092">
        <f t="shared" ref="C438:D440" si="81">+C439</f>
        <v>0</v>
      </c>
      <c r="D438" s="1092">
        <f t="shared" si="81"/>
        <v>0</v>
      </c>
      <c r="E438" s="1092"/>
      <c r="F438" s="1092"/>
      <c r="G438" s="1092">
        <f>+G439</f>
        <v>0</v>
      </c>
      <c r="H438" s="1085">
        <f t="shared" si="78"/>
        <v>0</v>
      </c>
      <c r="I438" s="1092">
        <f>+I439</f>
        <v>0</v>
      </c>
      <c r="J438" s="1092"/>
      <c r="K438" s="1092"/>
      <c r="L438" s="1092">
        <f>+L439</f>
        <v>59385</v>
      </c>
      <c r="M438" s="1086">
        <f t="shared" si="79"/>
        <v>59385</v>
      </c>
      <c r="N438" s="1092">
        <f>+N439</f>
        <v>0</v>
      </c>
      <c r="O438" s="1092"/>
      <c r="P438" s="1092"/>
      <c r="Q438" s="1092">
        <f>+Q439</f>
        <v>0</v>
      </c>
      <c r="R438" s="1086">
        <f t="shared" si="80"/>
        <v>0</v>
      </c>
    </row>
    <row r="439" spans="1:18" ht="20.399999999999999">
      <c r="A439" s="1088" t="s">
        <v>102</v>
      </c>
      <c r="B439" s="471" t="s">
        <v>103</v>
      </c>
      <c r="C439" s="780">
        <f t="shared" si="81"/>
        <v>0</v>
      </c>
      <c r="D439" s="780">
        <f t="shared" si="81"/>
        <v>0</v>
      </c>
      <c r="E439" s="780"/>
      <c r="F439" s="780"/>
      <c r="G439" s="780">
        <f>+G440</f>
        <v>0</v>
      </c>
      <c r="H439" s="473">
        <f t="shared" si="78"/>
        <v>0</v>
      </c>
      <c r="I439" s="780">
        <f>+I440</f>
        <v>0</v>
      </c>
      <c r="J439" s="780"/>
      <c r="K439" s="780"/>
      <c r="L439" s="780">
        <f>+L440</f>
        <v>59385</v>
      </c>
      <c r="M439" s="474">
        <f t="shared" si="79"/>
        <v>59385</v>
      </c>
      <c r="N439" s="780">
        <f>+N440</f>
        <v>0</v>
      </c>
      <c r="O439" s="780"/>
      <c r="P439" s="780"/>
      <c r="Q439" s="780">
        <f>+Q440</f>
        <v>0</v>
      </c>
      <c r="R439" s="474">
        <f t="shared" si="80"/>
        <v>0</v>
      </c>
    </row>
    <row r="440" spans="1:18" ht="12">
      <c r="A440" s="1088" t="s">
        <v>104</v>
      </c>
      <c r="B440" s="471" t="s">
        <v>105</v>
      </c>
      <c r="C440" s="780">
        <f t="shared" si="81"/>
        <v>0</v>
      </c>
      <c r="D440" s="780">
        <f t="shared" si="81"/>
        <v>0</v>
      </c>
      <c r="E440" s="780"/>
      <c r="F440" s="780"/>
      <c r="G440" s="780">
        <f>+G441</f>
        <v>0</v>
      </c>
      <c r="H440" s="473">
        <f t="shared" si="78"/>
        <v>0</v>
      </c>
      <c r="I440" s="780">
        <f>+I441</f>
        <v>0</v>
      </c>
      <c r="J440" s="780"/>
      <c r="K440" s="780"/>
      <c r="L440" s="780">
        <f>+L441</f>
        <v>59385</v>
      </c>
      <c r="M440" s="474">
        <f t="shared" si="79"/>
        <v>59385</v>
      </c>
      <c r="N440" s="780">
        <f>+N441</f>
        <v>0</v>
      </c>
      <c r="O440" s="780"/>
      <c r="P440" s="780"/>
      <c r="Q440" s="780">
        <f>+Q441</f>
        <v>0</v>
      </c>
      <c r="R440" s="474">
        <f t="shared" si="80"/>
        <v>0</v>
      </c>
    </row>
    <row r="441" spans="1:18" ht="12">
      <c r="A441" s="478">
        <v>2000</v>
      </c>
      <c r="B441" s="471" t="s">
        <v>108</v>
      </c>
      <c r="C441" s="495">
        <v>0</v>
      </c>
      <c r="D441" s="495">
        <v>0</v>
      </c>
      <c r="E441" s="474"/>
      <c r="F441" s="474"/>
      <c r="G441" s="474"/>
      <c r="H441" s="473">
        <f t="shared" si="78"/>
        <v>0</v>
      </c>
      <c r="I441" s="474">
        <v>0</v>
      </c>
      <c r="J441" s="472"/>
      <c r="K441" s="474"/>
      <c r="L441" s="474">
        <v>59385</v>
      </c>
      <c r="M441" s="474">
        <f t="shared" si="79"/>
        <v>59385</v>
      </c>
      <c r="N441" s="474">
        <v>0</v>
      </c>
      <c r="O441" s="474"/>
      <c r="P441" s="474"/>
      <c r="Q441" s="474"/>
      <c r="R441" s="474">
        <f t="shared" si="80"/>
        <v>0</v>
      </c>
    </row>
    <row r="442" spans="1:18" ht="91.2">
      <c r="A442" s="1077" t="s">
        <v>558</v>
      </c>
      <c r="B442" s="1078" t="s">
        <v>559</v>
      </c>
      <c r="C442" s="1093"/>
      <c r="D442" s="1094"/>
      <c r="E442" s="1093"/>
      <c r="F442" s="1094"/>
      <c r="G442" s="1094"/>
      <c r="H442" s="1094"/>
      <c r="I442" s="1094"/>
      <c r="J442" s="1093"/>
      <c r="K442" s="1094"/>
      <c r="L442" s="1094"/>
      <c r="M442" s="1094"/>
      <c r="N442" s="1094"/>
      <c r="O442" s="1093"/>
      <c r="P442" s="1094"/>
      <c r="Q442" s="1094"/>
      <c r="R442" s="1094"/>
    </row>
    <row r="443" spans="1:18" ht="20.399999999999999">
      <c r="A443" s="1081" t="s">
        <v>201</v>
      </c>
      <c r="B443" s="1082" t="s">
        <v>88</v>
      </c>
      <c r="C443" s="1092"/>
      <c r="D443" s="1092"/>
      <c r="E443" s="1086"/>
      <c r="F443" s="1086">
        <f>+F444</f>
        <v>-165538</v>
      </c>
      <c r="G443" s="1086"/>
      <c r="H443" s="1086">
        <f>SUM(D443:G443)</f>
        <v>-165538</v>
      </c>
      <c r="I443" s="1086"/>
      <c r="J443" s="1086"/>
      <c r="K443" s="1086">
        <f>+K444</f>
        <v>80990</v>
      </c>
      <c r="L443" s="1086"/>
      <c r="M443" s="1086">
        <f>SUM(I443:L443)</f>
        <v>80990</v>
      </c>
      <c r="N443" s="1086">
        <v>0</v>
      </c>
      <c r="O443" s="1085"/>
      <c r="P443" s="1085">
        <f>+P444</f>
        <v>84548</v>
      </c>
      <c r="Q443" s="1086"/>
      <c r="R443" s="1086">
        <f>SUM(N443:Q443)</f>
        <v>84548</v>
      </c>
    </row>
    <row r="444" spans="1:18" ht="12">
      <c r="A444" s="1087">
        <v>21700</v>
      </c>
      <c r="B444" s="471" t="s">
        <v>97</v>
      </c>
      <c r="C444" s="770"/>
      <c r="D444" s="770"/>
      <c r="E444" s="474"/>
      <c r="F444" s="474">
        <v>-165538</v>
      </c>
      <c r="G444" s="474"/>
      <c r="H444" s="474">
        <f>SUM(D444:G444)</f>
        <v>-165538</v>
      </c>
      <c r="I444" s="474"/>
      <c r="J444" s="474"/>
      <c r="K444" s="474">
        <v>80990</v>
      </c>
      <c r="L444" s="474"/>
      <c r="M444" s="474">
        <f>SUM(I444:L444)</f>
        <v>80990</v>
      </c>
      <c r="N444" s="474">
        <v>0</v>
      </c>
      <c r="O444" s="473"/>
      <c r="P444" s="473">
        <v>84548</v>
      </c>
      <c r="Q444" s="474"/>
      <c r="R444" s="474">
        <f>SUM(N444:Q444)</f>
        <v>84548</v>
      </c>
    </row>
    <row r="445" spans="1:18" ht="24">
      <c r="A445" s="1049">
        <v>21710</v>
      </c>
      <c r="B445" s="768" t="s">
        <v>98</v>
      </c>
      <c r="C445" s="770"/>
      <c r="D445" s="770"/>
      <c r="E445" s="474"/>
      <c r="F445" s="474">
        <v>-165538</v>
      </c>
      <c r="G445" s="474"/>
      <c r="H445" s="474">
        <f>SUM(D445:G445)</f>
        <v>-165538</v>
      </c>
      <c r="I445" s="474"/>
      <c r="J445" s="474"/>
      <c r="K445" s="474">
        <v>80990</v>
      </c>
      <c r="L445" s="474"/>
      <c r="M445" s="474">
        <f>SUM(I445:L445)</f>
        <v>80990</v>
      </c>
      <c r="N445" s="474">
        <v>0</v>
      </c>
      <c r="O445" s="473"/>
      <c r="P445" s="473">
        <v>84548</v>
      </c>
      <c r="Q445" s="474"/>
      <c r="R445" s="474">
        <f>SUM(N445:Q445)</f>
        <v>84548</v>
      </c>
    </row>
    <row r="446" spans="1:18" ht="11.4">
      <c r="A446" s="1072" t="s">
        <v>100</v>
      </c>
      <c r="B446" s="1073" t="s">
        <v>101</v>
      </c>
      <c r="C446" s="1092"/>
      <c r="D446" s="1092"/>
      <c r="E446" s="1092"/>
      <c r="F446" s="1092">
        <f>+F447+F452</f>
        <v>-165538</v>
      </c>
      <c r="G446" s="1092"/>
      <c r="H446" s="1092">
        <f>+H447+H452</f>
        <v>-165538</v>
      </c>
      <c r="I446" s="1092"/>
      <c r="J446" s="1092"/>
      <c r="K446" s="1092">
        <f>+K447+K452</f>
        <v>80990</v>
      </c>
      <c r="L446" s="1092"/>
      <c r="M446" s="1092">
        <f>+M447+M452</f>
        <v>80990</v>
      </c>
      <c r="N446" s="1092">
        <f>+N447+N452</f>
        <v>0</v>
      </c>
      <c r="O446" s="1083"/>
      <c r="P446" s="1083">
        <f>+P447+P452</f>
        <v>84548</v>
      </c>
      <c r="Q446" s="1092"/>
      <c r="R446" s="1092">
        <f>+R447+R452</f>
        <v>34478</v>
      </c>
    </row>
    <row r="447" spans="1:18" ht="20.399999999999999">
      <c r="A447" s="1088" t="s">
        <v>102</v>
      </c>
      <c r="B447" s="471" t="s">
        <v>103</v>
      </c>
      <c r="C447" s="780"/>
      <c r="D447" s="780"/>
      <c r="E447" s="780"/>
      <c r="F447" s="780">
        <f>+F448</f>
        <v>-181316</v>
      </c>
      <c r="G447" s="780"/>
      <c r="H447" s="474">
        <f t="shared" ref="H447:H450" si="82">SUM(D447:G447)</f>
        <v>-181316</v>
      </c>
      <c r="I447" s="780"/>
      <c r="J447" s="780"/>
      <c r="K447" s="780">
        <f>+K448</f>
        <v>94279</v>
      </c>
      <c r="L447" s="780"/>
      <c r="M447" s="474">
        <f t="shared" ref="M447:M448" si="83">SUM(I447:L447)</f>
        <v>94279</v>
      </c>
      <c r="N447" s="780">
        <f>+N448</f>
        <v>0</v>
      </c>
      <c r="O447" s="495"/>
      <c r="P447" s="495">
        <f>+P448</f>
        <v>84548</v>
      </c>
      <c r="Q447" s="780"/>
      <c r="R447" s="780">
        <f>+R448</f>
        <v>34478</v>
      </c>
    </row>
    <row r="448" spans="1:18" ht="12">
      <c r="A448" s="1088" t="s">
        <v>104</v>
      </c>
      <c r="B448" s="471" t="s">
        <v>105</v>
      </c>
      <c r="C448" s="780"/>
      <c r="D448" s="780"/>
      <c r="E448" s="780"/>
      <c r="F448" s="780">
        <f>+F449+F451</f>
        <v>-181316</v>
      </c>
      <c r="G448" s="780"/>
      <c r="H448" s="474">
        <f t="shared" si="82"/>
        <v>-181316</v>
      </c>
      <c r="I448" s="780"/>
      <c r="J448" s="780"/>
      <c r="K448" s="780">
        <f>+K449+K451</f>
        <v>94279</v>
      </c>
      <c r="L448" s="780"/>
      <c r="M448" s="474">
        <f t="shared" si="83"/>
        <v>94279</v>
      </c>
      <c r="N448" s="780">
        <f>+N451</f>
        <v>0</v>
      </c>
      <c r="O448" s="495"/>
      <c r="P448" s="495">
        <f>+P449+P451</f>
        <v>84548</v>
      </c>
      <c r="Q448" s="780"/>
      <c r="R448" s="780">
        <f>+R451</f>
        <v>34478</v>
      </c>
    </row>
    <row r="449" spans="1:18" ht="12">
      <c r="A449" s="478">
        <v>1000</v>
      </c>
      <c r="B449" s="471" t="s">
        <v>106</v>
      </c>
      <c r="C449" s="495"/>
      <c r="D449" s="495"/>
      <c r="E449" s="474"/>
      <c r="F449" s="474">
        <f>141903-285033</f>
        <v>-143130</v>
      </c>
      <c r="G449" s="474"/>
      <c r="H449" s="474">
        <f t="shared" si="82"/>
        <v>-143130</v>
      </c>
      <c r="I449" s="474"/>
      <c r="J449" s="474"/>
      <c r="K449" s="474">
        <f>137833-77598</f>
        <v>60235</v>
      </c>
      <c r="L449" s="474"/>
      <c r="M449" s="474">
        <f t="shared" ref="M449:M450" si="84">SUM(I449:L449)</f>
        <v>60235</v>
      </c>
      <c r="N449" s="474"/>
      <c r="O449" s="473"/>
      <c r="P449" s="473">
        <v>50070</v>
      </c>
      <c r="Q449" s="474"/>
      <c r="R449" s="473">
        <f t="shared" ref="R449:R450" si="85">SUM(N449:Q449)</f>
        <v>50070</v>
      </c>
    </row>
    <row r="450" spans="1:18" ht="12">
      <c r="A450" s="478">
        <v>1100</v>
      </c>
      <c r="B450" s="471" t="s">
        <v>107</v>
      </c>
      <c r="C450" s="495"/>
      <c r="D450" s="495"/>
      <c r="E450" s="474"/>
      <c r="F450" s="474">
        <f>114355-229699</f>
        <v>-115344</v>
      </c>
      <c r="G450" s="474"/>
      <c r="H450" s="474">
        <f t="shared" si="82"/>
        <v>-115344</v>
      </c>
      <c r="I450" s="474"/>
      <c r="J450" s="474"/>
      <c r="K450" s="474">
        <f>111075-62534</f>
        <v>48541</v>
      </c>
      <c r="L450" s="474"/>
      <c r="M450" s="474">
        <f t="shared" si="84"/>
        <v>48541</v>
      </c>
      <c r="N450" s="474"/>
      <c r="O450" s="473"/>
      <c r="P450" s="473">
        <v>40350</v>
      </c>
      <c r="Q450" s="474"/>
      <c r="R450" s="473">
        <f t="shared" si="85"/>
        <v>40350</v>
      </c>
    </row>
    <row r="451" spans="1:18" ht="12">
      <c r="A451" s="478">
        <v>2000</v>
      </c>
      <c r="B451" s="471" t="s">
        <v>108</v>
      </c>
      <c r="C451" s="495"/>
      <c r="D451" s="495"/>
      <c r="E451" s="474"/>
      <c r="F451" s="474">
        <f>81343-119529</f>
        <v>-38186</v>
      </c>
      <c r="G451" s="474"/>
      <c r="H451" s="474">
        <f>SUM(D451:G451)</f>
        <v>-38186</v>
      </c>
      <c r="I451" s="474"/>
      <c r="J451" s="474"/>
      <c r="K451" s="474">
        <f>95008-60964</f>
        <v>34044</v>
      </c>
      <c r="L451" s="474"/>
      <c r="M451" s="474">
        <f t="shared" ref="M451" si="86">SUM(I451:L451)</f>
        <v>34044</v>
      </c>
      <c r="N451" s="474">
        <v>0</v>
      </c>
      <c r="O451" s="473"/>
      <c r="P451" s="473">
        <v>34478</v>
      </c>
      <c r="Q451" s="474"/>
      <c r="R451" s="473">
        <f>SUM(N451:Q451)</f>
        <v>34478</v>
      </c>
    </row>
    <row r="452" spans="1:18" ht="12">
      <c r="A452" s="478" t="s">
        <v>133</v>
      </c>
      <c r="B452" s="471" t="s">
        <v>122</v>
      </c>
      <c r="C452" s="495"/>
      <c r="D452" s="495"/>
      <c r="E452" s="495"/>
      <c r="F452" s="495">
        <f>+F453</f>
        <v>15778</v>
      </c>
      <c r="G452" s="780"/>
      <c r="H452" s="780">
        <f>+H453</f>
        <v>15778</v>
      </c>
      <c r="I452" s="780"/>
      <c r="J452" s="780"/>
      <c r="K452" s="780">
        <f>+K453</f>
        <v>-13289</v>
      </c>
      <c r="L452" s="780"/>
      <c r="M452" s="495">
        <f>+M453</f>
        <v>-13289</v>
      </c>
      <c r="N452" s="495">
        <f>+N453</f>
        <v>0</v>
      </c>
      <c r="O452" s="495"/>
      <c r="P452" s="495"/>
      <c r="Q452" s="780"/>
      <c r="R452" s="495">
        <f>+R453</f>
        <v>0</v>
      </c>
    </row>
    <row r="453" spans="1:18" ht="12">
      <c r="A453" s="478">
        <v>5000</v>
      </c>
      <c r="B453" s="471" t="s">
        <v>123</v>
      </c>
      <c r="C453" s="495"/>
      <c r="D453" s="495"/>
      <c r="E453" s="474"/>
      <c r="F453" s="474">
        <f>45940-30162</f>
        <v>15778</v>
      </c>
      <c r="G453" s="474"/>
      <c r="H453" s="474">
        <f>SUM(D453:G453)</f>
        <v>15778</v>
      </c>
      <c r="I453" s="474"/>
      <c r="J453" s="474"/>
      <c r="K453" s="474">
        <v>-13289</v>
      </c>
      <c r="L453" s="474"/>
      <c r="M453" s="473">
        <f>SUM(I453:L453)</f>
        <v>-13289</v>
      </c>
      <c r="N453" s="474">
        <v>0</v>
      </c>
      <c r="O453" s="473"/>
      <c r="P453" s="473"/>
      <c r="Q453" s="474"/>
      <c r="R453" s="473">
        <f>SUM(N453:Q453)</f>
        <v>0</v>
      </c>
    </row>
    <row r="454" spans="1:18" ht="12">
      <c r="A454" s="478"/>
      <c r="B454" s="471"/>
      <c r="C454" s="495"/>
      <c r="D454" s="495"/>
      <c r="E454" s="474"/>
      <c r="F454" s="474"/>
      <c r="G454" s="474"/>
      <c r="H454" s="473"/>
      <c r="I454" s="474"/>
      <c r="J454" s="472"/>
      <c r="K454" s="474"/>
      <c r="L454" s="474"/>
      <c r="M454" s="473"/>
      <c r="N454" s="474"/>
      <c r="O454" s="474"/>
      <c r="P454" s="474"/>
      <c r="Q454" s="474"/>
      <c r="R454" s="473"/>
    </row>
    <row r="455" spans="1:18" ht="13.2">
      <c r="A455" s="369" t="s">
        <v>245</v>
      </c>
      <c r="B455" s="370" t="s">
        <v>140</v>
      </c>
      <c r="C455" s="469"/>
      <c r="D455" s="470"/>
      <c r="E455" s="469"/>
      <c r="F455" s="470"/>
      <c r="G455" s="470"/>
      <c r="H455" s="470"/>
      <c r="I455" s="470"/>
      <c r="J455" s="469"/>
      <c r="K455" s="470"/>
      <c r="L455" s="470"/>
      <c r="M455" s="470"/>
      <c r="N455" s="470"/>
      <c r="O455" s="469"/>
      <c r="P455" s="470"/>
      <c r="Q455" s="470"/>
      <c r="R455" s="470"/>
    </row>
    <row r="456" spans="1:18" ht="13.2">
      <c r="A456" s="371"/>
      <c r="B456" s="372" t="s">
        <v>238</v>
      </c>
      <c r="C456" s="165"/>
      <c r="D456" s="163"/>
      <c r="E456" s="165"/>
      <c r="F456" s="163"/>
      <c r="G456" s="163"/>
      <c r="H456" s="163"/>
      <c r="I456" s="163"/>
      <c r="J456" s="165"/>
      <c r="K456" s="163"/>
      <c r="L456" s="163"/>
      <c r="M456" s="163"/>
      <c r="N456" s="163"/>
      <c r="O456" s="165"/>
      <c r="P456" s="163"/>
      <c r="Q456" s="163"/>
      <c r="R456" s="163"/>
    </row>
    <row r="457" spans="1:18" ht="13.2">
      <c r="A457" s="373" t="s">
        <v>223</v>
      </c>
      <c r="B457" s="374" t="s">
        <v>434</v>
      </c>
      <c r="C457" s="165"/>
      <c r="D457" s="163"/>
      <c r="E457" s="165"/>
      <c r="F457" s="163"/>
      <c r="G457" s="163"/>
      <c r="H457" s="163"/>
      <c r="I457" s="163"/>
      <c r="J457" s="165"/>
      <c r="K457" s="163"/>
      <c r="L457" s="163"/>
      <c r="M457" s="163"/>
      <c r="N457" s="163"/>
      <c r="O457" s="165"/>
      <c r="P457" s="163"/>
      <c r="Q457" s="163"/>
      <c r="R457" s="163"/>
    </row>
    <row r="458" spans="1:18" ht="13.2">
      <c r="A458" s="375" t="s">
        <v>240</v>
      </c>
      <c r="B458" s="376" t="s">
        <v>241</v>
      </c>
      <c r="C458" s="165"/>
      <c r="D458" s="163"/>
      <c r="E458" s="165"/>
      <c r="F458" s="163"/>
      <c r="G458" s="163"/>
      <c r="H458" s="163"/>
      <c r="I458" s="163"/>
      <c r="J458" s="165"/>
      <c r="K458" s="163"/>
      <c r="L458" s="163"/>
      <c r="M458" s="163"/>
      <c r="N458" s="163"/>
      <c r="O458" s="165"/>
      <c r="P458" s="163"/>
      <c r="Q458" s="163"/>
      <c r="R458" s="163"/>
    </row>
    <row r="459" spans="1:18" ht="13.2">
      <c r="A459" s="377"/>
      <c r="B459" s="376"/>
      <c r="C459" s="165"/>
      <c r="D459" s="163"/>
      <c r="E459" s="165"/>
      <c r="F459" s="163"/>
      <c r="G459" s="163"/>
      <c r="H459" s="163"/>
      <c r="I459" s="163"/>
      <c r="J459" s="165"/>
      <c r="K459" s="163"/>
      <c r="L459" s="163"/>
      <c r="M459" s="163"/>
      <c r="N459" s="163"/>
      <c r="O459" s="165"/>
      <c r="P459" s="163"/>
      <c r="Q459" s="163"/>
      <c r="R459" s="163"/>
    </row>
    <row r="460" spans="1:18" ht="13.2">
      <c r="A460" s="378" t="s">
        <v>224</v>
      </c>
      <c r="B460" s="374" t="s">
        <v>242</v>
      </c>
      <c r="C460" s="165"/>
      <c r="D460" s="163"/>
      <c r="E460" s="165"/>
      <c r="F460" s="163"/>
      <c r="G460" s="163"/>
      <c r="H460" s="163"/>
      <c r="I460" s="163"/>
      <c r="J460" s="165"/>
      <c r="K460" s="163"/>
      <c r="L460" s="163"/>
      <c r="M460" s="163"/>
      <c r="N460" s="163"/>
      <c r="O460" s="165"/>
      <c r="P460" s="163"/>
      <c r="Q460" s="163"/>
      <c r="R460" s="163"/>
    </row>
    <row r="461" spans="1:18" ht="13.2">
      <c r="A461" s="375" t="s">
        <v>243</v>
      </c>
      <c r="B461" s="376" t="s">
        <v>244</v>
      </c>
      <c r="C461" s="165"/>
      <c r="D461" s="163"/>
      <c r="E461" s="165"/>
      <c r="F461" s="163"/>
      <c r="G461" s="163"/>
      <c r="H461" s="163"/>
      <c r="I461" s="163"/>
      <c r="J461" s="165"/>
      <c r="K461" s="163"/>
      <c r="L461" s="163"/>
      <c r="M461" s="163"/>
      <c r="N461" s="163"/>
      <c r="O461" s="165"/>
      <c r="P461" s="163"/>
      <c r="Q461" s="163"/>
      <c r="R461" s="163"/>
    </row>
    <row r="462" spans="1:18" ht="12">
      <c r="A462" s="33"/>
      <c r="B462" s="34"/>
      <c r="C462" s="165"/>
      <c r="D462" s="163"/>
      <c r="E462" s="165"/>
      <c r="F462" s="163"/>
      <c r="G462" s="163"/>
      <c r="H462" s="163"/>
      <c r="I462" s="163"/>
      <c r="J462" s="165"/>
      <c r="K462" s="163"/>
      <c r="L462" s="163"/>
      <c r="M462" s="163"/>
      <c r="N462" s="163"/>
      <c r="O462" s="165"/>
      <c r="P462" s="163"/>
      <c r="Q462" s="163"/>
      <c r="R462" s="163"/>
    </row>
    <row r="463" spans="1:18" ht="12">
      <c r="A463" s="33"/>
      <c r="B463" s="34"/>
      <c r="C463" s="165"/>
      <c r="D463" s="163"/>
      <c r="E463" s="165"/>
      <c r="F463" s="163"/>
      <c r="G463" s="163"/>
      <c r="H463" s="163"/>
      <c r="I463" s="163"/>
      <c r="J463" s="165"/>
      <c r="K463" s="163"/>
      <c r="L463" s="163"/>
      <c r="M463" s="163"/>
      <c r="N463" s="163"/>
      <c r="O463" s="165"/>
      <c r="P463" s="163"/>
      <c r="Q463" s="163"/>
      <c r="R463" s="163"/>
    </row>
    <row r="464" spans="1:18" ht="12">
      <c r="A464" s="33"/>
      <c r="B464" s="31"/>
      <c r="C464" s="165"/>
      <c r="D464" s="163"/>
      <c r="E464" s="165"/>
      <c r="F464" s="163"/>
      <c r="G464" s="163"/>
      <c r="H464" s="163"/>
      <c r="I464" s="163"/>
      <c r="J464" s="165"/>
      <c r="K464" s="163"/>
      <c r="L464" s="163"/>
      <c r="M464" s="163"/>
      <c r="N464" s="163"/>
      <c r="O464" s="165"/>
      <c r="P464" s="163"/>
      <c r="Q464" s="163"/>
      <c r="R464" s="163"/>
    </row>
    <row r="465" spans="1:18" ht="12">
      <c r="E465" s="165"/>
      <c r="F465" s="163"/>
      <c r="G465" s="163"/>
      <c r="H465" s="163"/>
      <c r="I465" s="163"/>
      <c r="J465" s="165"/>
      <c r="K465" s="163"/>
      <c r="L465" s="163"/>
      <c r="M465" s="163"/>
      <c r="N465" s="163"/>
      <c r="O465" s="165"/>
      <c r="P465" s="163"/>
      <c r="Q465" s="163"/>
      <c r="R465" s="163"/>
    </row>
    <row r="466" spans="1:18" ht="12">
      <c r="E466" s="165"/>
      <c r="F466" s="163"/>
      <c r="G466" s="163"/>
      <c r="H466" s="163"/>
      <c r="I466" s="163"/>
      <c r="J466" s="165"/>
      <c r="K466" s="163"/>
      <c r="L466" s="163"/>
      <c r="M466" s="163"/>
      <c r="N466" s="163"/>
      <c r="O466" s="165"/>
      <c r="P466" s="163"/>
      <c r="Q466" s="163"/>
      <c r="R466" s="163"/>
    </row>
    <row r="467" spans="1:18" ht="12">
      <c r="E467" s="165"/>
      <c r="F467" s="163"/>
      <c r="G467" s="163"/>
      <c r="H467" s="163"/>
      <c r="I467" s="163"/>
      <c r="J467" s="165"/>
      <c r="K467" s="163"/>
      <c r="L467" s="163"/>
      <c r="M467" s="163"/>
      <c r="N467" s="163"/>
      <c r="O467" s="165"/>
      <c r="P467" s="163"/>
      <c r="Q467" s="163"/>
      <c r="R467" s="163"/>
    </row>
    <row r="468" spans="1:18" ht="12">
      <c r="E468" s="165"/>
      <c r="F468" s="163"/>
      <c r="G468" s="163"/>
      <c r="H468" s="163"/>
      <c r="I468" s="163"/>
      <c r="J468" s="165"/>
      <c r="K468" s="163"/>
      <c r="L468" s="163"/>
      <c r="M468" s="163"/>
      <c r="N468" s="163"/>
      <c r="O468" s="165"/>
      <c r="P468" s="163"/>
      <c r="Q468" s="163"/>
      <c r="R468" s="163"/>
    </row>
    <row r="469" spans="1:18" ht="12">
      <c r="E469" s="165"/>
      <c r="F469" s="163"/>
      <c r="G469" s="163"/>
      <c r="H469" s="163"/>
      <c r="I469" s="163"/>
      <c r="J469" s="165"/>
      <c r="K469" s="163"/>
      <c r="L469" s="163"/>
      <c r="M469" s="163"/>
      <c r="N469" s="163"/>
      <c r="O469" s="165"/>
      <c r="P469" s="163"/>
      <c r="Q469" s="163"/>
      <c r="R469" s="163"/>
    </row>
    <row r="470" spans="1:18" ht="12">
      <c r="E470" s="165"/>
      <c r="F470" s="163"/>
      <c r="G470" s="163"/>
      <c r="H470" s="163"/>
      <c r="I470" s="163"/>
      <c r="J470" s="165"/>
      <c r="K470" s="163"/>
      <c r="L470" s="163"/>
      <c r="M470" s="163"/>
      <c r="N470" s="163"/>
      <c r="O470" s="165"/>
      <c r="P470" s="163"/>
      <c r="Q470" s="163"/>
      <c r="R470" s="163"/>
    </row>
    <row r="471" spans="1:18" ht="12">
      <c r="E471" s="165"/>
      <c r="F471" s="163"/>
      <c r="G471" s="163"/>
      <c r="H471" s="163"/>
      <c r="I471" s="163"/>
      <c r="J471" s="165"/>
      <c r="K471" s="163"/>
      <c r="L471" s="163"/>
      <c r="M471" s="163"/>
      <c r="N471" s="163"/>
      <c r="O471" s="165"/>
      <c r="P471" s="163"/>
      <c r="Q471" s="163"/>
      <c r="R471" s="163"/>
    </row>
    <row r="472" spans="1:18" ht="12">
      <c r="E472" s="165"/>
      <c r="F472" s="163"/>
      <c r="G472" s="163"/>
      <c r="H472" s="163"/>
      <c r="I472" s="163"/>
      <c r="J472" s="165"/>
      <c r="K472" s="163"/>
      <c r="L472" s="163"/>
      <c r="M472" s="163"/>
      <c r="N472" s="163"/>
      <c r="O472" s="165"/>
      <c r="P472" s="163"/>
      <c r="Q472" s="163"/>
      <c r="R472" s="163"/>
    </row>
    <row r="473" spans="1:18" ht="12">
      <c r="E473" s="165"/>
      <c r="F473" s="163"/>
      <c r="G473" s="163"/>
      <c r="H473" s="163"/>
      <c r="I473" s="163"/>
      <c r="J473" s="165"/>
      <c r="K473" s="163"/>
      <c r="L473" s="163"/>
      <c r="M473" s="163"/>
      <c r="N473" s="163"/>
      <c r="O473" s="165"/>
      <c r="P473" s="163"/>
      <c r="Q473" s="163"/>
      <c r="R473" s="163"/>
    </row>
    <row r="474" spans="1:18" ht="12">
      <c r="E474" s="165"/>
      <c r="F474" s="163"/>
      <c r="G474" s="163"/>
      <c r="H474" s="163"/>
      <c r="I474" s="163"/>
      <c r="J474" s="165"/>
      <c r="K474" s="163"/>
      <c r="L474" s="163"/>
      <c r="M474" s="163"/>
      <c r="N474" s="163"/>
      <c r="O474" s="165"/>
      <c r="P474" s="163"/>
      <c r="Q474" s="163"/>
      <c r="R474" s="163"/>
    </row>
    <row r="475" spans="1:18" ht="12">
      <c r="E475" s="165"/>
      <c r="F475" s="163"/>
      <c r="G475" s="163"/>
      <c r="H475" s="163"/>
      <c r="I475" s="163"/>
      <c r="J475" s="165"/>
      <c r="K475" s="163"/>
      <c r="L475" s="163"/>
      <c r="M475" s="163"/>
      <c r="N475" s="163"/>
      <c r="O475" s="165"/>
      <c r="P475" s="163"/>
      <c r="Q475" s="163"/>
      <c r="R475" s="163"/>
    </row>
    <row r="476" spans="1:18" ht="12">
      <c r="E476" s="165"/>
      <c r="F476" s="163"/>
      <c r="G476" s="163"/>
      <c r="H476" s="163"/>
      <c r="I476" s="163"/>
      <c r="J476" s="165"/>
      <c r="K476" s="163"/>
      <c r="L476" s="163"/>
      <c r="M476" s="163"/>
      <c r="N476" s="163"/>
      <c r="O476" s="165"/>
      <c r="P476" s="163"/>
      <c r="Q476" s="163"/>
      <c r="R476" s="163"/>
    </row>
    <row r="477" spans="1:18" ht="12">
      <c r="E477" s="165"/>
      <c r="F477" s="163"/>
      <c r="G477" s="163"/>
      <c r="H477" s="163"/>
      <c r="I477" s="163"/>
      <c r="J477" s="165"/>
      <c r="K477" s="163"/>
      <c r="L477" s="163"/>
      <c r="M477" s="163"/>
      <c r="N477" s="163"/>
      <c r="O477" s="165"/>
      <c r="P477" s="163"/>
      <c r="Q477" s="163"/>
      <c r="R477" s="163"/>
    </row>
    <row r="478" spans="1:18" ht="12">
      <c r="E478" s="165"/>
      <c r="F478" s="163"/>
      <c r="G478" s="163"/>
      <c r="H478" s="163"/>
      <c r="I478" s="163"/>
      <c r="J478" s="165"/>
      <c r="K478" s="163"/>
      <c r="L478" s="163"/>
      <c r="M478" s="163"/>
      <c r="N478" s="163"/>
      <c r="O478" s="165"/>
      <c r="P478" s="163"/>
      <c r="Q478" s="163"/>
      <c r="R478" s="163"/>
    </row>
    <row r="479" spans="1:18" ht="12">
      <c r="A479" s="3"/>
      <c r="B479" s="3"/>
      <c r="C479" s="3"/>
      <c r="D479" s="3"/>
      <c r="E479" s="165"/>
      <c r="F479" s="163"/>
      <c r="G479" s="163"/>
      <c r="H479" s="163"/>
      <c r="I479" s="163"/>
      <c r="J479" s="165"/>
      <c r="K479" s="163"/>
      <c r="L479" s="163"/>
      <c r="M479" s="163"/>
      <c r="N479" s="163"/>
      <c r="O479" s="165"/>
      <c r="P479" s="163"/>
      <c r="Q479" s="163"/>
      <c r="R479" s="163"/>
    </row>
    <row r="480" spans="1:18" ht="12">
      <c r="A480" s="3"/>
      <c r="B480" s="3"/>
      <c r="C480" s="3"/>
      <c r="D480" s="3"/>
      <c r="E480" s="165"/>
      <c r="F480" s="163"/>
      <c r="G480" s="163"/>
      <c r="H480" s="163"/>
      <c r="I480" s="163"/>
      <c r="J480" s="165"/>
      <c r="K480" s="163"/>
      <c r="L480" s="163"/>
      <c r="M480" s="163"/>
      <c r="N480" s="163"/>
      <c r="O480" s="165"/>
      <c r="P480" s="163"/>
      <c r="Q480" s="163"/>
      <c r="R480" s="163"/>
    </row>
    <row r="481" spans="1:18" ht="12">
      <c r="A481" s="3"/>
      <c r="B481" s="3"/>
      <c r="C481" s="3"/>
      <c r="D481" s="3"/>
      <c r="E481" s="165"/>
      <c r="F481" s="163"/>
      <c r="G481" s="163"/>
      <c r="H481" s="163"/>
      <c r="I481" s="163"/>
      <c r="J481" s="165"/>
      <c r="K481" s="163"/>
      <c r="L481" s="163"/>
      <c r="M481" s="163"/>
      <c r="N481" s="163"/>
      <c r="O481" s="165"/>
      <c r="P481" s="163"/>
      <c r="Q481" s="163"/>
      <c r="R481" s="163"/>
    </row>
    <row r="482" spans="1:18" ht="12">
      <c r="A482" s="3"/>
      <c r="B482" s="3"/>
      <c r="C482" s="3"/>
      <c r="D482" s="3"/>
      <c r="E482" s="165"/>
      <c r="F482" s="163"/>
      <c r="G482" s="163"/>
      <c r="H482" s="163"/>
      <c r="I482" s="163"/>
      <c r="J482" s="165"/>
      <c r="K482" s="163"/>
      <c r="L482" s="163"/>
      <c r="M482" s="163"/>
      <c r="N482" s="163"/>
      <c r="O482" s="165"/>
      <c r="P482" s="163"/>
      <c r="Q482" s="163"/>
      <c r="R482" s="163"/>
    </row>
    <row r="483" spans="1:18" ht="12">
      <c r="A483" s="3"/>
      <c r="B483" s="3"/>
      <c r="C483" s="3"/>
      <c r="D483" s="3"/>
      <c r="E483" s="165"/>
      <c r="F483" s="163"/>
      <c r="G483" s="163"/>
      <c r="H483" s="163"/>
      <c r="I483" s="163"/>
      <c r="J483" s="165"/>
      <c r="K483" s="163"/>
      <c r="L483" s="163"/>
      <c r="M483" s="163"/>
      <c r="N483" s="163"/>
      <c r="O483" s="165"/>
      <c r="P483" s="163"/>
      <c r="Q483" s="163"/>
      <c r="R483" s="163"/>
    </row>
    <row r="484" spans="1:18" ht="12">
      <c r="A484" s="3"/>
      <c r="B484" s="3"/>
      <c r="C484" s="3"/>
      <c r="D484" s="3"/>
      <c r="E484" s="165"/>
      <c r="F484" s="163"/>
      <c r="G484" s="163"/>
      <c r="H484" s="163"/>
      <c r="I484" s="163"/>
      <c r="J484" s="165"/>
      <c r="K484" s="163"/>
      <c r="L484" s="163"/>
      <c r="M484" s="163"/>
      <c r="N484" s="163"/>
      <c r="O484" s="165"/>
      <c r="P484" s="163"/>
      <c r="Q484" s="163"/>
      <c r="R484" s="163"/>
    </row>
    <row r="485" spans="1:18" ht="12">
      <c r="A485" s="3"/>
      <c r="B485" s="3"/>
      <c r="C485" s="3"/>
      <c r="D485" s="3"/>
      <c r="E485" s="165"/>
      <c r="F485" s="163"/>
      <c r="G485" s="163"/>
      <c r="H485" s="163"/>
      <c r="I485" s="163"/>
      <c r="J485" s="165"/>
      <c r="K485" s="163"/>
      <c r="L485" s="163"/>
      <c r="M485" s="163"/>
      <c r="N485" s="163"/>
      <c r="O485" s="165"/>
      <c r="P485" s="163"/>
      <c r="Q485" s="163"/>
      <c r="R485" s="163"/>
    </row>
    <row r="486" spans="1:18" ht="12">
      <c r="A486" s="3"/>
      <c r="B486" s="3"/>
      <c r="C486" s="3"/>
      <c r="D486" s="3"/>
      <c r="E486" s="165"/>
      <c r="F486" s="163"/>
      <c r="G486" s="163"/>
      <c r="H486" s="163"/>
      <c r="I486" s="163"/>
      <c r="J486" s="165"/>
      <c r="K486" s="163"/>
      <c r="L486" s="163"/>
      <c r="M486" s="163"/>
      <c r="N486" s="163"/>
      <c r="O486" s="165"/>
      <c r="P486" s="163"/>
      <c r="Q486" s="163"/>
      <c r="R486" s="163"/>
    </row>
    <row r="487" spans="1:18" ht="12">
      <c r="A487" s="3"/>
      <c r="B487" s="3"/>
      <c r="C487" s="3"/>
      <c r="D487" s="3"/>
      <c r="E487" s="165"/>
      <c r="F487" s="163"/>
      <c r="G487" s="163"/>
      <c r="H487" s="163"/>
      <c r="I487" s="163"/>
      <c r="J487" s="165"/>
      <c r="K487" s="163"/>
      <c r="L487" s="163"/>
      <c r="M487" s="163"/>
      <c r="N487" s="163"/>
      <c r="O487" s="165"/>
      <c r="P487" s="163"/>
      <c r="Q487" s="163"/>
      <c r="R487" s="163"/>
    </row>
    <row r="488" spans="1:18" ht="12">
      <c r="A488" s="3"/>
      <c r="B488" s="3"/>
      <c r="C488" s="3"/>
      <c r="D488" s="3"/>
      <c r="E488" s="165"/>
      <c r="F488" s="163"/>
      <c r="G488" s="163"/>
      <c r="H488" s="163"/>
      <c r="I488" s="163"/>
      <c r="J488" s="165"/>
      <c r="K488" s="163"/>
      <c r="L488" s="163"/>
      <c r="M488" s="163"/>
      <c r="N488" s="163"/>
      <c r="O488" s="165"/>
      <c r="P488" s="163"/>
      <c r="Q488" s="163"/>
      <c r="R488" s="163"/>
    </row>
    <row r="489" spans="1:18" ht="12">
      <c r="A489" s="3"/>
      <c r="B489" s="3"/>
      <c r="C489" s="3"/>
      <c r="D489" s="3"/>
      <c r="E489" s="165"/>
      <c r="F489" s="163"/>
      <c r="G489" s="163"/>
      <c r="H489" s="163"/>
      <c r="I489" s="163"/>
      <c r="J489" s="165"/>
      <c r="K489" s="163"/>
      <c r="L489" s="163"/>
      <c r="M489" s="163"/>
      <c r="N489" s="163"/>
      <c r="O489" s="165"/>
      <c r="P489" s="163"/>
      <c r="Q489" s="163"/>
      <c r="R489" s="163"/>
    </row>
    <row r="490" spans="1:18" ht="12">
      <c r="A490" s="3"/>
      <c r="B490" s="3"/>
      <c r="C490" s="3"/>
      <c r="D490" s="3"/>
      <c r="E490" s="165"/>
      <c r="F490" s="163"/>
      <c r="G490" s="163"/>
      <c r="H490" s="163"/>
      <c r="I490" s="163"/>
      <c r="J490" s="165"/>
      <c r="K490" s="163"/>
      <c r="L490" s="163"/>
      <c r="M490" s="163"/>
      <c r="N490" s="163"/>
      <c r="O490" s="165"/>
      <c r="P490" s="163"/>
      <c r="Q490" s="163"/>
      <c r="R490" s="163"/>
    </row>
    <row r="491" spans="1:18" ht="12">
      <c r="A491" s="3"/>
      <c r="B491" s="3"/>
      <c r="C491" s="3"/>
      <c r="D491" s="3"/>
      <c r="E491" s="165"/>
      <c r="F491" s="163"/>
      <c r="G491" s="163"/>
      <c r="H491" s="163"/>
      <c r="I491" s="163"/>
      <c r="J491" s="165"/>
      <c r="K491" s="163"/>
      <c r="L491" s="163"/>
      <c r="M491" s="163"/>
      <c r="N491" s="163"/>
      <c r="O491" s="165"/>
      <c r="P491" s="163"/>
      <c r="Q491" s="163"/>
      <c r="R491" s="163"/>
    </row>
    <row r="492" spans="1:18" ht="12">
      <c r="A492" s="3"/>
      <c r="B492" s="3"/>
      <c r="C492" s="3"/>
      <c r="D492" s="3"/>
      <c r="E492" s="165"/>
      <c r="F492" s="163"/>
      <c r="G492" s="163"/>
      <c r="H492" s="163"/>
      <c r="I492" s="163"/>
      <c r="J492" s="165"/>
      <c r="K492" s="163"/>
      <c r="L492" s="163"/>
      <c r="M492" s="163"/>
      <c r="N492" s="163"/>
      <c r="O492" s="165"/>
      <c r="P492" s="163"/>
      <c r="Q492" s="163"/>
      <c r="R492" s="163"/>
    </row>
    <row r="493" spans="1:18" ht="12">
      <c r="A493" s="3"/>
      <c r="B493" s="3"/>
      <c r="C493" s="3"/>
      <c r="D493" s="3"/>
      <c r="E493" s="165"/>
      <c r="F493" s="163"/>
      <c r="G493" s="163"/>
      <c r="H493" s="163"/>
      <c r="I493" s="163"/>
      <c r="J493" s="165"/>
      <c r="K493" s="163"/>
      <c r="L493" s="163"/>
      <c r="M493" s="163"/>
      <c r="N493" s="163"/>
      <c r="O493" s="165"/>
      <c r="P493" s="163"/>
      <c r="Q493" s="163"/>
      <c r="R493" s="163"/>
    </row>
    <row r="494" spans="1:18" ht="12">
      <c r="A494" s="3"/>
      <c r="B494" s="3"/>
      <c r="C494" s="3"/>
      <c r="D494" s="3"/>
      <c r="E494" s="165"/>
      <c r="F494" s="163"/>
      <c r="G494" s="163"/>
      <c r="H494" s="163"/>
      <c r="I494" s="163"/>
      <c r="J494" s="165"/>
      <c r="K494" s="163"/>
      <c r="L494" s="163"/>
      <c r="M494" s="163"/>
      <c r="N494" s="163"/>
      <c r="O494" s="165"/>
      <c r="P494" s="163"/>
      <c r="Q494" s="163"/>
      <c r="R494" s="163"/>
    </row>
    <row r="495" spans="1:18" ht="12">
      <c r="A495" s="3"/>
      <c r="B495" s="3"/>
      <c r="C495" s="3"/>
      <c r="D495" s="3"/>
      <c r="E495" s="165"/>
      <c r="F495" s="163"/>
      <c r="G495" s="163"/>
      <c r="H495" s="163"/>
      <c r="I495" s="163"/>
      <c r="J495" s="165"/>
      <c r="K495" s="163"/>
      <c r="L495" s="163"/>
      <c r="M495" s="163"/>
      <c r="N495" s="163"/>
      <c r="O495" s="165"/>
      <c r="P495" s="163"/>
      <c r="Q495" s="163"/>
      <c r="R495" s="163"/>
    </row>
    <row r="496" spans="1:18" ht="12">
      <c r="A496" s="3"/>
      <c r="B496" s="3"/>
      <c r="C496" s="3"/>
      <c r="D496" s="3"/>
      <c r="E496" s="165"/>
      <c r="F496" s="163"/>
      <c r="G496" s="163"/>
      <c r="H496" s="163"/>
      <c r="I496" s="163"/>
      <c r="J496" s="165"/>
      <c r="K496" s="163"/>
      <c r="L496" s="163"/>
      <c r="M496" s="163"/>
      <c r="N496" s="163"/>
      <c r="O496" s="165"/>
      <c r="P496" s="163"/>
      <c r="Q496" s="163"/>
      <c r="R496" s="163"/>
    </row>
    <row r="497" spans="1:18" ht="12">
      <c r="A497" s="3"/>
      <c r="B497" s="3"/>
      <c r="C497" s="3"/>
      <c r="D497" s="3"/>
      <c r="E497" s="165"/>
      <c r="F497" s="163"/>
      <c r="G497" s="163"/>
      <c r="H497" s="163"/>
      <c r="I497" s="163"/>
      <c r="J497" s="165"/>
      <c r="K497" s="163"/>
      <c r="L497" s="163"/>
      <c r="M497" s="163"/>
      <c r="N497" s="163"/>
      <c r="O497" s="165"/>
      <c r="P497" s="163"/>
      <c r="Q497" s="163"/>
      <c r="R497" s="163"/>
    </row>
    <row r="498" spans="1:18" ht="12">
      <c r="A498" s="3"/>
      <c r="B498" s="3"/>
      <c r="C498" s="3"/>
      <c r="D498" s="3"/>
      <c r="E498" s="165"/>
      <c r="F498" s="163"/>
      <c r="G498" s="163"/>
      <c r="H498" s="163"/>
      <c r="I498" s="163"/>
      <c r="J498" s="165"/>
      <c r="K498" s="163"/>
      <c r="L498" s="163"/>
      <c r="M498" s="163"/>
      <c r="N498" s="163"/>
      <c r="O498" s="165"/>
      <c r="P498" s="163"/>
      <c r="Q498" s="163"/>
      <c r="R498" s="163"/>
    </row>
    <row r="499" spans="1:18" ht="12">
      <c r="A499" s="3"/>
      <c r="B499" s="3"/>
      <c r="C499" s="3"/>
      <c r="D499" s="3"/>
      <c r="E499" s="165"/>
      <c r="F499" s="163"/>
      <c r="G499" s="163"/>
      <c r="H499" s="163"/>
      <c r="I499" s="163"/>
      <c r="J499" s="165"/>
      <c r="K499" s="163"/>
      <c r="L499" s="163"/>
      <c r="M499" s="163"/>
      <c r="N499" s="163"/>
      <c r="O499" s="165"/>
      <c r="P499" s="163"/>
      <c r="Q499" s="163"/>
      <c r="R499" s="163"/>
    </row>
    <row r="500" spans="1:18" ht="12">
      <c r="A500" s="3"/>
      <c r="B500" s="3"/>
      <c r="C500" s="3"/>
      <c r="D500" s="3"/>
      <c r="E500" s="165"/>
      <c r="F500" s="163"/>
      <c r="G500" s="163"/>
      <c r="H500" s="163"/>
      <c r="I500" s="163"/>
      <c r="J500" s="165"/>
      <c r="K500" s="163"/>
      <c r="L500" s="163"/>
      <c r="M500" s="163"/>
      <c r="N500" s="163"/>
      <c r="O500" s="165"/>
      <c r="P500" s="163"/>
      <c r="Q500" s="163"/>
      <c r="R500" s="163"/>
    </row>
    <row r="501" spans="1:18" ht="12">
      <c r="A501" s="3"/>
      <c r="B501" s="3"/>
      <c r="C501" s="3"/>
      <c r="D501" s="3"/>
      <c r="E501" s="165"/>
      <c r="F501" s="163"/>
      <c r="G501" s="163"/>
      <c r="H501" s="163"/>
      <c r="I501" s="163"/>
      <c r="J501" s="165"/>
      <c r="K501" s="163"/>
      <c r="L501" s="163"/>
      <c r="M501" s="163"/>
      <c r="N501" s="163"/>
      <c r="O501" s="165"/>
      <c r="P501" s="163"/>
      <c r="Q501" s="163"/>
      <c r="R501" s="163"/>
    </row>
    <row r="502" spans="1:18" ht="12">
      <c r="A502" s="3"/>
      <c r="B502" s="3"/>
      <c r="C502" s="3"/>
      <c r="D502" s="3"/>
      <c r="E502" s="165"/>
      <c r="F502" s="163"/>
      <c r="G502" s="163"/>
      <c r="H502" s="163"/>
      <c r="I502" s="163"/>
      <c r="J502" s="165"/>
      <c r="K502" s="163"/>
      <c r="L502" s="163"/>
      <c r="M502" s="163"/>
      <c r="N502" s="163"/>
      <c r="O502" s="165"/>
      <c r="P502" s="163"/>
      <c r="Q502" s="163"/>
      <c r="R502" s="163"/>
    </row>
    <row r="503" spans="1:18" ht="12">
      <c r="A503" s="3"/>
      <c r="B503" s="3"/>
      <c r="C503" s="3"/>
      <c r="D503" s="3"/>
      <c r="E503" s="165"/>
      <c r="F503" s="163"/>
      <c r="G503" s="163"/>
      <c r="H503" s="163"/>
      <c r="I503" s="163"/>
      <c r="J503" s="165"/>
      <c r="K503" s="163"/>
      <c r="L503" s="163"/>
      <c r="M503" s="163"/>
      <c r="N503" s="163"/>
      <c r="O503" s="165"/>
      <c r="P503" s="163"/>
      <c r="Q503" s="163"/>
      <c r="R503" s="163"/>
    </row>
    <row r="504" spans="1:18" ht="12">
      <c r="A504" s="3"/>
      <c r="B504" s="3"/>
      <c r="C504" s="3"/>
      <c r="D504" s="3"/>
      <c r="E504" s="165"/>
      <c r="F504" s="163"/>
      <c r="G504" s="163"/>
      <c r="H504" s="163"/>
      <c r="I504" s="163"/>
      <c r="J504" s="165"/>
      <c r="K504" s="163"/>
      <c r="L504" s="163"/>
      <c r="M504" s="163"/>
      <c r="N504" s="163"/>
      <c r="O504" s="165"/>
      <c r="P504" s="163"/>
      <c r="Q504" s="163"/>
      <c r="R504" s="163"/>
    </row>
    <row r="505" spans="1:18" ht="12">
      <c r="A505" s="3"/>
      <c r="B505" s="3"/>
      <c r="C505" s="3"/>
      <c r="D505" s="3"/>
      <c r="E505" s="165"/>
      <c r="F505" s="163"/>
      <c r="G505" s="163"/>
      <c r="H505" s="163"/>
      <c r="I505" s="163"/>
      <c r="J505" s="165"/>
      <c r="K505" s="163"/>
      <c r="L505" s="163"/>
      <c r="M505" s="163"/>
      <c r="N505" s="163"/>
      <c r="O505" s="165"/>
      <c r="P505" s="163"/>
      <c r="Q505" s="163"/>
      <c r="R505" s="163"/>
    </row>
    <row r="506" spans="1:18" ht="12">
      <c r="A506" s="3"/>
      <c r="B506" s="3"/>
      <c r="C506" s="3"/>
      <c r="D506" s="3"/>
      <c r="E506" s="165"/>
      <c r="F506" s="163"/>
      <c r="G506" s="163"/>
      <c r="H506" s="163"/>
      <c r="I506" s="163"/>
      <c r="J506" s="165"/>
      <c r="K506" s="163"/>
      <c r="L506" s="163"/>
      <c r="M506" s="163"/>
      <c r="N506" s="163"/>
      <c r="O506" s="165"/>
      <c r="P506" s="163"/>
      <c r="Q506" s="163"/>
      <c r="R506" s="163"/>
    </row>
    <row r="507" spans="1:18" ht="12">
      <c r="A507" s="3"/>
      <c r="B507" s="3"/>
      <c r="C507" s="3"/>
      <c r="D507" s="3"/>
      <c r="E507" s="165"/>
      <c r="F507" s="163"/>
      <c r="G507" s="163"/>
      <c r="H507" s="163"/>
      <c r="I507" s="163"/>
      <c r="J507" s="165"/>
      <c r="K507" s="163"/>
      <c r="L507" s="163"/>
      <c r="M507" s="163"/>
      <c r="N507" s="163"/>
      <c r="O507" s="165"/>
      <c r="P507" s="163"/>
      <c r="Q507" s="163"/>
      <c r="R507" s="163"/>
    </row>
    <row r="508" spans="1:18" ht="12">
      <c r="A508" s="3"/>
      <c r="B508" s="3"/>
      <c r="C508" s="3"/>
      <c r="D508" s="3"/>
      <c r="E508" s="165"/>
      <c r="F508" s="163"/>
      <c r="G508" s="163"/>
      <c r="H508" s="163"/>
      <c r="I508" s="163"/>
      <c r="J508" s="165"/>
      <c r="K508" s="163"/>
      <c r="L508" s="163"/>
      <c r="M508" s="163"/>
      <c r="N508" s="163"/>
      <c r="O508" s="165"/>
      <c r="P508" s="163"/>
      <c r="Q508" s="163"/>
      <c r="R508" s="163"/>
    </row>
    <row r="509" spans="1:18" ht="12">
      <c r="A509" s="3"/>
      <c r="B509" s="3"/>
      <c r="C509" s="3"/>
      <c r="D509" s="3"/>
      <c r="E509" s="165"/>
      <c r="F509" s="163"/>
      <c r="G509" s="163"/>
      <c r="H509" s="163"/>
      <c r="I509" s="163"/>
      <c r="J509" s="165"/>
      <c r="K509" s="163"/>
      <c r="L509" s="163"/>
      <c r="M509" s="163"/>
      <c r="N509" s="163"/>
      <c r="O509" s="165"/>
      <c r="P509" s="163"/>
      <c r="Q509" s="163"/>
      <c r="R509" s="163"/>
    </row>
    <row r="510" spans="1:18" ht="12">
      <c r="A510" s="3"/>
      <c r="B510" s="3"/>
      <c r="C510" s="3"/>
      <c r="D510" s="3"/>
      <c r="E510" s="165"/>
      <c r="F510" s="163"/>
      <c r="G510" s="163"/>
      <c r="H510" s="163"/>
      <c r="I510" s="163"/>
      <c r="J510" s="165"/>
      <c r="K510" s="163"/>
      <c r="L510" s="163"/>
      <c r="M510" s="163"/>
      <c r="N510" s="163"/>
      <c r="O510" s="165"/>
      <c r="P510" s="163"/>
      <c r="Q510" s="163"/>
      <c r="R510" s="163"/>
    </row>
    <row r="511" spans="1:18" ht="12">
      <c r="A511" s="3"/>
      <c r="B511" s="3"/>
      <c r="C511" s="3"/>
      <c r="D511" s="3"/>
      <c r="E511" s="165"/>
      <c r="F511" s="163"/>
      <c r="G511" s="163"/>
      <c r="H511" s="163"/>
      <c r="I511" s="163"/>
      <c r="J511" s="165"/>
      <c r="K511" s="163"/>
      <c r="L511" s="163"/>
      <c r="M511" s="163"/>
      <c r="N511" s="163"/>
      <c r="O511" s="165"/>
      <c r="P511" s="163"/>
      <c r="Q511" s="163"/>
      <c r="R511" s="163"/>
    </row>
    <row r="512" spans="1:18" ht="12">
      <c r="A512" s="3"/>
      <c r="B512" s="3"/>
      <c r="C512" s="3"/>
      <c r="D512" s="3"/>
      <c r="E512" s="165"/>
      <c r="F512" s="163"/>
      <c r="G512" s="163"/>
      <c r="H512" s="163"/>
      <c r="I512" s="163"/>
      <c r="J512" s="165"/>
      <c r="K512" s="163"/>
      <c r="L512" s="163"/>
      <c r="M512" s="163"/>
      <c r="N512" s="163"/>
      <c r="O512" s="165"/>
      <c r="P512" s="163"/>
      <c r="Q512" s="163"/>
      <c r="R512" s="163"/>
    </row>
    <row r="513" spans="1:18" ht="12">
      <c r="A513" s="3"/>
      <c r="B513" s="3"/>
      <c r="C513" s="3"/>
      <c r="D513" s="3"/>
      <c r="E513" s="165"/>
      <c r="F513" s="163"/>
      <c r="G513" s="163"/>
      <c r="H513" s="163"/>
      <c r="I513" s="163"/>
      <c r="J513" s="165"/>
      <c r="K513" s="163"/>
      <c r="L513" s="163"/>
      <c r="M513" s="163"/>
      <c r="N513" s="163"/>
      <c r="O513" s="165"/>
      <c r="P513" s="163"/>
      <c r="Q513" s="163"/>
      <c r="R513" s="163"/>
    </row>
    <row r="514" spans="1:18" ht="12">
      <c r="A514" s="3"/>
      <c r="B514" s="3"/>
      <c r="C514" s="3"/>
      <c r="D514" s="3"/>
      <c r="E514" s="165"/>
      <c r="F514" s="163"/>
      <c r="G514" s="163"/>
      <c r="H514" s="163"/>
      <c r="I514" s="163"/>
      <c r="J514" s="165"/>
      <c r="K514" s="163"/>
      <c r="L514" s="163"/>
      <c r="M514" s="163"/>
      <c r="N514" s="163"/>
      <c r="O514" s="165"/>
      <c r="P514" s="163"/>
      <c r="Q514" s="163"/>
      <c r="R514" s="163"/>
    </row>
    <row r="515" spans="1:18" ht="12">
      <c r="A515" s="3"/>
      <c r="B515" s="3"/>
      <c r="C515" s="3"/>
      <c r="D515" s="3"/>
      <c r="E515" s="165"/>
      <c r="F515" s="163"/>
      <c r="G515" s="163"/>
      <c r="H515" s="163"/>
      <c r="I515" s="163"/>
      <c r="J515" s="165"/>
      <c r="K515" s="163"/>
      <c r="L515" s="163"/>
      <c r="M515" s="163"/>
      <c r="N515" s="163"/>
      <c r="O515" s="165"/>
      <c r="P515" s="163"/>
      <c r="Q515" s="163"/>
      <c r="R515" s="163"/>
    </row>
    <row r="516" spans="1:18" ht="12">
      <c r="A516" s="3"/>
      <c r="B516" s="3"/>
      <c r="C516" s="3"/>
      <c r="D516" s="3"/>
      <c r="E516" s="165"/>
      <c r="F516" s="163"/>
      <c r="G516" s="163"/>
      <c r="H516" s="163"/>
      <c r="I516" s="163"/>
      <c r="J516" s="165"/>
      <c r="K516" s="163"/>
      <c r="L516" s="163"/>
      <c r="M516" s="163"/>
      <c r="N516" s="163"/>
      <c r="O516" s="165"/>
      <c r="P516" s="163"/>
      <c r="Q516" s="163"/>
      <c r="R516" s="163"/>
    </row>
    <row r="517" spans="1:18" ht="12">
      <c r="A517" s="3"/>
      <c r="B517" s="3"/>
      <c r="C517" s="3"/>
      <c r="D517" s="3"/>
      <c r="E517" s="165"/>
      <c r="F517" s="163"/>
      <c r="G517" s="163"/>
      <c r="H517" s="163"/>
      <c r="I517" s="163"/>
      <c r="J517" s="165"/>
      <c r="K517" s="163"/>
      <c r="L517" s="163"/>
      <c r="M517" s="163"/>
      <c r="N517" s="163"/>
      <c r="O517" s="165"/>
      <c r="P517" s="163"/>
      <c r="Q517" s="163"/>
      <c r="R517" s="163"/>
    </row>
    <row r="518" spans="1:18" ht="12">
      <c r="A518" s="3"/>
      <c r="B518" s="3"/>
      <c r="C518" s="3"/>
      <c r="D518" s="3"/>
      <c r="E518" s="165"/>
      <c r="F518" s="163"/>
      <c r="G518" s="163"/>
      <c r="H518" s="163"/>
      <c r="I518" s="163"/>
      <c r="J518" s="165"/>
      <c r="K518" s="163"/>
      <c r="L518" s="163"/>
      <c r="M518" s="163"/>
      <c r="N518" s="163"/>
      <c r="O518" s="165"/>
      <c r="P518" s="163"/>
      <c r="Q518" s="163"/>
      <c r="R518" s="163"/>
    </row>
    <row r="519" spans="1:18" ht="12">
      <c r="A519" s="3"/>
      <c r="B519" s="3"/>
      <c r="C519" s="3"/>
      <c r="D519" s="3"/>
      <c r="E519" s="165"/>
      <c r="F519" s="163"/>
      <c r="G519" s="163"/>
      <c r="H519" s="163"/>
      <c r="I519" s="163"/>
      <c r="J519" s="165"/>
      <c r="K519" s="163"/>
      <c r="L519" s="163"/>
      <c r="M519" s="163"/>
      <c r="N519" s="163"/>
      <c r="O519" s="165"/>
      <c r="P519" s="163"/>
      <c r="Q519" s="163"/>
      <c r="R519" s="163"/>
    </row>
    <row r="520" spans="1:18" ht="12">
      <c r="A520" s="3"/>
      <c r="B520" s="3"/>
      <c r="C520" s="3"/>
      <c r="D520" s="3"/>
      <c r="E520" s="165"/>
      <c r="F520" s="163"/>
      <c r="G520" s="163"/>
      <c r="H520" s="163"/>
      <c r="I520" s="163"/>
      <c r="J520" s="165"/>
      <c r="K520" s="163"/>
      <c r="L520" s="163"/>
      <c r="M520" s="163"/>
      <c r="N520" s="163"/>
      <c r="O520" s="165"/>
      <c r="P520" s="163"/>
      <c r="Q520" s="163"/>
      <c r="R520" s="163"/>
    </row>
    <row r="521" spans="1:18" ht="12">
      <c r="A521" s="3"/>
      <c r="B521" s="3"/>
      <c r="C521" s="3"/>
      <c r="D521" s="3"/>
      <c r="E521" s="165"/>
      <c r="F521" s="163"/>
      <c r="G521" s="163"/>
      <c r="H521" s="163"/>
      <c r="I521" s="163"/>
      <c r="J521" s="165"/>
      <c r="K521" s="163"/>
      <c r="L521" s="163"/>
      <c r="M521" s="163"/>
      <c r="N521" s="163"/>
      <c r="O521" s="165"/>
      <c r="P521" s="163"/>
      <c r="Q521" s="163"/>
      <c r="R521" s="163"/>
    </row>
    <row r="522" spans="1:18" ht="12">
      <c r="A522" s="3"/>
      <c r="B522" s="3"/>
      <c r="C522" s="3"/>
      <c r="D522" s="3"/>
      <c r="E522" s="165"/>
      <c r="F522" s="163"/>
      <c r="G522" s="163"/>
      <c r="H522" s="163"/>
      <c r="I522" s="163"/>
      <c r="J522" s="165"/>
      <c r="K522" s="163"/>
      <c r="L522" s="163"/>
      <c r="M522" s="163"/>
      <c r="N522" s="163"/>
      <c r="O522" s="165"/>
      <c r="P522" s="163"/>
      <c r="Q522" s="163"/>
      <c r="R522" s="163"/>
    </row>
    <row r="523" spans="1:18" ht="12">
      <c r="A523" s="3"/>
      <c r="B523" s="3"/>
      <c r="C523" s="3"/>
      <c r="D523" s="3"/>
      <c r="E523" s="165"/>
      <c r="F523" s="163"/>
      <c r="G523" s="163"/>
      <c r="H523" s="163"/>
      <c r="I523" s="163"/>
      <c r="J523" s="165"/>
      <c r="K523" s="163"/>
      <c r="L523" s="163"/>
      <c r="M523" s="163"/>
      <c r="N523" s="163"/>
      <c r="O523" s="165"/>
      <c r="P523" s="163"/>
      <c r="Q523" s="163"/>
      <c r="R523" s="163"/>
    </row>
    <row r="524" spans="1:18" ht="12">
      <c r="A524" s="3"/>
      <c r="B524" s="3"/>
      <c r="C524" s="3"/>
      <c r="D524" s="3"/>
      <c r="E524" s="165"/>
      <c r="F524" s="163"/>
      <c r="G524" s="163"/>
      <c r="H524" s="163"/>
      <c r="I524" s="163"/>
      <c r="J524" s="165"/>
      <c r="K524" s="163"/>
      <c r="L524" s="163"/>
      <c r="M524" s="163"/>
      <c r="N524" s="163"/>
      <c r="O524" s="165"/>
      <c r="P524" s="163"/>
      <c r="Q524" s="163"/>
      <c r="R524" s="163"/>
    </row>
    <row r="525" spans="1:18" ht="12">
      <c r="A525" s="3"/>
      <c r="B525" s="3"/>
      <c r="C525" s="3"/>
      <c r="D525" s="3"/>
      <c r="E525" s="165"/>
      <c r="F525" s="163"/>
      <c r="G525" s="163"/>
      <c r="H525" s="163"/>
      <c r="I525" s="163"/>
      <c r="J525" s="165"/>
      <c r="K525" s="163"/>
      <c r="L525" s="163"/>
      <c r="M525" s="163"/>
      <c r="N525" s="163"/>
      <c r="O525" s="165"/>
      <c r="P525" s="163"/>
      <c r="Q525" s="163"/>
      <c r="R525" s="163"/>
    </row>
    <row r="526" spans="1:18" ht="12">
      <c r="A526" s="3"/>
      <c r="B526" s="3"/>
      <c r="C526" s="3"/>
      <c r="D526" s="3"/>
      <c r="E526" s="165"/>
      <c r="F526" s="163"/>
      <c r="G526" s="163"/>
      <c r="H526" s="163"/>
      <c r="I526" s="163"/>
      <c r="J526" s="165"/>
      <c r="K526" s="163"/>
      <c r="L526" s="163"/>
      <c r="M526" s="163"/>
      <c r="N526" s="163"/>
      <c r="O526" s="165"/>
      <c r="P526" s="163"/>
      <c r="Q526" s="163"/>
      <c r="R526" s="163"/>
    </row>
    <row r="527" spans="1:18" ht="12">
      <c r="A527" s="3"/>
      <c r="B527" s="3"/>
      <c r="C527" s="3"/>
      <c r="D527" s="3"/>
      <c r="E527" s="165"/>
      <c r="F527" s="163"/>
      <c r="G527" s="163"/>
      <c r="H527" s="163"/>
      <c r="I527" s="163"/>
      <c r="J527" s="165"/>
      <c r="K527" s="163"/>
      <c r="L527" s="163"/>
      <c r="M527" s="163"/>
      <c r="N527" s="163"/>
      <c r="O527" s="165"/>
      <c r="P527" s="163"/>
      <c r="Q527" s="163"/>
      <c r="R527" s="163"/>
    </row>
    <row r="528" spans="1:18" ht="12">
      <c r="A528" s="3"/>
      <c r="B528" s="3"/>
      <c r="C528" s="3"/>
      <c r="D528" s="3"/>
      <c r="E528" s="165"/>
      <c r="F528" s="163"/>
      <c r="G528" s="163"/>
      <c r="H528" s="163"/>
      <c r="I528" s="163"/>
      <c r="J528" s="165"/>
      <c r="K528" s="163"/>
      <c r="L528" s="163"/>
      <c r="M528" s="163"/>
      <c r="N528" s="163"/>
      <c r="O528" s="165"/>
      <c r="P528" s="163"/>
      <c r="Q528" s="163"/>
      <c r="R528" s="163"/>
    </row>
    <row r="529" spans="1:18" ht="12">
      <c r="A529" s="3"/>
      <c r="B529" s="3"/>
      <c r="C529" s="3"/>
      <c r="D529" s="3"/>
      <c r="E529" s="165"/>
      <c r="F529" s="163"/>
      <c r="G529" s="163"/>
      <c r="H529" s="163"/>
      <c r="I529" s="163"/>
      <c r="J529" s="165"/>
      <c r="K529" s="163"/>
      <c r="L529" s="163"/>
      <c r="M529" s="163"/>
      <c r="N529" s="163"/>
      <c r="O529" s="165"/>
      <c r="P529" s="163"/>
      <c r="Q529" s="163"/>
      <c r="R529" s="163"/>
    </row>
    <row r="530" spans="1:18" ht="12">
      <c r="A530" s="3"/>
      <c r="B530" s="3"/>
      <c r="C530" s="3"/>
      <c r="D530" s="3"/>
      <c r="E530" s="165"/>
      <c r="F530" s="163"/>
      <c r="G530" s="163"/>
      <c r="H530" s="163"/>
      <c r="I530" s="163"/>
      <c r="J530" s="165"/>
      <c r="K530" s="163"/>
      <c r="L530" s="163"/>
      <c r="M530" s="163"/>
      <c r="N530" s="163"/>
      <c r="O530" s="165"/>
      <c r="P530" s="163"/>
      <c r="Q530" s="163"/>
      <c r="R530" s="163"/>
    </row>
    <row r="531" spans="1:18" ht="12">
      <c r="A531" s="3"/>
      <c r="B531" s="3"/>
      <c r="C531" s="3"/>
      <c r="D531" s="3"/>
      <c r="E531" s="165"/>
      <c r="F531" s="163"/>
      <c r="G531" s="163"/>
      <c r="H531" s="163"/>
      <c r="I531" s="163"/>
      <c r="J531" s="165"/>
      <c r="K531" s="163"/>
      <c r="L531" s="163"/>
      <c r="M531" s="163"/>
      <c r="N531" s="163"/>
      <c r="O531" s="165"/>
      <c r="P531" s="163"/>
      <c r="Q531" s="163"/>
      <c r="R531" s="163"/>
    </row>
    <row r="532" spans="1:18" ht="12">
      <c r="A532" s="3"/>
      <c r="B532" s="3"/>
      <c r="C532" s="3"/>
      <c r="D532" s="3"/>
      <c r="E532" s="165"/>
      <c r="F532" s="163"/>
      <c r="G532" s="163"/>
      <c r="H532" s="163"/>
      <c r="I532" s="163"/>
      <c r="J532" s="165"/>
      <c r="K532" s="163"/>
      <c r="L532" s="163"/>
      <c r="M532" s="163"/>
      <c r="N532" s="163"/>
      <c r="O532" s="165"/>
      <c r="P532" s="163"/>
      <c r="Q532" s="163"/>
      <c r="R532" s="163"/>
    </row>
    <row r="533" spans="1:18" ht="12">
      <c r="A533" s="3"/>
      <c r="B533" s="3"/>
      <c r="C533" s="3"/>
      <c r="D533" s="3"/>
      <c r="E533" s="165"/>
      <c r="F533" s="163"/>
      <c r="G533" s="163"/>
      <c r="H533" s="163"/>
      <c r="I533" s="163"/>
      <c r="J533" s="165"/>
      <c r="K533" s="163"/>
      <c r="L533" s="163"/>
      <c r="M533" s="163"/>
      <c r="N533" s="163"/>
      <c r="O533" s="165"/>
      <c r="P533" s="163"/>
      <c r="Q533" s="163"/>
      <c r="R533" s="163"/>
    </row>
    <row r="534" spans="1:18" ht="12">
      <c r="A534" s="3"/>
      <c r="B534" s="3"/>
      <c r="C534" s="3"/>
      <c r="D534" s="3"/>
      <c r="E534" s="165"/>
      <c r="F534" s="163"/>
      <c r="G534" s="163"/>
      <c r="H534" s="163"/>
      <c r="I534" s="163"/>
      <c r="J534" s="165"/>
      <c r="K534" s="163"/>
      <c r="L534" s="163"/>
      <c r="M534" s="163"/>
      <c r="N534" s="163"/>
      <c r="O534" s="165"/>
      <c r="P534" s="163"/>
      <c r="Q534" s="163"/>
      <c r="R534" s="163"/>
    </row>
    <row r="535" spans="1:18" ht="12">
      <c r="A535" s="3"/>
      <c r="B535" s="3"/>
      <c r="C535" s="3"/>
      <c r="D535" s="3"/>
      <c r="E535" s="165"/>
      <c r="F535" s="163"/>
      <c r="G535" s="163"/>
      <c r="H535" s="163"/>
      <c r="I535" s="163"/>
      <c r="J535" s="165"/>
      <c r="K535" s="163"/>
      <c r="L535" s="163"/>
      <c r="M535" s="163"/>
      <c r="N535" s="163"/>
      <c r="O535" s="165"/>
      <c r="P535" s="163"/>
      <c r="Q535" s="163"/>
      <c r="R535" s="163"/>
    </row>
    <row r="536" spans="1:18" ht="12">
      <c r="A536" s="3"/>
      <c r="B536" s="3"/>
      <c r="C536" s="3"/>
      <c r="D536" s="3"/>
      <c r="E536" s="165"/>
      <c r="F536" s="163"/>
      <c r="G536" s="163"/>
      <c r="H536" s="163"/>
      <c r="I536" s="163"/>
      <c r="J536" s="165"/>
      <c r="K536" s="163"/>
      <c r="L536" s="163"/>
      <c r="M536" s="163"/>
      <c r="N536" s="163"/>
      <c r="O536" s="165"/>
      <c r="P536" s="163"/>
      <c r="Q536" s="163"/>
      <c r="R536" s="163"/>
    </row>
    <row r="537" spans="1:18" ht="12">
      <c r="A537" s="3"/>
      <c r="B537" s="3"/>
      <c r="C537" s="3"/>
      <c r="D537" s="3"/>
      <c r="E537" s="165"/>
      <c r="F537" s="163"/>
      <c r="G537" s="163"/>
      <c r="H537" s="163"/>
      <c r="I537" s="163"/>
      <c r="J537" s="165"/>
      <c r="K537" s="163"/>
      <c r="L537" s="163"/>
      <c r="M537" s="163"/>
      <c r="N537" s="163"/>
      <c r="O537" s="165"/>
      <c r="P537" s="163"/>
      <c r="Q537" s="163"/>
      <c r="R537" s="163"/>
    </row>
    <row r="538" spans="1:18" ht="12">
      <c r="A538" s="3"/>
      <c r="B538" s="3"/>
      <c r="C538" s="3"/>
      <c r="D538" s="3"/>
      <c r="E538" s="165"/>
      <c r="F538" s="163"/>
      <c r="G538" s="163"/>
      <c r="H538" s="163"/>
      <c r="I538" s="163"/>
      <c r="J538" s="165"/>
      <c r="K538" s="163"/>
      <c r="L538" s="163"/>
      <c r="M538" s="163"/>
      <c r="N538" s="163"/>
      <c r="O538" s="165"/>
      <c r="P538" s="163"/>
      <c r="Q538" s="163"/>
      <c r="R538" s="163"/>
    </row>
    <row r="539" spans="1:18">
      <c r="A539" s="3"/>
      <c r="B539" s="3"/>
      <c r="C539" s="3"/>
      <c r="D539" s="3"/>
      <c r="E539" s="35"/>
      <c r="F539" s="33"/>
      <c r="G539" s="33"/>
      <c r="H539" s="36"/>
      <c r="I539" s="33"/>
      <c r="J539" s="35"/>
      <c r="K539" s="33"/>
      <c r="L539" s="33"/>
      <c r="M539" s="36"/>
      <c r="N539" s="33"/>
      <c r="O539" s="35"/>
      <c r="P539" s="33"/>
      <c r="Q539" s="33"/>
      <c r="R539" s="36"/>
    </row>
    <row r="540" spans="1:18">
      <c r="A540" s="3"/>
      <c r="B540" s="3"/>
      <c r="C540" s="3"/>
      <c r="D540" s="3"/>
      <c r="E540" s="35"/>
      <c r="F540" s="33"/>
      <c r="G540" s="33"/>
      <c r="H540" s="36"/>
      <c r="I540" s="33"/>
      <c r="J540" s="35"/>
      <c r="K540" s="33"/>
      <c r="L540" s="33"/>
      <c r="M540" s="36"/>
      <c r="N540" s="33"/>
      <c r="O540" s="35"/>
      <c r="P540" s="33"/>
      <c r="Q540" s="33"/>
      <c r="R540" s="36"/>
    </row>
    <row r="541" spans="1:18">
      <c r="A541" s="3"/>
      <c r="B541" s="3"/>
      <c r="C541" s="3"/>
      <c r="D541" s="3"/>
      <c r="E541" s="35"/>
      <c r="F541" s="33"/>
      <c r="G541" s="33"/>
      <c r="H541" s="36"/>
      <c r="I541" s="33"/>
      <c r="J541" s="35"/>
      <c r="K541" s="33"/>
      <c r="L541" s="33"/>
      <c r="M541" s="36"/>
      <c r="N541" s="33"/>
      <c r="O541" s="35"/>
      <c r="P541" s="33"/>
      <c r="Q541" s="33"/>
      <c r="R541" s="36"/>
    </row>
    <row r="542" spans="1:18">
      <c r="A542" s="3"/>
      <c r="B542" s="3"/>
      <c r="C542" s="3"/>
      <c r="D542" s="3"/>
      <c r="E542" s="35"/>
      <c r="F542" s="33"/>
      <c r="G542" s="33"/>
      <c r="H542" s="36"/>
      <c r="I542" s="33"/>
      <c r="J542" s="35"/>
      <c r="K542" s="33"/>
      <c r="L542" s="33"/>
      <c r="M542" s="36"/>
      <c r="N542" s="33"/>
      <c r="O542" s="35"/>
      <c r="P542" s="33"/>
      <c r="Q542" s="33"/>
      <c r="R542" s="36"/>
    </row>
    <row r="543" spans="1:18">
      <c r="A543" s="3"/>
      <c r="B543" s="3"/>
      <c r="C543" s="3"/>
      <c r="D543" s="3"/>
      <c r="E543" s="35"/>
      <c r="F543" s="33"/>
      <c r="G543" s="33"/>
      <c r="H543" s="36"/>
      <c r="I543" s="33"/>
      <c r="J543" s="35"/>
      <c r="K543" s="33"/>
      <c r="L543" s="33"/>
      <c r="M543" s="36"/>
      <c r="N543" s="33"/>
      <c r="O543" s="35"/>
      <c r="P543" s="33"/>
      <c r="Q543" s="33"/>
      <c r="R543" s="36"/>
    </row>
    <row r="544" spans="1:18">
      <c r="A544" s="3"/>
      <c r="B544" s="3"/>
      <c r="C544" s="3"/>
      <c r="D544" s="3"/>
      <c r="E544" s="35"/>
      <c r="F544" s="33"/>
      <c r="G544" s="33"/>
      <c r="H544" s="36"/>
      <c r="I544" s="33"/>
      <c r="J544" s="35"/>
      <c r="K544" s="33"/>
      <c r="L544" s="33"/>
      <c r="M544" s="36"/>
      <c r="N544" s="33"/>
      <c r="O544" s="35"/>
      <c r="P544" s="33"/>
      <c r="Q544" s="33"/>
      <c r="R544" s="36"/>
    </row>
    <row r="545" spans="1:18">
      <c r="A545" s="3"/>
      <c r="B545" s="3"/>
      <c r="C545" s="3"/>
      <c r="D545" s="3"/>
      <c r="E545" s="35"/>
      <c r="F545" s="33"/>
      <c r="G545" s="33"/>
      <c r="H545" s="36"/>
      <c r="I545" s="33"/>
      <c r="J545" s="35"/>
      <c r="K545" s="33"/>
      <c r="L545" s="33"/>
      <c r="M545" s="36"/>
      <c r="N545" s="33"/>
      <c r="O545" s="35"/>
      <c r="P545" s="33"/>
      <c r="Q545" s="33"/>
      <c r="R545" s="36"/>
    </row>
    <row r="546" spans="1:18">
      <c r="A546" s="3"/>
      <c r="B546" s="3"/>
      <c r="C546" s="3"/>
      <c r="D546" s="3"/>
      <c r="E546" s="35"/>
      <c r="F546" s="33"/>
      <c r="G546" s="33"/>
      <c r="H546" s="36"/>
      <c r="I546" s="33"/>
      <c r="J546" s="35"/>
      <c r="K546" s="33"/>
      <c r="L546" s="33"/>
      <c r="M546" s="36"/>
      <c r="N546" s="33"/>
      <c r="O546" s="35"/>
      <c r="P546" s="33"/>
      <c r="Q546" s="33"/>
      <c r="R546" s="36"/>
    </row>
    <row r="547" spans="1:18">
      <c r="A547" s="3"/>
      <c r="B547" s="3"/>
      <c r="C547" s="3"/>
      <c r="D547" s="3"/>
      <c r="E547" s="35"/>
      <c r="F547" s="33"/>
      <c r="G547" s="33"/>
      <c r="H547" s="36"/>
      <c r="I547" s="33"/>
      <c r="J547" s="35"/>
      <c r="K547" s="33"/>
      <c r="L547" s="33"/>
      <c r="M547" s="36"/>
      <c r="N547" s="33"/>
      <c r="O547" s="35"/>
      <c r="P547" s="33"/>
      <c r="Q547" s="33"/>
      <c r="R547" s="36"/>
    </row>
    <row r="548" spans="1:18">
      <c r="A548" s="3"/>
      <c r="B548" s="3"/>
      <c r="C548" s="3"/>
      <c r="D548" s="3"/>
      <c r="E548" s="35"/>
      <c r="F548" s="33"/>
      <c r="G548" s="33"/>
      <c r="H548" s="36"/>
      <c r="I548" s="33"/>
      <c r="J548" s="35"/>
      <c r="K548" s="33"/>
      <c r="L548" s="33"/>
      <c r="M548" s="36"/>
      <c r="N548" s="33"/>
      <c r="O548" s="35"/>
      <c r="P548" s="33"/>
      <c r="Q548" s="33"/>
      <c r="R548" s="36"/>
    </row>
    <row r="549" spans="1:18">
      <c r="A549" s="3"/>
      <c r="B549" s="3"/>
      <c r="C549" s="3"/>
      <c r="D549" s="3"/>
      <c r="E549" s="35"/>
      <c r="F549" s="33"/>
      <c r="G549" s="33"/>
      <c r="H549" s="36"/>
      <c r="I549" s="33"/>
      <c r="J549" s="35"/>
      <c r="K549" s="33"/>
      <c r="L549" s="33"/>
      <c r="M549" s="36"/>
      <c r="N549" s="33"/>
      <c r="O549" s="35"/>
      <c r="P549" s="33"/>
      <c r="Q549" s="33"/>
      <c r="R549" s="36"/>
    </row>
    <row r="550" spans="1:18">
      <c r="A550" s="3"/>
      <c r="B550" s="3"/>
      <c r="C550" s="3"/>
      <c r="D550" s="3"/>
      <c r="E550" s="35"/>
      <c r="F550" s="33"/>
      <c r="G550" s="33"/>
      <c r="H550" s="36"/>
      <c r="I550" s="33"/>
      <c r="J550" s="35"/>
      <c r="K550" s="33"/>
      <c r="L550" s="33"/>
      <c r="M550" s="36"/>
      <c r="N550" s="33"/>
      <c r="O550" s="35"/>
      <c r="P550" s="33"/>
      <c r="Q550" s="33"/>
      <c r="R550" s="36"/>
    </row>
    <row r="551" spans="1:18">
      <c r="A551" s="3"/>
      <c r="B551" s="3"/>
      <c r="C551" s="3"/>
      <c r="D551" s="3"/>
      <c r="E551" s="35"/>
      <c r="F551" s="33"/>
      <c r="G551" s="33"/>
      <c r="H551" s="36"/>
      <c r="I551" s="33"/>
      <c r="J551" s="35"/>
      <c r="K551" s="33"/>
      <c r="L551" s="33"/>
      <c r="M551" s="36"/>
      <c r="N551" s="33"/>
      <c r="O551" s="35"/>
      <c r="P551" s="33"/>
      <c r="Q551" s="33"/>
      <c r="R551" s="36"/>
    </row>
    <row r="552" spans="1:18">
      <c r="A552" s="3"/>
      <c r="B552" s="3"/>
      <c r="C552" s="3"/>
      <c r="D552" s="3"/>
      <c r="E552" s="35"/>
      <c r="F552" s="33"/>
      <c r="G552" s="33"/>
      <c r="H552" s="36"/>
      <c r="I552" s="33"/>
      <c r="J552" s="35"/>
      <c r="K552" s="33"/>
      <c r="L552" s="33"/>
      <c r="M552" s="36"/>
      <c r="N552" s="33"/>
      <c r="O552" s="35"/>
      <c r="P552" s="33"/>
      <c r="Q552" s="33"/>
      <c r="R552" s="36"/>
    </row>
    <row r="553" spans="1:18">
      <c r="A553" s="3"/>
      <c r="B553" s="3"/>
      <c r="C553" s="3"/>
      <c r="D553" s="3"/>
      <c r="E553" s="35"/>
      <c r="F553" s="33"/>
      <c r="G553" s="33"/>
      <c r="H553" s="36"/>
      <c r="I553" s="33"/>
      <c r="J553" s="35"/>
      <c r="K553" s="33"/>
      <c r="L553" s="33"/>
      <c r="M553" s="36"/>
      <c r="N553" s="33"/>
      <c r="O553" s="35"/>
      <c r="P553" s="33"/>
      <c r="Q553" s="33"/>
      <c r="R553" s="36"/>
    </row>
    <row r="554" spans="1:18">
      <c r="A554" s="3"/>
      <c r="B554" s="3"/>
      <c r="C554" s="3"/>
      <c r="D554" s="3"/>
      <c r="E554" s="35"/>
      <c r="F554" s="33"/>
      <c r="G554" s="33"/>
      <c r="H554" s="36"/>
      <c r="I554" s="33"/>
      <c r="J554" s="35"/>
      <c r="K554" s="33"/>
      <c r="L554" s="33"/>
      <c r="M554" s="36"/>
      <c r="N554" s="33"/>
      <c r="O554" s="35"/>
      <c r="P554" s="33"/>
      <c r="Q554" s="33"/>
      <c r="R554" s="36"/>
    </row>
    <row r="555" spans="1:18">
      <c r="A555" s="3"/>
      <c r="B555" s="3"/>
      <c r="C555" s="3"/>
      <c r="D555" s="3"/>
      <c r="E555" s="35"/>
      <c r="F555" s="33"/>
      <c r="G555" s="33"/>
      <c r="H555" s="36"/>
      <c r="I555" s="33"/>
      <c r="J555" s="35"/>
      <c r="K555" s="33"/>
      <c r="L555" s="33"/>
      <c r="M555" s="36"/>
      <c r="N555" s="33"/>
      <c r="O555" s="35"/>
      <c r="P555" s="33"/>
      <c r="Q555" s="33"/>
      <c r="R555" s="36"/>
    </row>
    <row r="556" spans="1:18">
      <c r="A556" s="3"/>
      <c r="B556" s="3"/>
      <c r="C556" s="3"/>
      <c r="D556" s="3"/>
      <c r="E556" s="35"/>
      <c r="F556" s="33"/>
      <c r="G556" s="33"/>
      <c r="H556" s="36"/>
      <c r="I556" s="33"/>
      <c r="J556" s="35"/>
      <c r="K556" s="33"/>
      <c r="L556" s="33"/>
      <c r="M556" s="36"/>
      <c r="N556" s="33"/>
      <c r="O556" s="35"/>
      <c r="P556" s="33"/>
      <c r="Q556" s="33"/>
      <c r="R556" s="36"/>
    </row>
    <row r="557" spans="1:18">
      <c r="A557" s="3"/>
      <c r="B557" s="3"/>
      <c r="C557" s="3"/>
      <c r="D557" s="3"/>
      <c r="E557" s="35"/>
      <c r="F557" s="33"/>
      <c r="G557" s="33"/>
      <c r="H557" s="36"/>
      <c r="I557" s="33"/>
      <c r="J557" s="35"/>
      <c r="K557" s="33"/>
      <c r="L557" s="33"/>
      <c r="M557" s="36"/>
      <c r="N557" s="33"/>
      <c r="O557" s="35"/>
      <c r="P557" s="33"/>
      <c r="Q557" s="33"/>
      <c r="R557" s="36"/>
    </row>
    <row r="558" spans="1:18">
      <c r="A558" s="3"/>
      <c r="B558" s="3"/>
      <c r="C558" s="3"/>
      <c r="D558" s="3"/>
      <c r="E558" s="35"/>
      <c r="F558" s="33"/>
      <c r="G558" s="33"/>
      <c r="H558" s="36"/>
      <c r="I558" s="33"/>
      <c r="J558" s="35"/>
      <c r="K558" s="33"/>
      <c r="L558" s="33"/>
      <c r="M558" s="36"/>
      <c r="N558" s="33"/>
      <c r="O558" s="35"/>
      <c r="P558" s="33"/>
      <c r="Q558" s="33"/>
      <c r="R558" s="36"/>
    </row>
    <row r="559" spans="1:18">
      <c r="A559" s="3"/>
      <c r="B559" s="3"/>
      <c r="C559" s="3"/>
      <c r="D559" s="3"/>
      <c r="E559" s="35"/>
      <c r="F559" s="33"/>
      <c r="G559" s="33"/>
      <c r="H559" s="36"/>
      <c r="I559" s="33"/>
      <c r="J559" s="35"/>
      <c r="K559" s="33"/>
      <c r="L559" s="33"/>
      <c r="M559" s="36"/>
      <c r="N559" s="33"/>
      <c r="O559" s="35"/>
      <c r="P559" s="33"/>
      <c r="Q559" s="33"/>
      <c r="R559" s="36"/>
    </row>
    <row r="560" spans="1:18">
      <c r="A560" s="3"/>
      <c r="B560" s="3"/>
      <c r="C560" s="3"/>
      <c r="D560" s="3"/>
      <c r="E560" s="35"/>
      <c r="F560" s="33"/>
      <c r="G560" s="33"/>
      <c r="H560" s="36"/>
      <c r="I560" s="33"/>
      <c r="J560" s="35"/>
      <c r="K560" s="33"/>
      <c r="L560" s="33"/>
      <c r="M560" s="36"/>
      <c r="N560" s="33"/>
      <c r="O560" s="35"/>
      <c r="P560" s="33"/>
      <c r="Q560" s="33"/>
      <c r="R560" s="36"/>
    </row>
    <row r="561" spans="1:18">
      <c r="A561" s="3"/>
      <c r="B561" s="3"/>
      <c r="C561" s="3"/>
      <c r="D561" s="3"/>
      <c r="E561" s="35"/>
      <c r="F561" s="33"/>
      <c r="G561" s="33"/>
      <c r="H561" s="36"/>
      <c r="I561" s="33"/>
      <c r="J561" s="35"/>
      <c r="K561" s="33"/>
      <c r="L561" s="33"/>
      <c r="M561" s="36"/>
      <c r="N561" s="33"/>
      <c r="O561" s="35"/>
      <c r="P561" s="33"/>
      <c r="Q561" s="33"/>
      <c r="R561" s="36"/>
    </row>
    <row r="562" spans="1:18">
      <c r="A562" s="3"/>
      <c r="B562" s="3"/>
      <c r="C562" s="3"/>
      <c r="D562" s="3"/>
      <c r="E562" s="35"/>
      <c r="F562" s="33"/>
      <c r="G562" s="33"/>
      <c r="H562" s="36"/>
      <c r="I562" s="33"/>
      <c r="J562" s="35"/>
      <c r="K562" s="33"/>
      <c r="L562" s="33"/>
      <c r="M562" s="36"/>
      <c r="N562" s="33"/>
      <c r="O562" s="35"/>
      <c r="P562" s="33"/>
      <c r="Q562" s="33"/>
      <c r="R562" s="36"/>
    </row>
    <row r="563" spans="1:18">
      <c r="A563" s="3"/>
      <c r="B563" s="3"/>
      <c r="C563" s="3"/>
      <c r="D563" s="3"/>
      <c r="E563" s="35"/>
      <c r="F563" s="33"/>
      <c r="G563" s="33"/>
      <c r="H563" s="36"/>
      <c r="I563" s="33"/>
      <c r="J563" s="35"/>
      <c r="K563" s="33"/>
      <c r="L563" s="33"/>
      <c r="M563" s="36"/>
      <c r="N563" s="33"/>
      <c r="O563" s="35"/>
      <c r="P563" s="33"/>
      <c r="Q563" s="33"/>
      <c r="R563" s="36"/>
    </row>
    <row r="564" spans="1:18">
      <c r="A564" s="3"/>
      <c r="B564" s="3"/>
      <c r="C564" s="3"/>
      <c r="D564" s="3"/>
      <c r="E564" s="35"/>
      <c r="F564" s="33"/>
      <c r="G564" s="33"/>
      <c r="H564" s="36"/>
      <c r="I564" s="33"/>
      <c r="J564" s="35"/>
      <c r="K564" s="33"/>
      <c r="L564" s="33"/>
      <c r="M564" s="36"/>
      <c r="N564" s="33"/>
      <c r="O564" s="35"/>
      <c r="P564" s="33"/>
      <c r="Q564" s="33"/>
      <c r="R564" s="36"/>
    </row>
    <row r="565" spans="1:18">
      <c r="A565" s="3"/>
      <c r="B565" s="3"/>
      <c r="C565" s="3"/>
      <c r="D565" s="3"/>
      <c r="E565" s="35"/>
      <c r="F565" s="33"/>
      <c r="G565" s="33"/>
      <c r="H565" s="36"/>
      <c r="I565" s="33"/>
      <c r="J565" s="35"/>
      <c r="K565" s="33"/>
      <c r="L565" s="33"/>
      <c r="M565" s="36"/>
      <c r="N565" s="33"/>
      <c r="O565" s="35"/>
      <c r="P565" s="33"/>
      <c r="Q565" s="33"/>
      <c r="R565" s="36"/>
    </row>
    <row r="566" spans="1:18">
      <c r="A566" s="3"/>
      <c r="B566" s="3"/>
      <c r="C566" s="3"/>
      <c r="D566" s="3"/>
      <c r="E566" s="35"/>
      <c r="F566" s="33"/>
      <c r="G566" s="33"/>
      <c r="H566" s="36"/>
      <c r="I566" s="33"/>
      <c r="J566" s="35"/>
      <c r="K566" s="33"/>
      <c r="L566" s="33"/>
      <c r="M566" s="36"/>
      <c r="N566" s="33"/>
      <c r="O566" s="35"/>
      <c r="P566" s="33"/>
      <c r="Q566" s="33"/>
      <c r="R566" s="36"/>
    </row>
    <row r="567" spans="1:18">
      <c r="A567" s="3"/>
      <c r="B567" s="3"/>
      <c r="C567" s="3"/>
      <c r="D567" s="3"/>
      <c r="E567" s="35"/>
      <c r="F567" s="33"/>
      <c r="G567" s="33"/>
      <c r="H567" s="36"/>
      <c r="I567" s="33"/>
      <c r="J567" s="35"/>
      <c r="K567" s="33"/>
      <c r="L567" s="33"/>
      <c r="M567" s="36"/>
      <c r="N567" s="33"/>
      <c r="O567" s="35"/>
      <c r="P567" s="33"/>
      <c r="Q567" s="33"/>
      <c r="R567" s="36"/>
    </row>
    <row r="568" spans="1:18">
      <c r="A568" s="3"/>
      <c r="B568" s="3"/>
      <c r="C568" s="3"/>
      <c r="D568" s="3"/>
      <c r="E568" s="35"/>
      <c r="F568" s="33"/>
      <c r="G568" s="33"/>
      <c r="H568" s="36"/>
      <c r="I568" s="33"/>
      <c r="J568" s="35"/>
      <c r="K568" s="33"/>
      <c r="L568" s="33"/>
      <c r="M568" s="36"/>
      <c r="N568" s="33"/>
      <c r="O568" s="35"/>
      <c r="P568" s="33"/>
      <c r="Q568" s="33"/>
      <c r="R568" s="36"/>
    </row>
    <row r="569" spans="1:18">
      <c r="A569" s="3"/>
      <c r="B569" s="3"/>
      <c r="C569" s="3"/>
      <c r="D569" s="3"/>
      <c r="E569" s="35"/>
      <c r="F569" s="33"/>
      <c r="G569" s="33"/>
      <c r="H569" s="36"/>
      <c r="I569" s="33"/>
      <c r="J569" s="35"/>
      <c r="K569" s="33"/>
      <c r="L569" s="33"/>
      <c r="M569" s="36"/>
      <c r="N569" s="33"/>
      <c r="O569" s="35"/>
      <c r="P569" s="33"/>
      <c r="Q569" s="33"/>
      <c r="R569" s="36"/>
    </row>
    <row r="570" spans="1:18">
      <c r="A570" s="3"/>
      <c r="B570" s="3"/>
      <c r="C570" s="3"/>
      <c r="D570" s="3"/>
      <c r="E570" s="35"/>
      <c r="F570" s="33"/>
      <c r="G570" s="33"/>
      <c r="H570" s="36"/>
      <c r="I570" s="33"/>
      <c r="J570" s="35"/>
      <c r="K570" s="33"/>
      <c r="L570" s="33"/>
      <c r="M570" s="36"/>
      <c r="N570" s="33"/>
      <c r="O570" s="35"/>
      <c r="P570" s="33"/>
      <c r="Q570" s="33"/>
      <c r="R570" s="36"/>
    </row>
    <row r="571" spans="1:18">
      <c r="A571" s="3"/>
      <c r="B571" s="3"/>
      <c r="C571" s="3"/>
      <c r="D571" s="3"/>
      <c r="E571" s="35"/>
      <c r="F571" s="33"/>
      <c r="G571" s="33"/>
      <c r="H571" s="36"/>
      <c r="I571" s="33"/>
      <c r="J571" s="35"/>
      <c r="K571" s="33"/>
      <c r="L571" s="33"/>
      <c r="M571" s="36"/>
      <c r="N571" s="33"/>
      <c r="O571" s="35"/>
      <c r="P571" s="33"/>
      <c r="Q571" s="33"/>
      <c r="R571" s="36"/>
    </row>
    <row r="572" spans="1:18">
      <c r="A572" s="3"/>
      <c r="B572" s="3"/>
      <c r="C572" s="3"/>
      <c r="D572" s="3"/>
      <c r="E572" s="35"/>
      <c r="F572" s="33"/>
      <c r="G572" s="33"/>
      <c r="H572" s="36"/>
      <c r="I572" s="33"/>
      <c r="J572" s="35"/>
      <c r="K572" s="33"/>
      <c r="L572" s="33"/>
      <c r="M572" s="36"/>
      <c r="N572" s="33"/>
      <c r="O572" s="35"/>
      <c r="P572" s="33"/>
      <c r="Q572" s="33"/>
      <c r="R572" s="36"/>
    </row>
    <row r="573" spans="1:18">
      <c r="A573" s="3"/>
      <c r="B573" s="3"/>
      <c r="C573" s="3"/>
      <c r="D573" s="3"/>
      <c r="E573" s="35"/>
      <c r="F573" s="33"/>
      <c r="G573" s="33"/>
      <c r="H573" s="36"/>
      <c r="I573" s="33"/>
      <c r="J573" s="35"/>
      <c r="K573" s="33"/>
      <c r="L573" s="33"/>
      <c r="M573" s="36"/>
      <c r="N573" s="33"/>
      <c r="O573" s="35"/>
      <c r="P573" s="33"/>
      <c r="Q573" s="33"/>
      <c r="R573" s="36"/>
    </row>
    <row r="574" spans="1:18">
      <c r="A574" s="3"/>
      <c r="B574" s="3"/>
      <c r="C574" s="3"/>
      <c r="D574" s="3"/>
      <c r="E574" s="35"/>
      <c r="F574" s="33"/>
      <c r="G574" s="33"/>
      <c r="H574" s="36"/>
      <c r="I574" s="33"/>
      <c r="J574" s="35"/>
      <c r="K574" s="33"/>
      <c r="L574" s="33"/>
      <c r="M574" s="36"/>
      <c r="N574" s="33"/>
      <c r="O574" s="35"/>
      <c r="P574" s="33"/>
      <c r="Q574" s="33"/>
      <c r="R574" s="36"/>
    </row>
    <row r="575" spans="1:18">
      <c r="A575" s="3"/>
      <c r="B575" s="3"/>
      <c r="C575" s="3"/>
      <c r="D575" s="3"/>
      <c r="E575" s="35"/>
      <c r="F575" s="33"/>
      <c r="G575" s="33"/>
      <c r="H575" s="36"/>
      <c r="I575" s="33"/>
      <c r="J575" s="35"/>
      <c r="K575" s="33"/>
      <c r="L575" s="33"/>
      <c r="M575" s="36"/>
      <c r="N575" s="33"/>
      <c r="O575" s="35"/>
      <c r="P575" s="33"/>
      <c r="Q575" s="33"/>
      <c r="R575" s="36"/>
    </row>
    <row r="576" spans="1:18">
      <c r="A576" s="3"/>
      <c r="B576" s="3"/>
      <c r="C576" s="3"/>
      <c r="D576" s="3"/>
      <c r="E576" s="35"/>
      <c r="F576" s="33"/>
      <c r="G576" s="33"/>
      <c r="H576" s="36"/>
      <c r="I576" s="33"/>
      <c r="J576" s="35"/>
      <c r="K576" s="33"/>
      <c r="L576" s="33"/>
      <c r="M576" s="36"/>
      <c r="N576" s="33"/>
      <c r="O576" s="35"/>
      <c r="P576" s="33"/>
      <c r="Q576" s="33"/>
      <c r="R576" s="36"/>
    </row>
    <row r="577" spans="1:18">
      <c r="A577" s="3"/>
      <c r="B577" s="3"/>
      <c r="C577" s="3"/>
      <c r="D577" s="3"/>
      <c r="E577" s="35"/>
      <c r="F577" s="33"/>
      <c r="G577" s="33"/>
      <c r="H577" s="36"/>
      <c r="I577" s="33"/>
      <c r="J577" s="35"/>
      <c r="K577" s="33"/>
      <c r="L577" s="33"/>
      <c r="M577" s="36"/>
      <c r="N577" s="33"/>
      <c r="O577" s="35"/>
      <c r="P577" s="33"/>
      <c r="Q577" s="33"/>
      <c r="R577" s="36"/>
    </row>
    <row r="578" spans="1:18">
      <c r="A578" s="3"/>
      <c r="B578" s="3"/>
      <c r="C578" s="3"/>
      <c r="D578" s="3"/>
      <c r="E578" s="35"/>
      <c r="F578" s="33"/>
      <c r="G578" s="33"/>
      <c r="H578" s="36"/>
      <c r="I578" s="33"/>
      <c r="J578" s="35"/>
      <c r="K578" s="33"/>
      <c r="L578" s="33"/>
      <c r="M578" s="36"/>
      <c r="N578" s="33"/>
      <c r="O578" s="35"/>
      <c r="P578" s="33"/>
      <c r="Q578" s="33"/>
      <c r="R578" s="36"/>
    </row>
    <row r="579" spans="1:18">
      <c r="A579" s="3"/>
      <c r="B579" s="3"/>
      <c r="C579" s="3"/>
      <c r="D579" s="3"/>
      <c r="E579" s="35"/>
      <c r="F579" s="33"/>
      <c r="G579" s="33"/>
      <c r="H579" s="36"/>
      <c r="I579" s="33"/>
      <c r="J579" s="35"/>
      <c r="K579" s="33"/>
      <c r="L579" s="33"/>
      <c r="M579" s="36"/>
      <c r="N579" s="33"/>
      <c r="O579" s="35"/>
      <c r="P579" s="33"/>
      <c r="Q579" s="33"/>
      <c r="R579" s="36"/>
    </row>
    <row r="580" spans="1:18">
      <c r="A580" s="3"/>
      <c r="B580" s="3"/>
      <c r="C580" s="3"/>
      <c r="D580" s="3"/>
      <c r="E580" s="35"/>
      <c r="F580" s="33"/>
      <c r="G580" s="33"/>
      <c r="H580" s="36"/>
      <c r="I580" s="33"/>
      <c r="J580" s="35"/>
      <c r="K580" s="33"/>
      <c r="L580" s="33"/>
      <c r="M580" s="36"/>
      <c r="N580" s="33"/>
      <c r="O580" s="35"/>
      <c r="P580" s="33"/>
      <c r="Q580" s="33"/>
      <c r="R580" s="36"/>
    </row>
    <row r="581" spans="1:18">
      <c r="A581" s="3"/>
      <c r="B581" s="3"/>
      <c r="C581" s="3"/>
      <c r="D581" s="3"/>
      <c r="E581" s="35"/>
      <c r="F581" s="33"/>
      <c r="G581" s="33"/>
      <c r="H581" s="36"/>
      <c r="I581" s="33"/>
      <c r="J581" s="35"/>
      <c r="K581" s="33"/>
      <c r="L581" s="33"/>
      <c r="M581" s="36"/>
      <c r="N581" s="33"/>
      <c r="O581" s="35"/>
      <c r="P581" s="33"/>
      <c r="Q581" s="33"/>
      <c r="R581" s="36"/>
    </row>
    <row r="582" spans="1:18">
      <c r="A582" s="3"/>
      <c r="B582" s="3"/>
      <c r="C582" s="3"/>
      <c r="D582" s="3"/>
      <c r="E582" s="35"/>
      <c r="F582" s="33"/>
      <c r="G582" s="33"/>
      <c r="H582" s="36"/>
      <c r="I582" s="33"/>
      <c r="J582" s="35"/>
      <c r="K582" s="33"/>
      <c r="L582" s="33"/>
      <c r="M582" s="36"/>
      <c r="N582" s="33"/>
      <c r="O582" s="35"/>
      <c r="P582" s="33"/>
      <c r="Q582" s="33"/>
      <c r="R582" s="36"/>
    </row>
    <row r="583" spans="1:18">
      <c r="A583" s="3"/>
      <c r="B583" s="3"/>
      <c r="C583" s="3"/>
      <c r="D583" s="3"/>
      <c r="E583" s="35"/>
      <c r="F583" s="33"/>
      <c r="G583" s="33"/>
      <c r="H583" s="36"/>
      <c r="I583" s="33"/>
      <c r="J583" s="35"/>
      <c r="K583" s="33"/>
      <c r="L583" s="33"/>
      <c r="M583" s="36"/>
      <c r="N583" s="33"/>
      <c r="O583" s="35"/>
      <c r="P583" s="33"/>
      <c r="Q583" s="33"/>
      <c r="R583" s="36"/>
    </row>
    <row r="584" spans="1:18">
      <c r="A584" s="3"/>
      <c r="B584" s="3"/>
      <c r="C584" s="3"/>
      <c r="D584" s="3"/>
      <c r="E584" s="35"/>
      <c r="F584" s="33"/>
      <c r="G584" s="33"/>
      <c r="H584" s="36"/>
      <c r="I584" s="33"/>
      <c r="J584" s="35"/>
      <c r="K584" s="33"/>
      <c r="L584" s="33"/>
      <c r="M584" s="36"/>
      <c r="N584" s="33"/>
      <c r="O584" s="35"/>
      <c r="P584" s="33"/>
      <c r="Q584" s="33"/>
      <c r="R584" s="36"/>
    </row>
    <row r="585" spans="1:18">
      <c r="A585" s="3"/>
      <c r="B585" s="3"/>
      <c r="C585" s="3"/>
      <c r="D585" s="3"/>
      <c r="E585" s="35"/>
      <c r="F585" s="33"/>
      <c r="G585" s="33"/>
      <c r="H585" s="36"/>
      <c r="I585" s="33"/>
      <c r="J585" s="35"/>
      <c r="K585" s="33"/>
      <c r="L585" s="33"/>
      <c r="M585" s="36"/>
      <c r="N585" s="33"/>
      <c r="O585" s="35"/>
      <c r="P585" s="33"/>
      <c r="Q585" s="33"/>
      <c r="R585" s="36"/>
    </row>
    <row r="586" spans="1:18">
      <c r="A586" s="3"/>
      <c r="B586" s="3"/>
      <c r="C586" s="3"/>
      <c r="D586" s="3"/>
      <c r="E586" s="35"/>
      <c r="F586" s="33"/>
      <c r="G586" s="33"/>
      <c r="H586" s="36"/>
      <c r="I586" s="33"/>
      <c r="J586" s="35"/>
      <c r="K586" s="33"/>
      <c r="L586" s="33"/>
      <c r="M586" s="36"/>
      <c r="N586" s="33"/>
      <c r="O586" s="35"/>
      <c r="P586" s="33"/>
      <c r="Q586" s="33"/>
      <c r="R586" s="36"/>
    </row>
    <row r="587" spans="1:18">
      <c r="A587" s="3"/>
      <c r="B587" s="3"/>
      <c r="C587" s="3"/>
      <c r="D587" s="3"/>
      <c r="E587" s="35"/>
      <c r="F587" s="33"/>
      <c r="G587" s="33"/>
      <c r="H587" s="36"/>
      <c r="I587" s="33"/>
      <c r="J587" s="35"/>
      <c r="K587" s="33"/>
      <c r="L587" s="33"/>
      <c r="M587" s="36"/>
      <c r="N587" s="33"/>
      <c r="O587" s="35"/>
      <c r="P587" s="33"/>
      <c r="Q587" s="33"/>
      <c r="R587" s="36"/>
    </row>
    <row r="588" spans="1:18">
      <c r="A588" s="3"/>
      <c r="B588" s="3"/>
      <c r="C588" s="3"/>
      <c r="D588" s="3"/>
      <c r="E588" s="35"/>
      <c r="F588" s="33"/>
      <c r="G588" s="33"/>
      <c r="H588" s="36"/>
      <c r="I588" s="33"/>
      <c r="J588" s="35"/>
      <c r="K588" s="33"/>
      <c r="L588" s="33"/>
      <c r="M588" s="36"/>
      <c r="N588" s="33"/>
      <c r="O588" s="35"/>
      <c r="P588" s="33"/>
      <c r="Q588" s="33"/>
      <c r="R588" s="36"/>
    </row>
    <row r="589" spans="1:18">
      <c r="A589" s="3"/>
      <c r="B589" s="3"/>
      <c r="C589" s="3"/>
      <c r="D589" s="3"/>
      <c r="E589" s="35"/>
      <c r="F589" s="33"/>
      <c r="G589" s="33"/>
      <c r="H589" s="36"/>
      <c r="I589" s="33"/>
      <c r="J589" s="35"/>
      <c r="K589" s="33"/>
      <c r="L589" s="33"/>
      <c r="M589" s="36"/>
      <c r="N589" s="33"/>
      <c r="O589" s="35"/>
      <c r="P589" s="33"/>
      <c r="Q589" s="33"/>
      <c r="R589" s="36"/>
    </row>
    <row r="590" spans="1:18">
      <c r="A590" s="3"/>
      <c r="B590" s="3"/>
      <c r="C590" s="3"/>
      <c r="D590" s="3"/>
      <c r="E590" s="35"/>
      <c r="F590" s="33"/>
      <c r="G590" s="33"/>
      <c r="H590" s="36"/>
      <c r="I590" s="33"/>
      <c r="J590" s="35"/>
      <c r="K590" s="33"/>
      <c r="L590" s="33"/>
      <c r="M590" s="36"/>
      <c r="N590" s="33"/>
      <c r="O590" s="35"/>
      <c r="P590" s="33"/>
      <c r="Q590" s="33"/>
      <c r="R590" s="36"/>
    </row>
    <row r="591" spans="1:18">
      <c r="A591" s="3"/>
      <c r="B591" s="3"/>
      <c r="C591" s="3"/>
      <c r="D591" s="3"/>
      <c r="E591" s="35"/>
      <c r="F591" s="33"/>
      <c r="G591" s="33"/>
      <c r="H591" s="36"/>
      <c r="I591" s="33"/>
      <c r="J591" s="35"/>
      <c r="K591" s="33"/>
      <c r="L591" s="33"/>
      <c r="M591" s="36"/>
      <c r="N591" s="33"/>
      <c r="O591" s="35"/>
      <c r="P591" s="33"/>
      <c r="Q591" s="33"/>
      <c r="R591" s="36"/>
    </row>
    <row r="592" spans="1:18">
      <c r="A592" s="3"/>
      <c r="B592" s="3"/>
      <c r="C592" s="3"/>
      <c r="D592" s="3"/>
      <c r="E592" s="35"/>
      <c r="F592" s="33"/>
      <c r="G592" s="33"/>
      <c r="H592" s="36"/>
      <c r="I592" s="33"/>
      <c r="J592" s="35"/>
      <c r="K592" s="33"/>
      <c r="L592" s="33"/>
      <c r="M592" s="36"/>
      <c r="N592" s="33"/>
      <c r="O592" s="35"/>
      <c r="P592" s="33"/>
      <c r="Q592" s="33"/>
      <c r="R592" s="36"/>
    </row>
  </sheetData>
  <mergeCells count="22">
    <mergeCell ref="O5:Q5"/>
    <mergeCell ref="A5:A7"/>
    <mergeCell ref="B5:B7"/>
    <mergeCell ref="C5:C7"/>
    <mergeCell ref="R5:R7"/>
    <mergeCell ref="L6:L7"/>
    <mergeCell ref="O6:O7"/>
    <mergeCell ref="Q6:Q7"/>
    <mergeCell ref="J6:J7"/>
    <mergeCell ref="I5:I7"/>
    <mergeCell ref="J5:L5"/>
    <mergeCell ref="M5:M7"/>
    <mergeCell ref="N5:N7"/>
    <mergeCell ref="P6:P7"/>
    <mergeCell ref="K6:K7"/>
    <mergeCell ref="F6:F7"/>
    <mergeCell ref="B3:H3"/>
    <mergeCell ref="D5:D7"/>
    <mergeCell ref="E5:G5"/>
    <mergeCell ref="H5:H7"/>
    <mergeCell ref="E6:E7"/>
    <mergeCell ref="G6:G7"/>
  </mergeCells>
  <phoneticPr fontId="27" type="noConversion"/>
  <pageMargins left="0.27559055118110237" right="0.19685039370078741" top="0.39370078740157483" bottom="0.35433070866141736" header="0.23622047244094491" footer="0.19685039370078741"/>
  <pageSetup paperSize="9" scale="60" orientation="landscape" r:id="rId1"/>
  <headerFooter alignWithMargins="0">
    <oddFooter>&amp;L&amp;F&amp;C&amp;P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rgb="FFFFC000"/>
  </sheetPr>
  <dimension ref="A1:R418"/>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C9" sqref="C9"/>
    </sheetView>
  </sheetViews>
  <sheetFormatPr defaultColWidth="9.109375" defaultRowHeight="10.199999999999999"/>
  <cols>
    <col min="1" max="1" width="11.44140625" style="21" bestFit="1" customWidth="1"/>
    <col min="2" max="2" width="40.33203125" style="1" customWidth="1"/>
    <col min="3" max="3" width="13" style="22" customWidth="1"/>
    <col min="4" max="4" width="12" style="295" customWidth="1"/>
    <col min="5" max="5" width="12" style="274" customWidth="1"/>
    <col min="6" max="7" width="11.44140625" style="544" customWidth="1"/>
    <col min="8" max="8" width="11.6640625" style="545" customWidth="1"/>
    <col min="9" max="9" width="11.44140625" style="544" customWidth="1"/>
    <col min="10" max="10" width="12" style="544" customWidth="1"/>
    <col min="11" max="12" width="11.44140625" style="544" customWidth="1"/>
    <col min="13" max="13" width="11.6640625" style="545" customWidth="1"/>
    <col min="14" max="14" width="11.44140625" style="544" customWidth="1"/>
    <col min="15" max="15" width="12" style="544" customWidth="1"/>
    <col min="16" max="17" width="11.44140625" style="544" customWidth="1"/>
    <col min="18" max="18" width="11.6640625" style="275" customWidth="1"/>
    <col min="19" max="16384" width="9.109375" style="3"/>
  </cols>
  <sheetData>
    <row r="1" spans="1:18" ht="13.2">
      <c r="A1" s="216"/>
      <c r="B1" s="216"/>
      <c r="C1" s="216"/>
      <c r="D1" s="216"/>
      <c r="E1" s="216"/>
      <c r="F1" s="536"/>
      <c r="G1" s="536"/>
      <c r="H1" s="537"/>
      <c r="I1" s="536"/>
      <c r="J1" s="536"/>
      <c r="K1" s="536"/>
      <c r="L1" s="536"/>
      <c r="M1" s="537"/>
      <c r="N1" s="536"/>
      <c r="O1" s="536"/>
      <c r="P1" s="536"/>
      <c r="Q1" s="536"/>
      <c r="R1" s="217"/>
    </row>
    <row r="2" spans="1:18" ht="13.2">
      <c r="A2" s="219"/>
      <c r="B2" s="1399"/>
      <c r="C2" s="1399"/>
      <c r="D2" s="1399"/>
      <c r="E2" s="1399"/>
      <c r="F2" s="1399"/>
      <c r="G2" s="1399"/>
      <c r="H2" s="1399"/>
      <c r="I2" s="538"/>
      <c r="J2" s="538"/>
      <c r="K2" s="538"/>
      <c r="L2" s="538"/>
      <c r="M2" s="539"/>
      <c r="N2" s="538"/>
      <c r="O2" s="538"/>
      <c r="P2" s="538"/>
      <c r="Q2" s="538"/>
      <c r="R2" s="220"/>
    </row>
    <row r="3" spans="1:18" s="1" customFormat="1" ht="12.75" customHeight="1">
      <c r="A3" s="221"/>
      <c r="B3" s="1400" t="s">
        <v>489</v>
      </c>
      <c r="C3" s="1400"/>
      <c r="D3" s="1400"/>
      <c r="E3" s="1400"/>
      <c r="F3" s="1400"/>
      <c r="G3" s="1400"/>
      <c r="H3" s="1400"/>
      <c r="I3" s="834"/>
      <c r="J3" s="834"/>
      <c r="K3" s="834"/>
      <c r="L3" s="834"/>
      <c r="M3" s="220"/>
      <c r="N3" s="834"/>
      <c r="O3" s="834"/>
      <c r="P3" s="834"/>
      <c r="Q3" s="834"/>
      <c r="R3" s="220"/>
    </row>
    <row r="4" spans="1:18" s="1" customFormat="1" ht="13.2">
      <c r="A4" s="221"/>
      <c r="B4" s="834"/>
      <c r="C4" s="222"/>
      <c r="D4" s="834"/>
      <c r="E4" s="834"/>
      <c r="F4" s="834"/>
      <c r="G4" s="834"/>
      <c r="H4" s="834"/>
      <c r="I4" s="834"/>
      <c r="J4" s="834"/>
      <c r="K4" s="834"/>
      <c r="L4" s="834"/>
      <c r="M4" s="834"/>
      <c r="N4" s="834"/>
      <c r="O4" s="834"/>
      <c r="P4" s="834"/>
      <c r="Q4" s="834"/>
      <c r="R4" s="834"/>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8"/>
      <c r="B9" s="392" t="s">
        <v>0</v>
      </c>
      <c r="C9" s="387"/>
      <c r="D9" s="393"/>
      <c r="E9" s="226"/>
      <c r="F9" s="365"/>
      <c r="G9" s="365"/>
      <c r="H9" s="365"/>
      <c r="I9" s="365"/>
      <c r="J9" s="365"/>
      <c r="K9" s="365"/>
      <c r="L9" s="365"/>
      <c r="M9" s="365"/>
      <c r="N9" s="365"/>
      <c r="O9" s="365"/>
      <c r="P9" s="365"/>
      <c r="Q9" s="365"/>
      <c r="R9" s="226"/>
    </row>
    <row r="10" spans="1:18" s="4" customFormat="1" ht="20.399999999999999">
      <c r="A10" s="129" t="s">
        <v>201</v>
      </c>
      <c r="B10" s="123" t="s">
        <v>88</v>
      </c>
      <c r="C10" s="167">
        <v>28628606</v>
      </c>
      <c r="D10" s="167">
        <v>28730616</v>
      </c>
      <c r="E10" s="228">
        <f>E11+E12+E14+E32</f>
        <v>0</v>
      </c>
      <c r="F10" s="228">
        <f>F11+F12+F14+F32</f>
        <v>3673642</v>
      </c>
      <c r="G10" s="228">
        <f>G11+G12+G14+G32</f>
        <v>1705301</v>
      </c>
      <c r="H10" s="243">
        <f t="shared" ref="H10:H73" si="0">SUM(D10:G10)</f>
        <v>34109559</v>
      </c>
      <c r="I10" s="228">
        <v>28577116</v>
      </c>
      <c r="J10" s="228">
        <f>J11+J12+J14+J32</f>
        <v>0</v>
      </c>
      <c r="K10" s="228">
        <f>K11+K12+K14+K32</f>
        <v>2845166</v>
      </c>
      <c r="L10" s="228">
        <f>L11+L12+L14+L32</f>
        <v>2126142</v>
      </c>
      <c r="M10" s="243">
        <f t="shared" ref="M10:M73" si="1">SUM(I10:L10)</f>
        <v>33548424</v>
      </c>
      <c r="N10" s="228">
        <v>28551924</v>
      </c>
      <c r="O10" s="228">
        <f>O11+O12+O14+O32</f>
        <v>0</v>
      </c>
      <c r="P10" s="228">
        <f>P11+P12+P14+P32</f>
        <v>2829032</v>
      </c>
      <c r="Q10" s="228">
        <f>Q11+Q12+Q14+Q32</f>
        <v>1729234</v>
      </c>
      <c r="R10" s="229">
        <f t="shared" ref="R10:R73" si="2">SUM(N10:Q10)</f>
        <v>33110190</v>
      </c>
    </row>
    <row r="11" spans="1:18" ht="22.8">
      <c r="A11" s="130" t="s">
        <v>177</v>
      </c>
      <c r="B11" s="124" t="s">
        <v>90</v>
      </c>
      <c r="C11" s="169">
        <v>456750</v>
      </c>
      <c r="D11" s="169">
        <v>456750</v>
      </c>
      <c r="E11" s="231"/>
      <c r="F11" s="231"/>
      <c r="G11" s="231"/>
      <c r="H11" s="233">
        <f t="shared" si="0"/>
        <v>456750</v>
      </c>
      <c r="I11" s="231">
        <v>456750</v>
      </c>
      <c r="J11" s="231"/>
      <c r="K11" s="231"/>
      <c r="L11" s="231"/>
      <c r="M11" s="233">
        <f t="shared" si="1"/>
        <v>456750</v>
      </c>
      <c r="N11" s="231">
        <v>456750</v>
      </c>
      <c r="O11" s="231"/>
      <c r="P11" s="231"/>
      <c r="Q11" s="231"/>
      <c r="R11" s="232">
        <f t="shared" si="2"/>
        <v>456750</v>
      </c>
    </row>
    <row r="12" spans="1:18" ht="12">
      <c r="A12" s="130" t="s">
        <v>91</v>
      </c>
      <c r="B12" s="124" t="s">
        <v>92</v>
      </c>
      <c r="C12" s="169">
        <v>790560</v>
      </c>
      <c r="D12" s="169">
        <v>790560</v>
      </c>
      <c r="E12" s="231">
        <f>SUM(E180)</f>
        <v>0</v>
      </c>
      <c r="F12" s="231"/>
      <c r="G12" s="231"/>
      <c r="H12" s="233">
        <f t="shared" si="0"/>
        <v>790560</v>
      </c>
      <c r="I12" s="231">
        <v>650000</v>
      </c>
      <c r="J12" s="231"/>
      <c r="K12" s="231"/>
      <c r="L12" s="231"/>
      <c r="M12" s="233">
        <f t="shared" si="1"/>
        <v>650000</v>
      </c>
      <c r="N12" s="231">
        <v>650000</v>
      </c>
      <c r="O12" s="231"/>
      <c r="P12" s="231"/>
      <c r="Q12" s="231"/>
      <c r="R12" s="232">
        <f t="shared" si="2"/>
        <v>650000</v>
      </c>
    </row>
    <row r="13" spans="1:18" ht="24" hidden="1" customHeight="1">
      <c r="A13" s="131">
        <v>21210</v>
      </c>
      <c r="B13" s="125" t="s">
        <v>93</v>
      </c>
      <c r="C13" s="169"/>
      <c r="D13" s="169">
        <v>0</v>
      </c>
      <c r="E13" s="231"/>
      <c r="F13" s="231"/>
      <c r="G13" s="231"/>
      <c r="H13" s="233">
        <f t="shared" si="0"/>
        <v>0</v>
      </c>
      <c r="I13" s="231">
        <v>0</v>
      </c>
      <c r="J13" s="231"/>
      <c r="K13" s="231"/>
      <c r="L13" s="231"/>
      <c r="M13" s="233">
        <f t="shared" si="1"/>
        <v>0</v>
      </c>
      <c r="N13" s="231">
        <v>0</v>
      </c>
      <c r="O13" s="231"/>
      <c r="P13" s="231"/>
      <c r="Q13" s="231"/>
      <c r="R13" s="232">
        <f t="shared" si="2"/>
        <v>0</v>
      </c>
    </row>
    <row r="14" spans="1:18" ht="21" hidden="1" customHeight="1">
      <c r="A14" s="130" t="s">
        <v>178</v>
      </c>
      <c r="B14" s="124" t="s">
        <v>94</v>
      </c>
      <c r="C14" s="171">
        <v>0</v>
      </c>
      <c r="D14" s="171">
        <v>0</v>
      </c>
      <c r="E14" s="233">
        <f>E15+E21</f>
        <v>0</v>
      </c>
      <c r="F14" s="233">
        <f>F15+F21</f>
        <v>0</v>
      </c>
      <c r="G14" s="233">
        <f>G15+G21</f>
        <v>0</v>
      </c>
      <c r="H14" s="233">
        <f t="shared" si="0"/>
        <v>0</v>
      </c>
      <c r="I14" s="233">
        <v>0</v>
      </c>
      <c r="J14" s="233">
        <f>J15+J21</f>
        <v>0</v>
      </c>
      <c r="K14" s="233">
        <f>K15+K21</f>
        <v>0</v>
      </c>
      <c r="L14" s="233">
        <f>L15+L21</f>
        <v>0</v>
      </c>
      <c r="M14" s="233">
        <f t="shared" si="1"/>
        <v>0</v>
      </c>
      <c r="N14" s="233">
        <v>0</v>
      </c>
      <c r="O14" s="233">
        <f>O15+O21</f>
        <v>0</v>
      </c>
      <c r="P14" s="233">
        <f>P15+P21</f>
        <v>0</v>
      </c>
      <c r="Q14" s="233">
        <f>Q15+Q21</f>
        <v>0</v>
      </c>
      <c r="R14" s="232">
        <f t="shared" si="2"/>
        <v>0</v>
      </c>
    </row>
    <row r="15" spans="1:18" ht="12" hidden="1" customHeight="1">
      <c r="A15" s="132">
        <v>18000</v>
      </c>
      <c r="B15" s="125" t="s">
        <v>95</v>
      </c>
      <c r="C15" s="171">
        <v>0</v>
      </c>
      <c r="D15" s="171">
        <v>0</v>
      </c>
      <c r="E15" s="233">
        <f t="shared" ref="E15:L16" si="3">E16</f>
        <v>0</v>
      </c>
      <c r="F15" s="233">
        <f t="shared" si="3"/>
        <v>0</v>
      </c>
      <c r="G15" s="233">
        <f t="shared" si="3"/>
        <v>0</v>
      </c>
      <c r="H15" s="233">
        <f t="shared" si="0"/>
        <v>0</v>
      </c>
      <c r="I15" s="233">
        <v>0</v>
      </c>
      <c r="J15" s="233">
        <f t="shared" si="3"/>
        <v>0</v>
      </c>
      <c r="K15" s="233">
        <f t="shared" si="3"/>
        <v>0</v>
      </c>
      <c r="L15" s="233">
        <f t="shared" si="3"/>
        <v>0</v>
      </c>
      <c r="M15" s="233">
        <f t="shared" si="1"/>
        <v>0</v>
      </c>
      <c r="N15" s="233">
        <v>0</v>
      </c>
      <c r="O15" s="233">
        <f t="shared" ref="O15:Q16" si="4">O16</f>
        <v>0</v>
      </c>
      <c r="P15" s="233">
        <f t="shared" si="4"/>
        <v>0</v>
      </c>
      <c r="Q15" s="233">
        <f t="shared" si="4"/>
        <v>0</v>
      </c>
      <c r="R15" s="232">
        <f t="shared" si="2"/>
        <v>0</v>
      </c>
    </row>
    <row r="16" spans="1:18" ht="12" hidden="1" customHeight="1">
      <c r="A16" s="132">
        <v>18100</v>
      </c>
      <c r="B16" s="125" t="s">
        <v>96</v>
      </c>
      <c r="C16" s="171">
        <v>0</v>
      </c>
      <c r="D16" s="171">
        <v>0</v>
      </c>
      <c r="E16" s="233">
        <f>E17</f>
        <v>0</v>
      </c>
      <c r="F16" s="233">
        <f t="shared" si="3"/>
        <v>0</v>
      </c>
      <c r="G16" s="233">
        <f t="shared" si="3"/>
        <v>0</v>
      </c>
      <c r="H16" s="233">
        <f t="shared" si="0"/>
        <v>0</v>
      </c>
      <c r="I16" s="233">
        <v>0</v>
      </c>
      <c r="J16" s="233">
        <f>J17</f>
        <v>0</v>
      </c>
      <c r="K16" s="233">
        <f t="shared" si="3"/>
        <v>0</v>
      </c>
      <c r="L16" s="233">
        <f t="shared" si="3"/>
        <v>0</v>
      </c>
      <c r="M16" s="233">
        <f t="shared" si="1"/>
        <v>0</v>
      </c>
      <c r="N16" s="233">
        <v>0</v>
      </c>
      <c r="O16" s="233">
        <f t="shared" si="4"/>
        <v>0</v>
      </c>
      <c r="P16" s="233">
        <f t="shared" si="4"/>
        <v>0</v>
      </c>
      <c r="Q16" s="233">
        <f t="shared" si="4"/>
        <v>0</v>
      </c>
      <c r="R16" s="232">
        <f t="shared" si="2"/>
        <v>0</v>
      </c>
    </row>
    <row r="17" spans="1:18" s="4" customFormat="1" ht="24" hidden="1" customHeight="1">
      <c r="A17" s="133">
        <v>18130</v>
      </c>
      <c r="B17" s="172" t="s">
        <v>159</v>
      </c>
      <c r="C17" s="171">
        <v>0</v>
      </c>
      <c r="D17" s="171">
        <v>0</v>
      </c>
      <c r="E17" s="233">
        <f>SUM(E18:E20)</f>
        <v>0</v>
      </c>
      <c r="F17" s="233">
        <f>SUM(F18:F20)</f>
        <v>0</v>
      </c>
      <c r="G17" s="233">
        <f>SUM(G18:G20)</f>
        <v>0</v>
      </c>
      <c r="H17" s="233">
        <f t="shared" si="0"/>
        <v>0</v>
      </c>
      <c r="I17" s="233">
        <v>0</v>
      </c>
      <c r="J17" s="233">
        <f>SUM(J18:J20)</f>
        <v>0</v>
      </c>
      <c r="K17" s="233">
        <f>SUM(K18:K20)</f>
        <v>0</v>
      </c>
      <c r="L17" s="233">
        <f>SUM(L18:L20)</f>
        <v>0</v>
      </c>
      <c r="M17" s="233">
        <f t="shared" si="1"/>
        <v>0</v>
      </c>
      <c r="N17" s="233">
        <v>0</v>
      </c>
      <c r="O17" s="233">
        <f>SUM(O18:O20)</f>
        <v>0</v>
      </c>
      <c r="P17" s="233">
        <f>SUM(P18:P20)</f>
        <v>0</v>
      </c>
      <c r="Q17" s="233">
        <f>SUM(Q18:Q20)</f>
        <v>0</v>
      </c>
      <c r="R17" s="232">
        <f t="shared" si="2"/>
        <v>0</v>
      </c>
    </row>
    <row r="18" spans="1:18" s="6" customFormat="1" ht="36" hidden="1" customHeight="1">
      <c r="A18" s="134">
        <v>18131</v>
      </c>
      <c r="B18" s="172" t="s">
        <v>160</v>
      </c>
      <c r="C18" s="171"/>
      <c r="D18" s="171">
        <v>0</v>
      </c>
      <c r="E18" s="233"/>
      <c r="F18" s="233"/>
      <c r="G18" s="233"/>
      <c r="H18" s="233">
        <f t="shared" si="0"/>
        <v>0</v>
      </c>
      <c r="I18" s="233">
        <v>0</v>
      </c>
      <c r="J18" s="233"/>
      <c r="K18" s="233"/>
      <c r="L18" s="233"/>
      <c r="M18" s="233">
        <f t="shared" si="1"/>
        <v>0</v>
      </c>
      <c r="N18" s="233">
        <v>0</v>
      </c>
      <c r="O18" s="233"/>
      <c r="P18" s="233"/>
      <c r="Q18" s="233"/>
      <c r="R18" s="232">
        <f t="shared" si="2"/>
        <v>0</v>
      </c>
    </row>
    <row r="19" spans="1:18" s="6" customFormat="1" ht="24" hidden="1" customHeight="1">
      <c r="A19" s="134">
        <v>18132</v>
      </c>
      <c r="B19" s="172" t="s">
        <v>169</v>
      </c>
      <c r="C19" s="171"/>
      <c r="D19" s="171">
        <v>0</v>
      </c>
      <c r="E19" s="233"/>
      <c r="F19" s="233"/>
      <c r="G19" s="233"/>
      <c r="H19" s="233">
        <f t="shared" si="0"/>
        <v>0</v>
      </c>
      <c r="I19" s="233">
        <v>0</v>
      </c>
      <c r="J19" s="233"/>
      <c r="K19" s="233"/>
      <c r="L19" s="233"/>
      <c r="M19" s="233">
        <f t="shared" si="1"/>
        <v>0</v>
      </c>
      <c r="N19" s="233">
        <v>0</v>
      </c>
      <c r="O19" s="233"/>
      <c r="P19" s="233"/>
      <c r="Q19" s="233"/>
      <c r="R19" s="232">
        <f t="shared" si="2"/>
        <v>0</v>
      </c>
    </row>
    <row r="20" spans="1:18" s="6" customFormat="1" ht="24" hidden="1" customHeight="1">
      <c r="A20" s="134">
        <v>18139</v>
      </c>
      <c r="B20" s="172" t="s">
        <v>179</v>
      </c>
      <c r="C20" s="171"/>
      <c r="D20" s="171">
        <v>0</v>
      </c>
      <c r="E20" s="233"/>
      <c r="F20" s="233"/>
      <c r="G20" s="233"/>
      <c r="H20" s="233">
        <f t="shared" si="0"/>
        <v>0</v>
      </c>
      <c r="I20" s="233">
        <v>0</v>
      </c>
      <c r="J20" s="233"/>
      <c r="K20" s="233"/>
      <c r="L20" s="233"/>
      <c r="M20" s="233">
        <f t="shared" si="1"/>
        <v>0</v>
      </c>
      <c r="N20" s="233">
        <v>0</v>
      </c>
      <c r="O20" s="233"/>
      <c r="P20" s="233"/>
      <c r="Q20" s="233"/>
      <c r="R20" s="232">
        <f t="shared" si="2"/>
        <v>0</v>
      </c>
    </row>
    <row r="21" spans="1:18" s="6" customFormat="1" ht="12" hidden="1" customHeight="1">
      <c r="A21" s="135" t="s">
        <v>180</v>
      </c>
      <c r="B21" s="173" t="s">
        <v>173</v>
      </c>
      <c r="C21" s="174">
        <v>0</v>
      </c>
      <c r="D21" s="174">
        <v>0</v>
      </c>
      <c r="E21" s="238">
        <f t="shared" ref="E21:L21" si="5">E22</f>
        <v>0</v>
      </c>
      <c r="F21" s="238">
        <f t="shared" si="5"/>
        <v>0</v>
      </c>
      <c r="G21" s="238">
        <f t="shared" si="5"/>
        <v>0</v>
      </c>
      <c r="H21" s="233">
        <f t="shared" si="0"/>
        <v>0</v>
      </c>
      <c r="I21" s="238">
        <v>0</v>
      </c>
      <c r="J21" s="238">
        <f t="shared" si="5"/>
        <v>0</v>
      </c>
      <c r="K21" s="238">
        <f t="shared" si="5"/>
        <v>0</v>
      </c>
      <c r="L21" s="238">
        <f t="shared" si="5"/>
        <v>0</v>
      </c>
      <c r="M21" s="233">
        <f t="shared" si="1"/>
        <v>0</v>
      </c>
      <c r="N21" s="238">
        <v>0</v>
      </c>
      <c r="O21" s="238">
        <f>O22</f>
        <v>0</v>
      </c>
      <c r="P21" s="238">
        <f>P22</f>
        <v>0</v>
      </c>
      <c r="Q21" s="238">
        <f>Q22</f>
        <v>0</v>
      </c>
      <c r="R21" s="232">
        <f t="shared" si="2"/>
        <v>0</v>
      </c>
    </row>
    <row r="22" spans="1:18" s="6" customFormat="1" ht="24" hidden="1" customHeight="1">
      <c r="A22" s="135">
        <v>19500</v>
      </c>
      <c r="B22" s="172" t="s">
        <v>174</v>
      </c>
      <c r="C22" s="171">
        <v>0</v>
      </c>
      <c r="D22" s="171">
        <v>0</v>
      </c>
      <c r="E22" s="233">
        <f>SUM(E23:E25)</f>
        <v>0</v>
      </c>
      <c r="F22" s="233">
        <f>SUM(F23:F25)</f>
        <v>0</v>
      </c>
      <c r="G22" s="233">
        <f>SUM(G23:G25)</f>
        <v>0</v>
      </c>
      <c r="H22" s="233">
        <f t="shared" si="0"/>
        <v>0</v>
      </c>
      <c r="I22" s="233">
        <v>0</v>
      </c>
      <c r="J22" s="233">
        <f>SUM(J23:J25)</f>
        <v>0</v>
      </c>
      <c r="K22" s="233">
        <f>SUM(K23:K25)</f>
        <v>0</v>
      </c>
      <c r="L22" s="233">
        <f>SUM(L23:L25)</f>
        <v>0</v>
      </c>
      <c r="M22" s="233">
        <f t="shared" si="1"/>
        <v>0</v>
      </c>
      <c r="N22" s="233">
        <v>0</v>
      </c>
      <c r="O22" s="233">
        <f>SUM(O23:O25)</f>
        <v>0</v>
      </c>
      <c r="P22" s="233">
        <f>SUM(P23:P25)</f>
        <v>0</v>
      </c>
      <c r="Q22" s="233">
        <f>SUM(Q23:Q25)</f>
        <v>0</v>
      </c>
      <c r="R22" s="232">
        <f t="shared" si="2"/>
        <v>0</v>
      </c>
    </row>
    <row r="23" spans="1:18" s="6" customFormat="1" ht="24" hidden="1" customHeight="1">
      <c r="A23" s="136">
        <v>19550</v>
      </c>
      <c r="B23" s="172" t="s">
        <v>175</v>
      </c>
      <c r="C23" s="171"/>
      <c r="D23" s="171">
        <v>0</v>
      </c>
      <c r="E23" s="233"/>
      <c r="F23" s="233"/>
      <c r="G23" s="233"/>
      <c r="H23" s="233">
        <f t="shared" si="0"/>
        <v>0</v>
      </c>
      <c r="I23" s="233">
        <v>0</v>
      </c>
      <c r="J23" s="233"/>
      <c r="K23" s="233"/>
      <c r="L23" s="233"/>
      <c r="M23" s="233">
        <f t="shared" si="1"/>
        <v>0</v>
      </c>
      <c r="N23" s="233">
        <v>0</v>
      </c>
      <c r="O23" s="233"/>
      <c r="P23" s="233"/>
      <c r="Q23" s="233"/>
      <c r="R23" s="232">
        <f t="shared" si="2"/>
        <v>0</v>
      </c>
    </row>
    <row r="24" spans="1:18" s="6" customFormat="1" ht="36" hidden="1" customHeight="1">
      <c r="A24" s="136">
        <v>19560</v>
      </c>
      <c r="B24" s="172" t="s">
        <v>181</v>
      </c>
      <c r="C24" s="171"/>
      <c r="D24" s="171">
        <v>0</v>
      </c>
      <c r="E24" s="233"/>
      <c r="F24" s="233"/>
      <c r="G24" s="233"/>
      <c r="H24" s="233">
        <f t="shared" si="0"/>
        <v>0</v>
      </c>
      <c r="I24" s="233">
        <v>0</v>
      </c>
      <c r="J24" s="233"/>
      <c r="K24" s="233"/>
      <c r="L24" s="233"/>
      <c r="M24" s="233">
        <f t="shared" si="1"/>
        <v>0</v>
      </c>
      <c r="N24" s="233">
        <v>0</v>
      </c>
      <c r="O24" s="233"/>
      <c r="P24" s="233"/>
      <c r="Q24" s="233"/>
      <c r="R24" s="232">
        <f t="shared" si="2"/>
        <v>0</v>
      </c>
    </row>
    <row r="25" spans="1:18" s="6" customFormat="1" ht="72" hidden="1" customHeight="1">
      <c r="A25" s="136">
        <v>19570</v>
      </c>
      <c r="B25" s="172" t="s">
        <v>182</v>
      </c>
      <c r="C25" s="171"/>
      <c r="D25" s="171">
        <v>0</v>
      </c>
      <c r="E25" s="233"/>
      <c r="F25" s="233"/>
      <c r="G25" s="233"/>
      <c r="H25" s="233">
        <f t="shared" si="0"/>
        <v>0</v>
      </c>
      <c r="I25" s="233">
        <v>0</v>
      </c>
      <c r="J25" s="233"/>
      <c r="K25" s="233"/>
      <c r="L25" s="233"/>
      <c r="M25" s="233">
        <f t="shared" si="1"/>
        <v>0</v>
      </c>
      <c r="N25" s="233">
        <v>0</v>
      </c>
      <c r="O25" s="233"/>
      <c r="P25" s="233"/>
      <c r="Q25" s="233"/>
      <c r="R25" s="232">
        <f t="shared" si="2"/>
        <v>0</v>
      </c>
    </row>
    <row r="26" spans="1:18" s="6" customFormat="1" ht="24" hidden="1" customHeight="1">
      <c r="A26" s="209" t="s">
        <v>222</v>
      </c>
      <c r="B26" s="208" t="s">
        <v>216</v>
      </c>
      <c r="C26" s="106">
        <f>C27</f>
        <v>0</v>
      </c>
      <c r="D26" s="107">
        <v>0</v>
      </c>
      <c r="E26" s="232">
        <f t="shared" ref="E26:L26" si="6">E27</f>
        <v>0</v>
      </c>
      <c r="F26" s="233">
        <f t="shared" si="6"/>
        <v>0</v>
      </c>
      <c r="G26" s="233">
        <f t="shared" si="6"/>
        <v>0</v>
      </c>
      <c r="H26" s="233">
        <f t="shared" si="0"/>
        <v>0</v>
      </c>
      <c r="I26" s="233">
        <v>0</v>
      </c>
      <c r="J26" s="233">
        <f t="shared" si="6"/>
        <v>0</v>
      </c>
      <c r="K26" s="233">
        <f t="shared" si="6"/>
        <v>0</v>
      </c>
      <c r="L26" s="233">
        <f t="shared" si="6"/>
        <v>0</v>
      </c>
      <c r="M26" s="233">
        <f t="shared" si="1"/>
        <v>0</v>
      </c>
      <c r="N26" s="233">
        <v>0</v>
      </c>
      <c r="O26" s="233">
        <f>O27</f>
        <v>0</v>
      </c>
      <c r="P26" s="233">
        <f>P27</f>
        <v>0</v>
      </c>
      <c r="Q26" s="233">
        <f>Q27</f>
        <v>0</v>
      </c>
      <c r="R26" s="232">
        <f t="shared" si="2"/>
        <v>0</v>
      </c>
    </row>
    <row r="27" spans="1:18" s="6" customFormat="1" ht="36" hidden="1" customHeight="1">
      <c r="A27" s="209">
        <v>17100</v>
      </c>
      <c r="B27" s="208" t="s">
        <v>217</v>
      </c>
      <c r="C27" s="106">
        <f>SUM(C28:C31)</f>
        <v>0</v>
      </c>
      <c r="D27" s="107">
        <v>0</v>
      </c>
      <c r="E27" s="232">
        <f>SUM(E28:E31)</f>
        <v>0</v>
      </c>
      <c r="F27" s="233">
        <f>SUM(F28:F31)</f>
        <v>0</v>
      </c>
      <c r="G27" s="233">
        <f>SUM(G28:G31)</f>
        <v>0</v>
      </c>
      <c r="H27" s="233">
        <f t="shared" si="0"/>
        <v>0</v>
      </c>
      <c r="I27" s="233">
        <v>0</v>
      </c>
      <c r="J27" s="233">
        <f>SUM(J28:J31)</f>
        <v>0</v>
      </c>
      <c r="K27" s="233">
        <f>SUM(K28:K31)</f>
        <v>0</v>
      </c>
      <c r="L27" s="233">
        <f>SUM(L28:L31)</f>
        <v>0</v>
      </c>
      <c r="M27" s="233">
        <f t="shared" si="1"/>
        <v>0</v>
      </c>
      <c r="N27" s="233">
        <v>0</v>
      </c>
      <c r="O27" s="233">
        <f>SUM(O28:O31)</f>
        <v>0</v>
      </c>
      <c r="P27" s="233">
        <f>SUM(P28:P31)</f>
        <v>0</v>
      </c>
      <c r="Q27" s="233">
        <f>SUM(Q28:Q31)</f>
        <v>0</v>
      </c>
      <c r="R27" s="232">
        <f t="shared" si="2"/>
        <v>0</v>
      </c>
    </row>
    <row r="28" spans="1:18" s="6" customFormat="1" ht="48" hidden="1" customHeight="1">
      <c r="A28" s="149">
        <v>17110</v>
      </c>
      <c r="B28" s="208" t="s">
        <v>218</v>
      </c>
      <c r="C28" s="106"/>
      <c r="D28" s="107">
        <v>0</v>
      </c>
      <c r="E28" s="233"/>
      <c r="F28" s="233"/>
      <c r="G28" s="233"/>
      <c r="H28" s="233">
        <f t="shared" si="0"/>
        <v>0</v>
      </c>
      <c r="I28" s="233">
        <v>0</v>
      </c>
      <c r="J28" s="233"/>
      <c r="K28" s="233"/>
      <c r="L28" s="233"/>
      <c r="M28" s="233">
        <f t="shared" si="1"/>
        <v>0</v>
      </c>
      <c r="N28" s="233">
        <v>0</v>
      </c>
      <c r="O28" s="233"/>
      <c r="P28" s="233"/>
      <c r="Q28" s="233"/>
      <c r="R28" s="232">
        <f t="shared" si="2"/>
        <v>0</v>
      </c>
    </row>
    <row r="29" spans="1:18" s="6" customFormat="1" ht="48" hidden="1" customHeight="1">
      <c r="A29" s="149">
        <v>17120</v>
      </c>
      <c r="B29" s="208" t="s">
        <v>219</v>
      </c>
      <c r="C29" s="106"/>
      <c r="D29" s="107">
        <v>0</v>
      </c>
      <c r="E29" s="233"/>
      <c r="F29" s="233"/>
      <c r="G29" s="233"/>
      <c r="H29" s="233">
        <f t="shared" si="0"/>
        <v>0</v>
      </c>
      <c r="I29" s="233">
        <v>0</v>
      </c>
      <c r="J29" s="233"/>
      <c r="K29" s="233"/>
      <c r="L29" s="233"/>
      <c r="M29" s="233">
        <f t="shared" si="1"/>
        <v>0</v>
      </c>
      <c r="N29" s="233">
        <v>0</v>
      </c>
      <c r="O29" s="233"/>
      <c r="P29" s="233"/>
      <c r="Q29" s="233"/>
      <c r="R29" s="232">
        <f t="shared" si="2"/>
        <v>0</v>
      </c>
    </row>
    <row r="30" spans="1:18" s="6" customFormat="1" ht="96" hidden="1" customHeight="1">
      <c r="A30" s="149">
        <v>17130</v>
      </c>
      <c r="B30" s="208" t="s">
        <v>220</v>
      </c>
      <c r="C30" s="106"/>
      <c r="D30" s="107">
        <v>0</v>
      </c>
      <c r="E30" s="233"/>
      <c r="F30" s="233"/>
      <c r="G30" s="233"/>
      <c r="H30" s="233">
        <f t="shared" si="0"/>
        <v>0</v>
      </c>
      <c r="I30" s="233">
        <v>0</v>
      </c>
      <c r="J30" s="233"/>
      <c r="K30" s="233"/>
      <c r="L30" s="233"/>
      <c r="M30" s="233">
        <f t="shared" si="1"/>
        <v>0</v>
      </c>
      <c r="N30" s="233">
        <v>0</v>
      </c>
      <c r="O30" s="233"/>
      <c r="P30" s="233"/>
      <c r="Q30" s="233"/>
      <c r="R30" s="232">
        <f t="shared" si="2"/>
        <v>0</v>
      </c>
    </row>
    <row r="31" spans="1:18" s="6" customFormat="1" ht="96" hidden="1" customHeight="1">
      <c r="A31" s="149">
        <v>17140</v>
      </c>
      <c r="B31" s="208" t="s">
        <v>221</v>
      </c>
      <c r="C31" s="106"/>
      <c r="D31" s="107">
        <v>0</v>
      </c>
      <c r="E31" s="233"/>
      <c r="F31" s="233"/>
      <c r="G31" s="233"/>
      <c r="H31" s="233">
        <f t="shared" si="0"/>
        <v>0</v>
      </c>
      <c r="I31" s="233">
        <v>0</v>
      </c>
      <c r="J31" s="233"/>
      <c r="K31" s="233"/>
      <c r="L31" s="233"/>
      <c r="M31" s="233">
        <f t="shared" si="1"/>
        <v>0</v>
      </c>
      <c r="N31" s="233">
        <v>0</v>
      </c>
      <c r="O31" s="233"/>
      <c r="P31" s="233"/>
      <c r="Q31" s="233"/>
      <c r="R31" s="232">
        <f t="shared" si="2"/>
        <v>0</v>
      </c>
    </row>
    <row r="32" spans="1:18" s="6" customFormat="1" ht="12">
      <c r="A32" s="137">
        <v>21700</v>
      </c>
      <c r="B32" s="124" t="s">
        <v>97</v>
      </c>
      <c r="C32" s="170">
        <v>27381296</v>
      </c>
      <c r="D32" s="171">
        <v>27483306</v>
      </c>
      <c r="E32" s="233">
        <f>E33+E34</f>
        <v>0</v>
      </c>
      <c r="F32" s="233">
        <f>F33+F34</f>
        <v>3673642</v>
      </c>
      <c r="G32" s="233">
        <f>G33+G34</f>
        <v>1705301</v>
      </c>
      <c r="H32" s="233">
        <f t="shared" si="0"/>
        <v>32862249</v>
      </c>
      <c r="I32" s="233">
        <v>27470366</v>
      </c>
      <c r="J32" s="233">
        <f>J33+J34</f>
        <v>0</v>
      </c>
      <c r="K32" s="233">
        <f>K33+K34</f>
        <v>2845166</v>
      </c>
      <c r="L32" s="233">
        <f>L33+L34</f>
        <v>2126142</v>
      </c>
      <c r="M32" s="233">
        <f t="shared" si="1"/>
        <v>32441674</v>
      </c>
      <c r="N32" s="233">
        <v>27445174</v>
      </c>
      <c r="O32" s="233">
        <f>O33+O34</f>
        <v>0</v>
      </c>
      <c r="P32" s="233">
        <f>P33+P34</f>
        <v>2829032</v>
      </c>
      <c r="Q32" s="233">
        <f>Q33+Q34</f>
        <v>1729234</v>
      </c>
      <c r="R32" s="232">
        <f t="shared" si="2"/>
        <v>32003440</v>
      </c>
    </row>
    <row r="33" spans="1:18" s="6" customFormat="1" ht="24">
      <c r="A33" s="138">
        <v>21710</v>
      </c>
      <c r="B33" s="125" t="s">
        <v>98</v>
      </c>
      <c r="C33" s="170">
        <v>27381296</v>
      </c>
      <c r="D33" s="171">
        <v>27483306</v>
      </c>
      <c r="E33" s="233"/>
      <c r="F33" s="233">
        <f>F35</f>
        <v>3673642</v>
      </c>
      <c r="G33" s="233">
        <f>G35</f>
        <v>1705301</v>
      </c>
      <c r="H33" s="233">
        <f t="shared" si="0"/>
        <v>32862249</v>
      </c>
      <c r="I33" s="233">
        <v>27470366</v>
      </c>
      <c r="J33" s="233"/>
      <c r="K33" s="233">
        <f>K35</f>
        <v>2845166</v>
      </c>
      <c r="L33" s="233">
        <f>L35</f>
        <v>2126142</v>
      </c>
      <c r="M33" s="233">
        <f t="shared" si="1"/>
        <v>32441674</v>
      </c>
      <c r="N33" s="233">
        <v>27445174</v>
      </c>
      <c r="O33" s="233"/>
      <c r="P33" s="233">
        <f>P35</f>
        <v>2829032</v>
      </c>
      <c r="Q33" s="233">
        <f>Q35</f>
        <v>1729234</v>
      </c>
      <c r="R33" s="232">
        <f t="shared" si="2"/>
        <v>32003440</v>
      </c>
    </row>
    <row r="34" spans="1:18" s="6" customFormat="1" ht="24" hidden="1" customHeight="1">
      <c r="A34" s="138">
        <v>21720</v>
      </c>
      <c r="B34" s="125" t="s">
        <v>99</v>
      </c>
      <c r="C34" s="170"/>
      <c r="D34" s="171">
        <v>0</v>
      </c>
      <c r="E34" s="233"/>
      <c r="F34" s="233"/>
      <c r="G34" s="233"/>
      <c r="H34" s="233">
        <f t="shared" si="0"/>
        <v>0</v>
      </c>
      <c r="I34" s="233">
        <v>0</v>
      </c>
      <c r="J34" s="233"/>
      <c r="K34" s="233"/>
      <c r="L34" s="233"/>
      <c r="M34" s="233">
        <f t="shared" si="1"/>
        <v>0</v>
      </c>
      <c r="N34" s="233">
        <v>0</v>
      </c>
      <c r="O34" s="233"/>
      <c r="P34" s="233"/>
      <c r="Q34" s="233"/>
      <c r="R34" s="232">
        <f t="shared" si="2"/>
        <v>0</v>
      </c>
    </row>
    <row r="35" spans="1:18" s="6" customFormat="1" ht="11.4">
      <c r="A35" s="129" t="s">
        <v>100</v>
      </c>
      <c r="B35" s="123" t="s">
        <v>101</v>
      </c>
      <c r="C35" s="168">
        <v>28760306</v>
      </c>
      <c r="D35" s="175">
        <v>28730616</v>
      </c>
      <c r="E35" s="243">
        <f>E36+E63</f>
        <v>0</v>
      </c>
      <c r="F35" s="243">
        <f>F36+F63</f>
        <v>3673642</v>
      </c>
      <c r="G35" s="243">
        <f>G36+G63</f>
        <v>1705301</v>
      </c>
      <c r="H35" s="243">
        <f t="shared" si="0"/>
        <v>34109559</v>
      </c>
      <c r="I35" s="243">
        <v>28577116</v>
      </c>
      <c r="J35" s="243">
        <f>J36+J63</f>
        <v>0</v>
      </c>
      <c r="K35" s="243">
        <f>K36+K63</f>
        <v>2845166</v>
      </c>
      <c r="L35" s="243">
        <f>L36+L63</f>
        <v>2126142</v>
      </c>
      <c r="M35" s="243">
        <f t="shared" si="1"/>
        <v>33548424</v>
      </c>
      <c r="N35" s="243">
        <v>28551924</v>
      </c>
      <c r="O35" s="243">
        <f>O36+O63</f>
        <v>0</v>
      </c>
      <c r="P35" s="243">
        <f>P36+P63</f>
        <v>2829032</v>
      </c>
      <c r="Q35" s="243">
        <f>Q36+Q63</f>
        <v>1729234</v>
      </c>
      <c r="R35" s="229">
        <f t="shared" si="2"/>
        <v>33110190</v>
      </c>
    </row>
    <row r="36" spans="1:18" s="6" customFormat="1" ht="20.399999999999999">
      <c r="A36" s="130" t="s">
        <v>102</v>
      </c>
      <c r="B36" s="124" t="s">
        <v>103</v>
      </c>
      <c r="C36" s="170">
        <v>28327716</v>
      </c>
      <c r="D36" s="171">
        <v>28675616</v>
      </c>
      <c r="E36" s="233">
        <f>E37+E41+E42+E45+E48</f>
        <v>-20000</v>
      </c>
      <c r="F36" s="233">
        <f>F37+F41+F42+F45+F48</f>
        <v>3264156</v>
      </c>
      <c r="G36" s="233">
        <f>G37+G41+G42+G45+G48</f>
        <v>1633601</v>
      </c>
      <c r="H36" s="233">
        <f t="shared" si="0"/>
        <v>33553373</v>
      </c>
      <c r="I36" s="233">
        <v>28522116</v>
      </c>
      <c r="J36" s="233">
        <f>J37+J41+J42+J45+J48</f>
        <v>-20000</v>
      </c>
      <c r="K36" s="233">
        <f>K37+K41+K42+K45+K48</f>
        <v>2845166</v>
      </c>
      <c r="L36" s="233">
        <f>L37+L41+L42+L45+L48</f>
        <v>2100062</v>
      </c>
      <c r="M36" s="233">
        <f t="shared" si="1"/>
        <v>33447344</v>
      </c>
      <c r="N36" s="233">
        <v>28496924</v>
      </c>
      <c r="O36" s="233">
        <f>O37+O41+O42+O45+O48</f>
        <v>-20000</v>
      </c>
      <c r="P36" s="233">
        <f>P37+P41+P42+P45+P48</f>
        <v>2829032</v>
      </c>
      <c r="Q36" s="233">
        <f>Q37+Q41+Q42+Q45+Q48</f>
        <v>1729234</v>
      </c>
      <c r="R36" s="232">
        <f t="shared" si="2"/>
        <v>33035190</v>
      </c>
    </row>
    <row r="37" spans="1:18" s="6" customFormat="1" ht="12">
      <c r="A37" s="130" t="s">
        <v>104</v>
      </c>
      <c r="B37" s="124" t="s">
        <v>105</v>
      </c>
      <c r="C37" s="170">
        <v>25028141</v>
      </c>
      <c r="D37" s="171">
        <v>24915441</v>
      </c>
      <c r="E37" s="233">
        <f>E38+E40</f>
        <v>-20000</v>
      </c>
      <c r="F37" s="233">
        <f>F38+F40</f>
        <v>3259156</v>
      </c>
      <c r="G37" s="233">
        <f>G38+G40</f>
        <v>1563601</v>
      </c>
      <c r="H37" s="233">
        <f t="shared" si="0"/>
        <v>29718198</v>
      </c>
      <c r="I37" s="233">
        <v>24761941</v>
      </c>
      <c r="J37" s="233">
        <f>J38+J40</f>
        <v>-20000</v>
      </c>
      <c r="K37" s="233">
        <f>K38+K40</f>
        <v>2840166</v>
      </c>
      <c r="L37" s="233">
        <f>L38+L40</f>
        <v>2050062</v>
      </c>
      <c r="M37" s="233">
        <f t="shared" si="1"/>
        <v>29632169</v>
      </c>
      <c r="N37" s="233">
        <v>24736749</v>
      </c>
      <c r="O37" s="233">
        <f>O38+O40</f>
        <v>-20000</v>
      </c>
      <c r="P37" s="233">
        <f>P38+P40</f>
        <v>2824032</v>
      </c>
      <c r="Q37" s="233">
        <f>Q38+Q40</f>
        <v>1679234</v>
      </c>
      <c r="R37" s="232">
        <f t="shared" si="2"/>
        <v>29220015</v>
      </c>
    </row>
    <row r="38" spans="1:18" s="6" customFormat="1" ht="12">
      <c r="A38" s="132">
        <v>1000</v>
      </c>
      <c r="B38" s="125" t="s">
        <v>106</v>
      </c>
      <c r="C38" s="170">
        <v>11846117</v>
      </c>
      <c r="D38" s="171">
        <v>11944603</v>
      </c>
      <c r="E38" s="244"/>
      <c r="F38" s="233">
        <f t="shared" ref="F38:G40" si="7">F122</f>
        <v>1381751</v>
      </c>
      <c r="G38" s="233">
        <f t="shared" si="7"/>
        <v>1171522</v>
      </c>
      <c r="H38" s="233">
        <f t="shared" si="0"/>
        <v>14497876</v>
      </c>
      <c r="I38" s="233">
        <v>11944603</v>
      </c>
      <c r="J38" s="233"/>
      <c r="K38" s="233">
        <f t="shared" ref="K38:L40" si="8">K122</f>
        <v>1787295</v>
      </c>
      <c r="L38" s="233">
        <f t="shared" si="8"/>
        <v>1523674</v>
      </c>
      <c r="M38" s="233">
        <f t="shared" si="1"/>
        <v>15255572</v>
      </c>
      <c r="N38" s="233">
        <v>11944603</v>
      </c>
      <c r="O38" s="233"/>
      <c r="P38" s="233">
        <f t="shared" ref="P38:Q40" si="9">P122</f>
        <v>1742998</v>
      </c>
      <c r="Q38" s="233">
        <f t="shared" si="9"/>
        <v>1505577</v>
      </c>
      <c r="R38" s="232">
        <f t="shared" si="2"/>
        <v>15193178</v>
      </c>
    </row>
    <row r="39" spans="1:18" s="6" customFormat="1" ht="12">
      <c r="A39" s="139">
        <v>1100</v>
      </c>
      <c r="B39" s="125" t="s">
        <v>107</v>
      </c>
      <c r="C39" s="170">
        <v>6664698</v>
      </c>
      <c r="D39" s="171">
        <v>6828253</v>
      </c>
      <c r="E39" s="233">
        <f>SUM(E123)</f>
        <v>71508</v>
      </c>
      <c r="F39" s="233">
        <f t="shared" si="7"/>
        <v>424586</v>
      </c>
      <c r="G39" s="233">
        <f t="shared" si="7"/>
        <v>421935</v>
      </c>
      <c r="H39" s="233">
        <f t="shared" si="0"/>
        <v>7746282</v>
      </c>
      <c r="I39" s="233">
        <v>6828253</v>
      </c>
      <c r="J39" s="233">
        <f>SUM(J123)</f>
        <v>71508</v>
      </c>
      <c r="K39" s="233">
        <f t="shared" si="8"/>
        <v>595383</v>
      </c>
      <c r="L39" s="233">
        <f t="shared" si="8"/>
        <v>665253</v>
      </c>
      <c r="M39" s="233">
        <f t="shared" si="1"/>
        <v>8160397</v>
      </c>
      <c r="N39" s="233">
        <v>6828253</v>
      </c>
      <c r="O39" s="233">
        <f>SUM(O123)</f>
        <v>71508</v>
      </c>
      <c r="P39" s="233">
        <f t="shared" si="9"/>
        <v>578317</v>
      </c>
      <c r="Q39" s="233">
        <f t="shared" si="9"/>
        <v>650669</v>
      </c>
      <c r="R39" s="232">
        <f t="shared" si="2"/>
        <v>8128747</v>
      </c>
    </row>
    <row r="40" spans="1:18" s="6" customFormat="1" ht="12">
      <c r="A40" s="132">
        <v>2000</v>
      </c>
      <c r="B40" s="125" t="s">
        <v>108</v>
      </c>
      <c r="C40" s="170">
        <v>13182024</v>
      </c>
      <c r="D40" s="171">
        <v>12970838</v>
      </c>
      <c r="E40" s="233">
        <f>SUM(E208+E124)</f>
        <v>-20000</v>
      </c>
      <c r="F40" s="233">
        <f t="shared" si="7"/>
        <v>1877405</v>
      </c>
      <c r="G40" s="233">
        <f t="shared" si="7"/>
        <v>392079</v>
      </c>
      <c r="H40" s="233">
        <f t="shared" si="0"/>
        <v>15220322</v>
      </c>
      <c r="I40" s="233">
        <v>12817338</v>
      </c>
      <c r="J40" s="233">
        <f>SUM(J208+J124)</f>
        <v>-20000</v>
      </c>
      <c r="K40" s="233">
        <f t="shared" si="8"/>
        <v>1052871</v>
      </c>
      <c r="L40" s="233">
        <f t="shared" si="8"/>
        <v>526388</v>
      </c>
      <c r="M40" s="233">
        <f t="shared" si="1"/>
        <v>14376597</v>
      </c>
      <c r="N40" s="233">
        <v>12792146</v>
      </c>
      <c r="O40" s="233">
        <f>SUM(O208+O124)</f>
        <v>-20000</v>
      </c>
      <c r="P40" s="233">
        <f t="shared" si="9"/>
        <v>1081034</v>
      </c>
      <c r="Q40" s="233">
        <f t="shared" si="9"/>
        <v>173657</v>
      </c>
      <c r="R40" s="232">
        <f t="shared" si="2"/>
        <v>14026837</v>
      </c>
    </row>
    <row r="41" spans="1:18" s="6" customFormat="1" ht="12">
      <c r="A41" s="140">
        <v>4000</v>
      </c>
      <c r="B41" s="124" t="s">
        <v>132</v>
      </c>
      <c r="C41" s="170"/>
      <c r="D41" s="171">
        <v>0</v>
      </c>
      <c r="E41" s="244"/>
      <c r="F41" s="233"/>
      <c r="G41" s="233"/>
      <c r="H41" s="233">
        <f t="shared" si="0"/>
        <v>0</v>
      </c>
      <c r="I41" s="233">
        <v>0</v>
      </c>
      <c r="J41" s="233"/>
      <c r="K41" s="233"/>
      <c r="L41" s="233"/>
      <c r="M41" s="233">
        <f t="shared" si="1"/>
        <v>0</v>
      </c>
      <c r="N41" s="233">
        <v>0</v>
      </c>
      <c r="O41" s="233"/>
      <c r="P41" s="233"/>
      <c r="Q41" s="233"/>
      <c r="R41" s="232">
        <f t="shared" si="2"/>
        <v>0</v>
      </c>
    </row>
    <row r="42" spans="1:18" s="6" customFormat="1" ht="12">
      <c r="A42" s="140" t="s">
        <v>109</v>
      </c>
      <c r="B42" s="124" t="s">
        <v>110</v>
      </c>
      <c r="C42" s="170">
        <v>1055</v>
      </c>
      <c r="D42" s="171">
        <v>1055</v>
      </c>
      <c r="E42" s="233">
        <f>E43+E44</f>
        <v>0</v>
      </c>
      <c r="F42" s="233">
        <f>F43+F44</f>
        <v>5000</v>
      </c>
      <c r="G42" s="233">
        <f>G43+G44</f>
        <v>50000</v>
      </c>
      <c r="H42" s="233">
        <f t="shared" si="0"/>
        <v>56055</v>
      </c>
      <c r="I42" s="233">
        <v>1055</v>
      </c>
      <c r="J42" s="233">
        <f>J43+J44</f>
        <v>0</v>
      </c>
      <c r="K42" s="233">
        <f>K43+K44</f>
        <v>5000</v>
      </c>
      <c r="L42" s="233">
        <f>L43+L44</f>
        <v>50000</v>
      </c>
      <c r="M42" s="233">
        <f t="shared" si="1"/>
        <v>56055</v>
      </c>
      <c r="N42" s="233">
        <v>1055</v>
      </c>
      <c r="O42" s="233">
        <f>O43+O44</f>
        <v>0</v>
      </c>
      <c r="P42" s="233">
        <f>P43+P44</f>
        <v>5000</v>
      </c>
      <c r="Q42" s="233">
        <f>Q43+Q44</f>
        <v>50000</v>
      </c>
      <c r="R42" s="232">
        <f t="shared" si="2"/>
        <v>56055</v>
      </c>
    </row>
    <row r="43" spans="1:18" s="6" customFormat="1" ht="12">
      <c r="A43" s="132">
        <v>3000</v>
      </c>
      <c r="B43" s="125" t="s">
        <v>111</v>
      </c>
      <c r="C43" s="202"/>
      <c r="D43" s="213">
        <v>0</v>
      </c>
      <c r="E43" s="246"/>
      <c r="F43" s="345">
        <f>F127</f>
        <v>5000</v>
      </c>
      <c r="G43" s="345"/>
      <c r="H43" s="233">
        <f t="shared" si="0"/>
        <v>5000</v>
      </c>
      <c r="I43" s="345">
        <v>0</v>
      </c>
      <c r="J43" s="345"/>
      <c r="K43" s="345">
        <f>K127</f>
        <v>5000</v>
      </c>
      <c r="L43" s="345"/>
      <c r="M43" s="233">
        <f t="shared" si="1"/>
        <v>5000</v>
      </c>
      <c r="N43" s="345">
        <v>0</v>
      </c>
      <c r="O43" s="345"/>
      <c r="P43" s="345">
        <f>P127</f>
        <v>5000</v>
      </c>
      <c r="Q43" s="345"/>
      <c r="R43" s="232">
        <f t="shared" si="2"/>
        <v>5000</v>
      </c>
    </row>
    <row r="44" spans="1:18" s="6" customFormat="1" ht="12">
      <c r="A44" s="132">
        <v>6000</v>
      </c>
      <c r="B44" s="125" t="s">
        <v>112</v>
      </c>
      <c r="C44" s="203">
        <v>1055</v>
      </c>
      <c r="D44" s="287">
        <v>1055</v>
      </c>
      <c r="E44" s="248"/>
      <c r="F44" s="346"/>
      <c r="G44" s="346">
        <f>SUM(G128)</f>
        <v>50000</v>
      </c>
      <c r="H44" s="233">
        <f t="shared" si="0"/>
        <v>51055</v>
      </c>
      <c r="I44" s="346">
        <v>1055</v>
      </c>
      <c r="J44" s="346"/>
      <c r="K44" s="346"/>
      <c r="L44" s="346">
        <f>SUM(L128)</f>
        <v>50000</v>
      </c>
      <c r="M44" s="233">
        <f t="shared" si="1"/>
        <v>51055</v>
      </c>
      <c r="N44" s="346">
        <v>1055</v>
      </c>
      <c r="O44" s="346"/>
      <c r="P44" s="346"/>
      <c r="Q44" s="346">
        <f>SUM(Q128)</f>
        <v>50000</v>
      </c>
      <c r="R44" s="232">
        <f t="shared" si="2"/>
        <v>51055</v>
      </c>
    </row>
    <row r="45" spans="1:18" s="6" customFormat="1" ht="22.8">
      <c r="A45" s="140" t="s">
        <v>113</v>
      </c>
      <c r="B45" s="124" t="s">
        <v>183</v>
      </c>
      <c r="C45" s="170">
        <v>3290000</v>
      </c>
      <c r="D45" s="171">
        <v>3750600</v>
      </c>
      <c r="E45" s="233">
        <f>E46+E47</f>
        <v>0</v>
      </c>
      <c r="F45" s="233">
        <f>F46+F47</f>
        <v>0</v>
      </c>
      <c r="G45" s="233">
        <f>G46+G47</f>
        <v>0</v>
      </c>
      <c r="H45" s="233">
        <f t="shared" si="0"/>
        <v>3750600</v>
      </c>
      <c r="I45" s="233">
        <v>3750600</v>
      </c>
      <c r="J45" s="233">
        <f>J46+J47</f>
        <v>0</v>
      </c>
      <c r="K45" s="233">
        <f>K46+K47</f>
        <v>0</v>
      </c>
      <c r="L45" s="233">
        <f>L46+L47</f>
        <v>0</v>
      </c>
      <c r="M45" s="233">
        <f t="shared" si="1"/>
        <v>3750600</v>
      </c>
      <c r="N45" s="233">
        <v>3750600</v>
      </c>
      <c r="O45" s="233">
        <f>O46+O47</f>
        <v>0</v>
      </c>
      <c r="P45" s="233">
        <f>P46+P47</f>
        <v>0</v>
      </c>
      <c r="Q45" s="233">
        <f>Q46+Q47</f>
        <v>0</v>
      </c>
      <c r="R45" s="232">
        <f t="shared" si="2"/>
        <v>3750600</v>
      </c>
    </row>
    <row r="46" spans="1:18" s="6" customFormat="1" ht="12" hidden="1" customHeight="1">
      <c r="A46" s="132">
        <v>7600</v>
      </c>
      <c r="B46" s="179" t="s">
        <v>184</v>
      </c>
      <c r="C46" s="170"/>
      <c r="D46" s="171">
        <v>0</v>
      </c>
      <c r="E46" s="244"/>
      <c r="F46" s="233"/>
      <c r="G46" s="233"/>
      <c r="H46" s="233">
        <f t="shared" si="0"/>
        <v>0</v>
      </c>
      <c r="I46" s="233">
        <v>0</v>
      </c>
      <c r="J46" s="233"/>
      <c r="K46" s="233"/>
      <c r="L46" s="233"/>
      <c r="M46" s="233">
        <f t="shared" si="1"/>
        <v>0</v>
      </c>
      <c r="N46" s="233">
        <v>0</v>
      </c>
      <c r="O46" s="233"/>
      <c r="P46" s="233"/>
      <c r="Q46" s="233"/>
      <c r="R46" s="232">
        <f t="shared" si="2"/>
        <v>0</v>
      </c>
    </row>
    <row r="47" spans="1:18" s="6" customFormat="1" ht="12">
      <c r="A47" s="132">
        <v>7700</v>
      </c>
      <c r="B47" s="126" t="s">
        <v>114</v>
      </c>
      <c r="C47" s="170">
        <v>3290000</v>
      </c>
      <c r="D47" s="171">
        <v>3750600</v>
      </c>
      <c r="E47" s="244"/>
      <c r="F47" s="233"/>
      <c r="G47" s="233"/>
      <c r="H47" s="233">
        <f t="shared" si="0"/>
        <v>3750600</v>
      </c>
      <c r="I47" s="233">
        <v>3750600</v>
      </c>
      <c r="J47" s="233"/>
      <c r="K47" s="233"/>
      <c r="L47" s="233"/>
      <c r="M47" s="233">
        <f t="shared" si="1"/>
        <v>3750600</v>
      </c>
      <c r="N47" s="233">
        <v>3750600</v>
      </c>
      <c r="O47" s="233"/>
      <c r="P47" s="233"/>
      <c r="Q47" s="233"/>
      <c r="R47" s="232">
        <f t="shared" si="2"/>
        <v>3750600</v>
      </c>
    </row>
    <row r="48" spans="1:18" s="6" customFormat="1" ht="20.399999999999999">
      <c r="A48" s="140" t="s">
        <v>185</v>
      </c>
      <c r="B48" s="124" t="s">
        <v>115</v>
      </c>
      <c r="C48" s="170">
        <v>8520</v>
      </c>
      <c r="D48" s="171">
        <v>8520</v>
      </c>
      <c r="E48" s="233">
        <f>E49+E55+E59+E62</f>
        <v>0</v>
      </c>
      <c r="F48" s="233">
        <f>F49+F55+F59+F62</f>
        <v>0</v>
      </c>
      <c r="G48" s="233">
        <f>G49+G55+G59+G62</f>
        <v>20000</v>
      </c>
      <c r="H48" s="233">
        <f t="shared" si="0"/>
        <v>28520</v>
      </c>
      <c r="I48" s="233">
        <v>8520</v>
      </c>
      <c r="J48" s="233">
        <f>J49+J55+J59+J62</f>
        <v>0</v>
      </c>
      <c r="K48" s="233">
        <f>K49+K55+K59+K62</f>
        <v>0</v>
      </c>
      <c r="L48" s="233">
        <f>L49+L55+L59+L62</f>
        <v>0</v>
      </c>
      <c r="M48" s="233">
        <f t="shared" si="1"/>
        <v>8520</v>
      </c>
      <c r="N48" s="233">
        <v>8520</v>
      </c>
      <c r="O48" s="233">
        <f>O49+O55+O59+O62</f>
        <v>0</v>
      </c>
      <c r="P48" s="233">
        <f>P49+P55+P59+P62</f>
        <v>0</v>
      </c>
      <c r="Q48" s="233">
        <f>Q49+Q55+Q59+Q62</f>
        <v>0</v>
      </c>
      <c r="R48" s="232">
        <f t="shared" si="2"/>
        <v>8520</v>
      </c>
    </row>
    <row r="49" spans="1:18" s="6" customFormat="1" ht="12">
      <c r="A49" s="132">
        <v>7100</v>
      </c>
      <c r="B49" s="179" t="s">
        <v>116</v>
      </c>
      <c r="C49" s="170">
        <v>8520</v>
      </c>
      <c r="D49" s="171">
        <v>8520</v>
      </c>
      <c r="E49" s="233">
        <f>E50+E51</f>
        <v>0</v>
      </c>
      <c r="F49" s="233">
        <f>F50+F51</f>
        <v>0</v>
      </c>
      <c r="G49" s="233">
        <f>G50+G51</f>
        <v>20000</v>
      </c>
      <c r="H49" s="233">
        <f t="shared" si="0"/>
        <v>28520</v>
      </c>
      <c r="I49" s="233">
        <v>8520</v>
      </c>
      <c r="J49" s="233">
        <f>J50+J51</f>
        <v>0</v>
      </c>
      <c r="K49" s="233">
        <f>K50+K51</f>
        <v>0</v>
      </c>
      <c r="L49" s="233">
        <f>L50+L51</f>
        <v>0</v>
      </c>
      <c r="M49" s="233">
        <f t="shared" si="1"/>
        <v>8520</v>
      </c>
      <c r="N49" s="233">
        <v>8520</v>
      </c>
      <c r="O49" s="233">
        <f>O50+O51</f>
        <v>0</v>
      </c>
      <c r="P49" s="233">
        <f>P50+P51</f>
        <v>0</v>
      </c>
      <c r="Q49" s="233">
        <f>Q50+Q51</f>
        <v>0</v>
      </c>
      <c r="R49" s="232">
        <f t="shared" si="2"/>
        <v>8520</v>
      </c>
    </row>
    <row r="50" spans="1:18" s="6" customFormat="1" ht="24">
      <c r="A50" s="133" t="s">
        <v>117</v>
      </c>
      <c r="B50" s="179" t="s">
        <v>118</v>
      </c>
      <c r="C50" s="170">
        <v>8520</v>
      </c>
      <c r="D50" s="171">
        <v>8520</v>
      </c>
      <c r="E50" s="233"/>
      <c r="F50" s="233"/>
      <c r="G50" s="233"/>
      <c r="H50" s="233">
        <f t="shared" si="0"/>
        <v>8520</v>
      </c>
      <c r="I50" s="233">
        <v>8520</v>
      </c>
      <c r="J50" s="233"/>
      <c r="K50" s="233"/>
      <c r="L50" s="233"/>
      <c r="M50" s="233">
        <f t="shared" si="1"/>
        <v>8520</v>
      </c>
      <c r="N50" s="233">
        <v>8520</v>
      </c>
      <c r="O50" s="233"/>
      <c r="P50" s="233"/>
      <c r="Q50" s="233"/>
      <c r="R50" s="232">
        <f t="shared" si="2"/>
        <v>8520</v>
      </c>
    </row>
    <row r="51" spans="1:18" s="6" customFormat="1" ht="24">
      <c r="A51" s="133">
        <v>7130</v>
      </c>
      <c r="B51" s="179" t="s">
        <v>119</v>
      </c>
      <c r="C51" s="170">
        <v>0</v>
      </c>
      <c r="D51" s="171">
        <v>0</v>
      </c>
      <c r="E51" s="233">
        <f>SUM(E52:E54)</f>
        <v>0</v>
      </c>
      <c r="F51" s="233">
        <f>SUM(F52:F54)</f>
        <v>0</v>
      </c>
      <c r="G51" s="233">
        <f>SUM(G52:G54)</f>
        <v>20000</v>
      </c>
      <c r="H51" s="233">
        <f t="shared" si="0"/>
        <v>20000</v>
      </c>
      <c r="I51" s="233">
        <v>0</v>
      </c>
      <c r="J51" s="233">
        <f>SUM(J52:J54)</f>
        <v>0</v>
      </c>
      <c r="K51" s="233">
        <f>SUM(K52:K54)</f>
        <v>0</v>
      </c>
      <c r="L51" s="233">
        <f>SUM(L52:L54)</f>
        <v>0</v>
      </c>
      <c r="M51" s="233">
        <f t="shared" si="1"/>
        <v>0</v>
      </c>
      <c r="N51" s="233">
        <v>0</v>
      </c>
      <c r="O51" s="233">
        <f>SUM(O52:O54)</f>
        <v>0</v>
      </c>
      <c r="P51" s="233">
        <f>SUM(P52:P54)</f>
        <v>0</v>
      </c>
      <c r="Q51" s="233">
        <f>SUM(Q52:Q54)</f>
        <v>0</v>
      </c>
      <c r="R51" s="232">
        <f t="shared" si="2"/>
        <v>0</v>
      </c>
    </row>
    <row r="52" spans="1:18" s="6" customFormat="1" ht="36">
      <c r="A52" s="134">
        <v>7131</v>
      </c>
      <c r="B52" s="179" t="s">
        <v>120</v>
      </c>
      <c r="C52" s="170"/>
      <c r="D52" s="171">
        <v>0</v>
      </c>
      <c r="E52" s="233"/>
      <c r="F52" s="233"/>
      <c r="G52" s="233">
        <f>G136</f>
        <v>20000</v>
      </c>
      <c r="H52" s="233">
        <f t="shared" si="0"/>
        <v>20000</v>
      </c>
      <c r="I52" s="233">
        <v>0</v>
      </c>
      <c r="J52" s="233"/>
      <c r="K52" s="233"/>
      <c r="L52" s="233"/>
      <c r="M52" s="233">
        <f t="shared" si="1"/>
        <v>0</v>
      </c>
      <c r="N52" s="233">
        <v>0</v>
      </c>
      <c r="O52" s="233"/>
      <c r="P52" s="233"/>
      <c r="Q52" s="233"/>
      <c r="R52" s="232">
        <f t="shared" si="2"/>
        <v>0</v>
      </c>
    </row>
    <row r="53" spans="1:18" s="6" customFormat="1" ht="36" hidden="1">
      <c r="A53" s="134">
        <v>7132</v>
      </c>
      <c r="B53" s="179" t="s">
        <v>121</v>
      </c>
      <c r="C53" s="170"/>
      <c r="D53" s="171">
        <v>0</v>
      </c>
      <c r="E53" s="233"/>
      <c r="F53" s="233"/>
      <c r="G53" s="233"/>
      <c r="H53" s="233">
        <f t="shared" si="0"/>
        <v>0</v>
      </c>
      <c r="I53" s="233">
        <v>0</v>
      </c>
      <c r="J53" s="233"/>
      <c r="K53" s="233"/>
      <c r="L53" s="233"/>
      <c r="M53" s="233">
        <f t="shared" si="1"/>
        <v>0</v>
      </c>
      <c r="N53" s="233">
        <v>0</v>
      </c>
      <c r="O53" s="233"/>
      <c r="P53" s="233"/>
      <c r="Q53" s="233"/>
      <c r="R53" s="232">
        <f t="shared" si="2"/>
        <v>0</v>
      </c>
    </row>
    <row r="54" spans="1:18" s="6" customFormat="1" ht="24" hidden="1">
      <c r="A54" s="134" t="s">
        <v>186</v>
      </c>
      <c r="B54" s="179" t="s">
        <v>187</v>
      </c>
      <c r="C54" s="170"/>
      <c r="D54" s="171">
        <v>0</v>
      </c>
      <c r="E54" s="233"/>
      <c r="F54" s="233"/>
      <c r="G54" s="233"/>
      <c r="H54" s="233">
        <f t="shared" si="0"/>
        <v>0</v>
      </c>
      <c r="I54" s="233">
        <v>0</v>
      </c>
      <c r="J54" s="233"/>
      <c r="K54" s="233"/>
      <c r="L54" s="233"/>
      <c r="M54" s="233">
        <f t="shared" si="1"/>
        <v>0</v>
      </c>
      <c r="N54" s="233">
        <v>0</v>
      </c>
      <c r="O54" s="233"/>
      <c r="P54" s="233"/>
      <c r="Q54" s="233"/>
      <c r="R54" s="232">
        <f t="shared" si="2"/>
        <v>0</v>
      </c>
    </row>
    <row r="55" spans="1:18" s="6" customFormat="1" ht="24" hidden="1">
      <c r="A55" s="132">
        <v>7300</v>
      </c>
      <c r="B55" s="172" t="s">
        <v>155</v>
      </c>
      <c r="C55" s="170">
        <v>0</v>
      </c>
      <c r="D55" s="171">
        <v>0</v>
      </c>
      <c r="E55" s="233">
        <f>SUM(E56:E58)</f>
        <v>0</v>
      </c>
      <c r="F55" s="233">
        <f>SUM(F56:F58)</f>
        <v>0</v>
      </c>
      <c r="G55" s="233">
        <f>SUM(G56:G58)</f>
        <v>0</v>
      </c>
      <c r="H55" s="233">
        <f t="shared" si="0"/>
        <v>0</v>
      </c>
      <c r="I55" s="233">
        <v>0</v>
      </c>
      <c r="J55" s="233">
        <f>SUM(J56:J58)</f>
        <v>0</v>
      </c>
      <c r="K55" s="233">
        <f>SUM(K56:K58)</f>
        <v>0</v>
      </c>
      <c r="L55" s="233">
        <f>SUM(L56:L58)</f>
        <v>0</v>
      </c>
      <c r="M55" s="233">
        <f t="shared" si="1"/>
        <v>0</v>
      </c>
      <c r="N55" s="233">
        <v>0</v>
      </c>
      <c r="O55" s="233">
        <f>SUM(O56:O58)</f>
        <v>0</v>
      </c>
      <c r="P55" s="233">
        <f>SUM(P56:P58)</f>
        <v>0</v>
      </c>
      <c r="Q55" s="233">
        <f>SUM(Q56:Q58)</f>
        <v>0</v>
      </c>
      <c r="R55" s="232">
        <f t="shared" si="2"/>
        <v>0</v>
      </c>
    </row>
    <row r="56" spans="1:18" s="6" customFormat="1" ht="24" hidden="1">
      <c r="A56" s="133" t="s">
        <v>188</v>
      </c>
      <c r="B56" s="179" t="s">
        <v>170</v>
      </c>
      <c r="C56" s="204"/>
      <c r="D56" s="180">
        <v>0</v>
      </c>
      <c r="E56" s="252"/>
      <c r="F56" s="252"/>
      <c r="G56" s="252"/>
      <c r="H56" s="233">
        <f t="shared" si="0"/>
        <v>0</v>
      </c>
      <c r="I56" s="252">
        <v>0</v>
      </c>
      <c r="J56" s="252"/>
      <c r="K56" s="252"/>
      <c r="L56" s="252"/>
      <c r="M56" s="233">
        <f t="shared" si="1"/>
        <v>0</v>
      </c>
      <c r="N56" s="252">
        <v>0</v>
      </c>
      <c r="O56" s="252"/>
      <c r="P56" s="252"/>
      <c r="Q56" s="252"/>
      <c r="R56" s="232">
        <f t="shared" si="2"/>
        <v>0</v>
      </c>
    </row>
    <row r="57" spans="1:18" s="29" customFormat="1" ht="48" hidden="1">
      <c r="A57" s="133" t="s">
        <v>189</v>
      </c>
      <c r="B57" s="179" t="s">
        <v>156</v>
      </c>
      <c r="C57" s="204"/>
      <c r="D57" s="180">
        <v>0</v>
      </c>
      <c r="E57" s="252"/>
      <c r="F57" s="252"/>
      <c r="G57" s="252"/>
      <c r="H57" s="233">
        <f t="shared" si="0"/>
        <v>0</v>
      </c>
      <c r="I57" s="252">
        <v>0</v>
      </c>
      <c r="J57" s="252"/>
      <c r="K57" s="252"/>
      <c r="L57" s="252"/>
      <c r="M57" s="233">
        <f t="shared" si="1"/>
        <v>0</v>
      </c>
      <c r="N57" s="252">
        <v>0</v>
      </c>
      <c r="O57" s="252"/>
      <c r="P57" s="252"/>
      <c r="Q57" s="252"/>
      <c r="R57" s="232">
        <f t="shared" si="2"/>
        <v>0</v>
      </c>
    </row>
    <row r="58" spans="1:18" s="89" customFormat="1" ht="36" hidden="1">
      <c r="A58" s="133">
        <v>7350</v>
      </c>
      <c r="B58" s="179" t="s">
        <v>163</v>
      </c>
      <c r="C58" s="204"/>
      <c r="D58" s="180">
        <v>0</v>
      </c>
      <c r="E58" s="252"/>
      <c r="F58" s="252"/>
      <c r="G58" s="252"/>
      <c r="H58" s="233">
        <f t="shared" si="0"/>
        <v>0</v>
      </c>
      <c r="I58" s="252">
        <v>0</v>
      </c>
      <c r="J58" s="252"/>
      <c r="K58" s="252"/>
      <c r="L58" s="252"/>
      <c r="M58" s="233">
        <f t="shared" si="1"/>
        <v>0</v>
      </c>
      <c r="N58" s="252">
        <v>0</v>
      </c>
      <c r="O58" s="252"/>
      <c r="P58" s="252"/>
      <c r="Q58" s="252"/>
      <c r="R58" s="232">
        <f t="shared" si="2"/>
        <v>0</v>
      </c>
    </row>
    <row r="59" spans="1:18" s="89" customFormat="1" ht="24" hidden="1">
      <c r="A59" s="132">
        <v>7400</v>
      </c>
      <c r="B59" s="172" t="s">
        <v>161</v>
      </c>
      <c r="C59" s="170">
        <v>0</v>
      </c>
      <c r="D59" s="171">
        <v>0</v>
      </c>
      <c r="E59" s="233">
        <f>SUM(E60:E61)</f>
        <v>0</v>
      </c>
      <c r="F59" s="233">
        <f>SUM(F60:F61)</f>
        <v>0</v>
      </c>
      <c r="G59" s="233">
        <f>SUM(G60:G61)</f>
        <v>0</v>
      </c>
      <c r="H59" s="233">
        <f t="shared" si="0"/>
        <v>0</v>
      </c>
      <c r="I59" s="233">
        <v>0</v>
      </c>
      <c r="J59" s="233">
        <f>SUM(J60:J61)</f>
        <v>0</v>
      </c>
      <c r="K59" s="233">
        <f>SUM(K60:K61)</f>
        <v>0</v>
      </c>
      <c r="L59" s="233">
        <f>SUM(L60:L61)</f>
        <v>0</v>
      </c>
      <c r="M59" s="233">
        <f t="shared" si="1"/>
        <v>0</v>
      </c>
      <c r="N59" s="233">
        <v>0</v>
      </c>
      <c r="O59" s="233">
        <f>SUM(O60:O61)</f>
        <v>0</v>
      </c>
      <c r="P59" s="233">
        <f>SUM(P60:P61)</f>
        <v>0</v>
      </c>
      <c r="Q59" s="233">
        <f>SUM(Q60:Q61)</f>
        <v>0</v>
      </c>
      <c r="R59" s="232">
        <f t="shared" si="2"/>
        <v>0</v>
      </c>
    </row>
    <row r="60" spans="1:18" s="89" customFormat="1" ht="24" hidden="1">
      <c r="A60" s="133">
        <v>7460</v>
      </c>
      <c r="B60" s="172" t="s">
        <v>162</v>
      </c>
      <c r="C60" s="204"/>
      <c r="D60" s="180">
        <v>0</v>
      </c>
      <c r="E60" s="252"/>
      <c r="F60" s="252"/>
      <c r="G60" s="252"/>
      <c r="H60" s="233">
        <f t="shared" si="0"/>
        <v>0</v>
      </c>
      <c r="I60" s="252">
        <v>0</v>
      </c>
      <c r="J60" s="252"/>
      <c r="K60" s="252"/>
      <c r="L60" s="252"/>
      <c r="M60" s="233">
        <f t="shared" si="1"/>
        <v>0</v>
      </c>
      <c r="N60" s="252">
        <v>0</v>
      </c>
      <c r="O60" s="252"/>
      <c r="P60" s="252"/>
      <c r="Q60" s="252"/>
      <c r="R60" s="232">
        <f t="shared" si="2"/>
        <v>0</v>
      </c>
    </row>
    <row r="61" spans="1:18" s="89" customFormat="1" ht="36" hidden="1">
      <c r="A61" s="133">
        <v>7470</v>
      </c>
      <c r="B61" s="179" t="s">
        <v>167</v>
      </c>
      <c r="C61" s="204"/>
      <c r="D61" s="180">
        <v>0</v>
      </c>
      <c r="E61" s="252"/>
      <c r="F61" s="252"/>
      <c r="G61" s="252"/>
      <c r="H61" s="233">
        <f t="shared" si="0"/>
        <v>0</v>
      </c>
      <c r="I61" s="252">
        <v>0</v>
      </c>
      <c r="J61" s="252"/>
      <c r="K61" s="252"/>
      <c r="L61" s="252"/>
      <c r="M61" s="233">
        <f t="shared" si="1"/>
        <v>0</v>
      </c>
      <c r="N61" s="252">
        <v>0</v>
      </c>
      <c r="O61" s="252"/>
      <c r="P61" s="252"/>
      <c r="Q61" s="252"/>
      <c r="R61" s="232">
        <f t="shared" si="2"/>
        <v>0</v>
      </c>
    </row>
    <row r="62" spans="1:18" s="89" customFormat="1" ht="24" hidden="1">
      <c r="A62" s="132">
        <v>7500</v>
      </c>
      <c r="B62" s="179" t="s">
        <v>157</v>
      </c>
      <c r="C62" s="170"/>
      <c r="D62" s="171">
        <v>0</v>
      </c>
      <c r="E62" s="233"/>
      <c r="F62" s="233"/>
      <c r="G62" s="233"/>
      <c r="H62" s="233">
        <f t="shared" si="0"/>
        <v>0</v>
      </c>
      <c r="I62" s="233">
        <v>0</v>
      </c>
      <c r="J62" s="233"/>
      <c r="K62" s="233"/>
      <c r="L62" s="233"/>
      <c r="M62" s="233">
        <f t="shared" si="1"/>
        <v>0</v>
      </c>
      <c r="N62" s="233">
        <v>0</v>
      </c>
      <c r="O62" s="233"/>
      <c r="P62" s="233"/>
      <c r="Q62" s="233"/>
      <c r="R62" s="232">
        <f t="shared" si="2"/>
        <v>0</v>
      </c>
    </row>
    <row r="63" spans="1:18" s="89" customFormat="1" ht="12">
      <c r="A63" s="140" t="s">
        <v>133</v>
      </c>
      <c r="B63" s="124" t="s">
        <v>122</v>
      </c>
      <c r="C63" s="205">
        <v>432590</v>
      </c>
      <c r="D63" s="181">
        <v>55000</v>
      </c>
      <c r="E63" s="254">
        <f>E64+E65</f>
        <v>20000</v>
      </c>
      <c r="F63" s="254">
        <f>F64+F65</f>
        <v>409486</v>
      </c>
      <c r="G63" s="254">
        <f>G64+G65</f>
        <v>71700</v>
      </c>
      <c r="H63" s="233">
        <f t="shared" si="0"/>
        <v>556186</v>
      </c>
      <c r="I63" s="254">
        <v>55000</v>
      </c>
      <c r="J63" s="254">
        <f>J64+J65</f>
        <v>20000</v>
      </c>
      <c r="K63" s="254">
        <f>K64+K65</f>
        <v>0</v>
      </c>
      <c r="L63" s="254">
        <f>L64+L65</f>
        <v>26080</v>
      </c>
      <c r="M63" s="233">
        <f t="shared" si="1"/>
        <v>101080</v>
      </c>
      <c r="N63" s="254">
        <v>55000</v>
      </c>
      <c r="O63" s="254">
        <f>O64+O65</f>
        <v>20000</v>
      </c>
      <c r="P63" s="254">
        <f>P64+P65</f>
        <v>0</v>
      </c>
      <c r="Q63" s="254">
        <f>Q64+Q65</f>
        <v>0</v>
      </c>
      <c r="R63" s="232">
        <f t="shared" si="2"/>
        <v>75000</v>
      </c>
    </row>
    <row r="64" spans="1:18" s="89" customFormat="1" ht="12">
      <c r="A64" s="140">
        <v>5000</v>
      </c>
      <c r="B64" s="124" t="s">
        <v>123</v>
      </c>
      <c r="C64" s="170">
        <v>432590</v>
      </c>
      <c r="D64" s="171">
        <v>55000</v>
      </c>
      <c r="E64" s="233">
        <f>SUM(E148)</f>
        <v>20000</v>
      </c>
      <c r="F64" s="233">
        <f>F148</f>
        <v>409486</v>
      </c>
      <c r="G64" s="233">
        <f>G148</f>
        <v>71700</v>
      </c>
      <c r="H64" s="233">
        <f t="shared" si="0"/>
        <v>556186</v>
      </c>
      <c r="I64" s="233">
        <v>55000</v>
      </c>
      <c r="J64" s="233">
        <f>SUM(J148)</f>
        <v>20000</v>
      </c>
      <c r="K64" s="233"/>
      <c r="L64" s="233">
        <f>SUM(L148)</f>
        <v>26080</v>
      </c>
      <c r="M64" s="233">
        <f t="shared" si="1"/>
        <v>101080</v>
      </c>
      <c r="N64" s="233">
        <v>55000</v>
      </c>
      <c r="O64" s="233">
        <v>20000</v>
      </c>
      <c r="P64" s="233"/>
      <c r="Q64" s="233"/>
      <c r="R64" s="232">
        <f t="shared" si="2"/>
        <v>75000</v>
      </c>
    </row>
    <row r="65" spans="1:18" s="89" customFormat="1" ht="12" hidden="1" customHeight="1">
      <c r="A65" s="140">
        <v>9000</v>
      </c>
      <c r="B65" s="182" t="s">
        <v>164</v>
      </c>
      <c r="C65" s="170">
        <v>0</v>
      </c>
      <c r="D65" s="171">
        <v>0</v>
      </c>
      <c r="E65" s="233">
        <f>E66+E72+E76+E79</f>
        <v>0</v>
      </c>
      <c r="F65" s="233">
        <f>F66+F72+F76+F79</f>
        <v>0</v>
      </c>
      <c r="G65" s="233">
        <f>G66+G72+G76+G79</f>
        <v>0</v>
      </c>
      <c r="H65" s="233">
        <f t="shared" si="0"/>
        <v>0</v>
      </c>
      <c r="I65" s="233">
        <v>0</v>
      </c>
      <c r="J65" s="233">
        <f>J66+J72+J76+J79</f>
        <v>0</v>
      </c>
      <c r="K65" s="233">
        <f>K66+K72+K76+K79</f>
        <v>0</v>
      </c>
      <c r="L65" s="233">
        <f>L66+L72+L76+L79</f>
        <v>0</v>
      </c>
      <c r="M65" s="233">
        <f t="shared" si="1"/>
        <v>0</v>
      </c>
      <c r="N65" s="233">
        <v>0</v>
      </c>
      <c r="O65" s="233">
        <f>O66+O72+O76+O79</f>
        <v>0</v>
      </c>
      <c r="P65" s="233">
        <f>P66+P72+P76+P79</f>
        <v>0</v>
      </c>
      <c r="Q65" s="233">
        <f>Q66+Q72+Q76+Q79</f>
        <v>0</v>
      </c>
      <c r="R65" s="232">
        <f t="shared" si="2"/>
        <v>0</v>
      </c>
    </row>
    <row r="66" spans="1:18" s="89" customFormat="1" ht="12" hidden="1" customHeight="1">
      <c r="A66" s="141">
        <v>9100</v>
      </c>
      <c r="B66" s="179" t="s">
        <v>124</v>
      </c>
      <c r="C66" s="170">
        <v>0</v>
      </c>
      <c r="D66" s="171">
        <v>0</v>
      </c>
      <c r="E66" s="233">
        <f>SUM(E67:E68)</f>
        <v>0</v>
      </c>
      <c r="F66" s="233">
        <f>SUM(F67:F68)</f>
        <v>0</v>
      </c>
      <c r="G66" s="233">
        <f>SUM(G67:G68)</f>
        <v>0</v>
      </c>
      <c r="H66" s="233">
        <f t="shared" si="0"/>
        <v>0</v>
      </c>
      <c r="I66" s="233">
        <v>0</v>
      </c>
      <c r="J66" s="233">
        <f>SUM(J67:J68)</f>
        <v>0</v>
      </c>
      <c r="K66" s="233">
        <f>SUM(K67:K68)</f>
        <v>0</v>
      </c>
      <c r="L66" s="233">
        <f>SUM(L67:L68)</f>
        <v>0</v>
      </c>
      <c r="M66" s="233">
        <f t="shared" si="1"/>
        <v>0</v>
      </c>
      <c r="N66" s="233">
        <v>0</v>
      </c>
      <c r="O66" s="233">
        <f>SUM(O67:O68)</f>
        <v>0</v>
      </c>
      <c r="P66" s="233">
        <f>SUM(P67:P68)</f>
        <v>0</v>
      </c>
      <c r="Q66" s="233">
        <f>SUM(Q67:Q68)</f>
        <v>0</v>
      </c>
      <c r="R66" s="232">
        <f t="shared" si="2"/>
        <v>0</v>
      </c>
    </row>
    <row r="67" spans="1:18" s="89" customFormat="1" ht="24" hidden="1" customHeight="1">
      <c r="A67" s="133" t="s">
        <v>125</v>
      </c>
      <c r="B67" s="179" t="s">
        <v>214</v>
      </c>
      <c r="C67" s="170"/>
      <c r="D67" s="171">
        <v>0</v>
      </c>
      <c r="E67" s="233"/>
      <c r="F67" s="233"/>
      <c r="G67" s="233"/>
      <c r="H67" s="233">
        <f t="shared" si="0"/>
        <v>0</v>
      </c>
      <c r="I67" s="233">
        <v>0</v>
      </c>
      <c r="J67" s="233"/>
      <c r="K67" s="233"/>
      <c r="L67" s="233"/>
      <c r="M67" s="233">
        <f t="shared" si="1"/>
        <v>0</v>
      </c>
      <c r="N67" s="233">
        <v>0</v>
      </c>
      <c r="O67" s="233"/>
      <c r="P67" s="233"/>
      <c r="Q67" s="233"/>
      <c r="R67" s="232">
        <f t="shared" si="2"/>
        <v>0</v>
      </c>
    </row>
    <row r="68" spans="1:18" s="89" customFormat="1" ht="24" hidden="1" customHeight="1">
      <c r="A68" s="133">
        <v>9140</v>
      </c>
      <c r="B68" s="179" t="s">
        <v>215</v>
      </c>
      <c r="C68" s="170">
        <v>0</v>
      </c>
      <c r="D68" s="171">
        <v>0</v>
      </c>
      <c r="E68" s="233">
        <f>SUM(E69:E71)</f>
        <v>0</v>
      </c>
      <c r="F68" s="233">
        <f>SUM(F69:F71)</f>
        <v>0</v>
      </c>
      <c r="G68" s="233">
        <f>SUM(G69:G71)</f>
        <v>0</v>
      </c>
      <c r="H68" s="233">
        <f t="shared" si="0"/>
        <v>0</v>
      </c>
      <c r="I68" s="233">
        <v>0</v>
      </c>
      <c r="J68" s="233">
        <f>SUM(J69:J71)</f>
        <v>0</v>
      </c>
      <c r="K68" s="233">
        <f>SUM(K69:K71)</f>
        <v>0</v>
      </c>
      <c r="L68" s="233">
        <f>SUM(L69:L71)</f>
        <v>0</v>
      </c>
      <c r="M68" s="233">
        <f t="shared" si="1"/>
        <v>0</v>
      </c>
      <c r="N68" s="233">
        <v>0</v>
      </c>
      <c r="O68" s="233">
        <f>SUM(O69:O71)</f>
        <v>0</v>
      </c>
      <c r="P68" s="233">
        <f>SUM(P69:P71)</f>
        <v>0</v>
      </c>
      <c r="Q68" s="233">
        <f>SUM(Q69:Q71)</f>
        <v>0</v>
      </c>
      <c r="R68" s="232">
        <f t="shared" si="2"/>
        <v>0</v>
      </c>
    </row>
    <row r="69" spans="1:18" s="89" customFormat="1" ht="36" hidden="1" customHeight="1">
      <c r="A69" s="134">
        <v>9141</v>
      </c>
      <c r="B69" s="172" t="s">
        <v>190</v>
      </c>
      <c r="C69" s="204"/>
      <c r="D69" s="180">
        <v>0</v>
      </c>
      <c r="E69" s="252"/>
      <c r="F69" s="252"/>
      <c r="G69" s="252"/>
      <c r="H69" s="233">
        <f t="shared" si="0"/>
        <v>0</v>
      </c>
      <c r="I69" s="252">
        <v>0</v>
      </c>
      <c r="J69" s="252"/>
      <c r="K69" s="252"/>
      <c r="L69" s="252"/>
      <c r="M69" s="233">
        <f t="shared" si="1"/>
        <v>0</v>
      </c>
      <c r="N69" s="252">
        <v>0</v>
      </c>
      <c r="O69" s="252"/>
      <c r="P69" s="252"/>
      <c r="Q69" s="252"/>
      <c r="R69" s="232">
        <f t="shared" si="2"/>
        <v>0</v>
      </c>
    </row>
    <row r="70" spans="1:18" s="89" customFormat="1" ht="36" hidden="1" customHeight="1">
      <c r="A70" s="134">
        <v>9142</v>
      </c>
      <c r="B70" s="172" t="s">
        <v>191</v>
      </c>
      <c r="C70" s="204"/>
      <c r="D70" s="180">
        <v>0</v>
      </c>
      <c r="E70" s="252"/>
      <c r="F70" s="252"/>
      <c r="G70" s="252"/>
      <c r="H70" s="233">
        <f t="shared" si="0"/>
        <v>0</v>
      </c>
      <c r="I70" s="252">
        <v>0</v>
      </c>
      <c r="J70" s="252"/>
      <c r="K70" s="252"/>
      <c r="L70" s="252"/>
      <c r="M70" s="233">
        <f t="shared" si="1"/>
        <v>0</v>
      </c>
      <c r="N70" s="252">
        <v>0</v>
      </c>
      <c r="O70" s="252"/>
      <c r="P70" s="252"/>
      <c r="Q70" s="252"/>
      <c r="R70" s="232">
        <f t="shared" si="2"/>
        <v>0</v>
      </c>
    </row>
    <row r="71" spans="1:18" s="89" customFormat="1" ht="24" hidden="1" customHeight="1">
      <c r="A71" s="134">
        <v>9149</v>
      </c>
      <c r="B71" s="172" t="s">
        <v>192</v>
      </c>
      <c r="C71" s="204"/>
      <c r="D71" s="180">
        <v>0</v>
      </c>
      <c r="E71" s="252"/>
      <c r="F71" s="252"/>
      <c r="G71" s="252"/>
      <c r="H71" s="233">
        <f t="shared" si="0"/>
        <v>0</v>
      </c>
      <c r="I71" s="252">
        <v>0</v>
      </c>
      <c r="J71" s="252"/>
      <c r="K71" s="252"/>
      <c r="L71" s="252"/>
      <c r="M71" s="233">
        <f t="shared" si="1"/>
        <v>0</v>
      </c>
      <c r="N71" s="252">
        <v>0</v>
      </c>
      <c r="O71" s="252"/>
      <c r="P71" s="252"/>
      <c r="Q71" s="252"/>
      <c r="R71" s="232">
        <f t="shared" si="2"/>
        <v>0</v>
      </c>
    </row>
    <row r="72" spans="1:18" s="29" customFormat="1" ht="24" hidden="1" customHeight="1">
      <c r="A72" s="141">
        <v>9500</v>
      </c>
      <c r="B72" s="172" t="s">
        <v>165</v>
      </c>
      <c r="C72" s="170">
        <v>0</v>
      </c>
      <c r="D72" s="171">
        <v>0</v>
      </c>
      <c r="E72" s="233">
        <f>SUM(E73:E75)</f>
        <v>0</v>
      </c>
      <c r="F72" s="233">
        <f>SUM(F73:F75)</f>
        <v>0</v>
      </c>
      <c r="G72" s="233">
        <f>SUM(G73:G75)</f>
        <v>0</v>
      </c>
      <c r="H72" s="233">
        <f t="shared" si="0"/>
        <v>0</v>
      </c>
      <c r="I72" s="233">
        <v>0</v>
      </c>
      <c r="J72" s="233">
        <f>SUM(J73:J75)</f>
        <v>0</v>
      </c>
      <c r="K72" s="233">
        <f>SUM(K73:K75)</f>
        <v>0</v>
      </c>
      <c r="L72" s="233">
        <f>SUM(L73:L75)</f>
        <v>0</v>
      </c>
      <c r="M72" s="233">
        <f t="shared" si="1"/>
        <v>0</v>
      </c>
      <c r="N72" s="233">
        <v>0</v>
      </c>
      <c r="O72" s="233">
        <f>SUM(O73:O75)</f>
        <v>0</v>
      </c>
      <c r="P72" s="233">
        <f>SUM(P73:P75)</f>
        <v>0</v>
      </c>
      <c r="Q72" s="233">
        <f>SUM(Q73:Q75)</f>
        <v>0</v>
      </c>
      <c r="R72" s="232">
        <f t="shared" si="2"/>
        <v>0</v>
      </c>
    </row>
    <row r="73" spans="1:18" s="29" customFormat="1" ht="24" hidden="1" customHeight="1">
      <c r="A73" s="133" t="s">
        <v>193</v>
      </c>
      <c r="B73" s="172" t="s">
        <v>171</v>
      </c>
      <c r="C73" s="170"/>
      <c r="D73" s="171">
        <v>0</v>
      </c>
      <c r="E73" s="233"/>
      <c r="F73" s="233"/>
      <c r="G73" s="233"/>
      <c r="H73" s="233">
        <f t="shared" si="0"/>
        <v>0</v>
      </c>
      <c r="I73" s="233">
        <v>0</v>
      </c>
      <c r="J73" s="233"/>
      <c r="K73" s="233"/>
      <c r="L73" s="233"/>
      <c r="M73" s="233">
        <f t="shared" si="1"/>
        <v>0</v>
      </c>
      <c r="N73" s="233">
        <v>0</v>
      </c>
      <c r="O73" s="233"/>
      <c r="P73" s="233"/>
      <c r="Q73" s="233"/>
      <c r="R73" s="232">
        <f t="shared" si="2"/>
        <v>0</v>
      </c>
    </row>
    <row r="74" spans="1:18" s="28" customFormat="1" ht="48" hidden="1" customHeight="1">
      <c r="A74" s="133">
        <v>9580</v>
      </c>
      <c r="B74" s="172" t="s">
        <v>166</v>
      </c>
      <c r="C74" s="204"/>
      <c r="D74" s="180">
        <v>0</v>
      </c>
      <c r="E74" s="252"/>
      <c r="F74" s="252"/>
      <c r="G74" s="252"/>
      <c r="H74" s="233">
        <f t="shared" ref="H74:H137" si="10">SUM(D74:G74)</f>
        <v>0</v>
      </c>
      <c r="I74" s="252">
        <v>0</v>
      </c>
      <c r="J74" s="252"/>
      <c r="K74" s="252"/>
      <c r="L74" s="252"/>
      <c r="M74" s="233">
        <f t="shared" ref="M74:M137" si="11">SUM(I74:L74)</f>
        <v>0</v>
      </c>
      <c r="N74" s="252">
        <v>0</v>
      </c>
      <c r="O74" s="252"/>
      <c r="P74" s="252"/>
      <c r="Q74" s="252"/>
      <c r="R74" s="232">
        <f t="shared" ref="R74:R137" si="12">SUM(N74:Q74)</f>
        <v>0</v>
      </c>
    </row>
    <row r="75" spans="1:18" s="4" customFormat="1" ht="48" hidden="1" customHeight="1">
      <c r="A75" s="133">
        <v>9590</v>
      </c>
      <c r="B75" s="179" t="s">
        <v>172</v>
      </c>
      <c r="C75" s="204"/>
      <c r="D75" s="180">
        <v>0</v>
      </c>
      <c r="E75" s="252"/>
      <c r="F75" s="252"/>
      <c r="G75" s="252"/>
      <c r="H75" s="233">
        <f t="shared" si="10"/>
        <v>0</v>
      </c>
      <c r="I75" s="252">
        <v>0</v>
      </c>
      <c r="J75" s="252"/>
      <c r="K75" s="252"/>
      <c r="L75" s="252"/>
      <c r="M75" s="233">
        <f t="shared" si="11"/>
        <v>0</v>
      </c>
      <c r="N75" s="252">
        <v>0</v>
      </c>
      <c r="O75" s="252"/>
      <c r="P75" s="252"/>
      <c r="Q75" s="252"/>
      <c r="R75" s="232">
        <f t="shared" si="12"/>
        <v>0</v>
      </c>
    </row>
    <row r="76" spans="1:18" ht="24" hidden="1" customHeight="1">
      <c r="A76" s="141">
        <v>9700</v>
      </c>
      <c r="B76" s="183" t="s">
        <v>194</v>
      </c>
      <c r="C76" s="170">
        <v>0</v>
      </c>
      <c r="D76" s="171">
        <v>0</v>
      </c>
      <c r="E76" s="233">
        <f>SUM(E77:E78)</f>
        <v>0</v>
      </c>
      <c r="F76" s="233">
        <f>SUM(F77:F78)</f>
        <v>0</v>
      </c>
      <c r="G76" s="233">
        <f>SUM(G77:G78)</f>
        <v>0</v>
      </c>
      <c r="H76" s="233">
        <f t="shared" si="10"/>
        <v>0</v>
      </c>
      <c r="I76" s="233">
        <v>0</v>
      </c>
      <c r="J76" s="233">
        <f>SUM(J77:J78)</f>
        <v>0</v>
      </c>
      <c r="K76" s="233">
        <f>SUM(K77:K78)</f>
        <v>0</v>
      </c>
      <c r="L76" s="233">
        <f>SUM(L77:L78)</f>
        <v>0</v>
      </c>
      <c r="M76" s="233">
        <f t="shared" si="11"/>
        <v>0</v>
      </c>
      <c r="N76" s="233">
        <v>0</v>
      </c>
      <c r="O76" s="233">
        <f>SUM(O77:O78)</f>
        <v>0</v>
      </c>
      <c r="P76" s="233">
        <f>SUM(P77:P78)</f>
        <v>0</v>
      </c>
      <c r="Q76" s="233">
        <f>SUM(Q77:Q78)</f>
        <v>0</v>
      </c>
      <c r="R76" s="232">
        <f t="shared" si="12"/>
        <v>0</v>
      </c>
    </row>
    <row r="77" spans="1:18" ht="24" hidden="1" customHeight="1">
      <c r="A77" s="133">
        <v>9710</v>
      </c>
      <c r="B77" s="184" t="s">
        <v>195</v>
      </c>
      <c r="C77" s="204"/>
      <c r="D77" s="180">
        <v>0</v>
      </c>
      <c r="E77" s="252"/>
      <c r="F77" s="252"/>
      <c r="G77" s="252"/>
      <c r="H77" s="233">
        <f t="shared" si="10"/>
        <v>0</v>
      </c>
      <c r="I77" s="252">
        <v>0</v>
      </c>
      <c r="J77" s="252"/>
      <c r="K77" s="252"/>
      <c r="L77" s="252"/>
      <c r="M77" s="233">
        <f t="shared" si="11"/>
        <v>0</v>
      </c>
      <c r="N77" s="252">
        <v>0</v>
      </c>
      <c r="O77" s="252"/>
      <c r="P77" s="252"/>
      <c r="Q77" s="252"/>
      <c r="R77" s="232">
        <f t="shared" si="12"/>
        <v>0</v>
      </c>
    </row>
    <row r="78" spans="1:18" ht="48" hidden="1" customHeight="1">
      <c r="A78" s="142">
        <v>9720</v>
      </c>
      <c r="B78" s="183" t="s">
        <v>196</v>
      </c>
      <c r="C78" s="204"/>
      <c r="D78" s="180">
        <v>0</v>
      </c>
      <c r="E78" s="252"/>
      <c r="F78" s="252"/>
      <c r="G78" s="252"/>
      <c r="H78" s="233">
        <f t="shared" si="10"/>
        <v>0</v>
      </c>
      <c r="I78" s="252">
        <v>0</v>
      </c>
      <c r="J78" s="252"/>
      <c r="K78" s="252"/>
      <c r="L78" s="252"/>
      <c r="M78" s="233">
        <f t="shared" si="11"/>
        <v>0</v>
      </c>
      <c r="N78" s="252">
        <v>0</v>
      </c>
      <c r="O78" s="252"/>
      <c r="P78" s="252"/>
      <c r="Q78" s="252"/>
      <c r="R78" s="232">
        <f t="shared" si="12"/>
        <v>0</v>
      </c>
    </row>
    <row r="79" spans="1:18" ht="24" hidden="1" customHeight="1">
      <c r="A79" s="141">
        <v>9600</v>
      </c>
      <c r="B79" s="179" t="s">
        <v>134</v>
      </c>
      <c r="C79" s="204"/>
      <c r="D79" s="180">
        <v>0</v>
      </c>
      <c r="E79" s="252"/>
      <c r="F79" s="252"/>
      <c r="G79" s="252"/>
      <c r="H79" s="233">
        <f t="shared" si="10"/>
        <v>0</v>
      </c>
      <c r="I79" s="252">
        <v>0</v>
      </c>
      <c r="J79" s="252"/>
      <c r="K79" s="252"/>
      <c r="L79" s="252"/>
      <c r="M79" s="233">
        <f t="shared" si="11"/>
        <v>0</v>
      </c>
      <c r="N79" s="252">
        <v>0</v>
      </c>
      <c r="O79" s="252"/>
      <c r="P79" s="252"/>
      <c r="Q79" s="252"/>
      <c r="R79" s="232">
        <f t="shared" si="12"/>
        <v>0</v>
      </c>
    </row>
    <row r="80" spans="1:18" ht="30.6">
      <c r="A80" s="130" t="s">
        <v>197</v>
      </c>
      <c r="B80" s="185" t="s">
        <v>47</v>
      </c>
      <c r="C80" s="206">
        <v>-131700</v>
      </c>
      <c r="D80" s="186">
        <v>0</v>
      </c>
      <c r="E80" s="262">
        <f>E10-E35</f>
        <v>0</v>
      </c>
      <c r="F80" s="262">
        <f>F10-F35</f>
        <v>0</v>
      </c>
      <c r="G80" s="262">
        <f>G10-G35</f>
        <v>0</v>
      </c>
      <c r="H80" s="233">
        <f t="shared" si="10"/>
        <v>0</v>
      </c>
      <c r="I80" s="262">
        <v>0</v>
      </c>
      <c r="J80" s="262">
        <f>J10-J35</f>
        <v>0</v>
      </c>
      <c r="K80" s="262">
        <f>K10-K35</f>
        <v>0</v>
      </c>
      <c r="L80" s="262">
        <f>L10-L35</f>
        <v>0</v>
      </c>
      <c r="M80" s="233">
        <f t="shared" si="11"/>
        <v>0</v>
      </c>
      <c r="N80" s="262">
        <v>0</v>
      </c>
      <c r="O80" s="262">
        <f>O10-O35</f>
        <v>0</v>
      </c>
      <c r="P80" s="262">
        <f>P10-P35</f>
        <v>0</v>
      </c>
      <c r="Q80" s="262">
        <f>Q10-Q35</f>
        <v>0</v>
      </c>
      <c r="R80" s="232">
        <f t="shared" si="12"/>
        <v>0</v>
      </c>
    </row>
    <row r="81" spans="1:18" ht="12">
      <c r="A81" s="143" t="s">
        <v>48</v>
      </c>
      <c r="B81" s="185" t="s">
        <v>49</v>
      </c>
      <c r="C81" s="206">
        <v>131700</v>
      </c>
      <c r="D81" s="186">
        <v>0</v>
      </c>
      <c r="E81" s="262">
        <f>E82+E85+E89+E88</f>
        <v>0</v>
      </c>
      <c r="F81" s="262">
        <f>F82+F85+F89+F88</f>
        <v>0</v>
      </c>
      <c r="G81" s="262">
        <f>G82+G85+G89+G88</f>
        <v>0</v>
      </c>
      <c r="H81" s="233">
        <f t="shared" si="10"/>
        <v>0</v>
      </c>
      <c r="I81" s="262">
        <v>0</v>
      </c>
      <c r="J81" s="262">
        <f>J82+J85+J89+J88</f>
        <v>0</v>
      </c>
      <c r="K81" s="262">
        <f>K82+K85+K89+K88</f>
        <v>0</v>
      </c>
      <c r="L81" s="262">
        <f>L82+L85+L89+L88</f>
        <v>0</v>
      </c>
      <c r="M81" s="233">
        <f t="shared" si="11"/>
        <v>0</v>
      </c>
      <c r="N81" s="262">
        <v>0</v>
      </c>
      <c r="O81" s="262">
        <f>O82+O85+O89+O88</f>
        <v>0</v>
      </c>
      <c r="P81" s="262">
        <f>P82+P85+P89+P88</f>
        <v>0</v>
      </c>
      <c r="Q81" s="262">
        <f>Q82+Q85+Q89+Q88</f>
        <v>0</v>
      </c>
      <c r="R81" s="232">
        <f t="shared" si="12"/>
        <v>0</v>
      </c>
    </row>
    <row r="82" spans="1:18" s="4" customFormat="1" ht="12" hidden="1" customHeight="1">
      <c r="A82" s="141" t="s">
        <v>50</v>
      </c>
      <c r="B82" s="179" t="s">
        <v>51</v>
      </c>
      <c r="C82" s="98">
        <v>0</v>
      </c>
      <c r="D82" s="169">
        <v>0</v>
      </c>
      <c r="E82" s="231">
        <f>E83+E84</f>
        <v>0</v>
      </c>
      <c r="F82" s="231">
        <f>F83+F84</f>
        <v>0</v>
      </c>
      <c r="G82" s="231">
        <f>G83+G84</f>
        <v>0</v>
      </c>
      <c r="H82" s="233">
        <f t="shared" si="10"/>
        <v>0</v>
      </c>
      <c r="I82" s="231">
        <v>0</v>
      </c>
      <c r="J82" s="231">
        <f>J83+J84</f>
        <v>0</v>
      </c>
      <c r="K82" s="231">
        <f>K83+K84</f>
        <v>0</v>
      </c>
      <c r="L82" s="231">
        <f>L83+L84</f>
        <v>0</v>
      </c>
      <c r="M82" s="233">
        <f t="shared" si="11"/>
        <v>0</v>
      </c>
      <c r="N82" s="231">
        <v>0</v>
      </c>
      <c r="O82" s="231">
        <f>O83+O84</f>
        <v>0</v>
      </c>
      <c r="P82" s="231">
        <f>P83+P84</f>
        <v>0</v>
      </c>
      <c r="Q82" s="231">
        <f>Q83+Q84</f>
        <v>0</v>
      </c>
      <c r="R82" s="232">
        <f t="shared" si="12"/>
        <v>0</v>
      </c>
    </row>
    <row r="83" spans="1:18" s="6" customFormat="1" ht="12" hidden="1" customHeight="1">
      <c r="A83" s="141" t="s">
        <v>52</v>
      </c>
      <c r="B83" s="179" t="s">
        <v>53</v>
      </c>
      <c r="C83" s="98"/>
      <c r="D83" s="169">
        <v>0</v>
      </c>
      <c r="E83" s="231"/>
      <c r="F83" s="231"/>
      <c r="G83" s="231"/>
      <c r="H83" s="233">
        <f t="shared" si="10"/>
        <v>0</v>
      </c>
      <c r="I83" s="231">
        <v>0</v>
      </c>
      <c r="J83" s="231"/>
      <c r="K83" s="231"/>
      <c r="L83" s="231"/>
      <c r="M83" s="233">
        <f t="shared" si="11"/>
        <v>0</v>
      </c>
      <c r="N83" s="231">
        <v>0</v>
      </c>
      <c r="O83" s="231"/>
      <c r="P83" s="231"/>
      <c r="Q83" s="231"/>
      <c r="R83" s="232">
        <f t="shared" si="12"/>
        <v>0</v>
      </c>
    </row>
    <row r="84" spans="1:18" s="6" customFormat="1" ht="12" hidden="1" customHeight="1">
      <c r="A84" s="141" t="s">
        <v>54</v>
      </c>
      <c r="B84" s="179" t="s">
        <v>55</v>
      </c>
      <c r="C84" s="98"/>
      <c r="D84" s="169">
        <v>0</v>
      </c>
      <c r="E84" s="231"/>
      <c r="F84" s="231"/>
      <c r="G84" s="231"/>
      <c r="H84" s="233">
        <f t="shared" si="10"/>
        <v>0</v>
      </c>
      <c r="I84" s="231">
        <v>0</v>
      </c>
      <c r="J84" s="231"/>
      <c r="K84" s="231"/>
      <c r="L84" s="231"/>
      <c r="M84" s="233">
        <f t="shared" si="11"/>
        <v>0</v>
      </c>
      <c r="N84" s="231">
        <v>0</v>
      </c>
      <c r="O84" s="231"/>
      <c r="P84" s="231"/>
      <c r="Q84" s="231"/>
      <c r="R84" s="232">
        <f t="shared" si="12"/>
        <v>0</v>
      </c>
    </row>
    <row r="85" spans="1:18" s="6" customFormat="1" ht="12" hidden="1" customHeight="1">
      <c r="A85" s="141" t="s">
        <v>56</v>
      </c>
      <c r="B85" s="179" t="s">
        <v>57</v>
      </c>
      <c r="C85" s="98">
        <v>0</v>
      </c>
      <c r="D85" s="169">
        <v>0</v>
      </c>
      <c r="E85" s="231">
        <f>E86+E87</f>
        <v>0</v>
      </c>
      <c r="F85" s="231">
        <f>F86+F87</f>
        <v>0</v>
      </c>
      <c r="G85" s="231">
        <f>G86+G87</f>
        <v>0</v>
      </c>
      <c r="H85" s="233">
        <f t="shared" si="10"/>
        <v>0</v>
      </c>
      <c r="I85" s="231">
        <v>0</v>
      </c>
      <c r="J85" s="231">
        <f>J86+J87</f>
        <v>0</v>
      </c>
      <c r="K85" s="231">
        <f>K86+K87</f>
        <v>0</v>
      </c>
      <c r="L85" s="231">
        <f>L86+L87</f>
        <v>0</v>
      </c>
      <c r="M85" s="233">
        <f t="shared" si="11"/>
        <v>0</v>
      </c>
      <c r="N85" s="231">
        <v>0</v>
      </c>
      <c r="O85" s="231">
        <f>O86+O87</f>
        <v>0</v>
      </c>
      <c r="P85" s="231">
        <f>P86+P87</f>
        <v>0</v>
      </c>
      <c r="Q85" s="231">
        <f>Q86+Q87</f>
        <v>0</v>
      </c>
      <c r="R85" s="232">
        <f t="shared" si="12"/>
        <v>0</v>
      </c>
    </row>
    <row r="86" spans="1:18" s="6" customFormat="1" ht="12" hidden="1" customHeight="1">
      <c r="A86" s="141" t="s">
        <v>58</v>
      </c>
      <c r="B86" s="179" t="s">
        <v>59</v>
      </c>
      <c r="C86" s="98"/>
      <c r="D86" s="169">
        <v>0</v>
      </c>
      <c r="E86" s="231"/>
      <c r="F86" s="231"/>
      <c r="G86" s="231"/>
      <c r="H86" s="233">
        <f t="shared" si="10"/>
        <v>0</v>
      </c>
      <c r="I86" s="231">
        <v>0</v>
      </c>
      <c r="J86" s="231"/>
      <c r="K86" s="231"/>
      <c r="L86" s="231"/>
      <c r="M86" s="233">
        <f t="shared" si="11"/>
        <v>0</v>
      </c>
      <c r="N86" s="231">
        <v>0</v>
      </c>
      <c r="O86" s="231"/>
      <c r="P86" s="231"/>
      <c r="Q86" s="231"/>
      <c r="R86" s="232">
        <f t="shared" si="12"/>
        <v>0</v>
      </c>
    </row>
    <row r="87" spans="1:18" s="6" customFormat="1" ht="12" hidden="1" customHeight="1">
      <c r="A87" s="141" t="s">
        <v>60</v>
      </c>
      <c r="B87" s="179" t="s">
        <v>61</v>
      </c>
      <c r="C87" s="98"/>
      <c r="D87" s="169">
        <v>0</v>
      </c>
      <c r="E87" s="231"/>
      <c r="F87" s="231"/>
      <c r="G87" s="231"/>
      <c r="H87" s="233">
        <f t="shared" si="10"/>
        <v>0</v>
      </c>
      <c r="I87" s="231">
        <v>0</v>
      </c>
      <c r="J87" s="231"/>
      <c r="K87" s="231"/>
      <c r="L87" s="231"/>
      <c r="M87" s="233">
        <f t="shared" si="11"/>
        <v>0</v>
      </c>
      <c r="N87" s="231">
        <v>0</v>
      </c>
      <c r="O87" s="231"/>
      <c r="P87" s="231"/>
      <c r="Q87" s="231"/>
      <c r="R87" s="232">
        <f t="shared" si="12"/>
        <v>0</v>
      </c>
    </row>
    <row r="88" spans="1:18" s="6" customFormat="1" ht="12" hidden="1" customHeight="1">
      <c r="A88" s="141" t="s">
        <v>198</v>
      </c>
      <c r="B88" s="187" t="s">
        <v>168</v>
      </c>
      <c r="C88" s="98"/>
      <c r="D88" s="169">
        <v>0</v>
      </c>
      <c r="E88" s="231"/>
      <c r="F88" s="231"/>
      <c r="G88" s="231"/>
      <c r="H88" s="233">
        <f t="shared" si="10"/>
        <v>0</v>
      </c>
      <c r="I88" s="231">
        <v>0</v>
      </c>
      <c r="J88" s="231"/>
      <c r="K88" s="231"/>
      <c r="L88" s="231"/>
      <c r="M88" s="233">
        <f t="shared" si="11"/>
        <v>0</v>
      </c>
      <c r="N88" s="231">
        <v>0</v>
      </c>
      <c r="O88" s="231"/>
      <c r="P88" s="231"/>
      <c r="Q88" s="231"/>
      <c r="R88" s="232">
        <f t="shared" si="12"/>
        <v>0</v>
      </c>
    </row>
    <row r="89" spans="1:18" s="6" customFormat="1" ht="12">
      <c r="A89" s="144" t="s">
        <v>62</v>
      </c>
      <c r="B89" s="125" t="s">
        <v>63</v>
      </c>
      <c r="C89" s="170">
        <v>131700</v>
      </c>
      <c r="D89" s="171">
        <v>0</v>
      </c>
      <c r="E89" s="233">
        <f>E90+E91+E92</f>
        <v>0</v>
      </c>
      <c r="F89" s="233">
        <f>F90+F91+F92</f>
        <v>0</v>
      </c>
      <c r="G89" s="233">
        <f>G90+G91+G92</f>
        <v>0</v>
      </c>
      <c r="H89" s="233">
        <f t="shared" si="10"/>
        <v>0</v>
      </c>
      <c r="I89" s="233">
        <v>0</v>
      </c>
      <c r="J89" s="233">
        <f>J90+J91+J92</f>
        <v>0</v>
      </c>
      <c r="K89" s="233">
        <f>K90+K91+K92</f>
        <v>0</v>
      </c>
      <c r="L89" s="233">
        <f>L90+L91+L92</f>
        <v>0</v>
      </c>
      <c r="M89" s="233">
        <f t="shared" si="11"/>
        <v>0</v>
      </c>
      <c r="N89" s="233">
        <v>0</v>
      </c>
      <c r="O89" s="233">
        <f>O90+O91+O92</f>
        <v>0</v>
      </c>
      <c r="P89" s="233">
        <f>P90+P91+P92</f>
        <v>0</v>
      </c>
      <c r="Q89" s="233">
        <f>Q90+Q91+Q92</f>
        <v>0</v>
      </c>
      <c r="R89" s="232">
        <f t="shared" si="12"/>
        <v>0</v>
      </c>
    </row>
    <row r="90" spans="1:18" s="6" customFormat="1" ht="36" hidden="1" customHeight="1">
      <c r="A90" s="144" t="s">
        <v>64</v>
      </c>
      <c r="B90" s="179" t="s">
        <v>65</v>
      </c>
      <c r="C90" s="98"/>
      <c r="D90" s="169">
        <v>0</v>
      </c>
      <c r="E90" s="231"/>
      <c r="F90" s="231"/>
      <c r="G90" s="231"/>
      <c r="H90" s="233">
        <f t="shared" si="10"/>
        <v>0</v>
      </c>
      <c r="I90" s="231">
        <v>0</v>
      </c>
      <c r="J90" s="231"/>
      <c r="K90" s="231"/>
      <c r="L90" s="231"/>
      <c r="M90" s="233">
        <f t="shared" si="11"/>
        <v>0</v>
      </c>
      <c r="N90" s="231">
        <v>0</v>
      </c>
      <c r="O90" s="231"/>
      <c r="P90" s="231"/>
      <c r="Q90" s="231"/>
      <c r="R90" s="232">
        <f t="shared" si="12"/>
        <v>0</v>
      </c>
    </row>
    <row r="91" spans="1:18" s="6" customFormat="1" ht="24">
      <c r="A91" s="144" t="s">
        <v>66</v>
      </c>
      <c r="B91" s="179" t="s">
        <v>67</v>
      </c>
      <c r="C91" s="98">
        <v>131700</v>
      </c>
      <c r="D91" s="169">
        <v>0</v>
      </c>
      <c r="E91" s="231">
        <f>SUM(E259)</f>
        <v>0</v>
      </c>
      <c r="F91" s="231"/>
      <c r="G91" s="231"/>
      <c r="H91" s="233">
        <f t="shared" si="10"/>
        <v>0</v>
      </c>
      <c r="I91" s="231">
        <v>0</v>
      </c>
      <c r="J91" s="231"/>
      <c r="K91" s="231"/>
      <c r="L91" s="231"/>
      <c r="M91" s="233">
        <f t="shared" si="11"/>
        <v>0</v>
      </c>
      <c r="N91" s="231">
        <v>0</v>
      </c>
      <c r="O91" s="231"/>
      <c r="P91" s="231"/>
      <c r="Q91" s="231"/>
      <c r="R91" s="232">
        <f t="shared" si="12"/>
        <v>0</v>
      </c>
    </row>
    <row r="92" spans="1:18" s="6" customFormat="1" ht="24" hidden="1" customHeight="1">
      <c r="A92" s="144" t="s">
        <v>68</v>
      </c>
      <c r="B92" s="125" t="s">
        <v>69</v>
      </c>
      <c r="C92" s="98"/>
      <c r="D92" s="169">
        <v>0</v>
      </c>
      <c r="E92" s="231"/>
      <c r="F92" s="231"/>
      <c r="G92" s="231"/>
      <c r="H92" s="233">
        <f t="shared" si="10"/>
        <v>0</v>
      </c>
      <c r="I92" s="231">
        <v>0</v>
      </c>
      <c r="J92" s="231"/>
      <c r="K92" s="231"/>
      <c r="L92" s="231"/>
      <c r="M92" s="233">
        <f t="shared" si="11"/>
        <v>0</v>
      </c>
      <c r="N92" s="231">
        <v>0</v>
      </c>
      <c r="O92" s="231"/>
      <c r="P92" s="231"/>
      <c r="Q92" s="231"/>
      <c r="R92" s="232">
        <f t="shared" si="12"/>
        <v>0</v>
      </c>
    </row>
    <row r="93" spans="1:18" s="6" customFormat="1" ht="12" customHeight="1">
      <c r="A93" s="145"/>
      <c r="B93" s="188" t="s">
        <v>199</v>
      </c>
      <c r="C93" s="207"/>
      <c r="D93" s="294">
        <v>0</v>
      </c>
      <c r="E93" s="268"/>
      <c r="F93" s="347"/>
      <c r="G93" s="347"/>
      <c r="H93" s="347">
        <f t="shared" si="10"/>
        <v>0</v>
      </c>
      <c r="I93" s="347">
        <v>0</v>
      </c>
      <c r="J93" s="347"/>
      <c r="K93" s="347"/>
      <c r="L93" s="347"/>
      <c r="M93" s="347">
        <f t="shared" si="11"/>
        <v>0</v>
      </c>
      <c r="N93" s="347">
        <v>0</v>
      </c>
      <c r="O93" s="347"/>
      <c r="P93" s="347"/>
      <c r="Q93" s="347"/>
      <c r="R93" s="269">
        <f t="shared" si="12"/>
        <v>0</v>
      </c>
    </row>
    <row r="94" spans="1:18" s="6" customFormat="1" ht="20.399999999999999">
      <c r="A94" s="129" t="s">
        <v>201</v>
      </c>
      <c r="B94" s="123" t="s">
        <v>88</v>
      </c>
      <c r="C94" s="200">
        <v>27440071</v>
      </c>
      <c r="D94" s="167">
        <v>27922581</v>
      </c>
      <c r="E94" s="228">
        <f>E95+E96+E98+E116</f>
        <v>0</v>
      </c>
      <c r="F94" s="228">
        <f>F95+F96+F98+F116</f>
        <v>3673642</v>
      </c>
      <c r="G94" s="228">
        <f>G95+G96+G98+G116</f>
        <v>1705301</v>
      </c>
      <c r="H94" s="243">
        <f t="shared" si="10"/>
        <v>33301524</v>
      </c>
      <c r="I94" s="228">
        <v>27927116</v>
      </c>
      <c r="J94" s="228">
        <f>J95+J96+J98+J116</f>
        <v>0</v>
      </c>
      <c r="K94" s="228">
        <f>K95+K96+K98+K116</f>
        <v>2845166</v>
      </c>
      <c r="L94" s="228">
        <f>L95+L96+L98+L116</f>
        <v>2126142</v>
      </c>
      <c r="M94" s="243">
        <f t="shared" si="11"/>
        <v>32898424</v>
      </c>
      <c r="N94" s="228">
        <v>27901924</v>
      </c>
      <c r="O94" s="228">
        <f>O95+O96+O98+O116</f>
        <v>0</v>
      </c>
      <c r="P94" s="228">
        <f>P95+P96+P98+P116</f>
        <v>2829032</v>
      </c>
      <c r="Q94" s="228">
        <f>Q95+Q96+Q98+Q116</f>
        <v>1729234</v>
      </c>
      <c r="R94" s="229">
        <f t="shared" si="12"/>
        <v>32460190</v>
      </c>
    </row>
    <row r="95" spans="1:18" s="6" customFormat="1" ht="22.8">
      <c r="A95" s="130" t="s">
        <v>177</v>
      </c>
      <c r="B95" s="124" t="s">
        <v>90</v>
      </c>
      <c r="C95" s="98">
        <v>456750</v>
      </c>
      <c r="D95" s="169">
        <v>456750</v>
      </c>
      <c r="E95" s="231"/>
      <c r="F95" s="231"/>
      <c r="G95" s="231"/>
      <c r="H95" s="233">
        <f t="shared" si="10"/>
        <v>456750</v>
      </c>
      <c r="I95" s="231">
        <v>456750</v>
      </c>
      <c r="J95" s="231"/>
      <c r="K95" s="231"/>
      <c r="L95" s="231"/>
      <c r="M95" s="233">
        <f t="shared" si="11"/>
        <v>456750</v>
      </c>
      <c r="N95" s="231">
        <v>456750</v>
      </c>
      <c r="O95" s="231"/>
      <c r="P95" s="231"/>
      <c r="Q95" s="231"/>
      <c r="R95" s="232">
        <f t="shared" si="12"/>
        <v>456750</v>
      </c>
    </row>
    <row r="96" spans="1:18" s="6" customFormat="1" ht="12" hidden="1" customHeight="1">
      <c r="A96" s="130" t="s">
        <v>91</v>
      </c>
      <c r="B96" s="124" t="s">
        <v>92</v>
      </c>
      <c r="C96" s="98"/>
      <c r="D96" s="169">
        <v>0</v>
      </c>
      <c r="E96" s="231"/>
      <c r="F96" s="231"/>
      <c r="G96" s="231"/>
      <c r="H96" s="233">
        <f t="shared" si="10"/>
        <v>0</v>
      </c>
      <c r="I96" s="231">
        <v>0</v>
      </c>
      <c r="J96" s="231"/>
      <c r="K96" s="231"/>
      <c r="L96" s="231"/>
      <c r="M96" s="233">
        <f t="shared" si="11"/>
        <v>0</v>
      </c>
      <c r="N96" s="231">
        <v>0</v>
      </c>
      <c r="O96" s="231"/>
      <c r="P96" s="231"/>
      <c r="Q96" s="231"/>
      <c r="R96" s="232">
        <f t="shared" si="12"/>
        <v>0</v>
      </c>
    </row>
    <row r="97" spans="1:18" s="6" customFormat="1" ht="24" hidden="1" customHeight="1">
      <c r="A97" s="131">
        <v>21210</v>
      </c>
      <c r="B97" s="125" t="s">
        <v>93</v>
      </c>
      <c r="C97" s="98"/>
      <c r="D97" s="169">
        <v>0</v>
      </c>
      <c r="E97" s="231"/>
      <c r="F97" s="231"/>
      <c r="G97" s="231"/>
      <c r="H97" s="233">
        <f t="shared" si="10"/>
        <v>0</v>
      </c>
      <c r="I97" s="231">
        <v>0</v>
      </c>
      <c r="J97" s="231"/>
      <c r="K97" s="231"/>
      <c r="L97" s="231"/>
      <c r="M97" s="233">
        <f t="shared" si="11"/>
        <v>0</v>
      </c>
      <c r="N97" s="231">
        <v>0</v>
      </c>
      <c r="O97" s="231"/>
      <c r="P97" s="231"/>
      <c r="Q97" s="231"/>
      <c r="R97" s="232">
        <f t="shared" si="12"/>
        <v>0</v>
      </c>
    </row>
    <row r="98" spans="1:18" s="6" customFormat="1" ht="21" hidden="1" customHeight="1">
      <c r="A98" s="130" t="s">
        <v>178</v>
      </c>
      <c r="B98" s="124" t="s">
        <v>94</v>
      </c>
      <c r="C98" s="170">
        <v>0</v>
      </c>
      <c r="D98" s="171">
        <v>0</v>
      </c>
      <c r="E98" s="233">
        <f>E99+E105</f>
        <v>0</v>
      </c>
      <c r="F98" s="233">
        <f>F99+F105</f>
        <v>0</v>
      </c>
      <c r="G98" s="233">
        <f>G99+G105</f>
        <v>0</v>
      </c>
      <c r="H98" s="233">
        <f t="shared" si="10"/>
        <v>0</v>
      </c>
      <c r="I98" s="233">
        <v>0</v>
      </c>
      <c r="J98" s="233">
        <f>J99+J105</f>
        <v>0</v>
      </c>
      <c r="K98" s="233">
        <f>K99+K105</f>
        <v>0</v>
      </c>
      <c r="L98" s="233">
        <f>L99+L105</f>
        <v>0</v>
      </c>
      <c r="M98" s="233">
        <f t="shared" si="11"/>
        <v>0</v>
      </c>
      <c r="N98" s="233">
        <v>0</v>
      </c>
      <c r="O98" s="233">
        <f>O99+O105</f>
        <v>0</v>
      </c>
      <c r="P98" s="233">
        <f>P99+P105</f>
        <v>0</v>
      </c>
      <c r="Q98" s="233">
        <f>Q99+Q105</f>
        <v>0</v>
      </c>
      <c r="R98" s="232">
        <f t="shared" si="12"/>
        <v>0</v>
      </c>
    </row>
    <row r="99" spans="1:18" s="6" customFormat="1" ht="12" hidden="1" customHeight="1">
      <c r="A99" s="132">
        <v>18000</v>
      </c>
      <c r="B99" s="125" t="s">
        <v>95</v>
      </c>
      <c r="C99" s="170">
        <v>0</v>
      </c>
      <c r="D99" s="171">
        <v>0</v>
      </c>
      <c r="E99" s="233">
        <f t="shared" ref="E99:L100" si="13">E100</f>
        <v>0</v>
      </c>
      <c r="F99" s="233">
        <f t="shared" si="13"/>
        <v>0</v>
      </c>
      <c r="G99" s="233">
        <f t="shared" si="13"/>
        <v>0</v>
      </c>
      <c r="H99" s="233">
        <f t="shared" si="10"/>
        <v>0</v>
      </c>
      <c r="I99" s="233">
        <v>0</v>
      </c>
      <c r="J99" s="233">
        <f t="shared" si="13"/>
        <v>0</v>
      </c>
      <c r="K99" s="233">
        <f t="shared" si="13"/>
        <v>0</v>
      </c>
      <c r="L99" s="233">
        <f t="shared" si="13"/>
        <v>0</v>
      </c>
      <c r="M99" s="233">
        <f t="shared" si="11"/>
        <v>0</v>
      </c>
      <c r="N99" s="233">
        <v>0</v>
      </c>
      <c r="O99" s="233">
        <f t="shared" ref="O99:Q100" si="14">O100</f>
        <v>0</v>
      </c>
      <c r="P99" s="233">
        <f t="shared" si="14"/>
        <v>0</v>
      </c>
      <c r="Q99" s="233">
        <f t="shared" si="14"/>
        <v>0</v>
      </c>
      <c r="R99" s="232">
        <f t="shared" si="12"/>
        <v>0</v>
      </c>
    </row>
    <row r="100" spans="1:18" s="6" customFormat="1" ht="12" hidden="1" customHeight="1">
      <c r="A100" s="132">
        <v>18100</v>
      </c>
      <c r="B100" s="125" t="s">
        <v>96</v>
      </c>
      <c r="C100" s="170">
        <v>0</v>
      </c>
      <c r="D100" s="171">
        <v>0</v>
      </c>
      <c r="E100" s="233">
        <f t="shared" si="13"/>
        <v>0</v>
      </c>
      <c r="F100" s="233">
        <f t="shared" si="13"/>
        <v>0</v>
      </c>
      <c r="G100" s="233">
        <f t="shared" si="13"/>
        <v>0</v>
      </c>
      <c r="H100" s="233">
        <f t="shared" si="10"/>
        <v>0</v>
      </c>
      <c r="I100" s="233">
        <v>0</v>
      </c>
      <c r="J100" s="233">
        <f t="shared" si="13"/>
        <v>0</v>
      </c>
      <c r="K100" s="233">
        <f t="shared" si="13"/>
        <v>0</v>
      </c>
      <c r="L100" s="233">
        <f t="shared" si="13"/>
        <v>0</v>
      </c>
      <c r="M100" s="233">
        <f t="shared" si="11"/>
        <v>0</v>
      </c>
      <c r="N100" s="233">
        <v>0</v>
      </c>
      <c r="O100" s="233">
        <f t="shared" si="14"/>
        <v>0</v>
      </c>
      <c r="P100" s="233">
        <f t="shared" si="14"/>
        <v>0</v>
      </c>
      <c r="Q100" s="233">
        <f t="shared" si="14"/>
        <v>0</v>
      </c>
      <c r="R100" s="232">
        <f t="shared" si="12"/>
        <v>0</v>
      </c>
    </row>
    <row r="101" spans="1:18" s="6" customFormat="1" ht="24" hidden="1" customHeight="1">
      <c r="A101" s="133">
        <v>18130</v>
      </c>
      <c r="B101" s="172" t="s">
        <v>159</v>
      </c>
      <c r="C101" s="170">
        <v>0</v>
      </c>
      <c r="D101" s="171">
        <v>0</v>
      </c>
      <c r="E101" s="233">
        <f>SUM(E102:E104)</f>
        <v>0</v>
      </c>
      <c r="F101" s="233">
        <f>SUM(F102:F104)</f>
        <v>0</v>
      </c>
      <c r="G101" s="233">
        <f>SUM(G102:G104)</f>
        <v>0</v>
      </c>
      <c r="H101" s="233">
        <f t="shared" si="10"/>
        <v>0</v>
      </c>
      <c r="I101" s="233">
        <v>0</v>
      </c>
      <c r="J101" s="233">
        <f>SUM(J102:J104)</f>
        <v>0</v>
      </c>
      <c r="K101" s="233">
        <f>SUM(K102:K104)</f>
        <v>0</v>
      </c>
      <c r="L101" s="233">
        <f>SUM(L102:L104)</f>
        <v>0</v>
      </c>
      <c r="M101" s="233">
        <f t="shared" si="11"/>
        <v>0</v>
      </c>
      <c r="N101" s="233">
        <v>0</v>
      </c>
      <c r="O101" s="233">
        <f>SUM(O102:O104)</f>
        <v>0</v>
      </c>
      <c r="P101" s="233">
        <f>SUM(P102:P104)</f>
        <v>0</v>
      </c>
      <c r="Q101" s="233">
        <f>SUM(Q102:Q104)</f>
        <v>0</v>
      </c>
      <c r="R101" s="232">
        <f t="shared" si="12"/>
        <v>0</v>
      </c>
    </row>
    <row r="102" spans="1:18" s="6" customFormat="1" ht="36" hidden="1" customHeight="1">
      <c r="A102" s="134">
        <v>18131</v>
      </c>
      <c r="B102" s="172" t="s">
        <v>160</v>
      </c>
      <c r="C102" s="170"/>
      <c r="D102" s="171">
        <v>0</v>
      </c>
      <c r="E102" s="233"/>
      <c r="F102" s="233"/>
      <c r="G102" s="233"/>
      <c r="H102" s="233">
        <f t="shared" si="10"/>
        <v>0</v>
      </c>
      <c r="I102" s="233">
        <v>0</v>
      </c>
      <c r="J102" s="233"/>
      <c r="K102" s="233"/>
      <c r="L102" s="233"/>
      <c r="M102" s="233">
        <f t="shared" si="11"/>
        <v>0</v>
      </c>
      <c r="N102" s="233">
        <v>0</v>
      </c>
      <c r="O102" s="233"/>
      <c r="P102" s="233"/>
      <c r="Q102" s="233"/>
      <c r="R102" s="232">
        <f t="shared" si="12"/>
        <v>0</v>
      </c>
    </row>
    <row r="103" spans="1:18" s="6" customFormat="1" ht="24" hidden="1" customHeight="1">
      <c r="A103" s="134">
        <v>18132</v>
      </c>
      <c r="B103" s="172" t="s">
        <v>169</v>
      </c>
      <c r="C103" s="170"/>
      <c r="D103" s="171">
        <v>0</v>
      </c>
      <c r="E103" s="233"/>
      <c r="F103" s="233"/>
      <c r="G103" s="233"/>
      <c r="H103" s="233">
        <f t="shared" si="10"/>
        <v>0</v>
      </c>
      <c r="I103" s="233">
        <v>0</v>
      </c>
      <c r="J103" s="233"/>
      <c r="K103" s="233"/>
      <c r="L103" s="233"/>
      <c r="M103" s="233">
        <f t="shared" si="11"/>
        <v>0</v>
      </c>
      <c r="N103" s="233">
        <v>0</v>
      </c>
      <c r="O103" s="233"/>
      <c r="P103" s="233"/>
      <c r="Q103" s="233"/>
      <c r="R103" s="232">
        <f t="shared" si="12"/>
        <v>0</v>
      </c>
    </row>
    <row r="104" spans="1:18" s="6" customFormat="1" ht="24" hidden="1" customHeight="1">
      <c r="A104" s="134">
        <v>18139</v>
      </c>
      <c r="B104" s="172" t="s">
        <v>179</v>
      </c>
      <c r="C104" s="170"/>
      <c r="D104" s="171">
        <v>0</v>
      </c>
      <c r="E104" s="233"/>
      <c r="F104" s="233"/>
      <c r="G104" s="233"/>
      <c r="H104" s="233">
        <f t="shared" si="10"/>
        <v>0</v>
      </c>
      <c r="I104" s="233">
        <v>0</v>
      </c>
      <c r="J104" s="233"/>
      <c r="K104" s="233"/>
      <c r="L104" s="233"/>
      <c r="M104" s="233">
        <f t="shared" si="11"/>
        <v>0</v>
      </c>
      <c r="N104" s="233">
        <v>0</v>
      </c>
      <c r="O104" s="233"/>
      <c r="P104" s="233"/>
      <c r="Q104" s="233"/>
      <c r="R104" s="232">
        <f t="shared" si="12"/>
        <v>0</v>
      </c>
    </row>
    <row r="105" spans="1:18" s="6" customFormat="1" ht="12" hidden="1" customHeight="1">
      <c r="A105" s="135" t="s">
        <v>180</v>
      </c>
      <c r="B105" s="173" t="s">
        <v>173</v>
      </c>
      <c r="C105" s="201">
        <v>0</v>
      </c>
      <c r="D105" s="174">
        <v>0</v>
      </c>
      <c r="E105" s="238">
        <f t="shared" ref="E105:L105" si="15">E106</f>
        <v>0</v>
      </c>
      <c r="F105" s="238">
        <f t="shared" si="15"/>
        <v>0</v>
      </c>
      <c r="G105" s="238">
        <f t="shared" si="15"/>
        <v>0</v>
      </c>
      <c r="H105" s="233">
        <f t="shared" si="10"/>
        <v>0</v>
      </c>
      <c r="I105" s="238">
        <v>0</v>
      </c>
      <c r="J105" s="238">
        <f t="shared" si="15"/>
        <v>0</v>
      </c>
      <c r="K105" s="238">
        <f t="shared" si="15"/>
        <v>0</v>
      </c>
      <c r="L105" s="238">
        <f t="shared" si="15"/>
        <v>0</v>
      </c>
      <c r="M105" s="233">
        <f t="shared" si="11"/>
        <v>0</v>
      </c>
      <c r="N105" s="238">
        <v>0</v>
      </c>
      <c r="O105" s="238">
        <f>O106</f>
        <v>0</v>
      </c>
      <c r="P105" s="238">
        <f>P106</f>
        <v>0</v>
      </c>
      <c r="Q105" s="238">
        <f>Q106</f>
        <v>0</v>
      </c>
      <c r="R105" s="232">
        <f t="shared" si="12"/>
        <v>0</v>
      </c>
    </row>
    <row r="106" spans="1:18" s="6" customFormat="1" ht="24" hidden="1" customHeight="1">
      <c r="A106" s="135">
        <v>19500</v>
      </c>
      <c r="B106" s="172" t="s">
        <v>174</v>
      </c>
      <c r="C106" s="170">
        <v>0</v>
      </c>
      <c r="D106" s="171">
        <v>0</v>
      </c>
      <c r="E106" s="233">
        <f>SUM(E107:E109)</f>
        <v>0</v>
      </c>
      <c r="F106" s="233">
        <f>SUM(F107:F109)</f>
        <v>0</v>
      </c>
      <c r="G106" s="233">
        <f>SUM(G107:G109)</f>
        <v>0</v>
      </c>
      <c r="H106" s="233">
        <f t="shared" si="10"/>
        <v>0</v>
      </c>
      <c r="I106" s="233">
        <v>0</v>
      </c>
      <c r="J106" s="233">
        <f>SUM(J107:J109)</f>
        <v>0</v>
      </c>
      <c r="K106" s="233">
        <f>SUM(K107:K109)</f>
        <v>0</v>
      </c>
      <c r="L106" s="233">
        <f>SUM(L107:L109)</f>
        <v>0</v>
      </c>
      <c r="M106" s="233">
        <f t="shared" si="11"/>
        <v>0</v>
      </c>
      <c r="N106" s="233">
        <v>0</v>
      </c>
      <c r="O106" s="233">
        <f>SUM(O107:O109)</f>
        <v>0</v>
      </c>
      <c r="P106" s="233">
        <f>SUM(P107:P109)</f>
        <v>0</v>
      </c>
      <c r="Q106" s="233">
        <f>SUM(Q107:Q109)</f>
        <v>0</v>
      </c>
      <c r="R106" s="232">
        <f t="shared" si="12"/>
        <v>0</v>
      </c>
    </row>
    <row r="107" spans="1:18" s="6" customFormat="1" ht="24" hidden="1" customHeight="1">
      <c r="A107" s="136">
        <v>19550</v>
      </c>
      <c r="B107" s="172" t="s">
        <v>175</v>
      </c>
      <c r="C107" s="170"/>
      <c r="D107" s="171">
        <v>0</v>
      </c>
      <c r="E107" s="233"/>
      <c r="F107" s="233"/>
      <c r="G107" s="233"/>
      <c r="H107" s="233">
        <f t="shared" si="10"/>
        <v>0</v>
      </c>
      <c r="I107" s="233">
        <v>0</v>
      </c>
      <c r="J107" s="233"/>
      <c r="K107" s="233"/>
      <c r="L107" s="233"/>
      <c r="M107" s="233">
        <f t="shared" si="11"/>
        <v>0</v>
      </c>
      <c r="N107" s="233">
        <v>0</v>
      </c>
      <c r="O107" s="233"/>
      <c r="P107" s="233"/>
      <c r="Q107" s="233"/>
      <c r="R107" s="232">
        <f t="shared" si="12"/>
        <v>0</v>
      </c>
    </row>
    <row r="108" spans="1:18" s="6" customFormat="1" ht="36" hidden="1" customHeight="1">
      <c r="A108" s="136">
        <v>19560</v>
      </c>
      <c r="B108" s="172" t="s">
        <v>181</v>
      </c>
      <c r="C108" s="170"/>
      <c r="D108" s="171">
        <v>0</v>
      </c>
      <c r="E108" s="233"/>
      <c r="F108" s="233"/>
      <c r="G108" s="233"/>
      <c r="H108" s="233">
        <f t="shared" si="10"/>
        <v>0</v>
      </c>
      <c r="I108" s="233">
        <v>0</v>
      </c>
      <c r="J108" s="233"/>
      <c r="K108" s="233"/>
      <c r="L108" s="233"/>
      <c r="M108" s="233">
        <f t="shared" si="11"/>
        <v>0</v>
      </c>
      <c r="N108" s="233">
        <v>0</v>
      </c>
      <c r="O108" s="233"/>
      <c r="P108" s="233"/>
      <c r="Q108" s="233"/>
      <c r="R108" s="232">
        <f t="shared" si="12"/>
        <v>0</v>
      </c>
    </row>
    <row r="109" spans="1:18" s="6" customFormat="1" ht="72" hidden="1" customHeight="1">
      <c r="A109" s="136">
        <v>19570</v>
      </c>
      <c r="B109" s="172" t="s">
        <v>182</v>
      </c>
      <c r="C109" s="170"/>
      <c r="D109" s="171">
        <v>0</v>
      </c>
      <c r="E109" s="233"/>
      <c r="F109" s="233"/>
      <c r="G109" s="233"/>
      <c r="H109" s="233">
        <f t="shared" si="10"/>
        <v>0</v>
      </c>
      <c r="I109" s="233">
        <v>0</v>
      </c>
      <c r="J109" s="233"/>
      <c r="K109" s="233"/>
      <c r="L109" s="233"/>
      <c r="M109" s="233">
        <f t="shared" si="11"/>
        <v>0</v>
      </c>
      <c r="N109" s="233">
        <v>0</v>
      </c>
      <c r="O109" s="233"/>
      <c r="P109" s="233"/>
      <c r="Q109" s="233"/>
      <c r="R109" s="232">
        <f t="shared" si="12"/>
        <v>0</v>
      </c>
    </row>
    <row r="110" spans="1:18" s="6" customFormat="1" ht="24" hidden="1" customHeight="1">
      <c r="A110" s="209" t="s">
        <v>222</v>
      </c>
      <c r="B110" s="208" t="s">
        <v>216</v>
      </c>
      <c r="C110" s="106">
        <f>C111</f>
        <v>0</v>
      </c>
      <c r="D110" s="107">
        <v>0</v>
      </c>
      <c r="E110" s="232">
        <f t="shared" ref="E110:L110" si="16">E111</f>
        <v>0</v>
      </c>
      <c r="F110" s="233">
        <f t="shared" si="16"/>
        <v>0</v>
      </c>
      <c r="G110" s="233">
        <f t="shared" si="16"/>
        <v>0</v>
      </c>
      <c r="H110" s="233">
        <f t="shared" si="10"/>
        <v>0</v>
      </c>
      <c r="I110" s="233">
        <v>0</v>
      </c>
      <c r="J110" s="233">
        <f t="shared" si="16"/>
        <v>0</v>
      </c>
      <c r="K110" s="233">
        <f t="shared" si="16"/>
        <v>0</v>
      </c>
      <c r="L110" s="233">
        <f t="shared" si="16"/>
        <v>0</v>
      </c>
      <c r="M110" s="233">
        <f t="shared" si="11"/>
        <v>0</v>
      </c>
      <c r="N110" s="233">
        <v>0</v>
      </c>
      <c r="O110" s="233">
        <f>O111</f>
        <v>0</v>
      </c>
      <c r="P110" s="233">
        <f>P111</f>
        <v>0</v>
      </c>
      <c r="Q110" s="233">
        <f>Q111</f>
        <v>0</v>
      </c>
      <c r="R110" s="232">
        <f t="shared" si="12"/>
        <v>0</v>
      </c>
    </row>
    <row r="111" spans="1:18" s="6" customFormat="1" ht="36" hidden="1" customHeight="1">
      <c r="A111" s="209">
        <v>17100</v>
      </c>
      <c r="B111" s="208" t="s">
        <v>217</v>
      </c>
      <c r="C111" s="106">
        <f>SUM(C112:C115)</f>
        <v>0</v>
      </c>
      <c r="D111" s="107">
        <v>0</v>
      </c>
      <c r="E111" s="232">
        <f>SUM(E112:E115)</f>
        <v>0</v>
      </c>
      <c r="F111" s="233">
        <f>SUM(F112:F115)</f>
        <v>0</v>
      </c>
      <c r="G111" s="233">
        <f>SUM(G112:G115)</f>
        <v>0</v>
      </c>
      <c r="H111" s="233">
        <f t="shared" si="10"/>
        <v>0</v>
      </c>
      <c r="I111" s="233">
        <v>0</v>
      </c>
      <c r="J111" s="233">
        <f>SUM(J112:J115)</f>
        <v>0</v>
      </c>
      <c r="K111" s="233">
        <f>SUM(K112:K115)</f>
        <v>0</v>
      </c>
      <c r="L111" s="233">
        <f>SUM(L112:L115)</f>
        <v>0</v>
      </c>
      <c r="M111" s="233">
        <f t="shared" si="11"/>
        <v>0</v>
      </c>
      <c r="N111" s="233">
        <v>0</v>
      </c>
      <c r="O111" s="233">
        <f>SUM(O112:O115)</f>
        <v>0</v>
      </c>
      <c r="P111" s="233">
        <f>SUM(P112:P115)</f>
        <v>0</v>
      </c>
      <c r="Q111" s="233">
        <f>SUM(Q112:Q115)</f>
        <v>0</v>
      </c>
      <c r="R111" s="232">
        <f t="shared" si="12"/>
        <v>0</v>
      </c>
    </row>
    <row r="112" spans="1:18" s="6" customFormat="1" ht="48" hidden="1" customHeight="1">
      <c r="A112" s="149">
        <v>17110</v>
      </c>
      <c r="B112" s="208" t="s">
        <v>218</v>
      </c>
      <c r="C112" s="106"/>
      <c r="D112" s="107">
        <v>0</v>
      </c>
      <c r="E112" s="233"/>
      <c r="F112" s="233"/>
      <c r="G112" s="233"/>
      <c r="H112" s="233">
        <f t="shared" si="10"/>
        <v>0</v>
      </c>
      <c r="I112" s="233">
        <v>0</v>
      </c>
      <c r="J112" s="233"/>
      <c r="K112" s="233"/>
      <c r="L112" s="233"/>
      <c r="M112" s="233">
        <f t="shared" si="11"/>
        <v>0</v>
      </c>
      <c r="N112" s="233">
        <v>0</v>
      </c>
      <c r="O112" s="233"/>
      <c r="P112" s="233"/>
      <c r="Q112" s="233"/>
      <c r="R112" s="232">
        <f t="shared" si="12"/>
        <v>0</v>
      </c>
    </row>
    <row r="113" spans="1:18" s="6" customFormat="1" ht="48" hidden="1" customHeight="1">
      <c r="A113" s="149">
        <v>17120</v>
      </c>
      <c r="B113" s="208" t="s">
        <v>219</v>
      </c>
      <c r="C113" s="106"/>
      <c r="D113" s="107">
        <v>0</v>
      </c>
      <c r="E113" s="233"/>
      <c r="F113" s="233"/>
      <c r="G113" s="233"/>
      <c r="H113" s="233">
        <f t="shared" si="10"/>
        <v>0</v>
      </c>
      <c r="I113" s="233">
        <v>0</v>
      </c>
      <c r="J113" s="233"/>
      <c r="K113" s="233"/>
      <c r="L113" s="233"/>
      <c r="M113" s="233">
        <f t="shared" si="11"/>
        <v>0</v>
      </c>
      <c r="N113" s="233">
        <v>0</v>
      </c>
      <c r="O113" s="233"/>
      <c r="P113" s="233"/>
      <c r="Q113" s="233"/>
      <c r="R113" s="232">
        <f t="shared" si="12"/>
        <v>0</v>
      </c>
    </row>
    <row r="114" spans="1:18" s="6" customFormat="1" ht="96" hidden="1" customHeight="1">
      <c r="A114" s="149">
        <v>17130</v>
      </c>
      <c r="B114" s="208" t="s">
        <v>220</v>
      </c>
      <c r="C114" s="106"/>
      <c r="D114" s="107">
        <v>0</v>
      </c>
      <c r="E114" s="233"/>
      <c r="F114" s="233"/>
      <c r="G114" s="233"/>
      <c r="H114" s="233">
        <f t="shared" si="10"/>
        <v>0</v>
      </c>
      <c r="I114" s="233">
        <v>0</v>
      </c>
      <c r="J114" s="233"/>
      <c r="K114" s="233"/>
      <c r="L114" s="233"/>
      <c r="M114" s="233">
        <f t="shared" si="11"/>
        <v>0</v>
      </c>
      <c r="N114" s="233">
        <v>0</v>
      </c>
      <c r="O114" s="233"/>
      <c r="P114" s="233"/>
      <c r="Q114" s="233"/>
      <c r="R114" s="232">
        <f t="shared" si="12"/>
        <v>0</v>
      </c>
    </row>
    <row r="115" spans="1:18" s="6" customFormat="1" ht="96" hidden="1" customHeight="1">
      <c r="A115" s="149">
        <v>17140</v>
      </c>
      <c r="B115" s="208" t="s">
        <v>221</v>
      </c>
      <c r="C115" s="106"/>
      <c r="D115" s="107">
        <v>0</v>
      </c>
      <c r="E115" s="233"/>
      <c r="F115" s="233"/>
      <c r="G115" s="233"/>
      <c r="H115" s="233">
        <f t="shared" si="10"/>
        <v>0</v>
      </c>
      <c r="I115" s="233">
        <v>0</v>
      </c>
      <c r="J115" s="233"/>
      <c r="K115" s="233"/>
      <c r="L115" s="233"/>
      <c r="M115" s="233">
        <f t="shared" si="11"/>
        <v>0</v>
      </c>
      <c r="N115" s="233">
        <v>0</v>
      </c>
      <c r="O115" s="233"/>
      <c r="P115" s="233"/>
      <c r="Q115" s="233"/>
      <c r="R115" s="232">
        <f t="shared" si="12"/>
        <v>0</v>
      </c>
    </row>
    <row r="116" spans="1:18" s="6" customFormat="1" ht="12">
      <c r="A116" s="137">
        <v>21700</v>
      </c>
      <c r="B116" s="124" t="s">
        <v>97</v>
      </c>
      <c r="C116" s="170">
        <v>26983321</v>
      </c>
      <c r="D116" s="171">
        <v>27465831</v>
      </c>
      <c r="E116" s="233">
        <f>E117+E118</f>
        <v>0</v>
      </c>
      <c r="F116" s="233">
        <f>F117+F118</f>
        <v>3673642</v>
      </c>
      <c r="G116" s="233">
        <f>G117+G118</f>
        <v>1705301</v>
      </c>
      <c r="H116" s="233">
        <f t="shared" si="10"/>
        <v>32844774</v>
      </c>
      <c r="I116" s="233">
        <v>27470366</v>
      </c>
      <c r="J116" s="233">
        <f>J117+J118</f>
        <v>0</v>
      </c>
      <c r="K116" s="233">
        <f>K117+K118</f>
        <v>2845166</v>
      </c>
      <c r="L116" s="233">
        <f>L117+L118</f>
        <v>2126142</v>
      </c>
      <c r="M116" s="233">
        <f t="shared" si="11"/>
        <v>32441674</v>
      </c>
      <c r="N116" s="233">
        <v>27445174</v>
      </c>
      <c r="O116" s="233">
        <f>O117+O118</f>
        <v>0</v>
      </c>
      <c r="P116" s="233">
        <f>P117+P118</f>
        <v>2829032</v>
      </c>
      <c r="Q116" s="233">
        <f>Q117+Q118</f>
        <v>1729234</v>
      </c>
      <c r="R116" s="232">
        <f t="shared" si="12"/>
        <v>32003440</v>
      </c>
    </row>
    <row r="117" spans="1:18" s="6" customFormat="1" ht="24">
      <c r="A117" s="138">
        <v>21710</v>
      </c>
      <c r="B117" s="125" t="s">
        <v>98</v>
      </c>
      <c r="C117" s="170">
        <v>26983321</v>
      </c>
      <c r="D117" s="171">
        <v>27465831</v>
      </c>
      <c r="E117" s="233"/>
      <c r="F117" s="233">
        <f>F119</f>
        <v>3673642</v>
      </c>
      <c r="G117" s="233">
        <f>G119</f>
        <v>1705301</v>
      </c>
      <c r="H117" s="233">
        <f t="shared" si="10"/>
        <v>32844774</v>
      </c>
      <c r="I117" s="233">
        <v>27470366</v>
      </c>
      <c r="J117" s="233"/>
      <c r="K117" s="233">
        <f>K119</f>
        <v>2845166</v>
      </c>
      <c r="L117" s="233">
        <f>L119</f>
        <v>2126142</v>
      </c>
      <c r="M117" s="233">
        <f t="shared" si="11"/>
        <v>32441674</v>
      </c>
      <c r="N117" s="233">
        <v>27445174</v>
      </c>
      <c r="O117" s="233"/>
      <c r="P117" s="233">
        <f>P119</f>
        <v>2829032</v>
      </c>
      <c r="Q117" s="233">
        <f>Q119</f>
        <v>1729234</v>
      </c>
      <c r="R117" s="232">
        <f t="shared" si="12"/>
        <v>32003440</v>
      </c>
    </row>
    <row r="118" spans="1:18" s="6" customFormat="1" ht="24" hidden="1" customHeight="1">
      <c r="A118" s="138">
        <v>21720</v>
      </c>
      <c r="B118" s="125" t="s">
        <v>99</v>
      </c>
      <c r="C118" s="170"/>
      <c r="D118" s="171">
        <v>0</v>
      </c>
      <c r="E118" s="233"/>
      <c r="F118" s="233"/>
      <c r="G118" s="233"/>
      <c r="H118" s="233">
        <f t="shared" si="10"/>
        <v>0</v>
      </c>
      <c r="I118" s="233">
        <v>0</v>
      </c>
      <c r="J118" s="233"/>
      <c r="K118" s="233"/>
      <c r="L118" s="233"/>
      <c r="M118" s="233">
        <f t="shared" si="11"/>
        <v>0</v>
      </c>
      <c r="N118" s="233">
        <v>0</v>
      </c>
      <c r="O118" s="233"/>
      <c r="P118" s="233"/>
      <c r="Q118" s="233"/>
      <c r="R118" s="232">
        <f t="shared" si="12"/>
        <v>0</v>
      </c>
    </row>
    <row r="119" spans="1:18" s="6" customFormat="1" ht="11.4">
      <c r="A119" s="129" t="s">
        <v>100</v>
      </c>
      <c r="B119" s="123" t="s">
        <v>101</v>
      </c>
      <c r="C119" s="168">
        <v>27440071</v>
      </c>
      <c r="D119" s="175">
        <v>27922581</v>
      </c>
      <c r="E119" s="243">
        <f>E120+E147</f>
        <v>0</v>
      </c>
      <c r="F119" s="243">
        <f>F120+F147</f>
        <v>3673642</v>
      </c>
      <c r="G119" s="243">
        <f>G120+G147</f>
        <v>1705301</v>
      </c>
      <c r="H119" s="243">
        <f t="shared" si="10"/>
        <v>33301524</v>
      </c>
      <c r="I119" s="243">
        <v>27927116</v>
      </c>
      <c r="J119" s="243">
        <f>J120+J147</f>
        <v>0</v>
      </c>
      <c r="K119" s="243">
        <f>K120+K147</f>
        <v>2845166</v>
      </c>
      <c r="L119" s="243">
        <f>L120+L147</f>
        <v>2126142</v>
      </c>
      <c r="M119" s="243">
        <f t="shared" si="11"/>
        <v>32898424</v>
      </c>
      <c r="N119" s="243">
        <v>27901924</v>
      </c>
      <c r="O119" s="243">
        <f>O120+O147</f>
        <v>0</v>
      </c>
      <c r="P119" s="243">
        <f>P120+P147</f>
        <v>2829032</v>
      </c>
      <c r="Q119" s="243">
        <f>Q120+Q147</f>
        <v>1729234</v>
      </c>
      <c r="R119" s="229">
        <f t="shared" si="12"/>
        <v>32460190</v>
      </c>
    </row>
    <row r="120" spans="1:18" s="6" customFormat="1" ht="20.399999999999999">
      <c r="A120" s="130" t="s">
        <v>102</v>
      </c>
      <c r="B120" s="124" t="s">
        <v>103</v>
      </c>
      <c r="C120" s="170">
        <v>27385071</v>
      </c>
      <c r="D120" s="171">
        <v>27867581</v>
      </c>
      <c r="E120" s="233">
        <f>E121+E125+E126+E129+E132</f>
        <v>-20000</v>
      </c>
      <c r="F120" s="233">
        <f>F121+F125+F126+F129+F132</f>
        <v>3264156</v>
      </c>
      <c r="G120" s="233">
        <f>G121+G125+G126+G129+G132</f>
        <v>1633601</v>
      </c>
      <c r="H120" s="233">
        <f t="shared" si="10"/>
        <v>32745338</v>
      </c>
      <c r="I120" s="233">
        <v>27872116</v>
      </c>
      <c r="J120" s="233">
        <f>J121+J125+J126+J129+J132</f>
        <v>-20000</v>
      </c>
      <c r="K120" s="233">
        <f>K121+K125+K126+K129+K132</f>
        <v>2845166</v>
      </c>
      <c r="L120" s="233">
        <f>L121+L125+L126+L129+L132</f>
        <v>2100062</v>
      </c>
      <c r="M120" s="233">
        <f t="shared" si="11"/>
        <v>32797344</v>
      </c>
      <c r="N120" s="233">
        <v>27846924</v>
      </c>
      <c r="O120" s="233">
        <f>O121+O125+O126+O129+O132</f>
        <v>-20000</v>
      </c>
      <c r="P120" s="233">
        <f>P121+P125+P126+P129+P132</f>
        <v>2829032</v>
      </c>
      <c r="Q120" s="233">
        <f>Q121+Q125+Q126+Q129+Q132</f>
        <v>1729234</v>
      </c>
      <c r="R120" s="232">
        <f t="shared" si="12"/>
        <v>32385190</v>
      </c>
    </row>
    <row r="121" spans="1:18" s="6" customFormat="1" ht="12">
      <c r="A121" s="130" t="s">
        <v>104</v>
      </c>
      <c r="B121" s="124" t="s">
        <v>105</v>
      </c>
      <c r="C121" s="170">
        <v>24085496</v>
      </c>
      <c r="D121" s="171">
        <v>24107406</v>
      </c>
      <c r="E121" s="233">
        <f>E122+E124</f>
        <v>-20000</v>
      </c>
      <c r="F121" s="233">
        <f>F122+F124</f>
        <v>3259156</v>
      </c>
      <c r="G121" s="233">
        <f>G122+G124</f>
        <v>1563601</v>
      </c>
      <c r="H121" s="233">
        <f t="shared" si="10"/>
        <v>28910163</v>
      </c>
      <c r="I121" s="233">
        <v>24111941</v>
      </c>
      <c r="J121" s="233">
        <f>J122+J124</f>
        <v>-20000</v>
      </c>
      <c r="K121" s="233">
        <f>K122+K124</f>
        <v>2840166</v>
      </c>
      <c r="L121" s="233">
        <f>L122+L124</f>
        <v>2050062</v>
      </c>
      <c r="M121" s="233">
        <f t="shared" si="11"/>
        <v>28982169</v>
      </c>
      <c r="N121" s="233">
        <v>24086749</v>
      </c>
      <c r="O121" s="233">
        <f>O122+O124</f>
        <v>-20000</v>
      </c>
      <c r="P121" s="233">
        <f>P122+P124</f>
        <v>2824032</v>
      </c>
      <c r="Q121" s="233">
        <f>Q122+Q124</f>
        <v>1679234</v>
      </c>
      <c r="R121" s="232">
        <f t="shared" si="12"/>
        <v>28570015</v>
      </c>
    </row>
    <row r="122" spans="1:18" s="29" customFormat="1" ht="12">
      <c r="A122" s="132">
        <v>1000</v>
      </c>
      <c r="B122" s="125" t="s">
        <v>106</v>
      </c>
      <c r="C122" s="170">
        <v>11846117</v>
      </c>
      <c r="D122" s="171">
        <v>11944603</v>
      </c>
      <c r="E122" s="244"/>
      <c r="F122" s="233">
        <f>167940+697411+430096+10000+16484+44061+15759</f>
        <v>1381751</v>
      </c>
      <c r="G122" s="233">
        <f>593649+10867+80972+26424+52372+407238</f>
        <v>1171522</v>
      </c>
      <c r="H122" s="233">
        <f t="shared" si="10"/>
        <v>14497876</v>
      </c>
      <c r="I122" s="233">
        <v>11944603</v>
      </c>
      <c r="J122" s="233"/>
      <c r="K122" s="233">
        <f>167940+1089081+453970+16484+44061+15759</f>
        <v>1787295</v>
      </c>
      <c r="L122" s="233">
        <f>634086+10867+79412+11168+60304+727837</f>
        <v>1523674</v>
      </c>
      <c r="M122" s="233">
        <f t="shared" si="11"/>
        <v>15255572</v>
      </c>
      <c r="N122" s="233">
        <v>11944603</v>
      </c>
      <c r="O122" s="233"/>
      <c r="P122" s="233">
        <f>167940+1089081+409673+44061+15759+16484</f>
        <v>1742998</v>
      </c>
      <c r="Q122" s="233">
        <f>634086+10867+79412+53375+727837</f>
        <v>1505577</v>
      </c>
      <c r="R122" s="232">
        <f t="shared" si="12"/>
        <v>15193178</v>
      </c>
    </row>
    <row r="123" spans="1:18" s="89" customFormat="1" ht="12">
      <c r="A123" s="139">
        <v>1100</v>
      </c>
      <c r="B123" s="125" t="s">
        <v>107</v>
      </c>
      <c r="C123" s="170">
        <v>6664698</v>
      </c>
      <c r="D123" s="171">
        <v>6828253</v>
      </c>
      <c r="E123" s="233">
        <v>71508</v>
      </c>
      <c r="F123" s="233">
        <f>234474+142903+10000+13284+11880+12045</f>
        <v>424586</v>
      </c>
      <c r="G123" s="233">
        <f>8516+29077+24400+40752+179765+139425</f>
        <v>421935</v>
      </c>
      <c r="H123" s="233">
        <f t="shared" si="10"/>
        <v>7746282</v>
      </c>
      <c r="I123" s="233">
        <v>6828253</v>
      </c>
      <c r="J123" s="233">
        <v>71508</v>
      </c>
      <c r="K123" s="233">
        <f>405821+152353+13284+11880+12045</f>
        <v>595383</v>
      </c>
      <c r="L123" s="233">
        <f>8516+29077+9000+47020+179765+166815+225060</f>
        <v>665253</v>
      </c>
      <c r="M123" s="233">
        <f t="shared" si="11"/>
        <v>8160397</v>
      </c>
      <c r="N123" s="233">
        <v>6828253</v>
      </c>
      <c r="O123" s="233">
        <v>71508</v>
      </c>
      <c r="P123" s="233">
        <f>405821+135287+12045+11880+13284</f>
        <v>578317</v>
      </c>
      <c r="Q123" s="233">
        <f>8516+29077+41436+179765+166815+225060</f>
        <v>650669</v>
      </c>
      <c r="R123" s="232">
        <f t="shared" si="12"/>
        <v>8128747</v>
      </c>
    </row>
    <row r="124" spans="1:18" s="89" customFormat="1" ht="12">
      <c r="A124" s="132">
        <v>2000</v>
      </c>
      <c r="B124" s="125" t="s">
        <v>108</v>
      </c>
      <c r="C124" s="170">
        <v>12239379</v>
      </c>
      <c r="D124" s="171">
        <v>12162803</v>
      </c>
      <c r="E124" s="233">
        <v>-20000</v>
      </c>
      <c r="F124" s="233">
        <f>297676+311440+152673+587810+53384+13000+27004+440716-6298</f>
        <v>1877405</v>
      </c>
      <c r="G124" s="233">
        <f>223+50179+157724+8080+175873</f>
        <v>392079</v>
      </c>
      <c r="H124" s="233">
        <f t="shared" si="10"/>
        <v>14412287</v>
      </c>
      <c r="I124" s="233">
        <v>12167338</v>
      </c>
      <c r="J124" s="233">
        <v>-20000</v>
      </c>
      <c r="K124" s="233">
        <f>286557+291892+13000+27004+440716-6298</f>
        <v>1052871</v>
      </c>
      <c r="L124" s="233">
        <f>223+16502+300664+6281+202718</f>
        <v>526388</v>
      </c>
      <c r="M124" s="233">
        <f t="shared" si="11"/>
        <v>13726597</v>
      </c>
      <c r="N124" s="233">
        <v>12142146</v>
      </c>
      <c r="O124" s="233">
        <v>-20000</v>
      </c>
      <c r="P124" s="233">
        <f>306651+274769+13000+27004+440716+18894</f>
        <v>1081034</v>
      </c>
      <c r="Q124" s="233">
        <f>223+16502+5443+151489</f>
        <v>173657</v>
      </c>
      <c r="R124" s="232">
        <f t="shared" si="12"/>
        <v>13376837</v>
      </c>
    </row>
    <row r="125" spans="1:18" s="89" customFormat="1" ht="12">
      <c r="A125" s="140">
        <v>4000</v>
      </c>
      <c r="B125" s="124" t="s">
        <v>132</v>
      </c>
      <c r="C125" s="170"/>
      <c r="D125" s="171">
        <v>0</v>
      </c>
      <c r="E125" s="244"/>
      <c r="F125" s="233"/>
      <c r="G125" s="233"/>
      <c r="H125" s="233">
        <f t="shared" si="10"/>
        <v>0</v>
      </c>
      <c r="I125" s="233">
        <v>0</v>
      </c>
      <c r="J125" s="233"/>
      <c r="K125" s="233"/>
      <c r="L125" s="233"/>
      <c r="M125" s="233">
        <f t="shared" si="11"/>
        <v>0</v>
      </c>
      <c r="N125" s="233">
        <v>0</v>
      </c>
      <c r="O125" s="233"/>
      <c r="P125" s="233"/>
      <c r="Q125" s="233"/>
      <c r="R125" s="232">
        <f t="shared" si="12"/>
        <v>0</v>
      </c>
    </row>
    <row r="126" spans="1:18" s="89" customFormat="1" ht="12">
      <c r="A126" s="140" t="s">
        <v>109</v>
      </c>
      <c r="B126" s="124" t="s">
        <v>110</v>
      </c>
      <c r="C126" s="170">
        <v>1055</v>
      </c>
      <c r="D126" s="171">
        <v>1055</v>
      </c>
      <c r="E126" s="233">
        <f>E127+E128</f>
        <v>0</v>
      </c>
      <c r="F126" s="233">
        <f>F127+F128</f>
        <v>5000</v>
      </c>
      <c r="G126" s="233">
        <f>G127+G128</f>
        <v>50000</v>
      </c>
      <c r="H126" s="233">
        <f t="shared" si="10"/>
        <v>56055</v>
      </c>
      <c r="I126" s="233">
        <v>1055</v>
      </c>
      <c r="J126" s="233">
        <f>J127+J128</f>
        <v>0</v>
      </c>
      <c r="K126" s="233">
        <f>K127+K128</f>
        <v>5000</v>
      </c>
      <c r="L126" s="233">
        <f>L127+L128</f>
        <v>50000</v>
      </c>
      <c r="M126" s="233">
        <f t="shared" si="11"/>
        <v>56055</v>
      </c>
      <c r="N126" s="233">
        <v>1055</v>
      </c>
      <c r="O126" s="233">
        <f>O127+O128</f>
        <v>0</v>
      </c>
      <c r="P126" s="233">
        <f>P127+P128</f>
        <v>5000</v>
      </c>
      <c r="Q126" s="233">
        <f>Q127+Q128</f>
        <v>50000</v>
      </c>
      <c r="R126" s="232">
        <f t="shared" si="12"/>
        <v>56055</v>
      </c>
    </row>
    <row r="127" spans="1:18" s="89" customFormat="1" ht="12">
      <c r="A127" s="132">
        <v>3000</v>
      </c>
      <c r="B127" s="125" t="s">
        <v>111</v>
      </c>
      <c r="C127" s="202"/>
      <c r="D127" s="213">
        <v>0</v>
      </c>
      <c r="E127" s="246"/>
      <c r="F127" s="345">
        <v>5000</v>
      </c>
      <c r="G127" s="345"/>
      <c r="H127" s="233">
        <f t="shared" si="10"/>
        <v>5000</v>
      </c>
      <c r="I127" s="233"/>
      <c r="J127" s="345"/>
      <c r="K127" s="345">
        <v>5000</v>
      </c>
      <c r="L127" s="345"/>
      <c r="M127" s="233">
        <f t="shared" si="11"/>
        <v>5000</v>
      </c>
      <c r="N127" s="233"/>
      <c r="O127" s="345"/>
      <c r="P127" s="345">
        <v>5000</v>
      </c>
      <c r="Q127" s="345"/>
      <c r="R127" s="232">
        <f t="shared" si="12"/>
        <v>5000</v>
      </c>
    </row>
    <row r="128" spans="1:18" s="89" customFormat="1" ht="12">
      <c r="A128" s="132">
        <v>6000</v>
      </c>
      <c r="B128" s="125" t="s">
        <v>112</v>
      </c>
      <c r="C128" s="203">
        <v>1055</v>
      </c>
      <c r="D128" s="287">
        <v>1055</v>
      </c>
      <c r="E128" s="248"/>
      <c r="F128" s="346"/>
      <c r="G128" s="345">
        <v>50000</v>
      </c>
      <c r="H128" s="233">
        <f t="shared" si="10"/>
        <v>51055</v>
      </c>
      <c r="I128" s="346">
        <v>1055</v>
      </c>
      <c r="J128" s="346"/>
      <c r="K128" s="346"/>
      <c r="L128" s="346">
        <v>50000</v>
      </c>
      <c r="M128" s="233">
        <f t="shared" si="11"/>
        <v>51055</v>
      </c>
      <c r="N128" s="346">
        <v>1055</v>
      </c>
      <c r="O128" s="346"/>
      <c r="P128" s="346"/>
      <c r="Q128" s="346">
        <v>50000</v>
      </c>
      <c r="R128" s="232">
        <f t="shared" si="12"/>
        <v>51055</v>
      </c>
    </row>
    <row r="129" spans="1:18" s="89" customFormat="1" ht="22.8">
      <c r="A129" s="140" t="s">
        <v>113</v>
      </c>
      <c r="B129" s="124" t="s">
        <v>183</v>
      </c>
      <c r="C129" s="170">
        <v>3290000</v>
      </c>
      <c r="D129" s="171">
        <v>3750600</v>
      </c>
      <c r="E129" s="233">
        <f>E130+E131</f>
        <v>0</v>
      </c>
      <c r="F129" s="233">
        <f>F130+F131</f>
        <v>0</v>
      </c>
      <c r="G129" s="233">
        <f>G130+G131</f>
        <v>0</v>
      </c>
      <c r="H129" s="233">
        <f t="shared" si="10"/>
        <v>3750600</v>
      </c>
      <c r="I129" s="233">
        <v>3750600</v>
      </c>
      <c r="J129" s="233">
        <f>J130+J131</f>
        <v>0</v>
      </c>
      <c r="K129" s="233">
        <f>K130+K131</f>
        <v>0</v>
      </c>
      <c r="L129" s="233">
        <f>L130+L131</f>
        <v>0</v>
      </c>
      <c r="M129" s="233">
        <f t="shared" si="11"/>
        <v>3750600</v>
      </c>
      <c r="N129" s="233">
        <v>3750600</v>
      </c>
      <c r="O129" s="233">
        <f>O130+O131</f>
        <v>0</v>
      </c>
      <c r="P129" s="233">
        <f>P130+P131</f>
        <v>0</v>
      </c>
      <c r="Q129" s="233">
        <f>Q130+Q131</f>
        <v>0</v>
      </c>
      <c r="R129" s="232">
        <f t="shared" si="12"/>
        <v>3750600</v>
      </c>
    </row>
    <row r="130" spans="1:18" s="89" customFormat="1" ht="12" hidden="1" customHeight="1">
      <c r="A130" s="132">
        <v>7600</v>
      </c>
      <c r="B130" s="179" t="s">
        <v>184</v>
      </c>
      <c r="C130" s="170"/>
      <c r="D130" s="171">
        <v>0</v>
      </c>
      <c r="E130" s="244"/>
      <c r="F130" s="233"/>
      <c r="G130" s="233"/>
      <c r="H130" s="233">
        <f t="shared" si="10"/>
        <v>0</v>
      </c>
      <c r="I130" s="233">
        <v>0</v>
      </c>
      <c r="J130" s="233"/>
      <c r="K130" s="233"/>
      <c r="L130" s="233"/>
      <c r="M130" s="233">
        <f t="shared" si="11"/>
        <v>0</v>
      </c>
      <c r="N130" s="233">
        <v>0</v>
      </c>
      <c r="O130" s="233"/>
      <c r="P130" s="233"/>
      <c r="Q130" s="233"/>
      <c r="R130" s="232">
        <f t="shared" si="12"/>
        <v>0</v>
      </c>
    </row>
    <row r="131" spans="1:18" s="89" customFormat="1" ht="12">
      <c r="A131" s="132">
        <v>7700</v>
      </c>
      <c r="B131" s="126" t="s">
        <v>114</v>
      </c>
      <c r="C131" s="170">
        <v>3290000</v>
      </c>
      <c r="D131" s="171">
        <v>3750600</v>
      </c>
      <c r="E131" s="244"/>
      <c r="F131" s="233"/>
      <c r="G131" s="233"/>
      <c r="H131" s="233">
        <f t="shared" si="10"/>
        <v>3750600</v>
      </c>
      <c r="I131" s="233">
        <v>3750600</v>
      </c>
      <c r="J131" s="233"/>
      <c r="K131" s="233"/>
      <c r="L131" s="233"/>
      <c r="M131" s="233">
        <f t="shared" si="11"/>
        <v>3750600</v>
      </c>
      <c r="N131" s="233">
        <v>3750600</v>
      </c>
      <c r="O131" s="233"/>
      <c r="P131" s="233"/>
      <c r="Q131" s="233"/>
      <c r="R131" s="232">
        <f t="shared" si="12"/>
        <v>3750600</v>
      </c>
    </row>
    <row r="132" spans="1:18" s="89" customFormat="1" ht="20.399999999999999">
      <c r="A132" s="140" t="s">
        <v>185</v>
      </c>
      <c r="B132" s="124" t="s">
        <v>115</v>
      </c>
      <c r="C132" s="170">
        <v>8520</v>
      </c>
      <c r="D132" s="171">
        <v>8520</v>
      </c>
      <c r="E132" s="233">
        <f>E133+E139+E143+E146</f>
        <v>0</v>
      </c>
      <c r="F132" s="233">
        <f>F133+F139+F143+F146</f>
        <v>0</v>
      </c>
      <c r="G132" s="233">
        <f>G133+G139+G143+G146</f>
        <v>20000</v>
      </c>
      <c r="H132" s="233">
        <f t="shared" si="10"/>
        <v>28520</v>
      </c>
      <c r="I132" s="233">
        <v>8520</v>
      </c>
      <c r="J132" s="233">
        <f>J133+J139+J143+J146</f>
        <v>0</v>
      </c>
      <c r="K132" s="233">
        <f>K133+K139+K143+K146</f>
        <v>0</v>
      </c>
      <c r="L132" s="233">
        <f>L133+L139+L143+L146</f>
        <v>0</v>
      </c>
      <c r="M132" s="233">
        <f t="shared" si="11"/>
        <v>8520</v>
      </c>
      <c r="N132" s="233">
        <v>8520</v>
      </c>
      <c r="O132" s="233">
        <f>O133+O139+O143+O146</f>
        <v>0</v>
      </c>
      <c r="P132" s="233">
        <f>P133+P139+P143+P146</f>
        <v>0</v>
      </c>
      <c r="Q132" s="233">
        <f>Q133+Q139+Q143+Q146</f>
        <v>0</v>
      </c>
      <c r="R132" s="232">
        <f t="shared" si="12"/>
        <v>8520</v>
      </c>
    </row>
    <row r="133" spans="1:18" s="89" customFormat="1" ht="12">
      <c r="A133" s="132">
        <v>7100</v>
      </c>
      <c r="B133" s="179" t="s">
        <v>116</v>
      </c>
      <c r="C133" s="170">
        <v>8520</v>
      </c>
      <c r="D133" s="171">
        <v>8520</v>
      </c>
      <c r="E133" s="233">
        <f>E134+E135</f>
        <v>0</v>
      </c>
      <c r="F133" s="233">
        <f>F134+F135</f>
        <v>0</v>
      </c>
      <c r="G133" s="233">
        <f>G134+G135</f>
        <v>20000</v>
      </c>
      <c r="H133" s="233">
        <f t="shared" si="10"/>
        <v>28520</v>
      </c>
      <c r="I133" s="233">
        <v>8520</v>
      </c>
      <c r="J133" s="233">
        <f>J134+J135</f>
        <v>0</v>
      </c>
      <c r="K133" s="233">
        <f>K134+K135</f>
        <v>0</v>
      </c>
      <c r="L133" s="233">
        <f>L134+L135</f>
        <v>0</v>
      </c>
      <c r="M133" s="233">
        <f t="shared" si="11"/>
        <v>8520</v>
      </c>
      <c r="N133" s="233">
        <v>8520</v>
      </c>
      <c r="O133" s="233">
        <f>O134+O135</f>
        <v>0</v>
      </c>
      <c r="P133" s="233">
        <f>P134+P135</f>
        <v>0</v>
      </c>
      <c r="Q133" s="233">
        <f>Q134+Q135</f>
        <v>0</v>
      </c>
      <c r="R133" s="232">
        <f t="shared" si="12"/>
        <v>8520</v>
      </c>
    </row>
    <row r="134" spans="1:18" s="89" customFormat="1" ht="24">
      <c r="A134" s="133" t="s">
        <v>117</v>
      </c>
      <c r="B134" s="179" t="s">
        <v>118</v>
      </c>
      <c r="C134" s="170">
        <v>8520</v>
      </c>
      <c r="D134" s="171">
        <v>8520</v>
      </c>
      <c r="E134" s="233"/>
      <c r="F134" s="233"/>
      <c r="G134" s="233"/>
      <c r="H134" s="233">
        <f t="shared" si="10"/>
        <v>8520</v>
      </c>
      <c r="I134" s="233">
        <v>8520</v>
      </c>
      <c r="J134" s="233"/>
      <c r="K134" s="233"/>
      <c r="L134" s="233"/>
      <c r="M134" s="233">
        <f t="shared" si="11"/>
        <v>8520</v>
      </c>
      <c r="N134" s="233">
        <v>8520</v>
      </c>
      <c r="O134" s="233"/>
      <c r="P134" s="233"/>
      <c r="Q134" s="233"/>
      <c r="R134" s="232">
        <f t="shared" si="12"/>
        <v>8520</v>
      </c>
    </row>
    <row r="135" spans="1:18" s="89" customFormat="1" ht="24">
      <c r="A135" s="133">
        <v>7130</v>
      </c>
      <c r="B135" s="179" t="s">
        <v>119</v>
      </c>
      <c r="C135" s="170">
        <v>0</v>
      </c>
      <c r="D135" s="171">
        <v>0</v>
      </c>
      <c r="E135" s="233">
        <f>SUM(E136:E138)</f>
        <v>0</v>
      </c>
      <c r="F135" s="233">
        <f>SUM(F136:F138)</f>
        <v>0</v>
      </c>
      <c r="G135" s="233">
        <f>SUM(G136:G138)</f>
        <v>20000</v>
      </c>
      <c r="H135" s="233">
        <f t="shared" si="10"/>
        <v>20000</v>
      </c>
      <c r="I135" s="233">
        <v>0</v>
      </c>
      <c r="J135" s="233">
        <f>SUM(J136:J138)</f>
        <v>0</v>
      </c>
      <c r="K135" s="233">
        <f>SUM(K136:K138)</f>
        <v>0</v>
      </c>
      <c r="L135" s="233">
        <f>SUM(L136:L138)</f>
        <v>0</v>
      </c>
      <c r="M135" s="233">
        <f t="shared" si="11"/>
        <v>0</v>
      </c>
      <c r="N135" s="233">
        <v>0</v>
      </c>
      <c r="O135" s="233">
        <f>SUM(O136:O138)</f>
        <v>0</v>
      </c>
      <c r="P135" s="233">
        <f>SUM(P136:P138)</f>
        <v>0</v>
      </c>
      <c r="Q135" s="233">
        <f>SUM(Q136:Q138)</f>
        <v>0</v>
      </c>
      <c r="R135" s="232">
        <f t="shared" si="12"/>
        <v>0</v>
      </c>
    </row>
    <row r="136" spans="1:18" s="89" customFormat="1" ht="36">
      <c r="A136" s="134">
        <v>7131</v>
      </c>
      <c r="B136" s="179" t="s">
        <v>120</v>
      </c>
      <c r="C136" s="170"/>
      <c r="D136" s="171">
        <v>0</v>
      </c>
      <c r="E136" s="233"/>
      <c r="F136" s="233"/>
      <c r="G136" s="233">
        <v>20000</v>
      </c>
      <c r="H136" s="233">
        <f t="shared" si="10"/>
        <v>20000</v>
      </c>
      <c r="I136" s="233">
        <v>0</v>
      </c>
      <c r="J136" s="233"/>
      <c r="K136" s="233"/>
      <c r="L136" s="233"/>
      <c r="M136" s="233">
        <f t="shared" si="11"/>
        <v>0</v>
      </c>
      <c r="N136" s="233">
        <v>0</v>
      </c>
      <c r="O136" s="233"/>
      <c r="P136" s="233"/>
      <c r="Q136" s="233"/>
      <c r="R136" s="232">
        <f t="shared" si="12"/>
        <v>0</v>
      </c>
    </row>
    <row r="137" spans="1:18" s="29" customFormat="1" ht="36" hidden="1">
      <c r="A137" s="134">
        <v>7132</v>
      </c>
      <c r="B137" s="179" t="s">
        <v>121</v>
      </c>
      <c r="C137" s="170"/>
      <c r="D137" s="171">
        <v>0</v>
      </c>
      <c r="E137" s="233"/>
      <c r="F137" s="233"/>
      <c r="G137" s="233"/>
      <c r="H137" s="233">
        <f t="shared" si="10"/>
        <v>0</v>
      </c>
      <c r="I137" s="233">
        <v>0</v>
      </c>
      <c r="J137" s="233"/>
      <c r="K137" s="233"/>
      <c r="L137" s="233"/>
      <c r="M137" s="233">
        <f t="shared" si="11"/>
        <v>0</v>
      </c>
      <c r="N137" s="233">
        <v>0</v>
      </c>
      <c r="O137" s="233"/>
      <c r="P137" s="233"/>
      <c r="Q137" s="233"/>
      <c r="R137" s="232">
        <f t="shared" si="12"/>
        <v>0</v>
      </c>
    </row>
    <row r="138" spans="1:18" s="29" customFormat="1" ht="24" hidden="1">
      <c r="A138" s="134" t="s">
        <v>186</v>
      </c>
      <c r="B138" s="179" t="s">
        <v>187</v>
      </c>
      <c r="C138" s="170"/>
      <c r="D138" s="171">
        <v>0</v>
      </c>
      <c r="E138" s="233"/>
      <c r="F138" s="233"/>
      <c r="G138" s="233"/>
      <c r="H138" s="233">
        <f t="shared" ref="H138:H201" si="17">SUM(D138:G138)</f>
        <v>0</v>
      </c>
      <c r="I138" s="233">
        <v>0</v>
      </c>
      <c r="J138" s="233"/>
      <c r="K138" s="233"/>
      <c r="L138" s="233"/>
      <c r="M138" s="233">
        <f t="shared" ref="M138:M201" si="18">SUM(I138:L138)</f>
        <v>0</v>
      </c>
      <c r="N138" s="233">
        <v>0</v>
      </c>
      <c r="O138" s="233"/>
      <c r="P138" s="233"/>
      <c r="Q138" s="233"/>
      <c r="R138" s="232">
        <f t="shared" ref="R138:R201" si="19">SUM(N138:Q138)</f>
        <v>0</v>
      </c>
    </row>
    <row r="139" spans="1:18" s="29" customFormat="1" ht="24" hidden="1">
      <c r="A139" s="132">
        <v>7300</v>
      </c>
      <c r="B139" s="172" t="s">
        <v>155</v>
      </c>
      <c r="C139" s="170">
        <v>0</v>
      </c>
      <c r="D139" s="171">
        <v>0</v>
      </c>
      <c r="E139" s="233">
        <f>SUM(E140:E142)</f>
        <v>0</v>
      </c>
      <c r="F139" s="233">
        <f>SUM(F140:F142)</f>
        <v>0</v>
      </c>
      <c r="G139" s="233">
        <f>SUM(G140:G142)</f>
        <v>0</v>
      </c>
      <c r="H139" s="233">
        <f t="shared" si="17"/>
        <v>0</v>
      </c>
      <c r="I139" s="233">
        <v>0</v>
      </c>
      <c r="J139" s="233">
        <f>SUM(J140:J142)</f>
        <v>0</v>
      </c>
      <c r="K139" s="233">
        <f>SUM(K140:K142)</f>
        <v>0</v>
      </c>
      <c r="L139" s="233">
        <f>SUM(L140:L142)</f>
        <v>0</v>
      </c>
      <c r="M139" s="233">
        <f t="shared" si="18"/>
        <v>0</v>
      </c>
      <c r="N139" s="233">
        <v>0</v>
      </c>
      <c r="O139" s="233">
        <f>SUM(O140:O142)</f>
        <v>0</v>
      </c>
      <c r="P139" s="233">
        <f>SUM(P140:P142)</f>
        <v>0</v>
      </c>
      <c r="Q139" s="233">
        <f>SUM(Q140:Q142)</f>
        <v>0</v>
      </c>
      <c r="R139" s="232">
        <f t="shared" si="19"/>
        <v>0</v>
      </c>
    </row>
    <row r="140" spans="1:18" s="4" customFormat="1" ht="24" hidden="1">
      <c r="A140" s="133" t="s">
        <v>188</v>
      </c>
      <c r="B140" s="179" t="s">
        <v>170</v>
      </c>
      <c r="C140" s="204"/>
      <c r="D140" s="180">
        <v>0</v>
      </c>
      <c r="E140" s="252"/>
      <c r="F140" s="252"/>
      <c r="G140" s="252"/>
      <c r="H140" s="233">
        <f t="shared" si="17"/>
        <v>0</v>
      </c>
      <c r="I140" s="252">
        <v>0</v>
      </c>
      <c r="J140" s="252"/>
      <c r="K140" s="252"/>
      <c r="L140" s="252"/>
      <c r="M140" s="233">
        <f t="shared" si="18"/>
        <v>0</v>
      </c>
      <c r="N140" s="252">
        <v>0</v>
      </c>
      <c r="O140" s="252"/>
      <c r="P140" s="252"/>
      <c r="Q140" s="252"/>
      <c r="R140" s="232">
        <f t="shared" si="19"/>
        <v>0</v>
      </c>
    </row>
    <row r="141" spans="1:18" ht="48" hidden="1">
      <c r="A141" s="133" t="s">
        <v>189</v>
      </c>
      <c r="B141" s="179" t="s">
        <v>156</v>
      </c>
      <c r="C141" s="204"/>
      <c r="D141" s="180">
        <v>0</v>
      </c>
      <c r="E141" s="252"/>
      <c r="F141" s="252"/>
      <c r="G141" s="252"/>
      <c r="H141" s="233">
        <f t="shared" si="17"/>
        <v>0</v>
      </c>
      <c r="I141" s="252">
        <v>0</v>
      </c>
      <c r="J141" s="252"/>
      <c r="K141" s="252"/>
      <c r="L141" s="252"/>
      <c r="M141" s="233">
        <f t="shared" si="18"/>
        <v>0</v>
      </c>
      <c r="N141" s="252">
        <v>0</v>
      </c>
      <c r="O141" s="252"/>
      <c r="P141" s="252"/>
      <c r="Q141" s="252"/>
      <c r="R141" s="232">
        <f t="shared" si="19"/>
        <v>0</v>
      </c>
    </row>
    <row r="142" spans="1:18" ht="36" hidden="1">
      <c r="A142" s="133">
        <v>7350</v>
      </c>
      <c r="B142" s="179" t="s">
        <v>163</v>
      </c>
      <c r="C142" s="204"/>
      <c r="D142" s="180">
        <v>0</v>
      </c>
      <c r="E142" s="252"/>
      <c r="F142" s="252"/>
      <c r="G142" s="252"/>
      <c r="H142" s="233">
        <f t="shared" si="17"/>
        <v>0</v>
      </c>
      <c r="I142" s="252">
        <v>0</v>
      </c>
      <c r="J142" s="252"/>
      <c r="K142" s="252"/>
      <c r="L142" s="252"/>
      <c r="M142" s="233">
        <f t="shared" si="18"/>
        <v>0</v>
      </c>
      <c r="N142" s="252">
        <v>0</v>
      </c>
      <c r="O142" s="252"/>
      <c r="P142" s="252"/>
      <c r="Q142" s="252"/>
      <c r="R142" s="232">
        <f t="shared" si="19"/>
        <v>0</v>
      </c>
    </row>
    <row r="143" spans="1:18" ht="24" hidden="1">
      <c r="A143" s="132">
        <v>7400</v>
      </c>
      <c r="B143" s="172" t="s">
        <v>161</v>
      </c>
      <c r="C143" s="170">
        <v>0</v>
      </c>
      <c r="D143" s="171">
        <v>0</v>
      </c>
      <c r="E143" s="233">
        <f>SUM(E144:E145)</f>
        <v>0</v>
      </c>
      <c r="F143" s="233">
        <f>SUM(F144:F145)</f>
        <v>0</v>
      </c>
      <c r="G143" s="233">
        <f>SUM(G144:G145)</f>
        <v>0</v>
      </c>
      <c r="H143" s="233">
        <f t="shared" si="17"/>
        <v>0</v>
      </c>
      <c r="I143" s="233">
        <v>0</v>
      </c>
      <c r="J143" s="233">
        <f>SUM(J144:J145)</f>
        <v>0</v>
      </c>
      <c r="K143" s="233">
        <f>SUM(K144:K145)</f>
        <v>0</v>
      </c>
      <c r="L143" s="233">
        <f>SUM(L144:L145)</f>
        <v>0</v>
      </c>
      <c r="M143" s="233">
        <f t="shared" si="18"/>
        <v>0</v>
      </c>
      <c r="N143" s="233">
        <v>0</v>
      </c>
      <c r="O143" s="233">
        <f>SUM(O144:O145)</f>
        <v>0</v>
      </c>
      <c r="P143" s="233">
        <f>SUM(P144:P145)</f>
        <v>0</v>
      </c>
      <c r="Q143" s="233">
        <f>SUM(Q144:Q145)</f>
        <v>0</v>
      </c>
      <c r="R143" s="232">
        <f t="shared" si="19"/>
        <v>0</v>
      </c>
    </row>
    <row r="144" spans="1:18" ht="24" hidden="1">
      <c r="A144" s="133">
        <v>7460</v>
      </c>
      <c r="B144" s="172" t="s">
        <v>162</v>
      </c>
      <c r="C144" s="204"/>
      <c r="D144" s="180">
        <v>0</v>
      </c>
      <c r="E144" s="252"/>
      <c r="F144" s="252"/>
      <c r="G144" s="252"/>
      <c r="H144" s="233">
        <f t="shared" si="17"/>
        <v>0</v>
      </c>
      <c r="I144" s="252">
        <v>0</v>
      </c>
      <c r="J144" s="252"/>
      <c r="K144" s="252"/>
      <c r="L144" s="252"/>
      <c r="M144" s="233">
        <f t="shared" si="18"/>
        <v>0</v>
      </c>
      <c r="N144" s="252">
        <v>0</v>
      </c>
      <c r="O144" s="252"/>
      <c r="P144" s="252"/>
      <c r="Q144" s="252"/>
      <c r="R144" s="232">
        <f t="shared" si="19"/>
        <v>0</v>
      </c>
    </row>
    <row r="145" spans="1:18" ht="36" hidden="1">
      <c r="A145" s="133">
        <v>7470</v>
      </c>
      <c r="B145" s="179" t="s">
        <v>167</v>
      </c>
      <c r="C145" s="204"/>
      <c r="D145" s="180">
        <v>0</v>
      </c>
      <c r="E145" s="252"/>
      <c r="F145" s="252"/>
      <c r="G145" s="252"/>
      <c r="H145" s="233">
        <f t="shared" si="17"/>
        <v>0</v>
      </c>
      <c r="I145" s="252">
        <v>0</v>
      </c>
      <c r="J145" s="252"/>
      <c r="K145" s="252"/>
      <c r="L145" s="252"/>
      <c r="M145" s="233">
        <f t="shared" si="18"/>
        <v>0</v>
      </c>
      <c r="N145" s="252">
        <v>0</v>
      </c>
      <c r="O145" s="252"/>
      <c r="P145" s="252"/>
      <c r="Q145" s="252"/>
      <c r="R145" s="232">
        <f t="shared" si="19"/>
        <v>0</v>
      </c>
    </row>
    <row r="146" spans="1:18" ht="24" hidden="1">
      <c r="A146" s="132">
        <v>7500</v>
      </c>
      <c r="B146" s="179" t="s">
        <v>157</v>
      </c>
      <c r="C146" s="170"/>
      <c r="D146" s="171">
        <v>0</v>
      </c>
      <c r="E146" s="233"/>
      <c r="F146" s="233"/>
      <c r="G146" s="233"/>
      <c r="H146" s="233">
        <f t="shared" si="17"/>
        <v>0</v>
      </c>
      <c r="I146" s="233">
        <v>0</v>
      </c>
      <c r="J146" s="233"/>
      <c r="K146" s="233"/>
      <c r="L146" s="233"/>
      <c r="M146" s="233">
        <f t="shared" si="18"/>
        <v>0</v>
      </c>
      <c r="N146" s="233">
        <v>0</v>
      </c>
      <c r="O146" s="233"/>
      <c r="P146" s="233"/>
      <c r="Q146" s="233"/>
      <c r="R146" s="232">
        <f t="shared" si="19"/>
        <v>0</v>
      </c>
    </row>
    <row r="147" spans="1:18" s="4" customFormat="1" ht="12">
      <c r="A147" s="140" t="s">
        <v>133</v>
      </c>
      <c r="B147" s="124" t="s">
        <v>122</v>
      </c>
      <c r="C147" s="205">
        <v>55000</v>
      </c>
      <c r="D147" s="181">
        <v>55000</v>
      </c>
      <c r="E147" s="254">
        <f>E148+E149</f>
        <v>20000</v>
      </c>
      <c r="F147" s="254">
        <f>F148+F149</f>
        <v>409486</v>
      </c>
      <c r="G147" s="254">
        <f>G148+G149</f>
        <v>71700</v>
      </c>
      <c r="H147" s="233">
        <f t="shared" si="17"/>
        <v>556186</v>
      </c>
      <c r="I147" s="254">
        <v>55000</v>
      </c>
      <c r="J147" s="254">
        <f>J148+J149</f>
        <v>20000</v>
      </c>
      <c r="K147" s="254">
        <f>K148+K149</f>
        <v>0</v>
      </c>
      <c r="L147" s="254">
        <f>L148+L149</f>
        <v>26080</v>
      </c>
      <c r="M147" s="233">
        <f t="shared" si="18"/>
        <v>101080</v>
      </c>
      <c r="N147" s="254">
        <v>55000</v>
      </c>
      <c r="O147" s="254">
        <f>O148+O149</f>
        <v>20000</v>
      </c>
      <c r="P147" s="254">
        <f>P148+P149</f>
        <v>0</v>
      </c>
      <c r="Q147" s="254">
        <f>Q148+Q149</f>
        <v>0</v>
      </c>
      <c r="R147" s="232">
        <f t="shared" si="19"/>
        <v>75000</v>
      </c>
    </row>
    <row r="148" spans="1:18" s="6" customFormat="1" ht="12">
      <c r="A148" s="140">
        <v>5000</v>
      </c>
      <c r="B148" s="124" t="s">
        <v>123</v>
      </c>
      <c r="C148" s="170">
        <v>55000</v>
      </c>
      <c r="D148" s="171">
        <v>55000</v>
      </c>
      <c r="E148" s="233">
        <v>20000</v>
      </c>
      <c r="F148" s="233">
        <f>378986+14000+16500</f>
        <v>409486</v>
      </c>
      <c r="G148" s="233">
        <f>5200+3472+3750+37181+22097</f>
        <v>71700</v>
      </c>
      <c r="H148" s="233">
        <f t="shared" si="17"/>
        <v>556186</v>
      </c>
      <c r="I148" s="233">
        <v>55000</v>
      </c>
      <c r="J148" s="233">
        <v>20000</v>
      </c>
      <c r="K148" s="233"/>
      <c r="L148" s="233">
        <f>570+25510</f>
        <v>26080</v>
      </c>
      <c r="M148" s="233">
        <f t="shared" si="18"/>
        <v>101080</v>
      </c>
      <c r="N148" s="233">
        <v>55000</v>
      </c>
      <c r="O148" s="233">
        <v>20000</v>
      </c>
      <c r="P148" s="233"/>
      <c r="Q148" s="233"/>
      <c r="R148" s="232">
        <f t="shared" si="19"/>
        <v>75000</v>
      </c>
    </row>
    <row r="149" spans="1:18" s="6" customFormat="1" ht="12" hidden="1" customHeight="1">
      <c r="A149" s="140">
        <v>9000</v>
      </c>
      <c r="B149" s="182" t="s">
        <v>164</v>
      </c>
      <c r="C149" s="170">
        <v>0</v>
      </c>
      <c r="D149" s="171">
        <v>0</v>
      </c>
      <c r="E149" s="233">
        <f>E150+E156+E160+E163</f>
        <v>0</v>
      </c>
      <c r="F149" s="233">
        <f>F150+F156+F160+F163</f>
        <v>0</v>
      </c>
      <c r="G149" s="233">
        <f>G150+G156+G160+G163</f>
        <v>0</v>
      </c>
      <c r="H149" s="233">
        <f t="shared" si="17"/>
        <v>0</v>
      </c>
      <c r="I149" s="233">
        <v>0</v>
      </c>
      <c r="J149" s="233">
        <f>J150+J156+J160+J163</f>
        <v>0</v>
      </c>
      <c r="K149" s="233">
        <f>K150+K156+K160+K163</f>
        <v>0</v>
      </c>
      <c r="L149" s="233">
        <f>L150+L156+L160+L163</f>
        <v>0</v>
      </c>
      <c r="M149" s="233">
        <f t="shared" si="18"/>
        <v>0</v>
      </c>
      <c r="N149" s="233">
        <v>0</v>
      </c>
      <c r="O149" s="233">
        <f>O150+O156+O160+O163</f>
        <v>0</v>
      </c>
      <c r="P149" s="233">
        <f>P150+P156+P160+P163</f>
        <v>0</v>
      </c>
      <c r="Q149" s="233">
        <f>Q150+Q156+Q160+Q163</f>
        <v>0</v>
      </c>
      <c r="R149" s="232">
        <f t="shared" si="19"/>
        <v>0</v>
      </c>
    </row>
    <row r="150" spans="1:18" s="6" customFormat="1" ht="12" hidden="1" customHeight="1">
      <c r="A150" s="141">
        <v>9100</v>
      </c>
      <c r="B150" s="179" t="s">
        <v>124</v>
      </c>
      <c r="C150" s="170">
        <v>0</v>
      </c>
      <c r="D150" s="171">
        <v>0</v>
      </c>
      <c r="E150" s="233">
        <f>SUM(E151:E152)</f>
        <v>0</v>
      </c>
      <c r="F150" s="233">
        <f>SUM(F151:F152)</f>
        <v>0</v>
      </c>
      <c r="G150" s="233">
        <f>SUM(G151:G152)</f>
        <v>0</v>
      </c>
      <c r="H150" s="233">
        <f t="shared" si="17"/>
        <v>0</v>
      </c>
      <c r="I150" s="233">
        <v>0</v>
      </c>
      <c r="J150" s="233">
        <f>SUM(J151:J152)</f>
        <v>0</v>
      </c>
      <c r="K150" s="233">
        <f>SUM(K151:K152)</f>
        <v>0</v>
      </c>
      <c r="L150" s="233">
        <f>SUM(L151:L152)</f>
        <v>0</v>
      </c>
      <c r="M150" s="233">
        <f t="shared" si="18"/>
        <v>0</v>
      </c>
      <c r="N150" s="233">
        <v>0</v>
      </c>
      <c r="O150" s="233">
        <f>SUM(O151:O152)</f>
        <v>0</v>
      </c>
      <c r="P150" s="233">
        <f>SUM(P151:P152)</f>
        <v>0</v>
      </c>
      <c r="Q150" s="233">
        <f>SUM(Q151:Q152)</f>
        <v>0</v>
      </c>
      <c r="R150" s="232">
        <f t="shared" si="19"/>
        <v>0</v>
      </c>
    </row>
    <row r="151" spans="1:18" s="6" customFormat="1" ht="24" hidden="1" customHeight="1">
      <c r="A151" s="133" t="s">
        <v>125</v>
      </c>
      <c r="B151" s="179" t="s">
        <v>214</v>
      </c>
      <c r="C151" s="170"/>
      <c r="D151" s="171">
        <v>0</v>
      </c>
      <c r="E151" s="233"/>
      <c r="F151" s="233"/>
      <c r="G151" s="233"/>
      <c r="H151" s="233">
        <f t="shared" si="17"/>
        <v>0</v>
      </c>
      <c r="I151" s="233">
        <v>0</v>
      </c>
      <c r="J151" s="233"/>
      <c r="K151" s="233"/>
      <c r="L151" s="233"/>
      <c r="M151" s="233">
        <f t="shared" si="18"/>
        <v>0</v>
      </c>
      <c r="N151" s="233">
        <v>0</v>
      </c>
      <c r="O151" s="233"/>
      <c r="P151" s="233"/>
      <c r="Q151" s="233"/>
      <c r="R151" s="232">
        <f t="shared" si="19"/>
        <v>0</v>
      </c>
    </row>
    <row r="152" spans="1:18" s="6" customFormat="1" ht="24" hidden="1" customHeight="1">
      <c r="A152" s="133">
        <v>9140</v>
      </c>
      <c r="B152" s="179" t="s">
        <v>215</v>
      </c>
      <c r="C152" s="170">
        <v>0</v>
      </c>
      <c r="D152" s="171">
        <v>0</v>
      </c>
      <c r="E152" s="233">
        <f>SUM(E153:E155)</f>
        <v>0</v>
      </c>
      <c r="F152" s="233">
        <f>SUM(F153:F155)</f>
        <v>0</v>
      </c>
      <c r="G152" s="233">
        <f>SUM(G153:G155)</f>
        <v>0</v>
      </c>
      <c r="H152" s="233">
        <f t="shared" si="17"/>
        <v>0</v>
      </c>
      <c r="I152" s="233">
        <v>0</v>
      </c>
      <c r="J152" s="233">
        <f>SUM(J153:J155)</f>
        <v>0</v>
      </c>
      <c r="K152" s="233">
        <f>SUM(K153:K155)</f>
        <v>0</v>
      </c>
      <c r="L152" s="233">
        <f>SUM(L153:L155)</f>
        <v>0</v>
      </c>
      <c r="M152" s="233">
        <f t="shared" si="18"/>
        <v>0</v>
      </c>
      <c r="N152" s="233">
        <v>0</v>
      </c>
      <c r="O152" s="233">
        <f>SUM(O153:O155)</f>
        <v>0</v>
      </c>
      <c r="P152" s="233">
        <f>SUM(P153:P155)</f>
        <v>0</v>
      </c>
      <c r="Q152" s="233">
        <f>SUM(Q153:Q155)</f>
        <v>0</v>
      </c>
      <c r="R152" s="232">
        <f t="shared" si="19"/>
        <v>0</v>
      </c>
    </row>
    <row r="153" spans="1:18" s="6" customFormat="1" ht="36" hidden="1" customHeight="1">
      <c r="A153" s="134">
        <v>9141</v>
      </c>
      <c r="B153" s="172" t="s">
        <v>190</v>
      </c>
      <c r="C153" s="204"/>
      <c r="D153" s="180">
        <v>0</v>
      </c>
      <c r="E153" s="252"/>
      <c r="F153" s="252"/>
      <c r="G153" s="252"/>
      <c r="H153" s="233">
        <f t="shared" si="17"/>
        <v>0</v>
      </c>
      <c r="I153" s="252">
        <v>0</v>
      </c>
      <c r="J153" s="252"/>
      <c r="K153" s="252"/>
      <c r="L153" s="252"/>
      <c r="M153" s="233">
        <f t="shared" si="18"/>
        <v>0</v>
      </c>
      <c r="N153" s="252">
        <v>0</v>
      </c>
      <c r="O153" s="252"/>
      <c r="P153" s="252"/>
      <c r="Q153" s="252"/>
      <c r="R153" s="232">
        <f t="shared" si="19"/>
        <v>0</v>
      </c>
    </row>
    <row r="154" spans="1:18" s="6" customFormat="1" ht="36" hidden="1" customHeight="1">
      <c r="A154" s="134">
        <v>9142</v>
      </c>
      <c r="B154" s="172" t="s">
        <v>191</v>
      </c>
      <c r="C154" s="204"/>
      <c r="D154" s="180">
        <v>0</v>
      </c>
      <c r="E154" s="252"/>
      <c r="F154" s="252"/>
      <c r="G154" s="252"/>
      <c r="H154" s="233">
        <f t="shared" si="17"/>
        <v>0</v>
      </c>
      <c r="I154" s="252">
        <v>0</v>
      </c>
      <c r="J154" s="252"/>
      <c r="K154" s="252"/>
      <c r="L154" s="252"/>
      <c r="M154" s="233">
        <f t="shared" si="18"/>
        <v>0</v>
      </c>
      <c r="N154" s="252">
        <v>0</v>
      </c>
      <c r="O154" s="252"/>
      <c r="P154" s="252"/>
      <c r="Q154" s="252"/>
      <c r="R154" s="232">
        <f t="shared" si="19"/>
        <v>0</v>
      </c>
    </row>
    <row r="155" spans="1:18" s="6" customFormat="1" ht="24" hidden="1" customHeight="1">
      <c r="A155" s="134">
        <v>9149</v>
      </c>
      <c r="B155" s="172" t="s">
        <v>192</v>
      </c>
      <c r="C155" s="204"/>
      <c r="D155" s="180">
        <v>0</v>
      </c>
      <c r="E155" s="252"/>
      <c r="F155" s="252"/>
      <c r="G155" s="252"/>
      <c r="H155" s="233">
        <f t="shared" si="17"/>
        <v>0</v>
      </c>
      <c r="I155" s="252">
        <v>0</v>
      </c>
      <c r="J155" s="252"/>
      <c r="K155" s="252"/>
      <c r="L155" s="252"/>
      <c r="M155" s="233">
        <f t="shared" si="18"/>
        <v>0</v>
      </c>
      <c r="N155" s="252">
        <v>0</v>
      </c>
      <c r="O155" s="252"/>
      <c r="P155" s="252"/>
      <c r="Q155" s="252"/>
      <c r="R155" s="232">
        <f t="shared" si="19"/>
        <v>0</v>
      </c>
    </row>
    <row r="156" spans="1:18" s="6" customFormat="1" ht="24" hidden="1" customHeight="1">
      <c r="A156" s="141">
        <v>9500</v>
      </c>
      <c r="B156" s="172" t="s">
        <v>165</v>
      </c>
      <c r="C156" s="170">
        <v>0</v>
      </c>
      <c r="D156" s="171">
        <v>0</v>
      </c>
      <c r="E156" s="233">
        <f>SUM(E157:E159)</f>
        <v>0</v>
      </c>
      <c r="F156" s="233">
        <f>SUM(F157:F159)</f>
        <v>0</v>
      </c>
      <c r="G156" s="233">
        <f>SUM(G157:G159)</f>
        <v>0</v>
      </c>
      <c r="H156" s="233">
        <f t="shared" si="17"/>
        <v>0</v>
      </c>
      <c r="I156" s="233">
        <v>0</v>
      </c>
      <c r="J156" s="233">
        <f>SUM(J157:J159)</f>
        <v>0</v>
      </c>
      <c r="K156" s="233">
        <f>SUM(K157:K159)</f>
        <v>0</v>
      </c>
      <c r="L156" s="233">
        <f>SUM(L157:L159)</f>
        <v>0</v>
      </c>
      <c r="M156" s="233">
        <f t="shared" si="18"/>
        <v>0</v>
      </c>
      <c r="N156" s="233">
        <v>0</v>
      </c>
      <c r="O156" s="233">
        <f>SUM(O157:O159)</f>
        <v>0</v>
      </c>
      <c r="P156" s="233">
        <f>SUM(P157:P159)</f>
        <v>0</v>
      </c>
      <c r="Q156" s="233">
        <f>SUM(Q157:Q159)</f>
        <v>0</v>
      </c>
      <c r="R156" s="232">
        <f t="shared" si="19"/>
        <v>0</v>
      </c>
    </row>
    <row r="157" spans="1:18" s="6" customFormat="1" ht="24" hidden="1" customHeight="1">
      <c r="A157" s="133" t="s">
        <v>193</v>
      </c>
      <c r="B157" s="172" t="s">
        <v>171</v>
      </c>
      <c r="C157" s="170"/>
      <c r="D157" s="171">
        <v>0</v>
      </c>
      <c r="E157" s="233"/>
      <c r="F157" s="233"/>
      <c r="G157" s="233"/>
      <c r="H157" s="233">
        <f t="shared" si="17"/>
        <v>0</v>
      </c>
      <c r="I157" s="233">
        <v>0</v>
      </c>
      <c r="J157" s="233"/>
      <c r="K157" s="233"/>
      <c r="L157" s="233"/>
      <c r="M157" s="233">
        <f t="shared" si="18"/>
        <v>0</v>
      </c>
      <c r="N157" s="233">
        <v>0</v>
      </c>
      <c r="O157" s="233"/>
      <c r="P157" s="233"/>
      <c r="Q157" s="233"/>
      <c r="R157" s="232">
        <f t="shared" si="19"/>
        <v>0</v>
      </c>
    </row>
    <row r="158" spans="1:18" s="6" customFormat="1" ht="48" hidden="1" customHeight="1">
      <c r="A158" s="133">
        <v>9580</v>
      </c>
      <c r="B158" s="172" t="s">
        <v>166</v>
      </c>
      <c r="C158" s="204"/>
      <c r="D158" s="180">
        <v>0</v>
      </c>
      <c r="E158" s="252"/>
      <c r="F158" s="252"/>
      <c r="G158" s="252"/>
      <c r="H158" s="233">
        <f t="shared" si="17"/>
        <v>0</v>
      </c>
      <c r="I158" s="252">
        <v>0</v>
      </c>
      <c r="J158" s="252"/>
      <c r="K158" s="252"/>
      <c r="L158" s="252"/>
      <c r="M158" s="233">
        <f t="shared" si="18"/>
        <v>0</v>
      </c>
      <c r="N158" s="252">
        <v>0</v>
      </c>
      <c r="O158" s="252"/>
      <c r="P158" s="252"/>
      <c r="Q158" s="252"/>
      <c r="R158" s="232">
        <f t="shared" si="19"/>
        <v>0</v>
      </c>
    </row>
    <row r="159" spans="1:18" s="6" customFormat="1" ht="48" hidden="1" customHeight="1">
      <c r="A159" s="133">
        <v>9590</v>
      </c>
      <c r="B159" s="179" t="s">
        <v>172</v>
      </c>
      <c r="C159" s="204"/>
      <c r="D159" s="180">
        <v>0</v>
      </c>
      <c r="E159" s="252"/>
      <c r="F159" s="252"/>
      <c r="G159" s="252"/>
      <c r="H159" s="233">
        <f t="shared" si="17"/>
        <v>0</v>
      </c>
      <c r="I159" s="252">
        <v>0</v>
      </c>
      <c r="J159" s="252"/>
      <c r="K159" s="252"/>
      <c r="L159" s="252"/>
      <c r="M159" s="233">
        <f t="shared" si="18"/>
        <v>0</v>
      </c>
      <c r="N159" s="252">
        <v>0</v>
      </c>
      <c r="O159" s="252"/>
      <c r="P159" s="252"/>
      <c r="Q159" s="252"/>
      <c r="R159" s="232">
        <f t="shared" si="19"/>
        <v>0</v>
      </c>
    </row>
    <row r="160" spans="1:18" s="6" customFormat="1" ht="24" hidden="1" customHeight="1">
      <c r="A160" s="141">
        <v>9700</v>
      </c>
      <c r="B160" s="183" t="s">
        <v>194</v>
      </c>
      <c r="C160" s="170">
        <v>0</v>
      </c>
      <c r="D160" s="171">
        <v>0</v>
      </c>
      <c r="E160" s="233">
        <f>SUM(E161:E162)</f>
        <v>0</v>
      </c>
      <c r="F160" s="233">
        <f>SUM(F161:F162)</f>
        <v>0</v>
      </c>
      <c r="G160" s="233">
        <f>SUM(G161:G162)</f>
        <v>0</v>
      </c>
      <c r="H160" s="233">
        <f t="shared" si="17"/>
        <v>0</v>
      </c>
      <c r="I160" s="233">
        <v>0</v>
      </c>
      <c r="J160" s="233">
        <f>SUM(J161:J162)</f>
        <v>0</v>
      </c>
      <c r="K160" s="233">
        <f>SUM(K161:K162)</f>
        <v>0</v>
      </c>
      <c r="L160" s="233">
        <f>SUM(L161:L162)</f>
        <v>0</v>
      </c>
      <c r="M160" s="233">
        <f t="shared" si="18"/>
        <v>0</v>
      </c>
      <c r="N160" s="233">
        <v>0</v>
      </c>
      <c r="O160" s="233">
        <f>SUM(O161:O162)</f>
        <v>0</v>
      </c>
      <c r="P160" s="233">
        <f>SUM(P161:P162)</f>
        <v>0</v>
      </c>
      <c r="Q160" s="233">
        <f>SUM(Q161:Q162)</f>
        <v>0</v>
      </c>
      <c r="R160" s="232">
        <f t="shared" si="19"/>
        <v>0</v>
      </c>
    </row>
    <row r="161" spans="1:18" s="6" customFormat="1" ht="24" hidden="1" customHeight="1">
      <c r="A161" s="133">
        <v>9710</v>
      </c>
      <c r="B161" s="184" t="s">
        <v>195</v>
      </c>
      <c r="C161" s="204"/>
      <c r="D161" s="180">
        <v>0</v>
      </c>
      <c r="E161" s="252"/>
      <c r="F161" s="252"/>
      <c r="G161" s="252"/>
      <c r="H161" s="233">
        <f t="shared" si="17"/>
        <v>0</v>
      </c>
      <c r="I161" s="252">
        <v>0</v>
      </c>
      <c r="J161" s="252"/>
      <c r="K161" s="252"/>
      <c r="L161" s="252"/>
      <c r="M161" s="233">
        <f t="shared" si="18"/>
        <v>0</v>
      </c>
      <c r="N161" s="252">
        <v>0</v>
      </c>
      <c r="O161" s="252"/>
      <c r="P161" s="252"/>
      <c r="Q161" s="252"/>
      <c r="R161" s="232">
        <f t="shared" si="19"/>
        <v>0</v>
      </c>
    </row>
    <row r="162" spans="1:18" s="6" customFormat="1" ht="48" hidden="1" customHeight="1">
      <c r="A162" s="142">
        <v>9720</v>
      </c>
      <c r="B162" s="183" t="s">
        <v>196</v>
      </c>
      <c r="C162" s="204"/>
      <c r="D162" s="180">
        <v>0</v>
      </c>
      <c r="E162" s="252"/>
      <c r="F162" s="252"/>
      <c r="G162" s="252"/>
      <c r="H162" s="233">
        <f t="shared" si="17"/>
        <v>0</v>
      </c>
      <c r="I162" s="252">
        <v>0</v>
      </c>
      <c r="J162" s="252"/>
      <c r="K162" s="252"/>
      <c r="L162" s="252"/>
      <c r="M162" s="233">
        <f t="shared" si="18"/>
        <v>0</v>
      </c>
      <c r="N162" s="252">
        <v>0</v>
      </c>
      <c r="O162" s="252"/>
      <c r="P162" s="252"/>
      <c r="Q162" s="252"/>
      <c r="R162" s="232">
        <f t="shared" si="19"/>
        <v>0</v>
      </c>
    </row>
    <row r="163" spans="1:18" s="6" customFormat="1" ht="24" hidden="1" customHeight="1">
      <c r="A163" s="141">
        <v>9600</v>
      </c>
      <c r="B163" s="179" t="s">
        <v>134</v>
      </c>
      <c r="C163" s="204"/>
      <c r="D163" s="180">
        <v>0</v>
      </c>
      <c r="E163" s="252"/>
      <c r="F163" s="252"/>
      <c r="G163" s="252"/>
      <c r="H163" s="233">
        <f t="shared" si="17"/>
        <v>0</v>
      </c>
      <c r="I163" s="252">
        <v>0</v>
      </c>
      <c r="J163" s="252"/>
      <c r="K163" s="252"/>
      <c r="L163" s="252"/>
      <c r="M163" s="233">
        <f t="shared" si="18"/>
        <v>0</v>
      </c>
      <c r="N163" s="252">
        <v>0</v>
      </c>
      <c r="O163" s="252"/>
      <c r="P163" s="252"/>
      <c r="Q163" s="252"/>
      <c r="R163" s="232">
        <f t="shared" si="19"/>
        <v>0</v>
      </c>
    </row>
    <row r="164" spans="1:18" s="6" customFormat="1" ht="52.5" hidden="1" customHeight="1">
      <c r="A164" s="130" t="s">
        <v>197</v>
      </c>
      <c r="B164" s="185" t="s">
        <v>47</v>
      </c>
      <c r="C164" s="206"/>
      <c r="D164" s="186">
        <v>0</v>
      </c>
      <c r="E164" s="262">
        <f>E94-E119</f>
        <v>0</v>
      </c>
      <c r="F164" s="262">
        <f>F94-F119</f>
        <v>0</v>
      </c>
      <c r="G164" s="262">
        <f>G94-G119</f>
        <v>0</v>
      </c>
      <c r="H164" s="233">
        <f t="shared" si="17"/>
        <v>0</v>
      </c>
      <c r="I164" s="262">
        <v>0</v>
      </c>
      <c r="J164" s="262">
        <f>J94-J119</f>
        <v>0</v>
      </c>
      <c r="K164" s="262">
        <f>K94-K119</f>
        <v>0</v>
      </c>
      <c r="L164" s="262">
        <f>L94-L119</f>
        <v>0</v>
      </c>
      <c r="M164" s="233">
        <f t="shared" si="18"/>
        <v>0</v>
      </c>
      <c r="N164" s="262">
        <v>0</v>
      </c>
      <c r="O164" s="262">
        <f>O94-O119</f>
        <v>0</v>
      </c>
      <c r="P164" s="262">
        <f>P94-P119</f>
        <v>0</v>
      </c>
      <c r="Q164" s="262">
        <f>Q94-Q119</f>
        <v>0</v>
      </c>
      <c r="R164" s="232">
        <f t="shared" si="19"/>
        <v>0</v>
      </c>
    </row>
    <row r="165" spans="1:18" s="6" customFormat="1" ht="12" hidden="1" customHeight="1">
      <c r="A165" s="143" t="s">
        <v>48</v>
      </c>
      <c r="B165" s="185" t="s">
        <v>49</v>
      </c>
      <c r="C165" s="206">
        <v>0</v>
      </c>
      <c r="D165" s="186">
        <v>0</v>
      </c>
      <c r="E165" s="262">
        <f>E166+E169+E173+E172</f>
        <v>0</v>
      </c>
      <c r="F165" s="262">
        <f>F166+F169+F173+F172</f>
        <v>0</v>
      </c>
      <c r="G165" s="262">
        <f>G166+G169+G173+G172</f>
        <v>0</v>
      </c>
      <c r="H165" s="233">
        <f t="shared" si="17"/>
        <v>0</v>
      </c>
      <c r="I165" s="262">
        <v>0</v>
      </c>
      <c r="J165" s="262">
        <f>J166+J169+J173+J172</f>
        <v>0</v>
      </c>
      <c r="K165" s="262">
        <f>K166+K169+K173+K172</f>
        <v>0</v>
      </c>
      <c r="L165" s="262">
        <f>L166+L169+L173+L172</f>
        <v>0</v>
      </c>
      <c r="M165" s="233">
        <f t="shared" si="18"/>
        <v>0</v>
      </c>
      <c r="N165" s="262">
        <v>0</v>
      </c>
      <c r="O165" s="262">
        <f>O166+O169+O173+O172</f>
        <v>0</v>
      </c>
      <c r="P165" s="262">
        <f>P166+P169+P173+P172</f>
        <v>0</v>
      </c>
      <c r="Q165" s="262">
        <f>Q166+Q169+Q173+Q172</f>
        <v>0</v>
      </c>
      <c r="R165" s="232">
        <f t="shared" si="19"/>
        <v>0</v>
      </c>
    </row>
    <row r="166" spans="1:18" s="6" customFormat="1" ht="12" hidden="1" customHeight="1">
      <c r="A166" s="141" t="s">
        <v>50</v>
      </c>
      <c r="B166" s="179" t="s">
        <v>51</v>
      </c>
      <c r="C166" s="98">
        <v>0</v>
      </c>
      <c r="D166" s="169">
        <v>0</v>
      </c>
      <c r="E166" s="231">
        <f>E167+E168</f>
        <v>0</v>
      </c>
      <c r="F166" s="231">
        <f>F167+F168</f>
        <v>0</v>
      </c>
      <c r="G166" s="231">
        <f>G167+G168</f>
        <v>0</v>
      </c>
      <c r="H166" s="233">
        <f t="shared" si="17"/>
        <v>0</v>
      </c>
      <c r="I166" s="231">
        <v>0</v>
      </c>
      <c r="J166" s="231">
        <f>J167+J168</f>
        <v>0</v>
      </c>
      <c r="K166" s="231">
        <f>K167+K168</f>
        <v>0</v>
      </c>
      <c r="L166" s="231">
        <f>L167+L168</f>
        <v>0</v>
      </c>
      <c r="M166" s="233">
        <f t="shared" si="18"/>
        <v>0</v>
      </c>
      <c r="N166" s="231">
        <v>0</v>
      </c>
      <c r="O166" s="231">
        <f>O167+O168</f>
        <v>0</v>
      </c>
      <c r="P166" s="231">
        <f>P167+P168</f>
        <v>0</v>
      </c>
      <c r="Q166" s="231">
        <f>Q167+Q168</f>
        <v>0</v>
      </c>
      <c r="R166" s="232">
        <f t="shared" si="19"/>
        <v>0</v>
      </c>
    </row>
    <row r="167" spans="1:18" s="6" customFormat="1" ht="12" hidden="1" customHeight="1">
      <c r="A167" s="141" t="s">
        <v>52</v>
      </c>
      <c r="B167" s="179" t="s">
        <v>53</v>
      </c>
      <c r="C167" s="98"/>
      <c r="D167" s="169">
        <v>0</v>
      </c>
      <c r="E167" s="231"/>
      <c r="F167" s="231"/>
      <c r="G167" s="231"/>
      <c r="H167" s="233">
        <f t="shared" si="17"/>
        <v>0</v>
      </c>
      <c r="I167" s="231">
        <v>0</v>
      </c>
      <c r="J167" s="231"/>
      <c r="K167" s="231"/>
      <c r="L167" s="231"/>
      <c r="M167" s="233">
        <f t="shared" si="18"/>
        <v>0</v>
      </c>
      <c r="N167" s="231">
        <v>0</v>
      </c>
      <c r="O167" s="231"/>
      <c r="P167" s="231"/>
      <c r="Q167" s="231"/>
      <c r="R167" s="232">
        <f t="shared" si="19"/>
        <v>0</v>
      </c>
    </row>
    <row r="168" spans="1:18" s="6" customFormat="1" ht="12" hidden="1" customHeight="1">
      <c r="A168" s="141" t="s">
        <v>54</v>
      </c>
      <c r="B168" s="179" t="s">
        <v>55</v>
      </c>
      <c r="C168" s="98"/>
      <c r="D168" s="169">
        <v>0</v>
      </c>
      <c r="E168" s="231"/>
      <c r="F168" s="231"/>
      <c r="G168" s="231"/>
      <c r="H168" s="233">
        <f t="shared" si="17"/>
        <v>0</v>
      </c>
      <c r="I168" s="231">
        <v>0</v>
      </c>
      <c r="J168" s="231"/>
      <c r="K168" s="231"/>
      <c r="L168" s="231"/>
      <c r="M168" s="233">
        <f t="shared" si="18"/>
        <v>0</v>
      </c>
      <c r="N168" s="231">
        <v>0</v>
      </c>
      <c r="O168" s="231"/>
      <c r="P168" s="231"/>
      <c r="Q168" s="231"/>
      <c r="R168" s="232">
        <f t="shared" si="19"/>
        <v>0</v>
      </c>
    </row>
    <row r="169" spans="1:18" s="6" customFormat="1" ht="12" hidden="1" customHeight="1">
      <c r="A169" s="141" t="s">
        <v>56</v>
      </c>
      <c r="B169" s="179" t="s">
        <v>57</v>
      </c>
      <c r="C169" s="98">
        <v>0</v>
      </c>
      <c r="D169" s="169">
        <v>0</v>
      </c>
      <c r="E169" s="231">
        <f>E170+E171</f>
        <v>0</v>
      </c>
      <c r="F169" s="231">
        <f>F170+F171</f>
        <v>0</v>
      </c>
      <c r="G169" s="231">
        <f>G170+G171</f>
        <v>0</v>
      </c>
      <c r="H169" s="233">
        <f t="shared" si="17"/>
        <v>0</v>
      </c>
      <c r="I169" s="231">
        <v>0</v>
      </c>
      <c r="J169" s="231">
        <f>J170+J171</f>
        <v>0</v>
      </c>
      <c r="K169" s="231">
        <f>K170+K171</f>
        <v>0</v>
      </c>
      <c r="L169" s="231">
        <f>L170+L171</f>
        <v>0</v>
      </c>
      <c r="M169" s="233">
        <f t="shared" si="18"/>
        <v>0</v>
      </c>
      <c r="N169" s="231">
        <v>0</v>
      </c>
      <c r="O169" s="231">
        <f>O170+O171</f>
        <v>0</v>
      </c>
      <c r="P169" s="231">
        <f>P170+P171</f>
        <v>0</v>
      </c>
      <c r="Q169" s="231">
        <f>Q170+Q171</f>
        <v>0</v>
      </c>
      <c r="R169" s="232">
        <f t="shared" si="19"/>
        <v>0</v>
      </c>
    </row>
    <row r="170" spans="1:18" s="6" customFormat="1" ht="12" hidden="1" customHeight="1">
      <c r="A170" s="141" t="s">
        <v>58</v>
      </c>
      <c r="B170" s="179" t="s">
        <v>59</v>
      </c>
      <c r="C170" s="98"/>
      <c r="D170" s="169">
        <v>0</v>
      </c>
      <c r="E170" s="231"/>
      <c r="F170" s="231"/>
      <c r="G170" s="231"/>
      <c r="H170" s="233">
        <f t="shared" si="17"/>
        <v>0</v>
      </c>
      <c r="I170" s="231">
        <v>0</v>
      </c>
      <c r="J170" s="231"/>
      <c r="K170" s="231"/>
      <c r="L170" s="231"/>
      <c r="M170" s="233">
        <f t="shared" si="18"/>
        <v>0</v>
      </c>
      <c r="N170" s="231">
        <v>0</v>
      </c>
      <c r="O170" s="231"/>
      <c r="P170" s="231"/>
      <c r="Q170" s="231"/>
      <c r="R170" s="232">
        <f t="shared" si="19"/>
        <v>0</v>
      </c>
    </row>
    <row r="171" spans="1:18" s="6" customFormat="1" ht="12" hidden="1" customHeight="1">
      <c r="A171" s="141" t="s">
        <v>60</v>
      </c>
      <c r="B171" s="179" t="s">
        <v>61</v>
      </c>
      <c r="C171" s="98"/>
      <c r="D171" s="169">
        <v>0</v>
      </c>
      <c r="E171" s="231"/>
      <c r="F171" s="231"/>
      <c r="G171" s="231"/>
      <c r="H171" s="233">
        <f t="shared" si="17"/>
        <v>0</v>
      </c>
      <c r="I171" s="231">
        <v>0</v>
      </c>
      <c r="J171" s="231"/>
      <c r="K171" s="231"/>
      <c r="L171" s="231"/>
      <c r="M171" s="233">
        <f t="shared" si="18"/>
        <v>0</v>
      </c>
      <c r="N171" s="231">
        <v>0</v>
      </c>
      <c r="O171" s="231"/>
      <c r="P171" s="231"/>
      <c r="Q171" s="231"/>
      <c r="R171" s="232">
        <f t="shared" si="19"/>
        <v>0</v>
      </c>
    </row>
    <row r="172" spans="1:18" s="6" customFormat="1" ht="12" hidden="1" customHeight="1">
      <c r="A172" s="141" t="s">
        <v>198</v>
      </c>
      <c r="B172" s="187" t="s">
        <v>168</v>
      </c>
      <c r="C172" s="98"/>
      <c r="D172" s="169">
        <v>0</v>
      </c>
      <c r="E172" s="231"/>
      <c r="F172" s="231"/>
      <c r="G172" s="231"/>
      <c r="H172" s="233">
        <f t="shared" si="17"/>
        <v>0</v>
      </c>
      <c r="I172" s="231">
        <v>0</v>
      </c>
      <c r="J172" s="231"/>
      <c r="K172" s="231"/>
      <c r="L172" s="231"/>
      <c r="M172" s="233">
        <f t="shared" si="18"/>
        <v>0</v>
      </c>
      <c r="N172" s="231">
        <v>0</v>
      </c>
      <c r="O172" s="231"/>
      <c r="P172" s="231"/>
      <c r="Q172" s="231"/>
      <c r="R172" s="232">
        <f t="shared" si="19"/>
        <v>0</v>
      </c>
    </row>
    <row r="173" spans="1:18" s="6" customFormat="1" ht="12" hidden="1" customHeight="1">
      <c r="A173" s="144" t="s">
        <v>62</v>
      </c>
      <c r="B173" s="125" t="s">
        <v>63</v>
      </c>
      <c r="C173" s="170">
        <v>0</v>
      </c>
      <c r="D173" s="171">
        <v>0</v>
      </c>
      <c r="E173" s="233">
        <f>E174+E175+E176</f>
        <v>0</v>
      </c>
      <c r="F173" s="233">
        <f>F174+F175+F176</f>
        <v>0</v>
      </c>
      <c r="G173" s="233">
        <f>G174+G175+G176</f>
        <v>0</v>
      </c>
      <c r="H173" s="233">
        <f t="shared" si="17"/>
        <v>0</v>
      </c>
      <c r="I173" s="233">
        <v>0</v>
      </c>
      <c r="J173" s="233">
        <f>J174+J175+J176</f>
        <v>0</v>
      </c>
      <c r="K173" s="233">
        <f>K174+K175+K176</f>
        <v>0</v>
      </c>
      <c r="L173" s="233">
        <f>L174+L175+L176</f>
        <v>0</v>
      </c>
      <c r="M173" s="233">
        <f t="shared" si="18"/>
        <v>0</v>
      </c>
      <c r="N173" s="233">
        <v>0</v>
      </c>
      <c r="O173" s="233">
        <f>O174+O175+O176</f>
        <v>0</v>
      </c>
      <c r="P173" s="233">
        <f>P174+P175+P176</f>
        <v>0</v>
      </c>
      <c r="Q173" s="233">
        <f>Q174+Q175+Q176</f>
        <v>0</v>
      </c>
      <c r="R173" s="232">
        <f t="shared" si="19"/>
        <v>0</v>
      </c>
    </row>
    <row r="174" spans="1:18" s="6" customFormat="1" ht="36" hidden="1" customHeight="1">
      <c r="A174" s="144" t="s">
        <v>64</v>
      </c>
      <c r="B174" s="179" t="s">
        <v>65</v>
      </c>
      <c r="C174" s="98"/>
      <c r="D174" s="169">
        <v>0</v>
      </c>
      <c r="E174" s="231"/>
      <c r="F174" s="231"/>
      <c r="G174" s="231"/>
      <c r="H174" s="233">
        <f t="shared" si="17"/>
        <v>0</v>
      </c>
      <c r="I174" s="231">
        <v>0</v>
      </c>
      <c r="J174" s="231"/>
      <c r="K174" s="231"/>
      <c r="L174" s="231"/>
      <c r="M174" s="233">
        <f t="shared" si="18"/>
        <v>0</v>
      </c>
      <c r="N174" s="231">
        <v>0</v>
      </c>
      <c r="O174" s="231"/>
      <c r="P174" s="231"/>
      <c r="Q174" s="231"/>
      <c r="R174" s="232">
        <f t="shared" si="19"/>
        <v>0</v>
      </c>
    </row>
    <row r="175" spans="1:18" s="6" customFormat="1" ht="24" hidden="1" customHeight="1">
      <c r="A175" s="144" t="s">
        <v>66</v>
      </c>
      <c r="B175" s="179" t="s">
        <v>67</v>
      </c>
      <c r="C175" s="98"/>
      <c r="D175" s="169">
        <v>0</v>
      </c>
      <c r="E175" s="231"/>
      <c r="F175" s="231"/>
      <c r="G175" s="231"/>
      <c r="H175" s="233">
        <f t="shared" si="17"/>
        <v>0</v>
      </c>
      <c r="I175" s="231">
        <v>0</v>
      </c>
      <c r="J175" s="231"/>
      <c r="K175" s="231"/>
      <c r="L175" s="231"/>
      <c r="M175" s="233">
        <f t="shared" si="18"/>
        <v>0</v>
      </c>
      <c r="N175" s="231">
        <v>0</v>
      </c>
      <c r="O175" s="231"/>
      <c r="P175" s="231"/>
      <c r="Q175" s="231"/>
      <c r="R175" s="232">
        <f t="shared" si="19"/>
        <v>0</v>
      </c>
    </row>
    <row r="176" spans="1:18" s="6" customFormat="1" ht="24" hidden="1" customHeight="1">
      <c r="A176" s="144" t="s">
        <v>68</v>
      </c>
      <c r="B176" s="125" t="s">
        <v>69</v>
      </c>
      <c r="C176" s="98"/>
      <c r="D176" s="169">
        <v>0</v>
      </c>
      <c r="E176" s="231"/>
      <c r="F176" s="231"/>
      <c r="G176" s="231"/>
      <c r="H176" s="233">
        <f t="shared" si="17"/>
        <v>0</v>
      </c>
      <c r="I176" s="231">
        <v>0</v>
      </c>
      <c r="J176" s="231"/>
      <c r="K176" s="231"/>
      <c r="L176" s="231"/>
      <c r="M176" s="233">
        <f t="shared" si="18"/>
        <v>0</v>
      </c>
      <c r="N176" s="231">
        <v>0</v>
      </c>
      <c r="O176" s="231"/>
      <c r="P176" s="231"/>
      <c r="Q176" s="231"/>
      <c r="R176" s="232">
        <f t="shared" si="19"/>
        <v>0</v>
      </c>
    </row>
    <row r="177" spans="1:18" s="6" customFormat="1" ht="36" customHeight="1">
      <c r="A177" s="145"/>
      <c r="B177" s="188" t="s">
        <v>200</v>
      </c>
      <c r="C177" s="207"/>
      <c r="D177" s="294">
        <v>0</v>
      </c>
      <c r="E177" s="268"/>
      <c r="F177" s="347"/>
      <c r="G177" s="347"/>
      <c r="H177" s="347">
        <f t="shared" si="17"/>
        <v>0</v>
      </c>
      <c r="I177" s="347">
        <v>0</v>
      </c>
      <c r="J177" s="347"/>
      <c r="K177" s="347"/>
      <c r="L177" s="347"/>
      <c r="M177" s="347">
        <f t="shared" si="18"/>
        <v>0</v>
      </c>
      <c r="N177" s="347">
        <v>0</v>
      </c>
      <c r="O177" s="347"/>
      <c r="P177" s="347"/>
      <c r="Q177" s="347"/>
      <c r="R177" s="269">
        <f t="shared" si="19"/>
        <v>0</v>
      </c>
    </row>
    <row r="178" spans="1:18" s="6" customFormat="1" ht="20.399999999999999">
      <c r="A178" s="129" t="s">
        <v>201</v>
      </c>
      <c r="B178" s="123" t="s">
        <v>88</v>
      </c>
      <c r="C178" s="200">
        <v>1188535</v>
      </c>
      <c r="D178" s="167">
        <v>808035</v>
      </c>
      <c r="E178" s="228">
        <f>E179+E180+E182+E200</f>
        <v>0</v>
      </c>
      <c r="F178" s="228">
        <f>F179+F180+F182+F200</f>
        <v>0</v>
      </c>
      <c r="G178" s="228">
        <f>G179+G180+G182+G200</f>
        <v>0</v>
      </c>
      <c r="H178" s="243">
        <f t="shared" si="17"/>
        <v>808035</v>
      </c>
      <c r="I178" s="228">
        <v>650000</v>
      </c>
      <c r="J178" s="228">
        <f>J179+J180+J182+J200</f>
        <v>0</v>
      </c>
      <c r="K178" s="228">
        <f>K179+K180+K182+K200</f>
        <v>0</v>
      </c>
      <c r="L178" s="228">
        <f>L179+L180+L182+L200</f>
        <v>0</v>
      </c>
      <c r="M178" s="243">
        <f t="shared" si="18"/>
        <v>650000</v>
      </c>
      <c r="N178" s="228">
        <v>650000</v>
      </c>
      <c r="O178" s="228">
        <f>O179+O180+O182+O200</f>
        <v>0</v>
      </c>
      <c r="P178" s="228">
        <f>P179+P180+P182+P200</f>
        <v>0</v>
      </c>
      <c r="Q178" s="228">
        <f>Q179+Q180+Q182+Q200</f>
        <v>0</v>
      </c>
      <c r="R178" s="229">
        <f t="shared" si="19"/>
        <v>650000</v>
      </c>
    </row>
    <row r="179" spans="1:18" s="6" customFormat="1" ht="24" hidden="1" customHeight="1">
      <c r="A179" s="130" t="s">
        <v>177</v>
      </c>
      <c r="B179" s="124" t="s">
        <v>90</v>
      </c>
      <c r="C179" s="98"/>
      <c r="D179" s="169">
        <v>0</v>
      </c>
      <c r="E179" s="231"/>
      <c r="F179" s="231"/>
      <c r="G179" s="231"/>
      <c r="H179" s="233">
        <f t="shared" si="17"/>
        <v>0</v>
      </c>
      <c r="I179" s="231">
        <v>0</v>
      </c>
      <c r="J179" s="231"/>
      <c r="K179" s="231"/>
      <c r="L179" s="231"/>
      <c r="M179" s="233">
        <f t="shared" si="18"/>
        <v>0</v>
      </c>
      <c r="N179" s="231">
        <v>0</v>
      </c>
      <c r="O179" s="231"/>
      <c r="P179" s="231"/>
      <c r="Q179" s="231"/>
      <c r="R179" s="232">
        <f t="shared" si="19"/>
        <v>0</v>
      </c>
    </row>
    <row r="180" spans="1:18" s="6" customFormat="1" ht="12">
      <c r="A180" s="130" t="s">
        <v>91</v>
      </c>
      <c r="B180" s="124" t="s">
        <v>92</v>
      </c>
      <c r="C180" s="98">
        <v>790560</v>
      </c>
      <c r="D180" s="169">
        <v>790560</v>
      </c>
      <c r="E180" s="231"/>
      <c r="F180" s="231"/>
      <c r="G180" s="231"/>
      <c r="H180" s="233">
        <f t="shared" si="17"/>
        <v>790560</v>
      </c>
      <c r="I180" s="231">
        <v>650000</v>
      </c>
      <c r="J180" s="231"/>
      <c r="K180" s="231"/>
      <c r="L180" s="231"/>
      <c r="M180" s="233">
        <f t="shared" si="18"/>
        <v>650000</v>
      </c>
      <c r="N180" s="231">
        <v>650000</v>
      </c>
      <c r="O180" s="231"/>
      <c r="P180" s="231"/>
      <c r="Q180" s="231"/>
      <c r="R180" s="232">
        <f t="shared" si="19"/>
        <v>650000</v>
      </c>
    </row>
    <row r="181" spans="1:18" s="29" customFormat="1" ht="24" hidden="1" customHeight="1">
      <c r="A181" s="131">
        <v>21210</v>
      </c>
      <c r="B181" s="125" t="s">
        <v>93</v>
      </c>
      <c r="C181" s="98"/>
      <c r="D181" s="169">
        <v>0</v>
      </c>
      <c r="E181" s="231"/>
      <c r="F181" s="231"/>
      <c r="G181" s="231"/>
      <c r="H181" s="233">
        <f t="shared" si="17"/>
        <v>0</v>
      </c>
      <c r="I181" s="231">
        <v>0</v>
      </c>
      <c r="J181" s="231"/>
      <c r="K181" s="231"/>
      <c r="L181" s="231"/>
      <c r="M181" s="233">
        <f t="shared" si="18"/>
        <v>0</v>
      </c>
      <c r="N181" s="231">
        <v>0</v>
      </c>
      <c r="O181" s="231"/>
      <c r="P181" s="231"/>
      <c r="Q181" s="231"/>
      <c r="R181" s="232">
        <f t="shared" si="19"/>
        <v>0</v>
      </c>
    </row>
    <row r="182" spans="1:18" s="89" customFormat="1" ht="21" hidden="1" customHeight="1">
      <c r="A182" s="130" t="s">
        <v>178</v>
      </c>
      <c r="B182" s="124" t="s">
        <v>94</v>
      </c>
      <c r="C182" s="170">
        <v>0</v>
      </c>
      <c r="D182" s="171">
        <v>0</v>
      </c>
      <c r="E182" s="233">
        <f>E183+E189</f>
        <v>0</v>
      </c>
      <c r="F182" s="233">
        <f>F183+F189</f>
        <v>0</v>
      </c>
      <c r="G182" s="233">
        <f>G183+G189</f>
        <v>0</v>
      </c>
      <c r="H182" s="233">
        <f t="shared" si="17"/>
        <v>0</v>
      </c>
      <c r="I182" s="233">
        <v>0</v>
      </c>
      <c r="J182" s="233">
        <f>J183+J189</f>
        <v>0</v>
      </c>
      <c r="K182" s="233">
        <f>K183+K189</f>
        <v>0</v>
      </c>
      <c r="L182" s="233">
        <f>L183+L189</f>
        <v>0</v>
      </c>
      <c r="M182" s="233">
        <f t="shared" si="18"/>
        <v>0</v>
      </c>
      <c r="N182" s="233">
        <v>0</v>
      </c>
      <c r="O182" s="233">
        <f>O183+O189</f>
        <v>0</v>
      </c>
      <c r="P182" s="233">
        <f>P183+P189</f>
        <v>0</v>
      </c>
      <c r="Q182" s="233">
        <f>Q183+Q189</f>
        <v>0</v>
      </c>
      <c r="R182" s="232">
        <f t="shared" si="19"/>
        <v>0</v>
      </c>
    </row>
    <row r="183" spans="1:18" s="89" customFormat="1" ht="12" hidden="1" customHeight="1">
      <c r="A183" s="132">
        <v>18000</v>
      </c>
      <c r="B183" s="125" t="s">
        <v>95</v>
      </c>
      <c r="C183" s="170">
        <v>0</v>
      </c>
      <c r="D183" s="171">
        <v>0</v>
      </c>
      <c r="E183" s="233">
        <f t="shared" ref="E183:L184" si="20">E184</f>
        <v>0</v>
      </c>
      <c r="F183" s="233">
        <f t="shared" si="20"/>
        <v>0</v>
      </c>
      <c r="G183" s="233">
        <f t="shared" si="20"/>
        <v>0</v>
      </c>
      <c r="H183" s="233">
        <f t="shared" si="17"/>
        <v>0</v>
      </c>
      <c r="I183" s="233">
        <v>0</v>
      </c>
      <c r="J183" s="233">
        <f t="shared" si="20"/>
        <v>0</v>
      </c>
      <c r="K183" s="233">
        <f t="shared" si="20"/>
        <v>0</v>
      </c>
      <c r="L183" s="233">
        <f t="shared" si="20"/>
        <v>0</v>
      </c>
      <c r="M183" s="233">
        <f t="shared" si="18"/>
        <v>0</v>
      </c>
      <c r="N183" s="233">
        <v>0</v>
      </c>
      <c r="O183" s="233">
        <f t="shared" ref="O183:Q184" si="21">O184</f>
        <v>0</v>
      </c>
      <c r="P183" s="233">
        <f t="shared" si="21"/>
        <v>0</v>
      </c>
      <c r="Q183" s="233">
        <f t="shared" si="21"/>
        <v>0</v>
      </c>
      <c r="R183" s="232">
        <f t="shared" si="19"/>
        <v>0</v>
      </c>
    </row>
    <row r="184" spans="1:18" s="89" customFormat="1" ht="12" hidden="1" customHeight="1">
      <c r="A184" s="132">
        <v>18100</v>
      </c>
      <c r="B184" s="125" t="s">
        <v>96</v>
      </c>
      <c r="C184" s="170">
        <v>0</v>
      </c>
      <c r="D184" s="171">
        <v>0</v>
      </c>
      <c r="E184" s="233">
        <f t="shared" si="20"/>
        <v>0</v>
      </c>
      <c r="F184" s="233">
        <f t="shared" si="20"/>
        <v>0</v>
      </c>
      <c r="G184" s="233">
        <f t="shared" si="20"/>
        <v>0</v>
      </c>
      <c r="H184" s="233">
        <f t="shared" si="17"/>
        <v>0</v>
      </c>
      <c r="I184" s="233">
        <v>0</v>
      </c>
      <c r="J184" s="233">
        <f t="shared" si="20"/>
        <v>0</v>
      </c>
      <c r="K184" s="233">
        <f t="shared" si="20"/>
        <v>0</v>
      </c>
      <c r="L184" s="233">
        <f t="shared" si="20"/>
        <v>0</v>
      </c>
      <c r="M184" s="233">
        <f t="shared" si="18"/>
        <v>0</v>
      </c>
      <c r="N184" s="233">
        <v>0</v>
      </c>
      <c r="O184" s="233">
        <f t="shared" si="21"/>
        <v>0</v>
      </c>
      <c r="P184" s="233">
        <f t="shared" si="21"/>
        <v>0</v>
      </c>
      <c r="Q184" s="233">
        <f t="shared" si="21"/>
        <v>0</v>
      </c>
      <c r="R184" s="232">
        <f t="shared" si="19"/>
        <v>0</v>
      </c>
    </row>
    <row r="185" spans="1:18" s="89" customFormat="1" ht="24" hidden="1" customHeight="1">
      <c r="A185" s="133">
        <v>18130</v>
      </c>
      <c r="B185" s="172" t="s">
        <v>159</v>
      </c>
      <c r="C185" s="170">
        <v>0</v>
      </c>
      <c r="D185" s="171">
        <v>0</v>
      </c>
      <c r="E185" s="233">
        <f>SUM(E186:E188)</f>
        <v>0</v>
      </c>
      <c r="F185" s="233">
        <f>SUM(F186:F188)</f>
        <v>0</v>
      </c>
      <c r="G185" s="233">
        <f>SUM(G186:G188)</f>
        <v>0</v>
      </c>
      <c r="H185" s="233">
        <f t="shared" si="17"/>
        <v>0</v>
      </c>
      <c r="I185" s="233">
        <v>0</v>
      </c>
      <c r="J185" s="233">
        <f>SUM(J186:J188)</f>
        <v>0</v>
      </c>
      <c r="K185" s="233">
        <f>SUM(K186:K188)</f>
        <v>0</v>
      </c>
      <c r="L185" s="233">
        <f>SUM(L186:L188)</f>
        <v>0</v>
      </c>
      <c r="M185" s="233">
        <f t="shared" si="18"/>
        <v>0</v>
      </c>
      <c r="N185" s="233">
        <v>0</v>
      </c>
      <c r="O185" s="233">
        <f>SUM(O186:O188)</f>
        <v>0</v>
      </c>
      <c r="P185" s="233">
        <f>SUM(P186:P188)</f>
        <v>0</v>
      </c>
      <c r="Q185" s="233">
        <f>SUM(Q186:Q188)</f>
        <v>0</v>
      </c>
      <c r="R185" s="232">
        <f t="shared" si="19"/>
        <v>0</v>
      </c>
    </row>
    <row r="186" spans="1:18" s="89" customFormat="1" ht="36" hidden="1" customHeight="1">
      <c r="A186" s="134">
        <v>18131</v>
      </c>
      <c r="B186" s="172" t="s">
        <v>160</v>
      </c>
      <c r="C186" s="170"/>
      <c r="D186" s="171">
        <v>0</v>
      </c>
      <c r="E186" s="233"/>
      <c r="F186" s="233"/>
      <c r="G186" s="233"/>
      <c r="H186" s="233">
        <f t="shared" si="17"/>
        <v>0</v>
      </c>
      <c r="I186" s="233">
        <v>0</v>
      </c>
      <c r="J186" s="233"/>
      <c r="K186" s="233"/>
      <c r="L186" s="233"/>
      <c r="M186" s="233">
        <f t="shared" si="18"/>
        <v>0</v>
      </c>
      <c r="N186" s="233">
        <v>0</v>
      </c>
      <c r="O186" s="233"/>
      <c r="P186" s="233"/>
      <c r="Q186" s="233"/>
      <c r="R186" s="232">
        <f t="shared" si="19"/>
        <v>0</v>
      </c>
    </row>
    <row r="187" spans="1:18" s="89" customFormat="1" ht="24" hidden="1" customHeight="1">
      <c r="A187" s="134">
        <v>18132</v>
      </c>
      <c r="B187" s="172" t="s">
        <v>169</v>
      </c>
      <c r="C187" s="170"/>
      <c r="D187" s="171">
        <v>0</v>
      </c>
      <c r="E187" s="233"/>
      <c r="F187" s="233"/>
      <c r="G187" s="233"/>
      <c r="H187" s="233">
        <f t="shared" si="17"/>
        <v>0</v>
      </c>
      <c r="I187" s="233">
        <v>0</v>
      </c>
      <c r="J187" s="233"/>
      <c r="K187" s="233"/>
      <c r="L187" s="233"/>
      <c r="M187" s="233">
        <f t="shared" si="18"/>
        <v>0</v>
      </c>
      <c r="N187" s="233">
        <v>0</v>
      </c>
      <c r="O187" s="233"/>
      <c r="P187" s="233"/>
      <c r="Q187" s="233"/>
      <c r="R187" s="232">
        <f t="shared" si="19"/>
        <v>0</v>
      </c>
    </row>
    <row r="188" spans="1:18" s="89" customFormat="1" ht="24" hidden="1" customHeight="1">
      <c r="A188" s="134">
        <v>18139</v>
      </c>
      <c r="B188" s="172" t="s">
        <v>179</v>
      </c>
      <c r="C188" s="170"/>
      <c r="D188" s="171">
        <v>0</v>
      </c>
      <c r="E188" s="233"/>
      <c r="F188" s="233"/>
      <c r="G188" s="233"/>
      <c r="H188" s="233">
        <f t="shared" si="17"/>
        <v>0</v>
      </c>
      <c r="I188" s="233">
        <v>0</v>
      </c>
      <c r="J188" s="233"/>
      <c r="K188" s="233"/>
      <c r="L188" s="233"/>
      <c r="M188" s="233">
        <f t="shared" si="18"/>
        <v>0</v>
      </c>
      <c r="N188" s="233">
        <v>0</v>
      </c>
      <c r="O188" s="233"/>
      <c r="P188" s="233"/>
      <c r="Q188" s="233"/>
      <c r="R188" s="232">
        <f t="shared" si="19"/>
        <v>0</v>
      </c>
    </row>
    <row r="189" spans="1:18" s="89" customFormat="1" ht="12" hidden="1" customHeight="1">
      <c r="A189" s="135" t="s">
        <v>180</v>
      </c>
      <c r="B189" s="173" t="s">
        <v>173</v>
      </c>
      <c r="C189" s="201">
        <v>0</v>
      </c>
      <c r="D189" s="174">
        <v>0</v>
      </c>
      <c r="E189" s="238">
        <f t="shared" ref="E189:L189" si="22">E190</f>
        <v>0</v>
      </c>
      <c r="F189" s="238">
        <f t="shared" si="22"/>
        <v>0</v>
      </c>
      <c r="G189" s="238">
        <f t="shared" si="22"/>
        <v>0</v>
      </c>
      <c r="H189" s="233">
        <f t="shared" si="17"/>
        <v>0</v>
      </c>
      <c r="I189" s="238">
        <v>0</v>
      </c>
      <c r="J189" s="238">
        <f t="shared" si="22"/>
        <v>0</v>
      </c>
      <c r="K189" s="238">
        <f t="shared" si="22"/>
        <v>0</v>
      </c>
      <c r="L189" s="238">
        <f t="shared" si="22"/>
        <v>0</v>
      </c>
      <c r="M189" s="233">
        <f t="shared" si="18"/>
        <v>0</v>
      </c>
      <c r="N189" s="238">
        <v>0</v>
      </c>
      <c r="O189" s="238">
        <f>O190</f>
        <v>0</v>
      </c>
      <c r="P189" s="238">
        <f>P190</f>
        <v>0</v>
      </c>
      <c r="Q189" s="238">
        <f>Q190</f>
        <v>0</v>
      </c>
      <c r="R189" s="232">
        <f t="shared" si="19"/>
        <v>0</v>
      </c>
    </row>
    <row r="190" spans="1:18" s="89" customFormat="1" ht="24" hidden="1" customHeight="1">
      <c r="A190" s="135">
        <v>19500</v>
      </c>
      <c r="B190" s="172" t="s">
        <v>174</v>
      </c>
      <c r="C190" s="170">
        <v>0</v>
      </c>
      <c r="D190" s="171">
        <v>0</v>
      </c>
      <c r="E190" s="233">
        <f>SUM(E191:E193)</f>
        <v>0</v>
      </c>
      <c r="F190" s="233">
        <f>SUM(F191:F193)</f>
        <v>0</v>
      </c>
      <c r="G190" s="233">
        <f>SUM(G191:G193)</f>
        <v>0</v>
      </c>
      <c r="H190" s="233">
        <f t="shared" si="17"/>
        <v>0</v>
      </c>
      <c r="I190" s="233">
        <v>0</v>
      </c>
      <c r="J190" s="233">
        <f>SUM(J191:J193)</f>
        <v>0</v>
      </c>
      <c r="K190" s="233">
        <f>SUM(K191:K193)</f>
        <v>0</v>
      </c>
      <c r="L190" s="233">
        <f>SUM(L191:L193)</f>
        <v>0</v>
      </c>
      <c r="M190" s="233">
        <f t="shared" si="18"/>
        <v>0</v>
      </c>
      <c r="N190" s="233">
        <v>0</v>
      </c>
      <c r="O190" s="233">
        <f>SUM(O191:O193)</f>
        <v>0</v>
      </c>
      <c r="P190" s="233">
        <f>SUM(P191:P193)</f>
        <v>0</v>
      </c>
      <c r="Q190" s="233">
        <f>SUM(Q191:Q193)</f>
        <v>0</v>
      </c>
      <c r="R190" s="232">
        <f t="shared" si="19"/>
        <v>0</v>
      </c>
    </row>
    <row r="191" spans="1:18" s="89" customFormat="1" ht="24" hidden="1" customHeight="1">
      <c r="A191" s="136">
        <v>19550</v>
      </c>
      <c r="B191" s="172" t="s">
        <v>175</v>
      </c>
      <c r="C191" s="170"/>
      <c r="D191" s="171">
        <v>0</v>
      </c>
      <c r="E191" s="233"/>
      <c r="F191" s="233"/>
      <c r="G191" s="233"/>
      <c r="H191" s="233">
        <f t="shared" si="17"/>
        <v>0</v>
      </c>
      <c r="I191" s="233">
        <v>0</v>
      </c>
      <c r="J191" s="233"/>
      <c r="K191" s="233"/>
      <c r="L191" s="233"/>
      <c r="M191" s="233">
        <f t="shared" si="18"/>
        <v>0</v>
      </c>
      <c r="N191" s="233">
        <v>0</v>
      </c>
      <c r="O191" s="233"/>
      <c r="P191" s="233"/>
      <c r="Q191" s="233"/>
      <c r="R191" s="232">
        <f t="shared" si="19"/>
        <v>0</v>
      </c>
    </row>
    <row r="192" spans="1:18" s="89" customFormat="1" ht="36" hidden="1" customHeight="1">
      <c r="A192" s="136">
        <v>19560</v>
      </c>
      <c r="B192" s="172" t="s">
        <v>181</v>
      </c>
      <c r="C192" s="170"/>
      <c r="D192" s="171">
        <v>0</v>
      </c>
      <c r="E192" s="233"/>
      <c r="F192" s="233"/>
      <c r="G192" s="233"/>
      <c r="H192" s="233">
        <f t="shared" si="17"/>
        <v>0</v>
      </c>
      <c r="I192" s="233">
        <v>0</v>
      </c>
      <c r="J192" s="233"/>
      <c r="K192" s="233"/>
      <c r="L192" s="233"/>
      <c r="M192" s="233">
        <f t="shared" si="18"/>
        <v>0</v>
      </c>
      <c r="N192" s="233">
        <v>0</v>
      </c>
      <c r="O192" s="233"/>
      <c r="P192" s="233"/>
      <c r="Q192" s="233"/>
      <c r="R192" s="232">
        <f t="shared" si="19"/>
        <v>0</v>
      </c>
    </row>
    <row r="193" spans="1:18" s="89" customFormat="1" ht="72" hidden="1" customHeight="1">
      <c r="A193" s="136">
        <v>19570</v>
      </c>
      <c r="B193" s="172" t="s">
        <v>182</v>
      </c>
      <c r="C193" s="170"/>
      <c r="D193" s="171">
        <v>0</v>
      </c>
      <c r="E193" s="233"/>
      <c r="F193" s="233"/>
      <c r="G193" s="233"/>
      <c r="H193" s="233">
        <f t="shared" si="17"/>
        <v>0</v>
      </c>
      <c r="I193" s="233">
        <v>0</v>
      </c>
      <c r="J193" s="233"/>
      <c r="K193" s="233"/>
      <c r="L193" s="233"/>
      <c r="M193" s="233">
        <f t="shared" si="18"/>
        <v>0</v>
      </c>
      <c r="N193" s="233">
        <v>0</v>
      </c>
      <c r="O193" s="233"/>
      <c r="P193" s="233"/>
      <c r="Q193" s="233"/>
      <c r="R193" s="232">
        <f t="shared" si="19"/>
        <v>0</v>
      </c>
    </row>
    <row r="194" spans="1:18" s="6" customFormat="1" ht="24" hidden="1" customHeight="1">
      <c r="A194" s="209" t="s">
        <v>222</v>
      </c>
      <c r="B194" s="208" t="s">
        <v>216</v>
      </c>
      <c r="C194" s="106">
        <f>C195</f>
        <v>0</v>
      </c>
      <c r="D194" s="107">
        <v>0</v>
      </c>
      <c r="E194" s="232">
        <f t="shared" ref="E194:L194" si="23">E195</f>
        <v>0</v>
      </c>
      <c r="F194" s="233">
        <f t="shared" si="23"/>
        <v>0</v>
      </c>
      <c r="G194" s="233">
        <f t="shared" si="23"/>
        <v>0</v>
      </c>
      <c r="H194" s="233">
        <f t="shared" si="17"/>
        <v>0</v>
      </c>
      <c r="I194" s="233">
        <v>0</v>
      </c>
      <c r="J194" s="233">
        <f t="shared" si="23"/>
        <v>0</v>
      </c>
      <c r="K194" s="233">
        <f t="shared" si="23"/>
        <v>0</v>
      </c>
      <c r="L194" s="233">
        <f t="shared" si="23"/>
        <v>0</v>
      </c>
      <c r="M194" s="233">
        <f t="shared" si="18"/>
        <v>0</v>
      </c>
      <c r="N194" s="233">
        <v>0</v>
      </c>
      <c r="O194" s="233">
        <f>O195</f>
        <v>0</v>
      </c>
      <c r="P194" s="233">
        <f>P195</f>
        <v>0</v>
      </c>
      <c r="Q194" s="233">
        <f>Q195</f>
        <v>0</v>
      </c>
      <c r="R194" s="232">
        <f t="shared" si="19"/>
        <v>0</v>
      </c>
    </row>
    <row r="195" spans="1:18" s="6" customFormat="1" ht="36" hidden="1" customHeight="1">
      <c r="A195" s="209">
        <v>17100</v>
      </c>
      <c r="B195" s="208" t="s">
        <v>217</v>
      </c>
      <c r="C195" s="106">
        <f>SUM(C196:C199)</f>
        <v>0</v>
      </c>
      <c r="D195" s="107">
        <v>0</v>
      </c>
      <c r="E195" s="232">
        <f>SUM(E196:E199)</f>
        <v>0</v>
      </c>
      <c r="F195" s="233">
        <f>SUM(F196:F199)</f>
        <v>0</v>
      </c>
      <c r="G195" s="233">
        <f>SUM(G196:G199)</f>
        <v>0</v>
      </c>
      <c r="H195" s="233">
        <f t="shared" si="17"/>
        <v>0</v>
      </c>
      <c r="I195" s="233">
        <v>0</v>
      </c>
      <c r="J195" s="233">
        <f>SUM(J196:J199)</f>
        <v>0</v>
      </c>
      <c r="K195" s="233">
        <f>SUM(K196:K199)</f>
        <v>0</v>
      </c>
      <c r="L195" s="233">
        <f>SUM(L196:L199)</f>
        <v>0</v>
      </c>
      <c r="M195" s="233">
        <f t="shared" si="18"/>
        <v>0</v>
      </c>
      <c r="N195" s="233">
        <v>0</v>
      </c>
      <c r="O195" s="233">
        <f>SUM(O196:O199)</f>
        <v>0</v>
      </c>
      <c r="P195" s="233">
        <f>SUM(P196:P199)</f>
        <v>0</v>
      </c>
      <c r="Q195" s="233">
        <f>SUM(Q196:Q199)</f>
        <v>0</v>
      </c>
      <c r="R195" s="232">
        <f t="shared" si="19"/>
        <v>0</v>
      </c>
    </row>
    <row r="196" spans="1:18" s="6" customFormat="1" ht="60" hidden="1" customHeight="1">
      <c r="A196" s="149">
        <v>17110</v>
      </c>
      <c r="B196" s="208" t="s">
        <v>218</v>
      </c>
      <c r="C196" s="106"/>
      <c r="D196" s="107">
        <v>0</v>
      </c>
      <c r="E196" s="233"/>
      <c r="F196" s="233"/>
      <c r="G196" s="233"/>
      <c r="H196" s="233">
        <f t="shared" si="17"/>
        <v>0</v>
      </c>
      <c r="I196" s="233">
        <v>0</v>
      </c>
      <c r="J196" s="233"/>
      <c r="K196" s="233"/>
      <c r="L196" s="233"/>
      <c r="M196" s="233">
        <f t="shared" si="18"/>
        <v>0</v>
      </c>
      <c r="N196" s="233">
        <v>0</v>
      </c>
      <c r="O196" s="233"/>
      <c r="P196" s="233"/>
      <c r="Q196" s="233"/>
      <c r="R196" s="232">
        <f t="shared" si="19"/>
        <v>0</v>
      </c>
    </row>
    <row r="197" spans="1:18" s="6" customFormat="1" ht="60" hidden="1" customHeight="1">
      <c r="A197" s="149">
        <v>17120</v>
      </c>
      <c r="B197" s="208" t="s">
        <v>219</v>
      </c>
      <c r="C197" s="106"/>
      <c r="D197" s="107">
        <v>0</v>
      </c>
      <c r="E197" s="233"/>
      <c r="F197" s="233"/>
      <c r="G197" s="233"/>
      <c r="H197" s="233">
        <f t="shared" si="17"/>
        <v>0</v>
      </c>
      <c r="I197" s="233">
        <v>0</v>
      </c>
      <c r="J197" s="233"/>
      <c r="K197" s="233"/>
      <c r="L197" s="233"/>
      <c r="M197" s="233">
        <f t="shared" si="18"/>
        <v>0</v>
      </c>
      <c r="N197" s="233">
        <v>0</v>
      </c>
      <c r="O197" s="233"/>
      <c r="P197" s="233"/>
      <c r="Q197" s="233"/>
      <c r="R197" s="232">
        <f t="shared" si="19"/>
        <v>0</v>
      </c>
    </row>
    <row r="198" spans="1:18" s="6" customFormat="1" ht="108" hidden="1" customHeight="1">
      <c r="A198" s="149">
        <v>17130</v>
      </c>
      <c r="B198" s="208" t="s">
        <v>220</v>
      </c>
      <c r="C198" s="106"/>
      <c r="D198" s="107">
        <v>0</v>
      </c>
      <c r="E198" s="233"/>
      <c r="F198" s="233"/>
      <c r="G198" s="233"/>
      <c r="H198" s="233">
        <f t="shared" si="17"/>
        <v>0</v>
      </c>
      <c r="I198" s="233">
        <v>0</v>
      </c>
      <c r="J198" s="233"/>
      <c r="K198" s="233"/>
      <c r="L198" s="233"/>
      <c r="M198" s="233">
        <f t="shared" si="18"/>
        <v>0</v>
      </c>
      <c r="N198" s="233">
        <v>0</v>
      </c>
      <c r="O198" s="233"/>
      <c r="P198" s="233"/>
      <c r="Q198" s="233"/>
      <c r="R198" s="232">
        <f t="shared" si="19"/>
        <v>0</v>
      </c>
    </row>
    <row r="199" spans="1:18" s="6" customFormat="1" ht="96" hidden="1" customHeight="1">
      <c r="A199" s="149">
        <v>17140</v>
      </c>
      <c r="B199" s="208" t="s">
        <v>221</v>
      </c>
      <c r="C199" s="106"/>
      <c r="D199" s="107">
        <v>0</v>
      </c>
      <c r="E199" s="233"/>
      <c r="F199" s="233"/>
      <c r="G199" s="233"/>
      <c r="H199" s="233">
        <f t="shared" si="17"/>
        <v>0</v>
      </c>
      <c r="I199" s="233">
        <v>0</v>
      </c>
      <c r="J199" s="233"/>
      <c r="K199" s="233"/>
      <c r="L199" s="233"/>
      <c r="M199" s="233">
        <f t="shared" si="18"/>
        <v>0</v>
      </c>
      <c r="N199" s="233">
        <v>0</v>
      </c>
      <c r="O199" s="233"/>
      <c r="P199" s="233"/>
      <c r="Q199" s="233"/>
      <c r="R199" s="232">
        <f t="shared" si="19"/>
        <v>0</v>
      </c>
    </row>
    <row r="200" spans="1:18" s="89" customFormat="1" ht="12">
      <c r="A200" s="137">
        <v>21700</v>
      </c>
      <c r="B200" s="124" t="s">
        <v>97</v>
      </c>
      <c r="C200" s="170">
        <v>397975</v>
      </c>
      <c r="D200" s="171">
        <v>17475</v>
      </c>
      <c r="E200" s="233">
        <f>E201+E202</f>
        <v>0</v>
      </c>
      <c r="F200" s="233">
        <f>F201+F202</f>
        <v>0</v>
      </c>
      <c r="G200" s="233">
        <f>G201+G202</f>
        <v>0</v>
      </c>
      <c r="H200" s="233">
        <f t="shared" si="17"/>
        <v>17475</v>
      </c>
      <c r="I200" s="233">
        <v>0</v>
      </c>
      <c r="J200" s="233">
        <f>J201+J202</f>
        <v>0</v>
      </c>
      <c r="K200" s="233">
        <f>K201+K202</f>
        <v>0</v>
      </c>
      <c r="L200" s="233">
        <f>L201+L202</f>
        <v>0</v>
      </c>
      <c r="M200" s="233">
        <f t="shared" si="18"/>
        <v>0</v>
      </c>
      <c r="N200" s="233">
        <v>0</v>
      </c>
      <c r="O200" s="233">
        <f>O201+O202</f>
        <v>0</v>
      </c>
      <c r="P200" s="233">
        <f>P201+P202</f>
        <v>0</v>
      </c>
      <c r="Q200" s="233">
        <f>Q201+Q202</f>
        <v>0</v>
      </c>
      <c r="R200" s="232">
        <f t="shared" si="19"/>
        <v>0</v>
      </c>
    </row>
    <row r="201" spans="1:18" s="89" customFormat="1" ht="24">
      <c r="A201" s="138">
        <v>21710</v>
      </c>
      <c r="B201" s="125" t="s">
        <v>98</v>
      </c>
      <c r="C201" s="170">
        <v>397975</v>
      </c>
      <c r="D201" s="171">
        <v>17475</v>
      </c>
      <c r="E201" s="233"/>
      <c r="F201" s="233"/>
      <c r="G201" s="233"/>
      <c r="H201" s="233">
        <f t="shared" si="17"/>
        <v>17475</v>
      </c>
      <c r="I201" s="233">
        <v>0</v>
      </c>
      <c r="J201" s="233"/>
      <c r="K201" s="233"/>
      <c r="L201" s="233"/>
      <c r="M201" s="233">
        <f t="shared" si="18"/>
        <v>0</v>
      </c>
      <c r="N201" s="233">
        <v>0</v>
      </c>
      <c r="O201" s="233"/>
      <c r="P201" s="233"/>
      <c r="Q201" s="233"/>
      <c r="R201" s="232">
        <f t="shared" si="19"/>
        <v>0</v>
      </c>
    </row>
    <row r="202" spans="1:18" s="29" customFormat="1" ht="24" hidden="1" customHeight="1">
      <c r="A202" s="138">
        <v>21720</v>
      </c>
      <c r="B202" s="125" t="s">
        <v>99</v>
      </c>
      <c r="C202" s="170"/>
      <c r="D202" s="171">
        <v>0</v>
      </c>
      <c r="E202" s="233"/>
      <c r="F202" s="233"/>
      <c r="G202" s="233"/>
      <c r="H202" s="233">
        <f t="shared" ref="H202:H260" si="24">SUM(D202:G202)</f>
        <v>0</v>
      </c>
      <c r="I202" s="233">
        <v>0</v>
      </c>
      <c r="J202" s="233"/>
      <c r="K202" s="233"/>
      <c r="L202" s="233"/>
      <c r="M202" s="233">
        <f t="shared" ref="M202:M260" si="25">SUM(I202:L202)</f>
        <v>0</v>
      </c>
      <c r="N202" s="233">
        <v>0</v>
      </c>
      <c r="O202" s="233"/>
      <c r="P202" s="233"/>
      <c r="Q202" s="233"/>
      <c r="R202" s="232">
        <f t="shared" ref="R202:R260" si="26">SUM(N202:Q202)</f>
        <v>0</v>
      </c>
    </row>
    <row r="203" spans="1:18" s="29" customFormat="1" ht="11.4">
      <c r="A203" s="129" t="s">
        <v>100</v>
      </c>
      <c r="B203" s="123" t="s">
        <v>101</v>
      </c>
      <c r="C203" s="168">
        <v>1320235</v>
      </c>
      <c r="D203" s="175">
        <v>808035</v>
      </c>
      <c r="E203" s="243"/>
      <c r="F203" s="243">
        <f>F204+F231</f>
        <v>0</v>
      </c>
      <c r="G203" s="243">
        <f>G204+G231</f>
        <v>0</v>
      </c>
      <c r="H203" s="403">
        <f t="shared" si="24"/>
        <v>808035</v>
      </c>
      <c r="I203" s="243">
        <v>650000</v>
      </c>
      <c r="J203" s="243">
        <f>J204+J231</f>
        <v>0</v>
      </c>
      <c r="K203" s="243">
        <f>K204+K231</f>
        <v>0</v>
      </c>
      <c r="L203" s="243">
        <f>L204+L231</f>
        <v>0</v>
      </c>
      <c r="M203" s="403">
        <f t="shared" si="25"/>
        <v>650000</v>
      </c>
      <c r="N203" s="243">
        <v>650000</v>
      </c>
      <c r="O203" s="243">
        <f>O204+O231</f>
        <v>0</v>
      </c>
      <c r="P203" s="243">
        <f>P204+P231</f>
        <v>0</v>
      </c>
      <c r="Q203" s="243">
        <f>Q204+Q231</f>
        <v>0</v>
      </c>
      <c r="R203" s="270">
        <f t="shared" si="26"/>
        <v>650000</v>
      </c>
    </row>
    <row r="204" spans="1:18" s="29" customFormat="1" ht="20.399999999999999">
      <c r="A204" s="130" t="s">
        <v>102</v>
      </c>
      <c r="B204" s="124" t="s">
        <v>103</v>
      </c>
      <c r="C204" s="170">
        <v>942645</v>
      </c>
      <c r="D204" s="171">
        <v>808035</v>
      </c>
      <c r="E204" s="233"/>
      <c r="F204" s="233">
        <f>F205+F209+F210+F213+F216</f>
        <v>0</v>
      </c>
      <c r="G204" s="233">
        <f>G205+G209+G210+G213+G216</f>
        <v>0</v>
      </c>
      <c r="H204" s="233">
        <f t="shared" si="24"/>
        <v>808035</v>
      </c>
      <c r="I204" s="233">
        <v>650000</v>
      </c>
      <c r="J204" s="233">
        <f>J205+J209+J210+J213+J216</f>
        <v>0</v>
      </c>
      <c r="K204" s="233">
        <f>K205+K209+K210+K213+K216</f>
        <v>0</v>
      </c>
      <c r="L204" s="233">
        <f>L205+L209+L210+L213+L216</f>
        <v>0</v>
      </c>
      <c r="M204" s="233">
        <f t="shared" si="25"/>
        <v>650000</v>
      </c>
      <c r="N204" s="233">
        <v>650000</v>
      </c>
      <c r="O204" s="233">
        <f>O205+O209+O210+O213+O216</f>
        <v>0</v>
      </c>
      <c r="P204" s="233">
        <f>P205+P209+P210+P213+P216</f>
        <v>0</v>
      </c>
      <c r="Q204" s="233">
        <f>Q205+Q209+Q210+Q213+Q216</f>
        <v>0</v>
      </c>
      <c r="R204" s="232">
        <f t="shared" si="26"/>
        <v>650000</v>
      </c>
    </row>
    <row r="205" spans="1:18" s="29" customFormat="1" ht="12">
      <c r="A205" s="130" t="s">
        <v>104</v>
      </c>
      <c r="B205" s="124" t="s">
        <v>105</v>
      </c>
      <c r="C205" s="170">
        <v>942645</v>
      </c>
      <c r="D205" s="171">
        <v>808035</v>
      </c>
      <c r="E205" s="233"/>
      <c r="F205" s="233">
        <f>F206+F208</f>
        <v>0</v>
      </c>
      <c r="G205" s="233">
        <f>G206+G208</f>
        <v>0</v>
      </c>
      <c r="H205" s="233">
        <f t="shared" si="24"/>
        <v>808035</v>
      </c>
      <c r="I205" s="233">
        <v>650000</v>
      </c>
      <c r="J205" s="233">
        <f>J206+J208</f>
        <v>0</v>
      </c>
      <c r="K205" s="233">
        <f>K206+K208</f>
        <v>0</v>
      </c>
      <c r="L205" s="233">
        <f>L206+L208</f>
        <v>0</v>
      </c>
      <c r="M205" s="233">
        <f t="shared" si="25"/>
        <v>650000</v>
      </c>
      <c r="N205" s="233">
        <v>650000</v>
      </c>
      <c r="O205" s="233">
        <f>O206+O208</f>
        <v>0</v>
      </c>
      <c r="P205" s="233">
        <f>P206+P208</f>
        <v>0</v>
      </c>
      <c r="Q205" s="233">
        <f>Q206+Q208</f>
        <v>0</v>
      </c>
      <c r="R205" s="232">
        <f t="shared" si="26"/>
        <v>650000</v>
      </c>
    </row>
    <row r="206" spans="1:18" s="29" customFormat="1" ht="12" hidden="1" customHeight="1">
      <c r="A206" s="132">
        <v>1000</v>
      </c>
      <c r="B206" s="125" t="s">
        <v>106</v>
      </c>
      <c r="C206" s="170"/>
      <c r="D206" s="171">
        <v>0</v>
      </c>
      <c r="E206" s="244"/>
      <c r="F206" s="233"/>
      <c r="G206" s="233"/>
      <c r="H206" s="233">
        <f t="shared" si="24"/>
        <v>0</v>
      </c>
      <c r="I206" s="233">
        <v>0</v>
      </c>
      <c r="J206" s="233"/>
      <c r="K206" s="233"/>
      <c r="L206" s="233"/>
      <c r="M206" s="233">
        <f t="shared" si="25"/>
        <v>0</v>
      </c>
      <c r="N206" s="233">
        <v>0</v>
      </c>
      <c r="O206" s="233"/>
      <c r="P206" s="233"/>
      <c r="Q206" s="233"/>
      <c r="R206" s="232">
        <f t="shared" si="26"/>
        <v>0</v>
      </c>
    </row>
    <row r="207" spans="1:18" s="29" customFormat="1" ht="12" hidden="1" customHeight="1">
      <c r="A207" s="139">
        <v>1100</v>
      </c>
      <c r="B207" s="125" t="s">
        <v>107</v>
      </c>
      <c r="C207" s="170"/>
      <c r="D207" s="171">
        <v>0</v>
      </c>
      <c r="E207" s="244"/>
      <c r="F207" s="233"/>
      <c r="G207" s="233"/>
      <c r="H207" s="233">
        <f t="shared" si="24"/>
        <v>0</v>
      </c>
      <c r="I207" s="233">
        <v>0</v>
      </c>
      <c r="J207" s="233"/>
      <c r="K207" s="233"/>
      <c r="L207" s="233"/>
      <c r="M207" s="233">
        <f t="shared" si="25"/>
        <v>0</v>
      </c>
      <c r="N207" s="233">
        <v>0</v>
      </c>
      <c r="O207" s="233"/>
      <c r="P207" s="233"/>
      <c r="Q207" s="233"/>
      <c r="R207" s="232">
        <f t="shared" si="26"/>
        <v>0</v>
      </c>
    </row>
    <row r="208" spans="1:18" s="29" customFormat="1" ht="12">
      <c r="A208" s="132">
        <v>2000</v>
      </c>
      <c r="B208" s="125" t="s">
        <v>108</v>
      </c>
      <c r="C208" s="170">
        <v>942645</v>
      </c>
      <c r="D208" s="171">
        <v>808035</v>
      </c>
      <c r="E208" s="233"/>
      <c r="F208" s="233"/>
      <c r="G208" s="233"/>
      <c r="H208" s="233">
        <f t="shared" si="24"/>
        <v>808035</v>
      </c>
      <c r="I208" s="233">
        <v>650000</v>
      </c>
      <c r="J208" s="233"/>
      <c r="K208" s="233"/>
      <c r="L208" s="233"/>
      <c r="M208" s="233">
        <f t="shared" si="25"/>
        <v>650000</v>
      </c>
      <c r="N208" s="233">
        <v>650000</v>
      </c>
      <c r="O208" s="233"/>
      <c r="P208" s="233"/>
      <c r="Q208" s="233"/>
      <c r="R208" s="232">
        <f t="shared" si="26"/>
        <v>650000</v>
      </c>
    </row>
    <row r="209" spans="1:18" s="29" customFormat="1" ht="12" hidden="1" customHeight="1">
      <c r="A209" s="140">
        <v>4000</v>
      </c>
      <c r="B209" s="124" t="s">
        <v>132</v>
      </c>
      <c r="C209" s="170"/>
      <c r="D209" s="171">
        <v>0</v>
      </c>
      <c r="E209" s="244"/>
      <c r="F209" s="233"/>
      <c r="G209" s="233"/>
      <c r="H209" s="233">
        <f t="shared" si="24"/>
        <v>0</v>
      </c>
      <c r="I209" s="233">
        <v>0</v>
      </c>
      <c r="J209" s="233"/>
      <c r="K209" s="233"/>
      <c r="L209" s="233"/>
      <c r="M209" s="233">
        <f t="shared" si="25"/>
        <v>0</v>
      </c>
      <c r="N209" s="233">
        <v>0</v>
      </c>
      <c r="O209" s="233"/>
      <c r="P209" s="233"/>
      <c r="Q209" s="233"/>
      <c r="R209" s="232">
        <f t="shared" si="26"/>
        <v>0</v>
      </c>
    </row>
    <row r="210" spans="1:18" s="29" customFormat="1" ht="12" hidden="1" customHeight="1">
      <c r="A210" s="140" t="s">
        <v>109</v>
      </c>
      <c r="B210" s="124" t="s">
        <v>110</v>
      </c>
      <c r="C210" s="170">
        <v>0</v>
      </c>
      <c r="D210" s="171">
        <v>0</v>
      </c>
      <c r="E210" s="233">
        <f>E211+E212</f>
        <v>0</v>
      </c>
      <c r="F210" s="233">
        <f>F211+F212</f>
        <v>0</v>
      </c>
      <c r="G210" s="233">
        <f>G211+G212</f>
        <v>0</v>
      </c>
      <c r="H210" s="233">
        <f t="shared" si="24"/>
        <v>0</v>
      </c>
      <c r="I210" s="233">
        <v>0</v>
      </c>
      <c r="J210" s="233">
        <f>J211+J212</f>
        <v>0</v>
      </c>
      <c r="K210" s="233">
        <f>K211+K212</f>
        <v>0</v>
      </c>
      <c r="L210" s="233">
        <f>L211+L212</f>
        <v>0</v>
      </c>
      <c r="M210" s="233">
        <f t="shared" si="25"/>
        <v>0</v>
      </c>
      <c r="N210" s="233">
        <v>0</v>
      </c>
      <c r="O210" s="233">
        <f>O211+O212</f>
        <v>0</v>
      </c>
      <c r="P210" s="233">
        <f>P211+P212</f>
        <v>0</v>
      </c>
      <c r="Q210" s="233">
        <f>Q211+Q212</f>
        <v>0</v>
      </c>
      <c r="R210" s="232">
        <f t="shared" si="26"/>
        <v>0</v>
      </c>
    </row>
    <row r="211" spans="1:18" s="29" customFormat="1" ht="12" hidden="1" customHeight="1">
      <c r="A211" s="132">
        <v>3000</v>
      </c>
      <c r="B211" s="125" t="s">
        <v>111</v>
      </c>
      <c r="C211" s="202"/>
      <c r="D211" s="213">
        <v>0</v>
      </c>
      <c r="E211" s="246"/>
      <c r="F211" s="345"/>
      <c r="G211" s="345"/>
      <c r="H211" s="233">
        <f t="shared" si="24"/>
        <v>0</v>
      </c>
      <c r="I211" s="345">
        <v>0</v>
      </c>
      <c r="J211" s="345"/>
      <c r="K211" s="345"/>
      <c r="L211" s="345"/>
      <c r="M211" s="233">
        <f t="shared" si="25"/>
        <v>0</v>
      </c>
      <c r="N211" s="345">
        <v>0</v>
      </c>
      <c r="O211" s="345"/>
      <c r="P211" s="345"/>
      <c r="Q211" s="345"/>
      <c r="R211" s="232">
        <f t="shared" si="26"/>
        <v>0</v>
      </c>
    </row>
    <row r="212" spans="1:18" s="29" customFormat="1" ht="12" hidden="1" customHeight="1">
      <c r="A212" s="132">
        <v>6000</v>
      </c>
      <c r="B212" s="125" t="s">
        <v>112</v>
      </c>
      <c r="C212" s="203"/>
      <c r="D212" s="287">
        <v>0</v>
      </c>
      <c r="E212" s="248"/>
      <c r="F212" s="346"/>
      <c r="G212" s="346"/>
      <c r="H212" s="233">
        <f t="shared" si="24"/>
        <v>0</v>
      </c>
      <c r="I212" s="346">
        <v>0</v>
      </c>
      <c r="J212" s="346"/>
      <c r="K212" s="346"/>
      <c r="L212" s="346"/>
      <c r="M212" s="233">
        <f t="shared" si="25"/>
        <v>0</v>
      </c>
      <c r="N212" s="346">
        <v>0</v>
      </c>
      <c r="O212" s="346"/>
      <c r="P212" s="346"/>
      <c r="Q212" s="346"/>
      <c r="R212" s="232">
        <f t="shared" si="26"/>
        <v>0</v>
      </c>
    </row>
    <row r="213" spans="1:18" s="29" customFormat="1" ht="24" hidden="1" customHeight="1">
      <c r="A213" s="140" t="s">
        <v>113</v>
      </c>
      <c r="B213" s="124" t="s">
        <v>183</v>
      </c>
      <c r="C213" s="170">
        <v>0</v>
      </c>
      <c r="D213" s="171">
        <v>0</v>
      </c>
      <c r="E213" s="233">
        <f>E214+E215</f>
        <v>0</v>
      </c>
      <c r="F213" s="233">
        <f>F214+F215</f>
        <v>0</v>
      </c>
      <c r="G213" s="233">
        <f>G214+G215</f>
        <v>0</v>
      </c>
      <c r="H213" s="233">
        <f t="shared" si="24"/>
        <v>0</v>
      </c>
      <c r="I213" s="233">
        <v>0</v>
      </c>
      <c r="J213" s="233">
        <f>J214+J215</f>
        <v>0</v>
      </c>
      <c r="K213" s="233">
        <f>K214+K215</f>
        <v>0</v>
      </c>
      <c r="L213" s="233">
        <f>L214+L215</f>
        <v>0</v>
      </c>
      <c r="M213" s="233">
        <f t="shared" si="25"/>
        <v>0</v>
      </c>
      <c r="N213" s="233">
        <v>0</v>
      </c>
      <c r="O213" s="233">
        <f>O214+O215</f>
        <v>0</v>
      </c>
      <c r="P213" s="233">
        <f>P214+P215</f>
        <v>0</v>
      </c>
      <c r="Q213" s="233">
        <f>Q214+Q215</f>
        <v>0</v>
      </c>
      <c r="R213" s="232">
        <f t="shared" si="26"/>
        <v>0</v>
      </c>
    </row>
    <row r="214" spans="1:18" s="29" customFormat="1" ht="12" hidden="1" customHeight="1">
      <c r="A214" s="132">
        <v>7600</v>
      </c>
      <c r="B214" s="179" t="s">
        <v>184</v>
      </c>
      <c r="C214" s="170"/>
      <c r="D214" s="171">
        <v>0</v>
      </c>
      <c r="E214" s="244"/>
      <c r="F214" s="233"/>
      <c r="G214" s="233"/>
      <c r="H214" s="233">
        <f t="shared" si="24"/>
        <v>0</v>
      </c>
      <c r="I214" s="233">
        <v>0</v>
      </c>
      <c r="J214" s="233"/>
      <c r="K214" s="233"/>
      <c r="L214" s="233"/>
      <c r="M214" s="233">
        <f t="shared" si="25"/>
        <v>0</v>
      </c>
      <c r="N214" s="233">
        <v>0</v>
      </c>
      <c r="O214" s="233"/>
      <c r="P214" s="233"/>
      <c r="Q214" s="233"/>
      <c r="R214" s="232">
        <f t="shared" si="26"/>
        <v>0</v>
      </c>
    </row>
    <row r="215" spans="1:18" s="29" customFormat="1" ht="12" hidden="1" customHeight="1">
      <c r="A215" s="132">
        <v>7700</v>
      </c>
      <c r="B215" s="126" t="s">
        <v>114</v>
      </c>
      <c r="C215" s="170"/>
      <c r="D215" s="171">
        <v>0</v>
      </c>
      <c r="E215" s="244"/>
      <c r="F215" s="233"/>
      <c r="G215" s="233"/>
      <c r="H215" s="233">
        <f t="shared" si="24"/>
        <v>0</v>
      </c>
      <c r="I215" s="233">
        <v>0</v>
      </c>
      <c r="J215" s="233"/>
      <c r="K215" s="233"/>
      <c r="L215" s="233"/>
      <c r="M215" s="233">
        <f t="shared" si="25"/>
        <v>0</v>
      </c>
      <c r="N215" s="233">
        <v>0</v>
      </c>
      <c r="O215" s="233"/>
      <c r="P215" s="233"/>
      <c r="Q215" s="233"/>
      <c r="R215" s="232">
        <f t="shared" si="26"/>
        <v>0</v>
      </c>
    </row>
    <row r="216" spans="1:18" s="29" customFormat="1" ht="21" hidden="1" customHeight="1">
      <c r="A216" s="140" t="s">
        <v>185</v>
      </c>
      <c r="B216" s="124" t="s">
        <v>115</v>
      </c>
      <c r="C216" s="170">
        <v>0</v>
      </c>
      <c r="D216" s="171">
        <v>0</v>
      </c>
      <c r="E216" s="233">
        <f>E217+E223+E227+E230</f>
        <v>0</v>
      </c>
      <c r="F216" s="233">
        <f>F217+F223+F227+F230</f>
        <v>0</v>
      </c>
      <c r="G216" s="233">
        <f>G217+G223+G227+G230</f>
        <v>0</v>
      </c>
      <c r="H216" s="233">
        <f t="shared" si="24"/>
        <v>0</v>
      </c>
      <c r="I216" s="233">
        <v>0</v>
      </c>
      <c r="J216" s="233">
        <f>J217+J223+J227+J230</f>
        <v>0</v>
      </c>
      <c r="K216" s="233">
        <f>K217+K223+K227+K230</f>
        <v>0</v>
      </c>
      <c r="L216" s="233">
        <f>L217+L223+L227+L230</f>
        <v>0</v>
      </c>
      <c r="M216" s="233">
        <f t="shared" si="25"/>
        <v>0</v>
      </c>
      <c r="N216" s="233">
        <v>0</v>
      </c>
      <c r="O216" s="233">
        <f>O217+O223+O227+O230</f>
        <v>0</v>
      </c>
      <c r="P216" s="233">
        <f>P217+P223+P227+P230</f>
        <v>0</v>
      </c>
      <c r="Q216" s="233">
        <f>Q217+Q223+Q227+Q230</f>
        <v>0</v>
      </c>
      <c r="R216" s="232">
        <f t="shared" si="26"/>
        <v>0</v>
      </c>
    </row>
    <row r="217" spans="1:18" s="29" customFormat="1" ht="12" hidden="1" customHeight="1">
      <c r="A217" s="132">
        <v>7100</v>
      </c>
      <c r="B217" s="179" t="s">
        <v>116</v>
      </c>
      <c r="C217" s="170">
        <v>0</v>
      </c>
      <c r="D217" s="171">
        <v>0</v>
      </c>
      <c r="E217" s="233">
        <f>E218+E219</f>
        <v>0</v>
      </c>
      <c r="F217" s="233">
        <f>F218+F219</f>
        <v>0</v>
      </c>
      <c r="G217" s="233">
        <f>G218+G219</f>
        <v>0</v>
      </c>
      <c r="H217" s="233">
        <f t="shared" si="24"/>
        <v>0</v>
      </c>
      <c r="I217" s="233">
        <v>0</v>
      </c>
      <c r="J217" s="233">
        <f>J218+J219</f>
        <v>0</v>
      </c>
      <c r="K217" s="233">
        <f>K218+K219</f>
        <v>0</v>
      </c>
      <c r="L217" s="233">
        <f>L218+L219</f>
        <v>0</v>
      </c>
      <c r="M217" s="233">
        <f t="shared" si="25"/>
        <v>0</v>
      </c>
      <c r="N217" s="233">
        <v>0</v>
      </c>
      <c r="O217" s="233">
        <f>O218+O219</f>
        <v>0</v>
      </c>
      <c r="P217" s="233">
        <f>P218+P219</f>
        <v>0</v>
      </c>
      <c r="Q217" s="233">
        <f>Q218+Q219</f>
        <v>0</v>
      </c>
      <c r="R217" s="232">
        <f t="shared" si="26"/>
        <v>0</v>
      </c>
    </row>
    <row r="218" spans="1:18" s="29" customFormat="1" ht="24" hidden="1" customHeight="1">
      <c r="A218" s="133" t="s">
        <v>117</v>
      </c>
      <c r="B218" s="179" t="s">
        <v>118</v>
      </c>
      <c r="C218" s="170"/>
      <c r="D218" s="171">
        <v>0</v>
      </c>
      <c r="E218" s="233"/>
      <c r="F218" s="233"/>
      <c r="G218" s="233"/>
      <c r="H218" s="233">
        <f t="shared" si="24"/>
        <v>0</v>
      </c>
      <c r="I218" s="233">
        <v>0</v>
      </c>
      <c r="J218" s="233"/>
      <c r="K218" s="233"/>
      <c r="L218" s="233"/>
      <c r="M218" s="233">
        <f t="shared" si="25"/>
        <v>0</v>
      </c>
      <c r="N218" s="233">
        <v>0</v>
      </c>
      <c r="O218" s="233"/>
      <c r="P218" s="233"/>
      <c r="Q218" s="233"/>
      <c r="R218" s="232">
        <f t="shared" si="26"/>
        <v>0</v>
      </c>
    </row>
    <row r="219" spans="1:18" s="29" customFormat="1" ht="24" hidden="1" customHeight="1">
      <c r="A219" s="133">
        <v>7130</v>
      </c>
      <c r="B219" s="179" t="s">
        <v>119</v>
      </c>
      <c r="C219" s="170">
        <v>0</v>
      </c>
      <c r="D219" s="171">
        <v>0</v>
      </c>
      <c r="E219" s="233">
        <f>SUM(E220:E222)</f>
        <v>0</v>
      </c>
      <c r="F219" s="233">
        <f>SUM(F220:F222)</f>
        <v>0</v>
      </c>
      <c r="G219" s="233">
        <f>SUM(G220:G222)</f>
        <v>0</v>
      </c>
      <c r="H219" s="233">
        <f t="shared" si="24"/>
        <v>0</v>
      </c>
      <c r="I219" s="233">
        <v>0</v>
      </c>
      <c r="J219" s="233">
        <f>SUM(J220:J222)</f>
        <v>0</v>
      </c>
      <c r="K219" s="233">
        <f>SUM(K220:K222)</f>
        <v>0</v>
      </c>
      <c r="L219" s="233">
        <f>SUM(L220:L222)</f>
        <v>0</v>
      </c>
      <c r="M219" s="233">
        <f t="shared" si="25"/>
        <v>0</v>
      </c>
      <c r="N219" s="233">
        <v>0</v>
      </c>
      <c r="O219" s="233">
        <f>SUM(O220:O222)</f>
        <v>0</v>
      </c>
      <c r="P219" s="233">
        <f>SUM(P220:P222)</f>
        <v>0</v>
      </c>
      <c r="Q219" s="233">
        <f>SUM(Q220:Q222)</f>
        <v>0</v>
      </c>
      <c r="R219" s="232">
        <f t="shared" si="26"/>
        <v>0</v>
      </c>
    </row>
    <row r="220" spans="1:18" s="29" customFormat="1" ht="36" hidden="1" customHeight="1">
      <c r="A220" s="134">
        <v>7131</v>
      </c>
      <c r="B220" s="179" t="s">
        <v>120</v>
      </c>
      <c r="C220" s="170"/>
      <c r="D220" s="171">
        <v>0</v>
      </c>
      <c r="E220" s="233"/>
      <c r="F220" s="233"/>
      <c r="G220" s="233"/>
      <c r="H220" s="233">
        <f t="shared" si="24"/>
        <v>0</v>
      </c>
      <c r="I220" s="233">
        <v>0</v>
      </c>
      <c r="J220" s="233"/>
      <c r="K220" s="233"/>
      <c r="L220" s="233"/>
      <c r="M220" s="233">
        <f t="shared" si="25"/>
        <v>0</v>
      </c>
      <c r="N220" s="233">
        <v>0</v>
      </c>
      <c r="O220" s="233"/>
      <c r="P220" s="233"/>
      <c r="Q220" s="233"/>
      <c r="R220" s="232">
        <f t="shared" si="26"/>
        <v>0</v>
      </c>
    </row>
    <row r="221" spans="1:18" s="29" customFormat="1" ht="36" hidden="1" customHeight="1">
      <c r="A221" s="134">
        <v>7132</v>
      </c>
      <c r="B221" s="179" t="s">
        <v>121</v>
      </c>
      <c r="C221" s="170"/>
      <c r="D221" s="171">
        <v>0</v>
      </c>
      <c r="E221" s="233"/>
      <c r="F221" s="233"/>
      <c r="G221" s="233"/>
      <c r="H221" s="233">
        <f t="shared" si="24"/>
        <v>0</v>
      </c>
      <c r="I221" s="233">
        <v>0</v>
      </c>
      <c r="J221" s="233"/>
      <c r="K221" s="233"/>
      <c r="L221" s="233"/>
      <c r="M221" s="233">
        <f t="shared" si="25"/>
        <v>0</v>
      </c>
      <c r="N221" s="233">
        <v>0</v>
      </c>
      <c r="O221" s="233"/>
      <c r="P221" s="233"/>
      <c r="Q221" s="233"/>
      <c r="R221" s="232">
        <f t="shared" si="26"/>
        <v>0</v>
      </c>
    </row>
    <row r="222" spans="1:18" s="29" customFormat="1" ht="24" hidden="1" customHeight="1">
      <c r="A222" s="134" t="s">
        <v>186</v>
      </c>
      <c r="B222" s="179" t="s">
        <v>187</v>
      </c>
      <c r="C222" s="170"/>
      <c r="D222" s="171">
        <v>0</v>
      </c>
      <c r="E222" s="233"/>
      <c r="F222" s="233"/>
      <c r="G222" s="233"/>
      <c r="H222" s="233">
        <f t="shared" si="24"/>
        <v>0</v>
      </c>
      <c r="I222" s="233">
        <v>0</v>
      </c>
      <c r="J222" s="233"/>
      <c r="K222" s="233"/>
      <c r="L222" s="233"/>
      <c r="M222" s="233">
        <f t="shared" si="25"/>
        <v>0</v>
      </c>
      <c r="N222" s="233">
        <v>0</v>
      </c>
      <c r="O222" s="233"/>
      <c r="P222" s="233"/>
      <c r="Q222" s="233"/>
      <c r="R222" s="232">
        <f t="shared" si="26"/>
        <v>0</v>
      </c>
    </row>
    <row r="223" spans="1:18" s="29" customFormat="1" ht="24" hidden="1" customHeight="1">
      <c r="A223" s="132">
        <v>7300</v>
      </c>
      <c r="B223" s="172" t="s">
        <v>155</v>
      </c>
      <c r="C223" s="170">
        <v>0</v>
      </c>
      <c r="D223" s="171">
        <v>0</v>
      </c>
      <c r="E223" s="233">
        <f>SUM(E224:E226)</f>
        <v>0</v>
      </c>
      <c r="F223" s="233">
        <f>SUM(F224:F226)</f>
        <v>0</v>
      </c>
      <c r="G223" s="233">
        <f>SUM(G224:G226)</f>
        <v>0</v>
      </c>
      <c r="H223" s="233">
        <f t="shared" si="24"/>
        <v>0</v>
      </c>
      <c r="I223" s="233">
        <v>0</v>
      </c>
      <c r="J223" s="233">
        <f>SUM(J224:J226)</f>
        <v>0</v>
      </c>
      <c r="K223" s="233">
        <f>SUM(K224:K226)</f>
        <v>0</v>
      </c>
      <c r="L223" s="233">
        <f>SUM(L224:L226)</f>
        <v>0</v>
      </c>
      <c r="M223" s="233">
        <f t="shared" si="25"/>
        <v>0</v>
      </c>
      <c r="N223" s="233">
        <v>0</v>
      </c>
      <c r="O223" s="233">
        <f>SUM(O224:O226)</f>
        <v>0</v>
      </c>
      <c r="P223" s="233">
        <f>SUM(P224:P226)</f>
        <v>0</v>
      </c>
      <c r="Q223" s="233">
        <f>SUM(Q224:Q226)</f>
        <v>0</v>
      </c>
      <c r="R223" s="232">
        <f t="shared" si="26"/>
        <v>0</v>
      </c>
    </row>
    <row r="224" spans="1:18" s="29" customFormat="1" ht="24" hidden="1" customHeight="1">
      <c r="A224" s="133" t="s">
        <v>188</v>
      </c>
      <c r="B224" s="179" t="s">
        <v>170</v>
      </c>
      <c r="C224" s="204"/>
      <c r="D224" s="180">
        <v>0</v>
      </c>
      <c r="E224" s="252"/>
      <c r="F224" s="252"/>
      <c r="G224" s="252"/>
      <c r="H224" s="233">
        <f t="shared" si="24"/>
        <v>0</v>
      </c>
      <c r="I224" s="252">
        <v>0</v>
      </c>
      <c r="J224" s="252"/>
      <c r="K224" s="252"/>
      <c r="L224" s="252"/>
      <c r="M224" s="233">
        <f t="shared" si="25"/>
        <v>0</v>
      </c>
      <c r="N224" s="252">
        <v>0</v>
      </c>
      <c r="O224" s="252"/>
      <c r="P224" s="252"/>
      <c r="Q224" s="252"/>
      <c r="R224" s="232">
        <f t="shared" si="26"/>
        <v>0</v>
      </c>
    </row>
    <row r="225" spans="1:18" s="29" customFormat="1" ht="48" hidden="1" customHeight="1">
      <c r="A225" s="133" t="s">
        <v>189</v>
      </c>
      <c r="B225" s="179" t="s">
        <v>156</v>
      </c>
      <c r="C225" s="204"/>
      <c r="D225" s="180">
        <v>0</v>
      </c>
      <c r="E225" s="252"/>
      <c r="F225" s="252"/>
      <c r="G225" s="252"/>
      <c r="H225" s="233">
        <f t="shared" si="24"/>
        <v>0</v>
      </c>
      <c r="I225" s="252">
        <v>0</v>
      </c>
      <c r="J225" s="252"/>
      <c r="K225" s="252"/>
      <c r="L225" s="252"/>
      <c r="M225" s="233">
        <f t="shared" si="25"/>
        <v>0</v>
      </c>
      <c r="N225" s="252">
        <v>0</v>
      </c>
      <c r="O225" s="252"/>
      <c r="P225" s="252"/>
      <c r="Q225" s="252"/>
      <c r="R225" s="232">
        <f t="shared" si="26"/>
        <v>0</v>
      </c>
    </row>
    <row r="226" spans="1:18" s="29" customFormat="1" ht="36" hidden="1" customHeight="1">
      <c r="A226" s="133">
        <v>7350</v>
      </c>
      <c r="B226" s="179" t="s">
        <v>163</v>
      </c>
      <c r="C226" s="204"/>
      <c r="D226" s="180">
        <v>0</v>
      </c>
      <c r="E226" s="252"/>
      <c r="F226" s="252"/>
      <c r="G226" s="252"/>
      <c r="H226" s="233">
        <f t="shared" si="24"/>
        <v>0</v>
      </c>
      <c r="I226" s="252">
        <v>0</v>
      </c>
      <c r="J226" s="252"/>
      <c r="K226" s="252"/>
      <c r="L226" s="252"/>
      <c r="M226" s="233">
        <f t="shared" si="25"/>
        <v>0</v>
      </c>
      <c r="N226" s="252">
        <v>0</v>
      </c>
      <c r="O226" s="252"/>
      <c r="P226" s="252"/>
      <c r="Q226" s="252"/>
      <c r="R226" s="232">
        <f t="shared" si="26"/>
        <v>0</v>
      </c>
    </row>
    <row r="227" spans="1:18" s="29" customFormat="1" ht="24" hidden="1" customHeight="1">
      <c r="A227" s="132">
        <v>7400</v>
      </c>
      <c r="B227" s="172" t="s">
        <v>161</v>
      </c>
      <c r="C227" s="170">
        <v>0</v>
      </c>
      <c r="D227" s="171">
        <v>0</v>
      </c>
      <c r="E227" s="233">
        <f>SUM(E228:E229)</f>
        <v>0</v>
      </c>
      <c r="F227" s="233">
        <f>SUM(F228:F229)</f>
        <v>0</v>
      </c>
      <c r="G227" s="233">
        <f>SUM(G228:G229)</f>
        <v>0</v>
      </c>
      <c r="H227" s="233">
        <f t="shared" si="24"/>
        <v>0</v>
      </c>
      <c r="I227" s="233">
        <v>0</v>
      </c>
      <c r="J227" s="233">
        <f>SUM(J228:J229)</f>
        <v>0</v>
      </c>
      <c r="K227" s="233">
        <f>SUM(K228:K229)</f>
        <v>0</v>
      </c>
      <c r="L227" s="233">
        <f>SUM(L228:L229)</f>
        <v>0</v>
      </c>
      <c r="M227" s="233">
        <f t="shared" si="25"/>
        <v>0</v>
      </c>
      <c r="N227" s="233">
        <v>0</v>
      </c>
      <c r="O227" s="233">
        <f>SUM(O228:O229)</f>
        <v>0</v>
      </c>
      <c r="P227" s="233">
        <f>SUM(P228:P229)</f>
        <v>0</v>
      </c>
      <c r="Q227" s="233">
        <f>SUM(Q228:Q229)</f>
        <v>0</v>
      </c>
      <c r="R227" s="232">
        <f t="shared" si="26"/>
        <v>0</v>
      </c>
    </row>
    <row r="228" spans="1:18" s="29" customFormat="1" ht="24" hidden="1" customHeight="1">
      <c r="A228" s="133">
        <v>7460</v>
      </c>
      <c r="B228" s="172" t="s">
        <v>162</v>
      </c>
      <c r="C228" s="204"/>
      <c r="D228" s="180">
        <v>0</v>
      </c>
      <c r="E228" s="252"/>
      <c r="F228" s="252"/>
      <c r="G228" s="252"/>
      <c r="H228" s="233">
        <f t="shared" si="24"/>
        <v>0</v>
      </c>
      <c r="I228" s="252">
        <v>0</v>
      </c>
      <c r="J228" s="252"/>
      <c r="K228" s="252"/>
      <c r="L228" s="252"/>
      <c r="M228" s="233">
        <f t="shared" si="25"/>
        <v>0</v>
      </c>
      <c r="N228" s="252">
        <v>0</v>
      </c>
      <c r="O228" s="252"/>
      <c r="P228" s="252"/>
      <c r="Q228" s="252"/>
      <c r="R228" s="232">
        <f t="shared" si="26"/>
        <v>0</v>
      </c>
    </row>
    <row r="229" spans="1:18" s="29" customFormat="1" ht="48" hidden="1" customHeight="1">
      <c r="A229" s="133">
        <v>7470</v>
      </c>
      <c r="B229" s="179" t="s">
        <v>167</v>
      </c>
      <c r="C229" s="204"/>
      <c r="D229" s="180">
        <v>0</v>
      </c>
      <c r="E229" s="252"/>
      <c r="F229" s="252"/>
      <c r="G229" s="252"/>
      <c r="H229" s="233">
        <f t="shared" si="24"/>
        <v>0</v>
      </c>
      <c r="I229" s="252">
        <v>0</v>
      </c>
      <c r="J229" s="252"/>
      <c r="K229" s="252"/>
      <c r="L229" s="252"/>
      <c r="M229" s="233">
        <f t="shared" si="25"/>
        <v>0</v>
      </c>
      <c r="N229" s="252">
        <v>0</v>
      </c>
      <c r="O229" s="252"/>
      <c r="P229" s="252"/>
      <c r="Q229" s="252"/>
      <c r="R229" s="232">
        <f t="shared" si="26"/>
        <v>0</v>
      </c>
    </row>
    <row r="230" spans="1:18" s="29" customFormat="1" ht="24" hidden="1" customHeight="1">
      <c r="A230" s="132">
        <v>7500</v>
      </c>
      <c r="B230" s="179" t="s">
        <v>157</v>
      </c>
      <c r="C230" s="170"/>
      <c r="D230" s="171">
        <v>0</v>
      </c>
      <c r="E230" s="233"/>
      <c r="F230" s="233"/>
      <c r="G230" s="233"/>
      <c r="H230" s="233">
        <f t="shared" si="24"/>
        <v>0</v>
      </c>
      <c r="I230" s="233">
        <v>0</v>
      </c>
      <c r="J230" s="233"/>
      <c r="K230" s="233"/>
      <c r="L230" s="233"/>
      <c r="M230" s="233">
        <f t="shared" si="25"/>
        <v>0</v>
      </c>
      <c r="N230" s="233">
        <v>0</v>
      </c>
      <c r="O230" s="233"/>
      <c r="P230" s="233"/>
      <c r="Q230" s="233"/>
      <c r="R230" s="232">
        <f t="shared" si="26"/>
        <v>0</v>
      </c>
    </row>
    <row r="231" spans="1:18" s="29" customFormat="1" ht="12">
      <c r="A231" s="140" t="s">
        <v>133</v>
      </c>
      <c r="B231" s="124" t="s">
        <v>122</v>
      </c>
      <c r="C231" s="205">
        <v>377590</v>
      </c>
      <c r="D231" s="181">
        <v>0</v>
      </c>
      <c r="E231" s="254">
        <f>E232+E233</f>
        <v>0</v>
      </c>
      <c r="F231" s="254">
        <f>F232+F233</f>
        <v>0</v>
      </c>
      <c r="G231" s="254">
        <f>G232+G233</f>
        <v>0</v>
      </c>
      <c r="H231" s="233">
        <f t="shared" si="24"/>
        <v>0</v>
      </c>
      <c r="I231" s="254">
        <v>0</v>
      </c>
      <c r="J231" s="254">
        <f>J232+J233</f>
        <v>0</v>
      </c>
      <c r="K231" s="254">
        <f>K232+K233</f>
        <v>0</v>
      </c>
      <c r="L231" s="254">
        <f>L232+L233</f>
        <v>0</v>
      </c>
      <c r="M231" s="233">
        <f t="shared" si="25"/>
        <v>0</v>
      </c>
      <c r="N231" s="254">
        <v>0</v>
      </c>
      <c r="O231" s="254">
        <f>O232+O233</f>
        <v>0</v>
      </c>
      <c r="P231" s="254">
        <f>P232+P233</f>
        <v>0</v>
      </c>
      <c r="Q231" s="254">
        <f>Q232+Q233</f>
        <v>0</v>
      </c>
      <c r="R231" s="232">
        <f t="shared" si="26"/>
        <v>0</v>
      </c>
    </row>
    <row r="232" spans="1:18" s="29" customFormat="1" ht="12">
      <c r="A232" s="140">
        <v>5000</v>
      </c>
      <c r="B232" s="124" t="s">
        <v>123</v>
      </c>
      <c r="C232" s="170">
        <v>377590</v>
      </c>
      <c r="D232" s="171">
        <v>0</v>
      </c>
      <c r="E232" s="244"/>
      <c r="F232" s="233"/>
      <c r="G232" s="233"/>
      <c r="H232" s="233">
        <f t="shared" si="24"/>
        <v>0</v>
      </c>
      <c r="I232" s="233">
        <v>0</v>
      </c>
      <c r="J232" s="233"/>
      <c r="K232" s="233"/>
      <c r="L232" s="233"/>
      <c r="M232" s="233">
        <f t="shared" si="25"/>
        <v>0</v>
      </c>
      <c r="N232" s="233">
        <v>0</v>
      </c>
      <c r="O232" s="233"/>
      <c r="P232" s="233"/>
      <c r="Q232" s="233"/>
      <c r="R232" s="232">
        <f t="shared" si="26"/>
        <v>0</v>
      </c>
    </row>
    <row r="233" spans="1:18" s="29" customFormat="1" ht="12" hidden="1" customHeight="1">
      <c r="A233" s="140">
        <v>9000</v>
      </c>
      <c r="B233" s="182" t="s">
        <v>164</v>
      </c>
      <c r="C233" s="170">
        <v>0</v>
      </c>
      <c r="D233" s="171">
        <v>0</v>
      </c>
      <c r="E233" s="233">
        <f>E234+E240+E244+E247</f>
        <v>0</v>
      </c>
      <c r="F233" s="233">
        <f>F234+F240+F244+F247</f>
        <v>0</v>
      </c>
      <c r="G233" s="233">
        <f>G234+G240+G244+G247</f>
        <v>0</v>
      </c>
      <c r="H233" s="233">
        <f t="shared" si="24"/>
        <v>0</v>
      </c>
      <c r="I233" s="233">
        <v>0</v>
      </c>
      <c r="J233" s="233">
        <f>J234+J240+J244+J247</f>
        <v>0</v>
      </c>
      <c r="K233" s="233">
        <f>K234+K240+K244+K247</f>
        <v>0</v>
      </c>
      <c r="L233" s="233">
        <f>L234+L240+L244+L247</f>
        <v>0</v>
      </c>
      <c r="M233" s="233">
        <f t="shared" si="25"/>
        <v>0</v>
      </c>
      <c r="N233" s="233">
        <v>0</v>
      </c>
      <c r="O233" s="233">
        <f>O234+O240+O244+O247</f>
        <v>0</v>
      </c>
      <c r="P233" s="233">
        <f>P234+P240+P244+P247</f>
        <v>0</v>
      </c>
      <c r="Q233" s="233">
        <f>Q234+Q240+Q244+Q247</f>
        <v>0</v>
      </c>
      <c r="R233" s="232">
        <f t="shared" si="26"/>
        <v>0</v>
      </c>
    </row>
    <row r="234" spans="1:18" s="29" customFormat="1" ht="12" hidden="1" customHeight="1">
      <c r="A234" s="141">
        <v>9100</v>
      </c>
      <c r="B234" s="179" t="s">
        <v>124</v>
      </c>
      <c r="C234" s="170">
        <v>0</v>
      </c>
      <c r="D234" s="171">
        <v>0</v>
      </c>
      <c r="E234" s="233">
        <f>SUM(E235:E236)</f>
        <v>0</v>
      </c>
      <c r="F234" s="233">
        <f>SUM(F235:F236)</f>
        <v>0</v>
      </c>
      <c r="G234" s="233">
        <f>SUM(G235:G236)</f>
        <v>0</v>
      </c>
      <c r="H234" s="233">
        <f t="shared" si="24"/>
        <v>0</v>
      </c>
      <c r="I234" s="233">
        <v>0</v>
      </c>
      <c r="J234" s="233">
        <f>SUM(J235:J236)</f>
        <v>0</v>
      </c>
      <c r="K234" s="233">
        <f>SUM(K235:K236)</f>
        <v>0</v>
      </c>
      <c r="L234" s="233">
        <f>SUM(L235:L236)</f>
        <v>0</v>
      </c>
      <c r="M234" s="233">
        <f t="shared" si="25"/>
        <v>0</v>
      </c>
      <c r="N234" s="233">
        <v>0</v>
      </c>
      <c r="O234" s="233">
        <f>SUM(O235:O236)</f>
        <v>0</v>
      </c>
      <c r="P234" s="233">
        <f>SUM(P235:P236)</f>
        <v>0</v>
      </c>
      <c r="Q234" s="233">
        <f>SUM(Q235:Q236)</f>
        <v>0</v>
      </c>
      <c r="R234" s="232">
        <f t="shared" si="26"/>
        <v>0</v>
      </c>
    </row>
    <row r="235" spans="1:18" s="29" customFormat="1" ht="24" hidden="1" customHeight="1">
      <c r="A235" s="133" t="s">
        <v>125</v>
      </c>
      <c r="B235" s="179" t="s">
        <v>214</v>
      </c>
      <c r="C235" s="170"/>
      <c r="D235" s="171">
        <v>0</v>
      </c>
      <c r="E235" s="233"/>
      <c r="F235" s="233"/>
      <c r="G235" s="233"/>
      <c r="H235" s="233">
        <f t="shared" si="24"/>
        <v>0</v>
      </c>
      <c r="I235" s="233">
        <v>0</v>
      </c>
      <c r="J235" s="233"/>
      <c r="K235" s="233"/>
      <c r="L235" s="233"/>
      <c r="M235" s="233">
        <f t="shared" si="25"/>
        <v>0</v>
      </c>
      <c r="N235" s="233">
        <v>0</v>
      </c>
      <c r="O235" s="233"/>
      <c r="P235" s="233"/>
      <c r="Q235" s="233"/>
      <c r="R235" s="232">
        <f t="shared" si="26"/>
        <v>0</v>
      </c>
    </row>
    <row r="236" spans="1:18" s="29" customFormat="1" ht="24" hidden="1" customHeight="1">
      <c r="A236" s="133">
        <v>9140</v>
      </c>
      <c r="B236" s="179" t="s">
        <v>215</v>
      </c>
      <c r="C236" s="170">
        <v>0</v>
      </c>
      <c r="D236" s="171">
        <v>0</v>
      </c>
      <c r="E236" s="233">
        <f>SUM(E237:E239)</f>
        <v>0</v>
      </c>
      <c r="F236" s="233">
        <f>SUM(F237:F239)</f>
        <v>0</v>
      </c>
      <c r="G236" s="233">
        <f>SUM(G237:G239)</f>
        <v>0</v>
      </c>
      <c r="H236" s="233">
        <f t="shared" si="24"/>
        <v>0</v>
      </c>
      <c r="I236" s="233">
        <v>0</v>
      </c>
      <c r="J236" s="233">
        <f>SUM(J237:J239)</f>
        <v>0</v>
      </c>
      <c r="K236" s="233">
        <f>SUM(K237:K239)</f>
        <v>0</v>
      </c>
      <c r="L236" s="233">
        <f>SUM(L237:L239)</f>
        <v>0</v>
      </c>
      <c r="M236" s="233">
        <f t="shared" si="25"/>
        <v>0</v>
      </c>
      <c r="N236" s="233">
        <v>0</v>
      </c>
      <c r="O236" s="233">
        <f>SUM(O237:O239)</f>
        <v>0</v>
      </c>
      <c r="P236" s="233">
        <f>SUM(P237:P239)</f>
        <v>0</v>
      </c>
      <c r="Q236" s="233">
        <f>SUM(Q237:Q239)</f>
        <v>0</v>
      </c>
      <c r="R236" s="232">
        <f t="shared" si="26"/>
        <v>0</v>
      </c>
    </row>
    <row r="237" spans="1:18" s="29" customFormat="1" ht="36" hidden="1" customHeight="1">
      <c r="A237" s="134">
        <v>9141</v>
      </c>
      <c r="B237" s="172" t="s">
        <v>190</v>
      </c>
      <c r="C237" s="204"/>
      <c r="D237" s="180">
        <v>0</v>
      </c>
      <c r="E237" s="252"/>
      <c r="F237" s="252"/>
      <c r="G237" s="252"/>
      <c r="H237" s="233">
        <f t="shared" si="24"/>
        <v>0</v>
      </c>
      <c r="I237" s="252">
        <v>0</v>
      </c>
      <c r="J237" s="252"/>
      <c r="K237" s="252"/>
      <c r="L237" s="252"/>
      <c r="M237" s="233">
        <f t="shared" si="25"/>
        <v>0</v>
      </c>
      <c r="N237" s="252">
        <v>0</v>
      </c>
      <c r="O237" s="252"/>
      <c r="P237" s="252"/>
      <c r="Q237" s="252"/>
      <c r="R237" s="232">
        <f t="shared" si="26"/>
        <v>0</v>
      </c>
    </row>
    <row r="238" spans="1:18" s="29" customFormat="1" ht="36" hidden="1" customHeight="1">
      <c r="A238" s="134">
        <v>9142</v>
      </c>
      <c r="B238" s="172" t="s">
        <v>191</v>
      </c>
      <c r="C238" s="204"/>
      <c r="D238" s="180">
        <v>0</v>
      </c>
      <c r="E238" s="252"/>
      <c r="F238" s="252"/>
      <c r="G238" s="252"/>
      <c r="H238" s="233">
        <f t="shared" si="24"/>
        <v>0</v>
      </c>
      <c r="I238" s="252">
        <v>0</v>
      </c>
      <c r="J238" s="252"/>
      <c r="K238" s="252"/>
      <c r="L238" s="252"/>
      <c r="M238" s="233">
        <f t="shared" si="25"/>
        <v>0</v>
      </c>
      <c r="N238" s="252">
        <v>0</v>
      </c>
      <c r="O238" s="252"/>
      <c r="P238" s="252"/>
      <c r="Q238" s="252"/>
      <c r="R238" s="232">
        <f t="shared" si="26"/>
        <v>0</v>
      </c>
    </row>
    <row r="239" spans="1:18" s="29" customFormat="1" ht="24" hidden="1" customHeight="1">
      <c r="A239" s="134">
        <v>9149</v>
      </c>
      <c r="B239" s="172" t="s">
        <v>192</v>
      </c>
      <c r="C239" s="204"/>
      <c r="D239" s="180">
        <v>0</v>
      </c>
      <c r="E239" s="252"/>
      <c r="F239" s="252"/>
      <c r="G239" s="252"/>
      <c r="H239" s="233">
        <f t="shared" si="24"/>
        <v>0</v>
      </c>
      <c r="I239" s="252">
        <v>0</v>
      </c>
      <c r="J239" s="252"/>
      <c r="K239" s="252"/>
      <c r="L239" s="252"/>
      <c r="M239" s="233">
        <f t="shared" si="25"/>
        <v>0</v>
      </c>
      <c r="N239" s="252">
        <v>0</v>
      </c>
      <c r="O239" s="252"/>
      <c r="P239" s="252"/>
      <c r="Q239" s="252"/>
      <c r="R239" s="232">
        <f t="shared" si="26"/>
        <v>0</v>
      </c>
    </row>
    <row r="240" spans="1:18" s="29" customFormat="1" ht="24" hidden="1" customHeight="1">
      <c r="A240" s="141">
        <v>9500</v>
      </c>
      <c r="B240" s="172" t="s">
        <v>165</v>
      </c>
      <c r="C240" s="170">
        <v>0</v>
      </c>
      <c r="D240" s="171">
        <v>0</v>
      </c>
      <c r="E240" s="233">
        <f>SUM(E241:E243)</f>
        <v>0</v>
      </c>
      <c r="F240" s="233">
        <f>SUM(F241:F243)</f>
        <v>0</v>
      </c>
      <c r="G240" s="233">
        <f>SUM(G241:G243)</f>
        <v>0</v>
      </c>
      <c r="H240" s="233">
        <f t="shared" si="24"/>
        <v>0</v>
      </c>
      <c r="I240" s="233">
        <v>0</v>
      </c>
      <c r="J240" s="233">
        <f>SUM(J241:J243)</f>
        <v>0</v>
      </c>
      <c r="K240" s="233">
        <f>SUM(K241:K243)</f>
        <v>0</v>
      </c>
      <c r="L240" s="233">
        <f>SUM(L241:L243)</f>
        <v>0</v>
      </c>
      <c r="M240" s="233">
        <f t="shared" si="25"/>
        <v>0</v>
      </c>
      <c r="N240" s="233">
        <v>0</v>
      </c>
      <c r="O240" s="233">
        <f>SUM(O241:O243)</f>
        <v>0</v>
      </c>
      <c r="P240" s="233">
        <f>SUM(P241:P243)</f>
        <v>0</v>
      </c>
      <c r="Q240" s="233">
        <f>SUM(Q241:Q243)</f>
        <v>0</v>
      </c>
      <c r="R240" s="232">
        <f t="shared" si="26"/>
        <v>0</v>
      </c>
    </row>
    <row r="241" spans="1:18" s="29" customFormat="1" ht="24" hidden="1" customHeight="1">
      <c r="A241" s="133" t="s">
        <v>193</v>
      </c>
      <c r="B241" s="172" t="s">
        <v>171</v>
      </c>
      <c r="C241" s="170"/>
      <c r="D241" s="171">
        <v>0</v>
      </c>
      <c r="E241" s="233"/>
      <c r="F241" s="233"/>
      <c r="G241" s="233"/>
      <c r="H241" s="233">
        <f t="shared" si="24"/>
        <v>0</v>
      </c>
      <c r="I241" s="233">
        <v>0</v>
      </c>
      <c r="J241" s="233"/>
      <c r="K241" s="233"/>
      <c r="L241" s="233"/>
      <c r="M241" s="233">
        <f t="shared" si="25"/>
        <v>0</v>
      </c>
      <c r="N241" s="233">
        <v>0</v>
      </c>
      <c r="O241" s="233"/>
      <c r="P241" s="233"/>
      <c r="Q241" s="233"/>
      <c r="R241" s="232">
        <f t="shared" si="26"/>
        <v>0</v>
      </c>
    </row>
    <row r="242" spans="1:18" s="29" customFormat="1" ht="48" hidden="1" customHeight="1">
      <c r="A242" s="133">
        <v>9580</v>
      </c>
      <c r="B242" s="172" t="s">
        <v>166</v>
      </c>
      <c r="C242" s="204"/>
      <c r="D242" s="180">
        <v>0</v>
      </c>
      <c r="E242" s="252"/>
      <c r="F242" s="252"/>
      <c r="G242" s="252"/>
      <c r="H242" s="233">
        <f t="shared" si="24"/>
        <v>0</v>
      </c>
      <c r="I242" s="252">
        <v>0</v>
      </c>
      <c r="J242" s="252"/>
      <c r="K242" s="252"/>
      <c r="L242" s="252"/>
      <c r="M242" s="233">
        <f t="shared" si="25"/>
        <v>0</v>
      </c>
      <c r="N242" s="252">
        <v>0</v>
      </c>
      <c r="O242" s="252"/>
      <c r="P242" s="252"/>
      <c r="Q242" s="252"/>
      <c r="R242" s="232">
        <f t="shared" si="26"/>
        <v>0</v>
      </c>
    </row>
    <row r="243" spans="1:18" s="29" customFormat="1" ht="48" hidden="1" customHeight="1">
      <c r="A243" s="133">
        <v>9590</v>
      </c>
      <c r="B243" s="179" t="s">
        <v>172</v>
      </c>
      <c r="C243" s="204"/>
      <c r="D243" s="180">
        <v>0</v>
      </c>
      <c r="E243" s="252"/>
      <c r="F243" s="252"/>
      <c r="G243" s="252"/>
      <c r="H243" s="233">
        <f t="shared" si="24"/>
        <v>0</v>
      </c>
      <c r="I243" s="252">
        <v>0</v>
      </c>
      <c r="J243" s="252"/>
      <c r="K243" s="252"/>
      <c r="L243" s="252"/>
      <c r="M243" s="233">
        <f t="shared" si="25"/>
        <v>0</v>
      </c>
      <c r="N243" s="252">
        <v>0</v>
      </c>
      <c r="O243" s="252"/>
      <c r="P243" s="252"/>
      <c r="Q243" s="252"/>
      <c r="R243" s="232">
        <f t="shared" si="26"/>
        <v>0</v>
      </c>
    </row>
    <row r="244" spans="1:18" s="29" customFormat="1" ht="24" hidden="1" customHeight="1">
      <c r="A244" s="141">
        <v>9700</v>
      </c>
      <c r="B244" s="183" t="s">
        <v>194</v>
      </c>
      <c r="C244" s="170">
        <v>0</v>
      </c>
      <c r="D244" s="171">
        <v>0</v>
      </c>
      <c r="E244" s="233">
        <f>SUM(E245:E246)</f>
        <v>0</v>
      </c>
      <c r="F244" s="233">
        <f>SUM(F245:F246)</f>
        <v>0</v>
      </c>
      <c r="G244" s="233">
        <f>SUM(G245:G246)</f>
        <v>0</v>
      </c>
      <c r="H244" s="233">
        <f t="shared" si="24"/>
        <v>0</v>
      </c>
      <c r="I244" s="233">
        <v>0</v>
      </c>
      <c r="J244" s="233">
        <f>SUM(J245:J246)</f>
        <v>0</v>
      </c>
      <c r="K244" s="233">
        <f>SUM(K245:K246)</f>
        <v>0</v>
      </c>
      <c r="L244" s="233">
        <f>SUM(L245:L246)</f>
        <v>0</v>
      </c>
      <c r="M244" s="233">
        <f t="shared" si="25"/>
        <v>0</v>
      </c>
      <c r="N244" s="233">
        <v>0</v>
      </c>
      <c r="O244" s="233">
        <f>SUM(O245:O246)</f>
        <v>0</v>
      </c>
      <c r="P244" s="233">
        <f>SUM(P245:P246)</f>
        <v>0</v>
      </c>
      <c r="Q244" s="233">
        <f>SUM(Q245:Q246)</f>
        <v>0</v>
      </c>
      <c r="R244" s="232">
        <f t="shared" si="26"/>
        <v>0</v>
      </c>
    </row>
    <row r="245" spans="1:18" s="29" customFormat="1" ht="24" hidden="1" customHeight="1">
      <c r="A245" s="133">
        <v>9710</v>
      </c>
      <c r="B245" s="184" t="s">
        <v>195</v>
      </c>
      <c r="C245" s="204"/>
      <c r="D245" s="180">
        <v>0</v>
      </c>
      <c r="E245" s="252"/>
      <c r="F245" s="252"/>
      <c r="G245" s="252"/>
      <c r="H245" s="233">
        <f t="shared" si="24"/>
        <v>0</v>
      </c>
      <c r="I245" s="252">
        <v>0</v>
      </c>
      <c r="J245" s="252"/>
      <c r="K245" s="252"/>
      <c r="L245" s="252"/>
      <c r="M245" s="233">
        <f t="shared" si="25"/>
        <v>0</v>
      </c>
      <c r="N245" s="252">
        <v>0</v>
      </c>
      <c r="O245" s="252"/>
      <c r="P245" s="252"/>
      <c r="Q245" s="252"/>
      <c r="R245" s="232">
        <f t="shared" si="26"/>
        <v>0</v>
      </c>
    </row>
    <row r="246" spans="1:18" s="29" customFormat="1" ht="48" hidden="1" customHeight="1">
      <c r="A246" s="142">
        <v>9720</v>
      </c>
      <c r="B246" s="183" t="s">
        <v>196</v>
      </c>
      <c r="C246" s="204"/>
      <c r="D246" s="180">
        <v>0</v>
      </c>
      <c r="E246" s="252"/>
      <c r="F246" s="252"/>
      <c r="G246" s="252"/>
      <c r="H246" s="233">
        <f t="shared" si="24"/>
        <v>0</v>
      </c>
      <c r="I246" s="252">
        <v>0</v>
      </c>
      <c r="J246" s="252"/>
      <c r="K246" s="252"/>
      <c r="L246" s="252"/>
      <c r="M246" s="233">
        <f t="shared" si="25"/>
        <v>0</v>
      </c>
      <c r="N246" s="252">
        <v>0</v>
      </c>
      <c r="O246" s="252"/>
      <c r="P246" s="252"/>
      <c r="Q246" s="252"/>
      <c r="R246" s="232">
        <f t="shared" si="26"/>
        <v>0</v>
      </c>
    </row>
    <row r="247" spans="1:18" s="29" customFormat="1" ht="24" hidden="1" customHeight="1">
      <c r="A247" s="141">
        <v>9600</v>
      </c>
      <c r="B247" s="179" t="s">
        <v>134</v>
      </c>
      <c r="C247" s="204"/>
      <c r="D247" s="180">
        <v>0</v>
      </c>
      <c r="E247" s="252"/>
      <c r="F247" s="252"/>
      <c r="G247" s="252"/>
      <c r="H247" s="233">
        <f t="shared" si="24"/>
        <v>0</v>
      </c>
      <c r="I247" s="252">
        <v>0</v>
      </c>
      <c r="J247" s="252"/>
      <c r="K247" s="252"/>
      <c r="L247" s="252"/>
      <c r="M247" s="233">
        <f t="shared" si="25"/>
        <v>0</v>
      </c>
      <c r="N247" s="252">
        <v>0</v>
      </c>
      <c r="O247" s="252"/>
      <c r="P247" s="252"/>
      <c r="Q247" s="252"/>
      <c r="R247" s="232">
        <f t="shared" si="26"/>
        <v>0</v>
      </c>
    </row>
    <row r="248" spans="1:18" s="29" customFormat="1" ht="30.6">
      <c r="A248" s="130" t="s">
        <v>197</v>
      </c>
      <c r="B248" s="185" t="s">
        <v>47</v>
      </c>
      <c r="C248" s="206">
        <v>-131700</v>
      </c>
      <c r="D248" s="186">
        <v>0</v>
      </c>
      <c r="E248" s="262"/>
      <c r="F248" s="262">
        <f>F178-F203</f>
        <v>0</v>
      </c>
      <c r="G248" s="262">
        <f>G178-G203</f>
        <v>0</v>
      </c>
      <c r="H248" s="233">
        <f t="shared" si="24"/>
        <v>0</v>
      </c>
      <c r="I248" s="262">
        <v>0</v>
      </c>
      <c r="J248" s="262">
        <f>J178-J203</f>
        <v>0</v>
      </c>
      <c r="K248" s="262">
        <f>K178-K203</f>
        <v>0</v>
      </c>
      <c r="L248" s="262">
        <f>L178-L203</f>
        <v>0</v>
      </c>
      <c r="M248" s="233">
        <f t="shared" si="25"/>
        <v>0</v>
      </c>
      <c r="N248" s="262">
        <v>0</v>
      </c>
      <c r="O248" s="262">
        <f>O178-O203</f>
        <v>0</v>
      </c>
      <c r="P248" s="262">
        <f>P178-P203</f>
        <v>0</v>
      </c>
      <c r="Q248" s="262">
        <f>Q178-Q203</f>
        <v>0</v>
      </c>
      <c r="R248" s="232">
        <f t="shared" si="26"/>
        <v>0</v>
      </c>
    </row>
    <row r="249" spans="1:18" s="29" customFormat="1" ht="12">
      <c r="A249" s="143" t="s">
        <v>48</v>
      </c>
      <c r="B249" s="185" t="s">
        <v>49</v>
      </c>
      <c r="C249" s="206">
        <v>131700</v>
      </c>
      <c r="D249" s="186">
        <v>0</v>
      </c>
      <c r="E249" s="262"/>
      <c r="F249" s="262">
        <f>F250+F253+F257+F256</f>
        <v>0</v>
      </c>
      <c r="G249" s="262">
        <f>G250+G253+G257+G256</f>
        <v>0</v>
      </c>
      <c r="H249" s="233">
        <f t="shared" si="24"/>
        <v>0</v>
      </c>
      <c r="I249" s="262">
        <v>0</v>
      </c>
      <c r="J249" s="262">
        <f>J250+J253+J257+J256</f>
        <v>0</v>
      </c>
      <c r="K249" s="262">
        <f>K250+K253+K257+K256</f>
        <v>0</v>
      </c>
      <c r="L249" s="262">
        <f>L250+L253+L257+L256</f>
        <v>0</v>
      </c>
      <c r="M249" s="233">
        <f t="shared" si="25"/>
        <v>0</v>
      </c>
      <c r="N249" s="262">
        <v>0</v>
      </c>
      <c r="O249" s="262">
        <f>O250+O253+O257+O256</f>
        <v>0</v>
      </c>
      <c r="P249" s="262">
        <f>P250+P253+P257+P256</f>
        <v>0</v>
      </c>
      <c r="Q249" s="262">
        <f>Q250+Q253+Q257+Q256</f>
        <v>0</v>
      </c>
      <c r="R249" s="232">
        <f t="shared" si="26"/>
        <v>0</v>
      </c>
    </row>
    <row r="250" spans="1:18" s="29" customFormat="1" ht="12" hidden="1" customHeight="1">
      <c r="A250" s="141" t="s">
        <v>50</v>
      </c>
      <c r="B250" s="179" t="s">
        <v>51</v>
      </c>
      <c r="C250" s="98">
        <v>0</v>
      </c>
      <c r="D250" s="169">
        <v>0</v>
      </c>
      <c r="E250" s="231">
        <f>E251+E252</f>
        <v>0</v>
      </c>
      <c r="F250" s="231">
        <f>F251+F252</f>
        <v>0</v>
      </c>
      <c r="G250" s="231">
        <f>G251+G252</f>
        <v>0</v>
      </c>
      <c r="H250" s="233">
        <f t="shared" si="24"/>
        <v>0</v>
      </c>
      <c r="I250" s="231">
        <v>0</v>
      </c>
      <c r="J250" s="231">
        <f>J251+J252</f>
        <v>0</v>
      </c>
      <c r="K250" s="231">
        <f>K251+K252</f>
        <v>0</v>
      </c>
      <c r="L250" s="231">
        <f>L251+L252</f>
        <v>0</v>
      </c>
      <c r="M250" s="233">
        <f t="shared" si="25"/>
        <v>0</v>
      </c>
      <c r="N250" s="231">
        <v>0</v>
      </c>
      <c r="O250" s="231">
        <f>O251+O252</f>
        <v>0</v>
      </c>
      <c r="P250" s="231">
        <f>P251+P252</f>
        <v>0</v>
      </c>
      <c r="Q250" s="231">
        <f>Q251+Q252</f>
        <v>0</v>
      </c>
      <c r="R250" s="232">
        <f t="shared" si="26"/>
        <v>0</v>
      </c>
    </row>
    <row r="251" spans="1:18" s="29" customFormat="1" ht="12" hidden="1" customHeight="1">
      <c r="A251" s="141" t="s">
        <v>52</v>
      </c>
      <c r="B251" s="179" t="s">
        <v>53</v>
      </c>
      <c r="C251" s="98"/>
      <c r="D251" s="169">
        <v>0</v>
      </c>
      <c r="E251" s="231"/>
      <c r="F251" s="231"/>
      <c r="G251" s="231"/>
      <c r="H251" s="233">
        <f t="shared" si="24"/>
        <v>0</v>
      </c>
      <c r="I251" s="231">
        <v>0</v>
      </c>
      <c r="J251" s="231"/>
      <c r="K251" s="231"/>
      <c r="L251" s="231"/>
      <c r="M251" s="233">
        <f t="shared" si="25"/>
        <v>0</v>
      </c>
      <c r="N251" s="231">
        <v>0</v>
      </c>
      <c r="O251" s="231"/>
      <c r="P251" s="231"/>
      <c r="Q251" s="231"/>
      <c r="R251" s="232">
        <f t="shared" si="26"/>
        <v>0</v>
      </c>
    </row>
    <row r="252" spans="1:18" s="29" customFormat="1" ht="12" hidden="1" customHeight="1">
      <c r="A252" s="141" t="s">
        <v>54</v>
      </c>
      <c r="B252" s="179" t="s">
        <v>55</v>
      </c>
      <c r="C252" s="98"/>
      <c r="D252" s="169">
        <v>0</v>
      </c>
      <c r="E252" s="231"/>
      <c r="F252" s="231"/>
      <c r="G252" s="231"/>
      <c r="H252" s="233">
        <f t="shared" si="24"/>
        <v>0</v>
      </c>
      <c r="I252" s="231">
        <v>0</v>
      </c>
      <c r="J252" s="231"/>
      <c r="K252" s="231"/>
      <c r="L252" s="231"/>
      <c r="M252" s="233">
        <f t="shared" si="25"/>
        <v>0</v>
      </c>
      <c r="N252" s="231">
        <v>0</v>
      </c>
      <c r="O252" s="231"/>
      <c r="P252" s="231"/>
      <c r="Q252" s="231"/>
      <c r="R252" s="232">
        <f t="shared" si="26"/>
        <v>0</v>
      </c>
    </row>
    <row r="253" spans="1:18" s="29" customFormat="1" ht="12" hidden="1" customHeight="1">
      <c r="A253" s="141" t="s">
        <v>56</v>
      </c>
      <c r="B253" s="179" t="s">
        <v>57</v>
      </c>
      <c r="C253" s="98">
        <v>0</v>
      </c>
      <c r="D253" s="169">
        <v>0</v>
      </c>
      <c r="E253" s="231">
        <f>E254+E255</f>
        <v>0</v>
      </c>
      <c r="F253" s="231">
        <f>F254+F255</f>
        <v>0</v>
      </c>
      <c r="G253" s="231">
        <f>G254+G255</f>
        <v>0</v>
      </c>
      <c r="H253" s="233">
        <f t="shared" si="24"/>
        <v>0</v>
      </c>
      <c r="I253" s="231">
        <v>0</v>
      </c>
      <c r="J253" s="231">
        <f>J254+J255</f>
        <v>0</v>
      </c>
      <c r="K253" s="231">
        <f>K254+K255</f>
        <v>0</v>
      </c>
      <c r="L253" s="231">
        <f>L254+L255</f>
        <v>0</v>
      </c>
      <c r="M253" s="233">
        <f t="shared" si="25"/>
        <v>0</v>
      </c>
      <c r="N253" s="231">
        <v>0</v>
      </c>
      <c r="O253" s="231">
        <f>O254+O255</f>
        <v>0</v>
      </c>
      <c r="P253" s="231">
        <f>P254+P255</f>
        <v>0</v>
      </c>
      <c r="Q253" s="231">
        <f>Q254+Q255</f>
        <v>0</v>
      </c>
      <c r="R253" s="232">
        <f t="shared" si="26"/>
        <v>0</v>
      </c>
    </row>
    <row r="254" spans="1:18" s="29" customFormat="1" ht="12" hidden="1" customHeight="1">
      <c r="A254" s="141" t="s">
        <v>58</v>
      </c>
      <c r="B254" s="179" t="s">
        <v>59</v>
      </c>
      <c r="C254" s="98"/>
      <c r="D254" s="169">
        <v>0</v>
      </c>
      <c r="E254" s="231"/>
      <c r="F254" s="231"/>
      <c r="G254" s="231"/>
      <c r="H254" s="233">
        <f t="shared" si="24"/>
        <v>0</v>
      </c>
      <c r="I254" s="231">
        <v>0</v>
      </c>
      <c r="J254" s="231"/>
      <c r="K254" s="231"/>
      <c r="L254" s="231"/>
      <c r="M254" s="233">
        <f t="shared" si="25"/>
        <v>0</v>
      </c>
      <c r="N254" s="231">
        <v>0</v>
      </c>
      <c r="O254" s="231"/>
      <c r="P254" s="231"/>
      <c r="Q254" s="231"/>
      <c r="R254" s="232">
        <f t="shared" si="26"/>
        <v>0</v>
      </c>
    </row>
    <row r="255" spans="1:18" s="29" customFormat="1" ht="12" hidden="1" customHeight="1">
      <c r="A255" s="141" t="s">
        <v>60</v>
      </c>
      <c r="B255" s="179" t="s">
        <v>61</v>
      </c>
      <c r="C255" s="98"/>
      <c r="D255" s="169">
        <v>0</v>
      </c>
      <c r="E255" s="231"/>
      <c r="F255" s="231"/>
      <c r="G255" s="231"/>
      <c r="H255" s="233">
        <f t="shared" si="24"/>
        <v>0</v>
      </c>
      <c r="I255" s="231">
        <v>0</v>
      </c>
      <c r="J255" s="231"/>
      <c r="K255" s="231"/>
      <c r="L255" s="231"/>
      <c r="M255" s="233">
        <f t="shared" si="25"/>
        <v>0</v>
      </c>
      <c r="N255" s="231">
        <v>0</v>
      </c>
      <c r="O255" s="231"/>
      <c r="P255" s="231"/>
      <c r="Q255" s="231"/>
      <c r="R255" s="232">
        <f t="shared" si="26"/>
        <v>0</v>
      </c>
    </row>
    <row r="256" spans="1:18" s="29" customFormat="1" ht="12" hidden="1" customHeight="1">
      <c r="A256" s="141" t="s">
        <v>198</v>
      </c>
      <c r="B256" s="187" t="s">
        <v>168</v>
      </c>
      <c r="C256" s="98"/>
      <c r="D256" s="169">
        <v>0</v>
      </c>
      <c r="E256" s="231"/>
      <c r="F256" s="231"/>
      <c r="G256" s="231"/>
      <c r="H256" s="233">
        <f t="shared" si="24"/>
        <v>0</v>
      </c>
      <c r="I256" s="231">
        <v>0</v>
      </c>
      <c r="J256" s="231"/>
      <c r="K256" s="231"/>
      <c r="L256" s="231"/>
      <c r="M256" s="233">
        <f t="shared" si="25"/>
        <v>0</v>
      </c>
      <c r="N256" s="231">
        <v>0</v>
      </c>
      <c r="O256" s="231"/>
      <c r="P256" s="231"/>
      <c r="Q256" s="231"/>
      <c r="R256" s="232">
        <f t="shared" si="26"/>
        <v>0</v>
      </c>
    </row>
    <row r="257" spans="1:18" s="29" customFormat="1" ht="12">
      <c r="A257" s="144" t="s">
        <v>62</v>
      </c>
      <c r="B257" s="125" t="s">
        <v>63</v>
      </c>
      <c r="C257" s="170">
        <v>131700</v>
      </c>
      <c r="D257" s="171">
        <v>0</v>
      </c>
      <c r="E257" s="233"/>
      <c r="F257" s="233">
        <f>F258+F259+F260</f>
        <v>0</v>
      </c>
      <c r="G257" s="233">
        <f>G258+G259+G260</f>
        <v>0</v>
      </c>
      <c r="H257" s="233">
        <f t="shared" si="24"/>
        <v>0</v>
      </c>
      <c r="I257" s="233">
        <v>0</v>
      </c>
      <c r="J257" s="233">
        <f>J258+J259+J260</f>
        <v>0</v>
      </c>
      <c r="K257" s="233">
        <f>K258+K259+K260</f>
        <v>0</v>
      </c>
      <c r="L257" s="233">
        <f>L258+L259+L260</f>
        <v>0</v>
      </c>
      <c r="M257" s="233">
        <f t="shared" si="25"/>
        <v>0</v>
      </c>
      <c r="N257" s="233">
        <v>0</v>
      </c>
      <c r="O257" s="233">
        <f>O258+O259+O260</f>
        <v>0</v>
      </c>
      <c r="P257" s="233">
        <f>P258+P259+P260</f>
        <v>0</v>
      </c>
      <c r="Q257" s="233">
        <f>Q258+Q259+Q260</f>
        <v>0</v>
      </c>
      <c r="R257" s="232">
        <f t="shared" si="26"/>
        <v>0</v>
      </c>
    </row>
    <row r="258" spans="1:18" s="29" customFormat="1" ht="36" hidden="1" customHeight="1">
      <c r="A258" s="144" t="s">
        <v>64</v>
      </c>
      <c r="B258" s="179" t="s">
        <v>65</v>
      </c>
      <c r="C258" s="98"/>
      <c r="D258" s="169">
        <v>0</v>
      </c>
      <c r="E258" s="231"/>
      <c r="F258" s="231"/>
      <c r="G258" s="231"/>
      <c r="H258" s="233">
        <f t="shared" si="24"/>
        <v>0</v>
      </c>
      <c r="I258" s="231">
        <v>0</v>
      </c>
      <c r="J258" s="231"/>
      <c r="K258" s="231"/>
      <c r="L258" s="231"/>
      <c r="M258" s="233">
        <f t="shared" si="25"/>
        <v>0</v>
      </c>
      <c r="N258" s="231">
        <v>0</v>
      </c>
      <c r="O258" s="231"/>
      <c r="P258" s="231"/>
      <c r="Q258" s="231"/>
      <c r="R258" s="232">
        <f t="shared" si="26"/>
        <v>0</v>
      </c>
    </row>
    <row r="259" spans="1:18" s="29" customFormat="1" ht="24">
      <c r="A259" s="144" t="s">
        <v>66</v>
      </c>
      <c r="B259" s="179" t="s">
        <v>67</v>
      </c>
      <c r="C259" s="98">
        <v>131700</v>
      </c>
      <c r="D259" s="169">
        <v>0</v>
      </c>
      <c r="E259" s="231"/>
      <c r="F259" s="231"/>
      <c r="G259" s="231"/>
      <c r="H259" s="233">
        <f t="shared" si="24"/>
        <v>0</v>
      </c>
      <c r="I259" s="231">
        <v>0</v>
      </c>
      <c r="J259" s="231"/>
      <c r="K259" s="231"/>
      <c r="L259" s="231"/>
      <c r="M259" s="233">
        <f t="shared" si="25"/>
        <v>0</v>
      </c>
      <c r="N259" s="231">
        <v>0</v>
      </c>
      <c r="O259" s="231"/>
      <c r="P259" s="231"/>
      <c r="Q259" s="231"/>
      <c r="R259" s="232">
        <f t="shared" si="26"/>
        <v>0</v>
      </c>
    </row>
    <row r="260" spans="1:18" s="29" customFormat="1" ht="24" hidden="1" customHeight="1">
      <c r="A260" s="144" t="s">
        <v>68</v>
      </c>
      <c r="B260" s="125" t="s">
        <v>69</v>
      </c>
      <c r="C260" s="98"/>
      <c r="D260" s="169">
        <v>0</v>
      </c>
      <c r="E260" s="231"/>
      <c r="F260" s="231"/>
      <c r="G260" s="231"/>
      <c r="H260" s="233">
        <f t="shared" si="24"/>
        <v>0</v>
      </c>
      <c r="I260" s="231">
        <v>0</v>
      </c>
      <c r="J260" s="231"/>
      <c r="K260" s="231"/>
      <c r="L260" s="231"/>
      <c r="M260" s="233">
        <f t="shared" si="25"/>
        <v>0</v>
      </c>
      <c r="N260" s="231">
        <v>0</v>
      </c>
      <c r="O260" s="231"/>
      <c r="P260" s="231"/>
      <c r="Q260" s="231"/>
      <c r="R260" s="232">
        <f t="shared" si="26"/>
        <v>0</v>
      </c>
    </row>
    <row r="261" spans="1:18" s="29" customFormat="1" ht="12">
      <c r="A261" s="271"/>
      <c r="B261" s="272"/>
      <c r="C261" s="253"/>
      <c r="D261" s="254"/>
      <c r="E261" s="253"/>
      <c r="F261" s="254"/>
      <c r="G261" s="254"/>
      <c r="H261" s="233"/>
      <c r="I261" s="254"/>
      <c r="J261" s="254"/>
      <c r="K261" s="254"/>
      <c r="L261" s="254"/>
      <c r="M261" s="233"/>
      <c r="N261" s="254"/>
      <c r="O261" s="254"/>
      <c r="P261" s="254"/>
      <c r="Q261" s="254"/>
      <c r="R261" s="232"/>
    </row>
    <row r="262" spans="1:18" ht="12">
      <c r="A262" s="33"/>
      <c r="B262" s="164"/>
      <c r="C262" s="165"/>
      <c r="D262" s="163"/>
      <c r="E262" s="165"/>
      <c r="F262" s="540"/>
      <c r="G262" s="540"/>
      <c r="H262" s="540"/>
      <c r="I262" s="540"/>
      <c r="J262" s="540"/>
      <c r="K262" s="540"/>
      <c r="L262" s="540"/>
      <c r="M262" s="540"/>
      <c r="N262" s="540"/>
      <c r="O262" s="540"/>
      <c r="P262" s="540"/>
      <c r="Q262" s="540"/>
      <c r="R262" s="163"/>
    </row>
    <row r="263" spans="1:18" ht="12">
      <c r="A263" s="33"/>
      <c r="B263" s="164"/>
      <c r="C263" s="165"/>
      <c r="D263" s="163"/>
      <c r="E263" s="165"/>
      <c r="F263" s="540"/>
      <c r="G263" s="540"/>
      <c r="H263" s="540"/>
      <c r="I263" s="540"/>
      <c r="J263" s="540"/>
      <c r="K263" s="540"/>
      <c r="L263" s="540"/>
      <c r="M263" s="540"/>
      <c r="N263" s="540"/>
      <c r="O263" s="540"/>
      <c r="P263" s="540"/>
      <c r="Q263" s="540"/>
      <c r="R263" s="163"/>
    </row>
    <row r="264" spans="1:18" ht="13.2">
      <c r="A264" s="369" t="s">
        <v>236</v>
      </c>
      <c r="B264" s="370" t="s">
        <v>237</v>
      </c>
      <c r="C264" s="165"/>
      <c r="D264" s="163"/>
      <c r="E264" s="165"/>
      <c r="F264" s="540"/>
      <c r="G264" s="540"/>
      <c r="H264" s="540"/>
      <c r="I264" s="540"/>
      <c r="J264" s="540"/>
      <c r="K264" s="540"/>
      <c r="L264" s="540"/>
      <c r="M264" s="540"/>
      <c r="N264" s="540"/>
      <c r="O264" s="540"/>
      <c r="P264" s="540"/>
      <c r="Q264" s="540"/>
      <c r="R264" s="163"/>
    </row>
    <row r="265" spans="1:18" ht="13.2">
      <c r="A265" s="371"/>
      <c r="B265" s="372" t="s">
        <v>238</v>
      </c>
      <c r="C265" s="165"/>
      <c r="D265" s="163"/>
      <c r="E265" s="165"/>
      <c r="F265" s="540"/>
      <c r="G265" s="540"/>
      <c r="H265" s="540"/>
      <c r="I265" s="540"/>
      <c r="J265" s="540"/>
      <c r="K265" s="540"/>
      <c r="L265" s="540"/>
      <c r="M265" s="540"/>
      <c r="N265" s="540"/>
      <c r="O265" s="540"/>
      <c r="P265" s="540"/>
      <c r="Q265" s="540"/>
      <c r="R265" s="163"/>
    </row>
    <row r="266" spans="1:18" ht="13.2">
      <c r="A266" s="373" t="s">
        <v>223</v>
      </c>
      <c r="B266" s="374" t="s">
        <v>434</v>
      </c>
      <c r="C266" s="165"/>
      <c r="D266" s="163"/>
      <c r="E266" s="165"/>
      <c r="F266" s="540"/>
      <c r="G266" s="540"/>
      <c r="H266" s="540"/>
      <c r="I266" s="540"/>
      <c r="J266" s="540"/>
      <c r="K266" s="540"/>
      <c r="L266" s="540"/>
      <c r="M266" s="540"/>
      <c r="N266" s="540"/>
      <c r="O266" s="540"/>
      <c r="P266" s="540"/>
      <c r="Q266" s="540"/>
      <c r="R266" s="163"/>
    </row>
    <row r="267" spans="1:18" ht="118.8">
      <c r="A267" s="375" t="s">
        <v>240</v>
      </c>
      <c r="B267" s="376" t="s">
        <v>501</v>
      </c>
      <c r="C267" s="165"/>
      <c r="D267" s="163"/>
      <c r="E267" s="165">
        <v>71508</v>
      </c>
      <c r="F267" s="540"/>
      <c r="G267" s="540"/>
      <c r="H267" s="540"/>
      <c r="I267" s="540"/>
      <c r="J267" s="540">
        <v>71508</v>
      </c>
      <c r="K267" s="540"/>
      <c r="L267" s="540"/>
      <c r="M267" s="540"/>
      <c r="N267" s="540"/>
      <c r="O267" s="540">
        <v>71508</v>
      </c>
      <c r="P267" s="540"/>
      <c r="Q267" s="540"/>
      <c r="R267" s="163"/>
    </row>
    <row r="268" spans="1:18" ht="92.4">
      <c r="A268" s="375" t="s">
        <v>253</v>
      </c>
      <c r="B268" s="376" t="s">
        <v>913</v>
      </c>
      <c r="C268" s="165"/>
      <c r="D268" s="163"/>
      <c r="E268" s="165">
        <v>20000</v>
      </c>
      <c r="F268" s="540"/>
      <c r="G268" s="540"/>
      <c r="H268" s="540"/>
      <c r="I268" s="540"/>
      <c r="J268" s="540">
        <v>20000</v>
      </c>
      <c r="K268" s="540"/>
      <c r="L268" s="540"/>
      <c r="M268" s="540"/>
      <c r="N268" s="540"/>
      <c r="O268" s="540">
        <v>20000</v>
      </c>
      <c r="P268" s="540"/>
      <c r="Q268" s="540"/>
      <c r="R268" s="163"/>
    </row>
    <row r="269" spans="1:18" ht="13.2">
      <c r="A269" s="377"/>
      <c r="B269" s="376"/>
      <c r="C269" s="165"/>
      <c r="D269" s="163"/>
      <c r="E269" s="165"/>
      <c r="F269" s="540"/>
      <c r="G269" s="540"/>
      <c r="H269" s="540"/>
      <c r="I269" s="540"/>
      <c r="J269" s="540"/>
      <c r="K269" s="540"/>
      <c r="L269" s="540"/>
      <c r="M269" s="540"/>
      <c r="N269" s="540"/>
      <c r="O269" s="540"/>
      <c r="P269" s="540"/>
      <c r="Q269" s="540"/>
      <c r="R269" s="163"/>
    </row>
    <row r="270" spans="1:18" ht="13.2">
      <c r="A270" s="378" t="s">
        <v>224</v>
      </c>
      <c r="B270" s="374" t="s">
        <v>242</v>
      </c>
      <c r="C270" s="165"/>
      <c r="D270" s="163"/>
      <c r="E270" s="165"/>
      <c r="F270" s="540"/>
      <c r="G270" s="540"/>
      <c r="H270" s="540"/>
      <c r="I270" s="540"/>
      <c r="J270" s="540"/>
      <c r="K270" s="540"/>
      <c r="L270" s="540"/>
      <c r="M270" s="540"/>
      <c r="N270" s="540"/>
      <c r="O270" s="540"/>
      <c r="P270" s="540"/>
      <c r="Q270" s="540"/>
      <c r="R270" s="163"/>
    </row>
    <row r="271" spans="1:18" ht="52.8">
      <c r="A271" s="587" t="s">
        <v>243</v>
      </c>
      <c r="B271" s="418" t="s">
        <v>502</v>
      </c>
      <c r="C271" s="165"/>
      <c r="D271" s="163"/>
      <c r="E271" s="165"/>
      <c r="F271" s="540">
        <v>167940</v>
      </c>
      <c r="G271" s="540"/>
      <c r="H271" s="540"/>
      <c r="I271" s="540"/>
      <c r="J271" s="540"/>
      <c r="K271" s="540">
        <v>167940</v>
      </c>
      <c r="L271" s="540"/>
      <c r="M271" s="540"/>
      <c r="N271" s="540"/>
      <c r="O271" s="540"/>
      <c r="P271" s="540">
        <v>167940</v>
      </c>
      <c r="Q271" s="540"/>
      <c r="R271" s="163"/>
    </row>
    <row r="272" spans="1:18" ht="52.8">
      <c r="A272" s="587" t="s">
        <v>503</v>
      </c>
      <c r="B272" s="376" t="s">
        <v>504</v>
      </c>
      <c r="C272" s="165"/>
      <c r="D272" s="163"/>
      <c r="E272" s="165"/>
      <c r="F272" s="540">
        <v>2949976</v>
      </c>
      <c r="G272" s="540"/>
      <c r="H272" s="540"/>
      <c r="I272" s="540"/>
      <c r="J272" s="540"/>
      <c r="K272" s="540">
        <v>2121500</v>
      </c>
      <c r="L272" s="540"/>
      <c r="M272" s="540"/>
      <c r="N272" s="540"/>
      <c r="O272" s="540"/>
      <c r="P272" s="540">
        <v>2080174</v>
      </c>
      <c r="Q272" s="540"/>
      <c r="R272" s="163"/>
    </row>
    <row r="273" spans="1:18" ht="105.6">
      <c r="A273" s="587" t="s">
        <v>505</v>
      </c>
      <c r="B273" s="376" t="s">
        <v>914</v>
      </c>
      <c r="C273" s="165"/>
      <c r="D273" s="163"/>
      <c r="E273" s="165"/>
      <c r="F273" s="541">
        <v>527540</v>
      </c>
      <c r="G273" s="541"/>
      <c r="H273" s="540"/>
      <c r="I273" s="540"/>
      <c r="J273" s="540"/>
      <c r="K273" s="541">
        <v>527540</v>
      </c>
      <c r="L273" s="541"/>
      <c r="M273" s="540"/>
      <c r="N273" s="540"/>
      <c r="O273" s="540"/>
      <c r="P273" s="541">
        <v>527540</v>
      </c>
      <c r="Q273" s="541"/>
      <c r="R273" s="163"/>
    </row>
    <row r="274" spans="1:18" ht="79.2">
      <c r="A274" s="587" t="s">
        <v>506</v>
      </c>
      <c r="B274" s="376" t="s">
        <v>507</v>
      </c>
      <c r="C274" s="165"/>
      <c r="D274" s="163"/>
      <c r="E274" s="165"/>
      <c r="F274" s="541">
        <v>34484</v>
      </c>
      <c r="G274" s="541"/>
      <c r="H274" s="540"/>
      <c r="I274" s="540"/>
      <c r="J274" s="540"/>
      <c r="K274" s="541">
        <v>34484</v>
      </c>
      <c r="L274" s="541"/>
      <c r="M274" s="540"/>
      <c r="N274" s="540"/>
      <c r="O274" s="540"/>
      <c r="P274" s="541">
        <v>34484</v>
      </c>
      <c r="Q274" s="541"/>
      <c r="R274" s="163"/>
    </row>
    <row r="275" spans="1:18" ht="79.2">
      <c r="A275" s="587" t="s">
        <v>508</v>
      </c>
      <c r="B275" s="376" t="s">
        <v>1060</v>
      </c>
      <c r="C275" s="165"/>
      <c r="D275" s="163"/>
      <c r="E275" s="165"/>
      <c r="F275" s="541">
        <v>-6298</v>
      </c>
      <c r="G275" s="541"/>
      <c r="H275" s="540"/>
      <c r="I275" s="540"/>
      <c r="J275" s="540"/>
      <c r="K275" s="541">
        <v>-6298</v>
      </c>
      <c r="L275" s="541"/>
      <c r="M275" s="540"/>
      <c r="N275" s="540"/>
      <c r="O275" s="540"/>
      <c r="P275" s="541">
        <v>18894</v>
      </c>
      <c r="Q275" s="541"/>
      <c r="R275" s="163"/>
    </row>
    <row r="276" spans="1:18" ht="79.2">
      <c r="A276" s="587" t="s">
        <v>509</v>
      </c>
      <c r="B276" s="376" t="s">
        <v>510</v>
      </c>
      <c r="C276" s="165"/>
      <c r="D276" s="163"/>
      <c r="E276" s="165"/>
      <c r="F276" s="541"/>
      <c r="G276" s="485">
        <v>593649</v>
      </c>
      <c r="H276" s="540"/>
      <c r="I276" s="540"/>
      <c r="J276" s="540"/>
      <c r="K276" s="541"/>
      <c r="L276" s="485">
        <v>634086</v>
      </c>
      <c r="M276" s="540"/>
      <c r="N276" s="540"/>
      <c r="O276" s="540"/>
      <c r="P276" s="541"/>
      <c r="Q276" s="485">
        <v>634086</v>
      </c>
      <c r="R276" s="163"/>
    </row>
    <row r="277" spans="1:18" ht="45" customHeight="1">
      <c r="A277" s="587" t="s">
        <v>511</v>
      </c>
      <c r="B277" s="376" t="s">
        <v>512</v>
      </c>
      <c r="C277" s="165"/>
      <c r="D277" s="163"/>
      <c r="E277" s="165"/>
      <c r="F277" s="541"/>
      <c r="G277" s="93">
        <v>61090</v>
      </c>
      <c r="H277" s="540"/>
      <c r="I277" s="540"/>
      <c r="J277" s="540"/>
      <c r="K277" s="541"/>
      <c r="L277" s="93">
        <v>61090</v>
      </c>
      <c r="M277" s="540"/>
      <c r="N277" s="540"/>
      <c r="O277" s="540"/>
      <c r="P277" s="541"/>
      <c r="Q277" s="93">
        <v>61090</v>
      </c>
      <c r="R277" s="163"/>
    </row>
    <row r="278" spans="1:18" ht="52.8">
      <c r="A278" s="587" t="s">
        <v>513</v>
      </c>
      <c r="B278" s="376" t="s">
        <v>514</v>
      </c>
      <c r="C278" s="165"/>
      <c r="D278" s="163"/>
      <c r="E278" s="165"/>
      <c r="F278" s="541"/>
      <c r="G278" s="93">
        <v>136351</v>
      </c>
      <c r="H278" s="540"/>
      <c r="I278" s="540"/>
      <c r="J278" s="540"/>
      <c r="K278" s="541"/>
      <c r="L278" s="93">
        <v>95914</v>
      </c>
      <c r="M278" s="540"/>
      <c r="N278" s="540"/>
      <c r="O278" s="540"/>
      <c r="P278" s="541"/>
      <c r="Q278" s="93">
        <v>95914</v>
      </c>
      <c r="R278" s="163"/>
    </row>
    <row r="279" spans="1:18" ht="66">
      <c r="A279" s="587" t="s">
        <v>515</v>
      </c>
      <c r="B279" s="376" t="s">
        <v>516</v>
      </c>
      <c r="C279" s="165"/>
      <c r="D279" s="163"/>
      <c r="E279" s="165"/>
      <c r="F279" s="541"/>
      <c r="G279" s="541">
        <v>187620</v>
      </c>
      <c r="H279" s="540"/>
      <c r="I279" s="540"/>
      <c r="J279" s="540"/>
      <c r="K279" s="541"/>
      <c r="L279" s="541">
        <v>312402</v>
      </c>
      <c r="M279" s="540"/>
      <c r="N279" s="540"/>
      <c r="O279" s="540"/>
      <c r="P279" s="541"/>
      <c r="Q279" s="541"/>
      <c r="R279" s="163"/>
    </row>
    <row r="280" spans="1:18" ht="66">
      <c r="A280" s="587" t="s">
        <v>517</v>
      </c>
      <c r="B280" s="376" t="s">
        <v>518</v>
      </c>
      <c r="C280" s="165"/>
      <c r="D280" s="163"/>
      <c r="E280" s="165"/>
      <c r="F280" s="541"/>
      <c r="G280" s="541">
        <v>642389</v>
      </c>
      <c r="H280" s="540"/>
      <c r="I280" s="540"/>
      <c r="J280" s="540"/>
      <c r="K280" s="541"/>
      <c r="L280" s="541">
        <v>956065</v>
      </c>
      <c r="M280" s="540"/>
      <c r="N280" s="540"/>
      <c r="O280" s="540"/>
      <c r="P280" s="541"/>
      <c r="Q280" s="541">
        <v>879326.01353293413</v>
      </c>
      <c r="R280" s="163"/>
    </row>
    <row r="281" spans="1:18" ht="105.6">
      <c r="A281" s="587" t="s">
        <v>519</v>
      </c>
      <c r="B281" s="376" t="s">
        <v>520</v>
      </c>
      <c r="C281" s="165"/>
      <c r="D281" s="163"/>
      <c r="E281" s="165"/>
      <c r="F281" s="541"/>
      <c r="G281" s="541">
        <v>64202</v>
      </c>
      <c r="H281" s="540"/>
      <c r="I281" s="540"/>
      <c r="J281" s="540"/>
      <c r="K281" s="541"/>
      <c r="L281" s="541">
        <v>66585</v>
      </c>
      <c r="M281" s="540"/>
      <c r="N281" s="540"/>
      <c r="O281" s="540"/>
      <c r="P281" s="541"/>
      <c r="Q281" s="541">
        <v>58818</v>
      </c>
      <c r="R281" s="163"/>
    </row>
    <row r="282" spans="1:18" ht="145.19999999999999">
      <c r="A282" s="587" t="s">
        <v>521</v>
      </c>
      <c r="B282" s="376" t="s">
        <v>915</v>
      </c>
      <c r="C282" s="165"/>
      <c r="D282" s="163"/>
      <c r="E282" s="165"/>
      <c r="F282" s="541"/>
      <c r="G282" s="541">
        <v>20000</v>
      </c>
      <c r="H282" s="540"/>
      <c r="I282" s="540"/>
      <c r="J282" s="540"/>
      <c r="K282" s="541"/>
      <c r="L282" s="541"/>
      <c r="M282" s="540"/>
      <c r="N282" s="540"/>
      <c r="O282" s="540"/>
      <c r="P282" s="541"/>
      <c r="Q282" s="541"/>
      <c r="R282" s="163"/>
    </row>
    <row r="283" spans="1:18" ht="13.2">
      <c r="A283" s="369" t="s">
        <v>245</v>
      </c>
      <c r="B283" s="370" t="s">
        <v>140</v>
      </c>
      <c r="C283" s="165"/>
      <c r="D283" s="163"/>
      <c r="E283" s="165"/>
      <c r="F283" s="540"/>
      <c r="G283" s="540"/>
      <c r="H283" s="540"/>
      <c r="I283" s="540"/>
      <c r="J283" s="540"/>
      <c r="K283" s="540"/>
      <c r="L283" s="540"/>
      <c r="M283" s="540"/>
      <c r="N283" s="540"/>
      <c r="O283" s="540"/>
      <c r="P283" s="540"/>
      <c r="Q283" s="540"/>
      <c r="R283" s="163"/>
    </row>
    <row r="284" spans="1:18" ht="13.2">
      <c r="A284" s="371"/>
      <c r="B284" s="372" t="s">
        <v>238</v>
      </c>
      <c r="C284" s="165"/>
      <c r="D284" s="163"/>
      <c r="E284" s="165"/>
      <c r="F284" s="540"/>
      <c r="G284" s="540"/>
      <c r="H284" s="540"/>
      <c r="I284" s="540"/>
      <c r="J284" s="540"/>
      <c r="K284" s="540"/>
      <c r="L284" s="540"/>
      <c r="M284" s="540"/>
      <c r="N284" s="540"/>
      <c r="O284" s="540"/>
      <c r="P284" s="540"/>
      <c r="Q284" s="540"/>
      <c r="R284" s="163"/>
    </row>
    <row r="285" spans="1:18" ht="13.2">
      <c r="A285" s="373" t="s">
        <v>223</v>
      </c>
      <c r="B285" s="374" t="s">
        <v>434</v>
      </c>
      <c r="C285" s="165"/>
      <c r="D285" s="163"/>
      <c r="E285" s="165"/>
      <c r="F285" s="540"/>
      <c r="G285" s="540"/>
      <c r="H285" s="540"/>
      <c r="I285" s="540"/>
      <c r="J285" s="540"/>
      <c r="K285" s="540"/>
      <c r="L285" s="540"/>
      <c r="M285" s="540"/>
      <c r="N285" s="540"/>
      <c r="O285" s="540"/>
      <c r="P285" s="540"/>
      <c r="Q285" s="540"/>
      <c r="R285" s="163"/>
    </row>
    <row r="286" spans="1:18" ht="13.2">
      <c r="A286" s="378" t="s">
        <v>224</v>
      </c>
      <c r="B286" s="374" t="s">
        <v>242</v>
      </c>
      <c r="C286" s="165"/>
      <c r="D286" s="163"/>
      <c r="E286" s="165"/>
      <c r="F286" s="540"/>
      <c r="G286" s="540"/>
      <c r="H286" s="540"/>
      <c r="I286" s="540"/>
      <c r="J286" s="540"/>
      <c r="K286" s="540"/>
      <c r="L286" s="540"/>
      <c r="M286" s="540"/>
      <c r="N286" s="540"/>
      <c r="O286" s="540"/>
      <c r="P286" s="540"/>
      <c r="Q286" s="540"/>
      <c r="R286" s="163"/>
    </row>
    <row r="287" spans="1:18" ht="13.2">
      <c r="A287" s="375" t="s">
        <v>243</v>
      </c>
      <c r="B287" s="376" t="s">
        <v>244</v>
      </c>
      <c r="C287" s="165"/>
      <c r="D287" s="163"/>
      <c r="E287" s="165"/>
      <c r="F287" s="540"/>
      <c r="G287" s="540"/>
      <c r="H287" s="540"/>
      <c r="I287" s="540"/>
      <c r="J287" s="540"/>
      <c r="K287" s="540"/>
      <c r="L287" s="540"/>
      <c r="M287" s="540"/>
      <c r="N287" s="540"/>
      <c r="O287" s="540"/>
      <c r="P287" s="540"/>
      <c r="Q287" s="540"/>
      <c r="R287" s="163"/>
    </row>
    <row r="288" spans="1:18" ht="12">
      <c r="A288" s="33"/>
      <c r="B288" s="34"/>
      <c r="C288" s="165"/>
      <c r="D288" s="163"/>
      <c r="E288" s="165"/>
      <c r="F288" s="540"/>
      <c r="G288" s="540"/>
      <c r="H288" s="540"/>
      <c r="I288" s="540"/>
      <c r="J288" s="540"/>
      <c r="K288" s="540"/>
      <c r="L288" s="540"/>
      <c r="M288" s="540"/>
      <c r="N288" s="540"/>
      <c r="O288" s="540"/>
      <c r="P288" s="540"/>
      <c r="Q288" s="540"/>
      <c r="R288" s="163"/>
    </row>
    <row r="289" spans="1:18" ht="12">
      <c r="A289" s="33"/>
      <c r="B289" s="34"/>
      <c r="C289" s="165"/>
      <c r="D289" s="163"/>
      <c r="E289" s="165"/>
      <c r="F289" s="540"/>
      <c r="G289" s="540"/>
      <c r="H289" s="540"/>
      <c r="I289" s="540"/>
      <c r="J289" s="540"/>
      <c r="K289" s="540"/>
      <c r="L289" s="540"/>
      <c r="M289" s="540"/>
      <c r="N289" s="540"/>
      <c r="O289" s="540"/>
      <c r="P289" s="540"/>
      <c r="Q289" s="540"/>
      <c r="R289" s="163"/>
    </row>
    <row r="290" spans="1:18" ht="12">
      <c r="A290" s="33"/>
      <c r="B290" s="31"/>
      <c r="C290" s="165"/>
      <c r="D290" s="163"/>
      <c r="E290" s="165"/>
      <c r="F290" s="540"/>
      <c r="G290" s="540"/>
      <c r="H290" s="540"/>
      <c r="I290" s="540"/>
      <c r="J290" s="540"/>
      <c r="K290" s="540"/>
      <c r="L290" s="540"/>
      <c r="M290" s="540"/>
      <c r="N290" s="540"/>
      <c r="O290" s="540"/>
      <c r="P290" s="540"/>
      <c r="Q290" s="540"/>
      <c r="R290" s="163"/>
    </row>
    <row r="291" spans="1:18" ht="12">
      <c r="E291" s="165"/>
      <c r="F291" s="540"/>
      <c r="G291" s="540"/>
      <c r="H291" s="540"/>
      <c r="I291" s="540"/>
      <c r="J291" s="540"/>
      <c r="K291" s="540"/>
      <c r="L291" s="540"/>
      <c r="M291" s="540"/>
      <c r="N291" s="540"/>
      <c r="O291" s="540"/>
      <c r="P291" s="540"/>
      <c r="Q291" s="540"/>
      <c r="R291" s="163"/>
    </row>
    <row r="292" spans="1:18" ht="12">
      <c r="E292" s="165"/>
      <c r="F292" s="540"/>
      <c r="G292" s="540"/>
      <c r="H292" s="540"/>
      <c r="I292" s="540"/>
      <c r="J292" s="540"/>
      <c r="K292" s="540"/>
      <c r="L292" s="540"/>
      <c r="M292" s="540"/>
      <c r="N292" s="540"/>
      <c r="O292" s="540"/>
      <c r="P292" s="540"/>
      <c r="Q292" s="540"/>
      <c r="R292" s="163"/>
    </row>
    <row r="293" spans="1:18" ht="12">
      <c r="E293" s="165"/>
      <c r="F293" s="540"/>
      <c r="G293" s="540"/>
      <c r="H293" s="540"/>
      <c r="I293" s="540"/>
      <c r="J293" s="540"/>
      <c r="K293" s="540"/>
      <c r="L293" s="540"/>
      <c r="M293" s="540"/>
      <c r="N293" s="540"/>
      <c r="O293" s="540"/>
      <c r="P293" s="540"/>
      <c r="Q293" s="540"/>
      <c r="R293" s="163"/>
    </row>
    <row r="294" spans="1:18" ht="12">
      <c r="E294" s="165"/>
      <c r="F294" s="540"/>
      <c r="G294" s="540"/>
      <c r="H294" s="540"/>
      <c r="I294" s="540"/>
      <c r="J294" s="540"/>
      <c r="K294" s="540"/>
      <c r="L294" s="540"/>
      <c r="M294" s="540"/>
      <c r="N294" s="540"/>
      <c r="O294" s="540"/>
      <c r="P294" s="540"/>
      <c r="Q294" s="540"/>
      <c r="R294" s="163"/>
    </row>
    <row r="295" spans="1:18" ht="12">
      <c r="E295" s="165"/>
      <c r="F295" s="540"/>
      <c r="G295" s="540"/>
      <c r="H295" s="540"/>
      <c r="I295" s="540"/>
      <c r="J295" s="540"/>
      <c r="K295" s="540"/>
      <c r="L295" s="540"/>
      <c r="M295" s="540"/>
      <c r="N295" s="540"/>
      <c r="O295" s="540"/>
      <c r="P295" s="540"/>
      <c r="Q295" s="540"/>
      <c r="R295" s="163"/>
    </row>
    <row r="296" spans="1:18" ht="12">
      <c r="E296" s="165"/>
      <c r="F296" s="540"/>
      <c r="G296" s="540"/>
      <c r="H296" s="540"/>
      <c r="I296" s="540"/>
      <c r="J296" s="540"/>
      <c r="K296" s="540"/>
      <c r="L296" s="540"/>
      <c r="M296" s="540"/>
      <c r="N296" s="540"/>
      <c r="O296" s="540"/>
      <c r="P296" s="540"/>
      <c r="Q296" s="540"/>
      <c r="R296" s="163"/>
    </row>
    <row r="297" spans="1:18" ht="12">
      <c r="E297" s="165"/>
      <c r="F297" s="540"/>
      <c r="G297" s="540"/>
      <c r="H297" s="540"/>
      <c r="I297" s="540"/>
      <c r="J297" s="540"/>
      <c r="K297" s="540"/>
      <c r="L297" s="540"/>
      <c r="M297" s="540"/>
      <c r="N297" s="540"/>
      <c r="O297" s="540"/>
      <c r="P297" s="540"/>
      <c r="Q297" s="540"/>
      <c r="R297" s="163"/>
    </row>
    <row r="298" spans="1:18" ht="12">
      <c r="E298" s="165"/>
      <c r="F298" s="540"/>
      <c r="G298" s="540"/>
      <c r="H298" s="540"/>
      <c r="I298" s="540"/>
      <c r="J298" s="540"/>
      <c r="K298" s="540"/>
      <c r="L298" s="540"/>
      <c r="M298" s="540"/>
      <c r="N298" s="540"/>
      <c r="O298" s="540"/>
      <c r="P298" s="540"/>
      <c r="Q298" s="540"/>
      <c r="R298" s="163"/>
    </row>
    <row r="299" spans="1:18" ht="12">
      <c r="E299" s="165"/>
      <c r="F299" s="540"/>
      <c r="G299" s="540"/>
      <c r="H299" s="540"/>
      <c r="I299" s="540"/>
      <c r="J299" s="540"/>
      <c r="K299" s="540"/>
      <c r="L299" s="540"/>
      <c r="M299" s="540"/>
      <c r="N299" s="540"/>
      <c r="O299" s="540"/>
      <c r="P299" s="540"/>
      <c r="Q299" s="540"/>
      <c r="R299" s="163"/>
    </row>
    <row r="300" spans="1:18" ht="12">
      <c r="E300" s="165"/>
      <c r="F300" s="540"/>
      <c r="G300" s="540"/>
      <c r="H300" s="540"/>
      <c r="I300" s="540"/>
      <c r="J300" s="540"/>
      <c r="K300" s="540"/>
      <c r="L300" s="540"/>
      <c r="M300" s="540"/>
      <c r="N300" s="540"/>
      <c r="O300" s="540"/>
      <c r="P300" s="540"/>
      <c r="Q300" s="540"/>
      <c r="R300" s="163"/>
    </row>
    <row r="301" spans="1:18" ht="12">
      <c r="E301" s="165"/>
      <c r="F301" s="540"/>
      <c r="G301" s="540"/>
      <c r="H301" s="540"/>
      <c r="I301" s="540"/>
      <c r="J301" s="540"/>
      <c r="K301" s="540"/>
      <c r="L301" s="540"/>
      <c r="M301" s="540"/>
      <c r="N301" s="540"/>
      <c r="O301" s="540"/>
      <c r="P301" s="540"/>
      <c r="Q301" s="540"/>
      <c r="R301" s="163"/>
    </row>
    <row r="302" spans="1:18" ht="12">
      <c r="E302" s="165"/>
      <c r="F302" s="540"/>
      <c r="G302" s="540"/>
      <c r="H302" s="540"/>
      <c r="I302" s="540"/>
      <c r="J302" s="540"/>
      <c r="K302" s="540"/>
      <c r="L302" s="540"/>
      <c r="M302" s="540"/>
      <c r="N302" s="540"/>
      <c r="O302" s="540"/>
      <c r="P302" s="540"/>
      <c r="Q302" s="540"/>
      <c r="R302" s="163"/>
    </row>
    <row r="303" spans="1:18" ht="12">
      <c r="E303" s="165"/>
      <c r="F303" s="540"/>
      <c r="G303" s="540"/>
      <c r="H303" s="540"/>
      <c r="I303" s="540"/>
      <c r="J303" s="540"/>
      <c r="K303" s="540"/>
      <c r="L303" s="540"/>
      <c r="M303" s="540"/>
      <c r="N303" s="540"/>
      <c r="O303" s="540"/>
      <c r="P303" s="540"/>
      <c r="Q303" s="540"/>
      <c r="R303" s="163"/>
    </row>
    <row r="304" spans="1:18" ht="12">
      <c r="E304" s="165"/>
      <c r="F304" s="540"/>
      <c r="G304" s="540"/>
      <c r="H304" s="540"/>
      <c r="I304" s="540"/>
      <c r="J304" s="540"/>
      <c r="K304" s="540"/>
      <c r="L304" s="540"/>
      <c r="M304" s="540"/>
      <c r="N304" s="540"/>
      <c r="O304" s="540"/>
      <c r="P304" s="540"/>
      <c r="Q304" s="540"/>
      <c r="R304" s="163"/>
    </row>
    <row r="305" spans="5:18" ht="12">
      <c r="E305" s="165"/>
      <c r="F305" s="540"/>
      <c r="G305" s="540"/>
      <c r="H305" s="540"/>
      <c r="I305" s="540"/>
      <c r="J305" s="540"/>
      <c r="K305" s="540"/>
      <c r="L305" s="540"/>
      <c r="M305" s="540"/>
      <c r="N305" s="540"/>
      <c r="O305" s="540"/>
      <c r="P305" s="540"/>
      <c r="Q305" s="540"/>
      <c r="R305" s="163"/>
    </row>
    <row r="306" spans="5:18" ht="12">
      <c r="E306" s="165"/>
      <c r="F306" s="540"/>
      <c r="G306" s="540"/>
      <c r="H306" s="540"/>
      <c r="I306" s="540"/>
      <c r="J306" s="540"/>
      <c r="K306" s="540"/>
      <c r="L306" s="540"/>
      <c r="M306" s="540"/>
      <c r="N306" s="540"/>
      <c r="O306" s="540"/>
      <c r="P306" s="540"/>
      <c r="Q306" s="540"/>
      <c r="R306" s="163"/>
    </row>
    <row r="307" spans="5:18" ht="12">
      <c r="E307" s="165"/>
      <c r="F307" s="540"/>
      <c r="G307" s="540"/>
      <c r="H307" s="540"/>
      <c r="I307" s="540"/>
      <c r="J307" s="540"/>
      <c r="K307" s="540"/>
      <c r="L307" s="540"/>
      <c r="M307" s="540"/>
      <c r="N307" s="540"/>
      <c r="O307" s="540"/>
      <c r="P307" s="540"/>
      <c r="Q307" s="540"/>
      <c r="R307" s="163"/>
    </row>
    <row r="308" spans="5:18" ht="12">
      <c r="E308" s="165"/>
      <c r="F308" s="540"/>
      <c r="G308" s="540"/>
      <c r="H308" s="540"/>
      <c r="I308" s="540"/>
      <c r="J308" s="540"/>
      <c r="K308" s="540"/>
      <c r="L308" s="540"/>
      <c r="M308" s="540"/>
      <c r="N308" s="540"/>
      <c r="O308" s="540"/>
      <c r="P308" s="540"/>
      <c r="Q308" s="540"/>
      <c r="R308" s="163"/>
    </row>
    <row r="309" spans="5:18" ht="12">
      <c r="E309" s="165"/>
      <c r="F309" s="540"/>
      <c r="G309" s="540"/>
      <c r="H309" s="540"/>
      <c r="I309" s="540"/>
      <c r="J309" s="540"/>
      <c r="K309" s="540"/>
      <c r="L309" s="540"/>
      <c r="M309" s="540"/>
      <c r="N309" s="540"/>
      <c r="O309" s="540"/>
      <c r="P309" s="540"/>
      <c r="Q309" s="540"/>
      <c r="R309" s="163"/>
    </row>
    <row r="310" spans="5:18" ht="12">
      <c r="E310" s="165"/>
      <c r="F310" s="540"/>
      <c r="G310" s="540"/>
      <c r="H310" s="540"/>
      <c r="I310" s="540"/>
      <c r="J310" s="540"/>
      <c r="K310" s="540"/>
      <c r="L310" s="540"/>
      <c r="M310" s="540"/>
      <c r="N310" s="540"/>
      <c r="O310" s="540"/>
      <c r="P310" s="540"/>
      <c r="Q310" s="540"/>
      <c r="R310" s="163"/>
    </row>
    <row r="311" spans="5:18" ht="12">
      <c r="E311" s="165"/>
      <c r="F311" s="540"/>
      <c r="G311" s="540"/>
      <c r="H311" s="540"/>
      <c r="I311" s="540"/>
      <c r="J311" s="540"/>
      <c r="K311" s="540"/>
      <c r="L311" s="540"/>
      <c r="M311" s="540"/>
      <c r="N311" s="540"/>
      <c r="O311" s="540"/>
      <c r="P311" s="540"/>
      <c r="Q311" s="540"/>
      <c r="R311" s="163"/>
    </row>
    <row r="312" spans="5:18" ht="12">
      <c r="E312" s="165"/>
      <c r="F312" s="540"/>
      <c r="G312" s="540"/>
      <c r="H312" s="540"/>
      <c r="I312" s="540"/>
      <c r="J312" s="540"/>
      <c r="K312" s="540"/>
      <c r="L312" s="540"/>
      <c r="M312" s="540"/>
      <c r="N312" s="540"/>
      <c r="O312" s="540"/>
      <c r="P312" s="540"/>
      <c r="Q312" s="540"/>
      <c r="R312" s="163"/>
    </row>
    <row r="313" spans="5:18" ht="12">
      <c r="E313" s="165"/>
      <c r="F313" s="540"/>
      <c r="G313" s="540"/>
      <c r="H313" s="540"/>
      <c r="I313" s="540"/>
      <c r="J313" s="540"/>
      <c r="K313" s="540"/>
      <c r="L313" s="540"/>
      <c r="M313" s="540"/>
      <c r="N313" s="540"/>
      <c r="O313" s="540"/>
      <c r="P313" s="540"/>
      <c r="Q313" s="540"/>
      <c r="R313" s="163"/>
    </row>
    <row r="314" spans="5:18" ht="12">
      <c r="E314" s="165"/>
      <c r="F314" s="540"/>
      <c r="G314" s="540"/>
      <c r="H314" s="540"/>
      <c r="I314" s="540"/>
      <c r="J314" s="540"/>
      <c r="K314" s="540"/>
      <c r="L314" s="540"/>
      <c r="M314" s="540"/>
      <c r="N314" s="540"/>
      <c r="O314" s="540"/>
      <c r="P314" s="540"/>
      <c r="Q314" s="540"/>
      <c r="R314" s="163"/>
    </row>
    <row r="315" spans="5:18" ht="12">
      <c r="E315" s="165"/>
      <c r="F315" s="540"/>
      <c r="G315" s="540"/>
      <c r="H315" s="540"/>
      <c r="I315" s="540"/>
      <c r="J315" s="540"/>
      <c r="K315" s="540"/>
      <c r="L315" s="540"/>
      <c r="M315" s="540"/>
      <c r="N315" s="540"/>
      <c r="O315" s="540"/>
      <c r="P315" s="540"/>
      <c r="Q315" s="540"/>
      <c r="R315" s="163"/>
    </row>
    <row r="316" spans="5:18" ht="12">
      <c r="E316" s="165"/>
      <c r="F316" s="540"/>
      <c r="G316" s="540"/>
      <c r="H316" s="540"/>
      <c r="I316" s="540"/>
      <c r="J316" s="540"/>
      <c r="K316" s="540"/>
      <c r="L316" s="540"/>
      <c r="M316" s="540"/>
      <c r="N316" s="540"/>
      <c r="O316" s="540"/>
      <c r="P316" s="540"/>
      <c r="Q316" s="540"/>
      <c r="R316" s="163"/>
    </row>
    <row r="317" spans="5:18" ht="12">
      <c r="E317" s="165"/>
      <c r="F317" s="540"/>
      <c r="G317" s="540"/>
      <c r="H317" s="540"/>
      <c r="I317" s="540"/>
      <c r="J317" s="540"/>
      <c r="K317" s="540"/>
      <c r="L317" s="540"/>
      <c r="M317" s="540"/>
      <c r="N317" s="540"/>
      <c r="O317" s="540"/>
      <c r="P317" s="540"/>
      <c r="Q317" s="540"/>
      <c r="R317" s="163"/>
    </row>
    <row r="318" spans="5:18" ht="12">
      <c r="E318" s="165"/>
      <c r="F318" s="540"/>
      <c r="G318" s="540"/>
      <c r="H318" s="540"/>
      <c r="I318" s="540"/>
      <c r="J318" s="540"/>
      <c r="K318" s="540"/>
      <c r="L318" s="540"/>
      <c r="M318" s="540"/>
      <c r="N318" s="540"/>
      <c r="O318" s="540"/>
      <c r="P318" s="540"/>
      <c r="Q318" s="540"/>
      <c r="R318" s="163"/>
    </row>
    <row r="319" spans="5:18" ht="12">
      <c r="E319" s="165"/>
      <c r="F319" s="540"/>
      <c r="G319" s="540"/>
      <c r="H319" s="540"/>
      <c r="I319" s="540"/>
      <c r="J319" s="540"/>
      <c r="K319" s="540"/>
      <c r="L319" s="540"/>
      <c r="M319" s="540"/>
      <c r="N319" s="540"/>
      <c r="O319" s="540"/>
      <c r="P319" s="540"/>
      <c r="Q319" s="540"/>
      <c r="R319" s="163"/>
    </row>
    <row r="320" spans="5:18" ht="12">
      <c r="E320" s="165"/>
      <c r="F320" s="540"/>
      <c r="G320" s="540"/>
      <c r="H320" s="540"/>
      <c r="I320" s="540"/>
      <c r="J320" s="540"/>
      <c r="K320" s="540"/>
      <c r="L320" s="540"/>
      <c r="M320" s="540"/>
      <c r="N320" s="540"/>
      <c r="O320" s="540"/>
      <c r="P320" s="540"/>
      <c r="Q320" s="540"/>
      <c r="R320" s="163"/>
    </row>
    <row r="321" spans="5:18" ht="12">
      <c r="E321" s="165"/>
      <c r="F321" s="540"/>
      <c r="G321" s="540"/>
      <c r="H321" s="540"/>
      <c r="I321" s="540"/>
      <c r="J321" s="540"/>
      <c r="K321" s="540"/>
      <c r="L321" s="540"/>
      <c r="M321" s="540"/>
      <c r="N321" s="540"/>
      <c r="O321" s="540"/>
      <c r="P321" s="540"/>
      <c r="Q321" s="540"/>
      <c r="R321" s="163"/>
    </row>
    <row r="322" spans="5:18" ht="12">
      <c r="E322" s="165"/>
      <c r="F322" s="540"/>
      <c r="G322" s="540"/>
      <c r="H322" s="540"/>
      <c r="I322" s="540"/>
      <c r="J322" s="540"/>
      <c r="K322" s="540"/>
      <c r="L322" s="540"/>
      <c r="M322" s="540"/>
      <c r="N322" s="540"/>
      <c r="O322" s="540"/>
      <c r="P322" s="540"/>
      <c r="Q322" s="540"/>
      <c r="R322" s="163"/>
    </row>
    <row r="323" spans="5:18" ht="12">
      <c r="E323" s="165"/>
      <c r="F323" s="540"/>
      <c r="G323" s="540"/>
      <c r="H323" s="540"/>
      <c r="I323" s="540"/>
      <c r="J323" s="540"/>
      <c r="K323" s="540"/>
      <c r="L323" s="540"/>
      <c r="M323" s="540"/>
      <c r="N323" s="540"/>
      <c r="O323" s="540"/>
      <c r="P323" s="540"/>
      <c r="Q323" s="540"/>
      <c r="R323" s="163"/>
    </row>
    <row r="324" spans="5:18" ht="12">
      <c r="E324" s="165"/>
      <c r="F324" s="540"/>
      <c r="G324" s="540"/>
      <c r="H324" s="540"/>
      <c r="I324" s="540"/>
      <c r="J324" s="540"/>
      <c r="K324" s="540"/>
      <c r="L324" s="540"/>
      <c r="M324" s="540"/>
      <c r="N324" s="540"/>
      <c r="O324" s="540"/>
      <c r="P324" s="540"/>
      <c r="Q324" s="540"/>
      <c r="R324" s="163"/>
    </row>
    <row r="325" spans="5:18" ht="12">
      <c r="E325" s="165"/>
      <c r="F325" s="540"/>
      <c r="G325" s="540"/>
      <c r="H325" s="540"/>
      <c r="I325" s="540"/>
      <c r="J325" s="540"/>
      <c r="K325" s="540"/>
      <c r="L325" s="540"/>
      <c r="M325" s="540"/>
      <c r="N325" s="540"/>
      <c r="O325" s="540"/>
      <c r="P325" s="540"/>
      <c r="Q325" s="540"/>
      <c r="R325" s="163"/>
    </row>
    <row r="326" spans="5:18" ht="12">
      <c r="E326" s="165"/>
      <c r="F326" s="540"/>
      <c r="G326" s="540"/>
      <c r="H326" s="540"/>
      <c r="I326" s="540"/>
      <c r="J326" s="540"/>
      <c r="K326" s="540"/>
      <c r="L326" s="540"/>
      <c r="M326" s="540"/>
      <c r="N326" s="540"/>
      <c r="O326" s="540"/>
      <c r="P326" s="540"/>
      <c r="Q326" s="540"/>
      <c r="R326" s="163"/>
    </row>
    <row r="327" spans="5:18" ht="12">
      <c r="E327" s="165"/>
      <c r="F327" s="540"/>
      <c r="G327" s="540"/>
      <c r="H327" s="540"/>
      <c r="I327" s="540"/>
      <c r="J327" s="540"/>
      <c r="K327" s="540"/>
      <c r="L327" s="540"/>
      <c r="M327" s="540"/>
      <c r="N327" s="540"/>
      <c r="O327" s="540"/>
      <c r="P327" s="540"/>
      <c r="Q327" s="540"/>
      <c r="R327" s="163"/>
    </row>
    <row r="328" spans="5:18" ht="12">
      <c r="E328" s="165"/>
      <c r="F328" s="540"/>
      <c r="G328" s="540"/>
      <c r="H328" s="540"/>
      <c r="I328" s="540"/>
      <c r="J328" s="540"/>
      <c r="K328" s="540"/>
      <c r="L328" s="540"/>
      <c r="M328" s="540"/>
      <c r="N328" s="540"/>
      <c r="O328" s="540"/>
      <c r="P328" s="540"/>
      <c r="Q328" s="540"/>
      <c r="R328" s="163"/>
    </row>
    <row r="329" spans="5:18" ht="12">
      <c r="E329" s="165"/>
      <c r="F329" s="540"/>
      <c r="G329" s="540"/>
      <c r="H329" s="540"/>
      <c r="I329" s="540"/>
      <c r="J329" s="540"/>
      <c r="K329" s="540"/>
      <c r="L329" s="540"/>
      <c r="M329" s="540"/>
      <c r="N329" s="540"/>
      <c r="O329" s="540"/>
      <c r="P329" s="540"/>
      <c r="Q329" s="540"/>
      <c r="R329" s="163"/>
    </row>
    <row r="330" spans="5:18" ht="12">
      <c r="E330" s="165"/>
      <c r="F330" s="540"/>
      <c r="G330" s="540"/>
      <c r="H330" s="540"/>
      <c r="I330" s="540"/>
      <c r="J330" s="540"/>
      <c r="K330" s="540"/>
      <c r="L330" s="540"/>
      <c r="M330" s="540"/>
      <c r="N330" s="540"/>
      <c r="O330" s="540"/>
      <c r="P330" s="540"/>
      <c r="Q330" s="540"/>
      <c r="R330" s="163"/>
    </row>
    <row r="331" spans="5:18" ht="12">
      <c r="E331" s="165"/>
      <c r="F331" s="540"/>
      <c r="G331" s="540"/>
      <c r="H331" s="540"/>
      <c r="I331" s="540"/>
      <c r="J331" s="540"/>
      <c r="K331" s="540"/>
      <c r="L331" s="540"/>
      <c r="M331" s="540"/>
      <c r="N331" s="540"/>
      <c r="O331" s="540"/>
      <c r="P331" s="540"/>
      <c r="Q331" s="540"/>
      <c r="R331" s="163"/>
    </row>
    <row r="332" spans="5:18" ht="12">
      <c r="E332" s="165"/>
      <c r="F332" s="540"/>
      <c r="G332" s="540"/>
      <c r="H332" s="540"/>
      <c r="I332" s="540"/>
      <c r="J332" s="540"/>
      <c r="K332" s="540"/>
      <c r="L332" s="540"/>
      <c r="M332" s="540"/>
      <c r="N332" s="540"/>
      <c r="O332" s="540"/>
      <c r="P332" s="540"/>
      <c r="Q332" s="540"/>
      <c r="R332" s="163"/>
    </row>
    <row r="333" spans="5:18" ht="12">
      <c r="E333" s="165"/>
      <c r="F333" s="540"/>
      <c r="G333" s="540"/>
      <c r="H333" s="540"/>
      <c r="I333" s="540"/>
      <c r="J333" s="540"/>
      <c r="K333" s="540"/>
      <c r="L333" s="540"/>
      <c r="M333" s="540"/>
      <c r="N333" s="540"/>
      <c r="O333" s="540"/>
      <c r="P333" s="540"/>
      <c r="Q333" s="540"/>
      <c r="R333" s="163"/>
    </row>
    <row r="334" spans="5:18" ht="12">
      <c r="E334" s="165"/>
      <c r="F334" s="540"/>
      <c r="G334" s="540"/>
      <c r="H334" s="540"/>
      <c r="I334" s="540"/>
      <c r="J334" s="540"/>
      <c r="K334" s="540"/>
      <c r="L334" s="540"/>
      <c r="M334" s="540"/>
      <c r="N334" s="540"/>
      <c r="O334" s="540"/>
      <c r="P334" s="540"/>
      <c r="Q334" s="540"/>
      <c r="R334" s="163"/>
    </row>
    <row r="335" spans="5:18" ht="12">
      <c r="E335" s="165"/>
      <c r="F335" s="540"/>
      <c r="G335" s="540"/>
      <c r="H335" s="540"/>
      <c r="I335" s="540"/>
      <c r="J335" s="540"/>
      <c r="K335" s="540"/>
      <c r="L335" s="540"/>
      <c r="M335" s="540"/>
      <c r="N335" s="540"/>
      <c r="O335" s="540"/>
      <c r="P335" s="540"/>
      <c r="Q335" s="540"/>
      <c r="R335" s="163"/>
    </row>
    <row r="336" spans="5:18" ht="12">
      <c r="E336" s="165"/>
      <c r="F336" s="540"/>
      <c r="G336" s="540"/>
      <c r="H336" s="540"/>
      <c r="I336" s="540"/>
      <c r="J336" s="540"/>
      <c r="K336" s="540"/>
      <c r="L336" s="540"/>
      <c r="M336" s="540"/>
      <c r="N336" s="540"/>
      <c r="O336" s="540"/>
      <c r="P336" s="540"/>
      <c r="Q336" s="540"/>
      <c r="R336" s="163"/>
    </row>
    <row r="337" spans="5:18" ht="12">
      <c r="E337" s="165"/>
      <c r="F337" s="540"/>
      <c r="G337" s="540"/>
      <c r="H337" s="540"/>
      <c r="I337" s="540"/>
      <c r="J337" s="540"/>
      <c r="K337" s="540"/>
      <c r="L337" s="540"/>
      <c r="M337" s="540"/>
      <c r="N337" s="540"/>
      <c r="O337" s="540"/>
      <c r="P337" s="540"/>
      <c r="Q337" s="540"/>
      <c r="R337" s="163"/>
    </row>
    <row r="338" spans="5:18" ht="12">
      <c r="E338" s="165"/>
      <c r="F338" s="540"/>
      <c r="G338" s="540"/>
      <c r="H338" s="540"/>
      <c r="I338" s="540"/>
      <c r="J338" s="540"/>
      <c r="K338" s="540"/>
      <c r="L338" s="540"/>
      <c r="M338" s="540"/>
      <c r="N338" s="540"/>
      <c r="O338" s="540"/>
      <c r="P338" s="540"/>
      <c r="Q338" s="540"/>
      <c r="R338" s="163"/>
    </row>
    <row r="339" spans="5:18" ht="12">
      <c r="E339" s="165"/>
      <c r="F339" s="540"/>
      <c r="G339" s="540"/>
      <c r="H339" s="540"/>
      <c r="I339" s="540"/>
      <c r="J339" s="540"/>
      <c r="K339" s="540"/>
      <c r="L339" s="540"/>
      <c r="M339" s="540"/>
      <c r="N339" s="540"/>
      <c r="O339" s="540"/>
      <c r="P339" s="540"/>
      <c r="Q339" s="540"/>
      <c r="R339" s="163"/>
    </row>
    <row r="340" spans="5:18" ht="12">
      <c r="E340" s="165"/>
      <c r="F340" s="540"/>
      <c r="G340" s="540"/>
      <c r="H340" s="540"/>
      <c r="I340" s="540"/>
      <c r="J340" s="540"/>
      <c r="K340" s="540"/>
      <c r="L340" s="540"/>
      <c r="M340" s="540"/>
      <c r="N340" s="540"/>
      <c r="O340" s="540"/>
      <c r="P340" s="540"/>
      <c r="Q340" s="540"/>
      <c r="R340" s="163"/>
    </row>
    <row r="341" spans="5:18" ht="12">
      <c r="E341" s="165"/>
      <c r="F341" s="540"/>
      <c r="G341" s="540"/>
      <c r="H341" s="540"/>
      <c r="I341" s="540"/>
      <c r="J341" s="540"/>
      <c r="K341" s="540"/>
      <c r="L341" s="540"/>
      <c r="M341" s="540"/>
      <c r="N341" s="540"/>
      <c r="O341" s="540"/>
      <c r="P341" s="540"/>
      <c r="Q341" s="540"/>
      <c r="R341" s="163"/>
    </row>
    <row r="342" spans="5:18" ht="12">
      <c r="E342" s="165"/>
      <c r="F342" s="540"/>
      <c r="G342" s="540"/>
      <c r="H342" s="540"/>
      <c r="I342" s="540"/>
      <c r="J342" s="540"/>
      <c r="K342" s="540"/>
      <c r="L342" s="540"/>
      <c r="M342" s="540"/>
      <c r="N342" s="540"/>
      <c r="O342" s="540"/>
      <c r="P342" s="540"/>
      <c r="Q342" s="540"/>
      <c r="R342" s="163"/>
    </row>
    <row r="343" spans="5:18" ht="12">
      <c r="E343" s="165"/>
      <c r="F343" s="540"/>
      <c r="G343" s="540"/>
      <c r="H343" s="540"/>
      <c r="I343" s="540"/>
      <c r="J343" s="540"/>
      <c r="K343" s="540"/>
      <c r="L343" s="540"/>
      <c r="M343" s="540"/>
      <c r="N343" s="540"/>
      <c r="O343" s="540"/>
      <c r="P343" s="540"/>
      <c r="Q343" s="540"/>
      <c r="R343" s="163"/>
    </row>
    <row r="344" spans="5:18" ht="12">
      <c r="E344" s="165"/>
      <c r="F344" s="540"/>
      <c r="G344" s="540"/>
      <c r="H344" s="540"/>
      <c r="I344" s="540"/>
      <c r="J344" s="540"/>
      <c r="K344" s="540"/>
      <c r="L344" s="540"/>
      <c r="M344" s="540"/>
      <c r="N344" s="540"/>
      <c r="O344" s="540"/>
      <c r="P344" s="540"/>
      <c r="Q344" s="540"/>
      <c r="R344" s="163"/>
    </row>
    <row r="345" spans="5:18" ht="12">
      <c r="E345" s="165"/>
      <c r="F345" s="540"/>
      <c r="G345" s="540"/>
      <c r="H345" s="540"/>
      <c r="I345" s="540"/>
      <c r="J345" s="540"/>
      <c r="K345" s="540"/>
      <c r="L345" s="540"/>
      <c r="M345" s="540"/>
      <c r="N345" s="540"/>
      <c r="O345" s="540"/>
      <c r="P345" s="540"/>
      <c r="Q345" s="540"/>
      <c r="R345" s="163"/>
    </row>
    <row r="346" spans="5:18" ht="12">
      <c r="E346" s="165"/>
      <c r="F346" s="540"/>
      <c r="G346" s="540"/>
      <c r="H346" s="540"/>
      <c r="I346" s="540"/>
      <c r="J346" s="540"/>
      <c r="K346" s="540"/>
      <c r="L346" s="540"/>
      <c r="M346" s="540"/>
      <c r="N346" s="540"/>
      <c r="O346" s="540"/>
      <c r="P346" s="540"/>
      <c r="Q346" s="540"/>
      <c r="R346" s="163"/>
    </row>
    <row r="347" spans="5:18" ht="12">
      <c r="E347" s="165"/>
      <c r="F347" s="540"/>
      <c r="G347" s="540"/>
      <c r="H347" s="540"/>
      <c r="I347" s="540"/>
      <c r="J347" s="540"/>
      <c r="K347" s="540"/>
      <c r="L347" s="540"/>
      <c r="M347" s="540"/>
      <c r="N347" s="540"/>
      <c r="O347" s="540"/>
      <c r="P347" s="540"/>
      <c r="Q347" s="540"/>
      <c r="R347" s="163"/>
    </row>
    <row r="348" spans="5:18" ht="12">
      <c r="E348" s="165"/>
      <c r="F348" s="540"/>
      <c r="G348" s="540"/>
      <c r="H348" s="540"/>
      <c r="I348" s="540"/>
      <c r="J348" s="540"/>
      <c r="K348" s="540"/>
      <c r="L348" s="540"/>
      <c r="M348" s="540"/>
      <c r="N348" s="540"/>
      <c r="O348" s="540"/>
      <c r="P348" s="540"/>
      <c r="Q348" s="540"/>
      <c r="R348" s="163"/>
    </row>
    <row r="349" spans="5:18" ht="12">
      <c r="E349" s="165"/>
      <c r="F349" s="540"/>
      <c r="G349" s="540"/>
      <c r="H349" s="540"/>
      <c r="I349" s="540"/>
      <c r="J349" s="540"/>
      <c r="K349" s="540"/>
      <c r="L349" s="540"/>
      <c r="M349" s="540"/>
      <c r="N349" s="540"/>
      <c r="O349" s="540"/>
      <c r="P349" s="540"/>
      <c r="Q349" s="540"/>
      <c r="R349" s="163"/>
    </row>
    <row r="350" spans="5:18" ht="12">
      <c r="E350" s="165"/>
      <c r="F350" s="540"/>
      <c r="G350" s="540"/>
      <c r="H350" s="540"/>
      <c r="I350" s="540"/>
      <c r="J350" s="540"/>
      <c r="K350" s="540"/>
      <c r="L350" s="540"/>
      <c r="M350" s="540"/>
      <c r="N350" s="540"/>
      <c r="O350" s="540"/>
      <c r="P350" s="540"/>
      <c r="Q350" s="540"/>
      <c r="R350" s="163"/>
    </row>
    <row r="351" spans="5:18" ht="12">
      <c r="E351" s="165"/>
      <c r="F351" s="540"/>
      <c r="G351" s="540"/>
      <c r="H351" s="540"/>
      <c r="I351" s="540"/>
      <c r="J351" s="540"/>
      <c r="K351" s="540"/>
      <c r="L351" s="540"/>
      <c r="M351" s="540"/>
      <c r="N351" s="540"/>
      <c r="O351" s="540"/>
      <c r="P351" s="540"/>
      <c r="Q351" s="540"/>
      <c r="R351" s="163"/>
    </row>
    <row r="352" spans="5:18" ht="12">
      <c r="E352" s="165"/>
      <c r="F352" s="540"/>
      <c r="G352" s="540"/>
      <c r="H352" s="540"/>
      <c r="I352" s="540"/>
      <c r="J352" s="540"/>
      <c r="K352" s="540"/>
      <c r="L352" s="540"/>
      <c r="M352" s="540"/>
      <c r="N352" s="540"/>
      <c r="O352" s="540"/>
      <c r="P352" s="540"/>
      <c r="Q352" s="540"/>
      <c r="R352" s="163"/>
    </row>
    <row r="353" spans="5:18" ht="12">
      <c r="E353" s="165"/>
      <c r="F353" s="540"/>
      <c r="G353" s="540"/>
      <c r="H353" s="540"/>
      <c r="I353" s="540"/>
      <c r="J353" s="540"/>
      <c r="K353" s="540"/>
      <c r="L353" s="540"/>
      <c r="M353" s="540"/>
      <c r="N353" s="540"/>
      <c r="O353" s="540"/>
      <c r="P353" s="540"/>
      <c r="Q353" s="540"/>
      <c r="R353" s="163"/>
    </row>
    <row r="354" spans="5:18" ht="12">
      <c r="E354" s="165"/>
      <c r="F354" s="540"/>
      <c r="G354" s="540"/>
      <c r="H354" s="540"/>
      <c r="I354" s="540"/>
      <c r="J354" s="540"/>
      <c r="K354" s="540"/>
      <c r="L354" s="540"/>
      <c r="M354" s="540"/>
      <c r="N354" s="540"/>
      <c r="O354" s="540"/>
      <c r="P354" s="540"/>
      <c r="Q354" s="540"/>
      <c r="R354" s="163"/>
    </row>
    <row r="355" spans="5:18" ht="12">
      <c r="E355" s="165"/>
      <c r="F355" s="540"/>
      <c r="G355" s="540"/>
      <c r="H355" s="540"/>
      <c r="I355" s="540"/>
      <c r="J355" s="540"/>
      <c r="K355" s="540"/>
      <c r="L355" s="540"/>
      <c r="M355" s="540"/>
      <c r="N355" s="540"/>
      <c r="O355" s="540"/>
      <c r="P355" s="540"/>
      <c r="Q355" s="540"/>
      <c r="R355" s="163"/>
    </row>
    <row r="356" spans="5:18" ht="12">
      <c r="E356" s="165"/>
      <c r="F356" s="540"/>
      <c r="G356" s="540"/>
      <c r="H356" s="540"/>
      <c r="I356" s="540"/>
      <c r="J356" s="540"/>
      <c r="K356" s="540"/>
      <c r="L356" s="540"/>
      <c r="M356" s="540"/>
      <c r="N356" s="540"/>
      <c r="O356" s="540"/>
      <c r="P356" s="540"/>
      <c r="Q356" s="540"/>
      <c r="R356" s="163"/>
    </row>
    <row r="357" spans="5:18" ht="12">
      <c r="E357" s="165"/>
      <c r="F357" s="540"/>
      <c r="G357" s="540"/>
      <c r="H357" s="540"/>
      <c r="I357" s="540"/>
      <c r="J357" s="540"/>
      <c r="K357" s="540"/>
      <c r="L357" s="540"/>
      <c r="M357" s="540"/>
      <c r="N357" s="540"/>
      <c r="O357" s="540"/>
      <c r="P357" s="540"/>
      <c r="Q357" s="540"/>
      <c r="R357" s="163"/>
    </row>
    <row r="358" spans="5:18" ht="12">
      <c r="E358" s="165"/>
      <c r="F358" s="540"/>
      <c r="G358" s="540"/>
      <c r="H358" s="540"/>
      <c r="I358" s="540"/>
      <c r="J358" s="540"/>
      <c r="K358" s="540"/>
      <c r="L358" s="540"/>
      <c r="M358" s="540"/>
      <c r="N358" s="540"/>
      <c r="O358" s="540"/>
      <c r="P358" s="540"/>
      <c r="Q358" s="540"/>
      <c r="R358" s="163"/>
    </row>
    <row r="359" spans="5:18" ht="12">
      <c r="E359" s="165"/>
      <c r="F359" s="540"/>
      <c r="G359" s="540"/>
      <c r="H359" s="540"/>
      <c r="I359" s="540"/>
      <c r="J359" s="540"/>
      <c r="K359" s="540"/>
      <c r="L359" s="540"/>
      <c r="M359" s="540"/>
      <c r="N359" s="540"/>
      <c r="O359" s="540"/>
      <c r="P359" s="540"/>
      <c r="Q359" s="540"/>
      <c r="R359" s="163"/>
    </row>
    <row r="360" spans="5:18" ht="12">
      <c r="E360" s="165"/>
      <c r="F360" s="540"/>
      <c r="G360" s="540"/>
      <c r="H360" s="540"/>
      <c r="I360" s="540"/>
      <c r="J360" s="540"/>
      <c r="K360" s="540"/>
      <c r="L360" s="540"/>
      <c r="M360" s="540"/>
      <c r="N360" s="540"/>
      <c r="O360" s="540"/>
      <c r="P360" s="540"/>
      <c r="Q360" s="540"/>
      <c r="R360" s="163"/>
    </row>
    <row r="361" spans="5:18" ht="12">
      <c r="E361" s="165"/>
      <c r="F361" s="540"/>
      <c r="G361" s="540"/>
      <c r="H361" s="540"/>
      <c r="I361" s="540"/>
      <c r="J361" s="540"/>
      <c r="K361" s="540"/>
      <c r="L361" s="540"/>
      <c r="M361" s="540"/>
      <c r="N361" s="540"/>
      <c r="O361" s="540"/>
      <c r="P361" s="540"/>
      <c r="Q361" s="540"/>
      <c r="R361" s="163"/>
    </row>
    <row r="362" spans="5:18" ht="12">
      <c r="E362" s="165"/>
      <c r="F362" s="540"/>
      <c r="G362" s="540"/>
      <c r="H362" s="540"/>
      <c r="I362" s="540"/>
      <c r="J362" s="540"/>
      <c r="K362" s="540"/>
      <c r="L362" s="540"/>
      <c r="M362" s="540"/>
      <c r="N362" s="540"/>
      <c r="O362" s="540"/>
      <c r="P362" s="540"/>
      <c r="Q362" s="540"/>
      <c r="R362" s="163"/>
    </row>
    <row r="363" spans="5:18" ht="12">
      <c r="E363" s="165"/>
      <c r="F363" s="540"/>
      <c r="G363" s="540"/>
      <c r="H363" s="540"/>
      <c r="I363" s="540"/>
      <c r="J363" s="540"/>
      <c r="K363" s="540"/>
      <c r="L363" s="540"/>
      <c r="M363" s="540"/>
      <c r="N363" s="540"/>
      <c r="O363" s="540"/>
      <c r="P363" s="540"/>
      <c r="Q363" s="540"/>
      <c r="R363" s="163"/>
    </row>
    <row r="364" spans="5:18" ht="12">
      <c r="E364" s="165"/>
      <c r="F364" s="540"/>
      <c r="G364" s="540"/>
      <c r="H364" s="540"/>
      <c r="I364" s="540"/>
      <c r="J364" s="540"/>
      <c r="K364" s="540"/>
      <c r="L364" s="540"/>
      <c r="M364" s="540"/>
      <c r="N364" s="540"/>
      <c r="O364" s="540"/>
      <c r="P364" s="540"/>
      <c r="Q364" s="540"/>
      <c r="R364" s="163"/>
    </row>
    <row r="365" spans="5:18">
      <c r="E365" s="35"/>
      <c r="F365" s="542"/>
      <c r="G365" s="542"/>
      <c r="H365" s="543"/>
      <c r="I365" s="542"/>
      <c r="J365" s="542"/>
      <c r="K365" s="542"/>
      <c r="L365" s="542"/>
      <c r="M365" s="543"/>
      <c r="N365" s="542"/>
      <c r="O365" s="542"/>
      <c r="P365" s="542"/>
      <c r="Q365" s="542"/>
      <c r="R365" s="36"/>
    </row>
    <row r="366" spans="5:18">
      <c r="E366" s="35"/>
      <c r="F366" s="542"/>
      <c r="G366" s="542"/>
      <c r="H366" s="543"/>
      <c r="I366" s="542"/>
      <c r="J366" s="542"/>
      <c r="K366" s="542"/>
      <c r="L366" s="542"/>
      <c r="M366" s="543"/>
      <c r="N366" s="542"/>
      <c r="O366" s="542"/>
      <c r="P366" s="542"/>
      <c r="Q366" s="542"/>
      <c r="R366" s="36"/>
    </row>
    <row r="367" spans="5:18">
      <c r="E367" s="35"/>
      <c r="F367" s="542"/>
      <c r="G367" s="542"/>
      <c r="H367" s="543"/>
      <c r="I367" s="542"/>
      <c r="J367" s="542"/>
      <c r="K367" s="542"/>
      <c r="L367" s="542"/>
      <c r="M367" s="543"/>
      <c r="N367" s="542"/>
      <c r="O367" s="542"/>
      <c r="P367" s="542"/>
      <c r="Q367" s="542"/>
      <c r="R367" s="36"/>
    </row>
    <row r="368" spans="5:18">
      <c r="E368" s="35"/>
      <c r="F368" s="542"/>
      <c r="G368" s="542"/>
      <c r="H368" s="543"/>
      <c r="I368" s="542"/>
      <c r="J368" s="542"/>
      <c r="K368" s="542"/>
      <c r="L368" s="542"/>
      <c r="M368" s="543"/>
      <c r="N368" s="542"/>
      <c r="O368" s="542"/>
      <c r="P368" s="542"/>
      <c r="Q368" s="542"/>
      <c r="R368" s="36"/>
    </row>
    <row r="369" spans="5:18">
      <c r="E369" s="35"/>
      <c r="F369" s="542"/>
      <c r="G369" s="542"/>
      <c r="H369" s="543"/>
      <c r="I369" s="542"/>
      <c r="J369" s="542"/>
      <c r="K369" s="542"/>
      <c r="L369" s="542"/>
      <c r="M369" s="543"/>
      <c r="N369" s="542"/>
      <c r="O369" s="542"/>
      <c r="P369" s="542"/>
      <c r="Q369" s="542"/>
      <c r="R369" s="36"/>
    </row>
    <row r="370" spans="5:18">
      <c r="E370" s="35"/>
      <c r="F370" s="542"/>
      <c r="G370" s="542"/>
      <c r="H370" s="543"/>
      <c r="I370" s="542"/>
      <c r="J370" s="542"/>
      <c r="K370" s="542"/>
      <c r="L370" s="542"/>
      <c r="M370" s="543"/>
      <c r="N370" s="542"/>
      <c r="O370" s="542"/>
      <c r="P370" s="542"/>
      <c r="Q370" s="542"/>
      <c r="R370" s="36"/>
    </row>
    <row r="371" spans="5:18">
      <c r="E371" s="35"/>
      <c r="F371" s="542"/>
      <c r="G371" s="542"/>
      <c r="H371" s="543"/>
      <c r="I371" s="542"/>
      <c r="J371" s="542"/>
      <c r="K371" s="542"/>
      <c r="L371" s="542"/>
      <c r="M371" s="543"/>
      <c r="N371" s="542"/>
      <c r="O371" s="542"/>
      <c r="P371" s="542"/>
      <c r="Q371" s="542"/>
      <c r="R371" s="36"/>
    </row>
    <row r="372" spans="5:18">
      <c r="E372" s="35"/>
      <c r="F372" s="542"/>
      <c r="G372" s="542"/>
      <c r="H372" s="543"/>
      <c r="I372" s="542"/>
      <c r="J372" s="542"/>
      <c r="K372" s="542"/>
      <c r="L372" s="542"/>
      <c r="M372" s="543"/>
      <c r="N372" s="542"/>
      <c r="O372" s="542"/>
      <c r="P372" s="542"/>
      <c r="Q372" s="542"/>
      <c r="R372" s="36"/>
    </row>
    <row r="373" spans="5:18">
      <c r="E373" s="35"/>
      <c r="F373" s="542"/>
      <c r="G373" s="542"/>
      <c r="H373" s="543"/>
      <c r="I373" s="542"/>
      <c r="J373" s="542"/>
      <c r="K373" s="542"/>
      <c r="L373" s="542"/>
      <c r="M373" s="543"/>
      <c r="N373" s="542"/>
      <c r="O373" s="542"/>
      <c r="P373" s="542"/>
      <c r="Q373" s="542"/>
      <c r="R373" s="36"/>
    </row>
    <row r="374" spans="5:18">
      <c r="E374" s="35"/>
      <c r="F374" s="542"/>
      <c r="G374" s="542"/>
      <c r="H374" s="543"/>
      <c r="I374" s="542"/>
      <c r="J374" s="542"/>
      <c r="K374" s="542"/>
      <c r="L374" s="542"/>
      <c r="M374" s="543"/>
      <c r="N374" s="542"/>
      <c r="O374" s="542"/>
      <c r="P374" s="542"/>
      <c r="Q374" s="542"/>
      <c r="R374" s="36"/>
    </row>
    <row r="375" spans="5:18">
      <c r="E375" s="35"/>
      <c r="F375" s="542"/>
      <c r="G375" s="542"/>
      <c r="H375" s="543"/>
      <c r="I375" s="542"/>
      <c r="J375" s="542"/>
      <c r="K375" s="542"/>
      <c r="L375" s="542"/>
      <c r="M375" s="543"/>
      <c r="N375" s="542"/>
      <c r="O375" s="542"/>
      <c r="P375" s="542"/>
      <c r="Q375" s="542"/>
      <c r="R375" s="36"/>
    </row>
    <row r="376" spans="5:18">
      <c r="E376" s="35"/>
      <c r="F376" s="542"/>
      <c r="G376" s="542"/>
      <c r="H376" s="543"/>
      <c r="I376" s="542"/>
      <c r="J376" s="542"/>
      <c r="K376" s="542"/>
      <c r="L376" s="542"/>
      <c r="M376" s="543"/>
      <c r="N376" s="542"/>
      <c r="O376" s="542"/>
      <c r="P376" s="542"/>
      <c r="Q376" s="542"/>
      <c r="R376" s="36"/>
    </row>
    <row r="377" spans="5:18">
      <c r="E377" s="35"/>
      <c r="F377" s="542"/>
      <c r="G377" s="542"/>
      <c r="H377" s="543"/>
      <c r="I377" s="542"/>
      <c r="J377" s="542"/>
      <c r="K377" s="542"/>
      <c r="L377" s="542"/>
      <c r="M377" s="543"/>
      <c r="N377" s="542"/>
      <c r="O377" s="542"/>
      <c r="P377" s="542"/>
      <c r="Q377" s="542"/>
      <c r="R377" s="36"/>
    </row>
    <row r="378" spans="5:18">
      <c r="E378" s="35"/>
      <c r="F378" s="542"/>
      <c r="G378" s="542"/>
      <c r="H378" s="543"/>
      <c r="I378" s="542"/>
      <c r="J378" s="542"/>
      <c r="K378" s="542"/>
      <c r="L378" s="542"/>
      <c r="M378" s="543"/>
      <c r="N378" s="542"/>
      <c r="O378" s="542"/>
      <c r="P378" s="542"/>
      <c r="Q378" s="542"/>
      <c r="R378" s="36"/>
    </row>
    <row r="379" spans="5:18">
      <c r="E379" s="35"/>
      <c r="F379" s="542"/>
      <c r="G379" s="542"/>
      <c r="H379" s="543"/>
      <c r="I379" s="542"/>
      <c r="J379" s="542"/>
      <c r="K379" s="542"/>
      <c r="L379" s="542"/>
      <c r="M379" s="543"/>
      <c r="N379" s="542"/>
      <c r="O379" s="542"/>
      <c r="P379" s="542"/>
      <c r="Q379" s="542"/>
      <c r="R379" s="36"/>
    </row>
    <row r="380" spans="5:18">
      <c r="E380" s="35"/>
      <c r="F380" s="542"/>
      <c r="G380" s="542"/>
      <c r="H380" s="543"/>
      <c r="I380" s="542"/>
      <c r="J380" s="542"/>
      <c r="K380" s="542"/>
      <c r="L380" s="542"/>
      <c r="M380" s="543"/>
      <c r="N380" s="542"/>
      <c r="O380" s="542"/>
      <c r="P380" s="542"/>
      <c r="Q380" s="542"/>
      <c r="R380" s="36"/>
    </row>
    <row r="381" spans="5:18">
      <c r="E381" s="35"/>
      <c r="F381" s="542"/>
      <c r="G381" s="542"/>
      <c r="H381" s="543"/>
      <c r="I381" s="542"/>
      <c r="J381" s="542"/>
      <c r="K381" s="542"/>
      <c r="L381" s="542"/>
      <c r="M381" s="543"/>
      <c r="N381" s="542"/>
      <c r="O381" s="542"/>
      <c r="P381" s="542"/>
      <c r="Q381" s="542"/>
      <c r="R381" s="36"/>
    </row>
    <row r="382" spans="5:18">
      <c r="E382" s="35"/>
      <c r="F382" s="542"/>
      <c r="G382" s="542"/>
      <c r="H382" s="543"/>
      <c r="I382" s="542"/>
      <c r="J382" s="542"/>
      <c r="K382" s="542"/>
      <c r="L382" s="542"/>
      <c r="M382" s="543"/>
      <c r="N382" s="542"/>
      <c r="O382" s="542"/>
      <c r="P382" s="542"/>
      <c r="Q382" s="542"/>
      <c r="R382" s="36"/>
    </row>
    <row r="383" spans="5:18">
      <c r="E383" s="35"/>
      <c r="F383" s="542"/>
      <c r="G383" s="542"/>
      <c r="H383" s="543"/>
      <c r="I383" s="542"/>
      <c r="J383" s="542"/>
      <c r="K383" s="542"/>
      <c r="L383" s="542"/>
      <c r="M383" s="543"/>
      <c r="N383" s="542"/>
      <c r="O383" s="542"/>
      <c r="P383" s="542"/>
      <c r="Q383" s="542"/>
      <c r="R383" s="36"/>
    </row>
    <row r="384" spans="5:18">
      <c r="E384" s="35"/>
      <c r="F384" s="542"/>
      <c r="G384" s="542"/>
      <c r="H384" s="543"/>
      <c r="I384" s="542"/>
      <c r="J384" s="542"/>
      <c r="K384" s="542"/>
      <c r="L384" s="542"/>
      <c r="M384" s="543"/>
      <c r="N384" s="542"/>
      <c r="O384" s="542"/>
      <c r="P384" s="542"/>
      <c r="Q384" s="542"/>
      <c r="R384" s="36"/>
    </row>
    <row r="385" spans="5:18">
      <c r="E385" s="35"/>
      <c r="F385" s="542"/>
      <c r="G385" s="542"/>
      <c r="H385" s="543"/>
      <c r="I385" s="542"/>
      <c r="J385" s="542"/>
      <c r="K385" s="542"/>
      <c r="L385" s="542"/>
      <c r="M385" s="543"/>
      <c r="N385" s="542"/>
      <c r="O385" s="542"/>
      <c r="P385" s="542"/>
      <c r="Q385" s="542"/>
      <c r="R385" s="36"/>
    </row>
    <row r="386" spans="5:18">
      <c r="E386" s="35"/>
      <c r="F386" s="542"/>
      <c r="G386" s="542"/>
      <c r="H386" s="543"/>
      <c r="I386" s="542"/>
      <c r="J386" s="542"/>
      <c r="K386" s="542"/>
      <c r="L386" s="542"/>
      <c r="M386" s="543"/>
      <c r="N386" s="542"/>
      <c r="O386" s="542"/>
      <c r="P386" s="542"/>
      <c r="Q386" s="542"/>
      <c r="R386" s="36"/>
    </row>
    <row r="387" spans="5:18">
      <c r="E387" s="35"/>
      <c r="F387" s="542"/>
      <c r="G387" s="542"/>
      <c r="H387" s="543"/>
      <c r="I387" s="542"/>
      <c r="J387" s="542"/>
      <c r="K387" s="542"/>
      <c r="L387" s="542"/>
      <c r="M387" s="543"/>
      <c r="N387" s="542"/>
      <c r="O387" s="542"/>
      <c r="P387" s="542"/>
      <c r="Q387" s="542"/>
      <c r="R387" s="36"/>
    </row>
    <row r="388" spans="5:18">
      <c r="E388" s="35"/>
      <c r="F388" s="542"/>
      <c r="G388" s="542"/>
      <c r="H388" s="543"/>
      <c r="I388" s="542"/>
      <c r="J388" s="542"/>
      <c r="K388" s="542"/>
      <c r="L388" s="542"/>
      <c r="M388" s="543"/>
      <c r="N388" s="542"/>
      <c r="O388" s="542"/>
      <c r="P388" s="542"/>
      <c r="Q388" s="542"/>
      <c r="R388" s="36"/>
    </row>
    <row r="389" spans="5:18">
      <c r="E389" s="35"/>
      <c r="F389" s="542"/>
      <c r="G389" s="542"/>
      <c r="H389" s="543"/>
      <c r="I389" s="542"/>
      <c r="J389" s="542"/>
      <c r="K389" s="542"/>
      <c r="L389" s="542"/>
      <c r="M389" s="543"/>
      <c r="N389" s="542"/>
      <c r="O389" s="542"/>
      <c r="P389" s="542"/>
      <c r="Q389" s="542"/>
      <c r="R389" s="36"/>
    </row>
    <row r="390" spans="5:18">
      <c r="E390" s="35"/>
      <c r="F390" s="542"/>
      <c r="G390" s="542"/>
      <c r="H390" s="543"/>
      <c r="I390" s="542"/>
      <c r="J390" s="542"/>
      <c r="K390" s="542"/>
      <c r="L390" s="542"/>
      <c r="M390" s="543"/>
      <c r="N390" s="542"/>
      <c r="O390" s="542"/>
      <c r="P390" s="542"/>
      <c r="Q390" s="542"/>
      <c r="R390" s="36"/>
    </row>
    <row r="391" spans="5:18">
      <c r="E391" s="35"/>
      <c r="F391" s="542"/>
      <c r="G391" s="542"/>
      <c r="H391" s="543"/>
      <c r="I391" s="542"/>
      <c r="J391" s="542"/>
      <c r="K391" s="542"/>
      <c r="L391" s="542"/>
      <c r="M391" s="543"/>
      <c r="N391" s="542"/>
      <c r="O391" s="542"/>
      <c r="P391" s="542"/>
      <c r="Q391" s="542"/>
      <c r="R391" s="36"/>
    </row>
    <row r="392" spans="5:18">
      <c r="E392" s="35"/>
      <c r="F392" s="542"/>
      <c r="G392" s="542"/>
      <c r="H392" s="543"/>
      <c r="I392" s="542"/>
      <c r="J392" s="542"/>
      <c r="K392" s="542"/>
      <c r="L392" s="542"/>
      <c r="M392" s="543"/>
      <c r="N392" s="542"/>
      <c r="O392" s="542"/>
      <c r="P392" s="542"/>
      <c r="Q392" s="542"/>
      <c r="R392" s="36"/>
    </row>
    <row r="393" spans="5:18">
      <c r="E393" s="35"/>
      <c r="F393" s="542"/>
      <c r="G393" s="542"/>
      <c r="H393" s="543"/>
      <c r="I393" s="542"/>
      <c r="J393" s="542"/>
      <c r="K393" s="542"/>
      <c r="L393" s="542"/>
      <c r="M393" s="543"/>
      <c r="N393" s="542"/>
      <c r="O393" s="542"/>
      <c r="P393" s="542"/>
      <c r="Q393" s="542"/>
      <c r="R393" s="36"/>
    </row>
    <row r="394" spans="5:18">
      <c r="E394" s="35"/>
      <c r="F394" s="542"/>
      <c r="G394" s="542"/>
      <c r="H394" s="543"/>
      <c r="I394" s="542"/>
      <c r="J394" s="542"/>
      <c r="K394" s="542"/>
      <c r="L394" s="542"/>
      <c r="M394" s="543"/>
      <c r="N394" s="542"/>
      <c r="O394" s="542"/>
      <c r="P394" s="542"/>
      <c r="Q394" s="542"/>
      <c r="R394" s="36"/>
    </row>
    <row r="395" spans="5:18">
      <c r="E395" s="35"/>
      <c r="F395" s="542"/>
      <c r="G395" s="542"/>
      <c r="H395" s="543"/>
      <c r="I395" s="542"/>
      <c r="J395" s="542"/>
      <c r="K395" s="542"/>
      <c r="L395" s="542"/>
      <c r="M395" s="543"/>
      <c r="N395" s="542"/>
      <c r="O395" s="542"/>
      <c r="P395" s="542"/>
      <c r="Q395" s="542"/>
      <c r="R395" s="36"/>
    </row>
    <row r="396" spans="5:18">
      <c r="E396" s="35"/>
      <c r="F396" s="542"/>
      <c r="G396" s="542"/>
      <c r="H396" s="543"/>
      <c r="I396" s="542"/>
      <c r="J396" s="542"/>
      <c r="K396" s="542"/>
      <c r="L396" s="542"/>
      <c r="M396" s="543"/>
      <c r="N396" s="542"/>
      <c r="O396" s="542"/>
      <c r="P396" s="542"/>
      <c r="Q396" s="542"/>
      <c r="R396" s="36"/>
    </row>
    <row r="397" spans="5:18">
      <c r="E397" s="35"/>
      <c r="F397" s="542"/>
      <c r="G397" s="542"/>
      <c r="H397" s="543"/>
      <c r="I397" s="542"/>
      <c r="J397" s="542"/>
      <c r="K397" s="542"/>
      <c r="L397" s="542"/>
      <c r="M397" s="543"/>
      <c r="N397" s="542"/>
      <c r="O397" s="542"/>
      <c r="P397" s="542"/>
      <c r="Q397" s="542"/>
      <c r="R397" s="36"/>
    </row>
    <row r="398" spans="5:18">
      <c r="E398" s="35"/>
      <c r="F398" s="542"/>
      <c r="G398" s="542"/>
      <c r="H398" s="543"/>
      <c r="I398" s="542"/>
      <c r="J398" s="542"/>
      <c r="K398" s="542"/>
      <c r="L398" s="542"/>
      <c r="M398" s="543"/>
      <c r="N398" s="542"/>
      <c r="O398" s="542"/>
      <c r="P398" s="542"/>
      <c r="Q398" s="542"/>
      <c r="R398" s="36"/>
    </row>
    <row r="399" spans="5:18">
      <c r="E399" s="35"/>
      <c r="F399" s="542"/>
      <c r="G399" s="542"/>
      <c r="H399" s="543"/>
      <c r="I399" s="542"/>
      <c r="J399" s="542"/>
      <c r="K399" s="542"/>
      <c r="L399" s="542"/>
      <c r="M399" s="543"/>
      <c r="N399" s="542"/>
      <c r="O399" s="542"/>
      <c r="P399" s="542"/>
      <c r="Q399" s="542"/>
      <c r="R399" s="36"/>
    </row>
    <row r="400" spans="5:18">
      <c r="E400" s="35"/>
      <c r="F400" s="542"/>
      <c r="G400" s="542"/>
      <c r="H400" s="543"/>
      <c r="I400" s="542"/>
      <c r="J400" s="542"/>
      <c r="K400" s="542"/>
      <c r="L400" s="542"/>
      <c r="M400" s="543"/>
      <c r="N400" s="542"/>
      <c r="O400" s="542"/>
      <c r="P400" s="542"/>
      <c r="Q400" s="542"/>
      <c r="R400" s="36"/>
    </row>
    <row r="401" spans="5:18">
      <c r="E401" s="35"/>
      <c r="F401" s="542"/>
      <c r="G401" s="542"/>
      <c r="H401" s="543"/>
      <c r="I401" s="542"/>
      <c r="J401" s="542"/>
      <c r="K401" s="542"/>
      <c r="L401" s="542"/>
      <c r="M401" s="543"/>
      <c r="N401" s="542"/>
      <c r="O401" s="542"/>
      <c r="P401" s="542"/>
      <c r="Q401" s="542"/>
      <c r="R401" s="36"/>
    </row>
    <row r="402" spans="5:18">
      <c r="E402" s="35"/>
      <c r="F402" s="542"/>
      <c r="G402" s="542"/>
      <c r="H402" s="543"/>
      <c r="I402" s="542"/>
      <c r="J402" s="542"/>
      <c r="K402" s="542"/>
      <c r="L402" s="542"/>
      <c r="M402" s="543"/>
      <c r="N402" s="542"/>
      <c r="O402" s="542"/>
      <c r="P402" s="542"/>
      <c r="Q402" s="542"/>
      <c r="R402" s="36"/>
    </row>
    <row r="403" spans="5:18">
      <c r="E403" s="35"/>
      <c r="F403" s="542"/>
      <c r="G403" s="542"/>
      <c r="H403" s="543"/>
      <c r="I403" s="542"/>
      <c r="J403" s="542"/>
      <c r="K403" s="542"/>
      <c r="L403" s="542"/>
      <c r="M403" s="543"/>
      <c r="N403" s="542"/>
      <c r="O403" s="542"/>
      <c r="P403" s="542"/>
      <c r="Q403" s="542"/>
      <c r="R403" s="36"/>
    </row>
    <row r="404" spans="5:18">
      <c r="E404" s="35"/>
      <c r="F404" s="542"/>
      <c r="G404" s="542"/>
      <c r="H404" s="543"/>
      <c r="I404" s="542"/>
      <c r="J404" s="542"/>
      <c r="K404" s="542"/>
      <c r="L404" s="542"/>
      <c r="M404" s="543"/>
      <c r="N404" s="542"/>
      <c r="O404" s="542"/>
      <c r="P404" s="542"/>
      <c r="Q404" s="542"/>
      <c r="R404" s="36"/>
    </row>
    <row r="405" spans="5:18">
      <c r="E405" s="35"/>
      <c r="F405" s="542"/>
      <c r="G405" s="542"/>
      <c r="H405" s="543"/>
      <c r="I405" s="542"/>
      <c r="J405" s="542"/>
      <c r="K405" s="542"/>
      <c r="L405" s="542"/>
      <c r="M405" s="543"/>
      <c r="N405" s="542"/>
      <c r="O405" s="542"/>
      <c r="P405" s="542"/>
      <c r="Q405" s="542"/>
      <c r="R405" s="36"/>
    </row>
    <row r="406" spans="5:18">
      <c r="E406" s="35"/>
      <c r="F406" s="542"/>
      <c r="G406" s="542"/>
      <c r="H406" s="543"/>
      <c r="I406" s="542"/>
      <c r="J406" s="542"/>
      <c r="K406" s="542"/>
      <c r="L406" s="542"/>
      <c r="M406" s="543"/>
      <c r="N406" s="542"/>
      <c r="O406" s="542"/>
      <c r="P406" s="542"/>
      <c r="Q406" s="542"/>
      <c r="R406" s="36"/>
    </row>
    <row r="407" spans="5:18">
      <c r="E407" s="35"/>
      <c r="F407" s="542"/>
      <c r="G407" s="542"/>
      <c r="H407" s="543"/>
      <c r="I407" s="542"/>
      <c r="J407" s="542"/>
      <c r="K407" s="542"/>
      <c r="L407" s="542"/>
      <c r="M407" s="543"/>
      <c r="N407" s="542"/>
      <c r="O407" s="542"/>
      <c r="P407" s="542"/>
      <c r="Q407" s="542"/>
      <c r="R407" s="36"/>
    </row>
    <row r="408" spans="5:18">
      <c r="E408" s="35"/>
      <c r="F408" s="542"/>
      <c r="G408" s="542"/>
      <c r="H408" s="543"/>
      <c r="I408" s="542"/>
      <c r="J408" s="542"/>
      <c r="K408" s="542"/>
      <c r="L408" s="542"/>
      <c r="M408" s="543"/>
      <c r="N408" s="542"/>
      <c r="O408" s="542"/>
      <c r="P408" s="542"/>
      <c r="Q408" s="542"/>
      <c r="R408" s="36"/>
    </row>
    <row r="409" spans="5:18">
      <c r="E409" s="35"/>
      <c r="F409" s="542"/>
      <c r="G409" s="542"/>
      <c r="H409" s="543"/>
      <c r="I409" s="542"/>
      <c r="J409" s="542"/>
      <c r="K409" s="542"/>
      <c r="L409" s="542"/>
      <c r="M409" s="543"/>
      <c r="N409" s="542"/>
      <c r="O409" s="542"/>
      <c r="P409" s="542"/>
      <c r="Q409" s="542"/>
      <c r="R409" s="36"/>
    </row>
    <row r="410" spans="5:18">
      <c r="E410" s="35"/>
      <c r="F410" s="542"/>
      <c r="G410" s="542"/>
      <c r="H410" s="543"/>
      <c r="I410" s="542"/>
      <c r="J410" s="542"/>
      <c r="K410" s="542"/>
      <c r="L410" s="542"/>
      <c r="M410" s="543"/>
      <c r="N410" s="542"/>
      <c r="O410" s="542"/>
      <c r="P410" s="542"/>
      <c r="Q410" s="542"/>
      <c r="R410" s="36"/>
    </row>
    <row r="411" spans="5:18">
      <c r="E411" s="35"/>
      <c r="F411" s="542"/>
      <c r="G411" s="542"/>
      <c r="H411" s="543"/>
      <c r="I411" s="542"/>
      <c r="J411" s="542"/>
      <c r="K411" s="542"/>
      <c r="L411" s="542"/>
      <c r="M411" s="543"/>
      <c r="N411" s="542"/>
      <c r="O411" s="542"/>
      <c r="P411" s="542"/>
      <c r="Q411" s="542"/>
      <c r="R411" s="36"/>
    </row>
    <row r="412" spans="5:18">
      <c r="E412" s="35"/>
      <c r="F412" s="542"/>
      <c r="G412" s="542"/>
      <c r="H412" s="543"/>
      <c r="I412" s="542"/>
      <c r="J412" s="542"/>
      <c r="K412" s="542"/>
      <c r="L412" s="542"/>
      <c r="M412" s="543"/>
      <c r="N412" s="542"/>
      <c r="O412" s="542"/>
      <c r="P412" s="542"/>
      <c r="Q412" s="542"/>
      <c r="R412" s="36"/>
    </row>
    <row r="413" spans="5:18">
      <c r="E413" s="35"/>
      <c r="F413" s="542"/>
      <c r="G413" s="542"/>
      <c r="H413" s="543"/>
      <c r="I413" s="542"/>
      <c r="J413" s="542"/>
      <c r="K413" s="542"/>
      <c r="L413" s="542"/>
      <c r="M413" s="543"/>
      <c r="N413" s="542"/>
      <c r="O413" s="542"/>
      <c r="P413" s="542"/>
      <c r="Q413" s="542"/>
      <c r="R413" s="36"/>
    </row>
    <row r="414" spans="5:18">
      <c r="E414" s="35"/>
      <c r="F414" s="542"/>
      <c r="G414" s="542"/>
      <c r="H414" s="543"/>
      <c r="I414" s="542"/>
      <c r="J414" s="542"/>
      <c r="K414" s="542"/>
      <c r="L414" s="542"/>
      <c r="M414" s="543"/>
      <c r="N414" s="542"/>
      <c r="O414" s="542"/>
      <c r="P414" s="542"/>
      <c r="Q414" s="542"/>
      <c r="R414" s="36"/>
    </row>
    <row r="415" spans="5:18">
      <c r="E415" s="35"/>
      <c r="F415" s="542"/>
      <c r="G415" s="542"/>
      <c r="H415" s="543"/>
      <c r="I415" s="542"/>
      <c r="J415" s="542"/>
      <c r="K415" s="542"/>
      <c r="L415" s="542"/>
      <c r="M415" s="543"/>
      <c r="N415" s="542"/>
      <c r="O415" s="542"/>
      <c r="P415" s="542"/>
      <c r="Q415" s="542"/>
      <c r="R415" s="36"/>
    </row>
    <row r="416" spans="5:18">
      <c r="E416" s="35"/>
      <c r="F416" s="542"/>
      <c r="G416" s="542"/>
      <c r="H416" s="543"/>
      <c r="I416" s="542"/>
      <c r="J416" s="542"/>
      <c r="K416" s="542"/>
      <c r="L416" s="542"/>
      <c r="M416" s="543"/>
      <c r="N416" s="542"/>
      <c r="O416" s="542"/>
      <c r="P416" s="542"/>
      <c r="Q416" s="542"/>
      <c r="R416" s="36"/>
    </row>
    <row r="417" spans="5:18">
      <c r="E417" s="35"/>
      <c r="F417" s="542"/>
      <c r="G417" s="542"/>
      <c r="H417" s="543"/>
      <c r="I417" s="542"/>
      <c r="J417" s="542"/>
      <c r="K417" s="542"/>
      <c r="L417" s="542"/>
      <c r="M417" s="543"/>
      <c r="N417" s="542"/>
      <c r="O417" s="542"/>
      <c r="P417" s="542"/>
      <c r="Q417" s="542"/>
      <c r="R417" s="36"/>
    </row>
    <row r="418" spans="5:18">
      <c r="E418" s="35"/>
      <c r="F418" s="542"/>
      <c r="G418" s="542"/>
      <c r="H418" s="543"/>
      <c r="I418" s="542"/>
      <c r="J418" s="542"/>
      <c r="K418" s="542"/>
      <c r="L418" s="542"/>
      <c r="M418" s="543"/>
      <c r="N418" s="542"/>
      <c r="O418" s="542"/>
      <c r="P418" s="542"/>
      <c r="Q418" s="542"/>
      <c r="R418" s="36"/>
    </row>
  </sheetData>
  <mergeCells count="23">
    <mergeCell ref="O5:Q5"/>
    <mergeCell ref="A5:A7"/>
    <mergeCell ref="B5:B7"/>
    <mergeCell ref="C5:C7"/>
    <mergeCell ref="R5:R7"/>
    <mergeCell ref="L6:L7"/>
    <mergeCell ref="O6:O7"/>
    <mergeCell ref="Q6:Q7"/>
    <mergeCell ref="J6:J7"/>
    <mergeCell ref="I5:I7"/>
    <mergeCell ref="J5:L5"/>
    <mergeCell ref="M5:M7"/>
    <mergeCell ref="N5:N7"/>
    <mergeCell ref="P6:P7"/>
    <mergeCell ref="K6:K7"/>
    <mergeCell ref="F6:F7"/>
    <mergeCell ref="B2:H2"/>
    <mergeCell ref="B3:H3"/>
    <mergeCell ref="D5:D7"/>
    <mergeCell ref="E5:G5"/>
    <mergeCell ref="H5:H7"/>
    <mergeCell ref="E6:E7"/>
    <mergeCell ref="G6:G7"/>
  </mergeCells>
  <phoneticPr fontId="4" type="noConversion"/>
  <pageMargins left="0.27559055118110237" right="0.19685039370078741" top="0.27559055118110237" bottom="0.27559055118110237" header="0.15748031496062992" footer="0.15748031496062992"/>
  <pageSetup paperSize="9" scale="60" orientation="landscape" r:id="rId1"/>
  <headerFooter alignWithMargins="0">
    <oddFooter>&amp;L&amp;F&amp;C&amp;P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rgb="FFFFC000"/>
  </sheetPr>
  <dimension ref="A1:S494"/>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C9" sqref="C9"/>
    </sheetView>
  </sheetViews>
  <sheetFormatPr defaultColWidth="9.109375" defaultRowHeight="10.199999999999999"/>
  <cols>
    <col min="1" max="1" width="11.33203125" style="21" customWidth="1"/>
    <col min="2" max="2" width="37.6640625" style="1" customWidth="1"/>
    <col min="3" max="3" width="12" style="22" customWidth="1"/>
    <col min="4" max="4" width="11.6640625" style="22"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9" width="11.6640625" style="3" customWidth="1"/>
    <col min="20" max="20" width="10.6640625" style="3" customWidth="1"/>
    <col min="21"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577"/>
      <c r="J2" s="577"/>
      <c r="K2" s="577"/>
      <c r="L2" s="577"/>
      <c r="M2" s="220"/>
      <c r="N2" s="577"/>
      <c r="O2" s="577"/>
      <c r="P2" s="577"/>
      <c r="Q2" s="577"/>
      <c r="R2" s="220"/>
    </row>
    <row r="3" spans="1:18" s="1" customFormat="1" ht="12.75" customHeight="1">
      <c r="A3" s="221"/>
      <c r="B3" s="1400" t="s">
        <v>489</v>
      </c>
      <c r="C3" s="1400"/>
      <c r="D3" s="1400"/>
      <c r="E3" s="1400"/>
      <c r="F3" s="1400"/>
      <c r="G3" s="1400"/>
      <c r="H3" s="1400"/>
      <c r="I3" s="578"/>
      <c r="J3" s="578"/>
      <c r="K3" s="578"/>
      <c r="L3" s="578"/>
      <c r="M3" s="220"/>
      <c r="N3" s="578"/>
      <c r="O3" s="578"/>
      <c r="P3" s="578"/>
      <c r="Q3" s="578"/>
      <c r="R3" s="220"/>
    </row>
    <row r="4" spans="1:18" s="1" customFormat="1" ht="13.2">
      <c r="A4" s="221"/>
      <c r="B4" s="578"/>
      <c r="C4" s="222"/>
      <c r="D4" s="578"/>
      <c r="E4" s="578"/>
      <c r="F4" s="578"/>
      <c r="G4" s="578"/>
      <c r="H4" s="578"/>
      <c r="I4" s="578"/>
      <c r="J4" s="578"/>
      <c r="K4" s="578"/>
      <c r="L4" s="578"/>
      <c r="M4" s="578"/>
      <c r="N4" s="578"/>
      <c r="O4" s="578"/>
      <c r="P4" s="578"/>
      <c r="Q4" s="578"/>
      <c r="R4" s="578"/>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8"/>
      <c r="B9" s="392" t="s">
        <v>13</v>
      </c>
      <c r="C9" s="387"/>
      <c r="D9" s="387"/>
      <c r="E9" s="226"/>
      <c r="F9" s="226"/>
      <c r="G9" s="226"/>
      <c r="H9" s="226"/>
      <c r="I9" s="365"/>
      <c r="J9" s="226"/>
      <c r="K9" s="226"/>
      <c r="L9" s="226"/>
      <c r="M9" s="226"/>
      <c r="N9" s="365"/>
      <c r="O9" s="226"/>
      <c r="P9" s="226"/>
      <c r="Q9" s="226"/>
      <c r="R9" s="226"/>
    </row>
    <row r="10" spans="1:18" s="4" customFormat="1" ht="20.399999999999999">
      <c r="A10" s="321" t="s">
        <v>201</v>
      </c>
      <c r="B10" s="322" t="s">
        <v>88</v>
      </c>
      <c r="C10" s="167">
        <v>104698927</v>
      </c>
      <c r="D10" s="167">
        <v>111114995</v>
      </c>
      <c r="E10" s="228">
        <f>E94+E178</f>
        <v>2275389</v>
      </c>
      <c r="F10" s="228">
        <f t="shared" ref="F10:G10" si="0">F94+F178</f>
        <v>6126028</v>
      </c>
      <c r="G10" s="228">
        <f t="shared" si="0"/>
        <v>543345</v>
      </c>
      <c r="H10" s="243">
        <f>SUM(D10:G10)</f>
        <v>120059757</v>
      </c>
      <c r="I10" s="228">
        <v>43841429</v>
      </c>
      <c r="J10" s="228">
        <f t="shared" ref="J10:L10" si="1">J94+J178</f>
        <v>2873774</v>
      </c>
      <c r="K10" s="228">
        <f t="shared" si="1"/>
        <v>6045112</v>
      </c>
      <c r="L10" s="228">
        <f t="shared" si="1"/>
        <v>691879</v>
      </c>
      <c r="M10" s="243">
        <f>SUM(I10:L10)</f>
        <v>53452194</v>
      </c>
      <c r="N10" s="228">
        <v>33578887</v>
      </c>
      <c r="O10" s="228">
        <f t="shared" ref="O10:Q10" si="2">O94+O178</f>
        <v>3034184</v>
      </c>
      <c r="P10" s="228">
        <f t="shared" si="2"/>
        <v>5655460</v>
      </c>
      <c r="Q10" s="228">
        <f t="shared" si="2"/>
        <v>539075</v>
      </c>
      <c r="R10" s="243">
        <f>SUM(N10:Q10)</f>
        <v>42807606</v>
      </c>
    </row>
    <row r="11" spans="1:18" ht="22.8">
      <c r="A11" s="130" t="s">
        <v>177</v>
      </c>
      <c r="B11" s="124" t="s">
        <v>90</v>
      </c>
      <c r="C11" s="169">
        <v>798470</v>
      </c>
      <c r="D11" s="169">
        <v>585000</v>
      </c>
      <c r="E11" s="231">
        <f>E95</f>
        <v>0</v>
      </c>
      <c r="F11" s="231">
        <f t="shared" ref="F11:G11" si="3">F95</f>
        <v>0</v>
      </c>
      <c r="G11" s="231">
        <f t="shared" si="3"/>
        <v>0</v>
      </c>
      <c r="H11" s="233">
        <f t="shared" ref="H11:H74" si="4">SUM(D11:G11)</f>
        <v>585000</v>
      </c>
      <c r="I11" s="231">
        <v>585000</v>
      </c>
      <c r="J11" s="231">
        <f t="shared" ref="J11:L11" si="5">J95</f>
        <v>0</v>
      </c>
      <c r="K11" s="231">
        <f t="shared" si="5"/>
        <v>0</v>
      </c>
      <c r="L11" s="231">
        <f t="shared" si="5"/>
        <v>0</v>
      </c>
      <c r="M11" s="233">
        <f t="shared" ref="M11:M74" si="6">SUM(I11:L11)</f>
        <v>585000</v>
      </c>
      <c r="N11" s="231">
        <v>585000</v>
      </c>
      <c r="O11" s="231">
        <f t="shared" ref="O11:Q11" si="7">O95</f>
        <v>0</v>
      </c>
      <c r="P11" s="231">
        <f t="shared" si="7"/>
        <v>0</v>
      </c>
      <c r="Q11" s="231">
        <f t="shared" si="7"/>
        <v>0</v>
      </c>
      <c r="R11" s="233">
        <f t="shared" ref="R11:R74" si="8">SUM(N11:Q11)</f>
        <v>585000</v>
      </c>
    </row>
    <row r="12" spans="1:18" ht="12">
      <c r="A12" s="130" t="s">
        <v>91</v>
      </c>
      <c r="B12" s="124" t="s">
        <v>92</v>
      </c>
      <c r="C12" s="169">
        <v>118372</v>
      </c>
      <c r="D12" s="169">
        <v>424870</v>
      </c>
      <c r="E12" s="231">
        <f>E180</f>
        <v>10382</v>
      </c>
      <c r="F12" s="231">
        <f t="shared" ref="F12:G13" si="9">F180</f>
        <v>0</v>
      </c>
      <c r="G12" s="231">
        <f t="shared" si="9"/>
        <v>0</v>
      </c>
      <c r="H12" s="233">
        <f t="shared" si="4"/>
        <v>435252</v>
      </c>
      <c r="I12" s="231">
        <v>215481</v>
      </c>
      <c r="J12" s="231">
        <f t="shared" ref="J12:L13" si="10">J180</f>
        <v>0</v>
      </c>
      <c r="K12" s="231">
        <f t="shared" si="10"/>
        <v>0</v>
      </c>
      <c r="L12" s="231">
        <f t="shared" si="10"/>
        <v>0</v>
      </c>
      <c r="M12" s="233">
        <f t="shared" si="6"/>
        <v>215481</v>
      </c>
      <c r="N12" s="231">
        <v>256757</v>
      </c>
      <c r="O12" s="231">
        <f t="shared" ref="O12:Q13" si="11">O180</f>
        <v>0</v>
      </c>
      <c r="P12" s="231">
        <f t="shared" si="11"/>
        <v>0</v>
      </c>
      <c r="Q12" s="231">
        <f t="shared" si="11"/>
        <v>0</v>
      </c>
      <c r="R12" s="233">
        <f t="shared" si="8"/>
        <v>256757</v>
      </c>
    </row>
    <row r="13" spans="1:18" ht="24">
      <c r="A13" s="131">
        <v>21210</v>
      </c>
      <c r="B13" s="125" t="s">
        <v>93</v>
      </c>
      <c r="C13" s="169">
        <v>90627</v>
      </c>
      <c r="D13" s="169">
        <v>160113</v>
      </c>
      <c r="E13" s="231">
        <f>E181</f>
        <v>0</v>
      </c>
      <c r="F13" s="231">
        <f t="shared" si="9"/>
        <v>0</v>
      </c>
      <c r="G13" s="231">
        <f t="shared" si="9"/>
        <v>0</v>
      </c>
      <c r="H13" s="233">
        <f t="shared" si="4"/>
        <v>160113</v>
      </c>
      <c r="I13" s="231">
        <v>105444</v>
      </c>
      <c r="J13" s="231">
        <f t="shared" si="10"/>
        <v>0</v>
      </c>
      <c r="K13" s="231">
        <f t="shared" si="10"/>
        <v>0</v>
      </c>
      <c r="L13" s="231">
        <f t="shared" si="10"/>
        <v>0</v>
      </c>
      <c r="M13" s="233">
        <f t="shared" si="6"/>
        <v>105444</v>
      </c>
      <c r="N13" s="231">
        <v>0</v>
      </c>
      <c r="O13" s="231">
        <f t="shared" si="11"/>
        <v>0</v>
      </c>
      <c r="P13" s="231">
        <f t="shared" si="11"/>
        <v>0</v>
      </c>
      <c r="Q13" s="231">
        <f t="shared" si="11"/>
        <v>0</v>
      </c>
      <c r="R13" s="233">
        <f t="shared" si="8"/>
        <v>0</v>
      </c>
    </row>
    <row r="14" spans="1:18" ht="21" hidden="1" customHeight="1">
      <c r="A14" s="130" t="s">
        <v>178</v>
      </c>
      <c r="B14" s="124" t="s">
        <v>94</v>
      </c>
      <c r="C14" s="171">
        <v>0</v>
      </c>
      <c r="D14" s="171">
        <v>0</v>
      </c>
      <c r="E14" s="233"/>
      <c r="F14" s="233"/>
      <c r="G14" s="233"/>
      <c r="H14" s="233">
        <f t="shared" si="4"/>
        <v>0</v>
      </c>
      <c r="I14" s="233">
        <v>0</v>
      </c>
      <c r="J14" s="233"/>
      <c r="K14" s="233"/>
      <c r="L14" s="233"/>
      <c r="M14" s="233">
        <f t="shared" si="6"/>
        <v>0</v>
      </c>
      <c r="N14" s="233">
        <v>0</v>
      </c>
      <c r="O14" s="233"/>
      <c r="P14" s="233"/>
      <c r="Q14" s="233"/>
      <c r="R14" s="233">
        <f t="shared" si="8"/>
        <v>0</v>
      </c>
    </row>
    <row r="15" spans="1:18" ht="12" hidden="1" customHeight="1">
      <c r="A15" s="132">
        <v>18000</v>
      </c>
      <c r="B15" s="125" t="s">
        <v>95</v>
      </c>
      <c r="C15" s="171">
        <v>0</v>
      </c>
      <c r="D15" s="171">
        <v>0</v>
      </c>
      <c r="E15" s="233"/>
      <c r="F15" s="233"/>
      <c r="G15" s="233"/>
      <c r="H15" s="233">
        <f t="shared" si="4"/>
        <v>0</v>
      </c>
      <c r="I15" s="233">
        <v>0</v>
      </c>
      <c r="J15" s="233"/>
      <c r="K15" s="233"/>
      <c r="L15" s="233"/>
      <c r="M15" s="233">
        <f t="shared" si="6"/>
        <v>0</v>
      </c>
      <c r="N15" s="233">
        <v>0</v>
      </c>
      <c r="O15" s="233"/>
      <c r="P15" s="233"/>
      <c r="Q15" s="233"/>
      <c r="R15" s="233">
        <f t="shared" si="8"/>
        <v>0</v>
      </c>
    </row>
    <row r="16" spans="1:18" ht="12" hidden="1" customHeight="1">
      <c r="A16" s="132">
        <v>18100</v>
      </c>
      <c r="B16" s="125" t="s">
        <v>96</v>
      </c>
      <c r="C16" s="171">
        <v>0</v>
      </c>
      <c r="D16" s="171">
        <v>0</v>
      </c>
      <c r="E16" s="233"/>
      <c r="F16" s="233"/>
      <c r="G16" s="233"/>
      <c r="H16" s="233">
        <f t="shared" si="4"/>
        <v>0</v>
      </c>
      <c r="I16" s="233">
        <v>0</v>
      </c>
      <c r="J16" s="233"/>
      <c r="K16" s="233"/>
      <c r="L16" s="233"/>
      <c r="M16" s="233">
        <f t="shared" si="6"/>
        <v>0</v>
      </c>
      <c r="N16" s="233">
        <v>0</v>
      </c>
      <c r="O16" s="233"/>
      <c r="P16" s="233"/>
      <c r="Q16" s="233"/>
      <c r="R16" s="233">
        <f t="shared" si="8"/>
        <v>0</v>
      </c>
    </row>
    <row r="17" spans="1:18" s="4" customFormat="1" ht="24" hidden="1" customHeight="1">
      <c r="A17" s="133">
        <v>18130</v>
      </c>
      <c r="B17" s="172" t="s">
        <v>159</v>
      </c>
      <c r="C17" s="171">
        <v>0</v>
      </c>
      <c r="D17" s="171">
        <v>0</v>
      </c>
      <c r="E17" s="233"/>
      <c r="F17" s="233"/>
      <c r="G17" s="233"/>
      <c r="H17" s="233">
        <f t="shared" si="4"/>
        <v>0</v>
      </c>
      <c r="I17" s="233">
        <v>0</v>
      </c>
      <c r="J17" s="233"/>
      <c r="K17" s="233"/>
      <c r="L17" s="233"/>
      <c r="M17" s="233">
        <f t="shared" si="6"/>
        <v>0</v>
      </c>
      <c r="N17" s="233">
        <v>0</v>
      </c>
      <c r="O17" s="233"/>
      <c r="P17" s="233"/>
      <c r="Q17" s="233"/>
      <c r="R17" s="233">
        <f t="shared" si="8"/>
        <v>0</v>
      </c>
    </row>
    <row r="18" spans="1:18" s="6" customFormat="1" ht="36" hidden="1" customHeight="1">
      <c r="A18" s="134">
        <v>18131</v>
      </c>
      <c r="B18" s="172" t="s">
        <v>160</v>
      </c>
      <c r="C18" s="171">
        <v>0</v>
      </c>
      <c r="D18" s="171">
        <v>0</v>
      </c>
      <c r="E18" s="233"/>
      <c r="F18" s="233"/>
      <c r="G18" s="233"/>
      <c r="H18" s="233">
        <f t="shared" si="4"/>
        <v>0</v>
      </c>
      <c r="I18" s="233">
        <v>0</v>
      </c>
      <c r="J18" s="233"/>
      <c r="K18" s="233"/>
      <c r="L18" s="233"/>
      <c r="M18" s="233">
        <f t="shared" si="6"/>
        <v>0</v>
      </c>
      <c r="N18" s="233">
        <v>0</v>
      </c>
      <c r="O18" s="233"/>
      <c r="P18" s="233"/>
      <c r="Q18" s="233"/>
      <c r="R18" s="233">
        <f t="shared" si="8"/>
        <v>0</v>
      </c>
    </row>
    <row r="19" spans="1:18" s="6" customFormat="1" ht="24" hidden="1" customHeight="1">
      <c r="A19" s="134">
        <v>18132</v>
      </c>
      <c r="B19" s="172" t="s">
        <v>169</v>
      </c>
      <c r="C19" s="171">
        <v>0</v>
      </c>
      <c r="D19" s="171">
        <v>0</v>
      </c>
      <c r="E19" s="233"/>
      <c r="F19" s="233"/>
      <c r="G19" s="233"/>
      <c r="H19" s="233">
        <f t="shared" si="4"/>
        <v>0</v>
      </c>
      <c r="I19" s="233">
        <v>0</v>
      </c>
      <c r="J19" s="233"/>
      <c r="K19" s="233"/>
      <c r="L19" s="233"/>
      <c r="M19" s="233">
        <f t="shared" si="6"/>
        <v>0</v>
      </c>
      <c r="N19" s="233">
        <v>0</v>
      </c>
      <c r="O19" s="233"/>
      <c r="P19" s="233"/>
      <c r="Q19" s="233"/>
      <c r="R19" s="233">
        <f t="shared" si="8"/>
        <v>0</v>
      </c>
    </row>
    <row r="20" spans="1:18" s="6" customFormat="1" ht="24" hidden="1" customHeight="1">
      <c r="A20" s="134">
        <v>18139</v>
      </c>
      <c r="B20" s="172" t="s">
        <v>179</v>
      </c>
      <c r="C20" s="171">
        <v>0</v>
      </c>
      <c r="D20" s="171">
        <v>0</v>
      </c>
      <c r="E20" s="233"/>
      <c r="F20" s="233"/>
      <c r="G20" s="233"/>
      <c r="H20" s="233">
        <f t="shared" si="4"/>
        <v>0</v>
      </c>
      <c r="I20" s="233">
        <v>0</v>
      </c>
      <c r="J20" s="233"/>
      <c r="K20" s="233"/>
      <c r="L20" s="233"/>
      <c r="M20" s="233">
        <f t="shared" si="6"/>
        <v>0</v>
      </c>
      <c r="N20" s="233">
        <v>0</v>
      </c>
      <c r="O20" s="233"/>
      <c r="P20" s="233"/>
      <c r="Q20" s="233"/>
      <c r="R20" s="233">
        <f t="shared" si="8"/>
        <v>0</v>
      </c>
    </row>
    <row r="21" spans="1:18" s="6" customFormat="1" ht="12" hidden="1" customHeight="1">
      <c r="A21" s="135" t="s">
        <v>180</v>
      </c>
      <c r="B21" s="173" t="s">
        <v>173</v>
      </c>
      <c r="C21" s="174">
        <v>0</v>
      </c>
      <c r="D21" s="174">
        <v>0</v>
      </c>
      <c r="E21" s="238"/>
      <c r="F21" s="238"/>
      <c r="G21" s="238"/>
      <c r="H21" s="233">
        <f t="shared" si="4"/>
        <v>0</v>
      </c>
      <c r="I21" s="238">
        <v>0</v>
      </c>
      <c r="J21" s="238"/>
      <c r="K21" s="238"/>
      <c r="L21" s="238"/>
      <c r="M21" s="233">
        <f t="shared" si="6"/>
        <v>0</v>
      </c>
      <c r="N21" s="238">
        <v>0</v>
      </c>
      <c r="O21" s="238"/>
      <c r="P21" s="238"/>
      <c r="Q21" s="238"/>
      <c r="R21" s="233">
        <f t="shared" si="8"/>
        <v>0</v>
      </c>
    </row>
    <row r="22" spans="1:18" s="6" customFormat="1" ht="24" hidden="1" customHeight="1">
      <c r="A22" s="135">
        <v>19500</v>
      </c>
      <c r="B22" s="172" t="s">
        <v>174</v>
      </c>
      <c r="C22" s="171">
        <v>0</v>
      </c>
      <c r="D22" s="171">
        <v>0</v>
      </c>
      <c r="E22" s="233"/>
      <c r="F22" s="233"/>
      <c r="G22" s="233"/>
      <c r="H22" s="233">
        <f t="shared" si="4"/>
        <v>0</v>
      </c>
      <c r="I22" s="233">
        <v>0</v>
      </c>
      <c r="J22" s="233"/>
      <c r="K22" s="233"/>
      <c r="L22" s="233"/>
      <c r="M22" s="233">
        <f t="shared" si="6"/>
        <v>0</v>
      </c>
      <c r="N22" s="233">
        <v>0</v>
      </c>
      <c r="O22" s="233"/>
      <c r="P22" s="233"/>
      <c r="Q22" s="233"/>
      <c r="R22" s="233">
        <f t="shared" si="8"/>
        <v>0</v>
      </c>
    </row>
    <row r="23" spans="1:18" s="6" customFormat="1" ht="24" hidden="1" customHeight="1">
      <c r="A23" s="136">
        <v>19550</v>
      </c>
      <c r="B23" s="172" t="s">
        <v>175</v>
      </c>
      <c r="C23" s="171">
        <v>0</v>
      </c>
      <c r="D23" s="171">
        <v>0</v>
      </c>
      <c r="E23" s="233"/>
      <c r="F23" s="233"/>
      <c r="G23" s="233"/>
      <c r="H23" s="233">
        <f t="shared" si="4"/>
        <v>0</v>
      </c>
      <c r="I23" s="233">
        <v>0</v>
      </c>
      <c r="J23" s="233"/>
      <c r="K23" s="233"/>
      <c r="L23" s="233"/>
      <c r="M23" s="233">
        <f t="shared" si="6"/>
        <v>0</v>
      </c>
      <c r="N23" s="233">
        <v>0</v>
      </c>
      <c r="O23" s="233"/>
      <c r="P23" s="233"/>
      <c r="Q23" s="233"/>
      <c r="R23" s="233">
        <f t="shared" si="8"/>
        <v>0</v>
      </c>
    </row>
    <row r="24" spans="1:18" s="6" customFormat="1" ht="36" hidden="1" customHeight="1">
      <c r="A24" s="136">
        <v>19560</v>
      </c>
      <c r="B24" s="172" t="s">
        <v>181</v>
      </c>
      <c r="C24" s="171">
        <v>0</v>
      </c>
      <c r="D24" s="171">
        <v>0</v>
      </c>
      <c r="E24" s="233"/>
      <c r="F24" s="233"/>
      <c r="G24" s="233"/>
      <c r="H24" s="233">
        <f t="shared" si="4"/>
        <v>0</v>
      </c>
      <c r="I24" s="233">
        <v>0</v>
      </c>
      <c r="J24" s="233"/>
      <c r="K24" s="233"/>
      <c r="L24" s="233"/>
      <c r="M24" s="233">
        <f t="shared" si="6"/>
        <v>0</v>
      </c>
      <c r="N24" s="233">
        <v>0</v>
      </c>
      <c r="O24" s="233"/>
      <c r="P24" s="233"/>
      <c r="Q24" s="233"/>
      <c r="R24" s="233">
        <f t="shared" si="8"/>
        <v>0</v>
      </c>
    </row>
    <row r="25" spans="1:18" s="6" customFormat="1" ht="72" hidden="1" customHeight="1">
      <c r="A25" s="136">
        <v>19570</v>
      </c>
      <c r="B25" s="172" t="s">
        <v>182</v>
      </c>
      <c r="C25" s="171">
        <v>0</v>
      </c>
      <c r="D25" s="171">
        <v>0</v>
      </c>
      <c r="E25" s="233"/>
      <c r="F25" s="233"/>
      <c r="G25" s="233"/>
      <c r="H25" s="233">
        <f t="shared" si="4"/>
        <v>0</v>
      </c>
      <c r="I25" s="233">
        <v>0</v>
      </c>
      <c r="J25" s="233"/>
      <c r="K25" s="233"/>
      <c r="L25" s="233"/>
      <c r="M25" s="233">
        <f t="shared" si="6"/>
        <v>0</v>
      </c>
      <c r="N25" s="233">
        <v>0</v>
      </c>
      <c r="O25" s="233"/>
      <c r="P25" s="233"/>
      <c r="Q25" s="233"/>
      <c r="R25" s="233">
        <f t="shared" si="8"/>
        <v>0</v>
      </c>
    </row>
    <row r="26" spans="1:18" s="6" customFormat="1" ht="36" hidden="1" customHeight="1">
      <c r="A26" s="209" t="s">
        <v>222</v>
      </c>
      <c r="B26" s="208" t="s">
        <v>216</v>
      </c>
      <c r="C26" s="107">
        <f>C27</f>
        <v>0</v>
      </c>
      <c r="D26" s="107">
        <v>0</v>
      </c>
      <c r="E26" s="233"/>
      <c r="F26" s="233"/>
      <c r="G26" s="233"/>
      <c r="H26" s="233">
        <f t="shared" si="4"/>
        <v>0</v>
      </c>
      <c r="I26" s="233">
        <v>0</v>
      </c>
      <c r="J26" s="233"/>
      <c r="K26" s="233"/>
      <c r="L26" s="233"/>
      <c r="M26" s="233">
        <f t="shared" si="6"/>
        <v>0</v>
      </c>
      <c r="N26" s="233">
        <v>0</v>
      </c>
      <c r="O26" s="233"/>
      <c r="P26" s="233"/>
      <c r="Q26" s="233"/>
      <c r="R26" s="233">
        <f t="shared" si="8"/>
        <v>0</v>
      </c>
    </row>
    <row r="27" spans="1:18" s="6" customFormat="1" ht="36" hidden="1" customHeight="1">
      <c r="A27" s="209">
        <v>17100</v>
      </c>
      <c r="B27" s="208" t="s">
        <v>217</v>
      </c>
      <c r="C27" s="107">
        <f>SUM(C28:C31)</f>
        <v>0</v>
      </c>
      <c r="D27" s="107">
        <v>0</v>
      </c>
      <c r="E27" s="233"/>
      <c r="F27" s="233"/>
      <c r="G27" s="233"/>
      <c r="H27" s="233">
        <f t="shared" si="4"/>
        <v>0</v>
      </c>
      <c r="I27" s="233">
        <v>0</v>
      </c>
      <c r="J27" s="233"/>
      <c r="K27" s="233"/>
      <c r="L27" s="233"/>
      <c r="M27" s="233">
        <f t="shared" si="6"/>
        <v>0</v>
      </c>
      <c r="N27" s="233">
        <v>0</v>
      </c>
      <c r="O27" s="233"/>
      <c r="P27" s="233"/>
      <c r="Q27" s="233"/>
      <c r="R27" s="233">
        <f t="shared" si="8"/>
        <v>0</v>
      </c>
    </row>
    <row r="28" spans="1:18" s="6" customFormat="1" ht="60" hidden="1" customHeight="1">
      <c r="A28" s="149">
        <v>17110</v>
      </c>
      <c r="B28" s="208" t="s">
        <v>218</v>
      </c>
      <c r="C28" s="107"/>
      <c r="D28" s="107">
        <v>0</v>
      </c>
      <c r="E28" s="233"/>
      <c r="F28" s="233"/>
      <c r="G28" s="233"/>
      <c r="H28" s="233">
        <f t="shared" si="4"/>
        <v>0</v>
      </c>
      <c r="I28" s="233">
        <v>0</v>
      </c>
      <c r="J28" s="233"/>
      <c r="K28" s="233"/>
      <c r="L28" s="233"/>
      <c r="M28" s="233">
        <f t="shared" si="6"/>
        <v>0</v>
      </c>
      <c r="N28" s="233">
        <v>0</v>
      </c>
      <c r="O28" s="233"/>
      <c r="P28" s="233"/>
      <c r="Q28" s="233"/>
      <c r="R28" s="233">
        <f t="shared" si="8"/>
        <v>0</v>
      </c>
    </row>
    <row r="29" spans="1:18" s="6" customFormat="1" ht="60" hidden="1" customHeight="1">
      <c r="A29" s="149">
        <v>17120</v>
      </c>
      <c r="B29" s="208" t="s">
        <v>219</v>
      </c>
      <c r="C29" s="107"/>
      <c r="D29" s="107">
        <v>0</v>
      </c>
      <c r="E29" s="233"/>
      <c r="F29" s="233"/>
      <c r="G29" s="233"/>
      <c r="H29" s="233">
        <f t="shared" si="4"/>
        <v>0</v>
      </c>
      <c r="I29" s="233">
        <v>0</v>
      </c>
      <c r="J29" s="233"/>
      <c r="K29" s="233"/>
      <c r="L29" s="233"/>
      <c r="M29" s="233">
        <f t="shared" si="6"/>
        <v>0</v>
      </c>
      <c r="N29" s="233">
        <v>0</v>
      </c>
      <c r="O29" s="233"/>
      <c r="P29" s="233"/>
      <c r="Q29" s="233"/>
      <c r="R29" s="233">
        <f t="shared" si="8"/>
        <v>0</v>
      </c>
    </row>
    <row r="30" spans="1:18" s="6" customFormat="1" ht="108" hidden="1" customHeight="1">
      <c r="A30" s="149">
        <v>17130</v>
      </c>
      <c r="B30" s="208" t="s">
        <v>220</v>
      </c>
      <c r="C30" s="107"/>
      <c r="D30" s="107">
        <v>0</v>
      </c>
      <c r="E30" s="233"/>
      <c r="F30" s="233"/>
      <c r="G30" s="233"/>
      <c r="H30" s="233">
        <f t="shared" si="4"/>
        <v>0</v>
      </c>
      <c r="I30" s="233">
        <v>0</v>
      </c>
      <c r="J30" s="233"/>
      <c r="K30" s="233"/>
      <c r="L30" s="233"/>
      <c r="M30" s="233">
        <f t="shared" si="6"/>
        <v>0</v>
      </c>
      <c r="N30" s="233">
        <v>0</v>
      </c>
      <c r="O30" s="233"/>
      <c r="P30" s="233"/>
      <c r="Q30" s="233"/>
      <c r="R30" s="233">
        <f t="shared" si="8"/>
        <v>0</v>
      </c>
    </row>
    <row r="31" spans="1:18" s="6" customFormat="1" ht="108" hidden="1" customHeight="1">
      <c r="A31" s="149">
        <v>17140</v>
      </c>
      <c r="B31" s="208" t="s">
        <v>221</v>
      </c>
      <c r="C31" s="107"/>
      <c r="D31" s="107">
        <v>0</v>
      </c>
      <c r="E31" s="233"/>
      <c r="F31" s="233"/>
      <c r="G31" s="233"/>
      <c r="H31" s="233">
        <f t="shared" si="4"/>
        <v>0</v>
      </c>
      <c r="I31" s="233">
        <v>0</v>
      </c>
      <c r="J31" s="233"/>
      <c r="K31" s="233"/>
      <c r="L31" s="233"/>
      <c r="M31" s="233">
        <f t="shared" si="6"/>
        <v>0</v>
      </c>
      <c r="N31" s="233">
        <v>0</v>
      </c>
      <c r="O31" s="233"/>
      <c r="P31" s="233"/>
      <c r="Q31" s="233"/>
      <c r="R31" s="233">
        <f t="shared" si="8"/>
        <v>0</v>
      </c>
    </row>
    <row r="32" spans="1:18" s="6" customFormat="1" ht="12">
      <c r="A32" s="137">
        <v>21700</v>
      </c>
      <c r="B32" s="124" t="s">
        <v>97</v>
      </c>
      <c r="C32" s="171">
        <v>103782085</v>
      </c>
      <c r="D32" s="171">
        <v>110105125</v>
      </c>
      <c r="E32" s="233">
        <f>E116+E200</f>
        <v>2265007</v>
      </c>
      <c r="F32" s="233">
        <f t="shared" ref="F32:G33" si="12">F116+F200</f>
        <v>6126028</v>
      </c>
      <c r="G32" s="233">
        <f t="shared" si="12"/>
        <v>543345</v>
      </c>
      <c r="H32" s="233">
        <f t="shared" si="4"/>
        <v>119039505</v>
      </c>
      <c r="I32" s="233">
        <v>43040948</v>
      </c>
      <c r="J32" s="233">
        <f t="shared" ref="J32:L33" si="13">J116+J200</f>
        <v>2873774</v>
      </c>
      <c r="K32" s="233">
        <f t="shared" si="13"/>
        <v>6045112</v>
      </c>
      <c r="L32" s="233">
        <f t="shared" si="13"/>
        <v>691879</v>
      </c>
      <c r="M32" s="233">
        <f t="shared" si="6"/>
        <v>52651713</v>
      </c>
      <c r="N32" s="233">
        <v>32737130</v>
      </c>
      <c r="O32" s="233">
        <f t="shared" ref="O32:Q33" si="14">O116+O200</f>
        <v>3034184</v>
      </c>
      <c r="P32" s="233">
        <f t="shared" si="14"/>
        <v>5655460</v>
      </c>
      <c r="Q32" s="233">
        <f t="shared" si="14"/>
        <v>539075</v>
      </c>
      <c r="R32" s="233">
        <f t="shared" si="8"/>
        <v>41965849</v>
      </c>
    </row>
    <row r="33" spans="1:18" s="6" customFormat="1" ht="24">
      <c r="A33" s="138">
        <v>21710</v>
      </c>
      <c r="B33" s="125" t="s">
        <v>98</v>
      </c>
      <c r="C33" s="171">
        <v>100566676</v>
      </c>
      <c r="D33" s="171">
        <v>106011230</v>
      </c>
      <c r="E33" s="233">
        <f>E117+E201</f>
        <v>2265007</v>
      </c>
      <c r="F33" s="233">
        <f t="shared" si="12"/>
        <v>6126028</v>
      </c>
      <c r="G33" s="233">
        <f t="shared" si="12"/>
        <v>543345</v>
      </c>
      <c r="H33" s="233">
        <f t="shared" si="4"/>
        <v>114945610</v>
      </c>
      <c r="I33" s="233">
        <v>42574948</v>
      </c>
      <c r="J33" s="233">
        <f t="shared" si="13"/>
        <v>2873774</v>
      </c>
      <c r="K33" s="233">
        <f t="shared" si="13"/>
        <v>6045112</v>
      </c>
      <c r="L33" s="233">
        <f t="shared" si="13"/>
        <v>691879</v>
      </c>
      <c r="M33" s="233">
        <f t="shared" si="6"/>
        <v>52185713</v>
      </c>
      <c r="N33" s="233">
        <v>32737130</v>
      </c>
      <c r="O33" s="233">
        <f t="shared" si="14"/>
        <v>3034184</v>
      </c>
      <c r="P33" s="233">
        <f t="shared" si="14"/>
        <v>5655460</v>
      </c>
      <c r="Q33" s="233">
        <f t="shared" si="14"/>
        <v>539075</v>
      </c>
      <c r="R33" s="233">
        <f t="shared" si="8"/>
        <v>41965849</v>
      </c>
    </row>
    <row r="34" spans="1:18" s="6" customFormat="1" ht="24">
      <c r="A34" s="138">
        <v>21720</v>
      </c>
      <c r="B34" s="125" t="s">
        <v>99</v>
      </c>
      <c r="C34" s="171">
        <v>3215409</v>
      </c>
      <c r="D34" s="171">
        <v>4093895</v>
      </c>
      <c r="E34" s="233">
        <f>E202</f>
        <v>0</v>
      </c>
      <c r="F34" s="233">
        <f t="shared" ref="F34:G34" si="15">F202</f>
        <v>0</v>
      </c>
      <c r="G34" s="233">
        <f t="shared" si="15"/>
        <v>0</v>
      </c>
      <c r="H34" s="233">
        <f t="shared" si="4"/>
        <v>4093895</v>
      </c>
      <c r="I34" s="233">
        <v>466000</v>
      </c>
      <c r="J34" s="233">
        <f t="shared" ref="J34:L34" si="16">J202</f>
        <v>0</v>
      </c>
      <c r="K34" s="233">
        <f t="shared" si="16"/>
        <v>0</v>
      </c>
      <c r="L34" s="233">
        <f t="shared" si="16"/>
        <v>0</v>
      </c>
      <c r="M34" s="233">
        <f t="shared" si="6"/>
        <v>466000</v>
      </c>
      <c r="N34" s="233">
        <v>0</v>
      </c>
      <c r="O34" s="233">
        <f t="shared" ref="O34:Q34" si="17">O202</f>
        <v>0</v>
      </c>
      <c r="P34" s="233">
        <f t="shared" si="17"/>
        <v>0</v>
      </c>
      <c r="Q34" s="233">
        <f t="shared" si="17"/>
        <v>0</v>
      </c>
      <c r="R34" s="233">
        <f t="shared" si="8"/>
        <v>0</v>
      </c>
    </row>
    <row r="35" spans="1:18" s="6" customFormat="1" ht="11.4">
      <c r="A35" s="321" t="s">
        <v>100</v>
      </c>
      <c r="B35" s="322" t="s">
        <v>101</v>
      </c>
      <c r="C35" s="621">
        <v>104815242</v>
      </c>
      <c r="D35" s="621">
        <v>111121495</v>
      </c>
      <c r="E35" s="243">
        <f t="shared" ref="E35:G40" si="18">E119+E203</f>
        <v>2275389</v>
      </c>
      <c r="F35" s="243">
        <f t="shared" si="18"/>
        <v>6126028</v>
      </c>
      <c r="G35" s="243">
        <f t="shared" si="18"/>
        <v>543345</v>
      </c>
      <c r="H35" s="243">
        <f t="shared" si="4"/>
        <v>120066257</v>
      </c>
      <c r="I35" s="243">
        <v>43846929</v>
      </c>
      <c r="J35" s="243">
        <f t="shared" ref="J35:L40" si="19">J119+J203</f>
        <v>2873774</v>
      </c>
      <c r="K35" s="243">
        <f t="shared" si="19"/>
        <v>6045112</v>
      </c>
      <c r="L35" s="243">
        <f t="shared" si="19"/>
        <v>691879</v>
      </c>
      <c r="M35" s="243">
        <f t="shared" si="6"/>
        <v>53457694</v>
      </c>
      <c r="N35" s="243">
        <v>33578887</v>
      </c>
      <c r="O35" s="243">
        <f t="shared" ref="O35:Q40" si="20">O119+O203</f>
        <v>3034184</v>
      </c>
      <c r="P35" s="243">
        <f t="shared" si="20"/>
        <v>5655460</v>
      </c>
      <c r="Q35" s="243">
        <f t="shared" si="20"/>
        <v>539075</v>
      </c>
      <c r="R35" s="243">
        <f t="shared" si="8"/>
        <v>42807606</v>
      </c>
    </row>
    <row r="36" spans="1:18" s="6" customFormat="1" ht="20.399999999999999">
      <c r="A36" s="130" t="s">
        <v>102</v>
      </c>
      <c r="B36" s="124" t="s">
        <v>103</v>
      </c>
      <c r="C36" s="171">
        <v>96524331</v>
      </c>
      <c r="D36" s="171">
        <v>108158371</v>
      </c>
      <c r="E36" s="233">
        <f t="shared" si="18"/>
        <v>2273589</v>
      </c>
      <c r="F36" s="233">
        <f t="shared" si="18"/>
        <v>6112028</v>
      </c>
      <c r="G36" s="233">
        <f t="shared" si="18"/>
        <v>543345</v>
      </c>
      <c r="H36" s="233">
        <f t="shared" si="4"/>
        <v>117087333</v>
      </c>
      <c r="I36" s="233">
        <v>43659889</v>
      </c>
      <c r="J36" s="233">
        <f t="shared" si="19"/>
        <v>2873774</v>
      </c>
      <c r="K36" s="233">
        <f t="shared" si="19"/>
        <v>6045112</v>
      </c>
      <c r="L36" s="233">
        <f t="shared" si="19"/>
        <v>691879</v>
      </c>
      <c r="M36" s="233">
        <f t="shared" si="6"/>
        <v>53270654</v>
      </c>
      <c r="N36" s="233">
        <v>33394847</v>
      </c>
      <c r="O36" s="233">
        <f t="shared" si="20"/>
        <v>3034184</v>
      </c>
      <c r="P36" s="233">
        <f t="shared" si="20"/>
        <v>5655460</v>
      </c>
      <c r="Q36" s="233">
        <f t="shared" si="20"/>
        <v>539075</v>
      </c>
      <c r="R36" s="233">
        <f t="shared" si="8"/>
        <v>42623566</v>
      </c>
    </row>
    <row r="37" spans="1:18" s="6" customFormat="1" ht="12">
      <c r="A37" s="130" t="s">
        <v>104</v>
      </c>
      <c r="B37" s="124" t="s">
        <v>105</v>
      </c>
      <c r="C37" s="171">
        <v>37319298</v>
      </c>
      <c r="D37" s="171">
        <v>36993605</v>
      </c>
      <c r="E37" s="233">
        <f t="shared" si="18"/>
        <v>234318</v>
      </c>
      <c r="F37" s="233">
        <f t="shared" si="18"/>
        <v>6112028</v>
      </c>
      <c r="G37" s="233">
        <f t="shared" si="18"/>
        <v>543345</v>
      </c>
      <c r="H37" s="233">
        <f t="shared" si="4"/>
        <v>43883296</v>
      </c>
      <c r="I37" s="233">
        <v>34867115</v>
      </c>
      <c r="J37" s="233">
        <f t="shared" si="19"/>
        <v>210958</v>
      </c>
      <c r="K37" s="233">
        <f t="shared" si="19"/>
        <v>6045112</v>
      </c>
      <c r="L37" s="233">
        <f t="shared" si="19"/>
        <v>691879</v>
      </c>
      <c r="M37" s="233">
        <f t="shared" si="6"/>
        <v>41815064</v>
      </c>
      <c r="N37" s="233">
        <v>32964343</v>
      </c>
      <c r="O37" s="233">
        <f t="shared" si="20"/>
        <v>142000</v>
      </c>
      <c r="P37" s="233">
        <f t="shared" si="20"/>
        <v>5655460</v>
      </c>
      <c r="Q37" s="233">
        <f t="shared" si="20"/>
        <v>539075</v>
      </c>
      <c r="R37" s="233">
        <f t="shared" si="8"/>
        <v>39300878</v>
      </c>
    </row>
    <row r="38" spans="1:18" s="6" customFormat="1" ht="12">
      <c r="A38" s="132">
        <v>1000</v>
      </c>
      <c r="B38" s="125" t="s">
        <v>106</v>
      </c>
      <c r="C38" s="171">
        <v>12006330</v>
      </c>
      <c r="D38" s="171">
        <v>12309516</v>
      </c>
      <c r="E38" s="233">
        <f t="shared" si="18"/>
        <v>133118</v>
      </c>
      <c r="F38" s="233">
        <f t="shared" si="18"/>
        <v>380000</v>
      </c>
      <c r="G38" s="233">
        <f t="shared" si="18"/>
        <v>212837</v>
      </c>
      <c r="H38" s="233">
        <f t="shared" si="4"/>
        <v>13035471</v>
      </c>
      <c r="I38" s="233">
        <v>11707443</v>
      </c>
      <c r="J38" s="233">
        <f t="shared" si="19"/>
        <v>133118</v>
      </c>
      <c r="K38" s="233">
        <f t="shared" si="19"/>
        <v>616294</v>
      </c>
      <c r="L38" s="233">
        <f t="shared" si="19"/>
        <v>192735</v>
      </c>
      <c r="M38" s="233">
        <f t="shared" si="6"/>
        <v>12649590</v>
      </c>
      <c r="N38" s="233">
        <v>10819516</v>
      </c>
      <c r="O38" s="233">
        <f t="shared" si="20"/>
        <v>92000</v>
      </c>
      <c r="P38" s="233">
        <f t="shared" si="20"/>
        <v>350290</v>
      </c>
      <c r="Q38" s="233">
        <f t="shared" si="20"/>
        <v>188267</v>
      </c>
      <c r="R38" s="233">
        <f t="shared" si="8"/>
        <v>11450073</v>
      </c>
    </row>
    <row r="39" spans="1:18" s="6" customFormat="1" ht="12">
      <c r="A39" s="139">
        <v>1100</v>
      </c>
      <c r="B39" s="125" t="s">
        <v>107</v>
      </c>
      <c r="C39" s="171">
        <v>9074102</v>
      </c>
      <c r="D39" s="171">
        <v>9411076</v>
      </c>
      <c r="E39" s="233">
        <f t="shared" si="18"/>
        <v>100558</v>
      </c>
      <c r="F39" s="233">
        <f t="shared" si="18"/>
        <v>107592</v>
      </c>
      <c r="G39" s="233">
        <f t="shared" si="18"/>
        <v>149575</v>
      </c>
      <c r="H39" s="233">
        <f t="shared" si="4"/>
        <v>9768801</v>
      </c>
      <c r="I39" s="233">
        <v>8995528</v>
      </c>
      <c r="J39" s="233">
        <f t="shared" si="19"/>
        <v>100558</v>
      </c>
      <c r="K39" s="233">
        <f t="shared" si="19"/>
        <v>164640</v>
      </c>
      <c r="L39" s="233">
        <f t="shared" si="19"/>
        <v>133375</v>
      </c>
      <c r="M39" s="233">
        <f t="shared" si="6"/>
        <v>9394101</v>
      </c>
      <c r="N39" s="233">
        <v>8284396</v>
      </c>
      <c r="O39" s="233">
        <f t="shared" si="20"/>
        <v>69000</v>
      </c>
      <c r="P39" s="233">
        <f t="shared" si="20"/>
        <v>94080</v>
      </c>
      <c r="Q39" s="233">
        <f t="shared" si="20"/>
        <v>129775</v>
      </c>
      <c r="R39" s="233">
        <f t="shared" si="8"/>
        <v>8577251</v>
      </c>
    </row>
    <row r="40" spans="1:18" s="6" customFormat="1" ht="12">
      <c r="A40" s="132">
        <v>2000</v>
      </c>
      <c r="B40" s="125" t="s">
        <v>108</v>
      </c>
      <c r="C40" s="171">
        <v>25312968</v>
      </c>
      <c r="D40" s="171">
        <v>24684089</v>
      </c>
      <c r="E40" s="233">
        <f t="shared" si="18"/>
        <v>101200</v>
      </c>
      <c r="F40" s="233">
        <f t="shared" si="18"/>
        <v>5732028</v>
      </c>
      <c r="G40" s="233">
        <f t="shared" si="18"/>
        <v>330508</v>
      </c>
      <c r="H40" s="233">
        <f t="shared" si="4"/>
        <v>30847825</v>
      </c>
      <c r="I40" s="233">
        <v>23159672</v>
      </c>
      <c r="J40" s="233">
        <f t="shared" si="19"/>
        <v>77840</v>
      </c>
      <c r="K40" s="233">
        <f t="shared" si="19"/>
        <v>5428818</v>
      </c>
      <c r="L40" s="233">
        <f t="shared" si="19"/>
        <v>499144</v>
      </c>
      <c r="M40" s="233">
        <f t="shared" si="6"/>
        <v>29165474</v>
      </c>
      <c r="N40" s="233">
        <v>22144827</v>
      </c>
      <c r="O40" s="233">
        <f t="shared" si="20"/>
        <v>50000</v>
      </c>
      <c r="P40" s="233">
        <f t="shared" si="20"/>
        <v>5305170</v>
      </c>
      <c r="Q40" s="233">
        <f t="shared" si="20"/>
        <v>350808</v>
      </c>
      <c r="R40" s="233">
        <f t="shared" si="8"/>
        <v>27850805</v>
      </c>
    </row>
    <row r="41" spans="1:18" s="6" customFormat="1" ht="12" hidden="1" customHeight="1">
      <c r="A41" s="140">
        <v>4000</v>
      </c>
      <c r="B41" s="124" t="s">
        <v>132</v>
      </c>
      <c r="C41" s="171">
        <v>0</v>
      </c>
      <c r="D41" s="171">
        <v>0</v>
      </c>
      <c r="E41" s="233"/>
      <c r="F41" s="233"/>
      <c r="G41" s="233"/>
      <c r="H41" s="233">
        <f t="shared" si="4"/>
        <v>0</v>
      </c>
      <c r="I41" s="233">
        <v>0</v>
      </c>
      <c r="J41" s="233"/>
      <c r="K41" s="233"/>
      <c r="L41" s="233"/>
      <c r="M41" s="233">
        <f t="shared" si="6"/>
        <v>0</v>
      </c>
      <c r="N41" s="233">
        <v>0</v>
      </c>
      <c r="O41" s="233"/>
      <c r="P41" s="233"/>
      <c r="Q41" s="233"/>
      <c r="R41" s="233">
        <f t="shared" si="8"/>
        <v>0</v>
      </c>
    </row>
    <row r="42" spans="1:18" s="6" customFormat="1" ht="12">
      <c r="A42" s="140" t="s">
        <v>109</v>
      </c>
      <c r="B42" s="124" t="s">
        <v>110</v>
      </c>
      <c r="C42" s="171">
        <v>55229317</v>
      </c>
      <c r="D42" s="171">
        <v>66316294</v>
      </c>
      <c r="E42" s="233">
        <f>E126+E210</f>
        <v>2028889</v>
      </c>
      <c r="F42" s="233">
        <f t="shared" ref="F42:G43" si="21">F126+F210</f>
        <v>0</v>
      </c>
      <c r="G42" s="233">
        <f t="shared" si="21"/>
        <v>0</v>
      </c>
      <c r="H42" s="233">
        <f t="shared" si="4"/>
        <v>68345183</v>
      </c>
      <c r="I42" s="233">
        <v>7830785</v>
      </c>
      <c r="J42" s="233">
        <f t="shared" ref="J42:L43" si="22">J126+J210</f>
        <v>2662816</v>
      </c>
      <c r="K42" s="233">
        <f t="shared" si="22"/>
        <v>0</v>
      </c>
      <c r="L42" s="233">
        <f t="shared" si="22"/>
        <v>0</v>
      </c>
      <c r="M42" s="233">
        <f t="shared" si="6"/>
        <v>10493601</v>
      </c>
      <c r="N42" s="233">
        <v>261804</v>
      </c>
      <c r="O42" s="233">
        <f t="shared" ref="O42:Q43" si="23">O126+O210</f>
        <v>2892184</v>
      </c>
      <c r="P42" s="233">
        <f t="shared" si="23"/>
        <v>0</v>
      </c>
      <c r="Q42" s="233">
        <f t="shared" si="23"/>
        <v>0</v>
      </c>
      <c r="R42" s="233">
        <f t="shared" si="8"/>
        <v>3153988</v>
      </c>
    </row>
    <row r="43" spans="1:18" s="6" customFormat="1" ht="12">
      <c r="A43" s="132">
        <v>3000</v>
      </c>
      <c r="B43" s="125" t="s">
        <v>111</v>
      </c>
      <c r="C43" s="213">
        <v>55229317</v>
      </c>
      <c r="D43" s="213">
        <v>66316294</v>
      </c>
      <c r="E43" s="345">
        <f>E127+E211</f>
        <v>2028889</v>
      </c>
      <c r="F43" s="345">
        <f t="shared" si="21"/>
        <v>0</v>
      </c>
      <c r="G43" s="345">
        <f t="shared" si="21"/>
        <v>0</v>
      </c>
      <c r="H43" s="233">
        <f t="shared" si="4"/>
        <v>68345183</v>
      </c>
      <c r="I43" s="345">
        <v>7830785</v>
      </c>
      <c r="J43" s="345">
        <f t="shared" si="22"/>
        <v>2662816</v>
      </c>
      <c r="K43" s="345">
        <f t="shared" si="22"/>
        <v>0</v>
      </c>
      <c r="L43" s="345">
        <f t="shared" si="22"/>
        <v>0</v>
      </c>
      <c r="M43" s="233">
        <f t="shared" si="6"/>
        <v>10493601</v>
      </c>
      <c r="N43" s="345">
        <v>261804</v>
      </c>
      <c r="O43" s="345">
        <f t="shared" si="23"/>
        <v>2892184</v>
      </c>
      <c r="P43" s="345">
        <f t="shared" si="23"/>
        <v>0</v>
      </c>
      <c r="Q43" s="345">
        <f t="shared" si="23"/>
        <v>0</v>
      </c>
      <c r="R43" s="233">
        <f t="shared" si="8"/>
        <v>3153988</v>
      </c>
    </row>
    <row r="44" spans="1:18" s="6" customFormat="1" ht="12" hidden="1" customHeight="1">
      <c r="A44" s="132">
        <v>6000</v>
      </c>
      <c r="B44" s="125" t="s">
        <v>112</v>
      </c>
      <c r="C44" s="287">
        <v>0</v>
      </c>
      <c r="D44" s="287">
        <v>0</v>
      </c>
      <c r="E44" s="346"/>
      <c r="F44" s="346"/>
      <c r="G44" s="346"/>
      <c r="H44" s="233">
        <f t="shared" si="4"/>
        <v>0</v>
      </c>
      <c r="I44" s="346">
        <v>0</v>
      </c>
      <c r="J44" s="346"/>
      <c r="K44" s="346"/>
      <c r="L44" s="346"/>
      <c r="M44" s="233">
        <f t="shared" si="6"/>
        <v>0</v>
      </c>
      <c r="N44" s="346">
        <v>0</v>
      </c>
      <c r="O44" s="346"/>
      <c r="P44" s="346"/>
      <c r="Q44" s="346"/>
      <c r="R44" s="233">
        <f t="shared" si="8"/>
        <v>0</v>
      </c>
    </row>
    <row r="45" spans="1:18" s="6" customFormat="1" ht="22.8">
      <c r="A45" s="140" t="s">
        <v>113</v>
      </c>
      <c r="B45" s="124" t="s">
        <v>183</v>
      </c>
      <c r="C45" s="171">
        <v>199122</v>
      </c>
      <c r="D45" s="171">
        <v>204060</v>
      </c>
      <c r="E45" s="233">
        <f>E129+E213</f>
        <v>10382</v>
      </c>
      <c r="F45" s="233">
        <f t="shared" ref="F45:G45" si="24">F129+F213</f>
        <v>0</v>
      </c>
      <c r="G45" s="233">
        <f t="shared" si="24"/>
        <v>0</v>
      </c>
      <c r="H45" s="233">
        <f t="shared" si="4"/>
        <v>214442</v>
      </c>
      <c r="I45" s="233">
        <v>168700</v>
      </c>
      <c r="J45" s="233">
        <f t="shared" ref="J45:L45" si="25">J129+J213</f>
        <v>0</v>
      </c>
      <c r="K45" s="233">
        <f t="shared" si="25"/>
        <v>0</v>
      </c>
      <c r="L45" s="233">
        <f t="shared" si="25"/>
        <v>0</v>
      </c>
      <c r="M45" s="233">
        <f t="shared" si="6"/>
        <v>168700</v>
      </c>
      <c r="N45" s="233">
        <v>168700</v>
      </c>
      <c r="O45" s="233">
        <f t="shared" ref="O45:Q45" si="26">O129+O213</f>
        <v>0</v>
      </c>
      <c r="P45" s="233">
        <f t="shared" si="26"/>
        <v>0</v>
      </c>
      <c r="Q45" s="233">
        <f t="shared" si="26"/>
        <v>0</v>
      </c>
      <c r="R45" s="233">
        <f t="shared" si="8"/>
        <v>168700</v>
      </c>
    </row>
    <row r="46" spans="1:18" s="6" customFormat="1" ht="12" hidden="1" customHeight="1">
      <c r="A46" s="132">
        <v>7600</v>
      </c>
      <c r="B46" s="179" t="s">
        <v>184</v>
      </c>
      <c r="C46" s="171">
        <v>0</v>
      </c>
      <c r="D46" s="171">
        <v>0</v>
      </c>
      <c r="E46" s="233"/>
      <c r="F46" s="233"/>
      <c r="G46" s="233"/>
      <c r="H46" s="233">
        <f t="shared" si="4"/>
        <v>0</v>
      </c>
      <c r="I46" s="233">
        <v>0</v>
      </c>
      <c r="J46" s="233"/>
      <c r="K46" s="233"/>
      <c r="L46" s="233"/>
      <c r="M46" s="233">
        <f t="shared" si="6"/>
        <v>0</v>
      </c>
      <c r="N46" s="233">
        <v>0</v>
      </c>
      <c r="O46" s="233"/>
      <c r="P46" s="233"/>
      <c r="Q46" s="233"/>
      <c r="R46" s="233">
        <f t="shared" si="8"/>
        <v>0</v>
      </c>
    </row>
    <row r="47" spans="1:18" s="6" customFormat="1" ht="12">
      <c r="A47" s="132">
        <v>7700</v>
      </c>
      <c r="B47" s="126" t="s">
        <v>114</v>
      </c>
      <c r="C47" s="171">
        <v>199122</v>
      </c>
      <c r="D47" s="171">
        <v>204060</v>
      </c>
      <c r="E47" s="233">
        <f>E131+E215</f>
        <v>10382</v>
      </c>
      <c r="F47" s="233">
        <f t="shared" ref="F47:G47" si="27">F131+F215</f>
        <v>0</v>
      </c>
      <c r="G47" s="233">
        <f t="shared" si="27"/>
        <v>0</v>
      </c>
      <c r="H47" s="233">
        <f t="shared" si="4"/>
        <v>214442</v>
      </c>
      <c r="I47" s="233">
        <v>168700</v>
      </c>
      <c r="J47" s="233">
        <f t="shared" ref="J47:L47" si="28">J131+J215</f>
        <v>0</v>
      </c>
      <c r="K47" s="233">
        <f t="shared" si="28"/>
        <v>0</v>
      </c>
      <c r="L47" s="233">
        <f t="shared" si="28"/>
        <v>0</v>
      </c>
      <c r="M47" s="233">
        <f t="shared" si="6"/>
        <v>168700</v>
      </c>
      <c r="N47" s="233">
        <v>168700</v>
      </c>
      <c r="O47" s="233">
        <f t="shared" ref="O47:Q47" si="29">O131+O215</f>
        <v>0</v>
      </c>
      <c r="P47" s="233">
        <f t="shared" si="29"/>
        <v>0</v>
      </c>
      <c r="Q47" s="233">
        <f t="shared" si="29"/>
        <v>0</v>
      </c>
      <c r="R47" s="233">
        <f t="shared" si="8"/>
        <v>168700</v>
      </c>
    </row>
    <row r="48" spans="1:18" s="6" customFormat="1" ht="20.399999999999999">
      <c r="A48" s="140" t="s">
        <v>185</v>
      </c>
      <c r="B48" s="124" t="s">
        <v>115</v>
      </c>
      <c r="C48" s="171">
        <v>3776594</v>
      </c>
      <c r="D48" s="171">
        <v>4644412</v>
      </c>
      <c r="E48" s="233">
        <f>E216</f>
        <v>0</v>
      </c>
      <c r="F48" s="233">
        <f t="shared" ref="F48:G48" si="30">F216</f>
        <v>0</v>
      </c>
      <c r="G48" s="233">
        <f t="shared" si="30"/>
        <v>0</v>
      </c>
      <c r="H48" s="233">
        <f t="shared" si="4"/>
        <v>4644412</v>
      </c>
      <c r="I48" s="233">
        <v>793289</v>
      </c>
      <c r="J48" s="233">
        <f t="shared" ref="J48:L48" si="31">J216</f>
        <v>0</v>
      </c>
      <c r="K48" s="233">
        <f t="shared" si="31"/>
        <v>0</v>
      </c>
      <c r="L48" s="233">
        <f t="shared" si="31"/>
        <v>0</v>
      </c>
      <c r="M48" s="233">
        <f t="shared" si="6"/>
        <v>793289</v>
      </c>
      <c r="N48" s="233">
        <v>0</v>
      </c>
      <c r="O48" s="233">
        <f t="shared" ref="O48:Q48" si="32">O216</f>
        <v>0</v>
      </c>
      <c r="P48" s="233">
        <f t="shared" si="32"/>
        <v>0</v>
      </c>
      <c r="Q48" s="233">
        <f t="shared" si="32"/>
        <v>0</v>
      </c>
      <c r="R48" s="233">
        <f t="shared" si="8"/>
        <v>0</v>
      </c>
    </row>
    <row r="49" spans="1:18" s="6" customFormat="1" ht="12" hidden="1" customHeight="1">
      <c r="A49" s="132">
        <v>7100</v>
      </c>
      <c r="B49" s="179" t="s">
        <v>116</v>
      </c>
      <c r="C49" s="171">
        <v>0</v>
      </c>
      <c r="D49" s="171">
        <v>0</v>
      </c>
      <c r="E49" s="233"/>
      <c r="F49" s="233"/>
      <c r="G49" s="233"/>
      <c r="H49" s="233">
        <f t="shared" si="4"/>
        <v>0</v>
      </c>
      <c r="I49" s="233">
        <v>0</v>
      </c>
      <c r="J49" s="233"/>
      <c r="K49" s="233"/>
      <c r="L49" s="233"/>
      <c r="M49" s="233">
        <f t="shared" si="6"/>
        <v>0</v>
      </c>
      <c r="N49" s="233">
        <v>0</v>
      </c>
      <c r="O49" s="233"/>
      <c r="P49" s="233"/>
      <c r="Q49" s="233"/>
      <c r="R49" s="233">
        <f t="shared" si="8"/>
        <v>0</v>
      </c>
    </row>
    <row r="50" spans="1:18" s="6" customFormat="1" ht="24" hidden="1" customHeight="1">
      <c r="A50" s="133" t="s">
        <v>117</v>
      </c>
      <c r="B50" s="179" t="s">
        <v>118</v>
      </c>
      <c r="C50" s="171">
        <v>0</v>
      </c>
      <c r="D50" s="171">
        <v>0</v>
      </c>
      <c r="E50" s="233"/>
      <c r="F50" s="233"/>
      <c r="G50" s="233"/>
      <c r="H50" s="233">
        <f t="shared" si="4"/>
        <v>0</v>
      </c>
      <c r="I50" s="233">
        <v>0</v>
      </c>
      <c r="J50" s="233"/>
      <c r="K50" s="233"/>
      <c r="L50" s="233"/>
      <c r="M50" s="233">
        <f t="shared" si="6"/>
        <v>0</v>
      </c>
      <c r="N50" s="233">
        <v>0</v>
      </c>
      <c r="O50" s="233"/>
      <c r="P50" s="233"/>
      <c r="Q50" s="233"/>
      <c r="R50" s="233">
        <f t="shared" si="8"/>
        <v>0</v>
      </c>
    </row>
    <row r="51" spans="1:18" s="6" customFormat="1" ht="24" hidden="1" customHeight="1">
      <c r="A51" s="133">
        <v>7130</v>
      </c>
      <c r="B51" s="179" t="s">
        <v>119</v>
      </c>
      <c r="C51" s="171">
        <v>0</v>
      </c>
      <c r="D51" s="171">
        <v>0</v>
      </c>
      <c r="E51" s="233"/>
      <c r="F51" s="233"/>
      <c r="G51" s="233"/>
      <c r="H51" s="233">
        <f t="shared" si="4"/>
        <v>0</v>
      </c>
      <c r="I51" s="233">
        <v>0</v>
      </c>
      <c r="J51" s="233"/>
      <c r="K51" s="233"/>
      <c r="L51" s="233"/>
      <c r="M51" s="233">
        <f t="shared" si="6"/>
        <v>0</v>
      </c>
      <c r="N51" s="233">
        <v>0</v>
      </c>
      <c r="O51" s="233"/>
      <c r="P51" s="233"/>
      <c r="Q51" s="233"/>
      <c r="R51" s="233">
        <f t="shared" si="8"/>
        <v>0</v>
      </c>
    </row>
    <row r="52" spans="1:18" s="6" customFormat="1" ht="36" hidden="1" customHeight="1">
      <c r="A52" s="134">
        <v>7131</v>
      </c>
      <c r="B52" s="179" t="s">
        <v>120</v>
      </c>
      <c r="C52" s="171">
        <v>0</v>
      </c>
      <c r="D52" s="171">
        <v>0</v>
      </c>
      <c r="E52" s="233"/>
      <c r="F52" s="233"/>
      <c r="G52" s="233"/>
      <c r="H52" s="233">
        <f t="shared" si="4"/>
        <v>0</v>
      </c>
      <c r="I52" s="233">
        <v>0</v>
      </c>
      <c r="J52" s="233"/>
      <c r="K52" s="233"/>
      <c r="L52" s="233"/>
      <c r="M52" s="233">
        <f t="shared" si="6"/>
        <v>0</v>
      </c>
      <c r="N52" s="233">
        <v>0</v>
      </c>
      <c r="O52" s="233"/>
      <c r="P52" s="233"/>
      <c r="Q52" s="233"/>
      <c r="R52" s="233">
        <f t="shared" si="8"/>
        <v>0</v>
      </c>
    </row>
    <row r="53" spans="1:18" s="6" customFormat="1" ht="36" hidden="1" customHeight="1">
      <c r="A53" s="134">
        <v>7132</v>
      </c>
      <c r="B53" s="179" t="s">
        <v>121</v>
      </c>
      <c r="C53" s="171">
        <v>0</v>
      </c>
      <c r="D53" s="171">
        <v>0</v>
      </c>
      <c r="E53" s="233"/>
      <c r="F53" s="233"/>
      <c r="G53" s="233"/>
      <c r="H53" s="233">
        <f t="shared" si="4"/>
        <v>0</v>
      </c>
      <c r="I53" s="233">
        <v>0</v>
      </c>
      <c r="J53" s="233"/>
      <c r="K53" s="233"/>
      <c r="L53" s="233"/>
      <c r="M53" s="233">
        <f t="shared" si="6"/>
        <v>0</v>
      </c>
      <c r="N53" s="233">
        <v>0</v>
      </c>
      <c r="O53" s="233"/>
      <c r="P53" s="233"/>
      <c r="Q53" s="233"/>
      <c r="R53" s="233">
        <f t="shared" si="8"/>
        <v>0</v>
      </c>
    </row>
    <row r="54" spans="1:18" s="6" customFormat="1" ht="36" hidden="1" customHeight="1">
      <c r="A54" s="134" t="s">
        <v>186</v>
      </c>
      <c r="B54" s="179" t="s">
        <v>187</v>
      </c>
      <c r="C54" s="171">
        <v>0</v>
      </c>
      <c r="D54" s="171">
        <v>0</v>
      </c>
      <c r="E54" s="233"/>
      <c r="F54" s="233"/>
      <c r="G54" s="233"/>
      <c r="H54" s="233">
        <f t="shared" si="4"/>
        <v>0</v>
      </c>
      <c r="I54" s="233">
        <v>0</v>
      </c>
      <c r="J54" s="233"/>
      <c r="K54" s="233"/>
      <c r="L54" s="233"/>
      <c r="M54" s="233">
        <f t="shared" si="6"/>
        <v>0</v>
      </c>
      <c r="N54" s="233">
        <v>0</v>
      </c>
      <c r="O54" s="233"/>
      <c r="P54" s="233"/>
      <c r="Q54" s="233"/>
      <c r="R54" s="233">
        <f t="shared" si="8"/>
        <v>0</v>
      </c>
    </row>
    <row r="55" spans="1:18" s="6" customFormat="1" ht="24">
      <c r="A55" s="132">
        <v>7300</v>
      </c>
      <c r="B55" s="172" t="s">
        <v>155</v>
      </c>
      <c r="C55" s="171">
        <v>470558</v>
      </c>
      <c r="D55" s="171">
        <v>390404</v>
      </c>
      <c r="E55" s="233">
        <f>E223</f>
        <v>0</v>
      </c>
      <c r="F55" s="233">
        <f t="shared" ref="F55:G55" si="33">F223</f>
        <v>0</v>
      </c>
      <c r="G55" s="233">
        <f t="shared" si="33"/>
        <v>0</v>
      </c>
      <c r="H55" s="233">
        <f t="shared" si="4"/>
        <v>390404</v>
      </c>
      <c r="I55" s="233">
        <v>221845</v>
      </c>
      <c r="J55" s="233">
        <f t="shared" ref="J55:L55" si="34">J223</f>
        <v>0</v>
      </c>
      <c r="K55" s="233">
        <f t="shared" si="34"/>
        <v>0</v>
      </c>
      <c r="L55" s="233">
        <f t="shared" si="34"/>
        <v>0</v>
      </c>
      <c r="M55" s="233">
        <f t="shared" si="6"/>
        <v>221845</v>
      </c>
      <c r="N55" s="233">
        <v>0</v>
      </c>
      <c r="O55" s="233">
        <f t="shared" ref="O55:Q55" si="35">O223</f>
        <v>0</v>
      </c>
      <c r="P55" s="233">
        <f t="shared" si="35"/>
        <v>0</v>
      </c>
      <c r="Q55" s="233">
        <f t="shared" si="35"/>
        <v>0</v>
      </c>
      <c r="R55" s="233">
        <f t="shared" si="8"/>
        <v>0</v>
      </c>
    </row>
    <row r="56" spans="1:18" s="6" customFormat="1" ht="24" hidden="1" customHeight="1">
      <c r="A56" s="133" t="s">
        <v>188</v>
      </c>
      <c r="B56" s="179" t="s">
        <v>170</v>
      </c>
      <c r="C56" s="180">
        <v>0</v>
      </c>
      <c r="D56" s="180">
        <v>0</v>
      </c>
      <c r="E56" s="252"/>
      <c r="F56" s="252"/>
      <c r="G56" s="252"/>
      <c r="H56" s="233">
        <f t="shared" si="4"/>
        <v>0</v>
      </c>
      <c r="I56" s="252">
        <v>0</v>
      </c>
      <c r="J56" s="252"/>
      <c r="K56" s="252"/>
      <c r="L56" s="252"/>
      <c r="M56" s="233">
        <f t="shared" si="6"/>
        <v>0</v>
      </c>
      <c r="N56" s="252">
        <v>0</v>
      </c>
      <c r="O56" s="252"/>
      <c r="P56" s="252"/>
      <c r="Q56" s="252"/>
      <c r="R56" s="233">
        <f t="shared" si="8"/>
        <v>0</v>
      </c>
    </row>
    <row r="57" spans="1:18" s="29" customFormat="1" ht="48">
      <c r="A57" s="133" t="s">
        <v>189</v>
      </c>
      <c r="B57" s="179" t="s">
        <v>156</v>
      </c>
      <c r="C57" s="180">
        <v>120456</v>
      </c>
      <c r="D57" s="180">
        <v>41835</v>
      </c>
      <c r="E57" s="252">
        <f>E225</f>
        <v>0</v>
      </c>
      <c r="F57" s="252">
        <f t="shared" ref="F57:G58" si="36">F225</f>
        <v>0</v>
      </c>
      <c r="G57" s="252">
        <f t="shared" si="36"/>
        <v>0</v>
      </c>
      <c r="H57" s="233">
        <f t="shared" si="4"/>
        <v>41835</v>
      </c>
      <c r="I57" s="252">
        <v>0</v>
      </c>
      <c r="J57" s="252">
        <f t="shared" ref="J57:L58" si="37">J225</f>
        <v>0</v>
      </c>
      <c r="K57" s="252">
        <f t="shared" si="37"/>
        <v>0</v>
      </c>
      <c r="L57" s="252">
        <f t="shared" si="37"/>
        <v>0</v>
      </c>
      <c r="M57" s="233">
        <f t="shared" si="6"/>
        <v>0</v>
      </c>
      <c r="N57" s="252">
        <v>0</v>
      </c>
      <c r="O57" s="252">
        <f t="shared" ref="O57:Q58" si="38">O225</f>
        <v>0</v>
      </c>
      <c r="P57" s="252">
        <f t="shared" si="38"/>
        <v>0</v>
      </c>
      <c r="Q57" s="252">
        <f t="shared" si="38"/>
        <v>0</v>
      </c>
      <c r="R57" s="233">
        <f t="shared" si="8"/>
        <v>0</v>
      </c>
    </row>
    <row r="58" spans="1:18" s="89" customFormat="1" ht="36">
      <c r="A58" s="133">
        <v>7350</v>
      </c>
      <c r="B58" s="179" t="s">
        <v>163</v>
      </c>
      <c r="C58" s="180">
        <v>350102</v>
      </c>
      <c r="D58" s="180">
        <v>348569</v>
      </c>
      <c r="E58" s="252">
        <f>E226</f>
        <v>0</v>
      </c>
      <c r="F58" s="252">
        <f t="shared" si="36"/>
        <v>0</v>
      </c>
      <c r="G58" s="252">
        <f t="shared" si="36"/>
        <v>0</v>
      </c>
      <c r="H58" s="233">
        <f t="shared" si="4"/>
        <v>348569</v>
      </c>
      <c r="I58" s="252">
        <v>221845</v>
      </c>
      <c r="J58" s="252">
        <f t="shared" si="37"/>
        <v>0</v>
      </c>
      <c r="K58" s="252">
        <f t="shared" si="37"/>
        <v>0</v>
      </c>
      <c r="L58" s="252">
        <f t="shared" si="37"/>
        <v>0</v>
      </c>
      <c r="M58" s="233">
        <f t="shared" si="6"/>
        <v>221845</v>
      </c>
      <c r="N58" s="252">
        <v>0</v>
      </c>
      <c r="O58" s="252">
        <f t="shared" si="38"/>
        <v>0</v>
      </c>
      <c r="P58" s="252">
        <f t="shared" si="38"/>
        <v>0</v>
      </c>
      <c r="Q58" s="252">
        <f t="shared" si="38"/>
        <v>0</v>
      </c>
      <c r="R58" s="233">
        <f t="shared" si="8"/>
        <v>0</v>
      </c>
    </row>
    <row r="59" spans="1:18" s="89" customFormat="1" ht="24" hidden="1" customHeight="1">
      <c r="A59" s="132">
        <v>7400</v>
      </c>
      <c r="B59" s="172" t="s">
        <v>161</v>
      </c>
      <c r="C59" s="171">
        <v>0</v>
      </c>
      <c r="D59" s="171">
        <v>0</v>
      </c>
      <c r="E59" s="233"/>
      <c r="F59" s="233"/>
      <c r="G59" s="233"/>
      <c r="H59" s="233">
        <f t="shared" si="4"/>
        <v>0</v>
      </c>
      <c r="I59" s="233">
        <v>0</v>
      </c>
      <c r="J59" s="233"/>
      <c r="K59" s="233"/>
      <c r="L59" s="233"/>
      <c r="M59" s="233">
        <f t="shared" si="6"/>
        <v>0</v>
      </c>
      <c r="N59" s="233">
        <v>0</v>
      </c>
      <c r="O59" s="233"/>
      <c r="P59" s="233"/>
      <c r="Q59" s="233"/>
      <c r="R59" s="233">
        <f t="shared" si="8"/>
        <v>0</v>
      </c>
    </row>
    <row r="60" spans="1:18" s="89" customFormat="1" ht="24" hidden="1" customHeight="1">
      <c r="A60" s="133">
        <v>7460</v>
      </c>
      <c r="B60" s="172" t="s">
        <v>162</v>
      </c>
      <c r="C60" s="180">
        <v>0</v>
      </c>
      <c r="D60" s="180">
        <v>0</v>
      </c>
      <c r="E60" s="252"/>
      <c r="F60" s="252"/>
      <c r="G60" s="252"/>
      <c r="H60" s="233">
        <f t="shared" si="4"/>
        <v>0</v>
      </c>
      <c r="I60" s="252">
        <v>0</v>
      </c>
      <c r="J60" s="252"/>
      <c r="K60" s="252"/>
      <c r="L60" s="252"/>
      <c r="M60" s="233">
        <f t="shared" si="6"/>
        <v>0</v>
      </c>
      <c r="N60" s="252">
        <v>0</v>
      </c>
      <c r="O60" s="252"/>
      <c r="P60" s="252"/>
      <c r="Q60" s="252"/>
      <c r="R60" s="233">
        <f t="shared" si="8"/>
        <v>0</v>
      </c>
    </row>
    <row r="61" spans="1:18" s="89" customFormat="1" ht="48" hidden="1" customHeight="1">
      <c r="A61" s="133">
        <v>7470</v>
      </c>
      <c r="B61" s="179" t="s">
        <v>167</v>
      </c>
      <c r="C61" s="180">
        <v>0</v>
      </c>
      <c r="D61" s="180">
        <v>0</v>
      </c>
      <c r="E61" s="252"/>
      <c r="F61" s="252"/>
      <c r="G61" s="252"/>
      <c r="H61" s="233">
        <f t="shared" si="4"/>
        <v>0</v>
      </c>
      <c r="I61" s="252">
        <v>0</v>
      </c>
      <c r="J61" s="252"/>
      <c r="K61" s="252"/>
      <c r="L61" s="252"/>
      <c r="M61" s="233">
        <f t="shared" si="6"/>
        <v>0</v>
      </c>
      <c r="N61" s="252">
        <v>0</v>
      </c>
      <c r="O61" s="252"/>
      <c r="P61" s="252"/>
      <c r="Q61" s="252"/>
      <c r="R61" s="233">
        <f t="shared" si="8"/>
        <v>0</v>
      </c>
    </row>
    <row r="62" spans="1:18" s="89" customFormat="1" ht="24">
      <c r="A62" s="132">
        <v>7500</v>
      </c>
      <c r="B62" s="179" t="s">
        <v>157</v>
      </c>
      <c r="C62" s="171">
        <v>3306036</v>
      </c>
      <c r="D62" s="171">
        <v>4254008</v>
      </c>
      <c r="E62" s="233">
        <f>E230</f>
        <v>0</v>
      </c>
      <c r="F62" s="233">
        <f t="shared" ref="F62:G62" si="39">F230</f>
        <v>0</v>
      </c>
      <c r="G62" s="233">
        <f t="shared" si="39"/>
        <v>0</v>
      </c>
      <c r="H62" s="233">
        <f t="shared" si="4"/>
        <v>4254008</v>
      </c>
      <c r="I62" s="233">
        <v>571444</v>
      </c>
      <c r="J62" s="233">
        <f t="shared" ref="J62:L62" si="40">J230</f>
        <v>0</v>
      </c>
      <c r="K62" s="233">
        <f t="shared" si="40"/>
        <v>0</v>
      </c>
      <c r="L62" s="233">
        <f t="shared" si="40"/>
        <v>0</v>
      </c>
      <c r="M62" s="233">
        <f t="shared" si="6"/>
        <v>571444</v>
      </c>
      <c r="N62" s="233">
        <v>0</v>
      </c>
      <c r="O62" s="233">
        <f t="shared" ref="O62:Q62" si="41">O230</f>
        <v>0</v>
      </c>
      <c r="P62" s="233">
        <f t="shared" si="41"/>
        <v>0</v>
      </c>
      <c r="Q62" s="233">
        <f t="shared" si="41"/>
        <v>0</v>
      </c>
      <c r="R62" s="233">
        <f t="shared" si="8"/>
        <v>0</v>
      </c>
    </row>
    <row r="63" spans="1:18" s="89" customFormat="1" ht="12">
      <c r="A63" s="140" t="s">
        <v>133</v>
      </c>
      <c r="B63" s="124" t="s">
        <v>122</v>
      </c>
      <c r="C63" s="181">
        <v>8290911</v>
      </c>
      <c r="D63" s="181">
        <v>2963124</v>
      </c>
      <c r="E63" s="254">
        <f>E147+E231</f>
        <v>1800</v>
      </c>
      <c r="F63" s="254">
        <f t="shared" ref="F63:G64" si="42">F147+F231</f>
        <v>14000</v>
      </c>
      <c r="G63" s="254">
        <f t="shared" si="42"/>
        <v>0</v>
      </c>
      <c r="H63" s="233">
        <f t="shared" si="4"/>
        <v>2978924</v>
      </c>
      <c r="I63" s="254">
        <v>187040</v>
      </c>
      <c r="J63" s="254">
        <f t="shared" ref="J63:L64" si="43">J147+J231</f>
        <v>0</v>
      </c>
      <c r="K63" s="254">
        <f t="shared" si="43"/>
        <v>0</v>
      </c>
      <c r="L63" s="254">
        <f t="shared" si="43"/>
        <v>0</v>
      </c>
      <c r="M63" s="233">
        <f t="shared" si="6"/>
        <v>187040</v>
      </c>
      <c r="N63" s="254">
        <v>184040</v>
      </c>
      <c r="O63" s="254">
        <f t="shared" ref="O63:Q64" si="44">O147+O231</f>
        <v>0</v>
      </c>
      <c r="P63" s="254">
        <f t="shared" si="44"/>
        <v>0</v>
      </c>
      <c r="Q63" s="254">
        <f t="shared" si="44"/>
        <v>0</v>
      </c>
      <c r="R63" s="233">
        <f t="shared" si="8"/>
        <v>184040</v>
      </c>
    </row>
    <row r="64" spans="1:18" s="89" customFormat="1" ht="12">
      <c r="A64" s="140">
        <v>5000</v>
      </c>
      <c r="B64" s="124" t="s">
        <v>123</v>
      </c>
      <c r="C64" s="171">
        <v>1635182</v>
      </c>
      <c r="D64" s="171">
        <v>184040</v>
      </c>
      <c r="E64" s="233">
        <f>E148+E232</f>
        <v>1800</v>
      </c>
      <c r="F64" s="233">
        <f t="shared" si="42"/>
        <v>14000</v>
      </c>
      <c r="G64" s="233">
        <f t="shared" si="42"/>
        <v>0</v>
      </c>
      <c r="H64" s="233">
        <f t="shared" si="4"/>
        <v>199840</v>
      </c>
      <c r="I64" s="233">
        <v>187040</v>
      </c>
      <c r="J64" s="233">
        <f t="shared" si="43"/>
        <v>0</v>
      </c>
      <c r="K64" s="233">
        <f t="shared" si="43"/>
        <v>0</v>
      </c>
      <c r="L64" s="233">
        <f t="shared" si="43"/>
        <v>0</v>
      </c>
      <c r="M64" s="233">
        <f t="shared" si="6"/>
        <v>187040</v>
      </c>
      <c r="N64" s="233">
        <v>184040</v>
      </c>
      <c r="O64" s="233">
        <f t="shared" si="44"/>
        <v>0</v>
      </c>
      <c r="P64" s="233">
        <f t="shared" si="44"/>
        <v>0</v>
      </c>
      <c r="Q64" s="233">
        <f t="shared" si="44"/>
        <v>0</v>
      </c>
      <c r="R64" s="233">
        <f t="shared" si="8"/>
        <v>184040</v>
      </c>
    </row>
    <row r="65" spans="1:19" s="89" customFormat="1" ht="12">
      <c r="A65" s="140">
        <v>9000</v>
      </c>
      <c r="B65" s="182" t="s">
        <v>164</v>
      </c>
      <c r="C65" s="171">
        <v>6655729</v>
      </c>
      <c r="D65" s="171">
        <v>2779084</v>
      </c>
      <c r="E65" s="233">
        <f>E233</f>
        <v>0</v>
      </c>
      <c r="F65" s="233">
        <f t="shared" ref="F65:G65" si="45">F233</f>
        <v>0</v>
      </c>
      <c r="G65" s="233">
        <f t="shared" si="45"/>
        <v>0</v>
      </c>
      <c r="H65" s="233">
        <f t="shared" si="4"/>
        <v>2779084</v>
      </c>
      <c r="I65" s="233">
        <v>0</v>
      </c>
      <c r="J65" s="233">
        <f t="shared" ref="J65:L65" si="46">J233</f>
        <v>0</v>
      </c>
      <c r="K65" s="233">
        <f t="shared" si="46"/>
        <v>0</v>
      </c>
      <c r="L65" s="233">
        <f t="shared" si="46"/>
        <v>0</v>
      </c>
      <c r="M65" s="233">
        <f t="shared" si="6"/>
        <v>0</v>
      </c>
      <c r="N65" s="233">
        <v>0</v>
      </c>
      <c r="O65" s="233">
        <f t="shared" ref="O65:Q65" si="47">O233</f>
        <v>0</v>
      </c>
      <c r="P65" s="233">
        <f t="shared" si="47"/>
        <v>0</v>
      </c>
      <c r="Q65" s="233">
        <f t="shared" si="47"/>
        <v>0</v>
      </c>
      <c r="R65" s="233">
        <f t="shared" si="8"/>
        <v>0</v>
      </c>
    </row>
    <row r="66" spans="1:19" s="89" customFormat="1" ht="12" hidden="1" customHeight="1">
      <c r="A66" s="141">
        <v>9100</v>
      </c>
      <c r="B66" s="179" t="s">
        <v>124</v>
      </c>
      <c r="C66" s="171">
        <v>0</v>
      </c>
      <c r="D66" s="171">
        <v>0</v>
      </c>
      <c r="E66" s="233"/>
      <c r="F66" s="233"/>
      <c r="G66" s="233"/>
      <c r="H66" s="233">
        <f t="shared" si="4"/>
        <v>0</v>
      </c>
      <c r="I66" s="233">
        <v>0</v>
      </c>
      <c r="J66" s="233"/>
      <c r="K66" s="233"/>
      <c r="L66" s="233"/>
      <c r="M66" s="233">
        <f t="shared" si="6"/>
        <v>0</v>
      </c>
      <c r="N66" s="233">
        <v>0</v>
      </c>
      <c r="O66" s="233"/>
      <c r="P66" s="233"/>
      <c r="Q66" s="233"/>
      <c r="R66" s="233">
        <f t="shared" si="8"/>
        <v>0</v>
      </c>
    </row>
    <row r="67" spans="1:19" s="89" customFormat="1" ht="24" hidden="1" customHeight="1">
      <c r="A67" s="133" t="s">
        <v>125</v>
      </c>
      <c r="B67" s="179" t="s">
        <v>214</v>
      </c>
      <c r="C67" s="171">
        <v>0</v>
      </c>
      <c r="D67" s="171">
        <v>0</v>
      </c>
      <c r="E67" s="233"/>
      <c r="F67" s="233"/>
      <c r="G67" s="233"/>
      <c r="H67" s="233">
        <f t="shared" si="4"/>
        <v>0</v>
      </c>
      <c r="I67" s="233">
        <v>0</v>
      </c>
      <c r="J67" s="233"/>
      <c r="K67" s="233"/>
      <c r="L67" s="233"/>
      <c r="M67" s="233">
        <f t="shared" si="6"/>
        <v>0</v>
      </c>
      <c r="N67" s="233">
        <v>0</v>
      </c>
      <c r="O67" s="233"/>
      <c r="P67" s="233"/>
      <c r="Q67" s="233"/>
      <c r="R67" s="233">
        <f t="shared" si="8"/>
        <v>0</v>
      </c>
    </row>
    <row r="68" spans="1:19" s="89" customFormat="1" ht="24" hidden="1" customHeight="1">
      <c r="A68" s="133">
        <v>9140</v>
      </c>
      <c r="B68" s="179" t="s">
        <v>215</v>
      </c>
      <c r="C68" s="171">
        <v>0</v>
      </c>
      <c r="D68" s="171">
        <v>0</v>
      </c>
      <c r="E68" s="233"/>
      <c r="F68" s="233"/>
      <c r="G68" s="233"/>
      <c r="H68" s="233">
        <f t="shared" si="4"/>
        <v>0</v>
      </c>
      <c r="I68" s="233">
        <v>0</v>
      </c>
      <c r="J68" s="233"/>
      <c r="K68" s="233"/>
      <c r="L68" s="233"/>
      <c r="M68" s="233">
        <f t="shared" si="6"/>
        <v>0</v>
      </c>
      <c r="N68" s="233">
        <v>0</v>
      </c>
      <c r="O68" s="233"/>
      <c r="P68" s="233"/>
      <c r="Q68" s="233"/>
      <c r="R68" s="233">
        <f t="shared" si="8"/>
        <v>0</v>
      </c>
    </row>
    <row r="69" spans="1:19" s="89" customFormat="1" ht="36" hidden="1" customHeight="1">
      <c r="A69" s="134">
        <v>9141</v>
      </c>
      <c r="B69" s="172" t="s">
        <v>190</v>
      </c>
      <c r="C69" s="180">
        <v>0</v>
      </c>
      <c r="D69" s="180">
        <v>0</v>
      </c>
      <c r="E69" s="252"/>
      <c r="F69" s="252"/>
      <c r="G69" s="252"/>
      <c r="H69" s="233">
        <f t="shared" si="4"/>
        <v>0</v>
      </c>
      <c r="I69" s="252">
        <v>0</v>
      </c>
      <c r="J69" s="252"/>
      <c r="K69" s="252"/>
      <c r="L69" s="252"/>
      <c r="M69" s="233">
        <f t="shared" si="6"/>
        <v>0</v>
      </c>
      <c r="N69" s="252">
        <v>0</v>
      </c>
      <c r="O69" s="252"/>
      <c r="P69" s="252"/>
      <c r="Q69" s="252"/>
      <c r="R69" s="233">
        <f t="shared" si="8"/>
        <v>0</v>
      </c>
    </row>
    <row r="70" spans="1:19" s="89" customFormat="1" ht="36" hidden="1" customHeight="1">
      <c r="A70" s="134">
        <v>9142</v>
      </c>
      <c r="B70" s="172" t="s">
        <v>191</v>
      </c>
      <c r="C70" s="180">
        <v>0</v>
      </c>
      <c r="D70" s="180">
        <v>0</v>
      </c>
      <c r="E70" s="252"/>
      <c r="F70" s="252"/>
      <c r="G70" s="252"/>
      <c r="H70" s="233">
        <f t="shared" si="4"/>
        <v>0</v>
      </c>
      <c r="I70" s="252">
        <v>0</v>
      </c>
      <c r="J70" s="252"/>
      <c r="K70" s="252"/>
      <c r="L70" s="252"/>
      <c r="M70" s="233">
        <f t="shared" si="6"/>
        <v>0</v>
      </c>
      <c r="N70" s="252">
        <v>0</v>
      </c>
      <c r="O70" s="252"/>
      <c r="P70" s="252"/>
      <c r="Q70" s="252"/>
      <c r="R70" s="233">
        <f t="shared" si="8"/>
        <v>0</v>
      </c>
    </row>
    <row r="71" spans="1:19" s="89" customFormat="1" ht="24" hidden="1" customHeight="1">
      <c r="A71" s="134">
        <v>9149</v>
      </c>
      <c r="B71" s="172" t="s">
        <v>192</v>
      </c>
      <c r="C71" s="180">
        <v>0</v>
      </c>
      <c r="D71" s="180">
        <v>0</v>
      </c>
      <c r="E71" s="252"/>
      <c r="F71" s="252"/>
      <c r="G71" s="252"/>
      <c r="H71" s="233">
        <f t="shared" si="4"/>
        <v>0</v>
      </c>
      <c r="I71" s="252">
        <v>0</v>
      </c>
      <c r="J71" s="252"/>
      <c r="K71" s="252"/>
      <c r="L71" s="252"/>
      <c r="M71" s="233">
        <f t="shared" si="6"/>
        <v>0</v>
      </c>
      <c r="N71" s="252">
        <v>0</v>
      </c>
      <c r="O71" s="252"/>
      <c r="P71" s="252"/>
      <c r="Q71" s="252"/>
      <c r="R71" s="233">
        <f t="shared" si="8"/>
        <v>0</v>
      </c>
    </row>
    <row r="72" spans="1:19" s="29" customFormat="1" ht="24">
      <c r="A72" s="141">
        <v>9500</v>
      </c>
      <c r="B72" s="172" t="s">
        <v>165</v>
      </c>
      <c r="C72" s="171">
        <v>6655729</v>
      </c>
      <c r="D72" s="171">
        <v>2779084</v>
      </c>
      <c r="E72" s="233">
        <f>E240</f>
        <v>0</v>
      </c>
      <c r="F72" s="233">
        <f t="shared" ref="F72:G72" si="48">F240</f>
        <v>0</v>
      </c>
      <c r="G72" s="233">
        <f t="shared" si="48"/>
        <v>0</v>
      </c>
      <c r="H72" s="233">
        <f t="shared" si="4"/>
        <v>2779084</v>
      </c>
      <c r="I72" s="233">
        <v>0</v>
      </c>
      <c r="J72" s="233">
        <f t="shared" ref="J72:L72" si="49">J240</f>
        <v>0</v>
      </c>
      <c r="K72" s="233">
        <f t="shared" si="49"/>
        <v>0</v>
      </c>
      <c r="L72" s="233">
        <f t="shared" si="49"/>
        <v>0</v>
      </c>
      <c r="M72" s="233">
        <f t="shared" si="6"/>
        <v>0</v>
      </c>
      <c r="N72" s="233">
        <v>0</v>
      </c>
      <c r="O72" s="233">
        <f t="shared" ref="O72:Q72" si="50">O240</f>
        <v>0</v>
      </c>
      <c r="P72" s="233">
        <f t="shared" si="50"/>
        <v>0</v>
      </c>
      <c r="Q72" s="233">
        <f t="shared" si="50"/>
        <v>0</v>
      </c>
      <c r="R72" s="233">
        <f t="shared" si="8"/>
        <v>0</v>
      </c>
    </row>
    <row r="73" spans="1:19" s="29" customFormat="1" ht="24" hidden="1" customHeight="1">
      <c r="A73" s="133" t="s">
        <v>193</v>
      </c>
      <c r="B73" s="172" t="s">
        <v>171</v>
      </c>
      <c r="C73" s="171">
        <v>0</v>
      </c>
      <c r="D73" s="171">
        <v>0</v>
      </c>
      <c r="E73" s="233"/>
      <c r="F73" s="233"/>
      <c r="G73" s="233"/>
      <c r="H73" s="233">
        <f t="shared" si="4"/>
        <v>0</v>
      </c>
      <c r="I73" s="233">
        <v>0</v>
      </c>
      <c r="J73" s="233"/>
      <c r="K73" s="233"/>
      <c r="L73" s="233"/>
      <c r="M73" s="233">
        <f t="shared" si="6"/>
        <v>0</v>
      </c>
      <c r="N73" s="233">
        <v>0</v>
      </c>
      <c r="O73" s="233"/>
      <c r="P73" s="233"/>
      <c r="Q73" s="233"/>
      <c r="R73" s="233">
        <f t="shared" si="8"/>
        <v>0</v>
      </c>
    </row>
    <row r="74" spans="1:19" s="28" customFormat="1" ht="48">
      <c r="A74" s="133">
        <v>9580</v>
      </c>
      <c r="B74" s="172" t="s">
        <v>166</v>
      </c>
      <c r="C74" s="180">
        <v>6655729</v>
      </c>
      <c r="D74" s="180">
        <v>2779084</v>
      </c>
      <c r="E74" s="252">
        <f>E242</f>
        <v>0</v>
      </c>
      <c r="F74" s="252">
        <f t="shared" ref="F74:G74" si="51">F242</f>
        <v>0</v>
      </c>
      <c r="G74" s="252">
        <f t="shared" si="51"/>
        <v>0</v>
      </c>
      <c r="H74" s="233">
        <f t="shared" si="4"/>
        <v>2779084</v>
      </c>
      <c r="I74" s="252">
        <v>0</v>
      </c>
      <c r="J74" s="252">
        <f t="shared" ref="J74:L74" si="52">J242</f>
        <v>0</v>
      </c>
      <c r="K74" s="252">
        <f t="shared" si="52"/>
        <v>0</v>
      </c>
      <c r="L74" s="252">
        <f t="shared" si="52"/>
        <v>0</v>
      </c>
      <c r="M74" s="233">
        <f t="shared" si="6"/>
        <v>0</v>
      </c>
      <c r="N74" s="252">
        <v>0</v>
      </c>
      <c r="O74" s="252">
        <f t="shared" ref="O74:Q74" si="53">O242</f>
        <v>0</v>
      </c>
      <c r="P74" s="252">
        <f t="shared" si="53"/>
        <v>0</v>
      </c>
      <c r="Q74" s="252">
        <f t="shared" si="53"/>
        <v>0</v>
      </c>
      <c r="R74" s="233">
        <f t="shared" si="8"/>
        <v>0</v>
      </c>
      <c r="S74" s="340"/>
    </row>
    <row r="75" spans="1:19" s="4" customFormat="1" ht="48" hidden="1" customHeight="1">
      <c r="A75" s="133">
        <v>9590</v>
      </c>
      <c r="B75" s="179" t="s">
        <v>172</v>
      </c>
      <c r="C75" s="180">
        <v>0</v>
      </c>
      <c r="D75" s="180">
        <v>0</v>
      </c>
      <c r="E75" s="252"/>
      <c r="F75" s="252"/>
      <c r="G75" s="252"/>
      <c r="H75" s="233">
        <f t="shared" ref="H75:H138" si="54">SUM(D75:G75)</f>
        <v>0</v>
      </c>
      <c r="I75" s="252">
        <v>0</v>
      </c>
      <c r="J75" s="252"/>
      <c r="K75" s="252"/>
      <c r="L75" s="252"/>
      <c r="M75" s="233">
        <f t="shared" ref="M75:M138" si="55">SUM(I75:L75)</f>
        <v>0</v>
      </c>
      <c r="N75" s="252">
        <v>0</v>
      </c>
      <c r="O75" s="252"/>
      <c r="P75" s="252"/>
      <c r="Q75" s="252"/>
      <c r="R75" s="233">
        <f t="shared" ref="R75:R138" si="56">SUM(N75:Q75)</f>
        <v>0</v>
      </c>
    </row>
    <row r="76" spans="1:19" ht="24" hidden="1" customHeight="1">
      <c r="A76" s="141">
        <v>9700</v>
      </c>
      <c r="B76" s="183" t="s">
        <v>194</v>
      </c>
      <c r="C76" s="171">
        <v>0</v>
      </c>
      <c r="D76" s="171">
        <v>0</v>
      </c>
      <c r="E76" s="233"/>
      <c r="F76" s="233"/>
      <c r="G76" s="233"/>
      <c r="H76" s="233">
        <f t="shared" si="54"/>
        <v>0</v>
      </c>
      <c r="I76" s="233">
        <v>0</v>
      </c>
      <c r="J76" s="233"/>
      <c r="K76" s="233"/>
      <c r="L76" s="233"/>
      <c r="M76" s="233">
        <f t="shared" si="55"/>
        <v>0</v>
      </c>
      <c r="N76" s="233">
        <v>0</v>
      </c>
      <c r="O76" s="233"/>
      <c r="P76" s="233"/>
      <c r="Q76" s="233"/>
      <c r="R76" s="233">
        <f t="shared" si="56"/>
        <v>0</v>
      </c>
    </row>
    <row r="77" spans="1:19" ht="24" hidden="1" customHeight="1">
      <c r="A77" s="133">
        <v>9710</v>
      </c>
      <c r="B77" s="184" t="s">
        <v>195</v>
      </c>
      <c r="C77" s="180">
        <v>0</v>
      </c>
      <c r="D77" s="180">
        <v>0</v>
      </c>
      <c r="E77" s="252"/>
      <c r="F77" s="252"/>
      <c r="G77" s="252"/>
      <c r="H77" s="233">
        <f t="shared" si="54"/>
        <v>0</v>
      </c>
      <c r="I77" s="252">
        <v>0</v>
      </c>
      <c r="J77" s="252"/>
      <c r="K77" s="252"/>
      <c r="L77" s="252"/>
      <c r="M77" s="233">
        <f t="shared" si="55"/>
        <v>0</v>
      </c>
      <c r="N77" s="252">
        <v>0</v>
      </c>
      <c r="O77" s="252"/>
      <c r="P77" s="252"/>
      <c r="Q77" s="252"/>
      <c r="R77" s="233">
        <f t="shared" si="56"/>
        <v>0</v>
      </c>
    </row>
    <row r="78" spans="1:19" ht="48" hidden="1" customHeight="1">
      <c r="A78" s="142">
        <v>9720</v>
      </c>
      <c r="B78" s="183" t="s">
        <v>196</v>
      </c>
      <c r="C78" s="180">
        <v>0</v>
      </c>
      <c r="D78" s="180">
        <v>0</v>
      </c>
      <c r="E78" s="252"/>
      <c r="F78" s="252"/>
      <c r="G78" s="252"/>
      <c r="H78" s="233">
        <f t="shared" si="54"/>
        <v>0</v>
      </c>
      <c r="I78" s="252">
        <v>0</v>
      </c>
      <c r="J78" s="252"/>
      <c r="K78" s="252"/>
      <c r="L78" s="252"/>
      <c r="M78" s="233">
        <f t="shared" si="55"/>
        <v>0</v>
      </c>
      <c r="N78" s="252">
        <v>0</v>
      </c>
      <c r="O78" s="252"/>
      <c r="P78" s="252"/>
      <c r="Q78" s="252"/>
      <c r="R78" s="233">
        <f t="shared" si="56"/>
        <v>0</v>
      </c>
    </row>
    <row r="79" spans="1:19" ht="24" hidden="1" customHeight="1">
      <c r="A79" s="141">
        <v>9600</v>
      </c>
      <c r="B79" s="179" t="s">
        <v>134</v>
      </c>
      <c r="C79" s="180">
        <v>0</v>
      </c>
      <c r="D79" s="180">
        <v>0</v>
      </c>
      <c r="E79" s="252"/>
      <c r="F79" s="252"/>
      <c r="G79" s="252"/>
      <c r="H79" s="233">
        <f t="shared" si="54"/>
        <v>0</v>
      </c>
      <c r="I79" s="252">
        <v>0</v>
      </c>
      <c r="J79" s="252"/>
      <c r="K79" s="252"/>
      <c r="L79" s="252"/>
      <c r="M79" s="233">
        <f t="shared" si="55"/>
        <v>0</v>
      </c>
      <c r="N79" s="252">
        <v>0</v>
      </c>
      <c r="O79" s="252"/>
      <c r="P79" s="252"/>
      <c r="Q79" s="252"/>
      <c r="R79" s="233">
        <f t="shared" si="56"/>
        <v>0</v>
      </c>
    </row>
    <row r="80" spans="1:19" ht="30.6">
      <c r="A80" s="130" t="s">
        <v>197</v>
      </c>
      <c r="B80" s="185" t="s">
        <v>47</v>
      </c>
      <c r="C80" s="186">
        <v>-116315</v>
      </c>
      <c r="D80" s="186">
        <v>-6500</v>
      </c>
      <c r="E80" s="262">
        <f>E10-E35</f>
        <v>0</v>
      </c>
      <c r="F80" s="262">
        <f t="shared" ref="F80:G80" si="57">F10-F35</f>
        <v>0</v>
      </c>
      <c r="G80" s="262">
        <f t="shared" si="57"/>
        <v>0</v>
      </c>
      <c r="H80" s="233">
        <f t="shared" si="54"/>
        <v>-6500</v>
      </c>
      <c r="I80" s="262">
        <v>-5500</v>
      </c>
      <c r="J80" s="262">
        <f t="shared" ref="J80:L80" si="58">J10-J35</f>
        <v>0</v>
      </c>
      <c r="K80" s="262">
        <f t="shared" si="58"/>
        <v>0</v>
      </c>
      <c r="L80" s="262">
        <f t="shared" si="58"/>
        <v>0</v>
      </c>
      <c r="M80" s="233">
        <f t="shared" si="55"/>
        <v>-5500</v>
      </c>
      <c r="N80" s="262">
        <v>0</v>
      </c>
      <c r="O80" s="262">
        <f t="shared" ref="O80:Q80" si="59">O10-O35</f>
        <v>0</v>
      </c>
      <c r="P80" s="262">
        <f t="shared" si="59"/>
        <v>0</v>
      </c>
      <c r="Q80" s="262">
        <f t="shared" si="59"/>
        <v>0</v>
      </c>
      <c r="R80" s="233">
        <f t="shared" si="56"/>
        <v>0</v>
      </c>
    </row>
    <row r="81" spans="1:18" ht="12">
      <c r="A81" s="143" t="s">
        <v>48</v>
      </c>
      <c r="B81" s="185" t="s">
        <v>49</v>
      </c>
      <c r="C81" s="186">
        <v>116315</v>
      </c>
      <c r="D81" s="186">
        <v>6500</v>
      </c>
      <c r="E81" s="262">
        <f>E165+E249</f>
        <v>0</v>
      </c>
      <c r="F81" s="262">
        <f t="shared" ref="F81:G81" si="60">F165+F249</f>
        <v>0</v>
      </c>
      <c r="G81" s="262">
        <f t="shared" si="60"/>
        <v>0</v>
      </c>
      <c r="H81" s="233">
        <f t="shared" si="54"/>
        <v>6500</v>
      </c>
      <c r="I81" s="262">
        <v>5500</v>
      </c>
      <c r="J81" s="262">
        <f t="shared" ref="J81:L81" si="61">J165+J249</f>
        <v>0</v>
      </c>
      <c r="K81" s="262">
        <f t="shared" si="61"/>
        <v>0</v>
      </c>
      <c r="L81" s="262">
        <f t="shared" si="61"/>
        <v>0</v>
      </c>
      <c r="M81" s="233">
        <f t="shared" si="55"/>
        <v>5500</v>
      </c>
      <c r="N81" s="262">
        <v>0</v>
      </c>
      <c r="O81" s="262">
        <f t="shared" ref="O81:Q81" si="62">O165+O249</f>
        <v>0</v>
      </c>
      <c r="P81" s="262">
        <f t="shared" si="62"/>
        <v>0</v>
      </c>
      <c r="Q81" s="262">
        <f t="shared" si="62"/>
        <v>0</v>
      </c>
      <c r="R81" s="233">
        <f t="shared" si="56"/>
        <v>0</v>
      </c>
    </row>
    <row r="82" spans="1:18" s="4" customFormat="1" ht="12" hidden="1" customHeight="1">
      <c r="A82" s="141" t="s">
        <v>50</v>
      </c>
      <c r="B82" s="179" t="s">
        <v>51</v>
      </c>
      <c r="C82" s="169">
        <v>0</v>
      </c>
      <c r="D82" s="169">
        <v>0</v>
      </c>
      <c r="E82" s="231"/>
      <c r="F82" s="231"/>
      <c r="G82" s="231"/>
      <c r="H82" s="233">
        <f t="shared" si="54"/>
        <v>0</v>
      </c>
      <c r="I82" s="231">
        <v>0</v>
      </c>
      <c r="J82" s="231"/>
      <c r="K82" s="231"/>
      <c r="L82" s="231"/>
      <c r="M82" s="233">
        <f t="shared" si="55"/>
        <v>0</v>
      </c>
      <c r="N82" s="231">
        <v>0</v>
      </c>
      <c r="O82" s="231"/>
      <c r="P82" s="231"/>
      <c r="Q82" s="231"/>
      <c r="R82" s="233">
        <f t="shared" si="56"/>
        <v>0</v>
      </c>
    </row>
    <row r="83" spans="1:18" s="6" customFormat="1" ht="12" hidden="1" customHeight="1">
      <c r="A83" s="141" t="s">
        <v>52</v>
      </c>
      <c r="B83" s="179" t="s">
        <v>53</v>
      </c>
      <c r="C83" s="169">
        <v>0</v>
      </c>
      <c r="D83" s="169">
        <v>0</v>
      </c>
      <c r="E83" s="231"/>
      <c r="F83" s="231"/>
      <c r="G83" s="231"/>
      <c r="H83" s="233">
        <f t="shared" si="54"/>
        <v>0</v>
      </c>
      <c r="I83" s="231">
        <v>0</v>
      </c>
      <c r="J83" s="231"/>
      <c r="K83" s="231"/>
      <c r="L83" s="231"/>
      <c r="M83" s="233">
        <f t="shared" si="55"/>
        <v>0</v>
      </c>
      <c r="N83" s="231">
        <v>0</v>
      </c>
      <c r="O83" s="231"/>
      <c r="P83" s="231"/>
      <c r="Q83" s="231"/>
      <c r="R83" s="233">
        <f t="shared" si="56"/>
        <v>0</v>
      </c>
    </row>
    <row r="84" spans="1:18" s="6" customFormat="1" ht="12" hidden="1" customHeight="1">
      <c r="A84" s="141" t="s">
        <v>54</v>
      </c>
      <c r="B84" s="179" t="s">
        <v>55</v>
      </c>
      <c r="C84" s="169">
        <v>0</v>
      </c>
      <c r="D84" s="169">
        <v>0</v>
      </c>
      <c r="E84" s="231"/>
      <c r="F84" s="231"/>
      <c r="G84" s="231"/>
      <c r="H84" s="233">
        <f t="shared" si="54"/>
        <v>0</v>
      </c>
      <c r="I84" s="231">
        <v>0</v>
      </c>
      <c r="J84" s="231"/>
      <c r="K84" s="231"/>
      <c r="L84" s="231"/>
      <c r="M84" s="233">
        <f t="shared" si="55"/>
        <v>0</v>
      </c>
      <c r="N84" s="231">
        <v>0</v>
      </c>
      <c r="O84" s="231"/>
      <c r="P84" s="231"/>
      <c r="Q84" s="231"/>
      <c r="R84" s="233">
        <f t="shared" si="56"/>
        <v>0</v>
      </c>
    </row>
    <row r="85" spans="1:18" s="6" customFormat="1" ht="12" hidden="1" customHeight="1">
      <c r="A85" s="141" t="s">
        <v>56</v>
      </c>
      <c r="B85" s="179" t="s">
        <v>57</v>
      </c>
      <c r="C85" s="169">
        <v>0</v>
      </c>
      <c r="D85" s="169">
        <v>0</v>
      </c>
      <c r="E85" s="231"/>
      <c r="F85" s="231"/>
      <c r="G85" s="231"/>
      <c r="H85" s="233">
        <f t="shared" si="54"/>
        <v>0</v>
      </c>
      <c r="I85" s="231">
        <v>0</v>
      </c>
      <c r="J85" s="231"/>
      <c r="K85" s="231"/>
      <c r="L85" s="231"/>
      <c r="M85" s="233">
        <f t="shared" si="55"/>
        <v>0</v>
      </c>
      <c r="N85" s="231">
        <v>0</v>
      </c>
      <c r="O85" s="231"/>
      <c r="P85" s="231"/>
      <c r="Q85" s="231"/>
      <c r="R85" s="233">
        <f t="shared" si="56"/>
        <v>0</v>
      </c>
    </row>
    <row r="86" spans="1:18" s="6" customFormat="1" ht="12" hidden="1" customHeight="1">
      <c r="A86" s="141" t="s">
        <v>58</v>
      </c>
      <c r="B86" s="179" t="s">
        <v>59</v>
      </c>
      <c r="C86" s="169">
        <v>0</v>
      </c>
      <c r="D86" s="169">
        <v>0</v>
      </c>
      <c r="E86" s="231"/>
      <c r="F86" s="231"/>
      <c r="G86" s="231"/>
      <c r="H86" s="233">
        <f t="shared" si="54"/>
        <v>0</v>
      </c>
      <c r="I86" s="231">
        <v>0</v>
      </c>
      <c r="J86" s="231"/>
      <c r="K86" s="231"/>
      <c r="L86" s="231"/>
      <c r="M86" s="233">
        <f t="shared" si="55"/>
        <v>0</v>
      </c>
      <c r="N86" s="231">
        <v>0</v>
      </c>
      <c r="O86" s="231"/>
      <c r="P86" s="231"/>
      <c r="Q86" s="231"/>
      <c r="R86" s="233">
        <f t="shared" si="56"/>
        <v>0</v>
      </c>
    </row>
    <row r="87" spans="1:18" s="6" customFormat="1" ht="12" hidden="1" customHeight="1">
      <c r="A87" s="141" t="s">
        <v>60</v>
      </c>
      <c r="B87" s="179" t="s">
        <v>61</v>
      </c>
      <c r="C87" s="169">
        <v>0</v>
      </c>
      <c r="D87" s="169">
        <v>0</v>
      </c>
      <c r="E87" s="231"/>
      <c r="F87" s="231"/>
      <c r="G87" s="231"/>
      <c r="H87" s="233">
        <f t="shared" si="54"/>
        <v>0</v>
      </c>
      <c r="I87" s="231">
        <v>0</v>
      </c>
      <c r="J87" s="231"/>
      <c r="K87" s="231"/>
      <c r="L87" s="231"/>
      <c r="M87" s="233">
        <f t="shared" si="55"/>
        <v>0</v>
      </c>
      <c r="N87" s="231">
        <v>0</v>
      </c>
      <c r="O87" s="231"/>
      <c r="P87" s="231"/>
      <c r="Q87" s="231"/>
      <c r="R87" s="233">
        <f t="shared" si="56"/>
        <v>0</v>
      </c>
    </row>
    <row r="88" spans="1:18" s="6" customFormat="1" ht="12" hidden="1" customHeight="1">
      <c r="A88" s="141" t="s">
        <v>198</v>
      </c>
      <c r="B88" s="187" t="s">
        <v>168</v>
      </c>
      <c r="C88" s="169">
        <v>0</v>
      </c>
      <c r="D88" s="169">
        <v>0</v>
      </c>
      <c r="E88" s="231"/>
      <c r="F88" s="231"/>
      <c r="G88" s="231"/>
      <c r="H88" s="233">
        <f t="shared" si="54"/>
        <v>0</v>
      </c>
      <c r="I88" s="231">
        <v>0</v>
      </c>
      <c r="J88" s="231"/>
      <c r="K88" s="231"/>
      <c r="L88" s="231"/>
      <c r="M88" s="233">
        <f t="shared" si="55"/>
        <v>0</v>
      </c>
      <c r="N88" s="231">
        <v>0</v>
      </c>
      <c r="O88" s="231"/>
      <c r="P88" s="231"/>
      <c r="Q88" s="231"/>
      <c r="R88" s="233">
        <f t="shared" si="56"/>
        <v>0</v>
      </c>
    </row>
    <row r="89" spans="1:18" s="6" customFormat="1" ht="12">
      <c r="A89" s="144" t="s">
        <v>62</v>
      </c>
      <c r="B89" s="125" t="s">
        <v>63</v>
      </c>
      <c r="C89" s="171">
        <v>116315</v>
      </c>
      <c r="D89" s="171">
        <v>6500</v>
      </c>
      <c r="E89" s="233">
        <f>E173+E257</f>
        <v>0</v>
      </c>
      <c r="F89" s="233">
        <f t="shared" ref="F89:G89" si="63">F173+F257</f>
        <v>0</v>
      </c>
      <c r="G89" s="233">
        <f t="shared" si="63"/>
        <v>0</v>
      </c>
      <c r="H89" s="233">
        <f t="shared" si="54"/>
        <v>6500</v>
      </c>
      <c r="I89" s="233">
        <v>5500</v>
      </c>
      <c r="J89" s="233">
        <f t="shared" ref="J89:L89" si="64">J173+J257</f>
        <v>0</v>
      </c>
      <c r="K89" s="233">
        <f t="shared" si="64"/>
        <v>0</v>
      </c>
      <c r="L89" s="233">
        <f t="shared" si="64"/>
        <v>0</v>
      </c>
      <c r="M89" s="233">
        <f t="shared" si="55"/>
        <v>5500</v>
      </c>
      <c r="N89" s="233">
        <v>0</v>
      </c>
      <c r="O89" s="233">
        <f t="shared" ref="O89:Q89" si="65">O173+O257</f>
        <v>0</v>
      </c>
      <c r="P89" s="233">
        <f t="shared" si="65"/>
        <v>0</v>
      </c>
      <c r="Q89" s="233">
        <f t="shared" si="65"/>
        <v>0</v>
      </c>
      <c r="R89" s="233">
        <f t="shared" si="56"/>
        <v>0</v>
      </c>
    </row>
    <row r="90" spans="1:18" s="6" customFormat="1" ht="36">
      <c r="A90" s="144" t="s">
        <v>64</v>
      </c>
      <c r="B90" s="179" t="s">
        <v>65</v>
      </c>
      <c r="C90" s="169">
        <v>12430</v>
      </c>
      <c r="D90" s="169">
        <v>0</v>
      </c>
      <c r="E90" s="231">
        <f>E174</f>
        <v>0</v>
      </c>
      <c r="F90" s="231">
        <f t="shared" ref="F90:G90" si="66">F174</f>
        <v>0</v>
      </c>
      <c r="G90" s="231">
        <f t="shared" si="66"/>
        <v>0</v>
      </c>
      <c r="H90" s="233">
        <f t="shared" si="54"/>
        <v>0</v>
      </c>
      <c r="I90" s="231">
        <v>0</v>
      </c>
      <c r="J90" s="231">
        <f t="shared" ref="J90:L90" si="67">J174</f>
        <v>0</v>
      </c>
      <c r="K90" s="231">
        <f t="shared" si="67"/>
        <v>0</v>
      </c>
      <c r="L90" s="231">
        <f t="shared" si="67"/>
        <v>0</v>
      </c>
      <c r="M90" s="233">
        <f t="shared" si="55"/>
        <v>0</v>
      </c>
      <c r="N90" s="231">
        <v>0</v>
      </c>
      <c r="O90" s="231">
        <f t="shared" ref="O90:Q90" si="68">O174</f>
        <v>0</v>
      </c>
      <c r="P90" s="231">
        <f t="shared" si="68"/>
        <v>0</v>
      </c>
      <c r="Q90" s="231">
        <f t="shared" si="68"/>
        <v>0</v>
      </c>
      <c r="R90" s="233">
        <f t="shared" si="56"/>
        <v>0</v>
      </c>
    </row>
    <row r="91" spans="1:18" s="6" customFormat="1" ht="24">
      <c r="A91" s="144" t="s">
        <v>66</v>
      </c>
      <c r="B91" s="179" t="s">
        <v>67</v>
      </c>
      <c r="C91" s="169">
        <v>103885</v>
      </c>
      <c r="D91" s="169">
        <v>6500</v>
      </c>
      <c r="E91" s="231">
        <f>E259</f>
        <v>0</v>
      </c>
      <c r="F91" s="231">
        <f t="shared" ref="F91:G91" si="69">F259</f>
        <v>0</v>
      </c>
      <c r="G91" s="231">
        <f t="shared" si="69"/>
        <v>0</v>
      </c>
      <c r="H91" s="233">
        <f t="shared" si="54"/>
        <v>6500</v>
      </c>
      <c r="I91" s="231">
        <v>5500</v>
      </c>
      <c r="J91" s="231">
        <f t="shared" ref="J91:L91" si="70">J259</f>
        <v>0</v>
      </c>
      <c r="K91" s="231">
        <f t="shared" si="70"/>
        <v>0</v>
      </c>
      <c r="L91" s="231">
        <f t="shared" si="70"/>
        <v>0</v>
      </c>
      <c r="M91" s="233">
        <f t="shared" si="55"/>
        <v>5500</v>
      </c>
      <c r="N91" s="231">
        <v>0</v>
      </c>
      <c r="O91" s="231">
        <f t="shared" ref="O91:Q91" si="71">O259</f>
        <v>0</v>
      </c>
      <c r="P91" s="231">
        <f t="shared" si="71"/>
        <v>0</v>
      </c>
      <c r="Q91" s="231">
        <f t="shared" si="71"/>
        <v>0</v>
      </c>
      <c r="R91" s="233">
        <f t="shared" si="56"/>
        <v>0</v>
      </c>
    </row>
    <row r="92" spans="1:18" s="6" customFormat="1" ht="24" hidden="1" customHeight="1">
      <c r="A92" s="144" t="s">
        <v>68</v>
      </c>
      <c r="B92" s="125" t="s">
        <v>69</v>
      </c>
      <c r="C92" s="169">
        <v>0</v>
      </c>
      <c r="D92" s="169">
        <v>0</v>
      </c>
      <c r="E92" s="231"/>
      <c r="F92" s="231"/>
      <c r="G92" s="231"/>
      <c r="H92" s="233">
        <f t="shared" si="54"/>
        <v>0</v>
      </c>
      <c r="I92" s="231">
        <v>0</v>
      </c>
      <c r="J92" s="231"/>
      <c r="K92" s="231"/>
      <c r="L92" s="231"/>
      <c r="M92" s="233">
        <f t="shared" si="55"/>
        <v>0</v>
      </c>
      <c r="N92" s="231">
        <v>0</v>
      </c>
      <c r="O92" s="231"/>
      <c r="P92" s="231"/>
      <c r="Q92" s="231"/>
      <c r="R92" s="233">
        <f t="shared" si="56"/>
        <v>0</v>
      </c>
    </row>
    <row r="93" spans="1:18" s="6" customFormat="1" ht="12">
      <c r="A93" s="145"/>
      <c r="B93" s="188" t="s">
        <v>199</v>
      </c>
      <c r="C93" s="293"/>
      <c r="D93" s="294">
        <v>0</v>
      </c>
      <c r="E93" s="347"/>
      <c r="F93" s="347"/>
      <c r="G93" s="347"/>
      <c r="H93" s="347">
        <f t="shared" si="54"/>
        <v>0</v>
      </c>
      <c r="I93" s="347">
        <v>0</v>
      </c>
      <c r="J93" s="347"/>
      <c r="K93" s="347"/>
      <c r="L93" s="347"/>
      <c r="M93" s="347">
        <f t="shared" si="55"/>
        <v>0</v>
      </c>
      <c r="N93" s="347">
        <v>0</v>
      </c>
      <c r="O93" s="347"/>
      <c r="P93" s="347"/>
      <c r="Q93" s="347"/>
      <c r="R93" s="347">
        <f t="shared" si="56"/>
        <v>0</v>
      </c>
    </row>
    <row r="94" spans="1:18" s="6" customFormat="1" ht="20.399999999999999">
      <c r="A94" s="321" t="s">
        <v>201</v>
      </c>
      <c r="B94" s="322" t="s">
        <v>88</v>
      </c>
      <c r="C94" s="167">
        <v>28390146</v>
      </c>
      <c r="D94" s="167">
        <v>28999123</v>
      </c>
      <c r="E94" s="228">
        <f>E95+E96+E98+E116</f>
        <v>0</v>
      </c>
      <c r="F94" s="228">
        <f>F271+F281+F290</f>
        <v>6126028</v>
      </c>
      <c r="G94" s="228">
        <f>G302+G312+G320+G330</f>
        <v>543345</v>
      </c>
      <c r="H94" s="243">
        <f t="shared" si="54"/>
        <v>35668496</v>
      </c>
      <c r="I94" s="228">
        <v>28732186</v>
      </c>
      <c r="J94" s="228">
        <f>J95+J96+J98+J116</f>
        <v>0</v>
      </c>
      <c r="K94" s="228">
        <f>K271+K281+K290</f>
        <v>6045112</v>
      </c>
      <c r="L94" s="228">
        <f>L302+L312+L320+L330</f>
        <v>691879</v>
      </c>
      <c r="M94" s="243">
        <f t="shared" si="55"/>
        <v>35469177</v>
      </c>
      <c r="N94" s="228">
        <v>28899693</v>
      </c>
      <c r="O94" s="228">
        <f>O95+O96+O98+O116</f>
        <v>0</v>
      </c>
      <c r="P94" s="228">
        <f>P271+P281+P290</f>
        <v>5655460</v>
      </c>
      <c r="Q94" s="228">
        <f>Q302+Q312+Q320+Q330</f>
        <v>539075</v>
      </c>
      <c r="R94" s="243">
        <f t="shared" si="56"/>
        <v>35094228</v>
      </c>
    </row>
    <row r="95" spans="1:18" s="6" customFormat="1" ht="22.8">
      <c r="A95" s="130" t="s">
        <v>177</v>
      </c>
      <c r="B95" s="124" t="s">
        <v>90</v>
      </c>
      <c r="C95" s="169">
        <v>798470</v>
      </c>
      <c r="D95" s="169">
        <v>585000</v>
      </c>
      <c r="E95" s="231"/>
      <c r="F95" s="231"/>
      <c r="G95" s="231"/>
      <c r="H95" s="233">
        <f t="shared" si="54"/>
        <v>585000</v>
      </c>
      <c r="I95" s="231">
        <v>585000</v>
      </c>
      <c r="J95" s="231"/>
      <c r="K95" s="231"/>
      <c r="L95" s="231"/>
      <c r="M95" s="233">
        <f t="shared" si="55"/>
        <v>585000</v>
      </c>
      <c r="N95" s="231">
        <v>585000</v>
      </c>
      <c r="O95" s="231"/>
      <c r="P95" s="231"/>
      <c r="Q95" s="231"/>
      <c r="R95" s="233">
        <f t="shared" si="56"/>
        <v>585000</v>
      </c>
    </row>
    <row r="96" spans="1:18" s="6" customFormat="1" ht="12" hidden="1" customHeight="1">
      <c r="A96" s="130" t="s">
        <v>91</v>
      </c>
      <c r="B96" s="124" t="s">
        <v>92</v>
      </c>
      <c r="C96" s="169">
        <v>0</v>
      </c>
      <c r="D96" s="169">
        <v>0</v>
      </c>
      <c r="E96" s="231"/>
      <c r="F96" s="231"/>
      <c r="G96" s="231"/>
      <c r="H96" s="233">
        <f t="shared" si="54"/>
        <v>0</v>
      </c>
      <c r="I96" s="231">
        <v>0</v>
      </c>
      <c r="J96" s="231"/>
      <c r="K96" s="231"/>
      <c r="L96" s="231"/>
      <c r="M96" s="233">
        <f t="shared" si="55"/>
        <v>0</v>
      </c>
      <c r="N96" s="231">
        <v>0</v>
      </c>
      <c r="O96" s="231"/>
      <c r="P96" s="231"/>
      <c r="Q96" s="231"/>
      <c r="R96" s="233">
        <f t="shared" si="56"/>
        <v>0</v>
      </c>
    </row>
    <row r="97" spans="1:18" s="6" customFormat="1" ht="24" hidden="1" customHeight="1">
      <c r="A97" s="131">
        <v>21210</v>
      </c>
      <c r="B97" s="125" t="s">
        <v>93</v>
      </c>
      <c r="C97" s="169">
        <v>0</v>
      </c>
      <c r="D97" s="169">
        <v>0</v>
      </c>
      <c r="E97" s="231"/>
      <c r="F97" s="231"/>
      <c r="G97" s="231"/>
      <c r="H97" s="233">
        <f t="shared" si="54"/>
        <v>0</v>
      </c>
      <c r="I97" s="231">
        <v>0</v>
      </c>
      <c r="J97" s="231"/>
      <c r="K97" s="231"/>
      <c r="L97" s="231"/>
      <c r="M97" s="233">
        <f t="shared" si="55"/>
        <v>0</v>
      </c>
      <c r="N97" s="231">
        <v>0</v>
      </c>
      <c r="O97" s="231"/>
      <c r="P97" s="231"/>
      <c r="Q97" s="231"/>
      <c r="R97" s="233">
        <f t="shared" si="56"/>
        <v>0</v>
      </c>
    </row>
    <row r="98" spans="1:18" s="6" customFormat="1" ht="21" hidden="1" customHeight="1">
      <c r="A98" s="130" t="s">
        <v>178</v>
      </c>
      <c r="B98" s="124" t="s">
        <v>94</v>
      </c>
      <c r="C98" s="171">
        <v>0</v>
      </c>
      <c r="D98" s="171">
        <v>0</v>
      </c>
      <c r="E98" s="233">
        <f>E99+E105</f>
        <v>0</v>
      </c>
      <c r="F98" s="233"/>
      <c r="G98" s="233"/>
      <c r="H98" s="233">
        <f t="shared" si="54"/>
        <v>0</v>
      </c>
      <c r="I98" s="233">
        <v>0</v>
      </c>
      <c r="J98" s="233">
        <f>J99+J105</f>
        <v>0</v>
      </c>
      <c r="K98" s="233"/>
      <c r="L98" s="233"/>
      <c r="M98" s="233">
        <f t="shared" si="55"/>
        <v>0</v>
      </c>
      <c r="N98" s="233">
        <v>0</v>
      </c>
      <c r="O98" s="233">
        <f>O99+O105</f>
        <v>0</v>
      </c>
      <c r="P98" s="233"/>
      <c r="Q98" s="233"/>
      <c r="R98" s="233">
        <f t="shared" si="56"/>
        <v>0</v>
      </c>
    </row>
    <row r="99" spans="1:18" s="6" customFormat="1" ht="12" hidden="1" customHeight="1">
      <c r="A99" s="132">
        <v>18000</v>
      </c>
      <c r="B99" s="125" t="s">
        <v>95</v>
      </c>
      <c r="C99" s="171">
        <v>0</v>
      </c>
      <c r="D99" s="171">
        <v>0</v>
      </c>
      <c r="E99" s="233">
        <f t="shared" ref="E99:E100" si="72">E100</f>
        <v>0</v>
      </c>
      <c r="F99" s="233"/>
      <c r="G99" s="233"/>
      <c r="H99" s="233">
        <f t="shared" si="54"/>
        <v>0</v>
      </c>
      <c r="I99" s="233">
        <v>0</v>
      </c>
      <c r="J99" s="233">
        <f t="shared" ref="J99:J100" si="73">J100</f>
        <v>0</v>
      </c>
      <c r="K99" s="233"/>
      <c r="L99" s="233"/>
      <c r="M99" s="233">
        <f t="shared" si="55"/>
        <v>0</v>
      </c>
      <c r="N99" s="233">
        <v>0</v>
      </c>
      <c r="O99" s="233">
        <f t="shared" ref="O99:O100" si="74">O100</f>
        <v>0</v>
      </c>
      <c r="P99" s="233"/>
      <c r="Q99" s="233"/>
      <c r="R99" s="233">
        <f t="shared" si="56"/>
        <v>0</v>
      </c>
    </row>
    <row r="100" spans="1:18" s="6" customFormat="1" ht="12" hidden="1" customHeight="1">
      <c r="A100" s="132">
        <v>18100</v>
      </c>
      <c r="B100" s="125" t="s">
        <v>96</v>
      </c>
      <c r="C100" s="171">
        <v>0</v>
      </c>
      <c r="D100" s="171">
        <v>0</v>
      </c>
      <c r="E100" s="233">
        <f t="shared" si="72"/>
        <v>0</v>
      </c>
      <c r="F100" s="233"/>
      <c r="G100" s="233"/>
      <c r="H100" s="233">
        <f t="shared" si="54"/>
        <v>0</v>
      </c>
      <c r="I100" s="233">
        <v>0</v>
      </c>
      <c r="J100" s="233">
        <f t="shared" si="73"/>
        <v>0</v>
      </c>
      <c r="K100" s="233"/>
      <c r="L100" s="233"/>
      <c r="M100" s="233">
        <f t="shared" si="55"/>
        <v>0</v>
      </c>
      <c r="N100" s="233">
        <v>0</v>
      </c>
      <c r="O100" s="233">
        <f t="shared" si="74"/>
        <v>0</v>
      </c>
      <c r="P100" s="233"/>
      <c r="Q100" s="233"/>
      <c r="R100" s="233">
        <f t="shared" si="56"/>
        <v>0</v>
      </c>
    </row>
    <row r="101" spans="1:18" s="6" customFormat="1" ht="24" hidden="1" customHeight="1">
      <c r="A101" s="133">
        <v>18130</v>
      </c>
      <c r="B101" s="172" t="s">
        <v>159</v>
      </c>
      <c r="C101" s="171">
        <v>0</v>
      </c>
      <c r="D101" s="171">
        <v>0</v>
      </c>
      <c r="E101" s="233">
        <f>SUM(E102:E104)</f>
        <v>0</v>
      </c>
      <c r="F101" s="233"/>
      <c r="G101" s="233"/>
      <c r="H101" s="233">
        <f t="shared" si="54"/>
        <v>0</v>
      </c>
      <c r="I101" s="233">
        <v>0</v>
      </c>
      <c r="J101" s="233">
        <f>SUM(J102:J104)</f>
        <v>0</v>
      </c>
      <c r="K101" s="233"/>
      <c r="L101" s="233"/>
      <c r="M101" s="233">
        <f t="shared" si="55"/>
        <v>0</v>
      </c>
      <c r="N101" s="233">
        <v>0</v>
      </c>
      <c r="O101" s="233">
        <f>SUM(O102:O104)</f>
        <v>0</v>
      </c>
      <c r="P101" s="233"/>
      <c r="Q101" s="233"/>
      <c r="R101" s="233">
        <f t="shared" si="56"/>
        <v>0</v>
      </c>
    </row>
    <row r="102" spans="1:18" s="6" customFormat="1" ht="36" hidden="1" customHeight="1">
      <c r="A102" s="134">
        <v>18131</v>
      </c>
      <c r="B102" s="172" t="s">
        <v>160</v>
      </c>
      <c r="C102" s="171">
        <v>0</v>
      </c>
      <c r="D102" s="171">
        <v>0</v>
      </c>
      <c r="E102" s="233"/>
      <c r="F102" s="233"/>
      <c r="G102" s="233"/>
      <c r="H102" s="233">
        <f t="shared" si="54"/>
        <v>0</v>
      </c>
      <c r="I102" s="233">
        <v>0</v>
      </c>
      <c r="J102" s="233"/>
      <c r="K102" s="233"/>
      <c r="L102" s="233"/>
      <c r="M102" s="233">
        <f t="shared" si="55"/>
        <v>0</v>
      </c>
      <c r="N102" s="233">
        <v>0</v>
      </c>
      <c r="O102" s="233"/>
      <c r="P102" s="233"/>
      <c r="Q102" s="233"/>
      <c r="R102" s="233">
        <f t="shared" si="56"/>
        <v>0</v>
      </c>
    </row>
    <row r="103" spans="1:18" s="6" customFormat="1" ht="24" hidden="1" customHeight="1">
      <c r="A103" s="134">
        <v>18132</v>
      </c>
      <c r="B103" s="172" t="s">
        <v>169</v>
      </c>
      <c r="C103" s="171">
        <v>0</v>
      </c>
      <c r="D103" s="171">
        <v>0</v>
      </c>
      <c r="E103" s="233"/>
      <c r="F103" s="233"/>
      <c r="G103" s="233"/>
      <c r="H103" s="233">
        <f t="shared" si="54"/>
        <v>0</v>
      </c>
      <c r="I103" s="233">
        <v>0</v>
      </c>
      <c r="J103" s="233"/>
      <c r="K103" s="233"/>
      <c r="L103" s="233"/>
      <c r="M103" s="233">
        <f t="shared" si="55"/>
        <v>0</v>
      </c>
      <c r="N103" s="233">
        <v>0</v>
      </c>
      <c r="O103" s="233"/>
      <c r="P103" s="233"/>
      <c r="Q103" s="233"/>
      <c r="R103" s="233">
        <f t="shared" si="56"/>
        <v>0</v>
      </c>
    </row>
    <row r="104" spans="1:18" s="6" customFormat="1" ht="24" hidden="1" customHeight="1">
      <c r="A104" s="134">
        <v>18139</v>
      </c>
      <c r="B104" s="172" t="s">
        <v>179</v>
      </c>
      <c r="C104" s="171">
        <v>0</v>
      </c>
      <c r="D104" s="171">
        <v>0</v>
      </c>
      <c r="E104" s="233"/>
      <c r="F104" s="233"/>
      <c r="G104" s="233"/>
      <c r="H104" s="233">
        <f t="shared" si="54"/>
        <v>0</v>
      </c>
      <c r="I104" s="233">
        <v>0</v>
      </c>
      <c r="J104" s="233"/>
      <c r="K104" s="233"/>
      <c r="L104" s="233"/>
      <c r="M104" s="233">
        <f t="shared" si="55"/>
        <v>0</v>
      </c>
      <c r="N104" s="233">
        <v>0</v>
      </c>
      <c r="O104" s="233"/>
      <c r="P104" s="233"/>
      <c r="Q104" s="233"/>
      <c r="R104" s="233">
        <f t="shared" si="56"/>
        <v>0</v>
      </c>
    </row>
    <row r="105" spans="1:18" s="6" customFormat="1" ht="12" hidden="1" customHeight="1">
      <c r="A105" s="135" t="s">
        <v>180</v>
      </c>
      <c r="B105" s="173" t="s">
        <v>173</v>
      </c>
      <c r="C105" s="174">
        <v>0</v>
      </c>
      <c r="D105" s="174">
        <v>0</v>
      </c>
      <c r="E105" s="238">
        <f>E106</f>
        <v>0</v>
      </c>
      <c r="F105" s="238"/>
      <c r="G105" s="238"/>
      <c r="H105" s="233">
        <f t="shared" si="54"/>
        <v>0</v>
      </c>
      <c r="I105" s="238">
        <v>0</v>
      </c>
      <c r="J105" s="238">
        <f>J106</f>
        <v>0</v>
      </c>
      <c r="K105" s="238"/>
      <c r="L105" s="238"/>
      <c r="M105" s="233">
        <f t="shared" si="55"/>
        <v>0</v>
      </c>
      <c r="N105" s="238">
        <v>0</v>
      </c>
      <c r="O105" s="238">
        <f>O106</f>
        <v>0</v>
      </c>
      <c r="P105" s="238"/>
      <c r="Q105" s="238"/>
      <c r="R105" s="233">
        <f t="shared" si="56"/>
        <v>0</v>
      </c>
    </row>
    <row r="106" spans="1:18" s="6" customFormat="1" ht="24" hidden="1" customHeight="1">
      <c r="A106" s="135">
        <v>19500</v>
      </c>
      <c r="B106" s="172" t="s">
        <v>174</v>
      </c>
      <c r="C106" s="171">
        <v>0</v>
      </c>
      <c r="D106" s="171">
        <v>0</v>
      </c>
      <c r="E106" s="233">
        <f>SUM(E107:E109)</f>
        <v>0</v>
      </c>
      <c r="F106" s="233"/>
      <c r="G106" s="233"/>
      <c r="H106" s="233">
        <f t="shared" si="54"/>
        <v>0</v>
      </c>
      <c r="I106" s="233">
        <v>0</v>
      </c>
      <c r="J106" s="233">
        <f>SUM(J107:J109)</f>
        <v>0</v>
      </c>
      <c r="K106" s="233"/>
      <c r="L106" s="233"/>
      <c r="M106" s="233">
        <f t="shared" si="55"/>
        <v>0</v>
      </c>
      <c r="N106" s="233">
        <v>0</v>
      </c>
      <c r="O106" s="233">
        <f>SUM(O107:O109)</f>
        <v>0</v>
      </c>
      <c r="P106" s="233"/>
      <c r="Q106" s="233"/>
      <c r="R106" s="233">
        <f t="shared" si="56"/>
        <v>0</v>
      </c>
    </row>
    <row r="107" spans="1:18" s="6" customFormat="1" ht="24" hidden="1" customHeight="1">
      <c r="A107" s="136">
        <v>19550</v>
      </c>
      <c r="B107" s="172" t="s">
        <v>175</v>
      </c>
      <c r="C107" s="171">
        <v>0</v>
      </c>
      <c r="D107" s="171">
        <v>0</v>
      </c>
      <c r="E107" s="233"/>
      <c r="F107" s="233"/>
      <c r="G107" s="233"/>
      <c r="H107" s="233">
        <f t="shared" si="54"/>
        <v>0</v>
      </c>
      <c r="I107" s="233">
        <v>0</v>
      </c>
      <c r="J107" s="233"/>
      <c r="K107" s="233"/>
      <c r="L107" s="233"/>
      <c r="M107" s="233">
        <f t="shared" si="55"/>
        <v>0</v>
      </c>
      <c r="N107" s="233">
        <v>0</v>
      </c>
      <c r="O107" s="233"/>
      <c r="P107" s="233"/>
      <c r="Q107" s="233"/>
      <c r="R107" s="233">
        <f t="shared" si="56"/>
        <v>0</v>
      </c>
    </row>
    <row r="108" spans="1:18" s="6" customFormat="1" ht="36" hidden="1" customHeight="1">
      <c r="A108" s="136">
        <v>19560</v>
      </c>
      <c r="B108" s="172" t="s">
        <v>181</v>
      </c>
      <c r="C108" s="171">
        <v>0</v>
      </c>
      <c r="D108" s="171">
        <v>0</v>
      </c>
      <c r="E108" s="233"/>
      <c r="F108" s="233"/>
      <c r="G108" s="233"/>
      <c r="H108" s="233">
        <f t="shared" si="54"/>
        <v>0</v>
      </c>
      <c r="I108" s="233">
        <v>0</v>
      </c>
      <c r="J108" s="233"/>
      <c r="K108" s="233"/>
      <c r="L108" s="233"/>
      <c r="M108" s="233">
        <f t="shared" si="55"/>
        <v>0</v>
      </c>
      <c r="N108" s="233">
        <v>0</v>
      </c>
      <c r="O108" s="233"/>
      <c r="P108" s="233"/>
      <c r="Q108" s="233"/>
      <c r="R108" s="233">
        <f t="shared" si="56"/>
        <v>0</v>
      </c>
    </row>
    <row r="109" spans="1:18" s="6" customFormat="1" ht="72" hidden="1" customHeight="1">
      <c r="A109" s="136">
        <v>19570</v>
      </c>
      <c r="B109" s="172" t="s">
        <v>182</v>
      </c>
      <c r="C109" s="171">
        <v>0</v>
      </c>
      <c r="D109" s="171">
        <v>0</v>
      </c>
      <c r="E109" s="233"/>
      <c r="F109" s="233"/>
      <c r="G109" s="233"/>
      <c r="H109" s="233">
        <f t="shared" si="54"/>
        <v>0</v>
      </c>
      <c r="I109" s="233">
        <v>0</v>
      </c>
      <c r="J109" s="233"/>
      <c r="K109" s="233"/>
      <c r="L109" s="233"/>
      <c r="M109" s="233">
        <f t="shared" si="55"/>
        <v>0</v>
      </c>
      <c r="N109" s="233">
        <v>0</v>
      </c>
      <c r="O109" s="233"/>
      <c r="P109" s="233"/>
      <c r="Q109" s="233"/>
      <c r="R109" s="233">
        <f t="shared" si="56"/>
        <v>0</v>
      </c>
    </row>
    <row r="110" spans="1:18" s="6" customFormat="1" ht="36" hidden="1" customHeight="1">
      <c r="A110" s="209" t="s">
        <v>222</v>
      </c>
      <c r="B110" s="208" t="s">
        <v>216</v>
      </c>
      <c r="C110" s="107">
        <f>C111</f>
        <v>0</v>
      </c>
      <c r="D110" s="107">
        <v>0</v>
      </c>
      <c r="E110" s="233">
        <f>E111</f>
        <v>0</v>
      </c>
      <c r="F110" s="233"/>
      <c r="G110" s="233"/>
      <c r="H110" s="233">
        <f t="shared" si="54"/>
        <v>0</v>
      </c>
      <c r="I110" s="233">
        <v>0</v>
      </c>
      <c r="J110" s="233">
        <f>J111</f>
        <v>0</v>
      </c>
      <c r="K110" s="233"/>
      <c r="L110" s="233"/>
      <c r="M110" s="233">
        <f t="shared" si="55"/>
        <v>0</v>
      </c>
      <c r="N110" s="233">
        <v>0</v>
      </c>
      <c r="O110" s="233">
        <f>O111</f>
        <v>0</v>
      </c>
      <c r="P110" s="233"/>
      <c r="Q110" s="233"/>
      <c r="R110" s="233">
        <f t="shared" si="56"/>
        <v>0</v>
      </c>
    </row>
    <row r="111" spans="1:18" s="6" customFormat="1" ht="36" hidden="1" customHeight="1">
      <c r="A111" s="209">
        <v>17100</v>
      </c>
      <c r="B111" s="208" t="s">
        <v>217</v>
      </c>
      <c r="C111" s="107">
        <f>SUM(C112:C115)</f>
        <v>0</v>
      </c>
      <c r="D111" s="107">
        <v>0</v>
      </c>
      <c r="E111" s="233">
        <f>SUM(E112:E115)</f>
        <v>0</v>
      </c>
      <c r="F111" s="233"/>
      <c r="G111" s="233"/>
      <c r="H111" s="233">
        <f t="shared" si="54"/>
        <v>0</v>
      </c>
      <c r="I111" s="233">
        <v>0</v>
      </c>
      <c r="J111" s="233">
        <f>SUM(J112:J115)</f>
        <v>0</v>
      </c>
      <c r="K111" s="233"/>
      <c r="L111" s="233"/>
      <c r="M111" s="233">
        <f t="shared" si="55"/>
        <v>0</v>
      </c>
      <c r="N111" s="233">
        <v>0</v>
      </c>
      <c r="O111" s="233">
        <f>SUM(O112:O115)</f>
        <v>0</v>
      </c>
      <c r="P111" s="233"/>
      <c r="Q111" s="233"/>
      <c r="R111" s="233">
        <f t="shared" si="56"/>
        <v>0</v>
      </c>
    </row>
    <row r="112" spans="1:18" s="6" customFormat="1" ht="60" hidden="1" customHeight="1">
      <c r="A112" s="149">
        <v>17110</v>
      </c>
      <c r="B112" s="208" t="s">
        <v>218</v>
      </c>
      <c r="C112" s="107"/>
      <c r="D112" s="107">
        <v>0</v>
      </c>
      <c r="E112" s="233"/>
      <c r="F112" s="233"/>
      <c r="G112" s="233"/>
      <c r="H112" s="233">
        <f t="shared" si="54"/>
        <v>0</v>
      </c>
      <c r="I112" s="233">
        <v>0</v>
      </c>
      <c r="J112" s="233"/>
      <c r="K112" s="233"/>
      <c r="L112" s="233"/>
      <c r="M112" s="233">
        <f t="shared" si="55"/>
        <v>0</v>
      </c>
      <c r="N112" s="233">
        <v>0</v>
      </c>
      <c r="O112" s="233"/>
      <c r="P112" s="233"/>
      <c r="Q112" s="233"/>
      <c r="R112" s="233">
        <f t="shared" si="56"/>
        <v>0</v>
      </c>
    </row>
    <row r="113" spans="1:18" s="6" customFormat="1" ht="60" hidden="1" customHeight="1">
      <c r="A113" s="149">
        <v>17120</v>
      </c>
      <c r="B113" s="208" t="s">
        <v>219</v>
      </c>
      <c r="C113" s="107"/>
      <c r="D113" s="107">
        <v>0</v>
      </c>
      <c r="E113" s="233"/>
      <c r="F113" s="233"/>
      <c r="G113" s="233"/>
      <c r="H113" s="233">
        <f t="shared" si="54"/>
        <v>0</v>
      </c>
      <c r="I113" s="233">
        <v>0</v>
      </c>
      <c r="J113" s="233"/>
      <c r="K113" s="233"/>
      <c r="L113" s="233"/>
      <c r="M113" s="233">
        <f t="shared" si="55"/>
        <v>0</v>
      </c>
      <c r="N113" s="233">
        <v>0</v>
      </c>
      <c r="O113" s="233"/>
      <c r="P113" s="233"/>
      <c r="Q113" s="233"/>
      <c r="R113" s="233">
        <f t="shared" si="56"/>
        <v>0</v>
      </c>
    </row>
    <row r="114" spans="1:18" s="6" customFormat="1" ht="108" hidden="1" customHeight="1">
      <c r="A114" s="149">
        <v>17130</v>
      </c>
      <c r="B114" s="208" t="s">
        <v>220</v>
      </c>
      <c r="C114" s="107"/>
      <c r="D114" s="107">
        <v>0</v>
      </c>
      <c r="E114" s="233"/>
      <c r="F114" s="233"/>
      <c r="G114" s="233"/>
      <c r="H114" s="233">
        <f t="shared" si="54"/>
        <v>0</v>
      </c>
      <c r="I114" s="233">
        <v>0</v>
      </c>
      <c r="J114" s="233"/>
      <c r="K114" s="233"/>
      <c r="L114" s="233"/>
      <c r="M114" s="233">
        <f t="shared" si="55"/>
        <v>0</v>
      </c>
      <c r="N114" s="233">
        <v>0</v>
      </c>
      <c r="O114" s="233"/>
      <c r="P114" s="233"/>
      <c r="Q114" s="233"/>
      <c r="R114" s="233">
        <f t="shared" si="56"/>
        <v>0</v>
      </c>
    </row>
    <row r="115" spans="1:18" s="6" customFormat="1" ht="108" hidden="1" customHeight="1">
      <c r="A115" s="149">
        <v>17140</v>
      </c>
      <c r="B115" s="208" t="s">
        <v>221</v>
      </c>
      <c r="C115" s="107"/>
      <c r="D115" s="107">
        <v>0</v>
      </c>
      <c r="E115" s="233"/>
      <c r="F115" s="233"/>
      <c r="G115" s="233"/>
      <c r="H115" s="233">
        <f t="shared" si="54"/>
        <v>0</v>
      </c>
      <c r="I115" s="233">
        <v>0</v>
      </c>
      <c r="J115" s="233"/>
      <c r="K115" s="233"/>
      <c r="L115" s="233"/>
      <c r="M115" s="233">
        <f t="shared" si="55"/>
        <v>0</v>
      </c>
      <c r="N115" s="233">
        <v>0</v>
      </c>
      <c r="O115" s="233"/>
      <c r="P115" s="233"/>
      <c r="Q115" s="233"/>
      <c r="R115" s="233">
        <f t="shared" si="56"/>
        <v>0</v>
      </c>
    </row>
    <row r="116" spans="1:18" s="6" customFormat="1" ht="12">
      <c r="A116" s="137">
        <v>21700</v>
      </c>
      <c r="B116" s="124" t="s">
        <v>97</v>
      </c>
      <c r="C116" s="171">
        <v>27591676</v>
      </c>
      <c r="D116" s="171">
        <v>28414123</v>
      </c>
      <c r="E116" s="233">
        <f>E117+E118</f>
        <v>0</v>
      </c>
      <c r="F116" s="233">
        <f>F272+F282+F291</f>
        <v>6126028</v>
      </c>
      <c r="G116" s="233">
        <f>G303+G313+G321+G331</f>
        <v>543345</v>
      </c>
      <c r="H116" s="233">
        <f t="shared" si="54"/>
        <v>35083496</v>
      </c>
      <c r="I116" s="233">
        <v>28147186</v>
      </c>
      <c r="J116" s="233">
        <f>J117+J118</f>
        <v>0</v>
      </c>
      <c r="K116" s="233">
        <f>K272+K282+K291</f>
        <v>6045112</v>
      </c>
      <c r="L116" s="233">
        <f>L303+L313+L321+L331</f>
        <v>691879</v>
      </c>
      <c r="M116" s="233">
        <f t="shared" si="55"/>
        <v>34884177</v>
      </c>
      <c r="N116" s="233">
        <v>28314693</v>
      </c>
      <c r="O116" s="233">
        <f>O117+O118</f>
        <v>0</v>
      </c>
      <c r="P116" s="233">
        <f>P272+P282+P291</f>
        <v>5655460</v>
      </c>
      <c r="Q116" s="233">
        <f>Q303+Q313+Q321+Q331</f>
        <v>539075</v>
      </c>
      <c r="R116" s="233">
        <f t="shared" si="56"/>
        <v>34509228</v>
      </c>
    </row>
    <row r="117" spans="1:18" s="6" customFormat="1" ht="24">
      <c r="A117" s="138">
        <v>21710</v>
      </c>
      <c r="B117" s="125" t="s">
        <v>98</v>
      </c>
      <c r="C117" s="171">
        <v>27591676</v>
      </c>
      <c r="D117" s="171">
        <v>28414123</v>
      </c>
      <c r="E117" s="233"/>
      <c r="F117" s="233">
        <f>F273+F283+F292</f>
        <v>6126028</v>
      </c>
      <c r="G117" s="233">
        <f>G304+G314+G322+G332</f>
        <v>543345</v>
      </c>
      <c r="H117" s="233">
        <f t="shared" si="54"/>
        <v>35083496</v>
      </c>
      <c r="I117" s="233">
        <v>28147186</v>
      </c>
      <c r="J117" s="233"/>
      <c r="K117" s="233">
        <f>K273+K283+K292</f>
        <v>6045112</v>
      </c>
      <c r="L117" s="233">
        <f>L304+L314+L322+L332</f>
        <v>691879</v>
      </c>
      <c r="M117" s="233">
        <f t="shared" si="55"/>
        <v>34884177</v>
      </c>
      <c r="N117" s="233">
        <v>28314693</v>
      </c>
      <c r="O117" s="233"/>
      <c r="P117" s="233">
        <f>P273+P283+P292</f>
        <v>5655460</v>
      </c>
      <c r="Q117" s="233">
        <f>Q304+Q314+Q322+Q332</f>
        <v>539075</v>
      </c>
      <c r="R117" s="233">
        <f t="shared" si="56"/>
        <v>34509228</v>
      </c>
    </row>
    <row r="118" spans="1:18" s="6" customFormat="1" ht="24" hidden="1" customHeight="1">
      <c r="A118" s="138">
        <v>21720</v>
      </c>
      <c r="B118" s="125" t="s">
        <v>99</v>
      </c>
      <c r="C118" s="171">
        <v>0</v>
      </c>
      <c r="D118" s="171">
        <v>0</v>
      </c>
      <c r="E118" s="233"/>
      <c r="F118" s="233"/>
      <c r="G118" s="233"/>
      <c r="H118" s="233">
        <f t="shared" si="54"/>
        <v>0</v>
      </c>
      <c r="I118" s="233">
        <v>0</v>
      </c>
      <c r="J118" s="233"/>
      <c r="K118" s="233"/>
      <c r="L118" s="233"/>
      <c r="M118" s="233">
        <f t="shared" si="55"/>
        <v>0</v>
      </c>
      <c r="N118" s="233">
        <v>0</v>
      </c>
      <c r="O118" s="233"/>
      <c r="P118" s="233"/>
      <c r="Q118" s="233"/>
      <c r="R118" s="233">
        <f t="shared" si="56"/>
        <v>0</v>
      </c>
    </row>
    <row r="119" spans="1:18" s="6" customFormat="1" ht="11.4">
      <c r="A119" s="321" t="s">
        <v>100</v>
      </c>
      <c r="B119" s="322" t="s">
        <v>101</v>
      </c>
      <c r="C119" s="621">
        <v>28402576</v>
      </c>
      <c r="D119" s="621">
        <v>28999123</v>
      </c>
      <c r="E119" s="243">
        <f>E120+E147</f>
        <v>0</v>
      </c>
      <c r="F119" s="243">
        <f>F274+F284+F293</f>
        <v>6126028</v>
      </c>
      <c r="G119" s="243">
        <f>G305+G315+G323+G333</f>
        <v>543345</v>
      </c>
      <c r="H119" s="243">
        <f t="shared" si="54"/>
        <v>35668496</v>
      </c>
      <c r="I119" s="243">
        <v>28732186</v>
      </c>
      <c r="J119" s="243">
        <f>J120+J147</f>
        <v>0</v>
      </c>
      <c r="K119" s="243">
        <f>K274+K284+K293</f>
        <v>6045112</v>
      </c>
      <c r="L119" s="243">
        <f>L305+L315+L323+L333</f>
        <v>691879</v>
      </c>
      <c r="M119" s="243">
        <f t="shared" si="55"/>
        <v>35469177</v>
      </c>
      <c r="N119" s="243">
        <v>28899693</v>
      </c>
      <c r="O119" s="243">
        <f>O120+O147</f>
        <v>0</v>
      </c>
      <c r="P119" s="243">
        <f>P274+P284+P293</f>
        <v>5655460</v>
      </c>
      <c r="Q119" s="243">
        <f>Q305+Q315+Q323+Q333</f>
        <v>539075</v>
      </c>
      <c r="R119" s="243">
        <f t="shared" si="56"/>
        <v>35094228</v>
      </c>
    </row>
    <row r="120" spans="1:18" s="6" customFormat="1" ht="20.399999999999999">
      <c r="A120" s="130" t="s">
        <v>102</v>
      </c>
      <c r="B120" s="124" t="s">
        <v>103</v>
      </c>
      <c r="C120" s="171">
        <v>28225536</v>
      </c>
      <c r="D120" s="171">
        <v>28827083</v>
      </c>
      <c r="E120" s="233">
        <f>E121+E125+E126+E129+E132</f>
        <v>0</v>
      </c>
      <c r="F120" s="233">
        <f>F275+F285+F294</f>
        <v>6112028</v>
      </c>
      <c r="G120" s="233">
        <f>G306+G316+G324+G334</f>
        <v>543345</v>
      </c>
      <c r="H120" s="233">
        <f t="shared" si="54"/>
        <v>35482456</v>
      </c>
      <c r="I120" s="233">
        <v>28560146</v>
      </c>
      <c r="J120" s="233">
        <f>J121+J125+J126+J129+J132</f>
        <v>0</v>
      </c>
      <c r="K120" s="233">
        <f>K275+K285+K294</f>
        <v>6045112</v>
      </c>
      <c r="L120" s="233">
        <f>L306+L316+L324+L334</f>
        <v>691879</v>
      </c>
      <c r="M120" s="233">
        <f t="shared" si="55"/>
        <v>35297137</v>
      </c>
      <c r="N120" s="233">
        <v>28727653</v>
      </c>
      <c r="O120" s="233">
        <f>O121+O125+O126+O129+O132</f>
        <v>0</v>
      </c>
      <c r="P120" s="233">
        <f>P275+P285+P294</f>
        <v>5655460</v>
      </c>
      <c r="Q120" s="233">
        <f>Q306+Q316+Q324+Q334</f>
        <v>539075</v>
      </c>
      <c r="R120" s="233">
        <f t="shared" si="56"/>
        <v>34922188</v>
      </c>
    </row>
    <row r="121" spans="1:18" s="6" customFormat="1" ht="12">
      <c r="A121" s="130" t="s">
        <v>104</v>
      </c>
      <c r="B121" s="124" t="s">
        <v>105</v>
      </c>
      <c r="C121" s="171">
        <v>27785242</v>
      </c>
      <c r="D121" s="171">
        <v>28369569</v>
      </c>
      <c r="E121" s="233">
        <f>E122+E124</f>
        <v>0</v>
      </c>
      <c r="F121" s="233">
        <f>F276+F286+F295</f>
        <v>6112028</v>
      </c>
      <c r="G121" s="233">
        <f>G307+G317+G325+G335</f>
        <v>543345</v>
      </c>
      <c r="H121" s="233">
        <f t="shared" si="54"/>
        <v>35024942</v>
      </c>
      <c r="I121" s="233">
        <v>28129642</v>
      </c>
      <c r="J121" s="233">
        <f>J122+J124</f>
        <v>0</v>
      </c>
      <c r="K121" s="233">
        <f>K276+K286+K295</f>
        <v>6045112</v>
      </c>
      <c r="L121" s="233">
        <f>L307+L317+L325+L335</f>
        <v>691879</v>
      </c>
      <c r="M121" s="233">
        <f t="shared" si="55"/>
        <v>34866633</v>
      </c>
      <c r="N121" s="233">
        <v>28297149</v>
      </c>
      <c r="O121" s="233">
        <f>O122+O124</f>
        <v>0</v>
      </c>
      <c r="P121" s="233">
        <f>P276+P286+P295</f>
        <v>5655460</v>
      </c>
      <c r="Q121" s="233">
        <f>Q307+Q317+Q325+Q335</f>
        <v>539075</v>
      </c>
      <c r="R121" s="233">
        <f t="shared" si="56"/>
        <v>34491684</v>
      </c>
    </row>
    <row r="122" spans="1:18" s="29" customFormat="1" ht="12">
      <c r="A122" s="132">
        <v>1000</v>
      </c>
      <c r="B122" s="125" t="s">
        <v>106</v>
      </c>
      <c r="C122" s="171">
        <v>9469002</v>
      </c>
      <c r="D122" s="171">
        <v>9800290</v>
      </c>
      <c r="E122" s="233"/>
      <c r="F122" s="233">
        <f>F277+F296</f>
        <v>380000</v>
      </c>
      <c r="G122" s="233">
        <f>G308+G326+G336</f>
        <v>212837</v>
      </c>
      <c r="H122" s="233">
        <f t="shared" si="54"/>
        <v>10393127</v>
      </c>
      <c r="I122" s="233">
        <v>9768173</v>
      </c>
      <c r="J122" s="233"/>
      <c r="K122" s="233">
        <f>K277+K296</f>
        <v>616294</v>
      </c>
      <c r="L122" s="233">
        <f>L308+L326+L336</f>
        <v>192735</v>
      </c>
      <c r="M122" s="233">
        <f t="shared" si="55"/>
        <v>10577202</v>
      </c>
      <c r="N122" s="233">
        <v>9768930</v>
      </c>
      <c r="O122" s="233"/>
      <c r="P122" s="233">
        <f>P277+P296</f>
        <v>350290</v>
      </c>
      <c r="Q122" s="233">
        <f>Q308+Q326+Q336</f>
        <v>188267</v>
      </c>
      <c r="R122" s="233">
        <f t="shared" si="56"/>
        <v>10307487</v>
      </c>
    </row>
    <row r="123" spans="1:18" s="89" customFormat="1" ht="12">
      <c r="A123" s="139">
        <v>1100</v>
      </c>
      <c r="B123" s="125" t="s">
        <v>107</v>
      </c>
      <c r="C123" s="171">
        <v>7129941</v>
      </c>
      <c r="D123" s="171">
        <v>7489829</v>
      </c>
      <c r="E123" s="233"/>
      <c r="F123" s="233">
        <f>F278+F297</f>
        <v>107592</v>
      </c>
      <c r="G123" s="233">
        <f>G309+G327+G337</f>
        <v>149575</v>
      </c>
      <c r="H123" s="233">
        <f t="shared" si="54"/>
        <v>7746996</v>
      </c>
      <c r="I123" s="233">
        <v>7458349</v>
      </c>
      <c r="J123" s="233"/>
      <c r="K123" s="233">
        <f>K278+K297</f>
        <v>164640</v>
      </c>
      <c r="L123" s="233">
        <f>L309+L327+L337</f>
        <v>133375</v>
      </c>
      <c r="M123" s="233">
        <f t="shared" si="55"/>
        <v>7756364</v>
      </c>
      <c r="N123" s="233">
        <v>7458959</v>
      </c>
      <c r="O123" s="233"/>
      <c r="P123" s="233">
        <f>P278+P297</f>
        <v>94080</v>
      </c>
      <c r="Q123" s="233">
        <f>Q309+Q327+Q337</f>
        <v>129775</v>
      </c>
      <c r="R123" s="233">
        <f t="shared" si="56"/>
        <v>7682814</v>
      </c>
    </row>
    <row r="124" spans="1:18" s="89" customFormat="1" ht="12">
      <c r="A124" s="132">
        <v>2000</v>
      </c>
      <c r="B124" s="125" t="s">
        <v>108</v>
      </c>
      <c r="C124" s="171">
        <v>18316240</v>
      </c>
      <c r="D124" s="171">
        <v>18569279</v>
      </c>
      <c r="E124" s="233"/>
      <c r="F124" s="233">
        <f>F279+F287+F298</f>
        <v>5732028</v>
      </c>
      <c r="G124" s="233">
        <f>G310+G318+G328</f>
        <v>330508</v>
      </c>
      <c r="H124" s="233">
        <f t="shared" si="54"/>
        <v>24631815</v>
      </c>
      <c r="I124" s="233">
        <v>18361469</v>
      </c>
      <c r="J124" s="233"/>
      <c r="K124" s="233">
        <f>K279+K287+K298</f>
        <v>5428818</v>
      </c>
      <c r="L124" s="233">
        <f>L310+L318+L328</f>
        <v>499144</v>
      </c>
      <c r="M124" s="233">
        <f t="shared" si="55"/>
        <v>24289431</v>
      </c>
      <c r="N124" s="233">
        <v>18528219</v>
      </c>
      <c r="O124" s="233"/>
      <c r="P124" s="233">
        <f>P279+P287+P298</f>
        <v>5305170</v>
      </c>
      <c r="Q124" s="233">
        <f>Q310+Q318+Q328</f>
        <v>350808</v>
      </c>
      <c r="R124" s="233">
        <f t="shared" si="56"/>
        <v>24184197</v>
      </c>
    </row>
    <row r="125" spans="1:18" s="89" customFormat="1" ht="12" hidden="1" customHeight="1">
      <c r="A125" s="140">
        <v>4000</v>
      </c>
      <c r="B125" s="124" t="s">
        <v>132</v>
      </c>
      <c r="C125" s="171">
        <v>0</v>
      </c>
      <c r="D125" s="171">
        <v>0</v>
      </c>
      <c r="E125" s="233"/>
      <c r="F125" s="233"/>
      <c r="G125" s="233"/>
      <c r="H125" s="233">
        <f t="shared" si="54"/>
        <v>0</v>
      </c>
      <c r="I125" s="233">
        <v>0</v>
      </c>
      <c r="J125" s="233"/>
      <c r="K125" s="233"/>
      <c r="L125" s="233"/>
      <c r="M125" s="233">
        <f t="shared" si="55"/>
        <v>0</v>
      </c>
      <c r="N125" s="233">
        <v>0</v>
      </c>
      <c r="O125" s="233"/>
      <c r="P125" s="233"/>
      <c r="Q125" s="233"/>
      <c r="R125" s="233">
        <f t="shared" si="56"/>
        <v>0</v>
      </c>
    </row>
    <row r="126" spans="1:18" s="89" customFormat="1" ht="12">
      <c r="A126" s="140" t="s">
        <v>109</v>
      </c>
      <c r="B126" s="124" t="s">
        <v>110</v>
      </c>
      <c r="C126" s="171">
        <v>264354</v>
      </c>
      <c r="D126" s="171">
        <v>253454</v>
      </c>
      <c r="E126" s="233">
        <f>E127+E128</f>
        <v>0</v>
      </c>
      <c r="F126" s="233"/>
      <c r="G126" s="233"/>
      <c r="H126" s="233">
        <f t="shared" si="54"/>
        <v>253454</v>
      </c>
      <c r="I126" s="233">
        <v>261804</v>
      </c>
      <c r="J126" s="233">
        <f>J127+J128</f>
        <v>0</v>
      </c>
      <c r="K126" s="233"/>
      <c r="L126" s="233"/>
      <c r="M126" s="233">
        <f t="shared" si="55"/>
        <v>261804</v>
      </c>
      <c r="N126" s="233">
        <v>261804</v>
      </c>
      <c r="O126" s="233">
        <f>O127+O128</f>
        <v>0</v>
      </c>
      <c r="P126" s="233"/>
      <c r="Q126" s="233"/>
      <c r="R126" s="233">
        <f t="shared" si="56"/>
        <v>261804</v>
      </c>
    </row>
    <row r="127" spans="1:18" s="89" customFormat="1" ht="12">
      <c r="A127" s="132">
        <v>3000</v>
      </c>
      <c r="B127" s="125" t="s">
        <v>111</v>
      </c>
      <c r="C127" s="213">
        <v>264354</v>
      </c>
      <c r="D127" s="213">
        <v>253454</v>
      </c>
      <c r="E127" s="345"/>
      <c r="F127" s="345"/>
      <c r="G127" s="345"/>
      <c r="H127" s="233">
        <f t="shared" si="54"/>
        <v>253454</v>
      </c>
      <c r="I127" s="345">
        <v>261804</v>
      </c>
      <c r="J127" s="345"/>
      <c r="K127" s="345"/>
      <c r="L127" s="345"/>
      <c r="M127" s="233">
        <f t="shared" si="55"/>
        <v>261804</v>
      </c>
      <c r="N127" s="345">
        <v>261804</v>
      </c>
      <c r="O127" s="345"/>
      <c r="P127" s="345"/>
      <c r="Q127" s="345"/>
      <c r="R127" s="233">
        <f t="shared" si="56"/>
        <v>261804</v>
      </c>
    </row>
    <row r="128" spans="1:18" s="89" customFormat="1" ht="12" hidden="1" customHeight="1">
      <c r="A128" s="132">
        <v>6000</v>
      </c>
      <c r="B128" s="125" t="s">
        <v>112</v>
      </c>
      <c r="C128" s="287">
        <v>0</v>
      </c>
      <c r="D128" s="287">
        <v>0</v>
      </c>
      <c r="E128" s="346"/>
      <c r="F128" s="346"/>
      <c r="G128" s="346"/>
      <c r="H128" s="233">
        <f t="shared" si="54"/>
        <v>0</v>
      </c>
      <c r="I128" s="346">
        <v>0</v>
      </c>
      <c r="J128" s="346"/>
      <c r="K128" s="346"/>
      <c r="L128" s="346"/>
      <c r="M128" s="233">
        <f t="shared" si="55"/>
        <v>0</v>
      </c>
      <c r="N128" s="346">
        <v>0</v>
      </c>
      <c r="O128" s="346"/>
      <c r="P128" s="346"/>
      <c r="Q128" s="346"/>
      <c r="R128" s="233">
        <f t="shared" si="56"/>
        <v>0</v>
      </c>
    </row>
    <row r="129" spans="1:18" s="89" customFormat="1" ht="22.8">
      <c r="A129" s="140" t="s">
        <v>113</v>
      </c>
      <c r="B129" s="124" t="s">
        <v>183</v>
      </c>
      <c r="C129" s="171">
        <v>175940</v>
      </c>
      <c r="D129" s="171">
        <v>204060</v>
      </c>
      <c r="E129" s="233">
        <f>E130+E131</f>
        <v>0</v>
      </c>
      <c r="F129" s="233"/>
      <c r="G129" s="233"/>
      <c r="H129" s="233">
        <f t="shared" si="54"/>
        <v>204060</v>
      </c>
      <c r="I129" s="233">
        <v>168700</v>
      </c>
      <c r="J129" s="233">
        <f>J130+J131</f>
        <v>0</v>
      </c>
      <c r="K129" s="233"/>
      <c r="L129" s="233"/>
      <c r="M129" s="233">
        <f t="shared" si="55"/>
        <v>168700</v>
      </c>
      <c r="N129" s="233">
        <v>168700</v>
      </c>
      <c r="O129" s="233">
        <f>O130+O131</f>
        <v>0</v>
      </c>
      <c r="P129" s="233"/>
      <c r="Q129" s="233"/>
      <c r="R129" s="233">
        <f t="shared" si="56"/>
        <v>168700</v>
      </c>
    </row>
    <row r="130" spans="1:18" s="89" customFormat="1" ht="12" hidden="1" customHeight="1">
      <c r="A130" s="132">
        <v>7600</v>
      </c>
      <c r="B130" s="179" t="s">
        <v>184</v>
      </c>
      <c r="C130" s="171">
        <v>0</v>
      </c>
      <c r="D130" s="171">
        <v>0</v>
      </c>
      <c r="E130" s="233"/>
      <c r="F130" s="233"/>
      <c r="G130" s="233"/>
      <c r="H130" s="233">
        <f t="shared" si="54"/>
        <v>0</v>
      </c>
      <c r="I130" s="233">
        <v>0</v>
      </c>
      <c r="J130" s="233"/>
      <c r="K130" s="233"/>
      <c r="L130" s="233"/>
      <c r="M130" s="233">
        <f t="shared" si="55"/>
        <v>0</v>
      </c>
      <c r="N130" s="233">
        <v>0</v>
      </c>
      <c r="O130" s="233"/>
      <c r="P130" s="233"/>
      <c r="Q130" s="233"/>
      <c r="R130" s="233">
        <f t="shared" si="56"/>
        <v>0</v>
      </c>
    </row>
    <row r="131" spans="1:18" s="89" customFormat="1" ht="12">
      <c r="A131" s="132">
        <v>7700</v>
      </c>
      <c r="B131" s="126" t="s">
        <v>114</v>
      </c>
      <c r="C131" s="171">
        <v>175940</v>
      </c>
      <c r="D131" s="171">
        <v>204060</v>
      </c>
      <c r="E131" s="233"/>
      <c r="F131" s="233"/>
      <c r="G131" s="233"/>
      <c r="H131" s="233">
        <f t="shared" si="54"/>
        <v>204060</v>
      </c>
      <c r="I131" s="233">
        <v>168700</v>
      </c>
      <c r="J131" s="233"/>
      <c r="K131" s="233"/>
      <c r="L131" s="233"/>
      <c r="M131" s="233">
        <f t="shared" si="55"/>
        <v>168700</v>
      </c>
      <c r="N131" s="233">
        <v>168700</v>
      </c>
      <c r="O131" s="233"/>
      <c r="P131" s="233"/>
      <c r="Q131" s="233"/>
      <c r="R131" s="233">
        <f t="shared" si="56"/>
        <v>168700</v>
      </c>
    </row>
    <row r="132" spans="1:18" s="89" customFormat="1" ht="21" hidden="1" customHeight="1">
      <c r="A132" s="140" t="s">
        <v>185</v>
      </c>
      <c r="B132" s="124" t="s">
        <v>115</v>
      </c>
      <c r="C132" s="171">
        <v>0</v>
      </c>
      <c r="D132" s="171">
        <v>0</v>
      </c>
      <c r="E132" s="233">
        <f>E133+E139+E143+E146</f>
        <v>0</v>
      </c>
      <c r="F132" s="233"/>
      <c r="G132" s="233"/>
      <c r="H132" s="233">
        <f t="shared" si="54"/>
        <v>0</v>
      </c>
      <c r="I132" s="233">
        <v>0</v>
      </c>
      <c r="J132" s="233">
        <f>J133+J139+J143+J146</f>
        <v>0</v>
      </c>
      <c r="K132" s="233"/>
      <c r="L132" s="233"/>
      <c r="M132" s="233">
        <f t="shared" si="55"/>
        <v>0</v>
      </c>
      <c r="N132" s="233">
        <v>0</v>
      </c>
      <c r="O132" s="233">
        <f>O133+O139+O143+O146</f>
        <v>0</v>
      </c>
      <c r="P132" s="233"/>
      <c r="Q132" s="233"/>
      <c r="R132" s="233">
        <f t="shared" si="56"/>
        <v>0</v>
      </c>
    </row>
    <row r="133" spans="1:18" s="89" customFormat="1" ht="12" hidden="1" customHeight="1">
      <c r="A133" s="132">
        <v>7100</v>
      </c>
      <c r="B133" s="179" t="s">
        <v>116</v>
      </c>
      <c r="C133" s="171">
        <v>0</v>
      </c>
      <c r="D133" s="171">
        <v>0</v>
      </c>
      <c r="E133" s="233">
        <f>E134+E135</f>
        <v>0</v>
      </c>
      <c r="F133" s="233"/>
      <c r="G133" s="233"/>
      <c r="H133" s="233">
        <f t="shared" si="54"/>
        <v>0</v>
      </c>
      <c r="I133" s="233">
        <v>0</v>
      </c>
      <c r="J133" s="233">
        <f>J134+J135</f>
        <v>0</v>
      </c>
      <c r="K133" s="233"/>
      <c r="L133" s="233"/>
      <c r="M133" s="233">
        <f t="shared" si="55"/>
        <v>0</v>
      </c>
      <c r="N133" s="233">
        <v>0</v>
      </c>
      <c r="O133" s="233">
        <f>O134+O135</f>
        <v>0</v>
      </c>
      <c r="P133" s="233"/>
      <c r="Q133" s="233"/>
      <c r="R133" s="233">
        <f t="shared" si="56"/>
        <v>0</v>
      </c>
    </row>
    <row r="134" spans="1:18" s="89" customFormat="1" ht="24" hidden="1" customHeight="1">
      <c r="A134" s="133" t="s">
        <v>117</v>
      </c>
      <c r="B134" s="179" t="s">
        <v>118</v>
      </c>
      <c r="C134" s="171">
        <v>0</v>
      </c>
      <c r="D134" s="171">
        <v>0</v>
      </c>
      <c r="E134" s="233"/>
      <c r="F134" s="233"/>
      <c r="G134" s="233"/>
      <c r="H134" s="233">
        <f t="shared" si="54"/>
        <v>0</v>
      </c>
      <c r="I134" s="233">
        <v>0</v>
      </c>
      <c r="J134" s="233"/>
      <c r="K134" s="233"/>
      <c r="L134" s="233"/>
      <c r="M134" s="233">
        <f t="shared" si="55"/>
        <v>0</v>
      </c>
      <c r="N134" s="233">
        <v>0</v>
      </c>
      <c r="O134" s="233"/>
      <c r="P134" s="233"/>
      <c r="Q134" s="233"/>
      <c r="R134" s="233">
        <f t="shared" si="56"/>
        <v>0</v>
      </c>
    </row>
    <row r="135" spans="1:18" s="89" customFormat="1" ht="24" hidden="1" customHeight="1">
      <c r="A135" s="133">
        <v>7130</v>
      </c>
      <c r="B135" s="179" t="s">
        <v>119</v>
      </c>
      <c r="C135" s="171">
        <v>0</v>
      </c>
      <c r="D135" s="171">
        <v>0</v>
      </c>
      <c r="E135" s="233">
        <f>SUM(E136:E138)</f>
        <v>0</v>
      </c>
      <c r="F135" s="233"/>
      <c r="G135" s="233"/>
      <c r="H135" s="233">
        <f t="shared" si="54"/>
        <v>0</v>
      </c>
      <c r="I135" s="233">
        <v>0</v>
      </c>
      <c r="J135" s="233">
        <f>SUM(J136:J138)</f>
        <v>0</v>
      </c>
      <c r="K135" s="233"/>
      <c r="L135" s="233"/>
      <c r="M135" s="233">
        <f t="shared" si="55"/>
        <v>0</v>
      </c>
      <c r="N135" s="233">
        <v>0</v>
      </c>
      <c r="O135" s="233">
        <f>SUM(O136:O138)</f>
        <v>0</v>
      </c>
      <c r="P135" s="233"/>
      <c r="Q135" s="233"/>
      <c r="R135" s="233">
        <f t="shared" si="56"/>
        <v>0</v>
      </c>
    </row>
    <row r="136" spans="1:18" s="89" customFormat="1" ht="36" hidden="1" customHeight="1">
      <c r="A136" s="134">
        <v>7131</v>
      </c>
      <c r="B136" s="179" t="s">
        <v>120</v>
      </c>
      <c r="C136" s="171">
        <v>0</v>
      </c>
      <c r="D136" s="171">
        <v>0</v>
      </c>
      <c r="E136" s="233"/>
      <c r="F136" s="233"/>
      <c r="G136" s="233"/>
      <c r="H136" s="233">
        <f t="shared" si="54"/>
        <v>0</v>
      </c>
      <c r="I136" s="233">
        <v>0</v>
      </c>
      <c r="J136" s="233"/>
      <c r="K136" s="233"/>
      <c r="L136" s="233"/>
      <c r="M136" s="233">
        <f t="shared" si="55"/>
        <v>0</v>
      </c>
      <c r="N136" s="233">
        <v>0</v>
      </c>
      <c r="O136" s="233"/>
      <c r="P136" s="233"/>
      <c r="Q136" s="233"/>
      <c r="R136" s="233">
        <f t="shared" si="56"/>
        <v>0</v>
      </c>
    </row>
    <row r="137" spans="1:18" s="29" customFormat="1" ht="36" hidden="1" customHeight="1">
      <c r="A137" s="134">
        <v>7132</v>
      </c>
      <c r="B137" s="179" t="s">
        <v>121</v>
      </c>
      <c r="C137" s="171">
        <v>0</v>
      </c>
      <c r="D137" s="171">
        <v>0</v>
      </c>
      <c r="E137" s="233"/>
      <c r="F137" s="233"/>
      <c r="G137" s="233"/>
      <c r="H137" s="233">
        <f t="shared" si="54"/>
        <v>0</v>
      </c>
      <c r="I137" s="233">
        <v>0</v>
      </c>
      <c r="J137" s="233"/>
      <c r="K137" s="233"/>
      <c r="L137" s="233"/>
      <c r="M137" s="233">
        <f t="shared" si="55"/>
        <v>0</v>
      </c>
      <c r="N137" s="233">
        <v>0</v>
      </c>
      <c r="O137" s="233"/>
      <c r="P137" s="233"/>
      <c r="Q137" s="233"/>
      <c r="R137" s="233">
        <f t="shared" si="56"/>
        <v>0</v>
      </c>
    </row>
    <row r="138" spans="1:18" s="29" customFormat="1" ht="36" hidden="1" customHeight="1">
      <c r="A138" s="134" t="s">
        <v>186</v>
      </c>
      <c r="B138" s="179" t="s">
        <v>187</v>
      </c>
      <c r="C138" s="171">
        <v>0</v>
      </c>
      <c r="D138" s="171">
        <v>0</v>
      </c>
      <c r="E138" s="233"/>
      <c r="F138" s="233"/>
      <c r="G138" s="233"/>
      <c r="H138" s="233">
        <f t="shared" si="54"/>
        <v>0</v>
      </c>
      <c r="I138" s="233">
        <v>0</v>
      </c>
      <c r="J138" s="233"/>
      <c r="K138" s="233"/>
      <c r="L138" s="233"/>
      <c r="M138" s="233">
        <f t="shared" si="55"/>
        <v>0</v>
      </c>
      <c r="N138" s="233">
        <v>0</v>
      </c>
      <c r="O138" s="233"/>
      <c r="P138" s="233"/>
      <c r="Q138" s="233"/>
      <c r="R138" s="233">
        <f t="shared" si="56"/>
        <v>0</v>
      </c>
    </row>
    <row r="139" spans="1:18" s="29" customFormat="1" ht="24" hidden="1" customHeight="1">
      <c r="A139" s="132">
        <v>7300</v>
      </c>
      <c r="B139" s="172" t="s">
        <v>155</v>
      </c>
      <c r="C139" s="171">
        <v>0</v>
      </c>
      <c r="D139" s="171">
        <v>0</v>
      </c>
      <c r="E139" s="233">
        <f>SUM(E140:E142)</f>
        <v>0</v>
      </c>
      <c r="F139" s="233"/>
      <c r="G139" s="233"/>
      <c r="H139" s="233">
        <f t="shared" ref="H139:H202" si="75">SUM(D139:G139)</f>
        <v>0</v>
      </c>
      <c r="I139" s="233">
        <v>0</v>
      </c>
      <c r="J139" s="233">
        <f>SUM(J140:J142)</f>
        <v>0</v>
      </c>
      <c r="K139" s="233"/>
      <c r="L139" s="233"/>
      <c r="M139" s="233">
        <f t="shared" ref="M139:M202" si="76">SUM(I139:L139)</f>
        <v>0</v>
      </c>
      <c r="N139" s="233">
        <v>0</v>
      </c>
      <c r="O139" s="233">
        <f>SUM(O140:O142)</f>
        <v>0</v>
      </c>
      <c r="P139" s="233"/>
      <c r="Q139" s="233"/>
      <c r="R139" s="233">
        <f t="shared" ref="R139:R202" si="77">SUM(N139:Q139)</f>
        <v>0</v>
      </c>
    </row>
    <row r="140" spans="1:18" s="4" customFormat="1" ht="24" hidden="1" customHeight="1">
      <c r="A140" s="133" t="s">
        <v>188</v>
      </c>
      <c r="B140" s="179" t="s">
        <v>170</v>
      </c>
      <c r="C140" s="180">
        <v>0</v>
      </c>
      <c r="D140" s="180">
        <v>0</v>
      </c>
      <c r="E140" s="252"/>
      <c r="F140" s="252"/>
      <c r="G140" s="252"/>
      <c r="H140" s="233">
        <f t="shared" si="75"/>
        <v>0</v>
      </c>
      <c r="I140" s="252">
        <v>0</v>
      </c>
      <c r="J140" s="252"/>
      <c r="K140" s="252"/>
      <c r="L140" s="252"/>
      <c r="M140" s="233">
        <f t="shared" si="76"/>
        <v>0</v>
      </c>
      <c r="N140" s="252">
        <v>0</v>
      </c>
      <c r="O140" s="252"/>
      <c r="P140" s="252"/>
      <c r="Q140" s="252"/>
      <c r="R140" s="233">
        <f t="shared" si="77"/>
        <v>0</v>
      </c>
    </row>
    <row r="141" spans="1:18" ht="48" hidden="1" customHeight="1">
      <c r="A141" s="133" t="s">
        <v>189</v>
      </c>
      <c r="B141" s="179" t="s">
        <v>156</v>
      </c>
      <c r="C141" s="180">
        <v>0</v>
      </c>
      <c r="D141" s="180">
        <v>0</v>
      </c>
      <c r="E141" s="252"/>
      <c r="F141" s="252"/>
      <c r="G141" s="252"/>
      <c r="H141" s="233">
        <f t="shared" si="75"/>
        <v>0</v>
      </c>
      <c r="I141" s="252">
        <v>0</v>
      </c>
      <c r="J141" s="252"/>
      <c r="K141" s="252"/>
      <c r="L141" s="252"/>
      <c r="M141" s="233">
        <f t="shared" si="76"/>
        <v>0</v>
      </c>
      <c r="N141" s="252">
        <v>0</v>
      </c>
      <c r="O141" s="252"/>
      <c r="P141" s="252"/>
      <c r="Q141" s="252"/>
      <c r="R141" s="233">
        <f t="shared" si="77"/>
        <v>0</v>
      </c>
    </row>
    <row r="142" spans="1:18" ht="36" hidden="1" customHeight="1">
      <c r="A142" s="133">
        <v>7350</v>
      </c>
      <c r="B142" s="179" t="s">
        <v>163</v>
      </c>
      <c r="C142" s="180">
        <v>0</v>
      </c>
      <c r="D142" s="180">
        <v>0</v>
      </c>
      <c r="E142" s="252"/>
      <c r="F142" s="252"/>
      <c r="G142" s="252"/>
      <c r="H142" s="233">
        <f t="shared" si="75"/>
        <v>0</v>
      </c>
      <c r="I142" s="252">
        <v>0</v>
      </c>
      <c r="J142" s="252"/>
      <c r="K142" s="252"/>
      <c r="L142" s="252"/>
      <c r="M142" s="233">
        <f t="shared" si="76"/>
        <v>0</v>
      </c>
      <c r="N142" s="252">
        <v>0</v>
      </c>
      <c r="O142" s="252"/>
      <c r="P142" s="252"/>
      <c r="Q142" s="252"/>
      <c r="R142" s="233">
        <f t="shared" si="77"/>
        <v>0</v>
      </c>
    </row>
    <row r="143" spans="1:18" ht="24" hidden="1" customHeight="1">
      <c r="A143" s="132">
        <v>7400</v>
      </c>
      <c r="B143" s="172" t="s">
        <v>161</v>
      </c>
      <c r="C143" s="171">
        <v>0</v>
      </c>
      <c r="D143" s="171">
        <v>0</v>
      </c>
      <c r="E143" s="233">
        <f>SUM(E144:E145)</f>
        <v>0</v>
      </c>
      <c r="F143" s="233"/>
      <c r="G143" s="233"/>
      <c r="H143" s="233">
        <f t="shared" si="75"/>
        <v>0</v>
      </c>
      <c r="I143" s="233">
        <v>0</v>
      </c>
      <c r="J143" s="233">
        <f>SUM(J144:J145)</f>
        <v>0</v>
      </c>
      <c r="K143" s="233"/>
      <c r="L143" s="233"/>
      <c r="M143" s="233">
        <f t="shared" si="76"/>
        <v>0</v>
      </c>
      <c r="N143" s="233">
        <v>0</v>
      </c>
      <c r="O143" s="233">
        <f>SUM(O144:O145)</f>
        <v>0</v>
      </c>
      <c r="P143" s="233"/>
      <c r="Q143" s="233"/>
      <c r="R143" s="233">
        <f t="shared" si="77"/>
        <v>0</v>
      </c>
    </row>
    <row r="144" spans="1:18" ht="24" hidden="1" customHeight="1">
      <c r="A144" s="133">
        <v>7460</v>
      </c>
      <c r="B144" s="172" t="s">
        <v>162</v>
      </c>
      <c r="C144" s="180">
        <v>0</v>
      </c>
      <c r="D144" s="180">
        <v>0</v>
      </c>
      <c r="E144" s="252"/>
      <c r="F144" s="252"/>
      <c r="G144" s="252"/>
      <c r="H144" s="233">
        <f t="shared" si="75"/>
        <v>0</v>
      </c>
      <c r="I144" s="252">
        <v>0</v>
      </c>
      <c r="J144" s="252"/>
      <c r="K144" s="252"/>
      <c r="L144" s="252"/>
      <c r="M144" s="233">
        <f t="shared" si="76"/>
        <v>0</v>
      </c>
      <c r="N144" s="252">
        <v>0</v>
      </c>
      <c r="O144" s="252"/>
      <c r="P144" s="252"/>
      <c r="Q144" s="252"/>
      <c r="R144" s="233">
        <f t="shared" si="77"/>
        <v>0</v>
      </c>
    </row>
    <row r="145" spans="1:18" ht="48" hidden="1" customHeight="1">
      <c r="A145" s="133">
        <v>7470</v>
      </c>
      <c r="B145" s="179" t="s">
        <v>167</v>
      </c>
      <c r="C145" s="180">
        <v>0</v>
      </c>
      <c r="D145" s="180">
        <v>0</v>
      </c>
      <c r="E145" s="252"/>
      <c r="F145" s="252"/>
      <c r="G145" s="252"/>
      <c r="H145" s="233">
        <f t="shared" si="75"/>
        <v>0</v>
      </c>
      <c r="I145" s="252">
        <v>0</v>
      </c>
      <c r="J145" s="252"/>
      <c r="K145" s="252"/>
      <c r="L145" s="252"/>
      <c r="M145" s="233">
        <f t="shared" si="76"/>
        <v>0</v>
      </c>
      <c r="N145" s="252">
        <v>0</v>
      </c>
      <c r="O145" s="252"/>
      <c r="P145" s="252"/>
      <c r="Q145" s="252"/>
      <c r="R145" s="233">
        <f t="shared" si="77"/>
        <v>0</v>
      </c>
    </row>
    <row r="146" spans="1:18" ht="24" hidden="1" customHeight="1">
      <c r="A146" s="132">
        <v>7500</v>
      </c>
      <c r="B146" s="179" t="s">
        <v>157</v>
      </c>
      <c r="C146" s="171">
        <v>0</v>
      </c>
      <c r="D146" s="171">
        <v>0</v>
      </c>
      <c r="E146" s="233"/>
      <c r="F146" s="233"/>
      <c r="G146" s="233"/>
      <c r="H146" s="233">
        <f t="shared" si="75"/>
        <v>0</v>
      </c>
      <c r="I146" s="233">
        <v>0</v>
      </c>
      <c r="J146" s="233"/>
      <c r="K146" s="233"/>
      <c r="L146" s="233"/>
      <c r="M146" s="233">
        <f t="shared" si="76"/>
        <v>0</v>
      </c>
      <c r="N146" s="233">
        <v>0</v>
      </c>
      <c r="O146" s="233"/>
      <c r="P146" s="233"/>
      <c r="Q146" s="233"/>
      <c r="R146" s="233">
        <f t="shared" si="77"/>
        <v>0</v>
      </c>
    </row>
    <row r="147" spans="1:18" s="4" customFormat="1" ht="12">
      <c r="A147" s="140" t="s">
        <v>133</v>
      </c>
      <c r="B147" s="124" t="s">
        <v>122</v>
      </c>
      <c r="C147" s="181">
        <v>177040</v>
      </c>
      <c r="D147" s="181">
        <v>172040</v>
      </c>
      <c r="E147" s="254">
        <f>E148+E149</f>
        <v>0</v>
      </c>
      <c r="F147" s="254">
        <f>F299</f>
        <v>14000</v>
      </c>
      <c r="G147" s="254"/>
      <c r="H147" s="233">
        <f t="shared" si="75"/>
        <v>186040</v>
      </c>
      <c r="I147" s="254">
        <v>172040</v>
      </c>
      <c r="J147" s="254">
        <f>J148+J149</f>
        <v>0</v>
      </c>
      <c r="K147" s="254">
        <f>K299</f>
        <v>0</v>
      </c>
      <c r="L147" s="254"/>
      <c r="M147" s="233">
        <f t="shared" si="76"/>
        <v>172040</v>
      </c>
      <c r="N147" s="254">
        <v>172040</v>
      </c>
      <c r="O147" s="254">
        <f>O148+O149</f>
        <v>0</v>
      </c>
      <c r="P147" s="254">
        <f>P299</f>
        <v>0</v>
      </c>
      <c r="Q147" s="254"/>
      <c r="R147" s="233">
        <f t="shared" si="77"/>
        <v>172040</v>
      </c>
    </row>
    <row r="148" spans="1:18" s="6" customFormat="1" ht="12">
      <c r="A148" s="140">
        <v>5000</v>
      </c>
      <c r="B148" s="124" t="s">
        <v>123</v>
      </c>
      <c r="C148" s="171">
        <v>177040</v>
      </c>
      <c r="D148" s="171">
        <v>172040</v>
      </c>
      <c r="E148" s="233"/>
      <c r="F148" s="233">
        <f>F300</f>
        <v>14000</v>
      </c>
      <c r="G148" s="233"/>
      <c r="H148" s="233">
        <f t="shared" si="75"/>
        <v>186040</v>
      </c>
      <c r="I148" s="233">
        <v>172040</v>
      </c>
      <c r="J148" s="233"/>
      <c r="K148" s="233">
        <f>K300</f>
        <v>0</v>
      </c>
      <c r="L148" s="233"/>
      <c r="M148" s="233">
        <f t="shared" si="76"/>
        <v>172040</v>
      </c>
      <c r="N148" s="233">
        <v>172040</v>
      </c>
      <c r="O148" s="233"/>
      <c r="P148" s="233">
        <f>P300</f>
        <v>0</v>
      </c>
      <c r="Q148" s="233"/>
      <c r="R148" s="233">
        <f t="shared" si="77"/>
        <v>172040</v>
      </c>
    </row>
    <row r="149" spans="1:18" s="6" customFormat="1" ht="12" hidden="1" customHeight="1">
      <c r="A149" s="140">
        <v>9000</v>
      </c>
      <c r="B149" s="182" t="s">
        <v>164</v>
      </c>
      <c r="C149" s="171">
        <v>0</v>
      </c>
      <c r="D149" s="171">
        <v>0</v>
      </c>
      <c r="E149" s="233">
        <f>E150+E156+E160+E163</f>
        <v>0</v>
      </c>
      <c r="F149" s="233"/>
      <c r="G149" s="233"/>
      <c r="H149" s="233">
        <f t="shared" si="75"/>
        <v>0</v>
      </c>
      <c r="I149" s="233">
        <v>0</v>
      </c>
      <c r="J149" s="233">
        <f>J150+J156+J160+J163</f>
        <v>0</v>
      </c>
      <c r="K149" s="233"/>
      <c r="L149" s="233"/>
      <c r="M149" s="233">
        <f t="shared" si="76"/>
        <v>0</v>
      </c>
      <c r="N149" s="233">
        <v>0</v>
      </c>
      <c r="O149" s="233">
        <f>O150+O156+O160+O163</f>
        <v>0</v>
      </c>
      <c r="P149" s="233"/>
      <c r="Q149" s="233"/>
      <c r="R149" s="233">
        <f t="shared" si="77"/>
        <v>0</v>
      </c>
    </row>
    <row r="150" spans="1:18" s="6" customFormat="1" ht="12" hidden="1" customHeight="1">
      <c r="A150" s="141">
        <v>9100</v>
      </c>
      <c r="B150" s="179" t="s">
        <v>124</v>
      </c>
      <c r="C150" s="171">
        <v>0</v>
      </c>
      <c r="D150" s="171">
        <v>0</v>
      </c>
      <c r="E150" s="233">
        <f>SUM(E151:E152)</f>
        <v>0</v>
      </c>
      <c r="F150" s="233"/>
      <c r="G150" s="233"/>
      <c r="H150" s="233">
        <f t="shared" si="75"/>
        <v>0</v>
      </c>
      <c r="I150" s="233">
        <v>0</v>
      </c>
      <c r="J150" s="233">
        <f>SUM(J151:J152)</f>
        <v>0</v>
      </c>
      <c r="K150" s="233"/>
      <c r="L150" s="233"/>
      <c r="M150" s="233">
        <f t="shared" si="76"/>
        <v>0</v>
      </c>
      <c r="N150" s="233">
        <v>0</v>
      </c>
      <c r="O150" s="233">
        <f>SUM(O151:O152)</f>
        <v>0</v>
      </c>
      <c r="P150" s="233"/>
      <c r="Q150" s="233"/>
      <c r="R150" s="233">
        <f t="shared" si="77"/>
        <v>0</v>
      </c>
    </row>
    <row r="151" spans="1:18" s="6" customFormat="1" ht="24" hidden="1" customHeight="1">
      <c r="A151" s="133" t="s">
        <v>125</v>
      </c>
      <c r="B151" s="179" t="s">
        <v>214</v>
      </c>
      <c r="C151" s="171">
        <v>0</v>
      </c>
      <c r="D151" s="171">
        <v>0</v>
      </c>
      <c r="E151" s="233"/>
      <c r="F151" s="233"/>
      <c r="G151" s="233"/>
      <c r="H151" s="233">
        <f t="shared" si="75"/>
        <v>0</v>
      </c>
      <c r="I151" s="233">
        <v>0</v>
      </c>
      <c r="J151" s="233"/>
      <c r="K151" s="233"/>
      <c r="L151" s="233"/>
      <c r="M151" s="233">
        <f t="shared" si="76"/>
        <v>0</v>
      </c>
      <c r="N151" s="233">
        <v>0</v>
      </c>
      <c r="O151" s="233"/>
      <c r="P151" s="233"/>
      <c r="Q151" s="233"/>
      <c r="R151" s="233">
        <f t="shared" si="77"/>
        <v>0</v>
      </c>
    </row>
    <row r="152" spans="1:18" s="6" customFormat="1" ht="24" hidden="1" customHeight="1">
      <c r="A152" s="133">
        <v>9140</v>
      </c>
      <c r="B152" s="179" t="s">
        <v>215</v>
      </c>
      <c r="C152" s="171">
        <v>0</v>
      </c>
      <c r="D152" s="171">
        <v>0</v>
      </c>
      <c r="E152" s="233">
        <f>SUM(E153:E155)</f>
        <v>0</v>
      </c>
      <c r="F152" s="233"/>
      <c r="G152" s="233"/>
      <c r="H152" s="233">
        <f t="shared" si="75"/>
        <v>0</v>
      </c>
      <c r="I152" s="233">
        <v>0</v>
      </c>
      <c r="J152" s="233">
        <f>SUM(J153:J155)</f>
        <v>0</v>
      </c>
      <c r="K152" s="233"/>
      <c r="L152" s="233"/>
      <c r="M152" s="233">
        <f t="shared" si="76"/>
        <v>0</v>
      </c>
      <c r="N152" s="233">
        <v>0</v>
      </c>
      <c r="O152" s="233">
        <f>SUM(O153:O155)</f>
        <v>0</v>
      </c>
      <c r="P152" s="233"/>
      <c r="Q152" s="233"/>
      <c r="R152" s="233">
        <f t="shared" si="77"/>
        <v>0</v>
      </c>
    </row>
    <row r="153" spans="1:18" s="6" customFormat="1" ht="36" hidden="1" customHeight="1">
      <c r="A153" s="134">
        <v>9141</v>
      </c>
      <c r="B153" s="172" t="s">
        <v>190</v>
      </c>
      <c r="C153" s="180">
        <v>0</v>
      </c>
      <c r="D153" s="180">
        <v>0</v>
      </c>
      <c r="E153" s="252"/>
      <c r="F153" s="252"/>
      <c r="G153" s="252"/>
      <c r="H153" s="233">
        <f t="shared" si="75"/>
        <v>0</v>
      </c>
      <c r="I153" s="252">
        <v>0</v>
      </c>
      <c r="J153" s="252"/>
      <c r="K153" s="252"/>
      <c r="L153" s="252"/>
      <c r="M153" s="233">
        <f t="shared" si="76"/>
        <v>0</v>
      </c>
      <c r="N153" s="252">
        <v>0</v>
      </c>
      <c r="O153" s="252"/>
      <c r="P153" s="252"/>
      <c r="Q153" s="252"/>
      <c r="R153" s="233">
        <f t="shared" si="77"/>
        <v>0</v>
      </c>
    </row>
    <row r="154" spans="1:18" s="6" customFormat="1" ht="36" hidden="1" customHeight="1">
      <c r="A154" s="134">
        <v>9142</v>
      </c>
      <c r="B154" s="172" t="s">
        <v>191</v>
      </c>
      <c r="C154" s="180">
        <v>0</v>
      </c>
      <c r="D154" s="180">
        <v>0</v>
      </c>
      <c r="E154" s="252"/>
      <c r="F154" s="252"/>
      <c r="G154" s="252"/>
      <c r="H154" s="233">
        <f t="shared" si="75"/>
        <v>0</v>
      </c>
      <c r="I154" s="252">
        <v>0</v>
      </c>
      <c r="J154" s="252"/>
      <c r="K154" s="252"/>
      <c r="L154" s="252"/>
      <c r="M154" s="233">
        <f t="shared" si="76"/>
        <v>0</v>
      </c>
      <c r="N154" s="252">
        <v>0</v>
      </c>
      <c r="O154" s="252"/>
      <c r="P154" s="252"/>
      <c r="Q154" s="252"/>
      <c r="R154" s="233">
        <f t="shared" si="77"/>
        <v>0</v>
      </c>
    </row>
    <row r="155" spans="1:18" s="6" customFormat="1" ht="24" hidden="1" customHeight="1">
      <c r="A155" s="134">
        <v>9149</v>
      </c>
      <c r="B155" s="172" t="s">
        <v>192</v>
      </c>
      <c r="C155" s="180">
        <v>0</v>
      </c>
      <c r="D155" s="180">
        <v>0</v>
      </c>
      <c r="E155" s="252"/>
      <c r="F155" s="252"/>
      <c r="G155" s="252"/>
      <c r="H155" s="233">
        <f t="shared" si="75"/>
        <v>0</v>
      </c>
      <c r="I155" s="252">
        <v>0</v>
      </c>
      <c r="J155" s="252"/>
      <c r="K155" s="252"/>
      <c r="L155" s="252"/>
      <c r="M155" s="233">
        <f t="shared" si="76"/>
        <v>0</v>
      </c>
      <c r="N155" s="252">
        <v>0</v>
      </c>
      <c r="O155" s="252"/>
      <c r="P155" s="252"/>
      <c r="Q155" s="252"/>
      <c r="R155" s="233">
        <f t="shared" si="77"/>
        <v>0</v>
      </c>
    </row>
    <row r="156" spans="1:18" s="6" customFormat="1" ht="24" hidden="1" customHeight="1">
      <c r="A156" s="141">
        <v>9500</v>
      </c>
      <c r="B156" s="172" t="s">
        <v>165</v>
      </c>
      <c r="C156" s="171">
        <v>0</v>
      </c>
      <c r="D156" s="171">
        <v>0</v>
      </c>
      <c r="E156" s="233">
        <f>SUM(E157:E159)</f>
        <v>0</v>
      </c>
      <c r="F156" s="233"/>
      <c r="G156" s="233"/>
      <c r="H156" s="233">
        <f t="shared" si="75"/>
        <v>0</v>
      </c>
      <c r="I156" s="233">
        <v>0</v>
      </c>
      <c r="J156" s="233">
        <f>SUM(J157:J159)</f>
        <v>0</v>
      </c>
      <c r="K156" s="233"/>
      <c r="L156" s="233"/>
      <c r="M156" s="233">
        <f t="shared" si="76"/>
        <v>0</v>
      </c>
      <c r="N156" s="233">
        <v>0</v>
      </c>
      <c r="O156" s="233">
        <f>SUM(O157:O159)</f>
        <v>0</v>
      </c>
      <c r="P156" s="233"/>
      <c r="Q156" s="233"/>
      <c r="R156" s="233">
        <f t="shared" si="77"/>
        <v>0</v>
      </c>
    </row>
    <row r="157" spans="1:18" s="6" customFormat="1" ht="24" hidden="1" customHeight="1">
      <c r="A157" s="133" t="s">
        <v>193</v>
      </c>
      <c r="B157" s="172" t="s">
        <v>171</v>
      </c>
      <c r="C157" s="171">
        <v>0</v>
      </c>
      <c r="D157" s="171">
        <v>0</v>
      </c>
      <c r="E157" s="233"/>
      <c r="F157" s="233"/>
      <c r="G157" s="233"/>
      <c r="H157" s="233">
        <f t="shared" si="75"/>
        <v>0</v>
      </c>
      <c r="I157" s="233">
        <v>0</v>
      </c>
      <c r="J157" s="233"/>
      <c r="K157" s="233"/>
      <c r="L157" s="233"/>
      <c r="M157" s="233">
        <f t="shared" si="76"/>
        <v>0</v>
      </c>
      <c r="N157" s="233">
        <v>0</v>
      </c>
      <c r="O157" s="233"/>
      <c r="P157" s="233"/>
      <c r="Q157" s="233"/>
      <c r="R157" s="233">
        <f t="shared" si="77"/>
        <v>0</v>
      </c>
    </row>
    <row r="158" spans="1:18" s="6" customFormat="1" ht="48" hidden="1" customHeight="1">
      <c r="A158" s="133">
        <v>9580</v>
      </c>
      <c r="B158" s="172" t="s">
        <v>166</v>
      </c>
      <c r="C158" s="180">
        <v>0</v>
      </c>
      <c r="D158" s="180">
        <v>0</v>
      </c>
      <c r="E158" s="252"/>
      <c r="F158" s="252"/>
      <c r="G158" s="252"/>
      <c r="H158" s="233">
        <f t="shared" si="75"/>
        <v>0</v>
      </c>
      <c r="I158" s="252">
        <v>0</v>
      </c>
      <c r="J158" s="252"/>
      <c r="K158" s="252"/>
      <c r="L158" s="252"/>
      <c r="M158" s="233">
        <f t="shared" si="76"/>
        <v>0</v>
      </c>
      <c r="N158" s="252">
        <v>0</v>
      </c>
      <c r="O158" s="252"/>
      <c r="P158" s="252"/>
      <c r="Q158" s="252"/>
      <c r="R158" s="233">
        <f t="shared" si="77"/>
        <v>0</v>
      </c>
    </row>
    <row r="159" spans="1:18" s="6" customFormat="1" ht="48" hidden="1" customHeight="1">
      <c r="A159" s="133">
        <v>9590</v>
      </c>
      <c r="B159" s="179" t="s">
        <v>172</v>
      </c>
      <c r="C159" s="180">
        <v>0</v>
      </c>
      <c r="D159" s="180">
        <v>0</v>
      </c>
      <c r="E159" s="252"/>
      <c r="F159" s="252"/>
      <c r="G159" s="252"/>
      <c r="H159" s="233">
        <f t="shared" si="75"/>
        <v>0</v>
      </c>
      <c r="I159" s="252">
        <v>0</v>
      </c>
      <c r="J159" s="252"/>
      <c r="K159" s="252"/>
      <c r="L159" s="252"/>
      <c r="M159" s="233">
        <f t="shared" si="76"/>
        <v>0</v>
      </c>
      <c r="N159" s="252">
        <v>0</v>
      </c>
      <c r="O159" s="252"/>
      <c r="P159" s="252"/>
      <c r="Q159" s="252"/>
      <c r="R159" s="233">
        <f t="shared" si="77"/>
        <v>0</v>
      </c>
    </row>
    <row r="160" spans="1:18" s="6" customFormat="1" ht="24" hidden="1" customHeight="1">
      <c r="A160" s="141">
        <v>9700</v>
      </c>
      <c r="B160" s="183" t="s">
        <v>194</v>
      </c>
      <c r="C160" s="171">
        <v>0</v>
      </c>
      <c r="D160" s="171">
        <v>0</v>
      </c>
      <c r="E160" s="233">
        <f>SUM(E161:E162)</f>
        <v>0</v>
      </c>
      <c r="F160" s="233"/>
      <c r="G160" s="233"/>
      <c r="H160" s="233">
        <f t="shared" si="75"/>
        <v>0</v>
      </c>
      <c r="I160" s="233">
        <v>0</v>
      </c>
      <c r="J160" s="233">
        <f>SUM(J161:J162)</f>
        <v>0</v>
      </c>
      <c r="K160" s="233"/>
      <c r="L160" s="233"/>
      <c r="M160" s="233">
        <f t="shared" si="76"/>
        <v>0</v>
      </c>
      <c r="N160" s="233">
        <v>0</v>
      </c>
      <c r="O160" s="233">
        <f>SUM(O161:O162)</f>
        <v>0</v>
      </c>
      <c r="P160" s="233"/>
      <c r="Q160" s="233"/>
      <c r="R160" s="233">
        <f t="shared" si="77"/>
        <v>0</v>
      </c>
    </row>
    <row r="161" spans="1:18" s="6" customFormat="1" ht="24" hidden="1" customHeight="1">
      <c r="A161" s="133">
        <v>9710</v>
      </c>
      <c r="B161" s="184" t="s">
        <v>195</v>
      </c>
      <c r="C161" s="180">
        <v>0</v>
      </c>
      <c r="D161" s="180">
        <v>0</v>
      </c>
      <c r="E161" s="252"/>
      <c r="F161" s="252"/>
      <c r="G161" s="252"/>
      <c r="H161" s="233">
        <f t="shared" si="75"/>
        <v>0</v>
      </c>
      <c r="I161" s="252">
        <v>0</v>
      </c>
      <c r="J161" s="252"/>
      <c r="K161" s="252"/>
      <c r="L161" s="252"/>
      <c r="M161" s="233">
        <f t="shared" si="76"/>
        <v>0</v>
      </c>
      <c r="N161" s="252">
        <v>0</v>
      </c>
      <c r="O161" s="252"/>
      <c r="P161" s="252"/>
      <c r="Q161" s="252"/>
      <c r="R161" s="233">
        <f t="shared" si="77"/>
        <v>0</v>
      </c>
    </row>
    <row r="162" spans="1:18" s="6" customFormat="1" ht="48" hidden="1" customHeight="1">
      <c r="A162" s="142">
        <v>9720</v>
      </c>
      <c r="B162" s="183" t="s">
        <v>196</v>
      </c>
      <c r="C162" s="180">
        <v>0</v>
      </c>
      <c r="D162" s="180">
        <v>0</v>
      </c>
      <c r="E162" s="252"/>
      <c r="F162" s="252"/>
      <c r="G162" s="252"/>
      <c r="H162" s="233">
        <f t="shared" si="75"/>
        <v>0</v>
      </c>
      <c r="I162" s="252">
        <v>0</v>
      </c>
      <c r="J162" s="252"/>
      <c r="K162" s="252"/>
      <c r="L162" s="252"/>
      <c r="M162" s="233">
        <f t="shared" si="76"/>
        <v>0</v>
      </c>
      <c r="N162" s="252">
        <v>0</v>
      </c>
      <c r="O162" s="252"/>
      <c r="P162" s="252"/>
      <c r="Q162" s="252"/>
      <c r="R162" s="233">
        <f t="shared" si="77"/>
        <v>0</v>
      </c>
    </row>
    <row r="163" spans="1:18" s="6" customFormat="1" ht="24" hidden="1" customHeight="1">
      <c r="A163" s="141">
        <v>9600</v>
      </c>
      <c r="B163" s="179" t="s">
        <v>134</v>
      </c>
      <c r="C163" s="180">
        <v>0</v>
      </c>
      <c r="D163" s="180">
        <v>0</v>
      </c>
      <c r="E163" s="252"/>
      <c r="F163" s="252"/>
      <c r="G163" s="252"/>
      <c r="H163" s="233">
        <f t="shared" si="75"/>
        <v>0</v>
      </c>
      <c r="I163" s="252">
        <v>0</v>
      </c>
      <c r="J163" s="252"/>
      <c r="K163" s="252"/>
      <c r="L163" s="252"/>
      <c r="M163" s="233">
        <f t="shared" si="76"/>
        <v>0</v>
      </c>
      <c r="N163" s="252">
        <v>0</v>
      </c>
      <c r="O163" s="252"/>
      <c r="P163" s="252"/>
      <c r="Q163" s="252"/>
      <c r="R163" s="233">
        <f t="shared" si="77"/>
        <v>0</v>
      </c>
    </row>
    <row r="164" spans="1:18" s="6" customFormat="1" ht="30.6">
      <c r="A164" s="130" t="s">
        <v>197</v>
      </c>
      <c r="B164" s="185" t="s">
        <v>47</v>
      </c>
      <c r="C164" s="186">
        <v>-12430</v>
      </c>
      <c r="D164" s="186">
        <v>0</v>
      </c>
      <c r="E164" s="262">
        <f>E94-E119</f>
        <v>0</v>
      </c>
      <c r="F164" s="262"/>
      <c r="G164" s="262"/>
      <c r="H164" s="233">
        <f t="shared" si="75"/>
        <v>0</v>
      </c>
      <c r="I164" s="262">
        <v>0</v>
      </c>
      <c r="J164" s="262">
        <f>J94-J119</f>
        <v>0</v>
      </c>
      <c r="K164" s="262"/>
      <c r="L164" s="262"/>
      <c r="M164" s="233">
        <f t="shared" si="76"/>
        <v>0</v>
      </c>
      <c r="N164" s="262">
        <v>0</v>
      </c>
      <c r="O164" s="262">
        <f>O94-O119</f>
        <v>0</v>
      </c>
      <c r="P164" s="262"/>
      <c r="Q164" s="262"/>
      <c r="R164" s="233">
        <f t="shared" si="77"/>
        <v>0</v>
      </c>
    </row>
    <row r="165" spans="1:18" s="6" customFormat="1" ht="12">
      <c r="A165" s="143" t="s">
        <v>48</v>
      </c>
      <c r="B165" s="185" t="s">
        <v>49</v>
      </c>
      <c r="C165" s="186">
        <v>12430</v>
      </c>
      <c r="D165" s="186">
        <v>0</v>
      </c>
      <c r="E165" s="262">
        <f>E166+E169+E173+E172</f>
        <v>0</v>
      </c>
      <c r="F165" s="262"/>
      <c r="G165" s="262"/>
      <c r="H165" s="233">
        <f t="shared" si="75"/>
        <v>0</v>
      </c>
      <c r="I165" s="262">
        <v>0</v>
      </c>
      <c r="J165" s="262">
        <f>J166+J169+J173+J172</f>
        <v>0</v>
      </c>
      <c r="K165" s="262"/>
      <c r="L165" s="262"/>
      <c r="M165" s="233">
        <f t="shared" si="76"/>
        <v>0</v>
      </c>
      <c r="N165" s="262">
        <v>0</v>
      </c>
      <c r="O165" s="262">
        <f>O166+O169+O173+O172</f>
        <v>0</v>
      </c>
      <c r="P165" s="262"/>
      <c r="Q165" s="262"/>
      <c r="R165" s="233">
        <f t="shared" si="77"/>
        <v>0</v>
      </c>
    </row>
    <row r="166" spans="1:18" s="6" customFormat="1" ht="12" hidden="1" customHeight="1">
      <c r="A166" s="141" t="s">
        <v>50</v>
      </c>
      <c r="B166" s="179" t="s">
        <v>51</v>
      </c>
      <c r="C166" s="169">
        <v>0</v>
      </c>
      <c r="D166" s="169">
        <v>0</v>
      </c>
      <c r="E166" s="231">
        <f>E167+E168</f>
        <v>0</v>
      </c>
      <c r="F166" s="231"/>
      <c r="G166" s="231"/>
      <c r="H166" s="233">
        <f t="shared" si="75"/>
        <v>0</v>
      </c>
      <c r="I166" s="231">
        <v>0</v>
      </c>
      <c r="J166" s="231">
        <f>J167+J168</f>
        <v>0</v>
      </c>
      <c r="K166" s="231"/>
      <c r="L166" s="231"/>
      <c r="M166" s="233">
        <f t="shared" si="76"/>
        <v>0</v>
      </c>
      <c r="N166" s="231">
        <v>0</v>
      </c>
      <c r="O166" s="231">
        <f>O167+O168</f>
        <v>0</v>
      </c>
      <c r="P166" s="231"/>
      <c r="Q166" s="231"/>
      <c r="R166" s="233">
        <f t="shared" si="77"/>
        <v>0</v>
      </c>
    </row>
    <row r="167" spans="1:18" s="6" customFormat="1" ht="12" hidden="1" customHeight="1">
      <c r="A167" s="141" t="s">
        <v>52</v>
      </c>
      <c r="B167" s="179" t="s">
        <v>53</v>
      </c>
      <c r="C167" s="169">
        <v>0</v>
      </c>
      <c r="D167" s="169">
        <v>0</v>
      </c>
      <c r="E167" s="231"/>
      <c r="F167" s="231"/>
      <c r="G167" s="231"/>
      <c r="H167" s="233">
        <f t="shared" si="75"/>
        <v>0</v>
      </c>
      <c r="I167" s="231">
        <v>0</v>
      </c>
      <c r="J167" s="231"/>
      <c r="K167" s="231"/>
      <c r="L167" s="231"/>
      <c r="M167" s="233">
        <f t="shared" si="76"/>
        <v>0</v>
      </c>
      <c r="N167" s="231">
        <v>0</v>
      </c>
      <c r="O167" s="231"/>
      <c r="P167" s="231"/>
      <c r="Q167" s="231"/>
      <c r="R167" s="233">
        <f t="shared" si="77"/>
        <v>0</v>
      </c>
    </row>
    <row r="168" spans="1:18" s="6" customFormat="1" ht="12" hidden="1" customHeight="1">
      <c r="A168" s="141" t="s">
        <v>54</v>
      </c>
      <c r="B168" s="179" t="s">
        <v>55</v>
      </c>
      <c r="C168" s="169">
        <v>0</v>
      </c>
      <c r="D168" s="169">
        <v>0</v>
      </c>
      <c r="E168" s="231"/>
      <c r="F168" s="231"/>
      <c r="G168" s="231"/>
      <c r="H168" s="233">
        <f t="shared" si="75"/>
        <v>0</v>
      </c>
      <c r="I168" s="231">
        <v>0</v>
      </c>
      <c r="J168" s="231"/>
      <c r="K168" s="231"/>
      <c r="L168" s="231"/>
      <c r="M168" s="233">
        <f t="shared" si="76"/>
        <v>0</v>
      </c>
      <c r="N168" s="231">
        <v>0</v>
      </c>
      <c r="O168" s="231"/>
      <c r="P168" s="231"/>
      <c r="Q168" s="231"/>
      <c r="R168" s="233">
        <f t="shared" si="77"/>
        <v>0</v>
      </c>
    </row>
    <row r="169" spans="1:18" s="6" customFormat="1" ht="12" hidden="1" customHeight="1">
      <c r="A169" s="141" t="s">
        <v>56</v>
      </c>
      <c r="B169" s="179" t="s">
        <v>57</v>
      </c>
      <c r="C169" s="169">
        <v>0</v>
      </c>
      <c r="D169" s="169">
        <v>0</v>
      </c>
      <c r="E169" s="231">
        <f>E170+E171</f>
        <v>0</v>
      </c>
      <c r="F169" s="231"/>
      <c r="G169" s="231"/>
      <c r="H169" s="233">
        <f t="shared" si="75"/>
        <v>0</v>
      </c>
      <c r="I169" s="231">
        <v>0</v>
      </c>
      <c r="J169" s="231">
        <f>J170+J171</f>
        <v>0</v>
      </c>
      <c r="K169" s="231"/>
      <c r="L169" s="231"/>
      <c r="M169" s="233">
        <f t="shared" si="76"/>
        <v>0</v>
      </c>
      <c r="N169" s="231">
        <v>0</v>
      </c>
      <c r="O169" s="231">
        <f>O170+O171</f>
        <v>0</v>
      </c>
      <c r="P169" s="231"/>
      <c r="Q169" s="231"/>
      <c r="R169" s="233">
        <f t="shared" si="77"/>
        <v>0</v>
      </c>
    </row>
    <row r="170" spans="1:18" s="6" customFormat="1" ht="12" hidden="1" customHeight="1">
      <c r="A170" s="141" t="s">
        <v>58</v>
      </c>
      <c r="B170" s="179" t="s">
        <v>59</v>
      </c>
      <c r="C170" s="169">
        <v>0</v>
      </c>
      <c r="D170" s="169">
        <v>0</v>
      </c>
      <c r="E170" s="231"/>
      <c r="F170" s="231"/>
      <c r="G170" s="231"/>
      <c r="H170" s="233">
        <f t="shared" si="75"/>
        <v>0</v>
      </c>
      <c r="I170" s="231">
        <v>0</v>
      </c>
      <c r="J170" s="231"/>
      <c r="K170" s="231"/>
      <c r="L170" s="231"/>
      <c r="M170" s="233">
        <f t="shared" si="76"/>
        <v>0</v>
      </c>
      <c r="N170" s="231">
        <v>0</v>
      </c>
      <c r="O170" s="231"/>
      <c r="P170" s="231"/>
      <c r="Q170" s="231"/>
      <c r="R170" s="233">
        <f t="shared" si="77"/>
        <v>0</v>
      </c>
    </row>
    <row r="171" spans="1:18" s="6" customFormat="1" ht="12" hidden="1" customHeight="1">
      <c r="A171" s="141" t="s">
        <v>60</v>
      </c>
      <c r="B171" s="179" t="s">
        <v>61</v>
      </c>
      <c r="C171" s="169">
        <v>0</v>
      </c>
      <c r="D171" s="169">
        <v>0</v>
      </c>
      <c r="E171" s="231"/>
      <c r="F171" s="231"/>
      <c r="G171" s="231"/>
      <c r="H171" s="233">
        <f t="shared" si="75"/>
        <v>0</v>
      </c>
      <c r="I171" s="231">
        <v>0</v>
      </c>
      <c r="J171" s="231"/>
      <c r="K171" s="231"/>
      <c r="L171" s="231"/>
      <c r="M171" s="233">
        <f t="shared" si="76"/>
        <v>0</v>
      </c>
      <c r="N171" s="231">
        <v>0</v>
      </c>
      <c r="O171" s="231"/>
      <c r="P171" s="231"/>
      <c r="Q171" s="231"/>
      <c r="R171" s="233">
        <f t="shared" si="77"/>
        <v>0</v>
      </c>
    </row>
    <row r="172" spans="1:18" s="6" customFormat="1" ht="12" hidden="1" customHeight="1">
      <c r="A172" s="141" t="s">
        <v>198</v>
      </c>
      <c r="B172" s="187" t="s">
        <v>168</v>
      </c>
      <c r="C172" s="169">
        <v>0</v>
      </c>
      <c r="D172" s="169">
        <v>0</v>
      </c>
      <c r="E172" s="231"/>
      <c r="F172" s="231"/>
      <c r="G172" s="231"/>
      <c r="H172" s="233">
        <f t="shared" si="75"/>
        <v>0</v>
      </c>
      <c r="I172" s="231">
        <v>0</v>
      </c>
      <c r="J172" s="231"/>
      <c r="K172" s="231"/>
      <c r="L172" s="231"/>
      <c r="M172" s="233">
        <f t="shared" si="76"/>
        <v>0</v>
      </c>
      <c r="N172" s="231">
        <v>0</v>
      </c>
      <c r="O172" s="231"/>
      <c r="P172" s="231"/>
      <c r="Q172" s="231"/>
      <c r="R172" s="233">
        <f t="shared" si="77"/>
        <v>0</v>
      </c>
    </row>
    <row r="173" spans="1:18" s="6" customFormat="1" ht="12">
      <c r="A173" s="144" t="s">
        <v>62</v>
      </c>
      <c r="B173" s="125" t="s">
        <v>63</v>
      </c>
      <c r="C173" s="171">
        <v>12430</v>
      </c>
      <c r="D173" s="171">
        <v>0</v>
      </c>
      <c r="E173" s="233">
        <f>E174+E175+E176</f>
        <v>0</v>
      </c>
      <c r="F173" s="233"/>
      <c r="G173" s="233"/>
      <c r="H173" s="233">
        <f t="shared" si="75"/>
        <v>0</v>
      </c>
      <c r="I173" s="233">
        <v>0</v>
      </c>
      <c r="J173" s="233">
        <f>J174+J175+J176</f>
        <v>0</v>
      </c>
      <c r="K173" s="233"/>
      <c r="L173" s="233"/>
      <c r="M173" s="233">
        <f t="shared" si="76"/>
        <v>0</v>
      </c>
      <c r="N173" s="233">
        <v>0</v>
      </c>
      <c r="O173" s="233">
        <f>O174+O175+O176</f>
        <v>0</v>
      </c>
      <c r="P173" s="233"/>
      <c r="Q173" s="233"/>
      <c r="R173" s="233">
        <f t="shared" si="77"/>
        <v>0</v>
      </c>
    </row>
    <row r="174" spans="1:18" s="6" customFormat="1" ht="36">
      <c r="A174" s="144" t="s">
        <v>64</v>
      </c>
      <c r="B174" s="179" t="s">
        <v>65</v>
      </c>
      <c r="C174" s="169">
        <v>12430</v>
      </c>
      <c r="D174" s="169">
        <v>0</v>
      </c>
      <c r="E174" s="231"/>
      <c r="F174" s="231"/>
      <c r="G174" s="231"/>
      <c r="H174" s="233">
        <f t="shared" si="75"/>
        <v>0</v>
      </c>
      <c r="I174" s="231">
        <v>0</v>
      </c>
      <c r="J174" s="231"/>
      <c r="K174" s="231"/>
      <c r="L174" s="231"/>
      <c r="M174" s="233">
        <f t="shared" si="76"/>
        <v>0</v>
      </c>
      <c r="N174" s="231">
        <v>0</v>
      </c>
      <c r="O174" s="231"/>
      <c r="P174" s="231"/>
      <c r="Q174" s="231"/>
      <c r="R174" s="233">
        <f t="shared" si="77"/>
        <v>0</v>
      </c>
    </row>
    <row r="175" spans="1:18" s="6" customFormat="1" ht="36" hidden="1" customHeight="1">
      <c r="A175" s="144" t="s">
        <v>66</v>
      </c>
      <c r="B175" s="179" t="s">
        <v>67</v>
      </c>
      <c r="C175" s="169">
        <v>0</v>
      </c>
      <c r="D175" s="169">
        <v>0</v>
      </c>
      <c r="E175" s="231"/>
      <c r="F175" s="231"/>
      <c r="G175" s="231"/>
      <c r="H175" s="233">
        <f t="shared" si="75"/>
        <v>0</v>
      </c>
      <c r="I175" s="231">
        <v>0</v>
      </c>
      <c r="J175" s="231"/>
      <c r="K175" s="231"/>
      <c r="L175" s="231"/>
      <c r="M175" s="233">
        <f t="shared" si="76"/>
        <v>0</v>
      </c>
      <c r="N175" s="231">
        <v>0</v>
      </c>
      <c r="O175" s="231"/>
      <c r="P175" s="231"/>
      <c r="Q175" s="231"/>
      <c r="R175" s="233">
        <f t="shared" si="77"/>
        <v>0</v>
      </c>
    </row>
    <row r="176" spans="1:18" s="6" customFormat="1" ht="24" hidden="1" customHeight="1">
      <c r="A176" s="144" t="s">
        <v>68</v>
      </c>
      <c r="B176" s="125" t="s">
        <v>69</v>
      </c>
      <c r="C176" s="169">
        <v>0</v>
      </c>
      <c r="D176" s="169">
        <v>0</v>
      </c>
      <c r="E176" s="231"/>
      <c r="F176" s="231"/>
      <c r="G176" s="231"/>
      <c r="H176" s="233">
        <f t="shared" si="75"/>
        <v>0</v>
      </c>
      <c r="I176" s="231">
        <v>0</v>
      </c>
      <c r="J176" s="231"/>
      <c r="K176" s="231"/>
      <c r="L176" s="231"/>
      <c r="M176" s="233">
        <f t="shared" si="76"/>
        <v>0</v>
      </c>
      <c r="N176" s="231">
        <v>0</v>
      </c>
      <c r="O176" s="231"/>
      <c r="P176" s="231"/>
      <c r="Q176" s="231"/>
      <c r="R176" s="233">
        <f t="shared" si="77"/>
        <v>0</v>
      </c>
    </row>
    <row r="177" spans="1:18" s="6" customFormat="1" ht="34.200000000000003">
      <c r="A177" s="145"/>
      <c r="B177" s="188" t="s">
        <v>200</v>
      </c>
      <c r="C177" s="293"/>
      <c r="D177" s="294">
        <v>0</v>
      </c>
      <c r="E177" s="347"/>
      <c r="F177" s="347"/>
      <c r="G177" s="347"/>
      <c r="H177" s="347">
        <f t="shared" si="75"/>
        <v>0</v>
      </c>
      <c r="I177" s="347">
        <v>0</v>
      </c>
      <c r="J177" s="347"/>
      <c r="K177" s="347"/>
      <c r="L177" s="347"/>
      <c r="M177" s="347">
        <f t="shared" si="76"/>
        <v>0</v>
      </c>
      <c r="N177" s="347">
        <v>0</v>
      </c>
      <c r="O177" s="347"/>
      <c r="P177" s="347"/>
      <c r="Q177" s="347"/>
      <c r="R177" s="347">
        <f t="shared" si="77"/>
        <v>0</v>
      </c>
    </row>
    <row r="178" spans="1:18" s="6" customFormat="1" ht="20.399999999999999">
      <c r="A178" s="321" t="s">
        <v>201</v>
      </c>
      <c r="B178" s="322" t="s">
        <v>88</v>
      </c>
      <c r="C178" s="167">
        <v>76308781</v>
      </c>
      <c r="D178" s="167">
        <v>82115872</v>
      </c>
      <c r="E178" s="228">
        <f>E342+E356</f>
        <v>2275389</v>
      </c>
      <c r="F178" s="228">
        <f>F179+F180+F182+F200</f>
        <v>0</v>
      </c>
      <c r="G178" s="228">
        <f>G179+G180+G182+G200</f>
        <v>0</v>
      </c>
      <c r="H178" s="243">
        <f t="shared" si="75"/>
        <v>84391261</v>
      </c>
      <c r="I178" s="228">
        <v>15109243</v>
      </c>
      <c r="J178" s="228">
        <f>J342+J356</f>
        <v>2873774</v>
      </c>
      <c r="K178" s="228">
        <f>K179+K180+K182+K200</f>
        <v>0</v>
      </c>
      <c r="L178" s="228">
        <f>L179+L180+L182+L200</f>
        <v>0</v>
      </c>
      <c r="M178" s="243">
        <f t="shared" si="76"/>
        <v>17983017</v>
      </c>
      <c r="N178" s="228">
        <v>4679194</v>
      </c>
      <c r="O178" s="228">
        <f>O342+O356</f>
        <v>3034184</v>
      </c>
      <c r="P178" s="228">
        <f>P179+P180+P182+P200</f>
        <v>0</v>
      </c>
      <c r="Q178" s="228">
        <f>Q179+Q180+Q182+Q200</f>
        <v>0</v>
      </c>
      <c r="R178" s="243">
        <f t="shared" si="77"/>
        <v>7713378</v>
      </c>
    </row>
    <row r="179" spans="1:18" s="6" customFormat="1" ht="24" hidden="1" customHeight="1">
      <c r="A179" s="130" t="s">
        <v>177</v>
      </c>
      <c r="B179" s="124" t="s">
        <v>90</v>
      </c>
      <c r="C179" s="169">
        <v>0</v>
      </c>
      <c r="D179" s="169">
        <v>0</v>
      </c>
      <c r="E179" s="231"/>
      <c r="F179" s="231"/>
      <c r="G179" s="231"/>
      <c r="H179" s="233">
        <f t="shared" si="75"/>
        <v>0</v>
      </c>
      <c r="I179" s="231">
        <v>0</v>
      </c>
      <c r="J179" s="231"/>
      <c r="K179" s="231"/>
      <c r="L179" s="231"/>
      <c r="M179" s="233">
        <f t="shared" si="76"/>
        <v>0</v>
      </c>
      <c r="N179" s="231">
        <v>0</v>
      </c>
      <c r="O179" s="231"/>
      <c r="P179" s="231"/>
      <c r="Q179" s="231"/>
      <c r="R179" s="233">
        <f t="shared" si="77"/>
        <v>0</v>
      </c>
    </row>
    <row r="180" spans="1:18" s="6" customFormat="1" ht="12">
      <c r="A180" s="130" t="s">
        <v>91</v>
      </c>
      <c r="B180" s="124" t="s">
        <v>92</v>
      </c>
      <c r="C180" s="169">
        <v>118372</v>
      </c>
      <c r="D180" s="169">
        <v>424870</v>
      </c>
      <c r="E180" s="231">
        <f>E357</f>
        <v>10382</v>
      </c>
      <c r="F180" s="231"/>
      <c r="G180" s="231"/>
      <c r="H180" s="233">
        <f t="shared" si="75"/>
        <v>435252</v>
      </c>
      <c r="I180" s="231">
        <v>215481</v>
      </c>
      <c r="J180" s="231">
        <f>J357</f>
        <v>0</v>
      </c>
      <c r="K180" s="231"/>
      <c r="L180" s="231"/>
      <c r="M180" s="233">
        <f t="shared" si="76"/>
        <v>215481</v>
      </c>
      <c r="N180" s="231">
        <v>256757</v>
      </c>
      <c r="O180" s="231">
        <f>O357</f>
        <v>0</v>
      </c>
      <c r="P180" s="231"/>
      <c r="Q180" s="231"/>
      <c r="R180" s="233">
        <f t="shared" si="77"/>
        <v>256757</v>
      </c>
    </row>
    <row r="181" spans="1:18" s="29" customFormat="1" ht="24">
      <c r="A181" s="131">
        <v>21210</v>
      </c>
      <c r="B181" s="125" t="s">
        <v>93</v>
      </c>
      <c r="C181" s="169">
        <v>90627</v>
      </c>
      <c r="D181" s="169">
        <v>160113</v>
      </c>
      <c r="E181" s="231"/>
      <c r="F181" s="231"/>
      <c r="G181" s="231"/>
      <c r="H181" s="233">
        <f t="shared" si="75"/>
        <v>160113</v>
      </c>
      <c r="I181" s="231">
        <v>105444</v>
      </c>
      <c r="J181" s="231"/>
      <c r="K181" s="231"/>
      <c r="L181" s="231"/>
      <c r="M181" s="233">
        <f t="shared" si="76"/>
        <v>105444</v>
      </c>
      <c r="N181" s="231">
        <v>0</v>
      </c>
      <c r="O181" s="231"/>
      <c r="P181" s="231"/>
      <c r="Q181" s="231"/>
      <c r="R181" s="233">
        <f t="shared" si="77"/>
        <v>0</v>
      </c>
    </row>
    <row r="182" spans="1:18" s="89" customFormat="1" ht="21" hidden="1" customHeight="1">
      <c r="A182" s="130" t="s">
        <v>178</v>
      </c>
      <c r="B182" s="124" t="s">
        <v>94</v>
      </c>
      <c r="C182" s="171">
        <v>0</v>
      </c>
      <c r="D182" s="171">
        <v>0</v>
      </c>
      <c r="E182" s="233"/>
      <c r="F182" s="233">
        <f>F183+F189</f>
        <v>0</v>
      </c>
      <c r="G182" s="233">
        <f>G183+G189</f>
        <v>0</v>
      </c>
      <c r="H182" s="233">
        <f t="shared" si="75"/>
        <v>0</v>
      </c>
      <c r="I182" s="233">
        <v>0</v>
      </c>
      <c r="J182" s="233"/>
      <c r="K182" s="233">
        <f>K183+K189</f>
        <v>0</v>
      </c>
      <c r="L182" s="233">
        <f>L183+L189</f>
        <v>0</v>
      </c>
      <c r="M182" s="233">
        <f t="shared" si="76"/>
        <v>0</v>
      </c>
      <c r="N182" s="233">
        <v>0</v>
      </c>
      <c r="O182" s="233"/>
      <c r="P182" s="233">
        <f>P183+P189</f>
        <v>0</v>
      </c>
      <c r="Q182" s="233">
        <f>Q183+Q189</f>
        <v>0</v>
      </c>
      <c r="R182" s="233">
        <f t="shared" si="77"/>
        <v>0</v>
      </c>
    </row>
    <row r="183" spans="1:18" s="89" customFormat="1" ht="12" hidden="1" customHeight="1">
      <c r="A183" s="132">
        <v>18000</v>
      </c>
      <c r="B183" s="125" t="s">
        <v>95</v>
      </c>
      <c r="C183" s="171">
        <v>0</v>
      </c>
      <c r="D183" s="171">
        <v>0</v>
      </c>
      <c r="E183" s="233"/>
      <c r="F183" s="233">
        <f t="shared" ref="F183:G184" si="78">F184</f>
        <v>0</v>
      </c>
      <c r="G183" s="233">
        <f t="shared" si="78"/>
        <v>0</v>
      </c>
      <c r="H183" s="233">
        <f t="shared" si="75"/>
        <v>0</v>
      </c>
      <c r="I183" s="233">
        <v>0</v>
      </c>
      <c r="J183" s="233"/>
      <c r="K183" s="233">
        <f t="shared" ref="K183:L184" si="79">K184</f>
        <v>0</v>
      </c>
      <c r="L183" s="233">
        <f t="shared" si="79"/>
        <v>0</v>
      </c>
      <c r="M183" s="233">
        <f t="shared" si="76"/>
        <v>0</v>
      </c>
      <c r="N183" s="233">
        <v>0</v>
      </c>
      <c r="O183" s="233"/>
      <c r="P183" s="233">
        <f t="shared" ref="P183:Q184" si="80">P184</f>
        <v>0</v>
      </c>
      <c r="Q183" s="233">
        <f t="shared" si="80"/>
        <v>0</v>
      </c>
      <c r="R183" s="233">
        <f t="shared" si="77"/>
        <v>0</v>
      </c>
    </row>
    <row r="184" spans="1:18" s="89" customFormat="1" ht="12" hidden="1" customHeight="1">
      <c r="A184" s="132">
        <v>18100</v>
      </c>
      <c r="B184" s="125" t="s">
        <v>96</v>
      </c>
      <c r="C184" s="171">
        <v>0</v>
      </c>
      <c r="D184" s="171">
        <v>0</v>
      </c>
      <c r="E184" s="233"/>
      <c r="F184" s="233">
        <f t="shared" si="78"/>
        <v>0</v>
      </c>
      <c r="G184" s="233">
        <f t="shared" si="78"/>
        <v>0</v>
      </c>
      <c r="H184" s="233">
        <f t="shared" si="75"/>
        <v>0</v>
      </c>
      <c r="I184" s="233">
        <v>0</v>
      </c>
      <c r="J184" s="233"/>
      <c r="K184" s="233">
        <f t="shared" si="79"/>
        <v>0</v>
      </c>
      <c r="L184" s="233">
        <f t="shared" si="79"/>
        <v>0</v>
      </c>
      <c r="M184" s="233">
        <f t="shared" si="76"/>
        <v>0</v>
      </c>
      <c r="N184" s="233">
        <v>0</v>
      </c>
      <c r="O184" s="233"/>
      <c r="P184" s="233">
        <f t="shared" si="80"/>
        <v>0</v>
      </c>
      <c r="Q184" s="233">
        <f t="shared" si="80"/>
        <v>0</v>
      </c>
      <c r="R184" s="233">
        <f t="shared" si="77"/>
        <v>0</v>
      </c>
    </row>
    <row r="185" spans="1:18" s="89" customFormat="1" ht="24" hidden="1" customHeight="1">
      <c r="A185" s="133">
        <v>18130</v>
      </c>
      <c r="B185" s="172" t="s">
        <v>159</v>
      </c>
      <c r="C185" s="171">
        <v>0</v>
      </c>
      <c r="D185" s="171">
        <v>0</v>
      </c>
      <c r="E185" s="233"/>
      <c r="F185" s="233">
        <f>SUM(F186:F188)</f>
        <v>0</v>
      </c>
      <c r="G185" s="233">
        <f>SUM(G186:G188)</f>
        <v>0</v>
      </c>
      <c r="H185" s="233">
        <f t="shared" si="75"/>
        <v>0</v>
      </c>
      <c r="I185" s="233">
        <v>0</v>
      </c>
      <c r="J185" s="233"/>
      <c r="K185" s="233">
        <f>SUM(K186:K188)</f>
        <v>0</v>
      </c>
      <c r="L185" s="233">
        <f>SUM(L186:L188)</f>
        <v>0</v>
      </c>
      <c r="M185" s="233">
        <f t="shared" si="76"/>
        <v>0</v>
      </c>
      <c r="N185" s="233">
        <v>0</v>
      </c>
      <c r="O185" s="233"/>
      <c r="P185" s="233">
        <f>SUM(P186:P188)</f>
        <v>0</v>
      </c>
      <c r="Q185" s="233">
        <f>SUM(Q186:Q188)</f>
        <v>0</v>
      </c>
      <c r="R185" s="233">
        <f t="shared" si="77"/>
        <v>0</v>
      </c>
    </row>
    <row r="186" spans="1:18" s="89" customFormat="1" ht="36" hidden="1" customHeight="1">
      <c r="A186" s="134">
        <v>18131</v>
      </c>
      <c r="B186" s="172" t="s">
        <v>160</v>
      </c>
      <c r="C186" s="171">
        <v>0</v>
      </c>
      <c r="D186" s="171">
        <v>0</v>
      </c>
      <c r="E186" s="233"/>
      <c r="F186" s="233"/>
      <c r="G186" s="233"/>
      <c r="H186" s="233">
        <f t="shared" si="75"/>
        <v>0</v>
      </c>
      <c r="I186" s="233">
        <v>0</v>
      </c>
      <c r="J186" s="233"/>
      <c r="K186" s="233"/>
      <c r="L186" s="233"/>
      <c r="M186" s="233">
        <f t="shared" si="76"/>
        <v>0</v>
      </c>
      <c r="N186" s="233">
        <v>0</v>
      </c>
      <c r="O186" s="233"/>
      <c r="P186" s="233"/>
      <c r="Q186" s="233"/>
      <c r="R186" s="233">
        <f t="shared" si="77"/>
        <v>0</v>
      </c>
    </row>
    <row r="187" spans="1:18" s="89" customFormat="1" ht="24" hidden="1" customHeight="1">
      <c r="A187" s="134">
        <v>18132</v>
      </c>
      <c r="B187" s="172" t="s">
        <v>169</v>
      </c>
      <c r="C187" s="171">
        <v>0</v>
      </c>
      <c r="D187" s="171">
        <v>0</v>
      </c>
      <c r="E187" s="233"/>
      <c r="F187" s="233"/>
      <c r="G187" s="233"/>
      <c r="H187" s="233">
        <f t="shared" si="75"/>
        <v>0</v>
      </c>
      <c r="I187" s="233">
        <v>0</v>
      </c>
      <c r="J187" s="233"/>
      <c r="K187" s="233"/>
      <c r="L187" s="233"/>
      <c r="M187" s="233">
        <f t="shared" si="76"/>
        <v>0</v>
      </c>
      <c r="N187" s="233">
        <v>0</v>
      </c>
      <c r="O187" s="233"/>
      <c r="P187" s="233"/>
      <c r="Q187" s="233"/>
      <c r="R187" s="233">
        <f t="shared" si="77"/>
        <v>0</v>
      </c>
    </row>
    <row r="188" spans="1:18" s="89" customFormat="1" ht="24" hidden="1" customHeight="1">
      <c r="A188" s="134">
        <v>18139</v>
      </c>
      <c r="B188" s="172" t="s">
        <v>179</v>
      </c>
      <c r="C188" s="171">
        <v>0</v>
      </c>
      <c r="D188" s="171">
        <v>0</v>
      </c>
      <c r="E188" s="233"/>
      <c r="F188" s="233"/>
      <c r="G188" s="233"/>
      <c r="H188" s="233">
        <f t="shared" si="75"/>
        <v>0</v>
      </c>
      <c r="I188" s="233">
        <v>0</v>
      </c>
      <c r="J188" s="233"/>
      <c r="K188" s="233"/>
      <c r="L188" s="233"/>
      <c r="M188" s="233">
        <f t="shared" si="76"/>
        <v>0</v>
      </c>
      <c r="N188" s="233">
        <v>0</v>
      </c>
      <c r="O188" s="233"/>
      <c r="P188" s="233"/>
      <c r="Q188" s="233"/>
      <c r="R188" s="233">
        <f t="shared" si="77"/>
        <v>0</v>
      </c>
    </row>
    <row r="189" spans="1:18" s="89" customFormat="1" ht="12" hidden="1" customHeight="1">
      <c r="A189" s="135" t="s">
        <v>180</v>
      </c>
      <c r="B189" s="173" t="s">
        <v>173</v>
      </c>
      <c r="C189" s="174">
        <v>0</v>
      </c>
      <c r="D189" s="174">
        <v>0</v>
      </c>
      <c r="E189" s="238"/>
      <c r="F189" s="238">
        <f>F190</f>
        <v>0</v>
      </c>
      <c r="G189" s="238">
        <f>G190</f>
        <v>0</v>
      </c>
      <c r="H189" s="233">
        <f t="shared" si="75"/>
        <v>0</v>
      </c>
      <c r="I189" s="238">
        <v>0</v>
      </c>
      <c r="J189" s="238"/>
      <c r="K189" s="238">
        <f>K190</f>
        <v>0</v>
      </c>
      <c r="L189" s="238">
        <f>L190</f>
        <v>0</v>
      </c>
      <c r="M189" s="233">
        <f t="shared" si="76"/>
        <v>0</v>
      </c>
      <c r="N189" s="238">
        <v>0</v>
      </c>
      <c r="O189" s="238"/>
      <c r="P189" s="238">
        <f>P190</f>
        <v>0</v>
      </c>
      <c r="Q189" s="238">
        <f>Q190</f>
        <v>0</v>
      </c>
      <c r="R189" s="233">
        <f t="shared" si="77"/>
        <v>0</v>
      </c>
    </row>
    <row r="190" spans="1:18" s="89" customFormat="1" ht="24" hidden="1" customHeight="1">
      <c r="A190" s="135">
        <v>19500</v>
      </c>
      <c r="B190" s="172" t="s">
        <v>174</v>
      </c>
      <c r="C190" s="171">
        <v>0</v>
      </c>
      <c r="D190" s="171">
        <v>0</v>
      </c>
      <c r="E190" s="233"/>
      <c r="F190" s="233">
        <f>SUM(F191:F193)</f>
        <v>0</v>
      </c>
      <c r="G190" s="233">
        <f>SUM(G191:G193)</f>
        <v>0</v>
      </c>
      <c r="H190" s="233">
        <f t="shared" si="75"/>
        <v>0</v>
      </c>
      <c r="I190" s="233">
        <v>0</v>
      </c>
      <c r="J190" s="233"/>
      <c r="K190" s="233">
        <f>SUM(K191:K193)</f>
        <v>0</v>
      </c>
      <c r="L190" s="233">
        <f>SUM(L191:L193)</f>
        <v>0</v>
      </c>
      <c r="M190" s="233">
        <f t="shared" si="76"/>
        <v>0</v>
      </c>
      <c r="N190" s="233">
        <v>0</v>
      </c>
      <c r="O190" s="233"/>
      <c r="P190" s="233">
        <f>SUM(P191:P193)</f>
        <v>0</v>
      </c>
      <c r="Q190" s="233">
        <f>SUM(Q191:Q193)</f>
        <v>0</v>
      </c>
      <c r="R190" s="233">
        <f t="shared" si="77"/>
        <v>0</v>
      </c>
    </row>
    <row r="191" spans="1:18" s="89" customFormat="1" ht="24" hidden="1" customHeight="1">
      <c r="A191" s="136">
        <v>19550</v>
      </c>
      <c r="B191" s="172" t="s">
        <v>175</v>
      </c>
      <c r="C191" s="171">
        <v>0</v>
      </c>
      <c r="D191" s="171">
        <v>0</v>
      </c>
      <c r="E191" s="233"/>
      <c r="F191" s="233"/>
      <c r="G191" s="233"/>
      <c r="H191" s="233">
        <f t="shared" si="75"/>
        <v>0</v>
      </c>
      <c r="I191" s="233">
        <v>0</v>
      </c>
      <c r="J191" s="233"/>
      <c r="K191" s="233"/>
      <c r="L191" s="233"/>
      <c r="M191" s="233">
        <f t="shared" si="76"/>
        <v>0</v>
      </c>
      <c r="N191" s="233">
        <v>0</v>
      </c>
      <c r="O191" s="233"/>
      <c r="P191" s="233"/>
      <c r="Q191" s="233"/>
      <c r="R191" s="233">
        <f t="shared" si="77"/>
        <v>0</v>
      </c>
    </row>
    <row r="192" spans="1:18" s="89" customFormat="1" ht="36" hidden="1" customHeight="1">
      <c r="A192" s="136">
        <v>19560</v>
      </c>
      <c r="B192" s="172" t="s">
        <v>181</v>
      </c>
      <c r="C192" s="171">
        <v>0</v>
      </c>
      <c r="D192" s="171">
        <v>0</v>
      </c>
      <c r="E192" s="233"/>
      <c r="F192" s="233"/>
      <c r="G192" s="233"/>
      <c r="H192" s="233">
        <f t="shared" si="75"/>
        <v>0</v>
      </c>
      <c r="I192" s="233">
        <v>0</v>
      </c>
      <c r="J192" s="233"/>
      <c r="K192" s="233"/>
      <c r="L192" s="233"/>
      <c r="M192" s="233">
        <f t="shared" si="76"/>
        <v>0</v>
      </c>
      <c r="N192" s="233">
        <v>0</v>
      </c>
      <c r="O192" s="233"/>
      <c r="P192" s="233"/>
      <c r="Q192" s="233"/>
      <c r="R192" s="233">
        <f t="shared" si="77"/>
        <v>0</v>
      </c>
    </row>
    <row r="193" spans="1:18" s="89" customFormat="1" ht="72" hidden="1" customHeight="1">
      <c r="A193" s="136">
        <v>19570</v>
      </c>
      <c r="B193" s="172" t="s">
        <v>182</v>
      </c>
      <c r="C193" s="171">
        <v>0</v>
      </c>
      <c r="D193" s="171">
        <v>0</v>
      </c>
      <c r="E193" s="233"/>
      <c r="F193" s="233"/>
      <c r="G193" s="233"/>
      <c r="H193" s="233">
        <f t="shared" si="75"/>
        <v>0</v>
      </c>
      <c r="I193" s="233">
        <v>0</v>
      </c>
      <c r="J193" s="233"/>
      <c r="K193" s="233"/>
      <c r="L193" s="233"/>
      <c r="M193" s="233">
        <f t="shared" si="76"/>
        <v>0</v>
      </c>
      <c r="N193" s="233">
        <v>0</v>
      </c>
      <c r="O193" s="233"/>
      <c r="P193" s="233"/>
      <c r="Q193" s="233"/>
      <c r="R193" s="233">
        <f t="shared" si="77"/>
        <v>0</v>
      </c>
    </row>
    <row r="194" spans="1:18" s="6" customFormat="1" ht="36" hidden="1" customHeight="1">
      <c r="A194" s="209" t="s">
        <v>222</v>
      </c>
      <c r="B194" s="208" t="s">
        <v>216</v>
      </c>
      <c r="C194" s="107">
        <f>C195</f>
        <v>0</v>
      </c>
      <c r="D194" s="107">
        <v>0</v>
      </c>
      <c r="E194" s="233"/>
      <c r="F194" s="233">
        <f>F195</f>
        <v>0</v>
      </c>
      <c r="G194" s="233">
        <f>G195</f>
        <v>0</v>
      </c>
      <c r="H194" s="233">
        <f t="shared" si="75"/>
        <v>0</v>
      </c>
      <c r="I194" s="233">
        <v>0</v>
      </c>
      <c r="J194" s="233"/>
      <c r="K194" s="233">
        <f>K195</f>
        <v>0</v>
      </c>
      <c r="L194" s="233">
        <f>L195</f>
        <v>0</v>
      </c>
      <c r="M194" s="233">
        <f t="shared" si="76"/>
        <v>0</v>
      </c>
      <c r="N194" s="233">
        <v>0</v>
      </c>
      <c r="O194" s="233"/>
      <c r="P194" s="233">
        <f>P195</f>
        <v>0</v>
      </c>
      <c r="Q194" s="233">
        <f>Q195</f>
        <v>0</v>
      </c>
      <c r="R194" s="233">
        <f t="shared" si="77"/>
        <v>0</v>
      </c>
    </row>
    <row r="195" spans="1:18" s="6" customFormat="1" ht="36" hidden="1" customHeight="1">
      <c r="A195" s="209">
        <v>17100</v>
      </c>
      <c r="B195" s="208" t="s">
        <v>217</v>
      </c>
      <c r="C195" s="107">
        <f>SUM(C196:C199)</f>
        <v>0</v>
      </c>
      <c r="D195" s="107">
        <v>0</v>
      </c>
      <c r="E195" s="233"/>
      <c r="F195" s="233">
        <f>SUM(F196:F199)</f>
        <v>0</v>
      </c>
      <c r="G195" s="233">
        <f>SUM(G196:G199)</f>
        <v>0</v>
      </c>
      <c r="H195" s="233">
        <f t="shared" si="75"/>
        <v>0</v>
      </c>
      <c r="I195" s="233">
        <v>0</v>
      </c>
      <c r="J195" s="233"/>
      <c r="K195" s="233">
        <f>SUM(K196:K199)</f>
        <v>0</v>
      </c>
      <c r="L195" s="233">
        <f>SUM(L196:L199)</f>
        <v>0</v>
      </c>
      <c r="M195" s="233">
        <f t="shared" si="76"/>
        <v>0</v>
      </c>
      <c r="N195" s="233">
        <v>0</v>
      </c>
      <c r="O195" s="233"/>
      <c r="P195" s="233">
        <f>SUM(P196:P199)</f>
        <v>0</v>
      </c>
      <c r="Q195" s="233">
        <f>SUM(Q196:Q199)</f>
        <v>0</v>
      </c>
      <c r="R195" s="233">
        <f t="shared" si="77"/>
        <v>0</v>
      </c>
    </row>
    <row r="196" spans="1:18" s="6" customFormat="1" ht="60" hidden="1" customHeight="1">
      <c r="A196" s="149">
        <v>17110</v>
      </c>
      <c r="B196" s="208" t="s">
        <v>218</v>
      </c>
      <c r="C196" s="107"/>
      <c r="D196" s="107">
        <v>0</v>
      </c>
      <c r="E196" s="233"/>
      <c r="F196" s="233"/>
      <c r="G196" s="233"/>
      <c r="H196" s="233">
        <f t="shared" si="75"/>
        <v>0</v>
      </c>
      <c r="I196" s="233">
        <v>0</v>
      </c>
      <c r="J196" s="233"/>
      <c r="K196" s="233"/>
      <c r="L196" s="233"/>
      <c r="M196" s="233">
        <f t="shared" si="76"/>
        <v>0</v>
      </c>
      <c r="N196" s="233">
        <v>0</v>
      </c>
      <c r="O196" s="233"/>
      <c r="P196" s="233"/>
      <c r="Q196" s="233"/>
      <c r="R196" s="233">
        <f t="shared" si="77"/>
        <v>0</v>
      </c>
    </row>
    <row r="197" spans="1:18" s="6" customFormat="1" ht="60" hidden="1" customHeight="1">
      <c r="A197" s="149">
        <v>17120</v>
      </c>
      <c r="B197" s="208" t="s">
        <v>219</v>
      </c>
      <c r="C197" s="107"/>
      <c r="D197" s="107">
        <v>0</v>
      </c>
      <c r="E197" s="233"/>
      <c r="F197" s="233"/>
      <c r="G197" s="233"/>
      <c r="H197" s="233">
        <f t="shared" si="75"/>
        <v>0</v>
      </c>
      <c r="I197" s="233">
        <v>0</v>
      </c>
      <c r="J197" s="233"/>
      <c r="K197" s="233"/>
      <c r="L197" s="233"/>
      <c r="M197" s="233">
        <f t="shared" si="76"/>
        <v>0</v>
      </c>
      <c r="N197" s="233">
        <v>0</v>
      </c>
      <c r="O197" s="233"/>
      <c r="P197" s="233"/>
      <c r="Q197" s="233"/>
      <c r="R197" s="233">
        <f t="shared" si="77"/>
        <v>0</v>
      </c>
    </row>
    <row r="198" spans="1:18" s="6" customFormat="1" ht="108" hidden="1" customHeight="1">
      <c r="A198" s="149">
        <v>17130</v>
      </c>
      <c r="B198" s="208" t="s">
        <v>220</v>
      </c>
      <c r="C198" s="107"/>
      <c r="D198" s="107">
        <v>0</v>
      </c>
      <c r="E198" s="233"/>
      <c r="F198" s="233"/>
      <c r="G198" s="233"/>
      <c r="H198" s="233">
        <f t="shared" si="75"/>
        <v>0</v>
      </c>
      <c r="I198" s="233">
        <v>0</v>
      </c>
      <c r="J198" s="233"/>
      <c r="K198" s="233"/>
      <c r="L198" s="233"/>
      <c r="M198" s="233">
        <f t="shared" si="76"/>
        <v>0</v>
      </c>
      <c r="N198" s="233">
        <v>0</v>
      </c>
      <c r="O198" s="233"/>
      <c r="P198" s="233"/>
      <c r="Q198" s="233"/>
      <c r="R198" s="233">
        <f t="shared" si="77"/>
        <v>0</v>
      </c>
    </row>
    <row r="199" spans="1:18" s="6" customFormat="1" ht="108" hidden="1" customHeight="1">
      <c r="A199" s="149">
        <v>17140</v>
      </c>
      <c r="B199" s="208" t="s">
        <v>221</v>
      </c>
      <c r="C199" s="107"/>
      <c r="D199" s="107">
        <v>0</v>
      </c>
      <c r="E199" s="233"/>
      <c r="F199" s="233"/>
      <c r="G199" s="233"/>
      <c r="H199" s="233">
        <f t="shared" si="75"/>
        <v>0</v>
      </c>
      <c r="I199" s="233">
        <v>0</v>
      </c>
      <c r="J199" s="233"/>
      <c r="K199" s="233"/>
      <c r="L199" s="233"/>
      <c r="M199" s="233">
        <f t="shared" si="76"/>
        <v>0</v>
      </c>
      <c r="N199" s="233">
        <v>0</v>
      </c>
      <c r="O199" s="233"/>
      <c r="P199" s="233"/>
      <c r="Q199" s="233"/>
      <c r="R199" s="233">
        <f t="shared" si="77"/>
        <v>0</v>
      </c>
    </row>
    <row r="200" spans="1:18" s="89" customFormat="1" ht="12">
      <c r="A200" s="137">
        <v>21700</v>
      </c>
      <c r="B200" s="124" t="s">
        <v>97</v>
      </c>
      <c r="C200" s="171">
        <v>76190409</v>
      </c>
      <c r="D200" s="171">
        <v>81691002</v>
      </c>
      <c r="E200" s="233">
        <f>E343</f>
        <v>2265007</v>
      </c>
      <c r="F200" s="233">
        <f>F201+F202</f>
        <v>0</v>
      </c>
      <c r="G200" s="233">
        <f>G201+G202</f>
        <v>0</v>
      </c>
      <c r="H200" s="233">
        <f t="shared" si="75"/>
        <v>83956009</v>
      </c>
      <c r="I200" s="233">
        <v>14893762</v>
      </c>
      <c r="J200" s="233">
        <f>J343</f>
        <v>2873774</v>
      </c>
      <c r="K200" s="233">
        <f>K201+K202</f>
        <v>0</v>
      </c>
      <c r="L200" s="233">
        <f>L201+L202</f>
        <v>0</v>
      </c>
      <c r="M200" s="233">
        <f t="shared" si="76"/>
        <v>17767536</v>
      </c>
      <c r="N200" s="233">
        <v>4422437</v>
      </c>
      <c r="O200" s="233">
        <f>O343</f>
        <v>3034184</v>
      </c>
      <c r="P200" s="233">
        <f>P201+P202</f>
        <v>0</v>
      </c>
      <c r="Q200" s="233">
        <f>Q201+Q202</f>
        <v>0</v>
      </c>
      <c r="R200" s="233">
        <f t="shared" si="77"/>
        <v>7456621</v>
      </c>
    </row>
    <row r="201" spans="1:18" s="89" customFormat="1" ht="24">
      <c r="A201" s="138">
        <v>21710</v>
      </c>
      <c r="B201" s="125" t="s">
        <v>98</v>
      </c>
      <c r="C201" s="171">
        <v>72975000</v>
      </c>
      <c r="D201" s="171">
        <v>77597107</v>
      </c>
      <c r="E201" s="233">
        <f>E344</f>
        <v>2265007</v>
      </c>
      <c r="F201" s="233"/>
      <c r="G201" s="233"/>
      <c r="H201" s="233">
        <f t="shared" si="75"/>
        <v>79862114</v>
      </c>
      <c r="I201" s="233">
        <v>14427762</v>
      </c>
      <c r="J201" s="233">
        <f>J344</f>
        <v>2873774</v>
      </c>
      <c r="K201" s="233"/>
      <c r="L201" s="233"/>
      <c r="M201" s="233">
        <f t="shared" si="76"/>
        <v>17301536</v>
      </c>
      <c r="N201" s="233">
        <v>4422437</v>
      </c>
      <c r="O201" s="233">
        <f>O344</f>
        <v>3034184</v>
      </c>
      <c r="P201" s="233"/>
      <c r="Q201" s="233"/>
      <c r="R201" s="233">
        <f t="shared" si="77"/>
        <v>7456621</v>
      </c>
    </row>
    <row r="202" spans="1:18" s="29" customFormat="1" ht="24">
      <c r="A202" s="138">
        <v>21720</v>
      </c>
      <c r="B202" s="125" t="s">
        <v>99</v>
      </c>
      <c r="C202" s="171">
        <v>3215409</v>
      </c>
      <c r="D202" s="171">
        <v>4093895</v>
      </c>
      <c r="E202" s="233"/>
      <c r="F202" s="233"/>
      <c r="G202" s="233"/>
      <c r="H202" s="233">
        <f t="shared" si="75"/>
        <v>4093895</v>
      </c>
      <c r="I202" s="233">
        <v>466000</v>
      </c>
      <c r="J202" s="233"/>
      <c r="K202" s="233"/>
      <c r="L202" s="233"/>
      <c r="M202" s="233">
        <f t="shared" si="76"/>
        <v>466000</v>
      </c>
      <c r="N202" s="233">
        <v>0</v>
      </c>
      <c r="O202" s="233"/>
      <c r="P202" s="233"/>
      <c r="Q202" s="233"/>
      <c r="R202" s="233">
        <f t="shared" si="77"/>
        <v>0</v>
      </c>
    </row>
    <row r="203" spans="1:18" s="29" customFormat="1" ht="11.4">
      <c r="A203" s="321" t="s">
        <v>100</v>
      </c>
      <c r="B203" s="322" t="s">
        <v>101</v>
      </c>
      <c r="C203" s="621">
        <v>76412666</v>
      </c>
      <c r="D203" s="175">
        <v>82122372</v>
      </c>
      <c r="E203" s="243">
        <f>E345+E358</f>
        <v>2275389</v>
      </c>
      <c r="F203" s="243">
        <f>F204+F231</f>
        <v>0</v>
      </c>
      <c r="G203" s="243">
        <f>G204+G231</f>
        <v>0</v>
      </c>
      <c r="H203" s="403">
        <f t="shared" ref="H203:H259" si="81">SUM(D203:G203)</f>
        <v>84397761</v>
      </c>
      <c r="I203" s="243">
        <v>15114743</v>
      </c>
      <c r="J203" s="243">
        <f>J345+J358</f>
        <v>2873774</v>
      </c>
      <c r="K203" s="243">
        <f>K204+K231</f>
        <v>0</v>
      </c>
      <c r="L203" s="243">
        <f>L204+L231</f>
        <v>0</v>
      </c>
      <c r="M203" s="403">
        <f t="shared" ref="M203:M259" si="82">SUM(I203:L203)</f>
        <v>17988517</v>
      </c>
      <c r="N203" s="243">
        <v>4679194</v>
      </c>
      <c r="O203" s="243">
        <f>O345+O358</f>
        <v>3034184</v>
      </c>
      <c r="P203" s="243">
        <f>P204+P231</f>
        <v>0</v>
      </c>
      <c r="Q203" s="243">
        <f>Q204+Q231</f>
        <v>0</v>
      </c>
      <c r="R203" s="403">
        <f t="shared" ref="R203:R259" si="83">SUM(N203:Q203)</f>
        <v>7713378</v>
      </c>
    </row>
    <row r="204" spans="1:18" s="29" customFormat="1" ht="20.399999999999999">
      <c r="A204" s="130" t="s">
        <v>102</v>
      </c>
      <c r="B204" s="124" t="s">
        <v>103</v>
      </c>
      <c r="C204" s="171">
        <v>68298795</v>
      </c>
      <c r="D204" s="171">
        <v>79331288</v>
      </c>
      <c r="E204" s="233">
        <f>E346+E359</f>
        <v>2273589</v>
      </c>
      <c r="F204" s="233">
        <f>F205+F209+F210+F213+F216</f>
        <v>0</v>
      </c>
      <c r="G204" s="233">
        <f>G205+G209+G210+G213+G216</f>
        <v>0</v>
      </c>
      <c r="H204" s="233">
        <f t="shared" si="81"/>
        <v>81604877</v>
      </c>
      <c r="I204" s="233">
        <v>15099743</v>
      </c>
      <c r="J204" s="233">
        <f>J346+J359</f>
        <v>2873774</v>
      </c>
      <c r="K204" s="233">
        <f>K205+K209+K210+K213+K216</f>
        <v>0</v>
      </c>
      <c r="L204" s="233">
        <f>L205+L209+L210+L213+L216</f>
        <v>0</v>
      </c>
      <c r="M204" s="233">
        <f t="shared" si="82"/>
        <v>17973517</v>
      </c>
      <c r="N204" s="233">
        <v>4667194</v>
      </c>
      <c r="O204" s="233">
        <f>O346+O359</f>
        <v>3034184</v>
      </c>
      <c r="P204" s="233">
        <f>P205+P209+P210+P213+P216</f>
        <v>0</v>
      </c>
      <c r="Q204" s="233">
        <f>Q205+Q209+Q210+Q213+Q216</f>
        <v>0</v>
      </c>
      <c r="R204" s="233">
        <f t="shared" si="83"/>
        <v>7701378</v>
      </c>
    </row>
    <row r="205" spans="1:18" s="29" customFormat="1" ht="12">
      <c r="A205" s="130" t="s">
        <v>104</v>
      </c>
      <c r="B205" s="124" t="s">
        <v>105</v>
      </c>
      <c r="C205" s="171">
        <v>9534056</v>
      </c>
      <c r="D205" s="171">
        <v>8624036</v>
      </c>
      <c r="E205" s="233">
        <f>E347</f>
        <v>234318</v>
      </c>
      <c r="F205" s="233">
        <f>F206+F208</f>
        <v>0</v>
      </c>
      <c r="G205" s="233">
        <f>G206+G208</f>
        <v>0</v>
      </c>
      <c r="H205" s="233">
        <f t="shared" si="81"/>
        <v>8858354</v>
      </c>
      <c r="I205" s="233">
        <v>6737473</v>
      </c>
      <c r="J205" s="233">
        <f>J347</f>
        <v>210958</v>
      </c>
      <c r="K205" s="233">
        <f>K206+K208</f>
        <v>0</v>
      </c>
      <c r="L205" s="233">
        <f>L206+L208</f>
        <v>0</v>
      </c>
      <c r="M205" s="233">
        <f t="shared" si="82"/>
        <v>6948431</v>
      </c>
      <c r="N205" s="233">
        <v>4667194</v>
      </c>
      <c r="O205" s="233">
        <f>O347</f>
        <v>142000</v>
      </c>
      <c r="P205" s="233">
        <f>P206+P208</f>
        <v>0</v>
      </c>
      <c r="Q205" s="233">
        <f>Q206+Q208</f>
        <v>0</v>
      </c>
      <c r="R205" s="233">
        <f t="shared" si="83"/>
        <v>4809194</v>
      </c>
    </row>
    <row r="206" spans="1:18" s="29" customFormat="1" ht="12">
      <c r="A206" s="132">
        <v>1000</v>
      </c>
      <c r="B206" s="125" t="s">
        <v>106</v>
      </c>
      <c r="C206" s="171">
        <v>2537328</v>
      </c>
      <c r="D206" s="171">
        <v>2509226</v>
      </c>
      <c r="E206" s="233">
        <f>E348</f>
        <v>133118</v>
      </c>
      <c r="F206" s="233"/>
      <c r="G206" s="233"/>
      <c r="H206" s="233">
        <f t="shared" si="81"/>
        <v>2642344</v>
      </c>
      <c r="I206" s="233">
        <v>1939270</v>
      </c>
      <c r="J206" s="233">
        <f>J348</f>
        <v>133118</v>
      </c>
      <c r="K206" s="233"/>
      <c r="L206" s="233"/>
      <c r="M206" s="233">
        <f t="shared" si="82"/>
        <v>2072388</v>
      </c>
      <c r="N206" s="233">
        <v>1050586</v>
      </c>
      <c r="O206" s="233">
        <f>O348</f>
        <v>92000</v>
      </c>
      <c r="P206" s="233"/>
      <c r="Q206" s="233"/>
      <c r="R206" s="233">
        <f t="shared" si="83"/>
        <v>1142586</v>
      </c>
    </row>
    <row r="207" spans="1:18" s="29" customFormat="1" ht="12">
      <c r="A207" s="139">
        <v>1100</v>
      </c>
      <c r="B207" s="125" t="s">
        <v>107</v>
      </c>
      <c r="C207" s="171">
        <v>1944161</v>
      </c>
      <c r="D207" s="171">
        <v>1921247</v>
      </c>
      <c r="E207" s="233">
        <f>E349</f>
        <v>100558</v>
      </c>
      <c r="F207" s="233"/>
      <c r="G207" s="233"/>
      <c r="H207" s="233">
        <f t="shared" si="81"/>
        <v>2021805</v>
      </c>
      <c r="I207" s="233">
        <v>1537179</v>
      </c>
      <c r="J207" s="233">
        <f>J349</f>
        <v>100558</v>
      </c>
      <c r="K207" s="233"/>
      <c r="L207" s="233"/>
      <c r="M207" s="233">
        <f t="shared" si="82"/>
        <v>1637737</v>
      </c>
      <c r="N207" s="233">
        <v>825437</v>
      </c>
      <c r="O207" s="233">
        <f>O349</f>
        <v>69000</v>
      </c>
      <c r="P207" s="233"/>
      <c r="Q207" s="233"/>
      <c r="R207" s="233">
        <f t="shared" si="83"/>
        <v>894437</v>
      </c>
    </row>
    <row r="208" spans="1:18" s="29" customFormat="1" ht="12">
      <c r="A208" s="132">
        <v>2000</v>
      </c>
      <c r="B208" s="125" t="s">
        <v>108</v>
      </c>
      <c r="C208" s="171">
        <v>6996728</v>
      </c>
      <c r="D208" s="171">
        <v>6114810</v>
      </c>
      <c r="E208" s="233">
        <f>E350</f>
        <v>101200</v>
      </c>
      <c r="F208" s="233"/>
      <c r="G208" s="233"/>
      <c r="H208" s="233">
        <f t="shared" si="81"/>
        <v>6216010</v>
      </c>
      <c r="I208" s="233">
        <v>4798203</v>
      </c>
      <c r="J208" s="233">
        <f>J350</f>
        <v>77840</v>
      </c>
      <c r="K208" s="233"/>
      <c r="L208" s="233"/>
      <c r="M208" s="233">
        <f t="shared" si="82"/>
        <v>4876043</v>
      </c>
      <c r="N208" s="233">
        <v>3616608</v>
      </c>
      <c r="O208" s="233">
        <f>O350</f>
        <v>50000</v>
      </c>
      <c r="P208" s="233"/>
      <c r="Q208" s="233"/>
      <c r="R208" s="233">
        <f t="shared" si="83"/>
        <v>3666608</v>
      </c>
    </row>
    <row r="209" spans="1:18" s="29" customFormat="1" ht="12" hidden="1" customHeight="1">
      <c r="A209" s="140">
        <v>4000</v>
      </c>
      <c r="B209" s="124" t="s">
        <v>132</v>
      </c>
      <c r="C209" s="171">
        <v>0</v>
      </c>
      <c r="D209" s="171">
        <v>0</v>
      </c>
      <c r="E209" s="233"/>
      <c r="F209" s="233"/>
      <c r="G209" s="233"/>
      <c r="H209" s="233">
        <f t="shared" si="81"/>
        <v>0</v>
      </c>
      <c r="I209" s="233">
        <v>0</v>
      </c>
      <c r="J209" s="233"/>
      <c r="K209" s="233"/>
      <c r="L209" s="233"/>
      <c r="M209" s="233">
        <f t="shared" si="82"/>
        <v>0</v>
      </c>
      <c r="N209" s="233">
        <v>0</v>
      </c>
      <c r="O209" s="233"/>
      <c r="P209" s="233"/>
      <c r="Q209" s="233"/>
      <c r="R209" s="233">
        <f t="shared" si="83"/>
        <v>0</v>
      </c>
    </row>
    <row r="210" spans="1:18" s="29" customFormat="1" ht="12">
      <c r="A210" s="140" t="s">
        <v>109</v>
      </c>
      <c r="B210" s="124" t="s">
        <v>110</v>
      </c>
      <c r="C210" s="171">
        <v>54964963</v>
      </c>
      <c r="D210" s="171">
        <v>66062840</v>
      </c>
      <c r="E210" s="233">
        <f>E351</f>
        <v>2028889</v>
      </c>
      <c r="F210" s="233">
        <f>F211+F212</f>
        <v>0</v>
      </c>
      <c r="G210" s="233">
        <f>G211+G212</f>
        <v>0</v>
      </c>
      <c r="H210" s="233">
        <f t="shared" si="81"/>
        <v>68091729</v>
      </c>
      <c r="I210" s="233">
        <v>7568981</v>
      </c>
      <c r="J210" s="233">
        <f>J351</f>
        <v>2662816</v>
      </c>
      <c r="K210" s="233">
        <f>K211+K212</f>
        <v>0</v>
      </c>
      <c r="L210" s="233">
        <f>L211+L212</f>
        <v>0</v>
      </c>
      <c r="M210" s="233">
        <f t="shared" si="82"/>
        <v>10231797</v>
      </c>
      <c r="N210" s="233">
        <v>0</v>
      </c>
      <c r="O210" s="233">
        <f>O351</f>
        <v>2892184</v>
      </c>
      <c r="P210" s="233">
        <f>P211+P212</f>
        <v>0</v>
      </c>
      <c r="Q210" s="233">
        <f>Q211+Q212</f>
        <v>0</v>
      </c>
      <c r="R210" s="233">
        <f t="shared" si="83"/>
        <v>2892184</v>
      </c>
    </row>
    <row r="211" spans="1:18" s="29" customFormat="1" ht="12">
      <c r="A211" s="132">
        <v>3000</v>
      </c>
      <c r="B211" s="125" t="s">
        <v>111</v>
      </c>
      <c r="C211" s="213">
        <v>54964963</v>
      </c>
      <c r="D211" s="213">
        <v>66062840</v>
      </c>
      <c r="E211" s="345">
        <f>E352</f>
        <v>2028889</v>
      </c>
      <c r="F211" s="345"/>
      <c r="G211" s="345"/>
      <c r="H211" s="233">
        <f t="shared" si="81"/>
        <v>68091729</v>
      </c>
      <c r="I211" s="345">
        <v>7568981</v>
      </c>
      <c r="J211" s="345">
        <f>J352</f>
        <v>2662816</v>
      </c>
      <c r="K211" s="345"/>
      <c r="L211" s="345"/>
      <c r="M211" s="233">
        <f t="shared" si="82"/>
        <v>10231797</v>
      </c>
      <c r="N211" s="345">
        <v>0</v>
      </c>
      <c r="O211" s="345">
        <f>O352</f>
        <v>2892184</v>
      </c>
      <c r="P211" s="345"/>
      <c r="Q211" s="345"/>
      <c r="R211" s="233">
        <f t="shared" si="83"/>
        <v>2892184</v>
      </c>
    </row>
    <row r="212" spans="1:18" s="29" customFormat="1" ht="12" hidden="1" customHeight="1">
      <c r="A212" s="132">
        <v>6000</v>
      </c>
      <c r="B212" s="125" t="s">
        <v>112</v>
      </c>
      <c r="C212" s="287">
        <v>0</v>
      </c>
      <c r="D212" s="287">
        <v>0</v>
      </c>
      <c r="E212" s="346"/>
      <c r="F212" s="346"/>
      <c r="G212" s="346"/>
      <c r="H212" s="233">
        <f t="shared" si="81"/>
        <v>0</v>
      </c>
      <c r="I212" s="346">
        <v>0</v>
      </c>
      <c r="J212" s="346"/>
      <c r="K212" s="346"/>
      <c r="L212" s="346"/>
      <c r="M212" s="233">
        <f t="shared" si="82"/>
        <v>0</v>
      </c>
      <c r="N212" s="346">
        <v>0</v>
      </c>
      <c r="O212" s="346"/>
      <c r="P212" s="346"/>
      <c r="Q212" s="346"/>
      <c r="R212" s="233">
        <f t="shared" si="83"/>
        <v>0</v>
      </c>
    </row>
    <row r="213" spans="1:18" s="29" customFormat="1" ht="22.8">
      <c r="A213" s="140" t="s">
        <v>113</v>
      </c>
      <c r="B213" s="124" t="s">
        <v>183</v>
      </c>
      <c r="C213" s="171">
        <v>23182</v>
      </c>
      <c r="D213" s="171">
        <v>0</v>
      </c>
      <c r="E213" s="233">
        <f>E360</f>
        <v>10382</v>
      </c>
      <c r="F213" s="233">
        <f>F214+F215</f>
        <v>0</v>
      </c>
      <c r="G213" s="233">
        <f>G214+G215</f>
        <v>0</v>
      </c>
      <c r="H213" s="233">
        <f t="shared" si="81"/>
        <v>10382</v>
      </c>
      <c r="I213" s="233">
        <v>0</v>
      </c>
      <c r="J213" s="233">
        <f>J360</f>
        <v>0</v>
      </c>
      <c r="K213" s="233">
        <f>K214+K215</f>
        <v>0</v>
      </c>
      <c r="L213" s="233">
        <f>L214+L215</f>
        <v>0</v>
      </c>
      <c r="M213" s="233">
        <f t="shared" si="82"/>
        <v>0</v>
      </c>
      <c r="N213" s="233">
        <v>0</v>
      </c>
      <c r="O213" s="233">
        <f>O360</f>
        <v>0</v>
      </c>
      <c r="P213" s="233">
        <f>P214+P215</f>
        <v>0</v>
      </c>
      <c r="Q213" s="233">
        <f>Q214+Q215</f>
        <v>0</v>
      </c>
      <c r="R213" s="233">
        <f t="shared" si="83"/>
        <v>0</v>
      </c>
    </row>
    <row r="214" spans="1:18" s="29" customFormat="1" ht="12" hidden="1" customHeight="1">
      <c r="A214" s="132">
        <v>7600</v>
      </c>
      <c r="B214" s="179" t="s">
        <v>184</v>
      </c>
      <c r="C214" s="171">
        <v>0</v>
      </c>
      <c r="D214" s="171">
        <v>0</v>
      </c>
      <c r="E214" s="233"/>
      <c r="F214" s="233"/>
      <c r="G214" s="233"/>
      <c r="H214" s="233">
        <f t="shared" si="81"/>
        <v>0</v>
      </c>
      <c r="I214" s="233">
        <v>0</v>
      </c>
      <c r="J214" s="233"/>
      <c r="K214" s="233"/>
      <c r="L214" s="233"/>
      <c r="M214" s="233">
        <f t="shared" si="82"/>
        <v>0</v>
      </c>
      <c r="N214" s="233">
        <v>0</v>
      </c>
      <c r="O214" s="233"/>
      <c r="P214" s="233"/>
      <c r="Q214" s="233"/>
      <c r="R214" s="233">
        <f t="shared" si="83"/>
        <v>0</v>
      </c>
    </row>
    <row r="215" spans="1:18" s="29" customFormat="1" ht="12">
      <c r="A215" s="132">
        <v>7700</v>
      </c>
      <c r="B215" s="126" t="s">
        <v>114</v>
      </c>
      <c r="C215" s="171">
        <v>23182</v>
      </c>
      <c r="D215" s="171">
        <v>0</v>
      </c>
      <c r="E215" s="233">
        <f>E361</f>
        <v>10382</v>
      </c>
      <c r="F215" s="233"/>
      <c r="G215" s="233"/>
      <c r="H215" s="233">
        <f t="shared" si="81"/>
        <v>10382</v>
      </c>
      <c r="I215" s="233">
        <v>0</v>
      </c>
      <c r="J215" s="233">
        <f>J361</f>
        <v>0</v>
      </c>
      <c r="K215" s="233"/>
      <c r="L215" s="233"/>
      <c r="M215" s="233">
        <f t="shared" si="82"/>
        <v>0</v>
      </c>
      <c r="N215" s="233">
        <v>0</v>
      </c>
      <c r="O215" s="233">
        <f>O361</f>
        <v>0</v>
      </c>
      <c r="P215" s="233"/>
      <c r="Q215" s="233"/>
      <c r="R215" s="233">
        <f t="shared" si="83"/>
        <v>0</v>
      </c>
    </row>
    <row r="216" spans="1:18" s="29" customFormat="1" ht="20.399999999999999">
      <c r="A216" s="140" t="s">
        <v>185</v>
      </c>
      <c r="B216" s="124" t="s">
        <v>115</v>
      </c>
      <c r="C216" s="171">
        <v>3776594</v>
      </c>
      <c r="D216" s="171">
        <v>4644412</v>
      </c>
      <c r="E216" s="233"/>
      <c r="F216" s="233">
        <f>F217+F223+F227+F230</f>
        <v>0</v>
      </c>
      <c r="G216" s="233">
        <f>G217+G223+G227+G230</f>
        <v>0</v>
      </c>
      <c r="H216" s="233">
        <f t="shared" si="81"/>
        <v>4644412</v>
      </c>
      <c r="I216" s="233">
        <v>793289</v>
      </c>
      <c r="J216" s="233"/>
      <c r="K216" s="233">
        <f>K217+K223+K227+K230</f>
        <v>0</v>
      </c>
      <c r="L216" s="233">
        <f>L217+L223+L227+L230</f>
        <v>0</v>
      </c>
      <c r="M216" s="233">
        <f t="shared" si="82"/>
        <v>793289</v>
      </c>
      <c r="N216" s="233">
        <v>0</v>
      </c>
      <c r="O216" s="233"/>
      <c r="P216" s="233">
        <f>P217+P223+P227+P230</f>
        <v>0</v>
      </c>
      <c r="Q216" s="233">
        <f>Q217+Q223+Q227+Q230</f>
        <v>0</v>
      </c>
      <c r="R216" s="233">
        <f t="shared" si="83"/>
        <v>0</v>
      </c>
    </row>
    <row r="217" spans="1:18" s="29" customFormat="1" ht="12" hidden="1" customHeight="1">
      <c r="A217" s="132">
        <v>7100</v>
      </c>
      <c r="B217" s="179" t="s">
        <v>116</v>
      </c>
      <c r="C217" s="171">
        <v>0</v>
      </c>
      <c r="D217" s="171">
        <v>0</v>
      </c>
      <c r="E217" s="233"/>
      <c r="F217" s="233">
        <f>F218+F219</f>
        <v>0</v>
      </c>
      <c r="G217" s="233">
        <f>G218+G219</f>
        <v>0</v>
      </c>
      <c r="H217" s="233">
        <f t="shared" si="81"/>
        <v>0</v>
      </c>
      <c r="I217" s="233">
        <v>0</v>
      </c>
      <c r="J217" s="233"/>
      <c r="K217" s="233">
        <f>K218+K219</f>
        <v>0</v>
      </c>
      <c r="L217" s="233">
        <f>L218+L219</f>
        <v>0</v>
      </c>
      <c r="M217" s="233">
        <f t="shared" si="82"/>
        <v>0</v>
      </c>
      <c r="N217" s="233">
        <v>0</v>
      </c>
      <c r="O217" s="233"/>
      <c r="P217" s="233">
        <f>P218+P219</f>
        <v>0</v>
      </c>
      <c r="Q217" s="233">
        <f>Q218+Q219</f>
        <v>0</v>
      </c>
      <c r="R217" s="233">
        <f t="shared" si="83"/>
        <v>0</v>
      </c>
    </row>
    <row r="218" spans="1:18" s="29" customFormat="1" ht="24" hidden="1" customHeight="1">
      <c r="A218" s="133" t="s">
        <v>117</v>
      </c>
      <c r="B218" s="179" t="s">
        <v>118</v>
      </c>
      <c r="C218" s="171">
        <v>0</v>
      </c>
      <c r="D218" s="171">
        <v>0</v>
      </c>
      <c r="E218" s="233"/>
      <c r="F218" s="233"/>
      <c r="G218" s="233"/>
      <c r="H218" s="233">
        <f t="shared" si="81"/>
        <v>0</v>
      </c>
      <c r="I218" s="233">
        <v>0</v>
      </c>
      <c r="J218" s="233"/>
      <c r="K218" s="233"/>
      <c r="L218" s="233"/>
      <c r="M218" s="233">
        <f t="shared" si="82"/>
        <v>0</v>
      </c>
      <c r="N218" s="233">
        <v>0</v>
      </c>
      <c r="O218" s="233"/>
      <c r="P218" s="233"/>
      <c r="Q218" s="233"/>
      <c r="R218" s="233">
        <f t="shared" si="83"/>
        <v>0</v>
      </c>
    </row>
    <row r="219" spans="1:18" s="29" customFormat="1" ht="24" hidden="1" customHeight="1">
      <c r="A219" s="133">
        <v>7130</v>
      </c>
      <c r="B219" s="179" t="s">
        <v>119</v>
      </c>
      <c r="C219" s="171">
        <v>0</v>
      </c>
      <c r="D219" s="171">
        <v>0</v>
      </c>
      <c r="E219" s="233"/>
      <c r="F219" s="233">
        <f>SUM(F220:F222)</f>
        <v>0</v>
      </c>
      <c r="G219" s="233">
        <f>SUM(G220:G222)</f>
        <v>0</v>
      </c>
      <c r="H219" s="233">
        <f t="shared" si="81"/>
        <v>0</v>
      </c>
      <c r="I219" s="233">
        <v>0</v>
      </c>
      <c r="J219" s="233"/>
      <c r="K219" s="233">
        <f>SUM(K220:K222)</f>
        <v>0</v>
      </c>
      <c r="L219" s="233">
        <f>SUM(L220:L222)</f>
        <v>0</v>
      </c>
      <c r="M219" s="233">
        <f t="shared" si="82"/>
        <v>0</v>
      </c>
      <c r="N219" s="233">
        <v>0</v>
      </c>
      <c r="O219" s="233"/>
      <c r="P219" s="233">
        <f>SUM(P220:P222)</f>
        <v>0</v>
      </c>
      <c r="Q219" s="233">
        <f>SUM(Q220:Q222)</f>
        <v>0</v>
      </c>
      <c r="R219" s="233">
        <f t="shared" si="83"/>
        <v>0</v>
      </c>
    </row>
    <row r="220" spans="1:18" s="29" customFormat="1" ht="36" hidden="1" customHeight="1">
      <c r="A220" s="134">
        <v>7131</v>
      </c>
      <c r="B220" s="179" t="s">
        <v>120</v>
      </c>
      <c r="C220" s="171">
        <v>0</v>
      </c>
      <c r="D220" s="171">
        <v>0</v>
      </c>
      <c r="E220" s="233"/>
      <c r="F220" s="233"/>
      <c r="G220" s="233"/>
      <c r="H220" s="233">
        <f t="shared" si="81"/>
        <v>0</v>
      </c>
      <c r="I220" s="233">
        <v>0</v>
      </c>
      <c r="J220" s="233"/>
      <c r="K220" s="233"/>
      <c r="L220" s="233"/>
      <c r="M220" s="233">
        <f t="shared" si="82"/>
        <v>0</v>
      </c>
      <c r="N220" s="233">
        <v>0</v>
      </c>
      <c r="O220" s="233"/>
      <c r="P220" s="233"/>
      <c r="Q220" s="233"/>
      <c r="R220" s="233">
        <f t="shared" si="83"/>
        <v>0</v>
      </c>
    </row>
    <row r="221" spans="1:18" s="29" customFormat="1" ht="36" hidden="1" customHeight="1">
      <c r="A221" s="134">
        <v>7132</v>
      </c>
      <c r="B221" s="179" t="s">
        <v>121</v>
      </c>
      <c r="C221" s="171">
        <v>0</v>
      </c>
      <c r="D221" s="171">
        <v>0</v>
      </c>
      <c r="E221" s="233"/>
      <c r="F221" s="233"/>
      <c r="G221" s="233"/>
      <c r="H221" s="233">
        <f t="shared" si="81"/>
        <v>0</v>
      </c>
      <c r="I221" s="233">
        <v>0</v>
      </c>
      <c r="J221" s="233"/>
      <c r="K221" s="233"/>
      <c r="L221" s="233"/>
      <c r="M221" s="233">
        <f t="shared" si="82"/>
        <v>0</v>
      </c>
      <c r="N221" s="233">
        <v>0</v>
      </c>
      <c r="O221" s="233"/>
      <c r="P221" s="233"/>
      <c r="Q221" s="233"/>
      <c r="R221" s="233">
        <f t="shared" si="83"/>
        <v>0</v>
      </c>
    </row>
    <row r="222" spans="1:18" s="29" customFormat="1" ht="36" hidden="1" customHeight="1">
      <c r="A222" s="134" t="s">
        <v>186</v>
      </c>
      <c r="B222" s="179" t="s">
        <v>187</v>
      </c>
      <c r="C222" s="171">
        <v>0</v>
      </c>
      <c r="D222" s="171">
        <v>0</v>
      </c>
      <c r="E222" s="233"/>
      <c r="F222" s="233"/>
      <c r="G222" s="233"/>
      <c r="H222" s="233">
        <f t="shared" si="81"/>
        <v>0</v>
      </c>
      <c r="I222" s="233">
        <v>0</v>
      </c>
      <c r="J222" s="233"/>
      <c r="K222" s="233"/>
      <c r="L222" s="233"/>
      <c r="M222" s="233">
        <f t="shared" si="82"/>
        <v>0</v>
      </c>
      <c r="N222" s="233">
        <v>0</v>
      </c>
      <c r="O222" s="233"/>
      <c r="P222" s="233"/>
      <c r="Q222" s="233"/>
      <c r="R222" s="233">
        <f t="shared" si="83"/>
        <v>0</v>
      </c>
    </row>
    <row r="223" spans="1:18" s="29" customFormat="1" ht="24">
      <c r="A223" s="132">
        <v>7300</v>
      </c>
      <c r="B223" s="172" t="s">
        <v>155</v>
      </c>
      <c r="C223" s="171">
        <v>470558</v>
      </c>
      <c r="D223" s="171">
        <v>390404</v>
      </c>
      <c r="E223" s="233"/>
      <c r="F223" s="233">
        <f>SUM(F224:F226)</f>
        <v>0</v>
      </c>
      <c r="G223" s="233">
        <f>SUM(G224:G226)</f>
        <v>0</v>
      </c>
      <c r="H223" s="233">
        <f t="shared" si="81"/>
        <v>390404</v>
      </c>
      <c r="I223" s="233">
        <v>221845</v>
      </c>
      <c r="J223" s="233"/>
      <c r="K223" s="233">
        <f>SUM(K224:K226)</f>
        <v>0</v>
      </c>
      <c r="L223" s="233">
        <f>SUM(L224:L226)</f>
        <v>0</v>
      </c>
      <c r="M223" s="233">
        <f t="shared" si="82"/>
        <v>221845</v>
      </c>
      <c r="N223" s="233">
        <v>0</v>
      </c>
      <c r="O223" s="233"/>
      <c r="P223" s="233">
        <f>SUM(P224:P226)</f>
        <v>0</v>
      </c>
      <c r="Q223" s="233">
        <f>SUM(Q224:Q226)</f>
        <v>0</v>
      </c>
      <c r="R223" s="233">
        <f t="shared" si="83"/>
        <v>0</v>
      </c>
    </row>
    <row r="224" spans="1:18" s="29" customFormat="1" ht="24" hidden="1" customHeight="1">
      <c r="A224" s="133" t="s">
        <v>188</v>
      </c>
      <c r="B224" s="179" t="s">
        <v>170</v>
      </c>
      <c r="C224" s="180">
        <v>0</v>
      </c>
      <c r="D224" s="180">
        <v>0</v>
      </c>
      <c r="E224" s="252"/>
      <c r="F224" s="252"/>
      <c r="G224" s="252"/>
      <c r="H224" s="233">
        <f t="shared" si="81"/>
        <v>0</v>
      </c>
      <c r="I224" s="252">
        <v>0</v>
      </c>
      <c r="J224" s="252"/>
      <c r="K224" s="252"/>
      <c r="L224" s="252"/>
      <c r="M224" s="233">
        <f t="shared" si="82"/>
        <v>0</v>
      </c>
      <c r="N224" s="252">
        <v>0</v>
      </c>
      <c r="O224" s="252"/>
      <c r="P224" s="252"/>
      <c r="Q224" s="252"/>
      <c r="R224" s="233">
        <f t="shared" si="83"/>
        <v>0</v>
      </c>
    </row>
    <row r="225" spans="1:18" s="29" customFormat="1" ht="48">
      <c r="A225" s="133" t="s">
        <v>189</v>
      </c>
      <c r="B225" s="179" t="s">
        <v>156</v>
      </c>
      <c r="C225" s="180">
        <v>120456</v>
      </c>
      <c r="D225" s="180">
        <v>41835</v>
      </c>
      <c r="E225" s="252"/>
      <c r="F225" s="252"/>
      <c r="G225" s="252"/>
      <c r="H225" s="233">
        <f t="shared" si="81"/>
        <v>41835</v>
      </c>
      <c r="I225" s="252">
        <v>0</v>
      </c>
      <c r="J225" s="252"/>
      <c r="K225" s="252"/>
      <c r="L225" s="252"/>
      <c r="M225" s="233">
        <f t="shared" si="82"/>
        <v>0</v>
      </c>
      <c r="N225" s="252">
        <v>0</v>
      </c>
      <c r="O225" s="252"/>
      <c r="P225" s="252"/>
      <c r="Q225" s="252"/>
      <c r="R225" s="233">
        <f t="shared" si="83"/>
        <v>0</v>
      </c>
    </row>
    <row r="226" spans="1:18" s="29" customFormat="1" ht="36">
      <c r="A226" s="133">
        <v>7350</v>
      </c>
      <c r="B226" s="179" t="s">
        <v>163</v>
      </c>
      <c r="C226" s="180">
        <v>350102</v>
      </c>
      <c r="D226" s="180">
        <v>348569</v>
      </c>
      <c r="E226" s="252"/>
      <c r="F226" s="252"/>
      <c r="G226" s="252"/>
      <c r="H226" s="233">
        <f t="shared" si="81"/>
        <v>348569</v>
      </c>
      <c r="I226" s="252">
        <v>221845</v>
      </c>
      <c r="J226" s="252"/>
      <c r="K226" s="252"/>
      <c r="L226" s="252"/>
      <c r="M226" s="233">
        <f t="shared" si="82"/>
        <v>221845</v>
      </c>
      <c r="N226" s="252">
        <v>0</v>
      </c>
      <c r="O226" s="252"/>
      <c r="P226" s="252"/>
      <c r="Q226" s="252"/>
      <c r="R226" s="233">
        <f t="shared" si="83"/>
        <v>0</v>
      </c>
    </row>
    <row r="227" spans="1:18" s="29" customFormat="1" ht="24" hidden="1" customHeight="1">
      <c r="A227" s="132">
        <v>7400</v>
      </c>
      <c r="B227" s="172" t="s">
        <v>161</v>
      </c>
      <c r="C227" s="171">
        <v>0</v>
      </c>
      <c r="D227" s="171">
        <v>0</v>
      </c>
      <c r="E227" s="233"/>
      <c r="F227" s="233">
        <f>SUM(F228:F229)</f>
        <v>0</v>
      </c>
      <c r="G227" s="233">
        <f>SUM(G228:G229)</f>
        <v>0</v>
      </c>
      <c r="H227" s="233">
        <f t="shared" si="81"/>
        <v>0</v>
      </c>
      <c r="I227" s="233">
        <v>0</v>
      </c>
      <c r="J227" s="233"/>
      <c r="K227" s="233">
        <f>SUM(K228:K229)</f>
        <v>0</v>
      </c>
      <c r="L227" s="233">
        <f>SUM(L228:L229)</f>
        <v>0</v>
      </c>
      <c r="M227" s="233">
        <f t="shared" si="82"/>
        <v>0</v>
      </c>
      <c r="N227" s="233">
        <v>0</v>
      </c>
      <c r="O227" s="233"/>
      <c r="P227" s="233">
        <f>SUM(P228:P229)</f>
        <v>0</v>
      </c>
      <c r="Q227" s="233">
        <f>SUM(Q228:Q229)</f>
        <v>0</v>
      </c>
      <c r="R227" s="233">
        <f t="shared" si="83"/>
        <v>0</v>
      </c>
    </row>
    <row r="228" spans="1:18" s="29" customFormat="1" ht="24" hidden="1" customHeight="1">
      <c r="A228" s="133">
        <v>7460</v>
      </c>
      <c r="B228" s="172" t="s">
        <v>162</v>
      </c>
      <c r="C228" s="180">
        <v>0</v>
      </c>
      <c r="D228" s="180">
        <v>0</v>
      </c>
      <c r="E228" s="252"/>
      <c r="F228" s="252"/>
      <c r="G228" s="252"/>
      <c r="H228" s="233">
        <f t="shared" si="81"/>
        <v>0</v>
      </c>
      <c r="I228" s="252">
        <v>0</v>
      </c>
      <c r="J228" s="252"/>
      <c r="K228" s="252"/>
      <c r="L228" s="252"/>
      <c r="M228" s="233">
        <f t="shared" si="82"/>
        <v>0</v>
      </c>
      <c r="N228" s="252">
        <v>0</v>
      </c>
      <c r="O228" s="252"/>
      <c r="P228" s="252"/>
      <c r="Q228" s="252"/>
      <c r="R228" s="233">
        <f t="shared" si="83"/>
        <v>0</v>
      </c>
    </row>
    <row r="229" spans="1:18" s="29" customFormat="1" ht="48" hidden="1" customHeight="1">
      <c r="A229" s="133">
        <v>7470</v>
      </c>
      <c r="B229" s="179" t="s">
        <v>167</v>
      </c>
      <c r="C229" s="180">
        <v>0</v>
      </c>
      <c r="D229" s="180">
        <v>0</v>
      </c>
      <c r="E229" s="252"/>
      <c r="F229" s="252"/>
      <c r="G229" s="252"/>
      <c r="H229" s="233">
        <f t="shared" si="81"/>
        <v>0</v>
      </c>
      <c r="I229" s="252">
        <v>0</v>
      </c>
      <c r="J229" s="252"/>
      <c r="K229" s="252"/>
      <c r="L229" s="252"/>
      <c r="M229" s="233">
        <f t="shared" si="82"/>
        <v>0</v>
      </c>
      <c r="N229" s="252">
        <v>0</v>
      </c>
      <c r="O229" s="252"/>
      <c r="P229" s="252"/>
      <c r="Q229" s="252"/>
      <c r="R229" s="233">
        <f t="shared" si="83"/>
        <v>0</v>
      </c>
    </row>
    <row r="230" spans="1:18" s="29" customFormat="1" ht="24">
      <c r="A230" s="132">
        <v>7500</v>
      </c>
      <c r="B230" s="179" t="s">
        <v>157</v>
      </c>
      <c r="C230" s="171">
        <v>3306036</v>
      </c>
      <c r="D230" s="171">
        <v>4254008</v>
      </c>
      <c r="E230" s="233"/>
      <c r="F230" s="233"/>
      <c r="G230" s="233"/>
      <c r="H230" s="233">
        <f t="shared" si="81"/>
        <v>4254008</v>
      </c>
      <c r="I230" s="233">
        <v>571444</v>
      </c>
      <c r="J230" s="233"/>
      <c r="K230" s="233"/>
      <c r="L230" s="233"/>
      <c r="M230" s="233">
        <f t="shared" si="82"/>
        <v>571444</v>
      </c>
      <c r="N230" s="233">
        <v>0</v>
      </c>
      <c r="O230" s="233"/>
      <c r="P230" s="233"/>
      <c r="Q230" s="233"/>
      <c r="R230" s="233">
        <f t="shared" si="83"/>
        <v>0</v>
      </c>
    </row>
    <row r="231" spans="1:18" s="29" customFormat="1" ht="12">
      <c r="A231" s="140" t="s">
        <v>133</v>
      </c>
      <c r="B231" s="124" t="s">
        <v>122</v>
      </c>
      <c r="C231" s="181">
        <v>8113871</v>
      </c>
      <c r="D231" s="181">
        <v>2791084</v>
      </c>
      <c r="E231" s="254">
        <f>E353</f>
        <v>1800</v>
      </c>
      <c r="F231" s="254">
        <f>F232+F233</f>
        <v>0</v>
      </c>
      <c r="G231" s="254">
        <f>G232+G233</f>
        <v>0</v>
      </c>
      <c r="H231" s="233">
        <f t="shared" si="81"/>
        <v>2792884</v>
      </c>
      <c r="I231" s="254">
        <v>15000</v>
      </c>
      <c r="J231" s="254">
        <f>J353</f>
        <v>0</v>
      </c>
      <c r="K231" s="254">
        <f>K232+K233</f>
        <v>0</v>
      </c>
      <c r="L231" s="254">
        <f>L232+L233</f>
        <v>0</v>
      </c>
      <c r="M231" s="233">
        <f t="shared" si="82"/>
        <v>15000</v>
      </c>
      <c r="N231" s="254">
        <v>12000</v>
      </c>
      <c r="O231" s="254">
        <f>O353</f>
        <v>0</v>
      </c>
      <c r="P231" s="254">
        <f>P232+P233</f>
        <v>0</v>
      </c>
      <c r="Q231" s="254">
        <f>Q232+Q233</f>
        <v>0</v>
      </c>
      <c r="R231" s="233">
        <f t="shared" si="83"/>
        <v>12000</v>
      </c>
    </row>
    <row r="232" spans="1:18" s="29" customFormat="1" ht="12">
      <c r="A232" s="140">
        <v>5000</v>
      </c>
      <c r="B232" s="124" t="s">
        <v>123</v>
      </c>
      <c r="C232" s="171">
        <v>1458142</v>
      </c>
      <c r="D232" s="171">
        <v>12000</v>
      </c>
      <c r="E232" s="233">
        <f>E354</f>
        <v>1800</v>
      </c>
      <c r="F232" s="233"/>
      <c r="G232" s="233"/>
      <c r="H232" s="233">
        <f t="shared" si="81"/>
        <v>13800</v>
      </c>
      <c r="I232" s="233">
        <v>15000</v>
      </c>
      <c r="J232" s="233">
        <f>J354</f>
        <v>0</v>
      </c>
      <c r="K232" s="233"/>
      <c r="L232" s="233"/>
      <c r="M232" s="233">
        <f t="shared" si="82"/>
        <v>15000</v>
      </c>
      <c r="N232" s="233">
        <v>12000</v>
      </c>
      <c r="O232" s="233">
        <f>O354</f>
        <v>0</v>
      </c>
      <c r="P232" s="233"/>
      <c r="Q232" s="233"/>
      <c r="R232" s="233">
        <f t="shared" si="83"/>
        <v>12000</v>
      </c>
    </row>
    <row r="233" spans="1:18" s="29" customFormat="1" ht="12">
      <c r="A233" s="140">
        <v>9000</v>
      </c>
      <c r="B233" s="182" t="s">
        <v>164</v>
      </c>
      <c r="C233" s="171">
        <v>6655729</v>
      </c>
      <c r="D233" s="171">
        <v>2779084</v>
      </c>
      <c r="E233" s="233"/>
      <c r="F233" s="233">
        <f>F234+F240+F244+F247</f>
        <v>0</v>
      </c>
      <c r="G233" s="233">
        <f>G234+G240+G244+G247</f>
        <v>0</v>
      </c>
      <c r="H233" s="233">
        <f t="shared" si="81"/>
        <v>2779084</v>
      </c>
      <c r="I233" s="233">
        <v>0</v>
      </c>
      <c r="J233" s="233"/>
      <c r="K233" s="233">
        <f>K234+K240+K244+K247</f>
        <v>0</v>
      </c>
      <c r="L233" s="233">
        <f>L234+L240+L244+L247</f>
        <v>0</v>
      </c>
      <c r="M233" s="233">
        <f t="shared" si="82"/>
        <v>0</v>
      </c>
      <c r="N233" s="233">
        <v>0</v>
      </c>
      <c r="O233" s="233"/>
      <c r="P233" s="233">
        <f>P234+P240+P244+P247</f>
        <v>0</v>
      </c>
      <c r="Q233" s="233">
        <f>Q234+Q240+Q244+Q247</f>
        <v>0</v>
      </c>
      <c r="R233" s="233">
        <f t="shared" si="83"/>
        <v>0</v>
      </c>
    </row>
    <row r="234" spans="1:18" s="29" customFormat="1" ht="12" hidden="1" customHeight="1">
      <c r="A234" s="141">
        <v>9100</v>
      </c>
      <c r="B234" s="179" t="s">
        <v>124</v>
      </c>
      <c r="C234" s="171">
        <v>0</v>
      </c>
      <c r="D234" s="171">
        <v>0</v>
      </c>
      <c r="E234" s="233"/>
      <c r="F234" s="233">
        <f>SUM(F235:F236)</f>
        <v>0</v>
      </c>
      <c r="G234" s="233">
        <f>SUM(G235:G236)</f>
        <v>0</v>
      </c>
      <c r="H234" s="233">
        <f t="shared" si="81"/>
        <v>0</v>
      </c>
      <c r="I234" s="233">
        <v>0</v>
      </c>
      <c r="J234" s="233"/>
      <c r="K234" s="233">
        <f>SUM(K235:K236)</f>
        <v>0</v>
      </c>
      <c r="L234" s="233">
        <f>SUM(L235:L236)</f>
        <v>0</v>
      </c>
      <c r="M234" s="233">
        <f t="shared" si="82"/>
        <v>0</v>
      </c>
      <c r="N234" s="233">
        <v>0</v>
      </c>
      <c r="O234" s="233"/>
      <c r="P234" s="233">
        <f>SUM(P235:P236)</f>
        <v>0</v>
      </c>
      <c r="Q234" s="233">
        <f>SUM(Q235:Q236)</f>
        <v>0</v>
      </c>
      <c r="R234" s="233">
        <f t="shared" si="83"/>
        <v>0</v>
      </c>
    </row>
    <row r="235" spans="1:18" s="29" customFormat="1" ht="24" hidden="1" customHeight="1">
      <c r="A235" s="133" t="s">
        <v>125</v>
      </c>
      <c r="B235" s="179" t="s">
        <v>214</v>
      </c>
      <c r="C235" s="171">
        <v>0</v>
      </c>
      <c r="D235" s="171">
        <v>0</v>
      </c>
      <c r="E235" s="233"/>
      <c r="F235" s="233"/>
      <c r="G235" s="233"/>
      <c r="H235" s="233">
        <f t="shared" si="81"/>
        <v>0</v>
      </c>
      <c r="I235" s="233">
        <v>0</v>
      </c>
      <c r="J235" s="233"/>
      <c r="K235" s="233"/>
      <c r="L235" s="233"/>
      <c r="M235" s="233">
        <f t="shared" si="82"/>
        <v>0</v>
      </c>
      <c r="N235" s="233">
        <v>0</v>
      </c>
      <c r="O235" s="233"/>
      <c r="P235" s="233"/>
      <c r="Q235" s="233"/>
      <c r="R235" s="233">
        <f t="shared" si="83"/>
        <v>0</v>
      </c>
    </row>
    <row r="236" spans="1:18" s="29" customFormat="1" ht="24" hidden="1" customHeight="1">
      <c r="A236" s="133">
        <v>9140</v>
      </c>
      <c r="B236" s="179" t="s">
        <v>215</v>
      </c>
      <c r="C236" s="171">
        <v>0</v>
      </c>
      <c r="D236" s="171">
        <v>0</v>
      </c>
      <c r="E236" s="233"/>
      <c r="F236" s="233">
        <f>SUM(F237:F239)</f>
        <v>0</v>
      </c>
      <c r="G236" s="233">
        <f>SUM(G237:G239)</f>
        <v>0</v>
      </c>
      <c r="H236" s="233">
        <f t="shared" si="81"/>
        <v>0</v>
      </c>
      <c r="I236" s="233">
        <v>0</v>
      </c>
      <c r="J236" s="233"/>
      <c r="K236" s="233">
        <f>SUM(K237:K239)</f>
        <v>0</v>
      </c>
      <c r="L236" s="233">
        <f>SUM(L237:L239)</f>
        <v>0</v>
      </c>
      <c r="M236" s="233">
        <f t="shared" si="82"/>
        <v>0</v>
      </c>
      <c r="N236" s="233">
        <v>0</v>
      </c>
      <c r="O236" s="233"/>
      <c r="P236" s="233">
        <f>SUM(P237:P239)</f>
        <v>0</v>
      </c>
      <c r="Q236" s="233">
        <f>SUM(Q237:Q239)</f>
        <v>0</v>
      </c>
      <c r="R236" s="233">
        <f t="shared" si="83"/>
        <v>0</v>
      </c>
    </row>
    <row r="237" spans="1:18" s="29" customFormat="1" ht="36" hidden="1" customHeight="1">
      <c r="A237" s="134">
        <v>9141</v>
      </c>
      <c r="B237" s="172" t="s">
        <v>190</v>
      </c>
      <c r="C237" s="180">
        <v>0</v>
      </c>
      <c r="D237" s="180">
        <v>0</v>
      </c>
      <c r="E237" s="252"/>
      <c r="F237" s="252"/>
      <c r="G237" s="252"/>
      <c r="H237" s="233">
        <f t="shared" si="81"/>
        <v>0</v>
      </c>
      <c r="I237" s="252">
        <v>0</v>
      </c>
      <c r="J237" s="252"/>
      <c r="K237" s="252"/>
      <c r="L237" s="252"/>
      <c r="M237" s="233">
        <f t="shared" si="82"/>
        <v>0</v>
      </c>
      <c r="N237" s="252">
        <v>0</v>
      </c>
      <c r="O237" s="252"/>
      <c r="P237" s="252"/>
      <c r="Q237" s="252"/>
      <c r="R237" s="233">
        <f t="shared" si="83"/>
        <v>0</v>
      </c>
    </row>
    <row r="238" spans="1:18" s="29" customFormat="1" ht="36" hidden="1" customHeight="1">
      <c r="A238" s="134">
        <v>9142</v>
      </c>
      <c r="B238" s="172" t="s">
        <v>191</v>
      </c>
      <c r="C238" s="180">
        <v>0</v>
      </c>
      <c r="D238" s="180">
        <v>0</v>
      </c>
      <c r="E238" s="252"/>
      <c r="F238" s="252"/>
      <c r="G238" s="252"/>
      <c r="H238" s="233">
        <f t="shared" si="81"/>
        <v>0</v>
      </c>
      <c r="I238" s="252">
        <v>0</v>
      </c>
      <c r="J238" s="252"/>
      <c r="K238" s="252"/>
      <c r="L238" s="252"/>
      <c r="M238" s="233">
        <f t="shared" si="82"/>
        <v>0</v>
      </c>
      <c r="N238" s="252">
        <v>0</v>
      </c>
      <c r="O238" s="252"/>
      <c r="P238" s="252"/>
      <c r="Q238" s="252"/>
      <c r="R238" s="233">
        <f t="shared" si="83"/>
        <v>0</v>
      </c>
    </row>
    <row r="239" spans="1:18" s="29" customFormat="1" ht="24" hidden="1" customHeight="1">
      <c r="A239" s="134">
        <v>9149</v>
      </c>
      <c r="B239" s="172" t="s">
        <v>192</v>
      </c>
      <c r="C239" s="180">
        <v>0</v>
      </c>
      <c r="D239" s="180">
        <v>0</v>
      </c>
      <c r="E239" s="252"/>
      <c r="F239" s="252"/>
      <c r="G239" s="252"/>
      <c r="H239" s="233">
        <f t="shared" si="81"/>
        <v>0</v>
      </c>
      <c r="I239" s="252">
        <v>0</v>
      </c>
      <c r="J239" s="252"/>
      <c r="K239" s="252"/>
      <c r="L239" s="252"/>
      <c r="M239" s="233">
        <f t="shared" si="82"/>
        <v>0</v>
      </c>
      <c r="N239" s="252">
        <v>0</v>
      </c>
      <c r="O239" s="252"/>
      <c r="P239" s="252"/>
      <c r="Q239" s="252"/>
      <c r="R239" s="233">
        <f t="shared" si="83"/>
        <v>0</v>
      </c>
    </row>
    <row r="240" spans="1:18" s="29" customFormat="1" ht="24">
      <c r="A240" s="141">
        <v>9500</v>
      </c>
      <c r="B240" s="172" t="s">
        <v>165</v>
      </c>
      <c r="C240" s="171">
        <v>6655729</v>
      </c>
      <c r="D240" s="171">
        <v>2779084</v>
      </c>
      <c r="E240" s="233"/>
      <c r="F240" s="233">
        <f>SUM(F241:F243)</f>
        <v>0</v>
      </c>
      <c r="G240" s="233">
        <f>SUM(G241:G243)</f>
        <v>0</v>
      </c>
      <c r="H240" s="233">
        <f t="shared" si="81"/>
        <v>2779084</v>
      </c>
      <c r="I240" s="233">
        <v>0</v>
      </c>
      <c r="J240" s="233"/>
      <c r="K240" s="233">
        <f>SUM(K241:K243)</f>
        <v>0</v>
      </c>
      <c r="L240" s="233">
        <f>SUM(L241:L243)</f>
        <v>0</v>
      </c>
      <c r="M240" s="233">
        <f t="shared" si="82"/>
        <v>0</v>
      </c>
      <c r="N240" s="233">
        <v>0</v>
      </c>
      <c r="O240" s="233"/>
      <c r="P240" s="233">
        <f>SUM(P241:P243)</f>
        <v>0</v>
      </c>
      <c r="Q240" s="233">
        <f>SUM(Q241:Q243)</f>
        <v>0</v>
      </c>
      <c r="R240" s="233">
        <f t="shared" si="83"/>
        <v>0</v>
      </c>
    </row>
    <row r="241" spans="1:18" s="29" customFormat="1" ht="24" hidden="1" customHeight="1">
      <c r="A241" s="133" t="s">
        <v>193</v>
      </c>
      <c r="B241" s="172" t="s">
        <v>171</v>
      </c>
      <c r="C241" s="171">
        <v>0</v>
      </c>
      <c r="D241" s="171">
        <v>0</v>
      </c>
      <c r="E241" s="233"/>
      <c r="F241" s="233"/>
      <c r="G241" s="233"/>
      <c r="H241" s="233">
        <f t="shared" si="81"/>
        <v>0</v>
      </c>
      <c r="I241" s="233">
        <v>0</v>
      </c>
      <c r="J241" s="233"/>
      <c r="K241" s="233"/>
      <c r="L241" s="233"/>
      <c r="M241" s="233">
        <f t="shared" si="82"/>
        <v>0</v>
      </c>
      <c r="N241" s="233">
        <v>0</v>
      </c>
      <c r="O241" s="233"/>
      <c r="P241" s="233"/>
      <c r="Q241" s="233"/>
      <c r="R241" s="233">
        <f t="shared" si="83"/>
        <v>0</v>
      </c>
    </row>
    <row r="242" spans="1:18" s="29" customFormat="1" ht="48">
      <c r="A242" s="133">
        <v>9580</v>
      </c>
      <c r="B242" s="172" t="s">
        <v>166</v>
      </c>
      <c r="C242" s="180">
        <v>6655729</v>
      </c>
      <c r="D242" s="180">
        <v>2779084</v>
      </c>
      <c r="E242" s="252"/>
      <c r="F242" s="252"/>
      <c r="G242" s="252"/>
      <c r="H242" s="233">
        <f t="shared" si="81"/>
        <v>2779084</v>
      </c>
      <c r="I242" s="252">
        <v>0</v>
      </c>
      <c r="J242" s="252"/>
      <c r="K242" s="252"/>
      <c r="L242" s="252"/>
      <c r="M242" s="233">
        <f t="shared" si="82"/>
        <v>0</v>
      </c>
      <c r="N242" s="252">
        <v>0</v>
      </c>
      <c r="O242" s="252"/>
      <c r="P242" s="252"/>
      <c r="Q242" s="252"/>
      <c r="R242" s="233">
        <f t="shared" si="83"/>
        <v>0</v>
      </c>
    </row>
    <row r="243" spans="1:18" s="29" customFormat="1" ht="48" hidden="1" customHeight="1">
      <c r="A243" s="133">
        <v>9590</v>
      </c>
      <c r="B243" s="179" t="s">
        <v>172</v>
      </c>
      <c r="C243" s="180">
        <v>0</v>
      </c>
      <c r="D243" s="180">
        <v>0</v>
      </c>
      <c r="E243" s="252"/>
      <c r="F243" s="252"/>
      <c r="G243" s="252"/>
      <c r="H243" s="233">
        <f t="shared" si="81"/>
        <v>0</v>
      </c>
      <c r="I243" s="252">
        <v>0</v>
      </c>
      <c r="J243" s="252"/>
      <c r="K243" s="252"/>
      <c r="L243" s="252"/>
      <c r="M243" s="233">
        <f t="shared" si="82"/>
        <v>0</v>
      </c>
      <c r="N243" s="252">
        <v>0</v>
      </c>
      <c r="O243" s="252"/>
      <c r="P243" s="252"/>
      <c r="Q243" s="252"/>
      <c r="R243" s="233">
        <f t="shared" si="83"/>
        <v>0</v>
      </c>
    </row>
    <row r="244" spans="1:18" s="29" customFormat="1" ht="24" hidden="1" customHeight="1">
      <c r="A244" s="141">
        <v>9700</v>
      </c>
      <c r="B244" s="183" t="s">
        <v>194</v>
      </c>
      <c r="C244" s="171">
        <v>0</v>
      </c>
      <c r="D244" s="171">
        <v>0</v>
      </c>
      <c r="E244" s="233"/>
      <c r="F244" s="233">
        <f>SUM(F245:F246)</f>
        <v>0</v>
      </c>
      <c r="G244" s="233">
        <f>SUM(G245:G246)</f>
        <v>0</v>
      </c>
      <c r="H244" s="233">
        <f t="shared" si="81"/>
        <v>0</v>
      </c>
      <c r="I244" s="233">
        <v>0</v>
      </c>
      <c r="J244" s="233"/>
      <c r="K244" s="233">
        <f>SUM(K245:K246)</f>
        <v>0</v>
      </c>
      <c r="L244" s="233">
        <f>SUM(L245:L246)</f>
        <v>0</v>
      </c>
      <c r="M244" s="233">
        <f t="shared" si="82"/>
        <v>0</v>
      </c>
      <c r="N244" s="233">
        <v>0</v>
      </c>
      <c r="O244" s="233"/>
      <c r="P244" s="233">
        <f>SUM(P245:P246)</f>
        <v>0</v>
      </c>
      <c r="Q244" s="233">
        <f>SUM(Q245:Q246)</f>
        <v>0</v>
      </c>
      <c r="R244" s="233">
        <f t="shared" si="83"/>
        <v>0</v>
      </c>
    </row>
    <row r="245" spans="1:18" s="29" customFormat="1" ht="24" hidden="1" customHeight="1">
      <c r="A245" s="133">
        <v>9710</v>
      </c>
      <c r="B245" s="184" t="s">
        <v>195</v>
      </c>
      <c r="C245" s="180">
        <v>0</v>
      </c>
      <c r="D245" s="180">
        <v>0</v>
      </c>
      <c r="E245" s="252"/>
      <c r="F245" s="252"/>
      <c r="G245" s="252"/>
      <c r="H245" s="233">
        <f t="shared" si="81"/>
        <v>0</v>
      </c>
      <c r="I245" s="252">
        <v>0</v>
      </c>
      <c r="J245" s="252"/>
      <c r="K245" s="252"/>
      <c r="L245" s="252"/>
      <c r="M245" s="233">
        <f t="shared" si="82"/>
        <v>0</v>
      </c>
      <c r="N245" s="252">
        <v>0</v>
      </c>
      <c r="O245" s="252"/>
      <c r="P245" s="252"/>
      <c r="Q245" s="252"/>
      <c r="R245" s="233">
        <f t="shared" si="83"/>
        <v>0</v>
      </c>
    </row>
    <row r="246" spans="1:18" s="29" customFormat="1" ht="48" hidden="1" customHeight="1">
      <c r="A246" s="142">
        <v>9720</v>
      </c>
      <c r="B246" s="183" t="s">
        <v>196</v>
      </c>
      <c r="C246" s="180">
        <v>0</v>
      </c>
      <c r="D246" s="180">
        <v>0</v>
      </c>
      <c r="E246" s="252"/>
      <c r="F246" s="252"/>
      <c r="G246" s="252"/>
      <c r="H246" s="233">
        <f t="shared" si="81"/>
        <v>0</v>
      </c>
      <c r="I246" s="252">
        <v>0</v>
      </c>
      <c r="J246" s="252"/>
      <c r="K246" s="252"/>
      <c r="L246" s="252"/>
      <c r="M246" s="233">
        <f t="shared" si="82"/>
        <v>0</v>
      </c>
      <c r="N246" s="252">
        <v>0</v>
      </c>
      <c r="O246" s="252"/>
      <c r="P246" s="252"/>
      <c r="Q246" s="252"/>
      <c r="R246" s="233">
        <f t="shared" si="83"/>
        <v>0</v>
      </c>
    </row>
    <row r="247" spans="1:18" s="29" customFormat="1" ht="24" hidden="1" customHeight="1">
      <c r="A247" s="141">
        <v>9600</v>
      </c>
      <c r="B247" s="179" t="s">
        <v>134</v>
      </c>
      <c r="C247" s="180">
        <v>0</v>
      </c>
      <c r="D247" s="180">
        <v>0</v>
      </c>
      <c r="E247" s="252"/>
      <c r="F247" s="252"/>
      <c r="G247" s="252"/>
      <c r="H247" s="233">
        <f t="shared" si="81"/>
        <v>0</v>
      </c>
      <c r="I247" s="252">
        <v>0</v>
      </c>
      <c r="J247" s="252"/>
      <c r="K247" s="252"/>
      <c r="L247" s="252"/>
      <c r="M247" s="233">
        <f t="shared" si="82"/>
        <v>0</v>
      </c>
      <c r="N247" s="252">
        <v>0</v>
      </c>
      <c r="O247" s="252"/>
      <c r="P247" s="252"/>
      <c r="Q247" s="252"/>
      <c r="R247" s="233">
        <f t="shared" si="83"/>
        <v>0</v>
      </c>
    </row>
    <row r="248" spans="1:18" s="29" customFormat="1" ht="30.6">
      <c r="A248" s="130" t="s">
        <v>197</v>
      </c>
      <c r="B248" s="185" t="s">
        <v>47</v>
      </c>
      <c r="C248" s="186">
        <v>-103885</v>
      </c>
      <c r="D248" s="186">
        <v>-6500</v>
      </c>
      <c r="E248" s="262"/>
      <c r="F248" s="262">
        <f>F178-F203</f>
        <v>0</v>
      </c>
      <c r="G248" s="262">
        <f>G178-G203</f>
        <v>0</v>
      </c>
      <c r="H248" s="233">
        <f t="shared" si="81"/>
        <v>-6500</v>
      </c>
      <c r="I248" s="262">
        <v>-5500</v>
      </c>
      <c r="J248" s="262"/>
      <c r="K248" s="262">
        <f>K178-K203</f>
        <v>0</v>
      </c>
      <c r="L248" s="262">
        <f>L178-L203</f>
        <v>0</v>
      </c>
      <c r="M248" s="233">
        <f t="shared" si="82"/>
        <v>-5500</v>
      </c>
      <c r="N248" s="262">
        <v>0</v>
      </c>
      <c r="O248" s="262"/>
      <c r="P248" s="262">
        <f>P178-P203</f>
        <v>0</v>
      </c>
      <c r="Q248" s="262">
        <f>Q178-Q203</f>
        <v>0</v>
      </c>
      <c r="R248" s="233">
        <f t="shared" si="83"/>
        <v>0</v>
      </c>
    </row>
    <row r="249" spans="1:18" s="29" customFormat="1" ht="12">
      <c r="A249" s="143" t="s">
        <v>48</v>
      </c>
      <c r="B249" s="185" t="s">
        <v>49</v>
      </c>
      <c r="C249" s="186">
        <v>103885</v>
      </c>
      <c r="D249" s="186">
        <v>6500</v>
      </c>
      <c r="E249" s="262"/>
      <c r="F249" s="262">
        <f>F250+F253+F257+F256</f>
        <v>0</v>
      </c>
      <c r="G249" s="262">
        <f>G250+G253+G257+G256</f>
        <v>0</v>
      </c>
      <c r="H249" s="233">
        <f t="shared" si="81"/>
        <v>6500</v>
      </c>
      <c r="I249" s="262">
        <v>5500</v>
      </c>
      <c r="J249" s="262"/>
      <c r="K249" s="262">
        <f>K250+K253+K257+K256</f>
        <v>0</v>
      </c>
      <c r="L249" s="262">
        <f>L250+L253+L257+L256</f>
        <v>0</v>
      </c>
      <c r="M249" s="233">
        <f t="shared" si="82"/>
        <v>5500</v>
      </c>
      <c r="N249" s="262">
        <v>0</v>
      </c>
      <c r="O249" s="262"/>
      <c r="P249" s="262">
        <f>P250+P253+P257+P256</f>
        <v>0</v>
      </c>
      <c r="Q249" s="262">
        <f>Q250+Q253+Q257+Q256</f>
        <v>0</v>
      </c>
      <c r="R249" s="233">
        <f t="shared" si="83"/>
        <v>0</v>
      </c>
    </row>
    <row r="250" spans="1:18" s="29" customFormat="1" ht="12" hidden="1" customHeight="1">
      <c r="A250" s="141" t="s">
        <v>50</v>
      </c>
      <c r="B250" s="179" t="s">
        <v>51</v>
      </c>
      <c r="C250" s="169">
        <v>0</v>
      </c>
      <c r="D250" s="169">
        <v>0</v>
      </c>
      <c r="E250" s="231"/>
      <c r="F250" s="231">
        <f>F251+F252</f>
        <v>0</v>
      </c>
      <c r="G250" s="231">
        <f>G251+G252</f>
        <v>0</v>
      </c>
      <c r="H250" s="233">
        <f t="shared" si="81"/>
        <v>0</v>
      </c>
      <c r="I250" s="231">
        <v>0</v>
      </c>
      <c r="J250" s="231"/>
      <c r="K250" s="231">
        <f>K251+K252</f>
        <v>0</v>
      </c>
      <c r="L250" s="231">
        <f>L251+L252</f>
        <v>0</v>
      </c>
      <c r="M250" s="233">
        <f t="shared" si="82"/>
        <v>0</v>
      </c>
      <c r="N250" s="231">
        <v>0</v>
      </c>
      <c r="O250" s="231"/>
      <c r="P250" s="231">
        <f>P251+P252</f>
        <v>0</v>
      </c>
      <c r="Q250" s="231">
        <f>Q251+Q252</f>
        <v>0</v>
      </c>
      <c r="R250" s="233">
        <f t="shared" si="83"/>
        <v>0</v>
      </c>
    </row>
    <row r="251" spans="1:18" s="29" customFormat="1" ht="12" hidden="1" customHeight="1">
      <c r="A251" s="141" t="s">
        <v>52</v>
      </c>
      <c r="B251" s="179" t="s">
        <v>53</v>
      </c>
      <c r="C251" s="169">
        <v>0</v>
      </c>
      <c r="D251" s="169">
        <v>0</v>
      </c>
      <c r="E251" s="231"/>
      <c r="F251" s="231"/>
      <c r="G251" s="231"/>
      <c r="H251" s="233">
        <f t="shared" si="81"/>
        <v>0</v>
      </c>
      <c r="I251" s="231">
        <v>0</v>
      </c>
      <c r="J251" s="231"/>
      <c r="K251" s="231"/>
      <c r="L251" s="231"/>
      <c r="M251" s="233">
        <f t="shared" si="82"/>
        <v>0</v>
      </c>
      <c r="N251" s="231">
        <v>0</v>
      </c>
      <c r="O251" s="231"/>
      <c r="P251" s="231"/>
      <c r="Q251" s="231"/>
      <c r="R251" s="233">
        <f t="shared" si="83"/>
        <v>0</v>
      </c>
    </row>
    <row r="252" spans="1:18" s="29" customFormat="1" ht="12" hidden="1" customHeight="1">
      <c r="A252" s="141" t="s">
        <v>54</v>
      </c>
      <c r="B252" s="179" t="s">
        <v>55</v>
      </c>
      <c r="C252" s="169">
        <v>0</v>
      </c>
      <c r="D252" s="169">
        <v>0</v>
      </c>
      <c r="E252" s="231"/>
      <c r="F252" s="231"/>
      <c r="G252" s="231"/>
      <c r="H252" s="233">
        <f t="shared" si="81"/>
        <v>0</v>
      </c>
      <c r="I252" s="231">
        <v>0</v>
      </c>
      <c r="J252" s="231"/>
      <c r="K252" s="231"/>
      <c r="L252" s="231"/>
      <c r="M252" s="233">
        <f t="shared" si="82"/>
        <v>0</v>
      </c>
      <c r="N252" s="231">
        <v>0</v>
      </c>
      <c r="O252" s="231"/>
      <c r="P252" s="231"/>
      <c r="Q252" s="231"/>
      <c r="R252" s="233">
        <f t="shared" si="83"/>
        <v>0</v>
      </c>
    </row>
    <row r="253" spans="1:18" s="29" customFormat="1" ht="12" hidden="1" customHeight="1">
      <c r="A253" s="141" t="s">
        <v>56</v>
      </c>
      <c r="B253" s="179" t="s">
        <v>57</v>
      </c>
      <c r="C253" s="169">
        <v>0</v>
      </c>
      <c r="D253" s="169">
        <v>0</v>
      </c>
      <c r="E253" s="231"/>
      <c r="F253" s="231">
        <f>F254+F255</f>
        <v>0</v>
      </c>
      <c r="G253" s="231">
        <f>G254+G255</f>
        <v>0</v>
      </c>
      <c r="H253" s="233">
        <f t="shared" si="81"/>
        <v>0</v>
      </c>
      <c r="I253" s="231">
        <v>0</v>
      </c>
      <c r="J253" s="231"/>
      <c r="K253" s="231">
        <f>K254+K255</f>
        <v>0</v>
      </c>
      <c r="L253" s="231">
        <f>L254+L255</f>
        <v>0</v>
      </c>
      <c r="M253" s="233">
        <f t="shared" si="82"/>
        <v>0</v>
      </c>
      <c r="N253" s="231">
        <v>0</v>
      </c>
      <c r="O253" s="231"/>
      <c r="P253" s="231">
        <f>P254+P255</f>
        <v>0</v>
      </c>
      <c r="Q253" s="231">
        <f>Q254+Q255</f>
        <v>0</v>
      </c>
      <c r="R253" s="233">
        <f t="shared" si="83"/>
        <v>0</v>
      </c>
    </row>
    <row r="254" spans="1:18" s="29" customFormat="1" ht="12" hidden="1" customHeight="1">
      <c r="A254" s="141" t="s">
        <v>58</v>
      </c>
      <c r="B254" s="179" t="s">
        <v>59</v>
      </c>
      <c r="C254" s="169">
        <v>0</v>
      </c>
      <c r="D254" s="169">
        <v>0</v>
      </c>
      <c r="E254" s="231"/>
      <c r="F254" s="231"/>
      <c r="G254" s="231"/>
      <c r="H254" s="233">
        <f t="shared" si="81"/>
        <v>0</v>
      </c>
      <c r="I254" s="231">
        <v>0</v>
      </c>
      <c r="J254" s="231"/>
      <c r="K254" s="231"/>
      <c r="L254" s="231"/>
      <c r="M254" s="233">
        <f t="shared" si="82"/>
        <v>0</v>
      </c>
      <c r="N254" s="231">
        <v>0</v>
      </c>
      <c r="O254" s="231"/>
      <c r="P254" s="231"/>
      <c r="Q254" s="231"/>
      <c r="R254" s="233">
        <f t="shared" si="83"/>
        <v>0</v>
      </c>
    </row>
    <row r="255" spans="1:18" s="29" customFormat="1" ht="12" hidden="1" customHeight="1">
      <c r="A255" s="141" t="s">
        <v>60</v>
      </c>
      <c r="B255" s="179" t="s">
        <v>61</v>
      </c>
      <c r="C255" s="169">
        <v>0</v>
      </c>
      <c r="D255" s="169">
        <v>0</v>
      </c>
      <c r="E255" s="231"/>
      <c r="F255" s="231"/>
      <c r="G255" s="231"/>
      <c r="H255" s="233">
        <f t="shared" si="81"/>
        <v>0</v>
      </c>
      <c r="I255" s="231">
        <v>0</v>
      </c>
      <c r="J255" s="231"/>
      <c r="K255" s="231"/>
      <c r="L255" s="231"/>
      <c r="M255" s="233">
        <f t="shared" si="82"/>
        <v>0</v>
      </c>
      <c r="N255" s="231">
        <v>0</v>
      </c>
      <c r="O255" s="231"/>
      <c r="P255" s="231"/>
      <c r="Q255" s="231"/>
      <c r="R255" s="233">
        <f t="shared" si="83"/>
        <v>0</v>
      </c>
    </row>
    <row r="256" spans="1:18" s="29" customFormat="1" ht="12" hidden="1" customHeight="1">
      <c r="A256" s="141" t="s">
        <v>198</v>
      </c>
      <c r="B256" s="187" t="s">
        <v>168</v>
      </c>
      <c r="C256" s="169">
        <v>0</v>
      </c>
      <c r="D256" s="169">
        <v>0</v>
      </c>
      <c r="E256" s="231"/>
      <c r="F256" s="231"/>
      <c r="G256" s="231"/>
      <c r="H256" s="233">
        <f t="shared" si="81"/>
        <v>0</v>
      </c>
      <c r="I256" s="231">
        <v>0</v>
      </c>
      <c r="J256" s="231"/>
      <c r="K256" s="231"/>
      <c r="L256" s="231"/>
      <c r="M256" s="233">
        <f t="shared" si="82"/>
        <v>0</v>
      </c>
      <c r="N256" s="231">
        <v>0</v>
      </c>
      <c r="O256" s="231"/>
      <c r="P256" s="231"/>
      <c r="Q256" s="231"/>
      <c r="R256" s="233">
        <f t="shared" si="83"/>
        <v>0</v>
      </c>
    </row>
    <row r="257" spans="1:18" s="29" customFormat="1" ht="12">
      <c r="A257" s="144" t="s">
        <v>62</v>
      </c>
      <c r="B257" s="125" t="s">
        <v>63</v>
      </c>
      <c r="C257" s="171">
        <v>103885</v>
      </c>
      <c r="D257" s="171">
        <v>6500</v>
      </c>
      <c r="E257" s="233"/>
      <c r="F257" s="233">
        <f>F258+F259+F260</f>
        <v>0</v>
      </c>
      <c r="G257" s="233">
        <f>G258+G259+G260</f>
        <v>0</v>
      </c>
      <c r="H257" s="233">
        <f t="shared" si="81"/>
        <v>6500</v>
      </c>
      <c r="I257" s="233">
        <v>5500</v>
      </c>
      <c r="J257" s="233"/>
      <c r="K257" s="233">
        <f>K258+K259+K260</f>
        <v>0</v>
      </c>
      <c r="L257" s="233">
        <f>L258+L259+L260</f>
        <v>0</v>
      </c>
      <c r="M257" s="233">
        <f t="shared" si="82"/>
        <v>5500</v>
      </c>
      <c r="N257" s="233">
        <v>0</v>
      </c>
      <c r="O257" s="233"/>
      <c r="P257" s="233">
        <f>P258+P259+P260</f>
        <v>0</v>
      </c>
      <c r="Q257" s="233">
        <f>Q258+Q259+Q260</f>
        <v>0</v>
      </c>
      <c r="R257" s="233">
        <f t="shared" si="83"/>
        <v>0</v>
      </c>
    </row>
    <row r="258" spans="1:18" s="29" customFormat="1" ht="36" hidden="1" customHeight="1">
      <c r="A258" s="144" t="s">
        <v>64</v>
      </c>
      <c r="B258" s="179" t="s">
        <v>65</v>
      </c>
      <c r="C258" s="169">
        <v>0</v>
      </c>
      <c r="D258" s="169">
        <v>0</v>
      </c>
      <c r="E258" s="231"/>
      <c r="F258" s="231"/>
      <c r="G258" s="231"/>
      <c r="H258" s="233">
        <f t="shared" si="81"/>
        <v>0</v>
      </c>
      <c r="I258" s="231">
        <v>0</v>
      </c>
      <c r="J258" s="231"/>
      <c r="K258" s="231"/>
      <c r="L258" s="231"/>
      <c r="M258" s="233">
        <f t="shared" si="82"/>
        <v>0</v>
      </c>
      <c r="N258" s="231">
        <v>0</v>
      </c>
      <c r="O258" s="231"/>
      <c r="P258" s="231"/>
      <c r="Q258" s="231"/>
      <c r="R258" s="233">
        <f t="shared" si="83"/>
        <v>0</v>
      </c>
    </row>
    <row r="259" spans="1:18" s="29" customFormat="1" ht="24">
      <c r="A259" s="144" t="s">
        <v>66</v>
      </c>
      <c r="B259" s="179" t="s">
        <v>67</v>
      </c>
      <c r="C259" s="169">
        <v>103885</v>
      </c>
      <c r="D259" s="169">
        <v>6500</v>
      </c>
      <c r="E259" s="231"/>
      <c r="F259" s="231"/>
      <c r="G259" s="231"/>
      <c r="H259" s="233">
        <f t="shared" si="81"/>
        <v>6500</v>
      </c>
      <c r="I259" s="231">
        <v>5500</v>
      </c>
      <c r="J259" s="231"/>
      <c r="K259" s="231"/>
      <c r="L259" s="231"/>
      <c r="M259" s="233">
        <f t="shared" si="82"/>
        <v>5500</v>
      </c>
      <c r="N259" s="231">
        <v>0</v>
      </c>
      <c r="O259" s="231"/>
      <c r="P259" s="231"/>
      <c r="Q259" s="231"/>
      <c r="R259" s="233">
        <f t="shared" si="83"/>
        <v>0</v>
      </c>
    </row>
    <row r="260" spans="1:18" s="29" customFormat="1" ht="24" hidden="1" customHeight="1">
      <c r="A260" s="144" t="s">
        <v>68</v>
      </c>
      <c r="B260" s="125" t="s">
        <v>69</v>
      </c>
      <c r="C260" s="169">
        <v>0</v>
      </c>
      <c r="D260" s="169">
        <v>0</v>
      </c>
      <c r="E260" s="231"/>
      <c r="F260" s="231"/>
      <c r="G260" s="231"/>
      <c r="H260" s="233">
        <f t="shared" ref="H260" si="84">SUM(D260:G260)</f>
        <v>0</v>
      </c>
      <c r="I260" s="231">
        <v>0</v>
      </c>
      <c r="J260" s="231"/>
      <c r="K260" s="231"/>
      <c r="L260" s="231"/>
      <c r="M260" s="233">
        <f t="shared" ref="M260" si="85">SUM(I260:L260)</f>
        <v>0</v>
      </c>
      <c r="N260" s="231">
        <v>0</v>
      </c>
      <c r="O260" s="231"/>
      <c r="P260" s="231"/>
      <c r="Q260" s="231"/>
      <c r="R260" s="233">
        <f t="shared" ref="R260" si="86">SUM(N260:Q260)</f>
        <v>0</v>
      </c>
    </row>
    <row r="261" spans="1:18" s="29" customFormat="1" ht="12">
      <c r="A261" s="271"/>
      <c r="B261" s="272"/>
      <c r="C261" s="254"/>
      <c r="D261" s="254"/>
      <c r="E261" s="254"/>
      <c r="F261" s="254"/>
      <c r="G261" s="254"/>
      <c r="H261" s="233"/>
      <c r="I261" s="254"/>
      <c r="J261" s="254"/>
      <c r="K261" s="254"/>
      <c r="L261" s="254"/>
      <c r="M261" s="233"/>
      <c r="N261" s="254"/>
      <c r="O261" s="254"/>
      <c r="P261" s="254"/>
      <c r="Q261" s="254"/>
      <c r="R261" s="233"/>
    </row>
    <row r="262" spans="1:18" ht="12">
      <c r="A262" s="33"/>
      <c r="B262" s="164"/>
      <c r="C262" s="165"/>
      <c r="D262" s="163"/>
      <c r="E262" s="165"/>
      <c r="F262" s="163"/>
      <c r="G262" s="163"/>
      <c r="H262" s="163"/>
      <c r="I262" s="163"/>
      <c r="J262" s="165"/>
      <c r="K262" s="163"/>
      <c r="L262" s="163"/>
      <c r="M262" s="163"/>
      <c r="N262" s="163"/>
      <c r="O262" s="165"/>
      <c r="P262" s="163"/>
      <c r="Q262" s="163"/>
      <c r="R262" s="163"/>
    </row>
    <row r="263" spans="1:18" ht="12">
      <c r="A263" s="33"/>
      <c r="B263" s="164"/>
      <c r="C263" s="165"/>
      <c r="D263" s="163"/>
      <c r="E263" s="165"/>
      <c r="F263" s="163"/>
      <c r="G263" s="163"/>
      <c r="H263" s="163"/>
      <c r="I263" s="163"/>
      <c r="J263" s="165"/>
      <c r="K263" s="163"/>
      <c r="L263" s="163"/>
      <c r="M263" s="163"/>
      <c r="N263" s="163"/>
      <c r="O263" s="165"/>
      <c r="P263" s="163"/>
      <c r="Q263" s="163"/>
      <c r="R263" s="163"/>
    </row>
    <row r="264" spans="1:18" ht="13.2">
      <c r="A264" s="369" t="s">
        <v>236</v>
      </c>
      <c r="B264" s="370" t="s">
        <v>237</v>
      </c>
      <c r="C264" s="165"/>
      <c r="D264" s="163"/>
      <c r="E264" s="165"/>
      <c r="F264" s="163"/>
      <c r="G264" s="163"/>
      <c r="H264" s="163"/>
      <c r="I264" s="163"/>
      <c r="J264" s="165"/>
      <c r="K264" s="163"/>
      <c r="L264" s="163"/>
      <c r="M264" s="163"/>
      <c r="N264" s="163"/>
      <c r="O264" s="165"/>
      <c r="P264" s="163"/>
      <c r="Q264" s="163"/>
      <c r="R264" s="163"/>
    </row>
    <row r="265" spans="1:18" ht="13.2">
      <c r="A265" s="371"/>
      <c r="B265" s="372" t="s">
        <v>238</v>
      </c>
      <c r="C265" s="165"/>
      <c r="D265" s="163"/>
      <c r="E265" s="165"/>
      <c r="F265" s="163"/>
      <c r="G265" s="163"/>
      <c r="H265" s="163"/>
      <c r="I265" s="163"/>
      <c r="J265" s="165"/>
      <c r="K265" s="163"/>
      <c r="L265" s="163"/>
      <c r="M265" s="163"/>
      <c r="N265" s="163"/>
      <c r="O265" s="165"/>
      <c r="P265" s="163"/>
      <c r="Q265" s="163"/>
      <c r="R265" s="163"/>
    </row>
    <row r="266" spans="1:18" ht="13.2">
      <c r="A266" s="373" t="s">
        <v>223</v>
      </c>
      <c r="B266" s="374" t="s">
        <v>434</v>
      </c>
      <c r="C266" s="165"/>
      <c r="D266" s="163"/>
      <c r="E266" s="165"/>
      <c r="F266" s="163"/>
      <c r="G266" s="163"/>
      <c r="H266" s="163"/>
      <c r="I266" s="163"/>
      <c r="J266" s="165"/>
      <c r="K266" s="163"/>
      <c r="L266" s="163"/>
      <c r="M266" s="163"/>
      <c r="N266" s="163"/>
      <c r="O266" s="165"/>
      <c r="P266" s="163"/>
      <c r="Q266" s="163"/>
      <c r="R266" s="163"/>
    </row>
    <row r="267" spans="1:18" ht="13.2">
      <c r="A267" s="375" t="s">
        <v>240</v>
      </c>
      <c r="B267" s="376" t="s">
        <v>241</v>
      </c>
      <c r="C267" s="165"/>
      <c r="D267" s="163"/>
      <c r="E267" s="165"/>
      <c r="F267" s="163"/>
      <c r="G267" s="163"/>
      <c r="H267" s="163"/>
      <c r="I267" s="163"/>
      <c r="J267" s="165"/>
      <c r="K267" s="163"/>
      <c r="L267" s="163"/>
      <c r="M267" s="163"/>
      <c r="N267" s="163"/>
      <c r="O267" s="165"/>
      <c r="P267" s="163"/>
      <c r="Q267" s="163"/>
      <c r="R267" s="163"/>
    </row>
    <row r="268" spans="1:18" ht="13.2">
      <c r="A268" s="377"/>
      <c r="B268" s="376"/>
      <c r="C268" s="165"/>
      <c r="D268" s="163"/>
      <c r="E268" s="165"/>
      <c r="F268" s="163"/>
      <c r="G268" s="163"/>
      <c r="H268" s="163"/>
      <c r="I268" s="163"/>
      <c r="J268" s="165"/>
      <c r="K268" s="163"/>
      <c r="L268" s="163"/>
      <c r="M268" s="163"/>
      <c r="N268" s="163"/>
      <c r="O268" s="165"/>
      <c r="P268" s="163"/>
      <c r="Q268" s="163"/>
      <c r="R268" s="163"/>
    </row>
    <row r="269" spans="1:18" ht="13.2">
      <c r="A269" s="378" t="s">
        <v>224</v>
      </c>
      <c r="B269" s="374" t="s">
        <v>242</v>
      </c>
      <c r="C269" s="165"/>
      <c r="D269" s="163"/>
      <c r="E269" s="165"/>
      <c r="F269" s="163"/>
      <c r="G269" s="163"/>
      <c r="H269" s="163"/>
      <c r="I269" s="163"/>
      <c r="J269" s="165"/>
      <c r="K269" s="163"/>
      <c r="L269" s="163"/>
      <c r="M269" s="163"/>
      <c r="N269" s="163"/>
      <c r="O269" s="165"/>
      <c r="P269" s="163"/>
      <c r="Q269" s="163"/>
      <c r="R269" s="163"/>
    </row>
    <row r="270" spans="1:18" ht="39.6">
      <c r="A270" s="375" t="s">
        <v>243</v>
      </c>
      <c r="B270" s="594" t="s">
        <v>579</v>
      </c>
      <c r="C270" s="165"/>
      <c r="D270" s="163"/>
      <c r="E270" s="165"/>
      <c r="F270" s="165"/>
      <c r="G270" s="165"/>
      <c r="H270" s="163"/>
      <c r="I270" s="163"/>
      <c r="J270" s="165"/>
      <c r="K270" s="163"/>
      <c r="L270" s="163"/>
      <c r="M270" s="163"/>
      <c r="N270" s="163"/>
      <c r="O270" s="165"/>
      <c r="P270" s="163"/>
      <c r="Q270" s="163"/>
      <c r="R270" s="163"/>
    </row>
    <row r="271" spans="1:18" ht="13.2">
      <c r="A271" s="375"/>
      <c r="B271" s="376" t="s">
        <v>264</v>
      </c>
      <c r="C271" s="165"/>
      <c r="D271" s="163"/>
      <c r="E271" s="165"/>
      <c r="F271" s="165">
        <f>F272</f>
        <v>200000</v>
      </c>
      <c r="G271" s="165"/>
      <c r="H271" s="163"/>
      <c r="I271" s="163"/>
      <c r="J271" s="165"/>
      <c r="K271" s="163"/>
      <c r="L271" s="163"/>
      <c r="M271" s="163"/>
      <c r="N271" s="163"/>
      <c r="O271" s="165"/>
      <c r="P271" s="163"/>
      <c r="Q271" s="163"/>
      <c r="R271" s="163"/>
    </row>
    <row r="272" spans="1:18" ht="13.2">
      <c r="A272" s="375"/>
      <c r="B272" s="376" t="s">
        <v>266</v>
      </c>
      <c r="C272" s="165"/>
      <c r="D272" s="163"/>
      <c r="E272" s="165"/>
      <c r="F272" s="165">
        <f>F273</f>
        <v>200000</v>
      </c>
      <c r="G272" s="165"/>
      <c r="H272" s="163"/>
      <c r="I272" s="163"/>
      <c r="J272" s="165"/>
      <c r="K272" s="163"/>
      <c r="L272" s="163"/>
      <c r="M272" s="163"/>
      <c r="N272" s="163"/>
      <c r="O272" s="165"/>
      <c r="P272" s="163"/>
      <c r="Q272" s="163"/>
      <c r="R272" s="163"/>
    </row>
    <row r="273" spans="1:18" ht="26.4">
      <c r="A273" s="375"/>
      <c r="B273" s="376" t="s">
        <v>267</v>
      </c>
      <c r="C273" s="165"/>
      <c r="D273" s="163"/>
      <c r="E273" s="165"/>
      <c r="F273" s="165">
        <v>200000</v>
      </c>
      <c r="G273" s="165"/>
      <c r="H273" s="163"/>
      <c r="I273" s="163"/>
      <c r="J273" s="165"/>
      <c r="K273" s="163"/>
      <c r="L273" s="163"/>
      <c r="M273" s="163"/>
      <c r="N273" s="163"/>
      <c r="O273" s="165"/>
      <c r="P273" s="163"/>
      <c r="Q273" s="163"/>
      <c r="R273" s="163"/>
    </row>
    <row r="274" spans="1:18" ht="13.2">
      <c r="A274" s="375"/>
      <c r="B274" s="376" t="s">
        <v>268</v>
      </c>
      <c r="C274" s="165"/>
      <c r="D274" s="163"/>
      <c r="E274" s="165"/>
      <c r="F274" s="165">
        <f>F275</f>
        <v>200000</v>
      </c>
      <c r="G274" s="165"/>
      <c r="H274" s="163"/>
      <c r="I274" s="163"/>
      <c r="J274" s="165"/>
      <c r="K274" s="163"/>
      <c r="L274" s="163"/>
      <c r="M274" s="163"/>
      <c r="N274" s="163"/>
      <c r="O274" s="165"/>
      <c r="P274" s="163"/>
      <c r="Q274" s="163"/>
      <c r="R274" s="163"/>
    </row>
    <row r="275" spans="1:18" ht="13.2">
      <c r="A275" s="375"/>
      <c r="B275" s="376" t="s">
        <v>269</v>
      </c>
      <c r="C275" s="165"/>
      <c r="D275" s="163"/>
      <c r="E275" s="165"/>
      <c r="F275" s="165">
        <f>F276</f>
        <v>200000</v>
      </c>
      <c r="G275" s="165"/>
      <c r="H275" s="163"/>
      <c r="I275" s="163"/>
      <c r="J275" s="165"/>
      <c r="K275" s="163"/>
      <c r="L275" s="163"/>
      <c r="M275" s="163"/>
      <c r="N275" s="163"/>
      <c r="O275" s="165"/>
      <c r="P275" s="163"/>
      <c r="Q275" s="163"/>
      <c r="R275" s="163"/>
    </row>
    <row r="276" spans="1:18" ht="13.2">
      <c r="A276" s="375"/>
      <c r="B276" s="376" t="s">
        <v>270</v>
      </c>
      <c r="C276" s="165"/>
      <c r="D276" s="163"/>
      <c r="E276" s="165"/>
      <c r="F276" s="165">
        <f>F277+F279</f>
        <v>200000</v>
      </c>
      <c r="G276" s="165"/>
      <c r="H276" s="163"/>
      <c r="I276" s="163"/>
      <c r="J276" s="165"/>
      <c r="K276" s="163"/>
      <c r="L276" s="163"/>
      <c r="M276" s="163"/>
      <c r="N276" s="163"/>
      <c r="O276" s="165"/>
      <c r="P276" s="163"/>
      <c r="Q276" s="163"/>
      <c r="R276" s="163"/>
    </row>
    <row r="277" spans="1:18" ht="13.2">
      <c r="A277" s="375"/>
      <c r="B277" s="376" t="s">
        <v>271</v>
      </c>
      <c r="C277" s="165"/>
      <c r="D277" s="163"/>
      <c r="E277" s="165"/>
      <c r="F277" s="165">
        <v>31360</v>
      </c>
      <c r="G277" s="165"/>
      <c r="H277" s="163"/>
      <c r="I277" s="163"/>
      <c r="J277" s="165"/>
      <c r="K277" s="163"/>
      <c r="L277" s="163"/>
      <c r="M277" s="163"/>
      <c r="N277" s="163"/>
      <c r="O277" s="165"/>
      <c r="P277" s="163"/>
      <c r="Q277" s="163"/>
      <c r="R277" s="163"/>
    </row>
    <row r="278" spans="1:18" ht="13.2">
      <c r="A278" s="375"/>
      <c r="B278" s="376" t="s">
        <v>272</v>
      </c>
      <c r="C278" s="165"/>
      <c r="D278" s="163"/>
      <c r="E278" s="165"/>
      <c r="F278" s="165">
        <v>25272</v>
      </c>
      <c r="G278" s="165"/>
      <c r="H278" s="163"/>
      <c r="I278" s="163"/>
      <c r="J278" s="165"/>
      <c r="K278" s="163"/>
      <c r="L278" s="163"/>
      <c r="M278" s="163"/>
      <c r="N278" s="163"/>
      <c r="O278" s="165"/>
      <c r="P278" s="163"/>
      <c r="Q278" s="163"/>
      <c r="R278" s="163"/>
    </row>
    <row r="279" spans="1:18" ht="13.2">
      <c r="A279" s="375"/>
      <c r="B279" s="376" t="s">
        <v>273</v>
      </c>
      <c r="C279" s="165"/>
      <c r="D279" s="163"/>
      <c r="E279" s="165"/>
      <c r="F279" s="165">
        <v>168640</v>
      </c>
      <c r="G279" s="165"/>
      <c r="H279" s="163"/>
      <c r="I279" s="163"/>
      <c r="J279" s="165"/>
      <c r="K279" s="163"/>
      <c r="L279" s="163"/>
      <c r="M279" s="163"/>
      <c r="N279" s="163"/>
      <c r="O279" s="165"/>
      <c r="P279" s="163"/>
      <c r="Q279" s="163"/>
      <c r="R279" s="163"/>
    </row>
    <row r="280" spans="1:18" ht="26.4">
      <c r="A280" s="375" t="s">
        <v>250</v>
      </c>
      <c r="B280" s="594" t="s">
        <v>580</v>
      </c>
      <c r="C280" s="165"/>
      <c r="D280" s="163"/>
      <c r="E280" s="165"/>
      <c r="F280" s="165"/>
      <c r="G280" s="165"/>
      <c r="H280" s="163"/>
      <c r="I280" s="163"/>
      <c r="J280" s="165"/>
      <c r="K280" s="165"/>
      <c r="L280" s="165"/>
      <c r="M280" s="163"/>
      <c r="N280" s="163"/>
      <c r="O280" s="165"/>
      <c r="P280" s="165"/>
      <c r="Q280" s="165"/>
      <c r="R280" s="163"/>
    </row>
    <row r="281" spans="1:18" ht="13.2">
      <c r="A281" s="375"/>
      <c r="B281" s="376" t="s">
        <v>264</v>
      </c>
      <c r="C281" s="165"/>
      <c r="D281" s="163"/>
      <c r="E281" s="165"/>
      <c r="F281" s="165">
        <f>F282</f>
        <v>5128600</v>
      </c>
      <c r="G281" s="165"/>
      <c r="H281" s="163"/>
      <c r="I281" s="163"/>
      <c r="J281" s="165"/>
      <c r="K281" s="165">
        <f>K282</f>
        <v>5128600</v>
      </c>
      <c r="L281" s="165"/>
      <c r="M281" s="163"/>
      <c r="N281" s="163"/>
      <c r="O281" s="165"/>
      <c r="P281" s="165">
        <f>P282</f>
        <v>5128600</v>
      </c>
      <c r="Q281" s="165"/>
      <c r="R281" s="163"/>
    </row>
    <row r="282" spans="1:18" ht="13.2">
      <c r="A282" s="375"/>
      <c r="B282" s="376" t="s">
        <v>266</v>
      </c>
      <c r="C282" s="165"/>
      <c r="D282" s="163"/>
      <c r="E282" s="165"/>
      <c r="F282" s="165">
        <f>F283</f>
        <v>5128600</v>
      </c>
      <c r="G282" s="165"/>
      <c r="H282" s="163"/>
      <c r="I282" s="163"/>
      <c r="J282" s="165"/>
      <c r="K282" s="165">
        <f>K283</f>
        <v>5128600</v>
      </c>
      <c r="L282" s="165"/>
      <c r="M282" s="163"/>
      <c r="N282" s="163"/>
      <c r="O282" s="165"/>
      <c r="P282" s="165">
        <f>P283</f>
        <v>5128600</v>
      </c>
      <c r="Q282" s="165"/>
      <c r="R282" s="163"/>
    </row>
    <row r="283" spans="1:18" ht="26.4">
      <c r="A283" s="375"/>
      <c r="B283" s="376" t="s">
        <v>267</v>
      </c>
      <c r="C283" s="165"/>
      <c r="D283" s="163"/>
      <c r="E283" s="165"/>
      <c r="F283" s="165">
        <v>5128600</v>
      </c>
      <c r="G283" s="165"/>
      <c r="H283" s="163"/>
      <c r="I283" s="163"/>
      <c r="J283" s="165"/>
      <c r="K283" s="165">
        <v>5128600</v>
      </c>
      <c r="L283" s="165"/>
      <c r="M283" s="163"/>
      <c r="N283" s="163"/>
      <c r="O283" s="165"/>
      <c r="P283" s="165">
        <v>5128600</v>
      </c>
      <c r="Q283" s="165"/>
      <c r="R283" s="163"/>
    </row>
    <row r="284" spans="1:18" ht="13.2">
      <c r="A284" s="375"/>
      <c r="B284" s="376" t="s">
        <v>268</v>
      </c>
      <c r="C284" s="165"/>
      <c r="D284" s="163"/>
      <c r="E284" s="165"/>
      <c r="F284" s="165">
        <f>F285</f>
        <v>5128600</v>
      </c>
      <c r="G284" s="165"/>
      <c r="H284" s="163"/>
      <c r="I284" s="163"/>
      <c r="J284" s="165"/>
      <c r="K284" s="165">
        <f>K285</f>
        <v>5128600</v>
      </c>
      <c r="L284" s="165"/>
      <c r="M284" s="163"/>
      <c r="N284" s="163"/>
      <c r="O284" s="165"/>
      <c r="P284" s="165">
        <f>P285</f>
        <v>5128600</v>
      </c>
      <c r="Q284" s="165"/>
      <c r="R284" s="163"/>
    </row>
    <row r="285" spans="1:18" ht="13.2">
      <c r="A285" s="375"/>
      <c r="B285" s="376" t="s">
        <v>269</v>
      </c>
      <c r="C285" s="165"/>
      <c r="D285" s="163"/>
      <c r="E285" s="165"/>
      <c r="F285" s="165">
        <f>F286</f>
        <v>5128600</v>
      </c>
      <c r="G285" s="165"/>
      <c r="H285" s="163"/>
      <c r="I285" s="163"/>
      <c r="J285" s="165"/>
      <c r="K285" s="165">
        <f>K286</f>
        <v>5128600</v>
      </c>
      <c r="L285" s="165"/>
      <c r="M285" s="163"/>
      <c r="N285" s="163"/>
      <c r="O285" s="165"/>
      <c r="P285" s="165">
        <f>P286</f>
        <v>5128600</v>
      </c>
      <c r="Q285" s="165"/>
      <c r="R285" s="163"/>
    </row>
    <row r="286" spans="1:18" ht="13.2">
      <c r="A286" s="375"/>
      <c r="B286" s="376" t="s">
        <v>270</v>
      </c>
      <c r="C286" s="165"/>
      <c r="D286" s="163"/>
      <c r="E286" s="165"/>
      <c r="F286" s="165">
        <f>F287</f>
        <v>5128600</v>
      </c>
      <c r="G286" s="165"/>
      <c r="H286" s="163"/>
      <c r="I286" s="163"/>
      <c r="J286" s="165"/>
      <c r="K286" s="165">
        <f>K287</f>
        <v>5128600</v>
      </c>
      <c r="L286" s="165"/>
      <c r="M286" s="163"/>
      <c r="N286" s="163"/>
      <c r="O286" s="165"/>
      <c r="P286" s="165">
        <f>P287</f>
        <v>5128600</v>
      </c>
      <c r="Q286" s="165"/>
      <c r="R286" s="163"/>
    </row>
    <row r="287" spans="1:18" ht="13.2">
      <c r="A287" s="375"/>
      <c r="B287" s="376" t="s">
        <v>273</v>
      </c>
      <c r="C287" s="165"/>
      <c r="D287" s="163"/>
      <c r="E287" s="165"/>
      <c r="F287" s="165">
        <v>5128600</v>
      </c>
      <c r="G287" s="165"/>
      <c r="H287" s="163"/>
      <c r="I287" s="163"/>
      <c r="J287" s="165"/>
      <c r="K287" s="165">
        <v>5128600</v>
      </c>
      <c r="L287" s="165"/>
      <c r="M287" s="163"/>
      <c r="N287" s="163"/>
      <c r="O287" s="165"/>
      <c r="P287" s="165">
        <v>5128600</v>
      </c>
      <c r="Q287" s="165"/>
      <c r="R287" s="163"/>
    </row>
    <row r="288" spans="1:18" ht="66">
      <c r="A288" s="375" t="s">
        <v>257</v>
      </c>
      <c r="B288" s="376" t="s">
        <v>404</v>
      </c>
      <c r="C288" s="165"/>
      <c r="D288" s="163"/>
      <c r="E288" s="165"/>
      <c r="F288" s="165"/>
      <c r="G288" s="165"/>
      <c r="H288" s="163"/>
      <c r="I288" s="163"/>
      <c r="J288" s="165"/>
      <c r="K288" s="165"/>
      <c r="L288" s="165"/>
      <c r="M288" s="163"/>
      <c r="N288" s="163"/>
      <c r="O288" s="165"/>
      <c r="P288" s="165"/>
      <c r="Q288" s="165"/>
      <c r="R288" s="163"/>
    </row>
    <row r="289" spans="1:18" ht="26.4">
      <c r="A289" s="375"/>
      <c r="B289" s="530" t="s">
        <v>405</v>
      </c>
      <c r="C289" s="165"/>
      <c r="D289" s="163"/>
      <c r="E289" s="165"/>
      <c r="F289" s="165"/>
      <c r="G289" s="165"/>
      <c r="H289" s="163"/>
      <c r="I289" s="163"/>
      <c r="J289" s="165"/>
      <c r="K289" s="165"/>
      <c r="L289" s="165"/>
      <c r="M289" s="163"/>
      <c r="N289" s="163"/>
      <c r="O289" s="165"/>
      <c r="P289" s="165"/>
      <c r="Q289" s="165"/>
      <c r="R289" s="163"/>
    </row>
    <row r="290" spans="1:18" ht="13.2">
      <c r="A290" s="375"/>
      <c r="B290" s="376" t="s">
        <v>264</v>
      </c>
      <c r="C290" s="165"/>
      <c r="D290" s="163"/>
      <c r="E290" s="165"/>
      <c r="F290" s="165">
        <f>F291</f>
        <v>797428</v>
      </c>
      <c r="G290" s="165"/>
      <c r="H290" s="163"/>
      <c r="I290" s="163"/>
      <c r="J290" s="165"/>
      <c r="K290" s="165">
        <f>K291</f>
        <v>916512</v>
      </c>
      <c r="L290" s="165"/>
      <c r="M290" s="163"/>
      <c r="N290" s="163"/>
      <c r="O290" s="165"/>
      <c r="P290" s="165">
        <f>P291</f>
        <v>526860</v>
      </c>
      <c r="Q290" s="165"/>
      <c r="R290" s="163"/>
    </row>
    <row r="291" spans="1:18" ht="13.2">
      <c r="A291" s="375"/>
      <c r="B291" s="376" t="s">
        <v>266</v>
      </c>
      <c r="C291" s="165"/>
      <c r="D291" s="163"/>
      <c r="E291" s="165"/>
      <c r="F291" s="165">
        <f>F292</f>
        <v>797428</v>
      </c>
      <c r="G291" s="165"/>
      <c r="H291" s="163"/>
      <c r="I291" s="163"/>
      <c r="J291" s="165"/>
      <c r="K291" s="165">
        <f>K292</f>
        <v>916512</v>
      </c>
      <c r="L291" s="165"/>
      <c r="M291" s="163"/>
      <c r="N291" s="163"/>
      <c r="O291" s="165"/>
      <c r="P291" s="165">
        <f>P292</f>
        <v>526860</v>
      </c>
      <c r="Q291" s="165"/>
      <c r="R291" s="163"/>
    </row>
    <row r="292" spans="1:18" ht="26.4">
      <c r="A292" s="375"/>
      <c r="B292" s="376" t="s">
        <v>267</v>
      </c>
      <c r="C292" s="165"/>
      <c r="D292" s="163"/>
      <c r="E292" s="165"/>
      <c r="F292" s="165">
        <f>F293</f>
        <v>797428</v>
      </c>
      <c r="G292" s="165"/>
      <c r="H292" s="163"/>
      <c r="I292" s="163"/>
      <c r="J292" s="165"/>
      <c r="K292" s="165">
        <f>K293</f>
        <v>916512</v>
      </c>
      <c r="L292" s="165"/>
      <c r="M292" s="163"/>
      <c r="N292" s="163"/>
      <c r="O292" s="165"/>
      <c r="P292" s="165">
        <f>P293</f>
        <v>526860</v>
      </c>
      <c r="Q292" s="165"/>
      <c r="R292" s="163"/>
    </row>
    <row r="293" spans="1:18" ht="13.2">
      <c r="A293" s="375"/>
      <c r="B293" s="376" t="s">
        <v>268</v>
      </c>
      <c r="C293" s="165"/>
      <c r="D293" s="163"/>
      <c r="E293" s="165"/>
      <c r="F293" s="165">
        <f>F294+F299</f>
        <v>797428</v>
      </c>
      <c r="G293" s="165"/>
      <c r="H293" s="163"/>
      <c r="I293" s="163"/>
      <c r="J293" s="165"/>
      <c r="K293" s="165">
        <f>K294</f>
        <v>916512</v>
      </c>
      <c r="L293" s="165"/>
      <c r="M293" s="163"/>
      <c r="N293" s="163"/>
      <c r="O293" s="165"/>
      <c r="P293" s="165">
        <f>P294</f>
        <v>526860</v>
      </c>
      <c r="Q293" s="165"/>
      <c r="R293" s="163"/>
    </row>
    <row r="294" spans="1:18" ht="13.2">
      <c r="A294" s="375"/>
      <c r="B294" s="376" t="s">
        <v>269</v>
      </c>
      <c r="C294" s="165"/>
      <c r="D294" s="163"/>
      <c r="E294" s="165"/>
      <c r="F294" s="165">
        <f>F295</f>
        <v>783428</v>
      </c>
      <c r="G294" s="165"/>
      <c r="H294" s="163"/>
      <c r="I294" s="163"/>
      <c r="J294" s="165"/>
      <c r="K294" s="165">
        <f>K295</f>
        <v>916512</v>
      </c>
      <c r="L294" s="165"/>
      <c r="M294" s="163"/>
      <c r="N294" s="163"/>
      <c r="O294" s="165"/>
      <c r="P294" s="165">
        <f>P295</f>
        <v>526860</v>
      </c>
      <c r="Q294" s="165"/>
      <c r="R294" s="163"/>
    </row>
    <row r="295" spans="1:18" ht="13.2">
      <c r="A295" s="375"/>
      <c r="B295" s="376" t="s">
        <v>270</v>
      </c>
      <c r="C295" s="165"/>
      <c r="D295" s="163"/>
      <c r="E295" s="165"/>
      <c r="F295" s="165">
        <f>F296+F298</f>
        <v>783428</v>
      </c>
      <c r="G295" s="165"/>
      <c r="H295" s="163"/>
      <c r="I295" s="163"/>
      <c r="J295" s="165"/>
      <c r="K295" s="165">
        <f>K296+K298</f>
        <v>916512</v>
      </c>
      <c r="L295" s="165"/>
      <c r="M295" s="163"/>
      <c r="N295" s="163"/>
      <c r="O295" s="165"/>
      <c r="P295" s="165">
        <f>P296+P298</f>
        <v>526860</v>
      </c>
      <c r="Q295" s="165"/>
      <c r="R295" s="163"/>
    </row>
    <row r="296" spans="1:18" ht="13.2">
      <c r="A296" s="375"/>
      <c r="B296" s="376" t="s">
        <v>271</v>
      </c>
      <c r="C296" s="165"/>
      <c r="D296" s="163"/>
      <c r="E296" s="165"/>
      <c r="F296" s="165">
        <v>348640</v>
      </c>
      <c r="G296" s="165"/>
      <c r="H296" s="163"/>
      <c r="I296" s="163"/>
      <c r="J296" s="165"/>
      <c r="K296" s="165">
        <v>616294</v>
      </c>
      <c r="L296" s="165"/>
      <c r="M296" s="163"/>
      <c r="N296" s="163"/>
      <c r="O296" s="165"/>
      <c r="P296" s="165">
        <v>350290</v>
      </c>
      <c r="Q296" s="165"/>
      <c r="R296" s="163"/>
    </row>
    <row r="297" spans="1:18" ht="13.2">
      <c r="A297" s="375"/>
      <c r="B297" s="376" t="s">
        <v>272</v>
      </c>
      <c r="C297" s="165"/>
      <c r="D297" s="163"/>
      <c r="E297" s="165"/>
      <c r="F297" s="165">
        <v>82320</v>
      </c>
      <c r="G297" s="165"/>
      <c r="H297" s="163"/>
      <c r="I297" s="163"/>
      <c r="J297" s="165"/>
      <c r="K297" s="165">
        <v>164640</v>
      </c>
      <c r="L297" s="165"/>
      <c r="M297" s="163"/>
      <c r="N297" s="163"/>
      <c r="O297" s="165"/>
      <c r="P297" s="165">
        <v>94080</v>
      </c>
      <c r="Q297" s="165"/>
      <c r="R297" s="163"/>
    </row>
    <row r="298" spans="1:18" ht="13.2">
      <c r="A298" s="375"/>
      <c r="B298" s="376" t="s">
        <v>273</v>
      </c>
      <c r="C298" s="165"/>
      <c r="D298" s="163"/>
      <c r="E298" s="165"/>
      <c r="F298" s="165">
        <v>434788</v>
      </c>
      <c r="G298" s="165"/>
      <c r="H298" s="163"/>
      <c r="I298" s="163"/>
      <c r="J298" s="165"/>
      <c r="K298" s="165">
        <v>300218</v>
      </c>
      <c r="L298" s="165"/>
      <c r="M298" s="163"/>
      <c r="N298" s="163"/>
      <c r="O298" s="165"/>
      <c r="P298" s="165">
        <v>176570</v>
      </c>
      <c r="Q298" s="165"/>
      <c r="R298" s="163"/>
    </row>
    <row r="299" spans="1:18" ht="13.2">
      <c r="A299" s="375"/>
      <c r="B299" s="376" t="s">
        <v>122</v>
      </c>
      <c r="C299" s="165"/>
      <c r="D299" s="163"/>
      <c r="E299" s="165"/>
      <c r="F299" s="165">
        <f>F300</f>
        <v>14000</v>
      </c>
      <c r="G299" s="165"/>
      <c r="H299" s="163"/>
      <c r="I299" s="163"/>
      <c r="J299" s="165"/>
      <c r="K299" s="165"/>
      <c r="L299" s="165"/>
      <c r="M299" s="163"/>
      <c r="N299" s="163"/>
      <c r="O299" s="165"/>
      <c r="P299" s="165"/>
      <c r="Q299" s="165"/>
      <c r="R299" s="163"/>
    </row>
    <row r="300" spans="1:18" ht="13.2">
      <c r="A300" s="377"/>
      <c r="B300" s="376" t="s">
        <v>123</v>
      </c>
      <c r="C300" s="165"/>
      <c r="D300" s="163"/>
      <c r="E300" s="165"/>
      <c r="F300" s="165">
        <v>14000</v>
      </c>
      <c r="G300" s="165"/>
      <c r="H300" s="163"/>
      <c r="I300" s="163"/>
      <c r="J300" s="165"/>
      <c r="K300" s="163"/>
      <c r="L300" s="163"/>
      <c r="M300" s="163"/>
      <c r="N300" s="163"/>
      <c r="O300" s="165"/>
      <c r="P300" s="163"/>
      <c r="Q300" s="163"/>
      <c r="R300" s="163"/>
    </row>
    <row r="301" spans="1:18" ht="26.4">
      <c r="A301" s="375" t="s">
        <v>324</v>
      </c>
      <c r="B301" s="594" t="s">
        <v>581</v>
      </c>
      <c r="C301" s="165"/>
      <c r="D301" s="163"/>
      <c r="E301" s="165"/>
      <c r="F301" s="165"/>
      <c r="G301" s="165"/>
      <c r="H301" s="163"/>
      <c r="I301" s="163"/>
      <c r="J301" s="165"/>
      <c r="K301" s="163"/>
      <c r="L301" s="163"/>
      <c r="M301" s="163"/>
      <c r="N301" s="163"/>
      <c r="O301" s="165"/>
      <c r="P301" s="163"/>
      <c r="Q301" s="163"/>
      <c r="R301" s="163"/>
    </row>
    <row r="302" spans="1:18" ht="13.2">
      <c r="A302" s="377"/>
      <c r="B302" s="376" t="s">
        <v>264</v>
      </c>
      <c r="C302" s="165"/>
      <c r="D302" s="163"/>
      <c r="E302" s="165"/>
      <c r="F302" s="165"/>
      <c r="G302" s="165">
        <f>G303</f>
        <v>372000</v>
      </c>
      <c r="H302" s="163"/>
      <c r="I302" s="163"/>
      <c r="J302" s="165"/>
      <c r="K302" s="163"/>
      <c r="L302" s="165">
        <f>L303</f>
        <v>372000</v>
      </c>
      <c r="M302" s="163"/>
      <c r="N302" s="163"/>
      <c r="O302" s="165"/>
      <c r="P302" s="163"/>
      <c r="Q302" s="165">
        <f>Q303</f>
        <v>372000</v>
      </c>
      <c r="R302" s="163"/>
    </row>
    <row r="303" spans="1:18" ht="13.2">
      <c r="A303" s="377"/>
      <c r="B303" s="376" t="s">
        <v>266</v>
      </c>
      <c r="C303" s="165"/>
      <c r="D303" s="163"/>
      <c r="E303" s="165"/>
      <c r="F303" s="165"/>
      <c r="G303" s="165">
        <f>G304</f>
        <v>372000</v>
      </c>
      <c r="H303" s="163"/>
      <c r="I303" s="163"/>
      <c r="J303" s="165"/>
      <c r="K303" s="163"/>
      <c r="L303" s="165">
        <f>L304</f>
        <v>372000</v>
      </c>
      <c r="M303" s="163"/>
      <c r="N303" s="163"/>
      <c r="O303" s="165"/>
      <c r="P303" s="163"/>
      <c r="Q303" s="165">
        <f>Q304</f>
        <v>372000</v>
      </c>
      <c r="R303" s="163"/>
    </row>
    <row r="304" spans="1:18" ht="26.4">
      <c r="A304" s="377"/>
      <c r="B304" s="376" t="s">
        <v>267</v>
      </c>
      <c r="C304" s="165"/>
      <c r="D304" s="163"/>
      <c r="E304" s="165"/>
      <c r="F304" s="165"/>
      <c r="G304" s="165">
        <v>372000</v>
      </c>
      <c r="H304" s="163"/>
      <c r="I304" s="163"/>
      <c r="J304" s="165"/>
      <c r="K304" s="163"/>
      <c r="L304" s="165">
        <v>372000</v>
      </c>
      <c r="M304" s="163"/>
      <c r="N304" s="163"/>
      <c r="O304" s="165"/>
      <c r="P304" s="163"/>
      <c r="Q304" s="165">
        <v>372000</v>
      </c>
      <c r="R304" s="163"/>
    </row>
    <row r="305" spans="1:18" ht="13.2">
      <c r="A305" s="377"/>
      <c r="B305" s="376" t="s">
        <v>268</v>
      </c>
      <c r="C305" s="165"/>
      <c r="D305" s="163"/>
      <c r="E305" s="165"/>
      <c r="F305" s="165"/>
      <c r="G305" s="165">
        <f>G306</f>
        <v>372000</v>
      </c>
      <c r="H305" s="163"/>
      <c r="I305" s="163"/>
      <c r="J305" s="165"/>
      <c r="K305" s="163"/>
      <c r="L305" s="165">
        <f>L306</f>
        <v>372000</v>
      </c>
      <c r="M305" s="163"/>
      <c r="N305" s="163"/>
      <c r="O305" s="165"/>
      <c r="P305" s="163"/>
      <c r="Q305" s="165">
        <f>Q306</f>
        <v>372000</v>
      </c>
      <c r="R305" s="163"/>
    </row>
    <row r="306" spans="1:18" ht="13.2">
      <c r="A306" s="377"/>
      <c r="B306" s="376" t="s">
        <v>269</v>
      </c>
      <c r="C306" s="165"/>
      <c r="D306" s="163"/>
      <c r="E306" s="165"/>
      <c r="F306" s="165"/>
      <c r="G306" s="165">
        <f>G307</f>
        <v>372000</v>
      </c>
      <c r="H306" s="163"/>
      <c r="I306" s="163"/>
      <c r="J306" s="165"/>
      <c r="K306" s="163"/>
      <c r="L306" s="165">
        <f>L307</f>
        <v>372000</v>
      </c>
      <c r="M306" s="163"/>
      <c r="N306" s="163"/>
      <c r="O306" s="165"/>
      <c r="P306" s="163"/>
      <c r="Q306" s="165">
        <f>Q307</f>
        <v>372000</v>
      </c>
      <c r="R306" s="163"/>
    </row>
    <row r="307" spans="1:18" ht="13.2">
      <c r="A307" s="377"/>
      <c r="B307" s="376" t="s">
        <v>270</v>
      </c>
      <c r="C307" s="165"/>
      <c r="D307" s="163"/>
      <c r="E307" s="165"/>
      <c r="F307" s="165"/>
      <c r="G307" s="165">
        <f>G308+G310</f>
        <v>372000</v>
      </c>
      <c r="H307" s="163"/>
      <c r="I307" s="163"/>
      <c r="J307" s="165"/>
      <c r="K307" s="163"/>
      <c r="L307" s="165">
        <f>L308+L310</f>
        <v>372000</v>
      </c>
      <c r="M307" s="163"/>
      <c r="N307" s="163"/>
      <c r="O307" s="165"/>
      <c r="P307" s="163"/>
      <c r="Q307" s="165">
        <f>Q308+Q310</f>
        <v>372000</v>
      </c>
      <c r="R307" s="163"/>
    </row>
    <row r="308" spans="1:18" ht="13.2">
      <c r="A308" s="377"/>
      <c r="B308" s="376" t="s">
        <v>271</v>
      </c>
      <c r="C308" s="165"/>
      <c r="D308" s="163"/>
      <c r="E308" s="165"/>
      <c r="F308" s="165"/>
      <c r="G308" s="165">
        <v>183800</v>
      </c>
      <c r="H308" s="163"/>
      <c r="I308" s="163"/>
      <c r="J308" s="165"/>
      <c r="K308" s="163"/>
      <c r="L308" s="165">
        <v>183800</v>
      </c>
      <c r="M308" s="163"/>
      <c r="N308" s="163"/>
      <c r="O308" s="165"/>
      <c r="P308" s="163"/>
      <c r="Q308" s="165">
        <v>183800</v>
      </c>
      <c r="R308" s="163"/>
    </row>
    <row r="309" spans="1:18" ht="13.2">
      <c r="A309" s="377"/>
      <c r="B309" s="376" t="s">
        <v>272</v>
      </c>
      <c r="C309" s="165"/>
      <c r="D309" s="163"/>
      <c r="E309" s="165"/>
      <c r="F309" s="165"/>
      <c r="G309" s="165">
        <v>126175</v>
      </c>
      <c r="H309" s="163"/>
      <c r="I309" s="163"/>
      <c r="J309" s="165"/>
      <c r="K309" s="163"/>
      <c r="L309" s="165">
        <v>126175</v>
      </c>
      <c r="M309" s="163"/>
      <c r="N309" s="163"/>
      <c r="O309" s="165"/>
      <c r="P309" s="163"/>
      <c r="Q309" s="165">
        <v>126175</v>
      </c>
      <c r="R309" s="163"/>
    </row>
    <row r="310" spans="1:18" ht="13.2">
      <c r="A310" s="377"/>
      <c r="B310" s="376" t="s">
        <v>273</v>
      </c>
      <c r="C310" s="165"/>
      <c r="D310" s="163"/>
      <c r="E310" s="165"/>
      <c r="F310" s="165"/>
      <c r="G310" s="165">
        <v>188200</v>
      </c>
      <c r="H310" s="163"/>
      <c r="I310" s="163"/>
      <c r="J310" s="165"/>
      <c r="K310" s="163"/>
      <c r="L310" s="165">
        <v>188200</v>
      </c>
      <c r="M310" s="163"/>
      <c r="N310" s="163"/>
      <c r="O310" s="165"/>
      <c r="P310" s="163"/>
      <c r="Q310" s="165">
        <v>188200</v>
      </c>
      <c r="R310" s="163"/>
    </row>
    <row r="311" spans="1:18" ht="26.4">
      <c r="A311" s="375" t="s">
        <v>326</v>
      </c>
      <c r="B311" s="594" t="s">
        <v>582</v>
      </c>
      <c r="C311" s="165"/>
      <c r="D311" s="163"/>
      <c r="E311" s="165"/>
      <c r="F311" s="165"/>
      <c r="G311" s="165"/>
      <c r="H311" s="163"/>
      <c r="I311" s="163"/>
      <c r="J311" s="165"/>
      <c r="K311" s="163"/>
      <c r="L311" s="163"/>
      <c r="M311" s="163"/>
      <c r="N311" s="163"/>
      <c r="O311" s="165"/>
      <c r="P311" s="163"/>
      <c r="Q311" s="163"/>
      <c r="R311" s="163"/>
    </row>
    <row r="312" spans="1:18" ht="13.2">
      <c r="A312" s="377"/>
      <c r="B312" s="376" t="s">
        <v>264</v>
      </c>
      <c r="C312" s="165"/>
      <c r="D312" s="163"/>
      <c r="E312" s="165"/>
      <c r="F312" s="165"/>
      <c r="G312" s="165">
        <f>G313</f>
        <v>111243</v>
      </c>
      <c r="H312" s="163"/>
      <c r="I312" s="163"/>
      <c r="J312" s="165"/>
      <c r="K312" s="163"/>
      <c r="L312" s="165">
        <f>L313</f>
        <v>111243</v>
      </c>
      <c r="M312" s="163"/>
      <c r="N312" s="163"/>
      <c r="O312" s="165"/>
      <c r="P312" s="163"/>
      <c r="Q312" s="165">
        <f>Q313</f>
        <v>111243</v>
      </c>
      <c r="R312" s="163"/>
    </row>
    <row r="313" spans="1:18" ht="13.2">
      <c r="A313" s="377"/>
      <c r="B313" s="376" t="s">
        <v>266</v>
      </c>
      <c r="C313" s="165"/>
      <c r="D313" s="163"/>
      <c r="E313" s="165"/>
      <c r="F313" s="165"/>
      <c r="G313" s="165">
        <f>G314</f>
        <v>111243</v>
      </c>
      <c r="H313" s="163"/>
      <c r="I313" s="163"/>
      <c r="J313" s="165"/>
      <c r="K313" s="163"/>
      <c r="L313" s="165">
        <f>L314</f>
        <v>111243</v>
      </c>
      <c r="M313" s="163"/>
      <c r="N313" s="163"/>
      <c r="O313" s="165"/>
      <c r="P313" s="163"/>
      <c r="Q313" s="165">
        <f>Q314</f>
        <v>111243</v>
      </c>
      <c r="R313" s="163"/>
    </row>
    <row r="314" spans="1:18" ht="26.4">
      <c r="A314" s="377"/>
      <c r="B314" s="376" t="s">
        <v>267</v>
      </c>
      <c r="C314" s="165"/>
      <c r="D314" s="163"/>
      <c r="E314" s="165"/>
      <c r="F314" s="165"/>
      <c r="G314" s="165">
        <v>111243</v>
      </c>
      <c r="H314" s="163"/>
      <c r="I314" s="163"/>
      <c r="J314" s="165"/>
      <c r="K314" s="163"/>
      <c r="L314" s="165">
        <v>111243</v>
      </c>
      <c r="M314" s="163"/>
      <c r="N314" s="163"/>
      <c r="O314" s="165"/>
      <c r="P314" s="163"/>
      <c r="Q314" s="165">
        <v>111243</v>
      </c>
      <c r="R314" s="163"/>
    </row>
    <row r="315" spans="1:18" ht="13.2">
      <c r="A315" s="377"/>
      <c r="B315" s="376" t="s">
        <v>268</v>
      </c>
      <c r="C315" s="165"/>
      <c r="D315" s="163"/>
      <c r="E315" s="165"/>
      <c r="F315" s="165"/>
      <c r="G315" s="165">
        <f>G316</f>
        <v>111243</v>
      </c>
      <c r="H315" s="163"/>
      <c r="I315" s="163"/>
      <c r="J315" s="165"/>
      <c r="K315" s="163"/>
      <c r="L315" s="165">
        <f>L316</f>
        <v>111243</v>
      </c>
      <c r="M315" s="163"/>
      <c r="N315" s="163"/>
      <c r="O315" s="165"/>
      <c r="P315" s="163"/>
      <c r="Q315" s="165">
        <f>Q316</f>
        <v>111243</v>
      </c>
      <c r="R315" s="163"/>
    </row>
    <row r="316" spans="1:18" ht="13.2">
      <c r="A316" s="377"/>
      <c r="B316" s="376" t="s">
        <v>269</v>
      </c>
      <c r="C316" s="165"/>
      <c r="D316" s="163"/>
      <c r="E316" s="165"/>
      <c r="F316" s="165"/>
      <c r="G316" s="165">
        <f>G317</f>
        <v>111243</v>
      </c>
      <c r="H316" s="163"/>
      <c r="I316" s="163"/>
      <c r="J316" s="165"/>
      <c r="K316" s="163"/>
      <c r="L316" s="165">
        <f>L317</f>
        <v>111243</v>
      </c>
      <c r="M316" s="163"/>
      <c r="N316" s="163"/>
      <c r="O316" s="165"/>
      <c r="P316" s="163"/>
      <c r="Q316" s="165">
        <f>Q317</f>
        <v>111243</v>
      </c>
      <c r="R316" s="163"/>
    </row>
    <row r="317" spans="1:18" ht="13.2">
      <c r="A317" s="377"/>
      <c r="B317" s="376" t="s">
        <v>270</v>
      </c>
      <c r="C317" s="165"/>
      <c r="D317" s="163"/>
      <c r="E317" s="165"/>
      <c r="F317" s="165"/>
      <c r="G317" s="165">
        <f>G318</f>
        <v>111243</v>
      </c>
      <c r="H317" s="163"/>
      <c r="I317" s="163"/>
      <c r="J317" s="165"/>
      <c r="K317" s="163"/>
      <c r="L317" s="165">
        <f>L318</f>
        <v>111243</v>
      </c>
      <c r="M317" s="163"/>
      <c r="N317" s="163"/>
      <c r="O317" s="165"/>
      <c r="P317" s="163"/>
      <c r="Q317" s="165">
        <f>Q318</f>
        <v>111243</v>
      </c>
      <c r="R317" s="163"/>
    </row>
    <row r="318" spans="1:18" ht="13.2">
      <c r="A318" s="377"/>
      <c r="B318" s="376" t="s">
        <v>273</v>
      </c>
      <c r="C318" s="165"/>
      <c r="D318" s="163"/>
      <c r="E318" s="165"/>
      <c r="F318" s="165"/>
      <c r="G318" s="165">
        <v>111243</v>
      </c>
      <c r="H318" s="163"/>
      <c r="I318" s="163"/>
      <c r="J318" s="165"/>
      <c r="K318" s="163"/>
      <c r="L318" s="165">
        <v>111243</v>
      </c>
      <c r="M318" s="163"/>
      <c r="N318" s="163"/>
      <c r="O318" s="165"/>
      <c r="P318" s="163"/>
      <c r="Q318" s="165">
        <v>111243</v>
      </c>
      <c r="R318" s="163"/>
    </row>
    <row r="319" spans="1:18" ht="26.4">
      <c r="A319" s="375" t="s">
        <v>327</v>
      </c>
      <c r="B319" s="594" t="s">
        <v>583</v>
      </c>
      <c r="C319" s="165"/>
      <c r="D319" s="163"/>
      <c r="E319" s="165"/>
      <c r="F319" s="165"/>
      <c r="G319" s="165"/>
      <c r="H319" s="163"/>
      <c r="I319" s="163"/>
      <c r="J319" s="165"/>
      <c r="K319" s="163"/>
      <c r="L319" s="163"/>
      <c r="M319" s="163"/>
      <c r="N319" s="163"/>
      <c r="O319" s="165"/>
      <c r="P319" s="163"/>
      <c r="Q319" s="163"/>
      <c r="R319" s="163"/>
    </row>
    <row r="320" spans="1:18" ht="13.2">
      <c r="A320" s="377"/>
      <c r="B320" s="376" t="s">
        <v>264</v>
      </c>
      <c r="C320" s="165"/>
      <c r="D320" s="163"/>
      <c r="E320" s="165"/>
      <c r="F320" s="165"/>
      <c r="G320" s="165">
        <f>G321</f>
        <v>35532</v>
      </c>
      <c r="H320" s="165"/>
      <c r="I320" s="165"/>
      <c r="J320" s="165"/>
      <c r="K320" s="165"/>
      <c r="L320" s="165">
        <f>L321</f>
        <v>208636</v>
      </c>
      <c r="M320" s="165"/>
      <c r="N320" s="165"/>
      <c r="O320" s="165"/>
      <c r="P320" s="165"/>
      <c r="Q320" s="165">
        <f>Q321</f>
        <v>55832</v>
      </c>
      <c r="R320" s="163"/>
    </row>
    <row r="321" spans="1:18" ht="13.2">
      <c r="A321" s="377"/>
      <c r="B321" s="376" t="s">
        <v>266</v>
      </c>
      <c r="C321" s="165"/>
      <c r="D321" s="163"/>
      <c r="E321" s="165"/>
      <c r="F321" s="165"/>
      <c r="G321" s="165">
        <f>G322</f>
        <v>35532</v>
      </c>
      <c r="H321" s="165"/>
      <c r="I321" s="165"/>
      <c r="J321" s="165"/>
      <c r="K321" s="165"/>
      <c r="L321" s="165">
        <f>L322</f>
        <v>208636</v>
      </c>
      <c r="M321" s="165"/>
      <c r="N321" s="165"/>
      <c r="O321" s="165"/>
      <c r="P321" s="165"/>
      <c r="Q321" s="165">
        <f>Q322</f>
        <v>55832</v>
      </c>
      <c r="R321" s="163"/>
    </row>
    <row r="322" spans="1:18" ht="26.4">
      <c r="A322" s="377"/>
      <c r="B322" s="376" t="s">
        <v>267</v>
      </c>
      <c r="C322" s="165"/>
      <c r="D322" s="163"/>
      <c r="E322" s="165"/>
      <c r="F322" s="165"/>
      <c r="G322" s="165">
        <v>35532</v>
      </c>
      <c r="H322" s="165"/>
      <c r="I322" s="165"/>
      <c r="J322" s="165"/>
      <c r="K322" s="165"/>
      <c r="L322" s="165">
        <v>208636</v>
      </c>
      <c r="M322" s="165"/>
      <c r="N322" s="165"/>
      <c r="O322" s="165"/>
      <c r="P322" s="165"/>
      <c r="Q322" s="165">
        <v>55832</v>
      </c>
      <c r="R322" s="163"/>
    </row>
    <row r="323" spans="1:18" ht="13.2">
      <c r="A323" s="377"/>
      <c r="B323" s="376" t="s">
        <v>268</v>
      </c>
      <c r="C323" s="165"/>
      <c r="D323" s="163"/>
      <c r="E323" s="165"/>
      <c r="F323" s="165"/>
      <c r="G323" s="165">
        <f>G324</f>
        <v>35532</v>
      </c>
      <c r="H323" s="165"/>
      <c r="I323" s="165"/>
      <c r="J323" s="165"/>
      <c r="K323" s="165"/>
      <c r="L323" s="165">
        <f>L324</f>
        <v>208636</v>
      </c>
      <c r="M323" s="165"/>
      <c r="N323" s="165"/>
      <c r="O323" s="165"/>
      <c r="P323" s="165"/>
      <c r="Q323" s="165">
        <f>Q324</f>
        <v>55832</v>
      </c>
      <c r="R323" s="163"/>
    </row>
    <row r="324" spans="1:18" ht="13.2">
      <c r="A324" s="377"/>
      <c r="B324" s="376" t="s">
        <v>269</v>
      </c>
      <c r="C324" s="165"/>
      <c r="D324" s="163"/>
      <c r="E324" s="165"/>
      <c r="F324" s="165"/>
      <c r="G324" s="165">
        <f>G325</f>
        <v>35532</v>
      </c>
      <c r="H324" s="165"/>
      <c r="I324" s="165"/>
      <c r="J324" s="165"/>
      <c r="K324" s="165"/>
      <c r="L324" s="165">
        <f>L325</f>
        <v>208636</v>
      </c>
      <c r="M324" s="165"/>
      <c r="N324" s="165"/>
      <c r="O324" s="165"/>
      <c r="P324" s="165"/>
      <c r="Q324" s="165">
        <f>Q325</f>
        <v>55832</v>
      </c>
      <c r="R324" s="163"/>
    </row>
    <row r="325" spans="1:18" ht="13.2">
      <c r="A325" s="377"/>
      <c r="B325" s="376" t="s">
        <v>270</v>
      </c>
      <c r="C325" s="165"/>
      <c r="D325" s="163"/>
      <c r="E325" s="165"/>
      <c r="F325" s="165"/>
      <c r="G325" s="165">
        <f>G326+G328</f>
        <v>35532</v>
      </c>
      <c r="H325" s="165"/>
      <c r="I325" s="165"/>
      <c r="J325" s="165"/>
      <c r="K325" s="165"/>
      <c r="L325" s="165">
        <f>L326+L328</f>
        <v>208636</v>
      </c>
      <c r="M325" s="165"/>
      <c r="N325" s="165"/>
      <c r="O325" s="165"/>
      <c r="P325" s="165"/>
      <c r="Q325" s="165">
        <f>Q326+Q328</f>
        <v>55832</v>
      </c>
      <c r="R325" s="163"/>
    </row>
    <row r="326" spans="1:18" ht="13.2">
      <c r="A326" s="377"/>
      <c r="B326" s="376" t="s">
        <v>271</v>
      </c>
      <c r="C326" s="165"/>
      <c r="D326" s="163"/>
      <c r="E326" s="165"/>
      <c r="F326" s="165"/>
      <c r="G326" s="165">
        <v>4467</v>
      </c>
      <c r="H326" s="165"/>
      <c r="I326" s="165"/>
      <c r="J326" s="165"/>
      <c r="K326" s="165"/>
      <c r="L326" s="165">
        <v>8935</v>
      </c>
      <c r="M326" s="165"/>
      <c r="N326" s="165"/>
      <c r="O326" s="165"/>
      <c r="P326" s="165"/>
      <c r="Q326" s="165">
        <v>4467</v>
      </c>
      <c r="R326" s="163"/>
    </row>
    <row r="327" spans="1:18" ht="13.2">
      <c r="A327" s="377"/>
      <c r="B327" s="376" t="s">
        <v>272</v>
      </c>
      <c r="C327" s="165"/>
      <c r="D327" s="163"/>
      <c r="E327" s="165"/>
      <c r="F327" s="165"/>
      <c r="G327" s="165">
        <v>3600</v>
      </c>
      <c r="H327" s="165"/>
      <c r="I327" s="165"/>
      <c r="J327" s="165"/>
      <c r="K327" s="165"/>
      <c r="L327" s="165">
        <v>7200</v>
      </c>
      <c r="M327" s="165"/>
      <c r="N327" s="165"/>
      <c r="O327" s="165"/>
      <c r="P327" s="165"/>
      <c r="Q327" s="165">
        <v>3600</v>
      </c>
      <c r="R327" s="163"/>
    </row>
    <row r="328" spans="1:18" ht="13.2">
      <c r="A328" s="377"/>
      <c r="B328" s="376" t="s">
        <v>273</v>
      </c>
      <c r="C328" s="165"/>
      <c r="D328" s="163"/>
      <c r="E328" s="165"/>
      <c r="F328" s="165"/>
      <c r="G328" s="165">
        <v>31065</v>
      </c>
      <c r="H328" s="165"/>
      <c r="I328" s="165"/>
      <c r="J328" s="165"/>
      <c r="K328" s="165"/>
      <c r="L328" s="165">
        <v>199701</v>
      </c>
      <c r="M328" s="165"/>
      <c r="N328" s="165"/>
      <c r="O328" s="165"/>
      <c r="P328" s="165"/>
      <c r="Q328" s="165">
        <v>51365</v>
      </c>
      <c r="R328" s="163"/>
    </row>
    <row r="329" spans="1:18" ht="52.8">
      <c r="A329" s="375" t="s">
        <v>328</v>
      </c>
      <c r="B329" s="594" t="s">
        <v>584</v>
      </c>
      <c r="C329" s="165"/>
      <c r="D329" s="163"/>
      <c r="E329" s="165"/>
      <c r="F329" s="165"/>
      <c r="G329" s="165"/>
      <c r="H329" s="163"/>
      <c r="I329" s="163"/>
      <c r="J329" s="165"/>
      <c r="K329" s="163"/>
      <c r="L329" s="163"/>
      <c r="M329" s="163"/>
      <c r="N329" s="163"/>
      <c r="O329" s="165"/>
      <c r="P329" s="163"/>
      <c r="Q329" s="163"/>
      <c r="R329" s="163"/>
    </row>
    <row r="330" spans="1:18" ht="13.2">
      <c r="A330" s="377"/>
      <c r="B330" s="376" t="s">
        <v>264</v>
      </c>
      <c r="C330" s="165"/>
      <c r="D330" s="163"/>
      <c r="E330" s="165"/>
      <c r="F330" s="165"/>
      <c r="G330" s="165">
        <f>G331</f>
        <v>24570</v>
      </c>
      <c r="H330" s="163"/>
      <c r="I330" s="163"/>
      <c r="J330" s="165"/>
      <c r="K330" s="163"/>
      <c r="L330" s="163"/>
      <c r="M330" s="163"/>
      <c r="N330" s="163"/>
      <c r="O330" s="165"/>
      <c r="P330" s="163"/>
      <c r="Q330" s="163"/>
      <c r="R330" s="163"/>
    </row>
    <row r="331" spans="1:18" ht="13.2">
      <c r="A331" s="377"/>
      <c r="B331" s="376" t="s">
        <v>266</v>
      </c>
      <c r="C331" s="165"/>
      <c r="D331" s="163"/>
      <c r="E331" s="165"/>
      <c r="F331" s="165"/>
      <c r="G331" s="165">
        <f>G332</f>
        <v>24570</v>
      </c>
      <c r="H331" s="163"/>
      <c r="I331" s="163"/>
      <c r="J331" s="165"/>
      <c r="K331" s="163"/>
      <c r="L331" s="163"/>
      <c r="M331" s="163"/>
      <c r="N331" s="163"/>
      <c r="O331" s="165"/>
      <c r="P331" s="163"/>
      <c r="Q331" s="163"/>
      <c r="R331" s="163"/>
    </row>
    <row r="332" spans="1:18" ht="26.4">
      <c r="A332" s="377"/>
      <c r="B332" s="376" t="s">
        <v>267</v>
      </c>
      <c r="C332" s="165"/>
      <c r="D332" s="163"/>
      <c r="E332" s="165"/>
      <c r="F332" s="165"/>
      <c r="G332" s="165">
        <v>24570</v>
      </c>
      <c r="H332" s="163"/>
      <c r="I332" s="163"/>
      <c r="J332" s="165"/>
      <c r="K332" s="163"/>
      <c r="L332" s="163"/>
      <c r="M332" s="163"/>
      <c r="N332" s="163"/>
      <c r="O332" s="165"/>
      <c r="P332" s="163"/>
      <c r="Q332" s="163"/>
      <c r="R332" s="163"/>
    </row>
    <row r="333" spans="1:18" ht="13.2">
      <c r="A333" s="377"/>
      <c r="B333" s="376" t="s">
        <v>268</v>
      </c>
      <c r="C333" s="165"/>
      <c r="D333" s="163"/>
      <c r="E333" s="165"/>
      <c r="F333" s="165"/>
      <c r="G333" s="165">
        <f>G334</f>
        <v>24570</v>
      </c>
      <c r="H333" s="165"/>
      <c r="I333" s="165"/>
      <c r="J333" s="165"/>
      <c r="K333" s="165"/>
      <c r="L333" s="165"/>
      <c r="M333" s="165"/>
      <c r="N333" s="165"/>
      <c r="O333" s="165"/>
      <c r="P333" s="165"/>
      <c r="Q333" s="165"/>
      <c r="R333" s="163"/>
    </row>
    <row r="334" spans="1:18" ht="13.2">
      <c r="A334" s="377"/>
      <c r="B334" s="376" t="s">
        <v>269</v>
      </c>
      <c r="C334" s="165"/>
      <c r="D334" s="163"/>
      <c r="E334" s="165"/>
      <c r="F334" s="165"/>
      <c r="G334" s="165">
        <f>G335</f>
        <v>24570</v>
      </c>
      <c r="H334" s="165"/>
      <c r="I334" s="165"/>
      <c r="J334" s="165"/>
      <c r="K334" s="165"/>
      <c r="L334" s="165"/>
      <c r="M334" s="165"/>
      <c r="N334" s="165"/>
      <c r="O334" s="165"/>
      <c r="P334" s="165"/>
      <c r="Q334" s="165"/>
      <c r="R334" s="163"/>
    </row>
    <row r="335" spans="1:18" ht="13.2">
      <c r="A335" s="377"/>
      <c r="B335" s="376" t="s">
        <v>270</v>
      </c>
      <c r="C335" s="165"/>
      <c r="D335" s="163"/>
      <c r="E335" s="165"/>
      <c r="F335" s="165"/>
      <c r="G335" s="165">
        <f>G336</f>
        <v>24570</v>
      </c>
      <c r="H335" s="165"/>
      <c r="I335" s="165"/>
      <c r="J335" s="165"/>
      <c r="K335" s="165"/>
      <c r="L335" s="165"/>
      <c r="M335" s="165"/>
      <c r="N335" s="165"/>
      <c r="O335" s="165"/>
      <c r="P335" s="165"/>
      <c r="Q335" s="165"/>
      <c r="R335" s="163"/>
    </row>
    <row r="336" spans="1:18" ht="13.2">
      <c r="A336" s="377"/>
      <c r="B336" s="376" t="s">
        <v>271</v>
      </c>
      <c r="C336" s="165"/>
      <c r="D336" s="163"/>
      <c r="E336" s="165"/>
      <c r="F336" s="165"/>
      <c r="G336" s="165">
        <v>24570</v>
      </c>
      <c r="H336" s="165"/>
      <c r="I336" s="165"/>
      <c r="J336" s="165"/>
      <c r="K336" s="165"/>
      <c r="L336" s="165"/>
      <c r="M336" s="165"/>
      <c r="N336" s="165"/>
      <c r="O336" s="165"/>
      <c r="P336" s="165"/>
      <c r="Q336" s="165"/>
      <c r="R336" s="163"/>
    </row>
    <row r="337" spans="1:18" ht="13.2">
      <c r="A337" s="377"/>
      <c r="B337" s="376" t="s">
        <v>272</v>
      </c>
      <c r="C337" s="165"/>
      <c r="D337" s="163"/>
      <c r="E337" s="165"/>
      <c r="F337" s="165"/>
      <c r="G337" s="165">
        <v>19800</v>
      </c>
      <c r="H337" s="165"/>
      <c r="I337" s="165"/>
      <c r="J337" s="165"/>
      <c r="K337" s="165"/>
      <c r="L337" s="165"/>
      <c r="M337" s="165"/>
      <c r="N337" s="165"/>
      <c r="O337" s="165"/>
      <c r="P337" s="165"/>
      <c r="Q337" s="165"/>
      <c r="R337" s="163"/>
    </row>
    <row r="338" spans="1:18" ht="13.2">
      <c r="A338" s="369" t="s">
        <v>245</v>
      </c>
      <c r="B338" s="370" t="s">
        <v>140</v>
      </c>
      <c r="C338" s="165"/>
      <c r="D338" s="163"/>
      <c r="E338" s="165"/>
      <c r="F338" s="163"/>
      <c r="G338" s="163"/>
      <c r="H338" s="163"/>
      <c r="I338" s="163"/>
      <c r="J338" s="165"/>
      <c r="K338" s="163"/>
      <c r="L338" s="163"/>
      <c r="M338" s="163"/>
      <c r="N338" s="163"/>
      <c r="O338" s="165"/>
      <c r="P338" s="163"/>
      <c r="Q338" s="163"/>
      <c r="R338" s="163"/>
    </row>
    <row r="339" spans="1:18" ht="13.2">
      <c r="A339" s="371"/>
      <c r="B339" s="372" t="s">
        <v>238</v>
      </c>
      <c r="C339" s="165"/>
      <c r="D339" s="163"/>
      <c r="E339" s="165"/>
      <c r="F339" s="163"/>
      <c r="G339" s="163"/>
      <c r="H339" s="163"/>
      <c r="I339" s="163"/>
      <c r="J339" s="165"/>
      <c r="K339" s="163"/>
      <c r="L339" s="163"/>
      <c r="M339" s="163"/>
      <c r="N339" s="163"/>
      <c r="O339" s="165"/>
      <c r="P339" s="163"/>
      <c r="Q339" s="163"/>
      <c r="R339" s="163"/>
    </row>
    <row r="340" spans="1:18" ht="13.2">
      <c r="A340" s="373" t="s">
        <v>223</v>
      </c>
      <c r="B340" s="374" t="s">
        <v>434</v>
      </c>
      <c r="C340" s="165"/>
      <c r="D340" s="163"/>
      <c r="E340" s="165"/>
      <c r="F340" s="163"/>
      <c r="G340" s="163"/>
      <c r="H340" s="163"/>
      <c r="I340" s="163"/>
      <c r="J340" s="165"/>
      <c r="K340" s="163"/>
      <c r="L340" s="163"/>
      <c r="M340" s="163"/>
      <c r="N340" s="163"/>
      <c r="O340" s="165"/>
      <c r="P340" s="163"/>
      <c r="Q340" s="163"/>
      <c r="R340" s="163"/>
    </row>
    <row r="341" spans="1:18" ht="39.6">
      <c r="A341" s="375" t="s">
        <v>240</v>
      </c>
      <c r="B341" s="530" t="s">
        <v>585</v>
      </c>
      <c r="C341" s="165"/>
      <c r="D341" s="163"/>
      <c r="E341" s="165"/>
      <c r="F341" s="163"/>
      <c r="G341" s="163"/>
      <c r="H341" s="163"/>
      <c r="I341" s="163"/>
      <c r="J341" s="165"/>
      <c r="K341" s="163"/>
      <c r="L341" s="163"/>
      <c r="M341" s="163"/>
      <c r="N341" s="163"/>
      <c r="O341" s="165"/>
      <c r="P341" s="163"/>
      <c r="Q341" s="163"/>
      <c r="R341" s="163"/>
    </row>
    <row r="342" spans="1:18" ht="13.2">
      <c r="A342" s="375"/>
      <c r="B342" s="376" t="s">
        <v>264</v>
      </c>
      <c r="C342" s="165"/>
      <c r="D342" s="163"/>
      <c r="E342" s="165">
        <f>E343</f>
        <v>2265007</v>
      </c>
      <c r="F342" s="163"/>
      <c r="G342" s="163"/>
      <c r="H342" s="163"/>
      <c r="I342" s="163"/>
      <c r="J342" s="165">
        <f>J343</f>
        <v>2873774</v>
      </c>
      <c r="K342" s="163"/>
      <c r="L342" s="163"/>
      <c r="M342" s="163"/>
      <c r="N342" s="163"/>
      <c r="O342" s="165">
        <f>O343</f>
        <v>3034184</v>
      </c>
      <c r="P342" s="163"/>
      <c r="Q342" s="163"/>
      <c r="R342" s="163"/>
    </row>
    <row r="343" spans="1:18" ht="13.2">
      <c r="A343" s="375"/>
      <c r="B343" s="376" t="s">
        <v>266</v>
      </c>
      <c r="C343" s="165"/>
      <c r="D343" s="163"/>
      <c r="E343" s="165">
        <f>E344</f>
        <v>2265007</v>
      </c>
      <c r="F343" s="163"/>
      <c r="G343" s="163"/>
      <c r="H343" s="163"/>
      <c r="I343" s="163"/>
      <c r="J343" s="165">
        <f>J344</f>
        <v>2873774</v>
      </c>
      <c r="K343" s="163"/>
      <c r="L343" s="163"/>
      <c r="M343" s="163"/>
      <c r="N343" s="163"/>
      <c r="O343" s="165">
        <f>O344</f>
        <v>3034184</v>
      </c>
      <c r="P343" s="163"/>
      <c r="Q343" s="163"/>
      <c r="R343" s="163"/>
    </row>
    <row r="344" spans="1:18" ht="26.4">
      <c r="A344" s="375"/>
      <c r="B344" s="376" t="s">
        <v>267</v>
      </c>
      <c r="C344" s="165"/>
      <c r="D344" s="163"/>
      <c r="E344" s="165">
        <v>2265007</v>
      </c>
      <c r="F344" s="163"/>
      <c r="G344" s="163"/>
      <c r="H344" s="163"/>
      <c r="I344" s="163"/>
      <c r="J344" s="165">
        <v>2873774</v>
      </c>
      <c r="K344" s="163"/>
      <c r="L344" s="163"/>
      <c r="M344" s="163"/>
      <c r="N344" s="163"/>
      <c r="O344" s="165">
        <v>3034184</v>
      </c>
      <c r="P344" s="163"/>
      <c r="Q344" s="163"/>
      <c r="R344" s="163"/>
    </row>
    <row r="345" spans="1:18" ht="13.2">
      <c r="A345" s="375"/>
      <c r="B345" s="376" t="s">
        <v>268</v>
      </c>
      <c r="C345" s="165"/>
      <c r="D345" s="163"/>
      <c r="E345" s="165">
        <f>E346+E353</f>
        <v>2265007</v>
      </c>
      <c r="F345" s="163"/>
      <c r="G345" s="163"/>
      <c r="H345" s="163"/>
      <c r="I345" s="163"/>
      <c r="J345" s="165">
        <f>J346+J353</f>
        <v>2873774</v>
      </c>
      <c r="K345" s="163"/>
      <c r="L345" s="163"/>
      <c r="M345" s="163"/>
      <c r="N345" s="163"/>
      <c r="O345" s="165">
        <f>O346+O353</f>
        <v>3034184</v>
      </c>
      <c r="P345" s="163"/>
      <c r="Q345" s="163"/>
      <c r="R345" s="163"/>
    </row>
    <row r="346" spans="1:18" ht="13.2">
      <c r="A346" s="375"/>
      <c r="B346" s="376" t="s">
        <v>269</v>
      </c>
      <c r="C346" s="165"/>
      <c r="D346" s="163"/>
      <c r="E346" s="165">
        <f>E347+E351</f>
        <v>2263207</v>
      </c>
      <c r="F346" s="163"/>
      <c r="G346" s="163"/>
      <c r="H346" s="163"/>
      <c r="I346" s="163"/>
      <c r="J346" s="165">
        <f>J347+J351</f>
        <v>2873774</v>
      </c>
      <c r="K346" s="163"/>
      <c r="L346" s="163"/>
      <c r="M346" s="163"/>
      <c r="N346" s="163"/>
      <c r="O346" s="165">
        <f>O347+O351</f>
        <v>3034184</v>
      </c>
      <c r="P346" s="163"/>
      <c r="Q346" s="163"/>
      <c r="R346" s="163"/>
    </row>
    <row r="347" spans="1:18" ht="13.2">
      <c r="A347" s="375"/>
      <c r="B347" s="376" t="s">
        <v>270</v>
      </c>
      <c r="C347" s="165"/>
      <c r="D347" s="163"/>
      <c r="E347" s="165">
        <f>E348+E350</f>
        <v>234318</v>
      </c>
      <c r="F347" s="163"/>
      <c r="G347" s="163"/>
      <c r="H347" s="163"/>
      <c r="I347" s="163"/>
      <c r="J347" s="165">
        <f>J348+J350</f>
        <v>210958</v>
      </c>
      <c r="K347" s="163"/>
      <c r="L347" s="163"/>
      <c r="M347" s="163"/>
      <c r="N347" s="163"/>
      <c r="O347" s="165">
        <f>O348+O350</f>
        <v>142000</v>
      </c>
      <c r="P347" s="163"/>
      <c r="Q347" s="163"/>
      <c r="R347" s="163"/>
    </row>
    <row r="348" spans="1:18" ht="13.2">
      <c r="A348" s="375"/>
      <c r="B348" s="376" t="s">
        <v>271</v>
      </c>
      <c r="C348" s="165"/>
      <c r="D348" s="163"/>
      <c r="E348" s="165">
        <v>133118</v>
      </c>
      <c r="F348" s="163"/>
      <c r="G348" s="163"/>
      <c r="H348" s="163"/>
      <c r="I348" s="163"/>
      <c r="J348" s="165">
        <v>133118</v>
      </c>
      <c r="K348" s="163"/>
      <c r="L348" s="163"/>
      <c r="M348" s="163"/>
      <c r="N348" s="163"/>
      <c r="O348" s="165">
        <v>92000</v>
      </c>
      <c r="P348" s="163"/>
      <c r="Q348" s="163"/>
      <c r="R348" s="163"/>
    </row>
    <row r="349" spans="1:18" ht="13.2">
      <c r="A349" s="375"/>
      <c r="B349" s="376" t="s">
        <v>272</v>
      </c>
      <c r="C349" s="165"/>
      <c r="D349" s="163"/>
      <c r="E349" s="165">
        <v>100558</v>
      </c>
      <c r="F349" s="163"/>
      <c r="G349" s="163"/>
      <c r="H349" s="163"/>
      <c r="I349" s="163"/>
      <c r="J349" s="165">
        <v>100558</v>
      </c>
      <c r="K349" s="163"/>
      <c r="L349" s="163"/>
      <c r="M349" s="163"/>
      <c r="N349" s="163"/>
      <c r="O349" s="165">
        <v>69000</v>
      </c>
      <c r="P349" s="163"/>
      <c r="Q349" s="163"/>
      <c r="R349" s="163"/>
    </row>
    <row r="350" spans="1:18" ht="13.2">
      <c r="A350" s="375"/>
      <c r="B350" s="376" t="s">
        <v>273</v>
      </c>
      <c r="C350" s="165"/>
      <c r="D350" s="163"/>
      <c r="E350" s="165">
        <v>101200</v>
      </c>
      <c r="F350" s="163"/>
      <c r="G350" s="163"/>
      <c r="H350" s="163"/>
      <c r="I350" s="163"/>
      <c r="J350" s="165">
        <v>77840</v>
      </c>
      <c r="K350" s="163"/>
      <c r="L350" s="163"/>
      <c r="M350" s="163"/>
      <c r="N350" s="163"/>
      <c r="O350" s="165">
        <v>50000</v>
      </c>
      <c r="P350" s="163"/>
      <c r="Q350" s="163"/>
      <c r="R350" s="163"/>
    </row>
    <row r="351" spans="1:18" ht="26.4">
      <c r="A351" s="375"/>
      <c r="B351" s="376" t="s">
        <v>586</v>
      </c>
      <c r="C351" s="165"/>
      <c r="D351" s="163"/>
      <c r="E351" s="165">
        <f>E352</f>
        <v>2028889</v>
      </c>
      <c r="F351" s="163"/>
      <c r="G351" s="163"/>
      <c r="H351" s="163"/>
      <c r="I351" s="163"/>
      <c r="J351" s="165">
        <f>J352</f>
        <v>2662816</v>
      </c>
      <c r="K351" s="163"/>
      <c r="L351" s="163"/>
      <c r="M351" s="163"/>
      <c r="N351" s="163"/>
      <c r="O351" s="165">
        <f>O352</f>
        <v>2892184</v>
      </c>
      <c r="P351" s="163"/>
      <c r="Q351" s="163"/>
      <c r="R351" s="163"/>
    </row>
    <row r="352" spans="1:18" ht="13.2">
      <c r="A352" s="375"/>
      <c r="B352" s="376" t="s">
        <v>587</v>
      </c>
      <c r="C352" s="165"/>
      <c r="D352" s="163"/>
      <c r="E352" s="165">
        <v>2028889</v>
      </c>
      <c r="F352" s="163"/>
      <c r="G352" s="163"/>
      <c r="H352" s="163"/>
      <c r="I352" s="163"/>
      <c r="J352" s="165">
        <v>2662816</v>
      </c>
      <c r="K352" s="163"/>
      <c r="L352" s="163"/>
      <c r="M352" s="163"/>
      <c r="N352" s="163"/>
      <c r="O352" s="165">
        <v>2892184</v>
      </c>
      <c r="P352" s="163"/>
      <c r="Q352" s="163"/>
      <c r="R352" s="163"/>
    </row>
    <row r="353" spans="1:18" ht="13.2">
      <c r="A353" s="375"/>
      <c r="B353" s="376" t="s">
        <v>122</v>
      </c>
      <c r="C353" s="165"/>
      <c r="D353" s="163"/>
      <c r="E353" s="165">
        <f>E354</f>
        <v>1800</v>
      </c>
      <c r="F353" s="163"/>
      <c r="G353" s="163"/>
      <c r="H353" s="163"/>
      <c r="I353" s="163"/>
      <c r="J353" s="165">
        <f>J354</f>
        <v>0</v>
      </c>
      <c r="K353" s="163"/>
      <c r="L353" s="163"/>
      <c r="M353" s="163"/>
      <c r="N353" s="163"/>
      <c r="O353" s="165">
        <f>O354</f>
        <v>0</v>
      </c>
      <c r="P353" s="163"/>
      <c r="Q353" s="163"/>
      <c r="R353" s="163"/>
    </row>
    <row r="354" spans="1:18" ht="13.2">
      <c r="A354" s="375"/>
      <c r="B354" s="376" t="s">
        <v>123</v>
      </c>
      <c r="C354" s="165"/>
      <c r="D354" s="163"/>
      <c r="E354" s="165">
        <v>1800</v>
      </c>
      <c r="F354" s="163"/>
      <c r="G354" s="163"/>
      <c r="H354" s="163"/>
      <c r="I354" s="163"/>
      <c r="J354" s="165"/>
      <c r="K354" s="163"/>
      <c r="L354" s="163"/>
      <c r="M354" s="163"/>
      <c r="N354" s="163"/>
      <c r="O354" s="165"/>
      <c r="P354" s="163"/>
      <c r="Q354" s="163"/>
      <c r="R354" s="163"/>
    </row>
    <row r="355" spans="1:18" ht="66">
      <c r="A355" s="375" t="s">
        <v>253</v>
      </c>
      <c r="B355" s="530" t="s">
        <v>588</v>
      </c>
      <c r="C355" s="165"/>
      <c r="D355" s="163"/>
      <c r="E355" s="165"/>
      <c r="F355" s="163"/>
      <c r="G355" s="163"/>
      <c r="H355" s="163"/>
      <c r="I355" s="163"/>
      <c r="J355" s="165"/>
      <c r="K355" s="163"/>
      <c r="L355" s="163"/>
      <c r="M355" s="163"/>
      <c r="N355" s="163"/>
      <c r="O355" s="165"/>
      <c r="P355" s="163"/>
      <c r="Q355" s="163"/>
      <c r="R355" s="163"/>
    </row>
    <row r="356" spans="1:18" ht="13.2">
      <c r="A356" s="375"/>
      <c r="B356" s="376" t="s">
        <v>264</v>
      </c>
      <c r="C356" s="165"/>
      <c r="D356" s="163"/>
      <c r="E356" s="165">
        <f>E357</f>
        <v>10382</v>
      </c>
      <c r="F356" s="163"/>
      <c r="G356" s="163"/>
      <c r="H356" s="163"/>
      <c r="I356" s="163"/>
      <c r="J356" s="165"/>
      <c r="K356" s="163"/>
      <c r="L356" s="163"/>
      <c r="M356" s="163"/>
      <c r="N356" s="163"/>
      <c r="O356" s="165"/>
      <c r="P356" s="163"/>
      <c r="Q356" s="163"/>
      <c r="R356" s="163"/>
    </row>
    <row r="357" spans="1:18" ht="26.4">
      <c r="A357" s="375"/>
      <c r="B357" s="376" t="s">
        <v>589</v>
      </c>
      <c r="C357" s="165"/>
      <c r="D357" s="163"/>
      <c r="E357" s="165">
        <v>10382</v>
      </c>
      <c r="F357" s="163"/>
      <c r="G357" s="163"/>
      <c r="H357" s="163"/>
      <c r="I357" s="163"/>
      <c r="J357" s="165"/>
      <c r="K357" s="163"/>
      <c r="L357" s="163"/>
      <c r="M357" s="163"/>
      <c r="N357" s="163"/>
      <c r="O357" s="165"/>
      <c r="P357" s="163"/>
      <c r="Q357" s="163"/>
      <c r="R357" s="163"/>
    </row>
    <row r="358" spans="1:18" ht="13.2">
      <c r="A358" s="375"/>
      <c r="B358" s="376" t="s">
        <v>268</v>
      </c>
      <c r="C358" s="165"/>
      <c r="D358" s="163"/>
      <c r="E358" s="165">
        <f>E359</f>
        <v>10382</v>
      </c>
      <c r="F358" s="163"/>
      <c r="G358" s="163"/>
      <c r="H358" s="163"/>
      <c r="I358" s="163"/>
      <c r="J358" s="165"/>
      <c r="K358" s="163"/>
      <c r="L358" s="163"/>
      <c r="M358" s="163"/>
      <c r="N358" s="163"/>
      <c r="O358" s="165"/>
      <c r="P358" s="163"/>
      <c r="Q358" s="163"/>
      <c r="R358" s="163"/>
    </row>
    <row r="359" spans="1:18" ht="13.2">
      <c r="A359" s="375"/>
      <c r="B359" s="376" t="s">
        <v>269</v>
      </c>
      <c r="C359" s="165"/>
      <c r="D359" s="163"/>
      <c r="E359" s="165">
        <f>E360</f>
        <v>10382</v>
      </c>
      <c r="F359" s="163"/>
      <c r="G359" s="163"/>
      <c r="H359" s="163"/>
      <c r="I359" s="163"/>
      <c r="J359" s="165"/>
      <c r="K359" s="163"/>
      <c r="L359" s="163"/>
      <c r="M359" s="163"/>
      <c r="N359" s="163"/>
      <c r="O359" s="165"/>
      <c r="P359" s="163"/>
      <c r="Q359" s="163"/>
      <c r="R359" s="163"/>
    </row>
    <row r="360" spans="1:18" ht="26.4">
      <c r="A360" s="375"/>
      <c r="B360" s="376" t="s">
        <v>590</v>
      </c>
      <c r="C360" s="165"/>
      <c r="D360" s="163"/>
      <c r="E360" s="165">
        <f>E361</f>
        <v>10382</v>
      </c>
      <c r="F360" s="163"/>
      <c r="G360" s="163"/>
      <c r="H360" s="163"/>
      <c r="I360" s="163"/>
      <c r="J360" s="165"/>
      <c r="K360" s="163"/>
      <c r="L360" s="163"/>
      <c r="M360" s="163"/>
      <c r="N360" s="163"/>
      <c r="O360" s="165"/>
      <c r="P360" s="163"/>
      <c r="Q360" s="163"/>
      <c r="R360" s="163"/>
    </row>
    <row r="361" spans="1:18" ht="13.2">
      <c r="A361" s="375"/>
      <c r="B361" s="376" t="s">
        <v>591</v>
      </c>
      <c r="C361" s="165"/>
      <c r="D361" s="163"/>
      <c r="E361" s="165">
        <v>10382</v>
      </c>
      <c r="F361" s="163"/>
      <c r="G361" s="163"/>
      <c r="H361" s="163"/>
      <c r="I361" s="163"/>
      <c r="J361" s="165"/>
      <c r="K361" s="163"/>
      <c r="L361" s="163"/>
      <c r="M361" s="163"/>
      <c r="N361" s="163"/>
      <c r="O361" s="165"/>
      <c r="P361" s="163"/>
      <c r="Q361" s="163"/>
      <c r="R361" s="163"/>
    </row>
    <row r="362" spans="1:18" ht="13.2">
      <c r="A362" s="378" t="s">
        <v>224</v>
      </c>
      <c r="B362" s="374" t="s">
        <v>242</v>
      </c>
      <c r="C362" s="165"/>
      <c r="D362" s="163"/>
      <c r="E362" s="165"/>
      <c r="F362" s="163"/>
      <c r="G362" s="163"/>
      <c r="H362" s="163"/>
      <c r="I362" s="163"/>
      <c r="J362" s="165"/>
      <c r="K362" s="163"/>
      <c r="L362" s="163"/>
      <c r="M362" s="163"/>
      <c r="N362" s="163"/>
      <c r="O362" s="165"/>
      <c r="P362" s="163"/>
      <c r="Q362" s="163"/>
      <c r="R362" s="163"/>
    </row>
    <row r="363" spans="1:18" ht="13.2">
      <c r="A363" s="375" t="s">
        <v>243</v>
      </c>
      <c r="B363" s="376" t="s">
        <v>244</v>
      </c>
      <c r="C363" s="165"/>
      <c r="D363" s="163"/>
      <c r="E363" s="165"/>
      <c r="F363" s="163"/>
      <c r="G363" s="163"/>
      <c r="H363" s="163"/>
      <c r="I363" s="163"/>
      <c r="J363" s="165"/>
      <c r="K363" s="163"/>
      <c r="L363" s="163"/>
      <c r="M363" s="163"/>
      <c r="N363" s="163"/>
      <c r="O363" s="165"/>
      <c r="P363" s="163"/>
      <c r="Q363" s="163"/>
      <c r="R363" s="163"/>
    </row>
    <row r="364" spans="1:18" ht="12">
      <c r="A364" s="33"/>
      <c r="B364" s="34"/>
      <c r="C364" s="165"/>
      <c r="D364" s="163"/>
      <c r="E364" s="165"/>
      <c r="F364" s="163"/>
      <c r="G364" s="163"/>
      <c r="H364" s="163"/>
      <c r="I364" s="163"/>
      <c r="J364" s="165"/>
      <c r="K364" s="163"/>
      <c r="L364" s="163"/>
      <c r="M364" s="163"/>
      <c r="N364" s="163"/>
      <c r="O364" s="165"/>
      <c r="P364" s="163"/>
      <c r="Q364" s="163"/>
      <c r="R364" s="163"/>
    </row>
    <row r="365" spans="1:18" ht="12">
      <c r="A365" s="33"/>
      <c r="B365" s="34"/>
      <c r="C365" s="165"/>
      <c r="D365" s="163"/>
      <c r="E365" s="165"/>
      <c r="F365" s="163"/>
      <c r="G365" s="163"/>
      <c r="H365" s="163"/>
      <c r="I365" s="163"/>
      <c r="J365" s="165"/>
      <c r="K365" s="163"/>
      <c r="L365" s="163"/>
      <c r="M365" s="163"/>
      <c r="N365" s="163"/>
      <c r="O365" s="165"/>
      <c r="P365" s="163"/>
      <c r="Q365" s="163"/>
      <c r="R365" s="163"/>
    </row>
    <row r="366" spans="1:18" ht="12">
      <c r="A366" s="33"/>
      <c r="B366" s="31"/>
      <c r="C366" s="165"/>
      <c r="D366" s="163"/>
      <c r="E366" s="165"/>
      <c r="F366" s="163"/>
      <c r="G366" s="163"/>
      <c r="H366" s="163"/>
      <c r="I366" s="163"/>
      <c r="J366" s="165"/>
      <c r="K366" s="163"/>
      <c r="L366" s="163"/>
      <c r="M366" s="163"/>
      <c r="N366" s="163"/>
      <c r="O366" s="165"/>
      <c r="P366" s="163"/>
      <c r="Q366" s="163"/>
      <c r="R366" s="163"/>
    </row>
    <row r="367" spans="1:18" ht="12">
      <c r="E367" s="165"/>
      <c r="F367" s="163"/>
      <c r="G367" s="163"/>
      <c r="H367" s="163"/>
      <c r="I367" s="163"/>
      <c r="J367" s="165"/>
      <c r="K367" s="163"/>
      <c r="L367" s="163"/>
      <c r="M367" s="163"/>
      <c r="N367" s="163"/>
      <c r="O367" s="165"/>
      <c r="P367" s="163"/>
      <c r="Q367" s="163"/>
      <c r="R367" s="163"/>
    </row>
    <row r="368" spans="1:18" ht="12">
      <c r="E368" s="165"/>
      <c r="F368" s="163"/>
      <c r="G368" s="163"/>
      <c r="H368" s="163"/>
      <c r="I368" s="163"/>
      <c r="J368" s="165"/>
      <c r="K368" s="163"/>
      <c r="L368" s="163"/>
      <c r="M368" s="163"/>
      <c r="N368" s="163"/>
      <c r="O368" s="165"/>
      <c r="P368" s="163"/>
      <c r="Q368" s="163"/>
      <c r="R368" s="163"/>
    </row>
    <row r="369" spans="1:18" ht="12">
      <c r="E369" s="165"/>
      <c r="F369" s="163"/>
      <c r="G369" s="163"/>
      <c r="H369" s="163"/>
      <c r="I369" s="163"/>
      <c r="J369" s="165"/>
      <c r="K369" s="163"/>
      <c r="L369" s="163"/>
      <c r="M369" s="163"/>
      <c r="N369" s="163"/>
      <c r="O369" s="165"/>
      <c r="P369" s="163"/>
      <c r="Q369" s="163"/>
      <c r="R369" s="163"/>
    </row>
    <row r="370" spans="1:18" ht="12">
      <c r="E370" s="165"/>
      <c r="F370" s="163"/>
      <c r="G370" s="163"/>
      <c r="H370" s="163"/>
      <c r="I370" s="163"/>
      <c r="J370" s="165"/>
      <c r="K370" s="163"/>
      <c r="L370" s="163"/>
      <c r="M370" s="163"/>
      <c r="N370" s="163"/>
      <c r="O370" s="165"/>
      <c r="P370" s="163"/>
      <c r="Q370" s="163"/>
      <c r="R370" s="163"/>
    </row>
    <row r="371" spans="1:18" ht="12">
      <c r="A371" s="3"/>
      <c r="B371" s="3"/>
      <c r="C371" s="3"/>
      <c r="D371" s="3"/>
      <c r="E371" s="165"/>
      <c r="F371" s="163"/>
      <c r="G371" s="163"/>
      <c r="H371" s="163"/>
      <c r="I371" s="163"/>
      <c r="J371" s="165"/>
      <c r="K371" s="163"/>
      <c r="L371" s="163"/>
      <c r="M371" s="163"/>
      <c r="N371" s="163"/>
      <c r="O371" s="165"/>
      <c r="P371" s="163"/>
      <c r="Q371" s="163"/>
      <c r="R371" s="163"/>
    </row>
    <row r="372" spans="1:18" ht="12">
      <c r="A372" s="3"/>
      <c r="B372" s="3"/>
      <c r="C372" s="3"/>
      <c r="D372" s="3"/>
      <c r="E372" s="165"/>
      <c r="F372" s="163"/>
      <c r="G372" s="163"/>
      <c r="H372" s="163"/>
      <c r="I372" s="163"/>
      <c r="J372" s="165"/>
      <c r="K372" s="163"/>
      <c r="L372" s="163"/>
      <c r="M372" s="163"/>
      <c r="N372" s="163"/>
      <c r="O372" s="165"/>
      <c r="P372" s="163"/>
      <c r="Q372" s="163"/>
      <c r="R372" s="163"/>
    </row>
    <row r="373" spans="1:18" ht="12">
      <c r="A373" s="3"/>
      <c r="B373" s="3"/>
      <c r="C373" s="3"/>
      <c r="D373" s="3"/>
      <c r="E373" s="165"/>
      <c r="F373" s="163"/>
      <c r="G373" s="163"/>
      <c r="H373" s="163"/>
      <c r="I373" s="163"/>
      <c r="J373" s="165"/>
      <c r="K373" s="163"/>
      <c r="L373" s="163"/>
      <c r="M373" s="163"/>
      <c r="N373" s="163"/>
      <c r="O373" s="165"/>
      <c r="P373" s="163"/>
      <c r="Q373" s="163"/>
      <c r="R373" s="163"/>
    </row>
    <row r="374" spans="1:18" ht="12">
      <c r="A374" s="3"/>
      <c r="B374" s="3"/>
      <c r="C374" s="3"/>
      <c r="D374" s="3"/>
      <c r="E374" s="165"/>
      <c r="F374" s="163"/>
      <c r="G374" s="163"/>
      <c r="H374" s="163"/>
      <c r="I374" s="163"/>
      <c r="J374" s="165"/>
      <c r="K374" s="163"/>
      <c r="L374" s="163"/>
      <c r="M374" s="163"/>
      <c r="N374" s="163"/>
      <c r="O374" s="165"/>
      <c r="P374" s="163"/>
      <c r="Q374" s="163"/>
      <c r="R374" s="163"/>
    </row>
    <row r="375" spans="1:18" ht="12">
      <c r="A375" s="3"/>
      <c r="B375" s="3"/>
      <c r="C375" s="3"/>
      <c r="D375" s="3"/>
      <c r="E375" s="165"/>
      <c r="F375" s="163"/>
      <c r="G375" s="163"/>
      <c r="H375" s="163"/>
      <c r="I375" s="163"/>
      <c r="J375" s="165"/>
      <c r="K375" s="163"/>
      <c r="L375" s="163"/>
      <c r="M375" s="163"/>
      <c r="N375" s="163"/>
      <c r="O375" s="165"/>
      <c r="P375" s="163"/>
      <c r="Q375" s="163"/>
      <c r="R375" s="163"/>
    </row>
    <row r="376" spans="1:18" ht="12">
      <c r="A376" s="3"/>
      <c r="B376" s="3"/>
      <c r="C376" s="3"/>
      <c r="D376" s="3"/>
      <c r="E376" s="165"/>
      <c r="F376" s="163"/>
      <c r="G376" s="163"/>
      <c r="H376" s="163"/>
      <c r="I376" s="163"/>
      <c r="J376" s="165"/>
      <c r="K376" s="163"/>
      <c r="L376" s="163"/>
      <c r="M376" s="163"/>
      <c r="N376" s="163"/>
      <c r="O376" s="165"/>
      <c r="P376" s="163"/>
      <c r="Q376" s="163"/>
      <c r="R376" s="163"/>
    </row>
    <row r="377" spans="1:18" ht="12">
      <c r="A377" s="3"/>
      <c r="B377" s="3"/>
      <c r="C377" s="3"/>
      <c r="D377" s="3"/>
      <c r="E377" s="165"/>
      <c r="F377" s="163"/>
      <c r="G377" s="163"/>
      <c r="H377" s="163"/>
      <c r="I377" s="163"/>
      <c r="J377" s="165"/>
      <c r="K377" s="163"/>
      <c r="L377" s="163"/>
      <c r="M377" s="163"/>
      <c r="N377" s="163"/>
      <c r="O377" s="165"/>
      <c r="P377" s="163"/>
      <c r="Q377" s="163"/>
      <c r="R377" s="163"/>
    </row>
    <row r="378" spans="1:18" ht="12">
      <c r="A378" s="3"/>
      <c r="B378" s="3"/>
      <c r="C378" s="3"/>
      <c r="D378" s="3"/>
      <c r="E378" s="165"/>
      <c r="F378" s="163"/>
      <c r="G378" s="163"/>
      <c r="H378" s="163"/>
      <c r="I378" s="163"/>
      <c r="J378" s="165"/>
      <c r="K378" s="163"/>
      <c r="L378" s="163"/>
      <c r="M378" s="163"/>
      <c r="N378" s="163"/>
      <c r="O378" s="165"/>
      <c r="P378" s="163"/>
      <c r="Q378" s="163"/>
      <c r="R378" s="163"/>
    </row>
    <row r="379" spans="1:18" ht="12">
      <c r="A379" s="3"/>
      <c r="B379" s="3"/>
      <c r="C379" s="3"/>
      <c r="D379" s="3"/>
      <c r="E379" s="165"/>
      <c r="F379" s="163"/>
      <c r="G379" s="163"/>
      <c r="H379" s="163"/>
      <c r="I379" s="163"/>
      <c r="J379" s="165"/>
      <c r="K379" s="163"/>
      <c r="L379" s="163"/>
      <c r="M379" s="163"/>
      <c r="N379" s="163"/>
      <c r="O379" s="165"/>
      <c r="P379" s="163"/>
      <c r="Q379" s="163"/>
      <c r="R379" s="163"/>
    </row>
    <row r="380" spans="1:18" ht="12">
      <c r="A380" s="3"/>
      <c r="B380" s="3"/>
      <c r="C380" s="3"/>
      <c r="D380" s="3"/>
      <c r="E380" s="165"/>
      <c r="F380" s="163"/>
      <c r="G380" s="163"/>
      <c r="H380" s="163"/>
      <c r="I380" s="163"/>
      <c r="J380" s="165"/>
      <c r="K380" s="163"/>
      <c r="L380" s="163"/>
      <c r="M380" s="163"/>
      <c r="N380" s="163"/>
      <c r="O380" s="165"/>
      <c r="P380" s="163"/>
      <c r="Q380" s="163"/>
      <c r="R380" s="163"/>
    </row>
    <row r="381" spans="1:18" ht="12">
      <c r="A381" s="3"/>
      <c r="B381" s="3"/>
      <c r="C381" s="3"/>
      <c r="D381" s="3"/>
      <c r="E381" s="165"/>
      <c r="F381" s="163"/>
      <c r="G381" s="163"/>
      <c r="H381" s="163"/>
      <c r="I381" s="163"/>
      <c r="J381" s="165"/>
      <c r="K381" s="163"/>
      <c r="L381" s="163"/>
      <c r="M381" s="163"/>
      <c r="N381" s="163"/>
      <c r="O381" s="165"/>
      <c r="P381" s="163"/>
      <c r="Q381" s="163"/>
      <c r="R381" s="163"/>
    </row>
    <row r="382" spans="1:18" ht="12">
      <c r="A382" s="3"/>
      <c r="B382" s="3"/>
      <c r="C382" s="3"/>
      <c r="D382" s="3"/>
      <c r="E382" s="165"/>
      <c r="F382" s="163"/>
      <c r="G382" s="163"/>
      <c r="H382" s="163"/>
      <c r="I382" s="163"/>
      <c r="J382" s="165"/>
      <c r="K382" s="163"/>
      <c r="L382" s="163"/>
      <c r="M382" s="163"/>
      <c r="N382" s="163"/>
      <c r="O382" s="165"/>
      <c r="P382" s="163"/>
      <c r="Q382" s="163"/>
      <c r="R382" s="163"/>
    </row>
    <row r="383" spans="1:18" ht="12">
      <c r="A383" s="3"/>
      <c r="B383" s="3"/>
      <c r="C383" s="3"/>
      <c r="D383" s="3"/>
      <c r="E383" s="165"/>
      <c r="F383" s="163"/>
      <c r="G383" s="163"/>
      <c r="H383" s="163"/>
      <c r="I383" s="163"/>
      <c r="J383" s="165"/>
      <c r="K383" s="163"/>
      <c r="L383" s="163"/>
      <c r="M383" s="163"/>
      <c r="N383" s="163"/>
      <c r="O383" s="165"/>
      <c r="P383" s="163"/>
      <c r="Q383" s="163"/>
      <c r="R383" s="163"/>
    </row>
    <row r="384" spans="1:18" ht="12">
      <c r="A384" s="3"/>
      <c r="B384" s="3"/>
      <c r="C384" s="3"/>
      <c r="D384" s="3"/>
      <c r="E384" s="165"/>
      <c r="F384" s="163"/>
      <c r="G384" s="163"/>
      <c r="H384" s="163"/>
      <c r="I384" s="163"/>
      <c r="J384" s="165"/>
      <c r="K384" s="163"/>
      <c r="L384" s="163"/>
      <c r="M384" s="163"/>
      <c r="N384" s="163"/>
      <c r="O384" s="165"/>
      <c r="P384" s="163"/>
      <c r="Q384" s="163"/>
      <c r="R384" s="163"/>
    </row>
    <row r="385" spans="1:18" ht="12">
      <c r="A385" s="3"/>
      <c r="B385" s="3"/>
      <c r="C385" s="3"/>
      <c r="D385" s="3"/>
      <c r="E385" s="165"/>
      <c r="F385" s="163"/>
      <c r="G385" s="163"/>
      <c r="H385" s="163"/>
      <c r="I385" s="163"/>
      <c r="J385" s="165"/>
      <c r="K385" s="163"/>
      <c r="L385" s="163"/>
      <c r="M385" s="163"/>
      <c r="N385" s="163"/>
      <c r="O385" s="165"/>
      <c r="P385" s="163"/>
      <c r="Q385" s="163"/>
      <c r="R385" s="163"/>
    </row>
    <row r="386" spans="1:18" ht="12">
      <c r="A386" s="3"/>
      <c r="B386" s="3"/>
      <c r="C386" s="3"/>
      <c r="D386" s="3"/>
      <c r="E386" s="165"/>
      <c r="F386" s="163"/>
      <c r="G386" s="163"/>
      <c r="H386" s="163"/>
      <c r="I386" s="163"/>
      <c r="J386" s="165"/>
      <c r="K386" s="163"/>
      <c r="L386" s="163"/>
      <c r="M386" s="163"/>
      <c r="N386" s="163"/>
      <c r="O386" s="165"/>
      <c r="P386" s="163"/>
      <c r="Q386" s="163"/>
      <c r="R386" s="163"/>
    </row>
    <row r="387" spans="1:18" ht="12">
      <c r="A387" s="3"/>
      <c r="B387" s="3"/>
      <c r="C387" s="3"/>
      <c r="D387" s="3"/>
      <c r="E387" s="165"/>
      <c r="F387" s="163"/>
      <c r="G387" s="163"/>
      <c r="H387" s="163"/>
      <c r="I387" s="163"/>
      <c r="J387" s="165"/>
      <c r="K387" s="163"/>
      <c r="L387" s="163"/>
      <c r="M387" s="163"/>
      <c r="N387" s="163"/>
      <c r="O387" s="165"/>
      <c r="P387" s="163"/>
      <c r="Q387" s="163"/>
      <c r="R387" s="163"/>
    </row>
    <row r="388" spans="1:18" ht="12">
      <c r="A388" s="3"/>
      <c r="B388" s="3"/>
      <c r="C388" s="3"/>
      <c r="D388" s="3"/>
      <c r="E388" s="165"/>
      <c r="F388" s="163"/>
      <c r="G388" s="163"/>
      <c r="H388" s="163"/>
      <c r="I388" s="163"/>
      <c r="J388" s="165"/>
      <c r="K388" s="163"/>
      <c r="L388" s="163"/>
      <c r="M388" s="163"/>
      <c r="N388" s="163"/>
      <c r="O388" s="165"/>
      <c r="P388" s="163"/>
      <c r="Q388" s="163"/>
      <c r="R388" s="163"/>
    </row>
    <row r="389" spans="1:18" ht="12">
      <c r="A389" s="3"/>
      <c r="B389" s="3"/>
      <c r="C389" s="3"/>
      <c r="D389" s="3"/>
      <c r="E389" s="165"/>
      <c r="F389" s="163"/>
      <c r="G389" s="163"/>
      <c r="H389" s="163"/>
      <c r="I389" s="163"/>
      <c r="J389" s="165"/>
      <c r="K389" s="163"/>
      <c r="L389" s="163"/>
      <c r="M389" s="163"/>
      <c r="N389" s="163"/>
      <c r="O389" s="165"/>
      <c r="P389" s="163"/>
      <c r="Q389" s="163"/>
      <c r="R389" s="163"/>
    </row>
    <row r="390" spans="1:18" ht="12">
      <c r="A390" s="3"/>
      <c r="B390" s="3"/>
      <c r="C390" s="3"/>
      <c r="D390" s="3"/>
      <c r="E390" s="165"/>
      <c r="F390" s="163"/>
      <c r="G390" s="163"/>
      <c r="H390" s="163"/>
      <c r="I390" s="163"/>
      <c r="J390" s="165"/>
      <c r="K390" s="163"/>
      <c r="L390" s="163"/>
      <c r="M390" s="163"/>
      <c r="N390" s="163"/>
      <c r="O390" s="165"/>
      <c r="P390" s="163"/>
      <c r="Q390" s="163"/>
      <c r="R390" s="163"/>
    </row>
    <row r="391" spans="1:18" ht="12">
      <c r="A391" s="3"/>
      <c r="B391" s="3"/>
      <c r="C391" s="3"/>
      <c r="D391" s="3"/>
      <c r="E391" s="165"/>
      <c r="F391" s="163"/>
      <c r="G391" s="163"/>
      <c r="H391" s="163"/>
      <c r="I391" s="163"/>
      <c r="J391" s="165"/>
      <c r="K391" s="163"/>
      <c r="L391" s="163"/>
      <c r="M391" s="163"/>
      <c r="N391" s="163"/>
      <c r="O391" s="165"/>
      <c r="P391" s="163"/>
      <c r="Q391" s="163"/>
      <c r="R391" s="163"/>
    </row>
    <row r="392" spans="1:18" ht="12">
      <c r="A392" s="3"/>
      <c r="B392" s="3"/>
      <c r="C392" s="3"/>
      <c r="D392" s="3"/>
      <c r="E392" s="165"/>
      <c r="F392" s="163"/>
      <c r="G392" s="163"/>
      <c r="H392" s="163"/>
      <c r="I392" s="163"/>
      <c r="J392" s="165"/>
      <c r="K392" s="163"/>
      <c r="L392" s="163"/>
      <c r="M392" s="163"/>
      <c r="N392" s="163"/>
      <c r="O392" s="165"/>
      <c r="P392" s="163"/>
      <c r="Q392" s="163"/>
      <c r="R392" s="163"/>
    </row>
    <row r="393" spans="1:18" ht="12">
      <c r="A393" s="3"/>
      <c r="B393" s="3"/>
      <c r="C393" s="3"/>
      <c r="D393" s="3"/>
      <c r="E393" s="165"/>
      <c r="F393" s="163"/>
      <c r="G393" s="163"/>
      <c r="H393" s="163"/>
      <c r="I393" s="163"/>
      <c r="J393" s="165"/>
      <c r="K393" s="163"/>
      <c r="L393" s="163"/>
      <c r="M393" s="163"/>
      <c r="N393" s="163"/>
      <c r="O393" s="165"/>
      <c r="P393" s="163"/>
      <c r="Q393" s="163"/>
      <c r="R393" s="163"/>
    </row>
    <row r="394" spans="1:18" ht="12">
      <c r="A394" s="3"/>
      <c r="B394" s="3"/>
      <c r="C394" s="3"/>
      <c r="D394" s="3"/>
      <c r="E394" s="165"/>
      <c r="F394" s="163"/>
      <c r="G394" s="163"/>
      <c r="H394" s="163"/>
      <c r="I394" s="163"/>
      <c r="J394" s="165"/>
      <c r="K394" s="163"/>
      <c r="L394" s="163"/>
      <c r="M394" s="163"/>
      <c r="N394" s="163"/>
      <c r="O394" s="165"/>
      <c r="P394" s="163"/>
      <c r="Q394" s="163"/>
      <c r="R394" s="163"/>
    </row>
    <row r="395" spans="1:18" ht="12">
      <c r="A395" s="3"/>
      <c r="B395" s="3"/>
      <c r="C395" s="3"/>
      <c r="D395" s="3"/>
      <c r="E395" s="165"/>
      <c r="F395" s="163"/>
      <c r="G395" s="163"/>
      <c r="H395" s="163"/>
      <c r="I395" s="163"/>
      <c r="J395" s="165"/>
      <c r="K395" s="163"/>
      <c r="L395" s="163"/>
      <c r="M395" s="163"/>
      <c r="N395" s="163"/>
      <c r="O395" s="165"/>
      <c r="P395" s="163"/>
      <c r="Q395" s="163"/>
      <c r="R395" s="163"/>
    </row>
    <row r="396" spans="1:18" ht="12">
      <c r="A396" s="3"/>
      <c r="B396" s="3"/>
      <c r="C396" s="3"/>
      <c r="D396" s="3"/>
      <c r="E396" s="165"/>
      <c r="F396" s="163"/>
      <c r="G396" s="163"/>
      <c r="H396" s="163"/>
      <c r="I396" s="163"/>
      <c r="J396" s="165"/>
      <c r="K396" s="163"/>
      <c r="L396" s="163"/>
      <c r="M396" s="163"/>
      <c r="N396" s="163"/>
      <c r="O396" s="165"/>
      <c r="P396" s="163"/>
      <c r="Q396" s="163"/>
      <c r="R396" s="163"/>
    </row>
    <row r="397" spans="1:18" ht="12">
      <c r="A397" s="3"/>
      <c r="B397" s="3"/>
      <c r="C397" s="3"/>
      <c r="D397" s="3"/>
      <c r="E397" s="165"/>
      <c r="F397" s="163"/>
      <c r="G397" s="163"/>
      <c r="H397" s="163"/>
      <c r="I397" s="163"/>
      <c r="J397" s="165"/>
      <c r="K397" s="163"/>
      <c r="L397" s="163"/>
      <c r="M397" s="163"/>
      <c r="N397" s="163"/>
      <c r="O397" s="165"/>
      <c r="P397" s="163"/>
      <c r="Q397" s="163"/>
      <c r="R397" s="163"/>
    </row>
    <row r="398" spans="1:18" ht="12">
      <c r="A398" s="3"/>
      <c r="B398" s="3"/>
      <c r="C398" s="3"/>
      <c r="D398" s="3"/>
      <c r="E398" s="165"/>
      <c r="F398" s="163"/>
      <c r="G398" s="163"/>
      <c r="H398" s="163"/>
      <c r="I398" s="163"/>
      <c r="J398" s="165"/>
      <c r="K398" s="163"/>
      <c r="L398" s="163"/>
      <c r="M398" s="163"/>
      <c r="N398" s="163"/>
      <c r="O398" s="165"/>
      <c r="P398" s="163"/>
      <c r="Q398" s="163"/>
      <c r="R398" s="163"/>
    </row>
    <row r="399" spans="1:18" ht="12">
      <c r="A399" s="3"/>
      <c r="B399" s="3"/>
      <c r="C399" s="3"/>
      <c r="D399" s="3"/>
      <c r="E399" s="165"/>
      <c r="F399" s="163"/>
      <c r="G399" s="163"/>
      <c r="H399" s="163"/>
      <c r="I399" s="163"/>
      <c r="J399" s="165"/>
      <c r="K399" s="163"/>
      <c r="L399" s="163"/>
      <c r="M399" s="163"/>
      <c r="N399" s="163"/>
      <c r="O399" s="165"/>
      <c r="P399" s="163"/>
      <c r="Q399" s="163"/>
      <c r="R399" s="163"/>
    </row>
    <row r="400" spans="1:18" ht="12">
      <c r="A400" s="3"/>
      <c r="B400" s="3"/>
      <c r="C400" s="3"/>
      <c r="D400" s="3"/>
      <c r="E400" s="165"/>
      <c r="F400" s="163"/>
      <c r="G400" s="163"/>
      <c r="H400" s="163"/>
      <c r="I400" s="163"/>
      <c r="J400" s="165"/>
      <c r="K400" s="163"/>
      <c r="L400" s="163"/>
      <c r="M400" s="163"/>
      <c r="N400" s="163"/>
      <c r="O400" s="165"/>
      <c r="P400" s="163"/>
      <c r="Q400" s="163"/>
      <c r="R400" s="163"/>
    </row>
    <row r="401" spans="1:18" ht="12">
      <c r="A401" s="3"/>
      <c r="B401" s="3"/>
      <c r="C401" s="3"/>
      <c r="D401" s="3"/>
      <c r="E401" s="165"/>
      <c r="F401" s="163"/>
      <c r="G401" s="163"/>
      <c r="H401" s="163"/>
      <c r="I401" s="163"/>
      <c r="J401" s="165"/>
      <c r="K401" s="163"/>
      <c r="L401" s="163"/>
      <c r="M401" s="163"/>
      <c r="N401" s="163"/>
      <c r="O401" s="165"/>
      <c r="P401" s="163"/>
      <c r="Q401" s="163"/>
      <c r="R401" s="163"/>
    </row>
    <row r="402" spans="1:18" ht="12">
      <c r="A402" s="3"/>
      <c r="B402" s="3"/>
      <c r="C402" s="3"/>
      <c r="D402" s="3"/>
      <c r="E402" s="165"/>
      <c r="F402" s="163"/>
      <c r="G402" s="163"/>
      <c r="H402" s="163"/>
      <c r="I402" s="163"/>
      <c r="J402" s="165"/>
      <c r="K402" s="163"/>
      <c r="L402" s="163"/>
      <c r="M402" s="163"/>
      <c r="N402" s="163"/>
      <c r="O402" s="165"/>
      <c r="P402" s="163"/>
      <c r="Q402" s="163"/>
      <c r="R402" s="163"/>
    </row>
    <row r="403" spans="1:18" ht="12">
      <c r="A403" s="3"/>
      <c r="B403" s="3"/>
      <c r="C403" s="3"/>
      <c r="D403" s="3"/>
      <c r="E403" s="165"/>
      <c r="F403" s="163"/>
      <c r="G403" s="163"/>
      <c r="H403" s="163"/>
      <c r="I403" s="163"/>
      <c r="J403" s="165"/>
      <c r="K403" s="163"/>
      <c r="L403" s="163"/>
      <c r="M403" s="163"/>
      <c r="N403" s="163"/>
      <c r="O403" s="165"/>
      <c r="P403" s="163"/>
      <c r="Q403" s="163"/>
      <c r="R403" s="163"/>
    </row>
    <row r="404" spans="1:18" ht="12">
      <c r="A404" s="3"/>
      <c r="B404" s="3"/>
      <c r="C404" s="3"/>
      <c r="D404" s="3"/>
      <c r="E404" s="165"/>
      <c r="F404" s="163"/>
      <c r="G404" s="163"/>
      <c r="H404" s="163"/>
      <c r="I404" s="163"/>
      <c r="J404" s="165"/>
      <c r="K404" s="163"/>
      <c r="L404" s="163"/>
      <c r="M404" s="163"/>
      <c r="N404" s="163"/>
      <c r="O404" s="165"/>
      <c r="P404" s="163"/>
      <c r="Q404" s="163"/>
      <c r="R404" s="163"/>
    </row>
    <row r="405" spans="1:18" ht="12">
      <c r="A405" s="3"/>
      <c r="B405" s="3"/>
      <c r="C405" s="3"/>
      <c r="D405" s="3"/>
      <c r="E405" s="165"/>
      <c r="F405" s="163"/>
      <c r="G405" s="163"/>
      <c r="H405" s="163"/>
      <c r="I405" s="163"/>
      <c r="J405" s="165"/>
      <c r="K405" s="163"/>
      <c r="L405" s="163"/>
      <c r="M405" s="163"/>
      <c r="N405" s="163"/>
      <c r="O405" s="165"/>
      <c r="P405" s="163"/>
      <c r="Q405" s="163"/>
      <c r="R405" s="163"/>
    </row>
    <row r="406" spans="1:18" ht="12">
      <c r="A406" s="3"/>
      <c r="B406" s="3"/>
      <c r="C406" s="3"/>
      <c r="D406" s="3"/>
      <c r="E406" s="165"/>
      <c r="F406" s="163"/>
      <c r="G406" s="163"/>
      <c r="H406" s="163"/>
      <c r="I406" s="163"/>
      <c r="J406" s="165"/>
      <c r="K406" s="163"/>
      <c r="L406" s="163"/>
      <c r="M406" s="163"/>
      <c r="N406" s="163"/>
      <c r="O406" s="165"/>
      <c r="P406" s="163"/>
      <c r="Q406" s="163"/>
      <c r="R406" s="163"/>
    </row>
    <row r="407" spans="1:18" ht="12">
      <c r="A407" s="3"/>
      <c r="B407" s="3"/>
      <c r="C407" s="3"/>
      <c r="D407" s="3"/>
      <c r="E407" s="165"/>
      <c r="F407" s="163"/>
      <c r="G407" s="163"/>
      <c r="H407" s="163"/>
      <c r="I407" s="163"/>
      <c r="J407" s="165"/>
      <c r="K407" s="163"/>
      <c r="L407" s="163"/>
      <c r="M407" s="163"/>
      <c r="N407" s="163"/>
      <c r="O407" s="165"/>
      <c r="P407" s="163"/>
      <c r="Q407" s="163"/>
      <c r="R407" s="163"/>
    </row>
    <row r="408" spans="1:18" ht="12">
      <c r="A408" s="3"/>
      <c r="B408" s="3"/>
      <c r="C408" s="3"/>
      <c r="D408" s="3"/>
      <c r="E408" s="165"/>
      <c r="F408" s="163"/>
      <c r="G408" s="163"/>
      <c r="H408" s="163"/>
      <c r="I408" s="163"/>
      <c r="J408" s="165"/>
      <c r="K408" s="163"/>
      <c r="L408" s="163"/>
      <c r="M408" s="163"/>
      <c r="N408" s="163"/>
      <c r="O408" s="165"/>
      <c r="P408" s="163"/>
      <c r="Q408" s="163"/>
      <c r="R408" s="163"/>
    </row>
    <row r="409" spans="1:18" ht="12">
      <c r="A409" s="3"/>
      <c r="B409" s="3"/>
      <c r="C409" s="3"/>
      <c r="D409" s="3"/>
      <c r="E409" s="165"/>
      <c r="F409" s="163"/>
      <c r="G409" s="163"/>
      <c r="H409" s="163"/>
      <c r="I409" s="163"/>
      <c r="J409" s="165"/>
      <c r="K409" s="163"/>
      <c r="L409" s="163"/>
      <c r="M409" s="163"/>
      <c r="N409" s="163"/>
      <c r="O409" s="165"/>
      <c r="P409" s="163"/>
      <c r="Q409" s="163"/>
      <c r="R409" s="163"/>
    </row>
    <row r="410" spans="1:18" ht="12">
      <c r="A410" s="3"/>
      <c r="B410" s="3"/>
      <c r="C410" s="3"/>
      <c r="D410" s="3"/>
      <c r="E410" s="165"/>
      <c r="F410" s="163"/>
      <c r="G410" s="163"/>
      <c r="H410" s="163"/>
      <c r="I410" s="163"/>
      <c r="J410" s="165"/>
      <c r="K410" s="163"/>
      <c r="L410" s="163"/>
      <c r="M410" s="163"/>
      <c r="N410" s="163"/>
      <c r="O410" s="165"/>
      <c r="P410" s="163"/>
      <c r="Q410" s="163"/>
      <c r="R410" s="163"/>
    </row>
    <row r="411" spans="1:18" ht="12">
      <c r="A411" s="3"/>
      <c r="B411" s="3"/>
      <c r="C411" s="3"/>
      <c r="D411" s="3"/>
      <c r="E411" s="165"/>
      <c r="F411" s="163"/>
      <c r="G411" s="163"/>
      <c r="H411" s="163"/>
      <c r="I411" s="163"/>
      <c r="J411" s="165"/>
      <c r="K411" s="163"/>
      <c r="L411" s="163"/>
      <c r="M411" s="163"/>
      <c r="N411" s="163"/>
      <c r="O411" s="165"/>
      <c r="P411" s="163"/>
      <c r="Q411" s="163"/>
      <c r="R411" s="163"/>
    </row>
    <row r="412" spans="1:18" ht="12">
      <c r="A412" s="3"/>
      <c r="B412" s="3"/>
      <c r="C412" s="3"/>
      <c r="D412" s="3"/>
      <c r="E412" s="165"/>
      <c r="F412" s="163"/>
      <c r="G412" s="163"/>
      <c r="H412" s="163"/>
      <c r="I412" s="163"/>
      <c r="J412" s="165"/>
      <c r="K412" s="163"/>
      <c r="L412" s="163"/>
      <c r="M412" s="163"/>
      <c r="N412" s="163"/>
      <c r="O412" s="165"/>
      <c r="P412" s="163"/>
      <c r="Q412" s="163"/>
      <c r="R412" s="163"/>
    </row>
    <row r="413" spans="1:18" ht="12">
      <c r="A413" s="3"/>
      <c r="B413" s="3"/>
      <c r="C413" s="3"/>
      <c r="D413" s="3"/>
      <c r="E413" s="165"/>
      <c r="F413" s="163"/>
      <c r="G413" s="163"/>
      <c r="H413" s="163"/>
      <c r="I413" s="163"/>
      <c r="J413" s="165"/>
      <c r="K413" s="163"/>
      <c r="L413" s="163"/>
      <c r="M413" s="163"/>
      <c r="N413" s="163"/>
      <c r="O413" s="165"/>
      <c r="P413" s="163"/>
      <c r="Q413" s="163"/>
      <c r="R413" s="163"/>
    </row>
    <row r="414" spans="1:18" ht="12">
      <c r="A414" s="3"/>
      <c r="B414" s="3"/>
      <c r="C414" s="3"/>
      <c r="D414" s="3"/>
      <c r="E414" s="165"/>
      <c r="F414" s="163"/>
      <c r="G414" s="163"/>
      <c r="H414" s="163"/>
      <c r="I414" s="163"/>
      <c r="J414" s="165"/>
      <c r="K414" s="163"/>
      <c r="L414" s="163"/>
      <c r="M414" s="163"/>
      <c r="N414" s="163"/>
      <c r="O414" s="165"/>
      <c r="P414" s="163"/>
      <c r="Q414" s="163"/>
      <c r="R414" s="163"/>
    </row>
    <row r="415" spans="1:18" ht="12">
      <c r="A415" s="3"/>
      <c r="B415" s="3"/>
      <c r="C415" s="3"/>
      <c r="D415" s="3"/>
      <c r="E415" s="165"/>
      <c r="F415" s="163"/>
      <c r="G415" s="163"/>
      <c r="H415" s="163"/>
      <c r="I415" s="163"/>
      <c r="J415" s="165"/>
      <c r="K415" s="163"/>
      <c r="L415" s="163"/>
      <c r="M415" s="163"/>
      <c r="N415" s="163"/>
      <c r="O415" s="165"/>
      <c r="P415" s="163"/>
      <c r="Q415" s="163"/>
      <c r="R415" s="163"/>
    </row>
    <row r="416" spans="1:18" ht="12">
      <c r="A416" s="3"/>
      <c r="B416" s="3"/>
      <c r="C416" s="3"/>
      <c r="D416" s="3"/>
      <c r="E416" s="165"/>
      <c r="F416" s="163"/>
      <c r="G416" s="163"/>
      <c r="H416" s="163"/>
      <c r="I416" s="163"/>
      <c r="J416" s="165"/>
      <c r="K416" s="163"/>
      <c r="L416" s="163"/>
      <c r="M416" s="163"/>
      <c r="N416" s="163"/>
      <c r="O416" s="165"/>
      <c r="P416" s="163"/>
      <c r="Q416" s="163"/>
      <c r="R416" s="163"/>
    </row>
    <row r="417" spans="1:18" ht="12">
      <c r="A417" s="3"/>
      <c r="B417" s="3"/>
      <c r="C417" s="3"/>
      <c r="D417" s="3"/>
      <c r="E417" s="165"/>
      <c r="F417" s="163"/>
      <c r="G417" s="163"/>
      <c r="H417" s="163"/>
      <c r="I417" s="163"/>
      <c r="J417" s="165"/>
      <c r="K417" s="163"/>
      <c r="L417" s="163"/>
      <c r="M417" s="163"/>
      <c r="N417" s="163"/>
      <c r="O417" s="165"/>
      <c r="P417" s="163"/>
      <c r="Q417" s="163"/>
      <c r="R417" s="163"/>
    </row>
    <row r="418" spans="1:18" ht="12">
      <c r="A418" s="3"/>
      <c r="B418" s="3"/>
      <c r="C418" s="3"/>
      <c r="D418" s="3"/>
      <c r="E418" s="165"/>
      <c r="F418" s="163"/>
      <c r="G418" s="163"/>
      <c r="H418" s="163"/>
      <c r="I418" s="163"/>
      <c r="J418" s="165"/>
      <c r="K418" s="163"/>
      <c r="L418" s="163"/>
      <c r="M418" s="163"/>
      <c r="N418" s="163"/>
      <c r="O418" s="165"/>
      <c r="P418" s="163"/>
      <c r="Q418" s="163"/>
      <c r="R418" s="163"/>
    </row>
    <row r="419" spans="1:18" ht="12">
      <c r="A419" s="3"/>
      <c r="B419" s="3"/>
      <c r="C419" s="3"/>
      <c r="D419" s="3"/>
      <c r="E419" s="165"/>
      <c r="F419" s="163"/>
      <c r="G419" s="163"/>
      <c r="H419" s="163"/>
      <c r="I419" s="163"/>
      <c r="J419" s="165"/>
      <c r="K419" s="163"/>
      <c r="L419" s="163"/>
      <c r="M419" s="163"/>
      <c r="N419" s="163"/>
      <c r="O419" s="165"/>
      <c r="P419" s="163"/>
      <c r="Q419" s="163"/>
      <c r="R419" s="163"/>
    </row>
    <row r="420" spans="1:18" ht="12">
      <c r="A420" s="3"/>
      <c r="B420" s="3"/>
      <c r="C420" s="3"/>
      <c r="D420" s="3"/>
      <c r="E420" s="165"/>
      <c r="F420" s="163"/>
      <c r="G420" s="163"/>
      <c r="H420" s="163"/>
      <c r="I420" s="163"/>
      <c r="J420" s="165"/>
      <c r="K420" s="163"/>
      <c r="L420" s="163"/>
      <c r="M420" s="163"/>
      <c r="N420" s="163"/>
      <c r="O420" s="165"/>
      <c r="P420" s="163"/>
      <c r="Q420" s="163"/>
      <c r="R420" s="163"/>
    </row>
    <row r="421" spans="1:18" ht="12">
      <c r="A421" s="3"/>
      <c r="B421" s="3"/>
      <c r="C421" s="3"/>
      <c r="D421" s="3"/>
      <c r="E421" s="165"/>
      <c r="F421" s="163"/>
      <c r="G421" s="163"/>
      <c r="H421" s="163"/>
      <c r="I421" s="163"/>
      <c r="J421" s="165"/>
      <c r="K421" s="163"/>
      <c r="L421" s="163"/>
      <c r="M421" s="163"/>
      <c r="N421" s="163"/>
      <c r="O421" s="165"/>
      <c r="P421" s="163"/>
      <c r="Q421" s="163"/>
      <c r="R421" s="163"/>
    </row>
    <row r="422" spans="1:18" ht="12">
      <c r="A422" s="3"/>
      <c r="B422" s="3"/>
      <c r="C422" s="3"/>
      <c r="D422" s="3"/>
      <c r="E422" s="165"/>
      <c r="F422" s="163"/>
      <c r="G422" s="163"/>
      <c r="H422" s="163"/>
      <c r="I422" s="163"/>
      <c r="J422" s="165"/>
      <c r="K422" s="163"/>
      <c r="L422" s="163"/>
      <c r="M422" s="163"/>
      <c r="N422" s="163"/>
      <c r="O422" s="165"/>
      <c r="P422" s="163"/>
      <c r="Q422" s="163"/>
      <c r="R422" s="163"/>
    </row>
    <row r="423" spans="1:18" ht="12">
      <c r="A423" s="3"/>
      <c r="B423" s="3"/>
      <c r="C423" s="3"/>
      <c r="D423" s="3"/>
      <c r="E423" s="165"/>
      <c r="F423" s="163"/>
      <c r="G423" s="163"/>
      <c r="H423" s="163"/>
      <c r="I423" s="163"/>
      <c r="J423" s="165"/>
      <c r="K423" s="163"/>
      <c r="L423" s="163"/>
      <c r="M423" s="163"/>
      <c r="N423" s="163"/>
      <c r="O423" s="165"/>
      <c r="P423" s="163"/>
      <c r="Q423" s="163"/>
      <c r="R423" s="163"/>
    </row>
    <row r="424" spans="1:18" ht="12">
      <c r="A424" s="3"/>
      <c r="B424" s="3"/>
      <c r="C424" s="3"/>
      <c r="D424" s="3"/>
      <c r="E424" s="165"/>
      <c r="F424" s="163"/>
      <c r="G424" s="163"/>
      <c r="H424" s="163"/>
      <c r="I424" s="163"/>
      <c r="J424" s="165"/>
      <c r="K424" s="163"/>
      <c r="L424" s="163"/>
      <c r="M424" s="163"/>
      <c r="N424" s="163"/>
      <c r="O424" s="165"/>
      <c r="P424" s="163"/>
      <c r="Q424" s="163"/>
      <c r="R424" s="163"/>
    </row>
    <row r="425" spans="1:18" ht="12">
      <c r="A425" s="3"/>
      <c r="B425" s="3"/>
      <c r="C425" s="3"/>
      <c r="D425" s="3"/>
      <c r="E425" s="165"/>
      <c r="F425" s="163"/>
      <c r="G425" s="163"/>
      <c r="H425" s="163"/>
      <c r="I425" s="163"/>
      <c r="J425" s="165"/>
      <c r="K425" s="163"/>
      <c r="L425" s="163"/>
      <c r="M425" s="163"/>
      <c r="N425" s="163"/>
      <c r="O425" s="165"/>
      <c r="P425" s="163"/>
      <c r="Q425" s="163"/>
      <c r="R425" s="163"/>
    </row>
    <row r="426" spans="1:18" ht="12">
      <c r="A426" s="3"/>
      <c r="B426" s="3"/>
      <c r="C426" s="3"/>
      <c r="D426" s="3"/>
      <c r="E426" s="165"/>
      <c r="F426" s="163"/>
      <c r="G426" s="163"/>
      <c r="H426" s="163"/>
      <c r="I426" s="163"/>
      <c r="J426" s="165"/>
      <c r="K426" s="163"/>
      <c r="L426" s="163"/>
      <c r="M426" s="163"/>
      <c r="N426" s="163"/>
      <c r="O426" s="165"/>
      <c r="P426" s="163"/>
      <c r="Q426" s="163"/>
      <c r="R426" s="163"/>
    </row>
    <row r="427" spans="1:18" ht="12">
      <c r="A427" s="3"/>
      <c r="B427" s="3"/>
      <c r="C427" s="3"/>
      <c r="D427" s="3"/>
      <c r="E427" s="165"/>
      <c r="F427" s="163"/>
      <c r="G427" s="163"/>
      <c r="H427" s="163"/>
      <c r="I427" s="163"/>
      <c r="J427" s="165"/>
      <c r="K427" s="163"/>
      <c r="L427" s="163"/>
      <c r="M427" s="163"/>
      <c r="N427" s="163"/>
      <c r="O427" s="165"/>
      <c r="P427" s="163"/>
      <c r="Q427" s="163"/>
      <c r="R427" s="163"/>
    </row>
    <row r="428" spans="1:18" ht="12">
      <c r="A428" s="3"/>
      <c r="B428" s="3"/>
      <c r="C428" s="3"/>
      <c r="D428" s="3"/>
      <c r="E428" s="165"/>
      <c r="F428" s="163"/>
      <c r="G428" s="163"/>
      <c r="H428" s="163"/>
      <c r="I428" s="163"/>
      <c r="J428" s="165"/>
      <c r="K428" s="163"/>
      <c r="L428" s="163"/>
      <c r="M428" s="163"/>
      <c r="N428" s="163"/>
      <c r="O428" s="165"/>
      <c r="P428" s="163"/>
      <c r="Q428" s="163"/>
      <c r="R428" s="163"/>
    </row>
    <row r="429" spans="1:18" ht="12">
      <c r="A429" s="3"/>
      <c r="B429" s="3"/>
      <c r="C429" s="3"/>
      <c r="D429" s="3"/>
      <c r="E429" s="165"/>
      <c r="F429" s="163"/>
      <c r="G429" s="163"/>
      <c r="H429" s="163"/>
      <c r="I429" s="163"/>
      <c r="J429" s="165"/>
      <c r="K429" s="163"/>
      <c r="L429" s="163"/>
      <c r="M429" s="163"/>
      <c r="N429" s="163"/>
      <c r="O429" s="165"/>
      <c r="P429" s="163"/>
      <c r="Q429" s="163"/>
      <c r="R429" s="163"/>
    </row>
    <row r="430" spans="1:18" ht="12">
      <c r="A430" s="3"/>
      <c r="B430" s="3"/>
      <c r="C430" s="3"/>
      <c r="D430" s="3"/>
      <c r="E430" s="165"/>
      <c r="F430" s="163"/>
      <c r="G430" s="163"/>
      <c r="H430" s="163"/>
      <c r="I430" s="163"/>
      <c r="J430" s="165"/>
      <c r="K430" s="163"/>
      <c r="L430" s="163"/>
      <c r="M430" s="163"/>
      <c r="N430" s="163"/>
      <c r="O430" s="165"/>
      <c r="P430" s="163"/>
      <c r="Q430" s="163"/>
      <c r="R430" s="163"/>
    </row>
    <row r="431" spans="1:18" ht="12">
      <c r="A431" s="3"/>
      <c r="B431" s="3"/>
      <c r="C431" s="3"/>
      <c r="D431" s="3"/>
      <c r="E431" s="165"/>
      <c r="F431" s="163"/>
      <c r="G431" s="163"/>
      <c r="H431" s="163"/>
      <c r="I431" s="163"/>
      <c r="J431" s="165"/>
      <c r="K431" s="163"/>
      <c r="L431" s="163"/>
      <c r="M431" s="163"/>
      <c r="N431" s="163"/>
      <c r="O431" s="165"/>
      <c r="P431" s="163"/>
      <c r="Q431" s="163"/>
      <c r="R431" s="163"/>
    </row>
    <row r="432" spans="1:18" ht="12">
      <c r="A432" s="3"/>
      <c r="B432" s="3"/>
      <c r="C432" s="3"/>
      <c r="D432" s="3"/>
      <c r="E432" s="165"/>
      <c r="F432" s="163"/>
      <c r="G432" s="163"/>
      <c r="H432" s="163"/>
      <c r="I432" s="163"/>
      <c r="J432" s="165"/>
      <c r="K432" s="163"/>
      <c r="L432" s="163"/>
      <c r="M432" s="163"/>
      <c r="N432" s="163"/>
      <c r="O432" s="165"/>
      <c r="P432" s="163"/>
      <c r="Q432" s="163"/>
      <c r="R432" s="163"/>
    </row>
    <row r="433" spans="1:18" ht="12">
      <c r="A433" s="3"/>
      <c r="B433" s="3"/>
      <c r="C433" s="3"/>
      <c r="D433" s="3"/>
      <c r="E433" s="165"/>
      <c r="F433" s="163"/>
      <c r="G433" s="163"/>
      <c r="H433" s="163"/>
      <c r="I433" s="163"/>
      <c r="J433" s="165"/>
      <c r="K433" s="163"/>
      <c r="L433" s="163"/>
      <c r="M433" s="163"/>
      <c r="N433" s="163"/>
      <c r="O433" s="165"/>
      <c r="P433" s="163"/>
      <c r="Q433" s="163"/>
      <c r="R433" s="163"/>
    </row>
    <row r="434" spans="1:18" ht="12">
      <c r="A434" s="3"/>
      <c r="B434" s="3"/>
      <c r="C434" s="3"/>
      <c r="D434" s="3"/>
      <c r="E434" s="165"/>
      <c r="F434" s="163"/>
      <c r="G434" s="163"/>
      <c r="H434" s="163"/>
      <c r="I434" s="163"/>
      <c r="J434" s="165"/>
      <c r="K434" s="163"/>
      <c r="L434" s="163"/>
      <c r="M434" s="163"/>
      <c r="N434" s="163"/>
      <c r="O434" s="165"/>
      <c r="P434" s="163"/>
      <c r="Q434" s="163"/>
      <c r="R434" s="163"/>
    </row>
    <row r="435" spans="1:18" ht="12">
      <c r="A435" s="3"/>
      <c r="B435" s="3"/>
      <c r="C435" s="3"/>
      <c r="D435" s="3"/>
      <c r="E435" s="165"/>
      <c r="F435" s="163"/>
      <c r="G435" s="163"/>
      <c r="H435" s="163"/>
      <c r="I435" s="163"/>
      <c r="J435" s="165"/>
      <c r="K435" s="163"/>
      <c r="L435" s="163"/>
      <c r="M435" s="163"/>
      <c r="N435" s="163"/>
      <c r="O435" s="165"/>
      <c r="P435" s="163"/>
      <c r="Q435" s="163"/>
      <c r="R435" s="163"/>
    </row>
    <row r="436" spans="1:18" ht="12">
      <c r="A436" s="3"/>
      <c r="B436" s="3"/>
      <c r="C436" s="3"/>
      <c r="D436" s="3"/>
      <c r="E436" s="165"/>
      <c r="F436" s="163"/>
      <c r="G436" s="163"/>
      <c r="H436" s="163"/>
      <c r="I436" s="163"/>
      <c r="J436" s="165"/>
      <c r="K436" s="163"/>
      <c r="L436" s="163"/>
      <c r="M436" s="163"/>
      <c r="N436" s="163"/>
      <c r="O436" s="165"/>
      <c r="P436" s="163"/>
      <c r="Q436" s="163"/>
      <c r="R436" s="163"/>
    </row>
    <row r="437" spans="1:18" ht="12">
      <c r="A437" s="3"/>
      <c r="B437" s="3"/>
      <c r="C437" s="3"/>
      <c r="D437" s="3"/>
      <c r="E437" s="165"/>
      <c r="F437" s="163"/>
      <c r="G437" s="163"/>
      <c r="H437" s="163"/>
      <c r="I437" s="163"/>
      <c r="J437" s="165"/>
      <c r="K437" s="163"/>
      <c r="L437" s="163"/>
      <c r="M437" s="163"/>
      <c r="N437" s="163"/>
      <c r="O437" s="165"/>
      <c r="P437" s="163"/>
      <c r="Q437" s="163"/>
      <c r="R437" s="163"/>
    </row>
    <row r="438" spans="1:18" ht="12">
      <c r="A438" s="3"/>
      <c r="B438" s="3"/>
      <c r="C438" s="3"/>
      <c r="D438" s="3"/>
      <c r="E438" s="165"/>
      <c r="F438" s="163"/>
      <c r="G438" s="163"/>
      <c r="H438" s="163"/>
      <c r="I438" s="163"/>
      <c r="J438" s="165"/>
      <c r="K438" s="163"/>
      <c r="L438" s="163"/>
      <c r="M438" s="163"/>
      <c r="N438" s="163"/>
      <c r="O438" s="165"/>
      <c r="P438" s="163"/>
      <c r="Q438" s="163"/>
      <c r="R438" s="163"/>
    </row>
    <row r="439" spans="1:18" ht="12">
      <c r="A439" s="3"/>
      <c r="B439" s="3"/>
      <c r="C439" s="3"/>
      <c r="D439" s="3"/>
      <c r="E439" s="165"/>
      <c r="F439" s="163"/>
      <c r="G439" s="163"/>
      <c r="H439" s="163"/>
      <c r="I439" s="163"/>
      <c r="J439" s="165"/>
      <c r="K439" s="163"/>
      <c r="L439" s="163"/>
      <c r="M439" s="163"/>
      <c r="N439" s="163"/>
      <c r="O439" s="165"/>
      <c r="P439" s="163"/>
      <c r="Q439" s="163"/>
      <c r="R439" s="163"/>
    </row>
    <row r="440" spans="1:18" ht="12">
      <c r="A440" s="3"/>
      <c r="B440" s="3"/>
      <c r="C440" s="3"/>
      <c r="D440" s="3"/>
      <c r="E440" s="165"/>
      <c r="F440" s="163"/>
      <c r="G440" s="163"/>
      <c r="H440" s="163"/>
      <c r="I440" s="163"/>
      <c r="J440" s="165"/>
      <c r="K440" s="163"/>
      <c r="L440" s="163"/>
      <c r="M440" s="163"/>
      <c r="N440" s="163"/>
      <c r="O440" s="165"/>
      <c r="P440" s="163"/>
      <c r="Q440" s="163"/>
      <c r="R440" s="163"/>
    </row>
    <row r="441" spans="1:18">
      <c r="A441" s="3"/>
      <c r="B441" s="3"/>
      <c r="C441" s="3"/>
      <c r="D441" s="3"/>
      <c r="E441" s="35"/>
      <c r="F441" s="33"/>
      <c r="G441" s="33"/>
      <c r="H441" s="36"/>
      <c r="I441" s="33"/>
      <c r="J441" s="35"/>
      <c r="K441" s="33"/>
      <c r="L441" s="33"/>
      <c r="M441" s="36"/>
      <c r="N441" s="33"/>
      <c r="O441" s="35"/>
      <c r="P441" s="33"/>
      <c r="Q441" s="33"/>
      <c r="R441" s="36"/>
    </row>
    <row r="442" spans="1:18">
      <c r="A442" s="3"/>
      <c r="B442" s="3"/>
      <c r="C442" s="3"/>
      <c r="D442" s="3"/>
      <c r="E442" s="35"/>
      <c r="F442" s="33"/>
      <c r="G442" s="33"/>
      <c r="H442" s="36"/>
      <c r="I442" s="33"/>
      <c r="J442" s="35"/>
      <c r="K442" s="33"/>
      <c r="L442" s="33"/>
      <c r="M442" s="36"/>
      <c r="N442" s="33"/>
      <c r="O442" s="35"/>
      <c r="P442" s="33"/>
      <c r="Q442" s="33"/>
      <c r="R442" s="36"/>
    </row>
    <row r="443" spans="1:18">
      <c r="A443" s="3"/>
      <c r="B443" s="3"/>
      <c r="C443" s="3"/>
      <c r="D443" s="3"/>
      <c r="E443" s="35"/>
      <c r="F443" s="33"/>
      <c r="G443" s="33"/>
      <c r="H443" s="36"/>
      <c r="I443" s="33"/>
      <c r="J443" s="35"/>
      <c r="K443" s="33"/>
      <c r="L443" s="33"/>
      <c r="M443" s="36"/>
      <c r="N443" s="33"/>
      <c r="O443" s="35"/>
      <c r="P443" s="33"/>
      <c r="Q443" s="33"/>
      <c r="R443" s="36"/>
    </row>
    <row r="444" spans="1:18">
      <c r="A444" s="3"/>
      <c r="B444" s="3"/>
      <c r="C444" s="3"/>
      <c r="D444" s="3"/>
      <c r="E444" s="35"/>
      <c r="F444" s="33"/>
      <c r="G444" s="33"/>
      <c r="H444" s="36"/>
      <c r="I444" s="33"/>
      <c r="J444" s="35"/>
      <c r="K444" s="33"/>
      <c r="L444" s="33"/>
      <c r="M444" s="36"/>
      <c r="N444" s="33"/>
      <c r="O444" s="35"/>
      <c r="P444" s="33"/>
      <c r="Q444" s="33"/>
      <c r="R444" s="36"/>
    </row>
    <row r="445" spans="1:18">
      <c r="A445" s="3"/>
      <c r="B445" s="3"/>
      <c r="C445" s="3"/>
      <c r="D445" s="3"/>
      <c r="E445" s="35"/>
      <c r="F445" s="33"/>
      <c r="G445" s="33"/>
      <c r="H445" s="36"/>
      <c r="I445" s="33"/>
      <c r="J445" s="35"/>
      <c r="K445" s="33"/>
      <c r="L445" s="33"/>
      <c r="M445" s="36"/>
      <c r="N445" s="33"/>
      <c r="O445" s="35"/>
      <c r="P445" s="33"/>
      <c r="Q445" s="33"/>
      <c r="R445" s="36"/>
    </row>
    <row r="446" spans="1:18">
      <c r="A446" s="3"/>
      <c r="B446" s="3"/>
      <c r="C446" s="3"/>
      <c r="D446" s="3"/>
      <c r="E446" s="35"/>
      <c r="F446" s="33"/>
      <c r="G446" s="33"/>
      <c r="H446" s="36"/>
      <c r="I446" s="33"/>
      <c r="J446" s="35"/>
      <c r="K446" s="33"/>
      <c r="L446" s="33"/>
      <c r="M446" s="36"/>
      <c r="N446" s="33"/>
      <c r="O446" s="35"/>
      <c r="P446" s="33"/>
      <c r="Q446" s="33"/>
      <c r="R446" s="36"/>
    </row>
    <row r="447" spans="1:18">
      <c r="A447" s="3"/>
      <c r="B447" s="3"/>
      <c r="C447" s="3"/>
      <c r="D447" s="3"/>
      <c r="E447" s="35"/>
      <c r="F447" s="33"/>
      <c r="G447" s="33"/>
      <c r="H447" s="36"/>
      <c r="I447" s="33"/>
      <c r="J447" s="35"/>
      <c r="K447" s="33"/>
      <c r="L447" s="33"/>
      <c r="M447" s="36"/>
      <c r="N447" s="33"/>
      <c r="O447" s="35"/>
      <c r="P447" s="33"/>
      <c r="Q447" s="33"/>
      <c r="R447" s="36"/>
    </row>
    <row r="448" spans="1:18">
      <c r="A448" s="3"/>
      <c r="B448" s="3"/>
      <c r="C448" s="3"/>
      <c r="D448" s="3"/>
      <c r="E448" s="35"/>
      <c r="F448" s="33"/>
      <c r="G448" s="33"/>
      <c r="H448" s="36"/>
      <c r="I448" s="33"/>
      <c r="J448" s="35"/>
      <c r="K448" s="33"/>
      <c r="L448" s="33"/>
      <c r="M448" s="36"/>
      <c r="N448" s="33"/>
      <c r="O448" s="35"/>
      <c r="P448" s="33"/>
      <c r="Q448" s="33"/>
      <c r="R448" s="36"/>
    </row>
    <row r="449" spans="1:18">
      <c r="A449" s="3"/>
      <c r="B449" s="3"/>
      <c r="C449" s="3"/>
      <c r="D449" s="3"/>
      <c r="E449" s="35"/>
      <c r="F449" s="33"/>
      <c r="G449" s="33"/>
      <c r="H449" s="36"/>
      <c r="I449" s="33"/>
      <c r="J449" s="35"/>
      <c r="K449" s="33"/>
      <c r="L449" s="33"/>
      <c r="M449" s="36"/>
      <c r="N449" s="33"/>
      <c r="O449" s="35"/>
      <c r="P449" s="33"/>
      <c r="Q449" s="33"/>
      <c r="R449" s="36"/>
    </row>
    <row r="450" spans="1:18">
      <c r="A450" s="3"/>
      <c r="B450" s="3"/>
      <c r="C450" s="3"/>
      <c r="D450" s="3"/>
      <c r="E450" s="35"/>
      <c r="F450" s="33"/>
      <c r="G450" s="33"/>
      <c r="H450" s="36"/>
      <c r="I450" s="33"/>
      <c r="J450" s="35"/>
      <c r="K450" s="33"/>
      <c r="L450" s="33"/>
      <c r="M450" s="36"/>
      <c r="N450" s="33"/>
      <c r="O450" s="35"/>
      <c r="P450" s="33"/>
      <c r="Q450" s="33"/>
      <c r="R450" s="36"/>
    </row>
    <row r="451" spans="1:18">
      <c r="A451" s="3"/>
      <c r="B451" s="3"/>
      <c r="C451" s="3"/>
      <c r="D451" s="3"/>
      <c r="E451" s="35"/>
      <c r="F451" s="33"/>
      <c r="G451" s="33"/>
      <c r="H451" s="36"/>
      <c r="I451" s="33"/>
      <c r="J451" s="35"/>
      <c r="K451" s="33"/>
      <c r="L451" s="33"/>
      <c r="M451" s="36"/>
      <c r="N451" s="33"/>
      <c r="O451" s="35"/>
      <c r="P451" s="33"/>
      <c r="Q451" s="33"/>
      <c r="R451" s="36"/>
    </row>
    <row r="452" spans="1:18">
      <c r="A452" s="3"/>
      <c r="B452" s="3"/>
      <c r="C452" s="3"/>
      <c r="D452" s="3"/>
      <c r="E452" s="35"/>
      <c r="F452" s="33"/>
      <c r="G452" s="33"/>
      <c r="H452" s="36"/>
      <c r="I452" s="33"/>
      <c r="J452" s="35"/>
      <c r="K452" s="33"/>
      <c r="L452" s="33"/>
      <c r="M452" s="36"/>
      <c r="N452" s="33"/>
      <c r="O452" s="35"/>
      <c r="P452" s="33"/>
      <c r="Q452" s="33"/>
      <c r="R452" s="36"/>
    </row>
    <row r="453" spans="1:18">
      <c r="A453" s="3"/>
      <c r="B453" s="3"/>
      <c r="C453" s="3"/>
      <c r="D453" s="3"/>
      <c r="E453" s="35"/>
      <c r="F453" s="33"/>
      <c r="G453" s="33"/>
      <c r="H453" s="36"/>
      <c r="I453" s="33"/>
      <c r="J453" s="35"/>
      <c r="K453" s="33"/>
      <c r="L453" s="33"/>
      <c r="M453" s="36"/>
      <c r="N453" s="33"/>
      <c r="O453" s="35"/>
      <c r="P453" s="33"/>
      <c r="Q453" s="33"/>
      <c r="R453" s="36"/>
    </row>
    <row r="454" spans="1:18">
      <c r="A454" s="3"/>
      <c r="B454" s="3"/>
      <c r="C454" s="3"/>
      <c r="D454" s="3"/>
      <c r="E454" s="35"/>
      <c r="F454" s="33"/>
      <c r="G454" s="33"/>
      <c r="H454" s="36"/>
      <c r="I454" s="33"/>
      <c r="J454" s="35"/>
      <c r="K454" s="33"/>
      <c r="L454" s="33"/>
      <c r="M454" s="36"/>
      <c r="N454" s="33"/>
      <c r="O454" s="35"/>
      <c r="P454" s="33"/>
      <c r="Q454" s="33"/>
      <c r="R454" s="36"/>
    </row>
    <row r="455" spans="1:18">
      <c r="A455" s="3"/>
      <c r="B455" s="3"/>
      <c r="C455" s="3"/>
      <c r="D455" s="3"/>
      <c r="E455" s="35"/>
      <c r="F455" s="33"/>
      <c r="G455" s="33"/>
      <c r="H455" s="36"/>
      <c r="I455" s="33"/>
      <c r="J455" s="35"/>
      <c r="K455" s="33"/>
      <c r="L455" s="33"/>
      <c r="M455" s="36"/>
      <c r="N455" s="33"/>
      <c r="O455" s="35"/>
      <c r="P455" s="33"/>
      <c r="Q455" s="33"/>
      <c r="R455" s="36"/>
    </row>
    <row r="456" spans="1:18">
      <c r="A456" s="3"/>
      <c r="B456" s="3"/>
      <c r="C456" s="3"/>
      <c r="D456" s="3"/>
      <c r="E456" s="35"/>
      <c r="F456" s="33"/>
      <c r="G456" s="33"/>
      <c r="H456" s="36"/>
      <c r="I456" s="33"/>
      <c r="J456" s="35"/>
      <c r="K456" s="33"/>
      <c r="L456" s="33"/>
      <c r="M456" s="36"/>
      <c r="N456" s="33"/>
      <c r="O456" s="35"/>
      <c r="P456" s="33"/>
      <c r="Q456" s="33"/>
      <c r="R456" s="36"/>
    </row>
    <row r="457" spans="1:18">
      <c r="A457" s="3"/>
      <c r="B457" s="3"/>
      <c r="C457" s="3"/>
      <c r="D457" s="3"/>
      <c r="E457" s="35"/>
      <c r="F457" s="33"/>
      <c r="G457" s="33"/>
      <c r="H457" s="36"/>
      <c r="I457" s="33"/>
      <c r="J457" s="35"/>
      <c r="K457" s="33"/>
      <c r="L457" s="33"/>
      <c r="M457" s="36"/>
      <c r="N457" s="33"/>
      <c r="O457" s="35"/>
      <c r="P457" s="33"/>
      <c r="Q457" s="33"/>
      <c r="R457" s="36"/>
    </row>
    <row r="458" spans="1:18">
      <c r="A458" s="3"/>
      <c r="B458" s="3"/>
      <c r="C458" s="3"/>
      <c r="D458" s="3"/>
      <c r="E458" s="35"/>
      <c r="F458" s="33"/>
      <c r="G458" s="33"/>
      <c r="H458" s="36"/>
      <c r="I458" s="33"/>
      <c r="J458" s="35"/>
      <c r="K458" s="33"/>
      <c r="L458" s="33"/>
      <c r="M458" s="36"/>
      <c r="N458" s="33"/>
      <c r="O458" s="35"/>
      <c r="P458" s="33"/>
      <c r="Q458" s="33"/>
      <c r="R458" s="36"/>
    </row>
    <row r="459" spans="1:18">
      <c r="A459" s="3"/>
      <c r="B459" s="3"/>
      <c r="C459" s="3"/>
      <c r="D459" s="3"/>
      <c r="E459" s="35"/>
      <c r="F459" s="33"/>
      <c r="G459" s="33"/>
      <c r="H459" s="36"/>
      <c r="I459" s="33"/>
      <c r="J459" s="35"/>
      <c r="K459" s="33"/>
      <c r="L459" s="33"/>
      <c r="M459" s="36"/>
      <c r="N459" s="33"/>
      <c r="O459" s="35"/>
      <c r="P459" s="33"/>
      <c r="Q459" s="33"/>
      <c r="R459" s="36"/>
    </row>
    <row r="460" spans="1:18">
      <c r="A460" s="3"/>
      <c r="B460" s="3"/>
      <c r="C460" s="3"/>
      <c r="D460" s="3"/>
      <c r="E460" s="35"/>
      <c r="F460" s="33"/>
      <c r="G460" s="33"/>
      <c r="H460" s="36"/>
      <c r="I460" s="33"/>
      <c r="J460" s="35"/>
      <c r="K460" s="33"/>
      <c r="L460" s="33"/>
      <c r="M460" s="36"/>
      <c r="N460" s="33"/>
      <c r="O460" s="35"/>
      <c r="P460" s="33"/>
      <c r="Q460" s="33"/>
      <c r="R460" s="36"/>
    </row>
    <row r="461" spans="1:18">
      <c r="A461" s="3"/>
      <c r="B461" s="3"/>
      <c r="C461" s="3"/>
      <c r="D461" s="3"/>
      <c r="E461" s="35"/>
      <c r="F461" s="33"/>
      <c r="G461" s="33"/>
      <c r="H461" s="36"/>
      <c r="I461" s="33"/>
      <c r="J461" s="35"/>
      <c r="K461" s="33"/>
      <c r="L461" s="33"/>
      <c r="M461" s="36"/>
      <c r="N461" s="33"/>
      <c r="O461" s="35"/>
      <c r="P461" s="33"/>
      <c r="Q461" s="33"/>
      <c r="R461" s="36"/>
    </row>
    <row r="462" spans="1:18">
      <c r="A462" s="3"/>
      <c r="B462" s="3"/>
      <c r="C462" s="3"/>
      <c r="D462" s="3"/>
      <c r="E462" s="35"/>
      <c r="F462" s="33"/>
      <c r="G462" s="33"/>
      <c r="H462" s="36"/>
      <c r="I462" s="33"/>
      <c r="J462" s="35"/>
      <c r="K462" s="33"/>
      <c r="L462" s="33"/>
      <c r="M462" s="36"/>
      <c r="N462" s="33"/>
      <c r="O462" s="35"/>
      <c r="P462" s="33"/>
      <c r="Q462" s="33"/>
      <c r="R462" s="36"/>
    </row>
    <row r="463" spans="1:18">
      <c r="A463" s="3"/>
      <c r="B463" s="3"/>
      <c r="C463" s="3"/>
      <c r="D463" s="3"/>
      <c r="E463" s="35"/>
      <c r="F463" s="33"/>
      <c r="G463" s="33"/>
      <c r="H463" s="36"/>
      <c r="I463" s="33"/>
      <c r="J463" s="35"/>
      <c r="K463" s="33"/>
      <c r="L463" s="33"/>
      <c r="M463" s="36"/>
      <c r="N463" s="33"/>
      <c r="O463" s="35"/>
      <c r="P463" s="33"/>
      <c r="Q463" s="33"/>
      <c r="R463" s="36"/>
    </row>
    <row r="464" spans="1:18">
      <c r="A464" s="3"/>
      <c r="B464" s="3"/>
      <c r="C464" s="3"/>
      <c r="D464" s="3"/>
      <c r="E464" s="35"/>
      <c r="F464" s="33"/>
      <c r="G464" s="33"/>
      <c r="H464" s="36"/>
      <c r="I464" s="33"/>
      <c r="J464" s="35"/>
      <c r="K464" s="33"/>
      <c r="L464" s="33"/>
      <c r="M464" s="36"/>
      <c r="N464" s="33"/>
      <c r="O464" s="35"/>
      <c r="P464" s="33"/>
      <c r="Q464" s="33"/>
      <c r="R464" s="36"/>
    </row>
    <row r="465" spans="1:18">
      <c r="A465" s="3"/>
      <c r="B465" s="3"/>
      <c r="C465" s="3"/>
      <c r="D465" s="3"/>
      <c r="E465" s="35"/>
      <c r="F465" s="33"/>
      <c r="G465" s="33"/>
      <c r="H465" s="36"/>
      <c r="I465" s="33"/>
      <c r="J465" s="35"/>
      <c r="K465" s="33"/>
      <c r="L465" s="33"/>
      <c r="M465" s="36"/>
      <c r="N465" s="33"/>
      <c r="O465" s="35"/>
      <c r="P465" s="33"/>
      <c r="Q465" s="33"/>
      <c r="R465" s="36"/>
    </row>
    <row r="466" spans="1:18">
      <c r="A466" s="3"/>
      <c r="B466" s="3"/>
      <c r="C466" s="3"/>
      <c r="D466" s="3"/>
      <c r="E466" s="35"/>
      <c r="F466" s="33"/>
      <c r="G466" s="33"/>
      <c r="H466" s="36"/>
      <c r="I466" s="33"/>
      <c r="J466" s="35"/>
      <c r="K466" s="33"/>
      <c r="L466" s="33"/>
      <c r="M466" s="36"/>
      <c r="N466" s="33"/>
      <c r="O466" s="35"/>
      <c r="P466" s="33"/>
      <c r="Q466" s="33"/>
      <c r="R466" s="36"/>
    </row>
    <row r="467" spans="1:18">
      <c r="A467" s="3"/>
      <c r="B467" s="3"/>
      <c r="C467" s="3"/>
      <c r="D467" s="3"/>
      <c r="E467" s="35"/>
      <c r="F467" s="33"/>
      <c r="G467" s="33"/>
      <c r="H467" s="36"/>
      <c r="I467" s="33"/>
      <c r="J467" s="35"/>
      <c r="K467" s="33"/>
      <c r="L467" s="33"/>
      <c r="M467" s="36"/>
      <c r="N467" s="33"/>
      <c r="O467" s="35"/>
      <c r="P467" s="33"/>
      <c r="Q467" s="33"/>
      <c r="R467" s="36"/>
    </row>
    <row r="468" spans="1:18">
      <c r="A468" s="3"/>
      <c r="B468" s="3"/>
      <c r="C468" s="3"/>
      <c r="D468" s="3"/>
      <c r="E468" s="35"/>
      <c r="F468" s="33"/>
      <c r="G468" s="33"/>
      <c r="H468" s="36"/>
      <c r="I468" s="33"/>
      <c r="J468" s="35"/>
      <c r="K468" s="33"/>
      <c r="L468" s="33"/>
      <c r="M468" s="36"/>
      <c r="N468" s="33"/>
      <c r="O468" s="35"/>
      <c r="P468" s="33"/>
      <c r="Q468" s="33"/>
      <c r="R468" s="36"/>
    </row>
    <row r="469" spans="1:18">
      <c r="A469" s="3"/>
      <c r="B469" s="3"/>
      <c r="C469" s="3"/>
      <c r="D469" s="3"/>
      <c r="E469" s="35"/>
      <c r="F469" s="33"/>
      <c r="G469" s="33"/>
      <c r="H469" s="36"/>
      <c r="I469" s="33"/>
      <c r="J469" s="35"/>
      <c r="K469" s="33"/>
      <c r="L469" s="33"/>
      <c r="M469" s="36"/>
      <c r="N469" s="33"/>
      <c r="O469" s="35"/>
      <c r="P469" s="33"/>
      <c r="Q469" s="33"/>
      <c r="R469" s="36"/>
    </row>
    <row r="470" spans="1:18">
      <c r="A470" s="3"/>
      <c r="B470" s="3"/>
      <c r="C470" s="3"/>
      <c r="D470" s="3"/>
      <c r="E470" s="35"/>
      <c r="F470" s="33"/>
      <c r="G470" s="33"/>
      <c r="H470" s="36"/>
      <c r="I470" s="33"/>
      <c r="J470" s="35"/>
      <c r="K470" s="33"/>
      <c r="L470" s="33"/>
      <c r="M470" s="36"/>
      <c r="N470" s="33"/>
      <c r="O470" s="35"/>
      <c r="P470" s="33"/>
      <c r="Q470" s="33"/>
      <c r="R470" s="36"/>
    </row>
    <row r="471" spans="1:18">
      <c r="A471" s="3"/>
      <c r="B471" s="3"/>
      <c r="C471" s="3"/>
      <c r="D471" s="3"/>
      <c r="E471" s="35"/>
      <c r="F471" s="33"/>
      <c r="G471" s="33"/>
      <c r="H471" s="36"/>
      <c r="I471" s="33"/>
      <c r="J471" s="35"/>
      <c r="K471" s="33"/>
      <c r="L471" s="33"/>
      <c r="M471" s="36"/>
      <c r="N471" s="33"/>
      <c r="O471" s="35"/>
      <c r="P471" s="33"/>
      <c r="Q471" s="33"/>
      <c r="R471" s="36"/>
    </row>
    <row r="472" spans="1:18">
      <c r="A472" s="3"/>
      <c r="B472" s="3"/>
      <c r="C472" s="3"/>
      <c r="D472" s="3"/>
      <c r="E472" s="35"/>
      <c r="F472" s="33"/>
      <c r="G472" s="33"/>
      <c r="H472" s="36"/>
      <c r="I472" s="33"/>
      <c r="J472" s="35"/>
      <c r="K472" s="33"/>
      <c r="L472" s="33"/>
      <c r="M472" s="36"/>
      <c r="N472" s="33"/>
      <c r="O472" s="35"/>
      <c r="P472" s="33"/>
      <c r="Q472" s="33"/>
      <c r="R472" s="36"/>
    </row>
    <row r="473" spans="1:18">
      <c r="A473" s="3"/>
      <c r="B473" s="3"/>
      <c r="C473" s="3"/>
      <c r="D473" s="3"/>
      <c r="E473" s="35"/>
      <c r="F473" s="33"/>
      <c r="G473" s="33"/>
      <c r="H473" s="36"/>
      <c r="I473" s="33"/>
      <c r="J473" s="35"/>
      <c r="K473" s="33"/>
      <c r="L473" s="33"/>
      <c r="M473" s="36"/>
      <c r="N473" s="33"/>
      <c r="O473" s="35"/>
      <c r="P473" s="33"/>
      <c r="Q473" s="33"/>
      <c r="R473" s="36"/>
    </row>
    <row r="474" spans="1:18">
      <c r="A474" s="3"/>
      <c r="B474" s="3"/>
      <c r="C474" s="3"/>
      <c r="D474" s="3"/>
      <c r="E474" s="35"/>
      <c r="F474" s="33"/>
      <c r="G474" s="33"/>
      <c r="H474" s="36"/>
      <c r="I474" s="33"/>
      <c r="J474" s="35"/>
      <c r="K474" s="33"/>
      <c r="L474" s="33"/>
      <c r="M474" s="36"/>
      <c r="N474" s="33"/>
      <c r="O474" s="35"/>
      <c r="P474" s="33"/>
      <c r="Q474" s="33"/>
      <c r="R474" s="36"/>
    </row>
    <row r="475" spans="1:18">
      <c r="A475" s="3"/>
      <c r="B475" s="3"/>
      <c r="C475" s="3"/>
      <c r="D475" s="3"/>
      <c r="E475" s="35"/>
      <c r="F475" s="33"/>
      <c r="G475" s="33"/>
      <c r="H475" s="36"/>
      <c r="I475" s="33"/>
      <c r="J475" s="35"/>
      <c r="K475" s="33"/>
      <c r="L475" s="33"/>
      <c r="M475" s="36"/>
      <c r="N475" s="33"/>
      <c r="O475" s="35"/>
      <c r="P475" s="33"/>
      <c r="Q475" s="33"/>
      <c r="R475" s="36"/>
    </row>
    <row r="476" spans="1:18">
      <c r="A476" s="3"/>
      <c r="B476" s="3"/>
      <c r="C476" s="3"/>
      <c r="D476" s="3"/>
      <c r="E476" s="35"/>
      <c r="F476" s="33"/>
      <c r="G476" s="33"/>
      <c r="H476" s="36"/>
      <c r="I476" s="33"/>
      <c r="J476" s="35"/>
      <c r="K476" s="33"/>
      <c r="L476" s="33"/>
      <c r="M476" s="36"/>
      <c r="N476" s="33"/>
      <c r="O476" s="35"/>
      <c r="P476" s="33"/>
      <c r="Q476" s="33"/>
      <c r="R476" s="36"/>
    </row>
    <row r="477" spans="1:18">
      <c r="A477" s="3"/>
      <c r="B477" s="3"/>
      <c r="C477" s="3"/>
      <c r="D477" s="3"/>
      <c r="E477" s="35"/>
      <c r="F477" s="33"/>
      <c r="G477" s="33"/>
      <c r="H477" s="36"/>
      <c r="I477" s="33"/>
      <c r="J477" s="35"/>
      <c r="K477" s="33"/>
      <c r="L477" s="33"/>
      <c r="M477" s="36"/>
      <c r="N477" s="33"/>
      <c r="O477" s="35"/>
      <c r="P477" s="33"/>
      <c r="Q477" s="33"/>
      <c r="R477" s="36"/>
    </row>
    <row r="478" spans="1:18">
      <c r="A478" s="3"/>
      <c r="B478" s="3"/>
      <c r="C478" s="3"/>
      <c r="D478" s="3"/>
      <c r="E478" s="35"/>
      <c r="F478" s="33"/>
      <c r="G478" s="33"/>
      <c r="H478" s="36"/>
      <c r="I478" s="33"/>
      <c r="J478" s="35"/>
      <c r="K478" s="33"/>
      <c r="L478" s="33"/>
      <c r="M478" s="36"/>
      <c r="N478" s="33"/>
      <c r="O478" s="35"/>
      <c r="P478" s="33"/>
      <c r="Q478" s="33"/>
      <c r="R478" s="36"/>
    </row>
    <row r="479" spans="1:18">
      <c r="A479" s="3"/>
      <c r="B479" s="3"/>
      <c r="C479" s="3"/>
      <c r="D479" s="3"/>
      <c r="E479" s="35"/>
      <c r="F479" s="33"/>
      <c r="G479" s="33"/>
      <c r="H479" s="36"/>
      <c r="I479" s="33"/>
      <c r="J479" s="35"/>
      <c r="K479" s="33"/>
      <c r="L479" s="33"/>
      <c r="M479" s="36"/>
      <c r="N479" s="33"/>
      <c r="O479" s="35"/>
      <c r="P479" s="33"/>
      <c r="Q479" s="33"/>
      <c r="R479" s="36"/>
    </row>
    <row r="480" spans="1:18">
      <c r="A480" s="3"/>
      <c r="B480" s="3"/>
      <c r="C480" s="3"/>
      <c r="D480" s="3"/>
      <c r="E480" s="35"/>
      <c r="F480" s="33"/>
      <c r="G480" s="33"/>
      <c r="H480" s="36"/>
      <c r="I480" s="33"/>
      <c r="J480" s="35"/>
      <c r="K480" s="33"/>
      <c r="L480" s="33"/>
      <c r="M480" s="36"/>
      <c r="N480" s="33"/>
      <c r="O480" s="35"/>
      <c r="P480" s="33"/>
      <c r="Q480" s="33"/>
      <c r="R480" s="36"/>
    </row>
    <row r="481" spans="1:18">
      <c r="A481" s="3"/>
      <c r="B481" s="3"/>
      <c r="C481" s="3"/>
      <c r="D481" s="3"/>
      <c r="E481" s="35"/>
      <c r="F481" s="33"/>
      <c r="G481" s="33"/>
      <c r="H481" s="36"/>
      <c r="I481" s="33"/>
      <c r="J481" s="35"/>
      <c r="K481" s="33"/>
      <c r="L481" s="33"/>
      <c r="M481" s="36"/>
      <c r="N481" s="33"/>
      <c r="O481" s="35"/>
      <c r="P481" s="33"/>
      <c r="Q481" s="33"/>
      <c r="R481" s="36"/>
    </row>
    <row r="482" spans="1:18">
      <c r="A482" s="3"/>
      <c r="B482" s="3"/>
      <c r="C482" s="3"/>
      <c r="D482" s="3"/>
      <c r="E482" s="35"/>
      <c r="F482" s="33"/>
      <c r="G482" s="33"/>
      <c r="H482" s="36"/>
      <c r="I482" s="33"/>
      <c r="J482" s="35"/>
      <c r="K482" s="33"/>
      <c r="L482" s="33"/>
      <c r="M482" s="36"/>
      <c r="N482" s="33"/>
      <c r="O482" s="35"/>
      <c r="P482" s="33"/>
      <c r="Q482" s="33"/>
      <c r="R482" s="36"/>
    </row>
    <row r="483" spans="1:18">
      <c r="A483" s="3"/>
      <c r="B483" s="3"/>
      <c r="C483" s="3"/>
      <c r="D483" s="3"/>
      <c r="E483" s="35"/>
      <c r="F483" s="33"/>
      <c r="G483" s="33"/>
      <c r="H483" s="36"/>
      <c r="I483" s="33"/>
      <c r="J483" s="35"/>
      <c r="K483" s="33"/>
      <c r="L483" s="33"/>
      <c r="M483" s="36"/>
      <c r="N483" s="33"/>
      <c r="O483" s="35"/>
      <c r="P483" s="33"/>
      <c r="Q483" s="33"/>
      <c r="R483" s="36"/>
    </row>
    <row r="484" spans="1:18">
      <c r="A484" s="3"/>
      <c r="B484" s="3"/>
      <c r="C484" s="3"/>
      <c r="D484" s="3"/>
      <c r="E484" s="35"/>
      <c r="F484" s="33"/>
      <c r="G484" s="33"/>
      <c r="H484" s="36"/>
      <c r="I484" s="33"/>
      <c r="J484" s="35"/>
      <c r="K484" s="33"/>
      <c r="L484" s="33"/>
      <c r="M484" s="36"/>
      <c r="N484" s="33"/>
      <c r="O484" s="35"/>
      <c r="P484" s="33"/>
      <c r="Q484" s="33"/>
      <c r="R484" s="36"/>
    </row>
    <row r="485" spans="1:18">
      <c r="A485" s="3"/>
      <c r="B485" s="3"/>
      <c r="C485" s="3"/>
      <c r="D485" s="3"/>
      <c r="E485" s="35"/>
      <c r="F485" s="33"/>
      <c r="G485" s="33"/>
      <c r="H485" s="36"/>
      <c r="I485" s="33"/>
      <c r="J485" s="35"/>
      <c r="K485" s="33"/>
      <c r="L485" s="33"/>
      <c r="M485" s="36"/>
      <c r="N485" s="33"/>
      <c r="O485" s="35"/>
      <c r="P485" s="33"/>
      <c r="Q485" s="33"/>
      <c r="R485" s="36"/>
    </row>
    <row r="486" spans="1:18">
      <c r="A486" s="3"/>
      <c r="B486" s="3"/>
      <c r="C486" s="3"/>
      <c r="D486" s="3"/>
      <c r="E486" s="35"/>
      <c r="F486" s="33"/>
      <c r="G486" s="33"/>
      <c r="H486" s="36"/>
      <c r="I486" s="33"/>
      <c r="J486" s="35"/>
      <c r="K486" s="33"/>
      <c r="L486" s="33"/>
      <c r="M486" s="36"/>
      <c r="N486" s="33"/>
      <c r="O486" s="35"/>
      <c r="P486" s="33"/>
      <c r="Q486" s="33"/>
      <c r="R486" s="36"/>
    </row>
    <row r="487" spans="1:18">
      <c r="A487" s="3"/>
      <c r="B487" s="3"/>
      <c r="C487" s="3"/>
      <c r="D487" s="3"/>
      <c r="E487" s="35"/>
      <c r="F487" s="33"/>
      <c r="G487" s="33"/>
      <c r="H487" s="36"/>
      <c r="I487" s="33"/>
      <c r="J487" s="35"/>
      <c r="K487" s="33"/>
      <c r="L487" s="33"/>
      <c r="M487" s="36"/>
      <c r="N487" s="33"/>
      <c r="O487" s="35"/>
      <c r="P487" s="33"/>
      <c r="Q487" s="33"/>
      <c r="R487" s="36"/>
    </row>
    <row r="488" spans="1:18">
      <c r="A488" s="3"/>
      <c r="B488" s="3"/>
      <c r="C488" s="3"/>
      <c r="D488" s="3"/>
      <c r="E488" s="35"/>
      <c r="F488" s="33"/>
      <c r="G488" s="33"/>
      <c r="H488" s="36"/>
      <c r="I488" s="33"/>
      <c r="J488" s="35"/>
      <c r="K488" s="33"/>
      <c r="L488" s="33"/>
      <c r="M488" s="36"/>
      <c r="N488" s="33"/>
      <c r="O488" s="35"/>
      <c r="P488" s="33"/>
      <c r="Q488" s="33"/>
      <c r="R488" s="36"/>
    </row>
    <row r="489" spans="1:18">
      <c r="A489" s="3"/>
      <c r="B489" s="3"/>
      <c r="C489" s="3"/>
      <c r="D489" s="3"/>
      <c r="E489" s="35"/>
      <c r="F489" s="33"/>
      <c r="G489" s="33"/>
      <c r="H489" s="36"/>
      <c r="I489" s="33"/>
      <c r="J489" s="35"/>
      <c r="K489" s="33"/>
      <c r="L489" s="33"/>
      <c r="M489" s="36"/>
      <c r="N489" s="33"/>
      <c r="O489" s="35"/>
      <c r="P489" s="33"/>
      <c r="Q489" s="33"/>
      <c r="R489" s="36"/>
    </row>
    <row r="490" spans="1:18">
      <c r="A490" s="3"/>
      <c r="B490" s="3"/>
      <c r="C490" s="3"/>
      <c r="D490" s="3"/>
      <c r="E490" s="35"/>
      <c r="F490" s="33"/>
      <c r="G490" s="33"/>
      <c r="H490" s="36"/>
      <c r="I490" s="33"/>
      <c r="J490" s="35"/>
      <c r="K490" s="33"/>
      <c r="L490" s="33"/>
      <c r="M490" s="36"/>
      <c r="N490" s="33"/>
      <c r="O490" s="35"/>
      <c r="P490" s="33"/>
      <c r="Q490" s="33"/>
      <c r="R490" s="36"/>
    </row>
    <row r="491" spans="1:18">
      <c r="A491" s="3"/>
      <c r="B491" s="3"/>
      <c r="C491" s="3"/>
      <c r="D491" s="3"/>
      <c r="E491" s="35"/>
      <c r="F491" s="33"/>
      <c r="G491" s="33"/>
      <c r="H491" s="36"/>
      <c r="I491" s="33"/>
      <c r="J491" s="35"/>
      <c r="K491" s="33"/>
      <c r="L491" s="33"/>
      <c r="M491" s="36"/>
      <c r="N491" s="33"/>
      <c r="O491" s="35"/>
      <c r="P491" s="33"/>
      <c r="Q491" s="33"/>
      <c r="R491" s="36"/>
    </row>
    <row r="492" spans="1:18">
      <c r="A492" s="3"/>
      <c r="B492" s="3"/>
      <c r="C492" s="3"/>
      <c r="D492" s="3"/>
      <c r="E492" s="35"/>
      <c r="F492" s="33"/>
      <c r="G492" s="33"/>
      <c r="H492" s="36"/>
      <c r="I492" s="33"/>
      <c r="J492" s="35"/>
      <c r="K492" s="33"/>
      <c r="L492" s="33"/>
      <c r="M492" s="36"/>
      <c r="N492" s="33"/>
      <c r="O492" s="35"/>
      <c r="P492" s="33"/>
      <c r="Q492" s="33"/>
      <c r="R492" s="36"/>
    </row>
    <row r="493" spans="1:18">
      <c r="A493" s="3"/>
      <c r="B493" s="3"/>
      <c r="C493" s="3"/>
      <c r="D493" s="3"/>
      <c r="E493" s="35"/>
      <c r="F493" s="33"/>
      <c r="G493" s="33"/>
      <c r="H493" s="36"/>
      <c r="I493" s="33"/>
      <c r="J493" s="35"/>
      <c r="K493" s="33"/>
      <c r="L493" s="33"/>
      <c r="M493" s="36"/>
      <c r="N493" s="33"/>
      <c r="O493" s="35"/>
      <c r="P493" s="33"/>
      <c r="Q493" s="33"/>
      <c r="R493" s="36"/>
    </row>
    <row r="494" spans="1:18">
      <c r="A494" s="3"/>
      <c r="B494" s="3"/>
      <c r="C494" s="3"/>
      <c r="D494" s="3"/>
      <c r="E494" s="35"/>
      <c r="F494" s="33"/>
      <c r="G494" s="33"/>
      <c r="H494" s="36"/>
      <c r="I494" s="33"/>
      <c r="J494" s="35"/>
      <c r="K494" s="33"/>
      <c r="L494" s="33"/>
      <c r="M494" s="36"/>
      <c r="N494" s="33"/>
      <c r="O494" s="35"/>
      <c r="P494" s="33"/>
      <c r="Q494" s="33"/>
      <c r="R494" s="36"/>
    </row>
  </sheetData>
  <mergeCells count="23">
    <mergeCell ref="A5:A7"/>
    <mergeCell ref="B5:B7"/>
    <mergeCell ref="C5:C7"/>
    <mergeCell ref="I5:I7"/>
    <mergeCell ref="R5:R7"/>
    <mergeCell ref="L6:L7"/>
    <mergeCell ref="O6:O7"/>
    <mergeCell ref="Q6:Q7"/>
    <mergeCell ref="J6:J7"/>
    <mergeCell ref="J5:L5"/>
    <mergeCell ref="M5:M7"/>
    <mergeCell ref="N5:N7"/>
    <mergeCell ref="O5:Q5"/>
    <mergeCell ref="P6:P7"/>
    <mergeCell ref="K6:K7"/>
    <mergeCell ref="F6:F7"/>
    <mergeCell ref="B2:H2"/>
    <mergeCell ref="B3:H3"/>
    <mergeCell ref="D5:D7"/>
    <mergeCell ref="E5:G5"/>
    <mergeCell ref="H5:H7"/>
    <mergeCell ref="E6:E7"/>
    <mergeCell ref="G6:G7"/>
  </mergeCells>
  <phoneticPr fontId="27" type="noConversion"/>
  <pageMargins left="0.27559055118110237" right="0.27559055118110237" top="0.39370078740157483" bottom="0.43307086614173229" header="0.23622047244094491" footer="0.23622047244094491"/>
  <pageSetup paperSize="9" scale="60" orientation="landscape" r:id="rId1"/>
  <headerFooter alignWithMargins="0">
    <oddFooter>&amp;L&amp;F&amp;C&amp;P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C000"/>
  </sheetPr>
  <dimension ref="A1:R401"/>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C41" sqref="C41"/>
    </sheetView>
  </sheetViews>
  <sheetFormatPr defaultColWidth="9.109375" defaultRowHeight="10.199999999999999"/>
  <cols>
    <col min="1" max="1" width="12.44140625" style="57" customWidth="1"/>
    <col min="2" max="2" width="40.33203125" style="56" customWidth="1"/>
    <col min="3" max="3" width="12.44140625" style="58" customWidth="1"/>
    <col min="4" max="4" width="10.88671875" style="58" customWidth="1"/>
    <col min="5" max="5" width="12" style="274" customWidth="1"/>
    <col min="6" max="7" width="11.44140625" style="544" customWidth="1"/>
    <col min="8" max="8" width="11.6640625" style="533" customWidth="1"/>
    <col min="9" max="9" width="11.44140625" style="274" customWidth="1"/>
    <col min="10" max="10" width="12" style="274" customWidth="1"/>
    <col min="11" max="12" width="11.44140625" style="274" customWidth="1"/>
    <col min="13" max="13" width="11.6640625" style="533" customWidth="1"/>
    <col min="14" max="14" width="11.44140625" style="274" customWidth="1"/>
    <col min="15" max="15" width="12" style="274" customWidth="1"/>
    <col min="16" max="17" width="11.44140625" style="274" customWidth="1"/>
    <col min="18" max="18" width="11.6640625" style="533" customWidth="1"/>
    <col min="19" max="16384" width="9.109375" style="12"/>
  </cols>
  <sheetData>
    <row r="1" spans="1:18" s="3" customFormat="1" ht="13.2">
      <c r="A1" s="216"/>
      <c r="B1" s="216"/>
      <c r="C1" s="216"/>
      <c r="D1" s="216"/>
      <c r="E1" s="216"/>
      <c r="F1" s="536"/>
      <c r="G1" s="536"/>
      <c r="H1" s="531"/>
      <c r="I1" s="422"/>
      <c r="J1" s="422"/>
      <c r="K1" s="422"/>
      <c r="L1" s="422"/>
      <c r="M1" s="531"/>
      <c r="N1" s="422"/>
      <c r="O1" s="422"/>
      <c r="P1" s="422"/>
      <c r="Q1" s="422"/>
      <c r="R1" s="531"/>
    </row>
    <row r="2" spans="1:18" s="3" customFormat="1" ht="13.2">
      <c r="A2" s="219"/>
      <c r="B2" s="1399"/>
      <c r="C2" s="1399"/>
      <c r="D2" s="1399"/>
      <c r="E2" s="1399"/>
      <c r="F2" s="1399"/>
      <c r="G2" s="1399"/>
      <c r="H2" s="1399"/>
      <c r="I2" s="423"/>
      <c r="J2" s="423"/>
      <c r="K2" s="423"/>
      <c r="L2" s="423"/>
      <c r="M2" s="220"/>
      <c r="N2" s="423"/>
      <c r="O2" s="423"/>
      <c r="P2" s="423"/>
      <c r="Q2" s="423"/>
      <c r="R2" s="220"/>
    </row>
    <row r="3" spans="1:18" s="1" customFormat="1" ht="12.75" customHeight="1">
      <c r="A3" s="221"/>
      <c r="B3" s="1400" t="s">
        <v>489</v>
      </c>
      <c r="C3" s="1400"/>
      <c r="D3" s="1400"/>
      <c r="E3" s="1400"/>
      <c r="F3" s="1400"/>
      <c r="G3" s="1400"/>
      <c r="H3" s="1400"/>
      <c r="I3" s="834"/>
      <c r="J3" s="834"/>
      <c r="K3" s="834"/>
      <c r="L3" s="834"/>
      <c r="M3" s="220"/>
      <c r="N3" s="834"/>
      <c r="O3" s="834"/>
      <c r="P3" s="834"/>
      <c r="Q3" s="834"/>
      <c r="R3" s="220"/>
    </row>
    <row r="4" spans="1:18" s="1" customFormat="1" ht="13.2">
      <c r="A4" s="221"/>
      <c r="B4" s="834"/>
      <c r="C4" s="222"/>
      <c r="D4" s="834"/>
      <c r="E4" s="834"/>
      <c r="F4" s="834"/>
      <c r="G4" s="834"/>
      <c r="H4" s="834"/>
      <c r="I4" s="834"/>
      <c r="J4" s="834"/>
      <c r="K4" s="834"/>
      <c r="L4" s="834"/>
      <c r="M4" s="834"/>
      <c r="N4" s="834"/>
      <c r="O4" s="834"/>
      <c r="P4" s="834"/>
      <c r="Q4" s="834"/>
      <c r="R4" s="834"/>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94"/>
      <c r="B9" s="392" t="s">
        <v>1</v>
      </c>
      <c r="C9" s="395"/>
      <c r="D9" s="395"/>
      <c r="E9" s="226"/>
      <c r="F9" s="365"/>
      <c r="G9" s="365"/>
      <c r="H9" s="226"/>
      <c r="I9" s="365"/>
      <c r="J9" s="226"/>
      <c r="K9" s="365"/>
      <c r="L9" s="365"/>
      <c r="M9" s="226"/>
      <c r="N9" s="365"/>
      <c r="O9" s="226"/>
      <c r="P9" s="365"/>
      <c r="Q9" s="365"/>
      <c r="R9" s="226"/>
    </row>
    <row r="10" spans="1:18" s="4" customFormat="1" ht="20.399999999999999">
      <c r="A10" s="129" t="s">
        <v>201</v>
      </c>
      <c r="B10" s="123" t="s">
        <v>88</v>
      </c>
      <c r="C10" s="167">
        <v>535306623</v>
      </c>
      <c r="D10" s="167">
        <v>534746658</v>
      </c>
      <c r="E10" s="228">
        <f>E11+E12+E14+E32</f>
        <v>6500</v>
      </c>
      <c r="F10" s="228">
        <f>F11+F12+F14+F32</f>
        <v>9248447</v>
      </c>
      <c r="G10" s="228">
        <f>G11+G12+G14+G32</f>
        <v>12182020</v>
      </c>
      <c r="H10" s="243">
        <f t="shared" ref="H10:H73" si="0">SUM(D10:G10)</f>
        <v>556183625</v>
      </c>
      <c r="I10" s="228">
        <v>592419463</v>
      </c>
      <c r="J10" s="228">
        <f>J11+J12+J14+J32</f>
        <v>0</v>
      </c>
      <c r="K10" s="228">
        <f>K11+K12+K14+K32</f>
        <v>10502589</v>
      </c>
      <c r="L10" s="228">
        <f>L11+L12+L14+L32</f>
        <v>24562794</v>
      </c>
      <c r="M10" s="243">
        <f t="shared" ref="M10:M73" si="1">SUM(I10:L10)</f>
        <v>627484846</v>
      </c>
      <c r="N10" s="228">
        <v>613218755</v>
      </c>
      <c r="O10" s="228">
        <f>O11+O12+O14+O32</f>
        <v>0</v>
      </c>
      <c r="P10" s="228">
        <f>P11+P12+P14+P32</f>
        <v>5417447</v>
      </c>
      <c r="Q10" s="228">
        <f>Q11+Q12+Q14+Q32</f>
        <v>20291268</v>
      </c>
      <c r="R10" s="243">
        <f t="shared" ref="R10:R73" si="2">SUM(N10:Q10)</f>
        <v>638927470</v>
      </c>
    </row>
    <row r="11" spans="1:18" s="3" customFormat="1" ht="22.8">
      <c r="A11" s="130" t="s">
        <v>177</v>
      </c>
      <c r="B11" s="124" t="s">
        <v>90</v>
      </c>
      <c r="C11" s="169">
        <v>1709631</v>
      </c>
      <c r="D11" s="169">
        <v>2049631</v>
      </c>
      <c r="E11" s="231"/>
      <c r="F11" s="231"/>
      <c r="G11" s="231"/>
      <c r="H11" s="233">
        <f t="shared" si="0"/>
        <v>2049631</v>
      </c>
      <c r="I11" s="231">
        <v>2059631</v>
      </c>
      <c r="J11" s="231"/>
      <c r="K11" s="231"/>
      <c r="L11" s="231"/>
      <c r="M11" s="233">
        <f t="shared" si="1"/>
        <v>2059631</v>
      </c>
      <c r="N11" s="231">
        <v>2109631</v>
      </c>
      <c r="O11" s="231"/>
      <c r="P11" s="231"/>
      <c r="Q11" s="231"/>
      <c r="R11" s="233">
        <f t="shared" si="2"/>
        <v>2109631</v>
      </c>
    </row>
    <row r="12" spans="1:18" s="3" customFormat="1" ht="12">
      <c r="A12" s="130" t="s">
        <v>91</v>
      </c>
      <c r="B12" s="124" t="s">
        <v>92</v>
      </c>
      <c r="C12" s="169">
        <v>5565484</v>
      </c>
      <c r="D12" s="169">
        <v>3618987</v>
      </c>
      <c r="E12" s="231"/>
      <c r="F12" s="231"/>
      <c r="G12" s="231"/>
      <c r="H12" s="233">
        <f t="shared" si="0"/>
        <v>3618987</v>
      </c>
      <c r="I12" s="231">
        <v>2587184</v>
      </c>
      <c r="J12" s="231"/>
      <c r="K12" s="231"/>
      <c r="L12" s="231"/>
      <c r="M12" s="233">
        <f t="shared" si="1"/>
        <v>2587184</v>
      </c>
      <c r="N12" s="231">
        <v>3291350</v>
      </c>
      <c r="O12" s="231"/>
      <c r="P12" s="231"/>
      <c r="Q12" s="231"/>
      <c r="R12" s="233">
        <f t="shared" si="2"/>
        <v>3291350</v>
      </c>
    </row>
    <row r="13" spans="1:18" s="3" customFormat="1" ht="12" customHeight="1">
      <c r="A13" s="131">
        <v>21210</v>
      </c>
      <c r="B13" s="125" t="s">
        <v>93</v>
      </c>
      <c r="C13" s="169">
        <v>4489691</v>
      </c>
      <c r="D13" s="169">
        <v>2686487</v>
      </c>
      <c r="E13" s="231"/>
      <c r="F13" s="231"/>
      <c r="G13" s="231"/>
      <c r="H13" s="233">
        <f t="shared" si="0"/>
        <v>2686487</v>
      </c>
      <c r="I13" s="231">
        <v>1802122</v>
      </c>
      <c r="J13" s="231"/>
      <c r="K13" s="231"/>
      <c r="L13" s="231"/>
      <c r="M13" s="233">
        <f t="shared" si="1"/>
        <v>1802122</v>
      </c>
      <c r="N13" s="231">
        <v>2750659</v>
      </c>
      <c r="O13" s="231"/>
      <c r="P13" s="231"/>
      <c r="Q13" s="231"/>
      <c r="R13" s="233">
        <f t="shared" si="2"/>
        <v>2750659</v>
      </c>
    </row>
    <row r="14" spans="1:18" s="3" customFormat="1" ht="21" hidden="1" customHeight="1">
      <c r="A14" s="130" t="s">
        <v>178</v>
      </c>
      <c r="B14" s="124" t="s">
        <v>94</v>
      </c>
      <c r="C14" s="171">
        <v>0</v>
      </c>
      <c r="D14" s="171">
        <v>0</v>
      </c>
      <c r="E14" s="233">
        <f>E15+E21</f>
        <v>0</v>
      </c>
      <c r="F14" s="233">
        <f>F15+F21</f>
        <v>0</v>
      </c>
      <c r="G14" s="233">
        <f>G15+G21</f>
        <v>0</v>
      </c>
      <c r="H14" s="233">
        <f t="shared" si="0"/>
        <v>0</v>
      </c>
      <c r="I14" s="233">
        <v>0</v>
      </c>
      <c r="J14" s="233">
        <f>J15+J21</f>
        <v>0</v>
      </c>
      <c r="K14" s="233">
        <f>K15+K21</f>
        <v>0</v>
      </c>
      <c r="L14" s="233">
        <f>L15+L21</f>
        <v>0</v>
      </c>
      <c r="M14" s="233">
        <f t="shared" si="1"/>
        <v>0</v>
      </c>
      <c r="N14" s="233">
        <v>0</v>
      </c>
      <c r="O14" s="233">
        <f>O15+O21</f>
        <v>0</v>
      </c>
      <c r="P14" s="233">
        <f>P15+P21</f>
        <v>0</v>
      </c>
      <c r="Q14" s="233">
        <f>Q15+Q21</f>
        <v>0</v>
      </c>
      <c r="R14" s="233">
        <f t="shared" si="2"/>
        <v>0</v>
      </c>
    </row>
    <row r="15" spans="1:18" s="3" customFormat="1" ht="12" hidden="1" customHeight="1">
      <c r="A15" s="132">
        <v>18000</v>
      </c>
      <c r="B15" s="125" t="s">
        <v>95</v>
      </c>
      <c r="C15" s="171">
        <v>0</v>
      </c>
      <c r="D15" s="171">
        <v>0</v>
      </c>
      <c r="E15" s="233">
        <f t="shared" ref="E15:L16" si="3">E16</f>
        <v>0</v>
      </c>
      <c r="F15" s="233">
        <f t="shared" si="3"/>
        <v>0</v>
      </c>
      <c r="G15" s="233">
        <f t="shared" si="3"/>
        <v>0</v>
      </c>
      <c r="H15" s="233">
        <f t="shared" si="0"/>
        <v>0</v>
      </c>
      <c r="I15" s="233">
        <v>0</v>
      </c>
      <c r="J15" s="233">
        <f t="shared" si="3"/>
        <v>0</v>
      </c>
      <c r="K15" s="233">
        <f t="shared" si="3"/>
        <v>0</v>
      </c>
      <c r="L15" s="233">
        <f t="shared" si="3"/>
        <v>0</v>
      </c>
      <c r="M15" s="233">
        <f t="shared" si="1"/>
        <v>0</v>
      </c>
      <c r="N15" s="233">
        <v>0</v>
      </c>
      <c r="O15" s="233">
        <f>O16</f>
        <v>0</v>
      </c>
      <c r="P15" s="233">
        <f>P16</f>
        <v>0</v>
      </c>
      <c r="Q15" s="233">
        <f t="shared" ref="Q15:Q16" si="4">Q16</f>
        <v>0</v>
      </c>
      <c r="R15" s="233">
        <f t="shared" si="2"/>
        <v>0</v>
      </c>
    </row>
    <row r="16" spans="1:18" s="3" customFormat="1" ht="12" hidden="1" customHeight="1">
      <c r="A16" s="132">
        <v>18100</v>
      </c>
      <c r="B16" s="125" t="s">
        <v>96</v>
      </c>
      <c r="C16" s="171">
        <v>0</v>
      </c>
      <c r="D16" s="171">
        <v>0</v>
      </c>
      <c r="E16" s="233">
        <f>E17</f>
        <v>0</v>
      </c>
      <c r="F16" s="233">
        <f t="shared" si="3"/>
        <v>0</v>
      </c>
      <c r="G16" s="233">
        <f t="shared" si="3"/>
        <v>0</v>
      </c>
      <c r="H16" s="233">
        <f t="shared" si="0"/>
        <v>0</v>
      </c>
      <c r="I16" s="233">
        <v>0</v>
      </c>
      <c r="J16" s="233">
        <f>J17</f>
        <v>0</v>
      </c>
      <c r="K16" s="233">
        <f t="shared" si="3"/>
        <v>0</v>
      </c>
      <c r="L16" s="233">
        <f t="shared" si="3"/>
        <v>0</v>
      </c>
      <c r="M16" s="233">
        <f t="shared" si="1"/>
        <v>0</v>
      </c>
      <c r="N16" s="233">
        <v>0</v>
      </c>
      <c r="O16" s="233">
        <f>O17</f>
        <v>0</v>
      </c>
      <c r="P16" s="233">
        <f>P17</f>
        <v>0</v>
      </c>
      <c r="Q16" s="233">
        <f t="shared" si="4"/>
        <v>0</v>
      </c>
      <c r="R16" s="233">
        <f t="shared" si="2"/>
        <v>0</v>
      </c>
    </row>
    <row r="17" spans="1:18" s="4" customFormat="1" ht="24" hidden="1" customHeight="1">
      <c r="A17" s="133">
        <v>18130</v>
      </c>
      <c r="B17" s="172" t="s">
        <v>159</v>
      </c>
      <c r="C17" s="171">
        <v>0</v>
      </c>
      <c r="D17" s="171">
        <v>0</v>
      </c>
      <c r="E17" s="233">
        <f>SUM(E18:E20)</f>
        <v>0</v>
      </c>
      <c r="F17" s="233">
        <f>SUM(F18:F20)</f>
        <v>0</v>
      </c>
      <c r="G17" s="233">
        <f>SUM(G18:G20)</f>
        <v>0</v>
      </c>
      <c r="H17" s="233">
        <f t="shared" si="0"/>
        <v>0</v>
      </c>
      <c r="I17" s="233">
        <v>0</v>
      </c>
      <c r="J17" s="233">
        <f>SUM(J18:J20)</f>
        <v>0</v>
      </c>
      <c r="K17" s="233">
        <f>SUM(K18:K20)</f>
        <v>0</v>
      </c>
      <c r="L17" s="233">
        <f>SUM(L18:L20)</f>
        <v>0</v>
      </c>
      <c r="M17" s="233">
        <f t="shared" si="1"/>
        <v>0</v>
      </c>
      <c r="N17" s="233">
        <v>0</v>
      </c>
      <c r="O17" s="233">
        <f>SUM(O18:O20)</f>
        <v>0</v>
      </c>
      <c r="P17" s="233">
        <f>SUM(P18:P20)</f>
        <v>0</v>
      </c>
      <c r="Q17" s="233">
        <f>SUM(Q18:Q20)</f>
        <v>0</v>
      </c>
      <c r="R17" s="233">
        <f t="shared" si="2"/>
        <v>0</v>
      </c>
    </row>
    <row r="18" spans="1:18" s="6" customFormat="1" ht="36" hidden="1" customHeight="1">
      <c r="A18" s="134">
        <v>18131</v>
      </c>
      <c r="B18" s="172" t="s">
        <v>160</v>
      </c>
      <c r="C18" s="171"/>
      <c r="D18" s="171">
        <v>0</v>
      </c>
      <c r="E18" s="233"/>
      <c r="F18" s="233"/>
      <c r="G18" s="233"/>
      <c r="H18" s="233">
        <f t="shared" si="0"/>
        <v>0</v>
      </c>
      <c r="I18" s="233">
        <v>0</v>
      </c>
      <c r="J18" s="233"/>
      <c r="K18" s="233"/>
      <c r="L18" s="233"/>
      <c r="M18" s="233">
        <f t="shared" si="1"/>
        <v>0</v>
      </c>
      <c r="N18" s="233">
        <v>0</v>
      </c>
      <c r="O18" s="233"/>
      <c r="P18" s="233"/>
      <c r="Q18" s="233"/>
      <c r="R18" s="233">
        <f t="shared" si="2"/>
        <v>0</v>
      </c>
    </row>
    <row r="19" spans="1:18" s="6" customFormat="1" ht="24" hidden="1" customHeight="1">
      <c r="A19" s="134">
        <v>18132</v>
      </c>
      <c r="B19" s="172" t="s">
        <v>169</v>
      </c>
      <c r="C19" s="171"/>
      <c r="D19" s="171">
        <v>0</v>
      </c>
      <c r="E19" s="233"/>
      <c r="F19" s="233"/>
      <c r="G19" s="233"/>
      <c r="H19" s="233">
        <f t="shared" si="0"/>
        <v>0</v>
      </c>
      <c r="I19" s="233">
        <v>0</v>
      </c>
      <c r="J19" s="233"/>
      <c r="K19" s="233"/>
      <c r="L19" s="233"/>
      <c r="M19" s="233">
        <f t="shared" si="1"/>
        <v>0</v>
      </c>
      <c r="N19" s="233">
        <v>0</v>
      </c>
      <c r="O19" s="233"/>
      <c r="P19" s="233"/>
      <c r="Q19" s="233"/>
      <c r="R19" s="233">
        <f t="shared" si="2"/>
        <v>0</v>
      </c>
    </row>
    <row r="20" spans="1:18" s="6" customFormat="1" ht="24" hidden="1" customHeight="1">
      <c r="A20" s="134">
        <v>18139</v>
      </c>
      <c r="B20" s="172" t="s">
        <v>179</v>
      </c>
      <c r="C20" s="171"/>
      <c r="D20" s="171">
        <v>0</v>
      </c>
      <c r="E20" s="233"/>
      <c r="F20" s="233"/>
      <c r="G20" s="233"/>
      <c r="H20" s="233">
        <f t="shared" si="0"/>
        <v>0</v>
      </c>
      <c r="I20" s="233">
        <v>0</v>
      </c>
      <c r="J20" s="233"/>
      <c r="K20" s="233"/>
      <c r="L20" s="233"/>
      <c r="M20" s="233">
        <f t="shared" si="1"/>
        <v>0</v>
      </c>
      <c r="N20" s="233">
        <v>0</v>
      </c>
      <c r="O20" s="233"/>
      <c r="P20" s="233"/>
      <c r="Q20" s="233"/>
      <c r="R20" s="233">
        <f t="shared" si="2"/>
        <v>0</v>
      </c>
    </row>
    <row r="21" spans="1:18" s="6" customFormat="1" ht="12" hidden="1" customHeight="1">
      <c r="A21" s="135" t="s">
        <v>180</v>
      </c>
      <c r="B21" s="173" t="s">
        <v>173</v>
      </c>
      <c r="C21" s="174">
        <v>0</v>
      </c>
      <c r="D21" s="174">
        <v>0</v>
      </c>
      <c r="E21" s="238">
        <f t="shared" ref="E21:L21" si="5">E22</f>
        <v>0</v>
      </c>
      <c r="F21" s="238">
        <f t="shared" si="5"/>
        <v>0</v>
      </c>
      <c r="G21" s="238">
        <f t="shared" si="5"/>
        <v>0</v>
      </c>
      <c r="H21" s="233">
        <f t="shared" si="0"/>
        <v>0</v>
      </c>
      <c r="I21" s="238">
        <v>0</v>
      </c>
      <c r="J21" s="238">
        <f t="shared" si="5"/>
        <v>0</v>
      </c>
      <c r="K21" s="238">
        <f t="shared" si="5"/>
        <v>0</v>
      </c>
      <c r="L21" s="238">
        <f t="shared" si="5"/>
        <v>0</v>
      </c>
      <c r="M21" s="233">
        <f t="shared" si="1"/>
        <v>0</v>
      </c>
      <c r="N21" s="238">
        <v>0</v>
      </c>
      <c r="O21" s="238">
        <f>O22</f>
        <v>0</v>
      </c>
      <c r="P21" s="238">
        <f>P22</f>
        <v>0</v>
      </c>
      <c r="Q21" s="238">
        <f t="shared" ref="Q21" si="6">Q22</f>
        <v>0</v>
      </c>
      <c r="R21" s="233">
        <f t="shared" si="2"/>
        <v>0</v>
      </c>
    </row>
    <row r="22" spans="1:18" s="6" customFormat="1" ht="24" hidden="1" customHeight="1">
      <c r="A22" s="135">
        <v>19500</v>
      </c>
      <c r="B22" s="172" t="s">
        <v>174</v>
      </c>
      <c r="C22" s="171">
        <v>0</v>
      </c>
      <c r="D22" s="171">
        <v>0</v>
      </c>
      <c r="E22" s="233">
        <f>SUM(E23:E25)</f>
        <v>0</v>
      </c>
      <c r="F22" s="233">
        <f>SUM(F23:F25)</f>
        <v>0</v>
      </c>
      <c r="G22" s="233">
        <f>SUM(G23:G25)</f>
        <v>0</v>
      </c>
      <c r="H22" s="233">
        <f t="shared" si="0"/>
        <v>0</v>
      </c>
      <c r="I22" s="233">
        <v>0</v>
      </c>
      <c r="J22" s="233">
        <f>SUM(J23:J25)</f>
        <v>0</v>
      </c>
      <c r="K22" s="233">
        <f>SUM(K23:K25)</f>
        <v>0</v>
      </c>
      <c r="L22" s="233">
        <f>SUM(L23:L25)</f>
        <v>0</v>
      </c>
      <c r="M22" s="233">
        <f t="shared" si="1"/>
        <v>0</v>
      </c>
      <c r="N22" s="233">
        <v>0</v>
      </c>
      <c r="O22" s="233">
        <f>SUM(O23:O25)</f>
        <v>0</v>
      </c>
      <c r="P22" s="233">
        <f>SUM(P23:P25)</f>
        <v>0</v>
      </c>
      <c r="Q22" s="233">
        <f>SUM(Q23:Q25)</f>
        <v>0</v>
      </c>
      <c r="R22" s="233">
        <f t="shared" si="2"/>
        <v>0</v>
      </c>
    </row>
    <row r="23" spans="1:18" s="6" customFormat="1" ht="24" hidden="1" customHeight="1">
      <c r="A23" s="136">
        <v>19550</v>
      </c>
      <c r="B23" s="172" t="s">
        <v>175</v>
      </c>
      <c r="C23" s="171"/>
      <c r="D23" s="171">
        <v>0</v>
      </c>
      <c r="E23" s="233"/>
      <c r="F23" s="233"/>
      <c r="G23" s="233"/>
      <c r="H23" s="233">
        <f t="shared" si="0"/>
        <v>0</v>
      </c>
      <c r="I23" s="233">
        <v>0</v>
      </c>
      <c r="J23" s="233"/>
      <c r="K23" s="233"/>
      <c r="L23" s="233"/>
      <c r="M23" s="233">
        <f t="shared" si="1"/>
        <v>0</v>
      </c>
      <c r="N23" s="233">
        <v>0</v>
      </c>
      <c r="O23" s="233"/>
      <c r="P23" s="233"/>
      <c r="Q23" s="233"/>
      <c r="R23" s="233">
        <f t="shared" si="2"/>
        <v>0</v>
      </c>
    </row>
    <row r="24" spans="1:18" s="6" customFormat="1" ht="36" hidden="1" customHeight="1">
      <c r="A24" s="136">
        <v>19560</v>
      </c>
      <c r="B24" s="172" t="s">
        <v>181</v>
      </c>
      <c r="C24" s="171"/>
      <c r="D24" s="171">
        <v>0</v>
      </c>
      <c r="E24" s="233"/>
      <c r="F24" s="233"/>
      <c r="G24" s="233"/>
      <c r="H24" s="233">
        <f t="shared" si="0"/>
        <v>0</v>
      </c>
      <c r="I24" s="233">
        <v>0</v>
      </c>
      <c r="J24" s="233"/>
      <c r="K24" s="233"/>
      <c r="L24" s="233"/>
      <c r="M24" s="233">
        <f t="shared" si="1"/>
        <v>0</v>
      </c>
      <c r="N24" s="233">
        <v>0</v>
      </c>
      <c r="O24" s="233"/>
      <c r="P24" s="233"/>
      <c r="Q24" s="233"/>
      <c r="R24" s="233">
        <f t="shared" si="2"/>
        <v>0</v>
      </c>
    </row>
    <row r="25" spans="1:18" s="6" customFormat="1" ht="72" hidden="1" customHeight="1">
      <c r="A25" s="136">
        <v>19570</v>
      </c>
      <c r="B25" s="172" t="s">
        <v>182</v>
      </c>
      <c r="C25" s="171"/>
      <c r="D25" s="171">
        <v>0</v>
      </c>
      <c r="E25" s="233"/>
      <c r="F25" s="233"/>
      <c r="G25" s="233"/>
      <c r="H25" s="233">
        <f t="shared" si="0"/>
        <v>0</v>
      </c>
      <c r="I25" s="233">
        <v>0</v>
      </c>
      <c r="J25" s="233"/>
      <c r="K25" s="233"/>
      <c r="L25" s="233"/>
      <c r="M25" s="233">
        <f t="shared" si="1"/>
        <v>0</v>
      </c>
      <c r="N25" s="233">
        <v>0</v>
      </c>
      <c r="O25" s="233"/>
      <c r="P25" s="233"/>
      <c r="Q25" s="233"/>
      <c r="R25" s="233">
        <f t="shared" si="2"/>
        <v>0</v>
      </c>
    </row>
    <row r="26" spans="1:18" s="6" customFormat="1" ht="24" hidden="1" customHeight="1">
      <c r="A26" s="209" t="s">
        <v>222</v>
      </c>
      <c r="B26" s="208" t="s">
        <v>216</v>
      </c>
      <c r="C26" s="107">
        <f>C27</f>
        <v>0</v>
      </c>
      <c r="D26" s="107">
        <v>0</v>
      </c>
      <c r="E26" s="233">
        <f t="shared" ref="E26:L26" si="7">E27</f>
        <v>0</v>
      </c>
      <c r="F26" s="233">
        <f t="shared" si="7"/>
        <v>0</v>
      </c>
      <c r="G26" s="233">
        <f t="shared" si="7"/>
        <v>0</v>
      </c>
      <c r="H26" s="233">
        <f t="shared" si="0"/>
        <v>0</v>
      </c>
      <c r="I26" s="233">
        <v>0</v>
      </c>
      <c r="J26" s="233">
        <f t="shared" si="7"/>
        <v>0</v>
      </c>
      <c r="K26" s="233">
        <f t="shared" si="7"/>
        <v>0</v>
      </c>
      <c r="L26" s="233">
        <f t="shared" si="7"/>
        <v>0</v>
      </c>
      <c r="M26" s="233">
        <f t="shared" si="1"/>
        <v>0</v>
      </c>
      <c r="N26" s="233">
        <v>0</v>
      </c>
      <c r="O26" s="233">
        <f>O27</f>
        <v>0</v>
      </c>
      <c r="P26" s="233">
        <f>P27</f>
        <v>0</v>
      </c>
      <c r="Q26" s="233">
        <f t="shared" ref="Q26" si="8">Q27</f>
        <v>0</v>
      </c>
      <c r="R26" s="233">
        <f t="shared" si="2"/>
        <v>0</v>
      </c>
    </row>
    <row r="27" spans="1:18" s="6" customFormat="1" ht="36" hidden="1" customHeight="1">
      <c r="A27" s="209">
        <v>17100</v>
      </c>
      <c r="B27" s="208" t="s">
        <v>217</v>
      </c>
      <c r="C27" s="107">
        <f>SUM(C28:C31)</f>
        <v>0</v>
      </c>
      <c r="D27" s="107">
        <v>0</v>
      </c>
      <c r="E27" s="233">
        <f>SUM(E28:E31)</f>
        <v>0</v>
      </c>
      <c r="F27" s="233">
        <f>SUM(F28:F31)</f>
        <v>0</v>
      </c>
      <c r="G27" s="233">
        <f>SUM(G28:G31)</f>
        <v>0</v>
      </c>
      <c r="H27" s="233">
        <f t="shared" si="0"/>
        <v>0</v>
      </c>
      <c r="I27" s="233">
        <v>0</v>
      </c>
      <c r="J27" s="233">
        <f>SUM(J28:J31)</f>
        <v>0</v>
      </c>
      <c r="K27" s="233">
        <f>SUM(K28:K31)</f>
        <v>0</v>
      </c>
      <c r="L27" s="233">
        <f>SUM(L28:L31)</f>
        <v>0</v>
      </c>
      <c r="M27" s="233">
        <f t="shared" si="1"/>
        <v>0</v>
      </c>
      <c r="N27" s="233">
        <v>0</v>
      </c>
      <c r="O27" s="233">
        <f>SUM(O28:O31)</f>
        <v>0</v>
      </c>
      <c r="P27" s="233">
        <f>SUM(P28:P31)</f>
        <v>0</v>
      </c>
      <c r="Q27" s="233">
        <f>SUM(Q28:Q31)</f>
        <v>0</v>
      </c>
      <c r="R27" s="233">
        <f t="shared" si="2"/>
        <v>0</v>
      </c>
    </row>
    <row r="28" spans="1:18" s="6" customFormat="1" ht="48" hidden="1" customHeight="1">
      <c r="A28" s="149">
        <v>17110</v>
      </c>
      <c r="B28" s="208" t="s">
        <v>218</v>
      </c>
      <c r="C28" s="107"/>
      <c r="D28" s="107">
        <v>0</v>
      </c>
      <c r="E28" s="233"/>
      <c r="F28" s="233"/>
      <c r="G28" s="233"/>
      <c r="H28" s="233">
        <f t="shared" si="0"/>
        <v>0</v>
      </c>
      <c r="I28" s="233">
        <v>0</v>
      </c>
      <c r="J28" s="233"/>
      <c r="K28" s="233"/>
      <c r="L28" s="233"/>
      <c r="M28" s="233">
        <f t="shared" si="1"/>
        <v>0</v>
      </c>
      <c r="N28" s="233">
        <v>0</v>
      </c>
      <c r="O28" s="233"/>
      <c r="P28" s="233"/>
      <c r="Q28" s="233"/>
      <c r="R28" s="233">
        <f t="shared" si="2"/>
        <v>0</v>
      </c>
    </row>
    <row r="29" spans="1:18" s="6" customFormat="1" ht="48" hidden="1" customHeight="1">
      <c r="A29" s="149">
        <v>17120</v>
      </c>
      <c r="B29" s="208" t="s">
        <v>219</v>
      </c>
      <c r="C29" s="107"/>
      <c r="D29" s="107">
        <v>0</v>
      </c>
      <c r="E29" s="233"/>
      <c r="F29" s="233"/>
      <c r="G29" s="233"/>
      <c r="H29" s="233">
        <f t="shared" si="0"/>
        <v>0</v>
      </c>
      <c r="I29" s="233">
        <v>0</v>
      </c>
      <c r="J29" s="233"/>
      <c r="K29" s="233"/>
      <c r="L29" s="233"/>
      <c r="M29" s="233">
        <f t="shared" si="1"/>
        <v>0</v>
      </c>
      <c r="N29" s="233">
        <v>0</v>
      </c>
      <c r="O29" s="233"/>
      <c r="P29" s="233"/>
      <c r="Q29" s="233"/>
      <c r="R29" s="233">
        <f t="shared" si="2"/>
        <v>0</v>
      </c>
    </row>
    <row r="30" spans="1:18" s="6" customFormat="1" ht="96" hidden="1" customHeight="1">
      <c r="A30" s="149">
        <v>17130</v>
      </c>
      <c r="B30" s="208" t="s">
        <v>220</v>
      </c>
      <c r="C30" s="107"/>
      <c r="D30" s="107">
        <v>0</v>
      </c>
      <c r="E30" s="233"/>
      <c r="F30" s="233"/>
      <c r="G30" s="233"/>
      <c r="H30" s="233">
        <f t="shared" si="0"/>
        <v>0</v>
      </c>
      <c r="I30" s="233">
        <v>0</v>
      </c>
      <c r="J30" s="233"/>
      <c r="K30" s="233"/>
      <c r="L30" s="233"/>
      <c r="M30" s="233">
        <f t="shared" si="1"/>
        <v>0</v>
      </c>
      <c r="N30" s="233">
        <v>0</v>
      </c>
      <c r="O30" s="233"/>
      <c r="P30" s="233"/>
      <c r="Q30" s="233"/>
      <c r="R30" s="233">
        <f t="shared" si="2"/>
        <v>0</v>
      </c>
    </row>
    <row r="31" spans="1:18" s="6" customFormat="1" ht="96" hidden="1" customHeight="1">
      <c r="A31" s="149">
        <v>17140</v>
      </c>
      <c r="B31" s="208" t="s">
        <v>221</v>
      </c>
      <c r="C31" s="107"/>
      <c r="D31" s="107">
        <v>0</v>
      </c>
      <c r="E31" s="233"/>
      <c r="F31" s="233"/>
      <c r="G31" s="233"/>
      <c r="H31" s="233">
        <f t="shared" si="0"/>
        <v>0</v>
      </c>
      <c r="I31" s="233">
        <v>0</v>
      </c>
      <c r="J31" s="233"/>
      <c r="K31" s="233"/>
      <c r="L31" s="233"/>
      <c r="M31" s="233">
        <f t="shared" si="1"/>
        <v>0</v>
      </c>
      <c r="N31" s="233">
        <v>0</v>
      </c>
      <c r="O31" s="233"/>
      <c r="P31" s="233"/>
      <c r="Q31" s="233"/>
      <c r="R31" s="233">
        <f t="shared" si="2"/>
        <v>0</v>
      </c>
    </row>
    <row r="32" spans="1:18" s="6" customFormat="1" ht="12">
      <c r="A32" s="137">
        <v>21700</v>
      </c>
      <c r="B32" s="124" t="s">
        <v>97</v>
      </c>
      <c r="C32" s="171">
        <v>528031508</v>
      </c>
      <c r="D32" s="171">
        <v>529078040</v>
      </c>
      <c r="E32" s="233">
        <f>E33+E34</f>
        <v>6500</v>
      </c>
      <c r="F32" s="233">
        <f>F33+F34</f>
        <v>9248447</v>
      </c>
      <c r="G32" s="233">
        <f>G33+G34</f>
        <v>12182020</v>
      </c>
      <c r="H32" s="233">
        <f t="shared" si="0"/>
        <v>550515007</v>
      </c>
      <c r="I32" s="233">
        <v>587772648</v>
      </c>
      <c r="J32" s="233">
        <f>J33+J34</f>
        <v>0</v>
      </c>
      <c r="K32" s="233">
        <f>K33+K34</f>
        <v>10502589</v>
      </c>
      <c r="L32" s="233">
        <f>L33+L34</f>
        <v>24562794</v>
      </c>
      <c r="M32" s="233">
        <f t="shared" si="1"/>
        <v>622838031</v>
      </c>
      <c r="N32" s="233">
        <v>607817774</v>
      </c>
      <c r="O32" s="233">
        <f>O33+O34</f>
        <v>0</v>
      </c>
      <c r="P32" s="233">
        <f>P33+P34</f>
        <v>5417447</v>
      </c>
      <c r="Q32" s="233">
        <f>Q33+Q34</f>
        <v>20291268</v>
      </c>
      <c r="R32" s="233">
        <f t="shared" si="2"/>
        <v>633526489</v>
      </c>
    </row>
    <row r="33" spans="1:18" s="6" customFormat="1" ht="24">
      <c r="A33" s="138">
        <v>21710</v>
      </c>
      <c r="B33" s="125" t="s">
        <v>98</v>
      </c>
      <c r="C33" s="171">
        <v>498198854</v>
      </c>
      <c r="D33" s="171">
        <v>509950626</v>
      </c>
      <c r="E33" s="233">
        <f>E201</f>
        <v>6500</v>
      </c>
      <c r="F33" s="233">
        <f>F35</f>
        <v>9248447</v>
      </c>
      <c r="G33" s="233">
        <f>G35+6496018</f>
        <v>12182020</v>
      </c>
      <c r="H33" s="233">
        <f t="shared" si="0"/>
        <v>531387593</v>
      </c>
      <c r="I33" s="233">
        <v>577159495</v>
      </c>
      <c r="J33" s="233"/>
      <c r="K33" s="233">
        <f>K35</f>
        <v>10502589</v>
      </c>
      <c r="L33" s="233">
        <f>L35</f>
        <v>24562794</v>
      </c>
      <c r="M33" s="233">
        <f t="shared" si="1"/>
        <v>612224878</v>
      </c>
      <c r="N33" s="233">
        <v>602064446</v>
      </c>
      <c r="O33" s="233"/>
      <c r="P33" s="233">
        <f>P35</f>
        <v>5417447</v>
      </c>
      <c r="Q33" s="233">
        <f>Q35</f>
        <v>20291268</v>
      </c>
      <c r="R33" s="233">
        <f t="shared" si="2"/>
        <v>627773161</v>
      </c>
    </row>
    <row r="34" spans="1:18" s="6" customFormat="1" ht="24">
      <c r="A34" s="138">
        <v>21720</v>
      </c>
      <c r="B34" s="125" t="s">
        <v>99</v>
      </c>
      <c r="C34" s="171">
        <v>29832654</v>
      </c>
      <c r="D34" s="171">
        <v>19127414</v>
      </c>
      <c r="E34" s="233"/>
      <c r="F34" s="233"/>
      <c r="G34" s="233"/>
      <c r="H34" s="233">
        <f t="shared" si="0"/>
        <v>19127414</v>
      </c>
      <c r="I34" s="233">
        <v>10613153</v>
      </c>
      <c r="J34" s="233"/>
      <c r="K34" s="233"/>
      <c r="L34" s="233"/>
      <c r="M34" s="233">
        <f t="shared" si="1"/>
        <v>10613153</v>
      </c>
      <c r="N34" s="233">
        <v>5753328</v>
      </c>
      <c r="O34" s="233"/>
      <c r="P34" s="233"/>
      <c r="Q34" s="233"/>
      <c r="R34" s="233">
        <f t="shared" si="2"/>
        <v>5753328</v>
      </c>
    </row>
    <row r="35" spans="1:18" s="6" customFormat="1" ht="11.4">
      <c r="A35" s="129" t="s">
        <v>100</v>
      </c>
      <c r="B35" s="123" t="s">
        <v>101</v>
      </c>
      <c r="C35" s="175">
        <v>532272113</v>
      </c>
      <c r="D35" s="175">
        <v>534746658</v>
      </c>
      <c r="E35" s="243">
        <f>E36+E63</f>
        <v>6500</v>
      </c>
      <c r="F35" s="243">
        <f>F36+F63</f>
        <v>9248447</v>
      </c>
      <c r="G35" s="243">
        <f>G36+G63</f>
        <v>5686002</v>
      </c>
      <c r="H35" s="243">
        <f t="shared" si="0"/>
        <v>549687607</v>
      </c>
      <c r="I35" s="243">
        <v>592419463</v>
      </c>
      <c r="J35" s="243">
        <f>J36+J63</f>
        <v>0</v>
      </c>
      <c r="K35" s="243">
        <f>K36+K63</f>
        <v>10502589</v>
      </c>
      <c r="L35" s="243">
        <f>L36+L63</f>
        <v>24562794</v>
      </c>
      <c r="M35" s="243">
        <f t="shared" si="1"/>
        <v>627484846</v>
      </c>
      <c r="N35" s="243">
        <v>613218755</v>
      </c>
      <c r="O35" s="243">
        <f>O36+O63</f>
        <v>0</v>
      </c>
      <c r="P35" s="243">
        <f>P36+P63</f>
        <v>5417447</v>
      </c>
      <c r="Q35" s="243">
        <f>Q36+Q63</f>
        <v>20291268</v>
      </c>
      <c r="R35" s="243">
        <f t="shared" si="2"/>
        <v>638927470</v>
      </c>
    </row>
    <row r="36" spans="1:18" s="6" customFormat="1" ht="20.399999999999999">
      <c r="A36" s="130" t="s">
        <v>102</v>
      </c>
      <c r="B36" s="124" t="s">
        <v>103</v>
      </c>
      <c r="C36" s="171">
        <v>496284866</v>
      </c>
      <c r="D36" s="171">
        <v>521051967</v>
      </c>
      <c r="E36" s="233">
        <f>E37+E41+E42+E45+E48</f>
        <v>-63640</v>
      </c>
      <c r="F36" s="233">
        <f>F37+F41+F42+F45+F48</f>
        <v>9246947</v>
      </c>
      <c r="G36" s="233">
        <f>G37+G41+G42+G45+G48</f>
        <v>753290</v>
      </c>
      <c r="H36" s="233">
        <f t="shared" si="0"/>
        <v>530988564</v>
      </c>
      <c r="I36" s="233">
        <v>579602244</v>
      </c>
      <c r="J36" s="233">
        <f>J37+J41+J42+J45+J48</f>
        <v>0</v>
      </c>
      <c r="K36" s="233">
        <f>K37+K41+K42+K45+K48</f>
        <v>10502589</v>
      </c>
      <c r="L36" s="233">
        <f>L37+L41+L42+L45+L48</f>
        <v>8961085</v>
      </c>
      <c r="M36" s="233">
        <f t="shared" si="1"/>
        <v>599065918</v>
      </c>
      <c r="N36" s="233">
        <v>601928860</v>
      </c>
      <c r="O36" s="233">
        <f>O37+O41+O42+O45+O48</f>
        <v>0</v>
      </c>
      <c r="P36" s="233">
        <f>P37+P41+P42+P45+P48</f>
        <v>5417447</v>
      </c>
      <c r="Q36" s="233">
        <f>Q37+Q41+Q42+Q45+Q48</f>
        <v>4880308</v>
      </c>
      <c r="R36" s="233">
        <f t="shared" si="2"/>
        <v>612226615</v>
      </c>
    </row>
    <row r="37" spans="1:18" s="6" customFormat="1" ht="12">
      <c r="A37" s="130" t="s">
        <v>104</v>
      </c>
      <c r="B37" s="124" t="s">
        <v>105</v>
      </c>
      <c r="C37" s="171">
        <v>74257440</v>
      </c>
      <c r="D37" s="171">
        <v>76473395</v>
      </c>
      <c r="E37" s="233">
        <f>E38+E40</f>
        <v>-63640</v>
      </c>
      <c r="F37" s="233">
        <f>F38+F40</f>
        <v>546947</v>
      </c>
      <c r="G37" s="233">
        <f>G38+G40</f>
        <v>753290</v>
      </c>
      <c r="H37" s="233">
        <f t="shared" si="0"/>
        <v>77709992</v>
      </c>
      <c r="I37" s="233">
        <v>76593656</v>
      </c>
      <c r="J37" s="233">
        <f>J38+J40</f>
        <v>0</v>
      </c>
      <c r="K37" s="233">
        <f>K38+K40</f>
        <v>512589</v>
      </c>
      <c r="L37" s="233">
        <f>L38+L40</f>
        <v>8961085</v>
      </c>
      <c r="M37" s="233">
        <f t="shared" si="1"/>
        <v>86067330</v>
      </c>
      <c r="N37" s="233">
        <v>70031196</v>
      </c>
      <c r="O37" s="233">
        <f>O38+O40</f>
        <v>0</v>
      </c>
      <c r="P37" s="233">
        <f>P38+P40</f>
        <v>417447</v>
      </c>
      <c r="Q37" s="233">
        <f>Q38+Q40</f>
        <v>4880308</v>
      </c>
      <c r="R37" s="233">
        <f t="shared" si="2"/>
        <v>75328951</v>
      </c>
    </row>
    <row r="38" spans="1:18" s="6" customFormat="1" ht="12">
      <c r="A38" s="132">
        <v>1000</v>
      </c>
      <c r="B38" s="125" t="s">
        <v>106</v>
      </c>
      <c r="C38" s="171">
        <v>50360310</v>
      </c>
      <c r="D38" s="171">
        <v>51202459</v>
      </c>
      <c r="E38" s="233">
        <f t="shared" ref="E38" si="9">E206</f>
        <v>8100</v>
      </c>
      <c r="F38" s="233">
        <f t="shared" ref="F38:G40" si="10">F122</f>
        <v>284170</v>
      </c>
      <c r="G38" s="233">
        <f t="shared" si="10"/>
        <v>102260</v>
      </c>
      <c r="H38" s="233">
        <f t="shared" si="0"/>
        <v>51596989</v>
      </c>
      <c r="I38" s="233">
        <v>50260700</v>
      </c>
      <c r="J38" s="233"/>
      <c r="K38" s="233">
        <f>K122</f>
        <v>348237</v>
      </c>
      <c r="L38" s="233">
        <f t="shared" ref="K38:L40" si="11">L122</f>
        <v>191295</v>
      </c>
      <c r="M38" s="233">
        <f t="shared" si="1"/>
        <v>50800232</v>
      </c>
      <c r="N38" s="233">
        <v>49028918</v>
      </c>
      <c r="O38" s="233"/>
      <c r="P38" s="233">
        <f t="shared" ref="P38:Q40" si="12">P122</f>
        <v>283737</v>
      </c>
      <c r="Q38" s="233">
        <f t="shared" si="12"/>
        <v>184340</v>
      </c>
      <c r="R38" s="233">
        <f t="shared" si="2"/>
        <v>49496995</v>
      </c>
    </row>
    <row r="39" spans="1:18" s="6" customFormat="1" ht="12">
      <c r="A39" s="139">
        <v>1100</v>
      </c>
      <c r="B39" s="125" t="s">
        <v>107</v>
      </c>
      <c r="C39" s="171">
        <v>39833116</v>
      </c>
      <c r="D39" s="171">
        <v>40521933</v>
      </c>
      <c r="E39" s="233">
        <f>E207+E123</f>
        <v>-54023</v>
      </c>
      <c r="F39" s="233">
        <f t="shared" si="10"/>
        <v>105065</v>
      </c>
      <c r="G39" s="233">
        <f t="shared" si="10"/>
        <v>64449</v>
      </c>
      <c r="H39" s="233">
        <f t="shared" si="0"/>
        <v>40637424</v>
      </c>
      <c r="I39" s="233">
        <v>39800248</v>
      </c>
      <c r="J39" s="233">
        <f>J123</f>
        <v>-53000</v>
      </c>
      <c r="K39" s="233">
        <f t="shared" si="11"/>
        <v>142369</v>
      </c>
      <c r="L39" s="233">
        <f t="shared" si="11"/>
        <v>141384</v>
      </c>
      <c r="M39" s="233">
        <f t="shared" si="1"/>
        <v>40031001</v>
      </c>
      <c r="N39" s="233">
        <v>38817923</v>
      </c>
      <c r="O39" s="233">
        <f>O123</f>
        <v>-53000</v>
      </c>
      <c r="P39" s="233">
        <f t="shared" si="12"/>
        <v>123343</v>
      </c>
      <c r="Q39" s="233">
        <f t="shared" si="12"/>
        <v>135984</v>
      </c>
      <c r="R39" s="233">
        <f t="shared" si="2"/>
        <v>39024250</v>
      </c>
    </row>
    <row r="40" spans="1:18" s="6" customFormat="1" ht="12">
      <c r="A40" s="132">
        <v>2000</v>
      </c>
      <c r="B40" s="125" t="s">
        <v>108</v>
      </c>
      <c r="C40" s="171">
        <v>23897130</v>
      </c>
      <c r="D40" s="171">
        <v>25270936</v>
      </c>
      <c r="E40" s="233">
        <f>E208</f>
        <v>-71740</v>
      </c>
      <c r="F40" s="233">
        <f t="shared" si="10"/>
        <v>262777</v>
      </c>
      <c r="G40" s="233">
        <f t="shared" si="10"/>
        <v>651030</v>
      </c>
      <c r="H40" s="233">
        <f t="shared" si="0"/>
        <v>26113003</v>
      </c>
      <c r="I40" s="233">
        <v>26332956</v>
      </c>
      <c r="J40" s="233"/>
      <c r="K40" s="233">
        <f t="shared" si="11"/>
        <v>164352</v>
      </c>
      <c r="L40" s="233">
        <f t="shared" si="11"/>
        <v>8769790</v>
      </c>
      <c r="M40" s="233">
        <f t="shared" si="1"/>
        <v>35267098</v>
      </c>
      <c r="N40" s="233">
        <v>21002278</v>
      </c>
      <c r="O40" s="233"/>
      <c r="P40" s="233">
        <f t="shared" si="12"/>
        <v>133710</v>
      </c>
      <c r="Q40" s="233">
        <f t="shared" si="12"/>
        <v>4695968</v>
      </c>
      <c r="R40" s="233">
        <f t="shared" si="2"/>
        <v>25831956</v>
      </c>
    </row>
    <row r="41" spans="1:18" s="6" customFormat="1" ht="12">
      <c r="A41" s="140">
        <v>4000</v>
      </c>
      <c r="B41" s="124" t="s">
        <v>132</v>
      </c>
      <c r="C41" s="171">
        <v>230700000</v>
      </c>
      <c r="D41" s="171">
        <v>250700000</v>
      </c>
      <c r="E41" s="233"/>
      <c r="F41" s="233"/>
      <c r="G41" s="233"/>
      <c r="H41" s="233">
        <f t="shared" si="0"/>
        <v>250700000</v>
      </c>
      <c r="I41" s="233">
        <v>316700000</v>
      </c>
      <c r="J41" s="233"/>
      <c r="K41" s="233"/>
      <c r="L41" s="233"/>
      <c r="M41" s="233">
        <f t="shared" si="1"/>
        <v>316700000</v>
      </c>
      <c r="N41" s="233">
        <v>354900000</v>
      </c>
      <c r="O41" s="233"/>
      <c r="P41" s="233"/>
      <c r="Q41" s="233"/>
      <c r="R41" s="233">
        <f t="shared" si="2"/>
        <v>354900000</v>
      </c>
    </row>
    <row r="42" spans="1:18" s="6" customFormat="1" ht="12">
      <c r="A42" s="140" t="s">
        <v>109</v>
      </c>
      <c r="B42" s="124" t="s">
        <v>110</v>
      </c>
      <c r="C42" s="171">
        <v>30713509</v>
      </c>
      <c r="D42" s="171">
        <v>26868666</v>
      </c>
      <c r="E42" s="233">
        <f>E43+E44</f>
        <v>0</v>
      </c>
      <c r="F42" s="233">
        <f>F43+F44</f>
        <v>0</v>
      </c>
      <c r="G42" s="233">
        <f>G43+G44</f>
        <v>0</v>
      </c>
      <c r="H42" s="233">
        <f t="shared" si="0"/>
        <v>26868666</v>
      </c>
      <c r="I42" s="233">
        <v>16118473</v>
      </c>
      <c r="J42" s="233">
        <f>J43+J44</f>
        <v>0</v>
      </c>
      <c r="K42" s="233">
        <f>K43+K44</f>
        <v>0</v>
      </c>
      <c r="L42" s="233">
        <f>L43+L44</f>
        <v>0</v>
      </c>
      <c r="M42" s="233">
        <f t="shared" si="1"/>
        <v>16118473</v>
      </c>
      <c r="N42" s="233">
        <v>512381</v>
      </c>
      <c r="O42" s="233">
        <f>O43+O44</f>
        <v>0</v>
      </c>
      <c r="P42" s="233">
        <f>P43+P44</f>
        <v>0</v>
      </c>
      <c r="Q42" s="233">
        <f>Q43+Q44</f>
        <v>0</v>
      </c>
      <c r="R42" s="233">
        <f t="shared" si="2"/>
        <v>512381</v>
      </c>
    </row>
    <row r="43" spans="1:18" s="6" customFormat="1" ht="12">
      <c r="A43" s="132">
        <v>3000</v>
      </c>
      <c r="B43" s="125" t="s">
        <v>111</v>
      </c>
      <c r="C43" s="213">
        <v>30356538</v>
      </c>
      <c r="D43" s="213">
        <v>26511695</v>
      </c>
      <c r="E43" s="345"/>
      <c r="F43" s="345"/>
      <c r="G43" s="345"/>
      <c r="H43" s="233">
        <f t="shared" si="0"/>
        <v>26511695</v>
      </c>
      <c r="I43" s="345">
        <v>15761502</v>
      </c>
      <c r="J43" s="345"/>
      <c r="K43" s="345"/>
      <c r="L43" s="345"/>
      <c r="M43" s="233">
        <f t="shared" si="1"/>
        <v>15761502</v>
      </c>
      <c r="N43" s="345">
        <v>515207</v>
      </c>
      <c r="O43" s="345"/>
      <c r="P43" s="345"/>
      <c r="Q43" s="345"/>
      <c r="R43" s="233">
        <f t="shared" si="2"/>
        <v>515207</v>
      </c>
    </row>
    <row r="44" spans="1:18" s="6" customFormat="1" ht="12">
      <c r="A44" s="132">
        <v>6000</v>
      </c>
      <c r="B44" s="125" t="s">
        <v>112</v>
      </c>
      <c r="C44" s="287">
        <v>356971</v>
      </c>
      <c r="D44" s="287">
        <v>356971</v>
      </c>
      <c r="E44" s="346"/>
      <c r="F44" s="346"/>
      <c r="G44" s="346"/>
      <c r="H44" s="233">
        <f t="shared" si="0"/>
        <v>356971</v>
      </c>
      <c r="I44" s="346">
        <v>356971</v>
      </c>
      <c r="J44" s="346"/>
      <c r="K44" s="346"/>
      <c r="L44" s="346"/>
      <c r="M44" s="233">
        <f t="shared" si="1"/>
        <v>356971</v>
      </c>
      <c r="N44" s="346">
        <v>-2826</v>
      </c>
      <c r="O44" s="346"/>
      <c r="P44" s="346"/>
      <c r="Q44" s="346"/>
      <c r="R44" s="233">
        <f t="shared" si="2"/>
        <v>-2826</v>
      </c>
    </row>
    <row r="45" spans="1:18" s="6" customFormat="1" ht="22.8">
      <c r="A45" s="140" t="s">
        <v>113</v>
      </c>
      <c r="B45" s="124" t="s">
        <v>183</v>
      </c>
      <c r="C45" s="171">
        <v>141175785</v>
      </c>
      <c r="D45" s="171">
        <v>150996847</v>
      </c>
      <c r="E45" s="233">
        <f>E46+E47</f>
        <v>0</v>
      </c>
      <c r="F45" s="233">
        <f>F46+F47</f>
        <v>8700000</v>
      </c>
      <c r="G45" s="233">
        <f>G46+G47</f>
        <v>0</v>
      </c>
      <c r="H45" s="233">
        <f t="shared" si="0"/>
        <v>159696847</v>
      </c>
      <c r="I45" s="233">
        <v>159039718</v>
      </c>
      <c r="J45" s="233">
        <f>J46+J47</f>
        <v>0</v>
      </c>
      <c r="K45" s="233">
        <f>K46+K47</f>
        <v>9990000</v>
      </c>
      <c r="L45" s="233">
        <f>L46+L47</f>
        <v>0</v>
      </c>
      <c r="M45" s="233">
        <f t="shared" si="1"/>
        <v>169029718</v>
      </c>
      <c r="N45" s="233">
        <v>168012446</v>
      </c>
      <c r="O45" s="233">
        <f>O46+O47</f>
        <v>0</v>
      </c>
      <c r="P45" s="233">
        <f>P46+P47</f>
        <v>5000000</v>
      </c>
      <c r="Q45" s="233">
        <f>Q46+Q47</f>
        <v>0</v>
      </c>
      <c r="R45" s="233">
        <f t="shared" si="2"/>
        <v>173012446</v>
      </c>
    </row>
    <row r="46" spans="1:18" s="6" customFormat="1" ht="12">
      <c r="A46" s="132">
        <v>7600</v>
      </c>
      <c r="B46" s="179" t="s">
        <v>184</v>
      </c>
      <c r="C46" s="171">
        <v>138883717</v>
      </c>
      <c r="D46" s="171">
        <v>150000000</v>
      </c>
      <c r="E46" s="233"/>
      <c r="F46" s="233">
        <f>F130</f>
        <v>8700000</v>
      </c>
      <c r="G46" s="233">
        <f>G130</f>
        <v>0</v>
      </c>
      <c r="H46" s="233">
        <f t="shared" si="0"/>
        <v>158700000</v>
      </c>
      <c r="I46" s="233">
        <v>158000000</v>
      </c>
      <c r="J46" s="233"/>
      <c r="K46" s="233">
        <v>9990000</v>
      </c>
      <c r="L46" s="233">
        <f>L130</f>
        <v>0</v>
      </c>
      <c r="M46" s="233">
        <f t="shared" si="1"/>
        <v>167990000</v>
      </c>
      <c r="N46" s="233">
        <v>167000000</v>
      </c>
      <c r="O46" s="233"/>
      <c r="P46" s="233">
        <v>5000000</v>
      </c>
      <c r="Q46" s="233">
        <f>Q130</f>
        <v>0</v>
      </c>
      <c r="R46" s="233">
        <f t="shared" si="2"/>
        <v>172000000</v>
      </c>
    </row>
    <row r="47" spans="1:18" s="6" customFormat="1" ht="12">
      <c r="A47" s="132">
        <v>7700</v>
      </c>
      <c r="B47" s="126" t="s">
        <v>114</v>
      </c>
      <c r="C47" s="171">
        <v>2292068</v>
      </c>
      <c r="D47" s="171">
        <v>996847</v>
      </c>
      <c r="E47" s="233"/>
      <c r="F47" s="233"/>
      <c r="G47" s="233"/>
      <c r="H47" s="233">
        <f t="shared" si="0"/>
        <v>996847</v>
      </c>
      <c r="I47" s="233">
        <v>1039718</v>
      </c>
      <c r="J47" s="233"/>
      <c r="K47" s="233"/>
      <c r="L47" s="233"/>
      <c r="M47" s="233">
        <f t="shared" si="1"/>
        <v>1039718</v>
      </c>
      <c r="N47" s="233">
        <v>1012446</v>
      </c>
      <c r="O47" s="233"/>
      <c r="P47" s="233"/>
      <c r="Q47" s="233"/>
      <c r="R47" s="233">
        <f t="shared" si="2"/>
        <v>1012446</v>
      </c>
    </row>
    <row r="48" spans="1:18" s="6" customFormat="1" ht="12">
      <c r="A48" s="140" t="s">
        <v>185</v>
      </c>
      <c r="B48" s="124" t="s">
        <v>115</v>
      </c>
      <c r="C48" s="171">
        <v>19438132</v>
      </c>
      <c r="D48" s="171">
        <v>16013059</v>
      </c>
      <c r="E48" s="233">
        <f>E49+E55+E59+E62</f>
        <v>0</v>
      </c>
      <c r="F48" s="233">
        <f>F49+F55+F59+F62</f>
        <v>0</v>
      </c>
      <c r="G48" s="233">
        <f>G49+G55+G59+G62</f>
        <v>0</v>
      </c>
      <c r="H48" s="233">
        <f t="shared" si="0"/>
        <v>16013059</v>
      </c>
      <c r="I48" s="233">
        <v>11150397</v>
      </c>
      <c r="J48" s="233">
        <f>J49+J55+J59+J62</f>
        <v>0</v>
      </c>
      <c r="K48" s="233">
        <f>K49+K55+K59+K62</f>
        <v>0</v>
      </c>
      <c r="L48" s="233">
        <f>L49+L55+L59+L62</f>
        <v>0</v>
      </c>
      <c r="M48" s="233">
        <f t="shared" si="1"/>
        <v>11150397</v>
      </c>
      <c r="N48" s="233">
        <v>8472837</v>
      </c>
      <c r="O48" s="233">
        <f>O49+O55+O59+O62</f>
        <v>0</v>
      </c>
      <c r="P48" s="233">
        <f>P49+P55+P59+P62</f>
        <v>0</v>
      </c>
      <c r="Q48" s="233">
        <f>Q49+Q55+Q59+Q62</f>
        <v>0</v>
      </c>
      <c r="R48" s="233">
        <f t="shared" si="2"/>
        <v>8472837</v>
      </c>
    </row>
    <row r="49" spans="1:18" s="6" customFormat="1" ht="12" hidden="1" customHeight="1">
      <c r="A49" s="132">
        <v>7100</v>
      </c>
      <c r="B49" s="179" t="s">
        <v>116</v>
      </c>
      <c r="C49" s="171">
        <v>0</v>
      </c>
      <c r="D49" s="171">
        <v>0</v>
      </c>
      <c r="E49" s="233">
        <f>E50+E51</f>
        <v>0</v>
      </c>
      <c r="F49" s="233">
        <f>F50+F51</f>
        <v>0</v>
      </c>
      <c r="G49" s="233">
        <f>G50+G51</f>
        <v>0</v>
      </c>
      <c r="H49" s="233">
        <f t="shared" si="0"/>
        <v>0</v>
      </c>
      <c r="I49" s="233">
        <v>0</v>
      </c>
      <c r="J49" s="233">
        <f>J50+J51</f>
        <v>0</v>
      </c>
      <c r="K49" s="233">
        <f>K50+K51</f>
        <v>0</v>
      </c>
      <c r="L49" s="233">
        <f>L50+L51</f>
        <v>0</v>
      </c>
      <c r="M49" s="233">
        <f t="shared" si="1"/>
        <v>0</v>
      </c>
      <c r="N49" s="233">
        <v>0</v>
      </c>
      <c r="O49" s="233">
        <f>O50+O51</f>
        <v>0</v>
      </c>
      <c r="P49" s="233">
        <f>P50+P51</f>
        <v>0</v>
      </c>
      <c r="Q49" s="233">
        <f>Q50+Q51</f>
        <v>0</v>
      </c>
      <c r="R49" s="233">
        <f t="shared" si="2"/>
        <v>0</v>
      </c>
    </row>
    <row r="50" spans="1:18" s="6" customFormat="1" ht="24" hidden="1" customHeight="1">
      <c r="A50" s="133" t="s">
        <v>117</v>
      </c>
      <c r="B50" s="179" t="s">
        <v>118</v>
      </c>
      <c r="C50" s="171"/>
      <c r="D50" s="171">
        <v>0</v>
      </c>
      <c r="E50" s="233"/>
      <c r="F50" s="233"/>
      <c r="G50" s="233"/>
      <c r="H50" s="233">
        <f t="shared" si="0"/>
        <v>0</v>
      </c>
      <c r="I50" s="233">
        <v>0</v>
      </c>
      <c r="J50" s="233"/>
      <c r="K50" s="233"/>
      <c r="L50" s="233"/>
      <c r="M50" s="233">
        <f t="shared" si="1"/>
        <v>0</v>
      </c>
      <c r="N50" s="233">
        <v>0</v>
      </c>
      <c r="O50" s="233"/>
      <c r="P50" s="233"/>
      <c r="Q50" s="233"/>
      <c r="R50" s="233">
        <f t="shared" si="2"/>
        <v>0</v>
      </c>
    </row>
    <row r="51" spans="1:18" s="6" customFormat="1" ht="24" hidden="1" customHeight="1">
      <c r="A51" s="133">
        <v>7130</v>
      </c>
      <c r="B51" s="179" t="s">
        <v>119</v>
      </c>
      <c r="C51" s="171">
        <v>0</v>
      </c>
      <c r="D51" s="171">
        <v>0</v>
      </c>
      <c r="E51" s="233">
        <f>SUM(E52:E54)</f>
        <v>0</v>
      </c>
      <c r="F51" s="233">
        <f>SUM(F52:F54)</f>
        <v>0</v>
      </c>
      <c r="G51" s="233">
        <f>SUM(G52:G54)</f>
        <v>0</v>
      </c>
      <c r="H51" s="233">
        <f t="shared" si="0"/>
        <v>0</v>
      </c>
      <c r="I51" s="233">
        <v>0</v>
      </c>
      <c r="J51" s="233">
        <f>SUM(J52:J54)</f>
        <v>0</v>
      </c>
      <c r="K51" s="233">
        <f>SUM(K52:K54)</f>
        <v>0</v>
      </c>
      <c r="L51" s="233">
        <f>SUM(L52:L54)</f>
        <v>0</v>
      </c>
      <c r="M51" s="233">
        <f t="shared" si="1"/>
        <v>0</v>
      </c>
      <c r="N51" s="233">
        <v>0</v>
      </c>
      <c r="O51" s="233">
        <f>SUM(O52:O54)</f>
        <v>0</v>
      </c>
      <c r="P51" s="233">
        <f>SUM(P52:P54)</f>
        <v>0</v>
      </c>
      <c r="Q51" s="233">
        <f>SUM(Q52:Q54)</f>
        <v>0</v>
      </c>
      <c r="R51" s="233">
        <f t="shared" si="2"/>
        <v>0</v>
      </c>
    </row>
    <row r="52" spans="1:18" s="6" customFormat="1" ht="36" hidden="1" customHeight="1">
      <c r="A52" s="134">
        <v>7131</v>
      </c>
      <c r="B52" s="179" t="s">
        <v>120</v>
      </c>
      <c r="C52" s="171"/>
      <c r="D52" s="171">
        <v>0</v>
      </c>
      <c r="E52" s="233"/>
      <c r="F52" s="233"/>
      <c r="G52" s="233"/>
      <c r="H52" s="233">
        <f t="shared" si="0"/>
        <v>0</v>
      </c>
      <c r="I52" s="233">
        <v>0</v>
      </c>
      <c r="J52" s="233"/>
      <c r="K52" s="233"/>
      <c r="L52" s="233"/>
      <c r="M52" s="233">
        <f t="shared" si="1"/>
        <v>0</v>
      </c>
      <c r="N52" s="233">
        <v>0</v>
      </c>
      <c r="O52" s="233"/>
      <c r="P52" s="233"/>
      <c r="Q52" s="233"/>
      <c r="R52" s="233">
        <f t="shared" si="2"/>
        <v>0</v>
      </c>
    </row>
    <row r="53" spans="1:18" s="6" customFormat="1" ht="36" hidden="1" customHeight="1">
      <c r="A53" s="134">
        <v>7132</v>
      </c>
      <c r="B53" s="179" t="s">
        <v>121</v>
      </c>
      <c r="C53" s="171"/>
      <c r="D53" s="171">
        <v>0</v>
      </c>
      <c r="E53" s="233"/>
      <c r="F53" s="233"/>
      <c r="G53" s="233"/>
      <c r="H53" s="233">
        <f t="shared" si="0"/>
        <v>0</v>
      </c>
      <c r="I53" s="233">
        <v>0</v>
      </c>
      <c r="J53" s="233"/>
      <c r="K53" s="233"/>
      <c r="L53" s="233"/>
      <c r="M53" s="233">
        <f t="shared" si="1"/>
        <v>0</v>
      </c>
      <c r="N53" s="233">
        <v>0</v>
      </c>
      <c r="O53" s="233"/>
      <c r="P53" s="233"/>
      <c r="Q53" s="233"/>
      <c r="R53" s="233">
        <f t="shared" si="2"/>
        <v>0</v>
      </c>
    </row>
    <row r="54" spans="1:18" s="6" customFormat="1" ht="24" hidden="1" customHeight="1">
      <c r="A54" s="134" t="s">
        <v>186</v>
      </c>
      <c r="B54" s="179" t="s">
        <v>187</v>
      </c>
      <c r="C54" s="171"/>
      <c r="D54" s="171">
        <v>0</v>
      </c>
      <c r="E54" s="233"/>
      <c r="F54" s="233"/>
      <c r="G54" s="233"/>
      <c r="H54" s="233">
        <f t="shared" si="0"/>
        <v>0</v>
      </c>
      <c r="I54" s="233">
        <v>0</v>
      </c>
      <c r="J54" s="233"/>
      <c r="K54" s="233"/>
      <c r="L54" s="233"/>
      <c r="M54" s="233">
        <f t="shared" si="1"/>
        <v>0</v>
      </c>
      <c r="N54" s="233">
        <v>0</v>
      </c>
      <c r="O54" s="233"/>
      <c r="P54" s="233"/>
      <c r="Q54" s="233"/>
      <c r="R54" s="233">
        <f t="shared" si="2"/>
        <v>0</v>
      </c>
    </row>
    <row r="55" spans="1:18" s="6" customFormat="1" ht="24">
      <c r="A55" s="132">
        <v>7300</v>
      </c>
      <c r="B55" s="172" t="s">
        <v>155</v>
      </c>
      <c r="C55" s="171">
        <v>119636</v>
      </c>
      <c r="D55" s="171">
        <v>0</v>
      </c>
      <c r="E55" s="233">
        <f>SUM(E56:E58)</f>
        <v>0</v>
      </c>
      <c r="F55" s="233">
        <f>SUM(F56:F58)</f>
        <v>0</v>
      </c>
      <c r="G55" s="233">
        <f>SUM(G56:G58)</f>
        <v>0</v>
      </c>
      <c r="H55" s="233">
        <f t="shared" si="0"/>
        <v>0</v>
      </c>
      <c r="I55" s="233">
        <v>0</v>
      </c>
      <c r="J55" s="233">
        <f>SUM(J56:J58)</f>
        <v>0</v>
      </c>
      <c r="K55" s="233">
        <f>SUM(K56:K58)</f>
        <v>0</v>
      </c>
      <c r="L55" s="233">
        <f>SUM(L56:L58)</f>
        <v>0</v>
      </c>
      <c r="M55" s="233">
        <f t="shared" si="1"/>
        <v>0</v>
      </c>
      <c r="N55" s="233">
        <v>0</v>
      </c>
      <c r="O55" s="233">
        <f>SUM(O56:O58)</f>
        <v>0</v>
      </c>
      <c r="P55" s="233">
        <f>SUM(P56:P58)</f>
        <v>0</v>
      </c>
      <c r="Q55" s="233">
        <f>SUM(Q56:Q58)</f>
        <v>0</v>
      </c>
      <c r="R55" s="233">
        <f t="shared" si="2"/>
        <v>0</v>
      </c>
    </row>
    <row r="56" spans="1:18" s="6" customFormat="1" ht="24" hidden="1" customHeight="1">
      <c r="A56" s="133" t="s">
        <v>188</v>
      </c>
      <c r="B56" s="179" t="s">
        <v>170</v>
      </c>
      <c r="C56" s="180"/>
      <c r="D56" s="180">
        <v>0</v>
      </c>
      <c r="E56" s="252"/>
      <c r="F56" s="252"/>
      <c r="G56" s="252"/>
      <c r="H56" s="233">
        <f t="shared" si="0"/>
        <v>0</v>
      </c>
      <c r="I56" s="252">
        <v>0</v>
      </c>
      <c r="J56" s="252"/>
      <c r="K56" s="252"/>
      <c r="L56" s="252"/>
      <c r="M56" s="233">
        <f t="shared" si="1"/>
        <v>0</v>
      </c>
      <c r="N56" s="252">
        <v>0</v>
      </c>
      <c r="O56" s="252"/>
      <c r="P56" s="252"/>
      <c r="Q56" s="252"/>
      <c r="R56" s="233">
        <f t="shared" si="2"/>
        <v>0</v>
      </c>
    </row>
    <row r="57" spans="1:18" s="29" customFormat="1" ht="48">
      <c r="A57" s="133" t="s">
        <v>189</v>
      </c>
      <c r="B57" s="179" t="s">
        <v>156</v>
      </c>
      <c r="C57" s="180">
        <v>119636</v>
      </c>
      <c r="D57" s="180">
        <v>0</v>
      </c>
      <c r="E57" s="252"/>
      <c r="F57" s="252"/>
      <c r="G57" s="252"/>
      <c r="H57" s="233">
        <f t="shared" si="0"/>
        <v>0</v>
      </c>
      <c r="I57" s="252">
        <v>0</v>
      </c>
      <c r="J57" s="252"/>
      <c r="K57" s="252"/>
      <c r="L57" s="252"/>
      <c r="M57" s="233">
        <f t="shared" si="1"/>
        <v>0</v>
      </c>
      <c r="N57" s="252">
        <v>0</v>
      </c>
      <c r="O57" s="252"/>
      <c r="P57" s="252"/>
      <c r="Q57" s="252"/>
      <c r="R57" s="233">
        <f t="shared" si="2"/>
        <v>0</v>
      </c>
    </row>
    <row r="58" spans="1:18" s="89" customFormat="1" ht="36" hidden="1" customHeight="1">
      <c r="A58" s="133">
        <v>7350</v>
      </c>
      <c r="B58" s="179" t="s">
        <v>163</v>
      </c>
      <c r="C58" s="180"/>
      <c r="D58" s="180">
        <v>0</v>
      </c>
      <c r="E58" s="252"/>
      <c r="F58" s="252"/>
      <c r="G58" s="252"/>
      <c r="H58" s="233">
        <f t="shared" si="0"/>
        <v>0</v>
      </c>
      <c r="I58" s="252">
        <v>0</v>
      </c>
      <c r="J58" s="252"/>
      <c r="K58" s="252"/>
      <c r="L58" s="252"/>
      <c r="M58" s="233">
        <f t="shared" si="1"/>
        <v>0</v>
      </c>
      <c r="N58" s="252">
        <v>0</v>
      </c>
      <c r="O58" s="252"/>
      <c r="P58" s="252"/>
      <c r="Q58" s="252"/>
      <c r="R58" s="233">
        <f t="shared" si="2"/>
        <v>0</v>
      </c>
    </row>
    <row r="59" spans="1:18" s="89" customFormat="1" ht="24">
      <c r="A59" s="132">
        <v>7400</v>
      </c>
      <c r="B59" s="172" t="s">
        <v>161</v>
      </c>
      <c r="C59" s="171">
        <v>38594</v>
      </c>
      <c r="D59" s="171">
        <v>0</v>
      </c>
      <c r="E59" s="233">
        <f>SUM(E60:E61)</f>
        <v>0</v>
      </c>
      <c r="F59" s="233">
        <f>SUM(F60:F61)</f>
        <v>0</v>
      </c>
      <c r="G59" s="233">
        <f>SUM(G60:G61)</f>
        <v>0</v>
      </c>
      <c r="H59" s="233">
        <f t="shared" si="0"/>
        <v>0</v>
      </c>
      <c r="I59" s="233">
        <v>0</v>
      </c>
      <c r="J59" s="233">
        <f>SUM(J60:J61)</f>
        <v>0</v>
      </c>
      <c r="K59" s="233">
        <f>SUM(K60:K61)</f>
        <v>0</v>
      </c>
      <c r="L59" s="233">
        <f>SUM(L60:L61)</f>
        <v>0</v>
      </c>
      <c r="M59" s="233">
        <f t="shared" si="1"/>
        <v>0</v>
      </c>
      <c r="N59" s="233">
        <v>0</v>
      </c>
      <c r="O59" s="233">
        <f>SUM(O60:O61)</f>
        <v>0</v>
      </c>
      <c r="P59" s="233">
        <f>SUM(P60:P61)</f>
        <v>0</v>
      </c>
      <c r="Q59" s="233">
        <f>SUM(Q60:Q61)</f>
        <v>0</v>
      </c>
      <c r="R59" s="233">
        <f t="shared" si="2"/>
        <v>0</v>
      </c>
    </row>
    <row r="60" spans="1:18" s="89" customFormat="1" ht="24" hidden="1" customHeight="1">
      <c r="A60" s="133">
        <v>7460</v>
      </c>
      <c r="B60" s="172" t="s">
        <v>162</v>
      </c>
      <c r="C60" s="180"/>
      <c r="D60" s="180">
        <v>0</v>
      </c>
      <c r="E60" s="252"/>
      <c r="F60" s="252"/>
      <c r="G60" s="252"/>
      <c r="H60" s="233">
        <f t="shared" si="0"/>
        <v>0</v>
      </c>
      <c r="I60" s="252">
        <v>0</v>
      </c>
      <c r="J60" s="252"/>
      <c r="K60" s="252"/>
      <c r="L60" s="252"/>
      <c r="M60" s="233">
        <f t="shared" si="1"/>
        <v>0</v>
      </c>
      <c r="N60" s="252">
        <v>0</v>
      </c>
      <c r="O60" s="252"/>
      <c r="P60" s="252"/>
      <c r="Q60" s="252"/>
      <c r="R60" s="233">
        <f t="shared" si="2"/>
        <v>0</v>
      </c>
    </row>
    <row r="61" spans="1:18" s="89" customFormat="1" ht="36">
      <c r="A61" s="133">
        <v>7470</v>
      </c>
      <c r="B61" s="179" t="s">
        <v>167</v>
      </c>
      <c r="C61" s="180">
        <v>38594</v>
      </c>
      <c r="D61" s="180">
        <v>0</v>
      </c>
      <c r="E61" s="252"/>
      <c r="F61" s="252"/>
      <c r="G61" s="252"/>
      <c r="H61" s="233">
        <f t="shared" si="0"/>
        <v>0</v>
      </c>
      <c r="I61" s="252">
        <v>0</v>
      </c>
      <c r="J61" s="252"/>
      <c r="K61" s="252"/>
      <c r="L61" s="252"/>
      <c r="M61" s="233">
        <f t="shared" si="1"/>
        <v>0</v>
      </c>
      <c r="N61" s="252">
        <v>0</v>
      </c>
      <c r="O61" s="252"/>
      <c r="P61" s="252"/>
      <c r="Q61" s="252"/>
      <c r="R61" s="233">
        <f t="shared" si="2"/>
        <v>0</v>
      </c>
    </row>
    <row r="62" spans="1:18" s="89" customFormat="1" ht="24">
      <c r="A62" s="132">
        <v>7500</v>
      </c>
      <c r="B62" s="179" t="s">
        <v>157</v>
      </c>
      <c r="C62" s="171">
        <v>19279902</v>
      </c>
      <c r="D62" s="171">
        <v>16013059</v>
      </c>
      <c r="E62" s="233"/>
      <c r="F62" s="233"/>
      <c r="G62" s="233"/>
      <c r="H62" s="233">
        <f t="shared" si="0"/>
        <v>16013059</v>
      </c>
      <c r="I62" s="233">
        <v>11150397</v>
      </c>
      <c r="J62" s="233"/>
      <c r="K62" s="233"/>
      <c r="L62" s="233"/>
      <c r="M62" s="233">
        <f t="shared" si="1"/>
        <v>11150397</v>
      </c>
      <c r="N62" s="233">
        <v>8472837</v>
      </c>
      <c r="O62" s="233"/>
      <c r="P62" s="233"/>
      <c r="Q62" s="233"/>
      <c r="R62" s="233">
        <f t="shared" si="2"/>
        <v>8472837</v>
      </c>
    </row>
    <row r="63" spans="1:18" s="89" customFormat="1" ht="12">
      <c r="A63" s="140" t="s">
        <v>133</v>
      </c>
      <c r="B63" s="124" t="s">
        <v>122</v>
      </c>
      <c r="C63" s="181">
        <v>35987247</v>
      </c>
      <c r="D63" s="181">
        <v>13694691</v>
      </c>
      <c r="E63" s="254">
        <f>E64+E65</f>
        <v>70140</v>
      </c>
      <c r="F63" s="254">
        <f>F64+F65</f>
        <v>1500</v>
      </c>
      <c r="G63" s="254">
        <f>G64+G65</f>
        <v>4932712</v>
      </c>
      <c r="H63" s="233">
        <f t="shared" si="0"/>
        <v>18699043</v>
      </c>
      <c r="I63" s="254">
        <v>12817219</v>
      </c>
      <c r="J63" s="254">
        <f>J64+J65</f>
        <v>0</v>
      </c>
      <c r="K63" s="254">
        <f>K64+K65</f>
        <v>0</v>
      </c>
      <c r="L63" s="254">
        <f>L64+L65</f>
        <v>15601709</v>
      </c>
      <c r="M63" s="233">
        <f t="shared" si="1"/>
        <v>28418928</v>
      </c>
      <c r="N63" s="254">
        <v>11289895</v>
      </c>
      <c r="O63" s="254">
        <f>O64+O65</f>
        <v>0</v>
      </c>
      <c r="P63" s="254">
        <f>P64+P65</f>
        <v>0</v>
      </c>
      <c r="Q63" s="254">
        <f>Q64+Q65</f>
        <v>15410960</v>
      </c>
      <c r="R63" s="233">
        <f t="shared" si="2"/>
        <v>26700855</v>
      </c>
    </row>
    <row r="64" spans="1:18" s="89" customFormat="1" ht="12">
      <c r="A64" s="140">
        <v>5000</v>
      </c>
      <c r="B64" s="124" t="s">
        <v>123</v>
      </c>
      <c r="C64" s="171">
        <v>4859655</v>
      </c>
      <c r="D64" s="171">
        <v>4772590</v>
      </c>
      <c r="E64" s="233">
        <f>E232</f>
        <v>70140</v>
      </c>
      <c r="F64" s="233">
        <f>F148</f>
        <v>1500</v>
      </c>
      <c r="G64" s="233">
        <f>G148</f>
        <v>4932712</v>
      </c>
      <c r="H64" s="233">
        <f t="shared" si="0"/>
        <v>9776942</v>
      </c>
      <c r="I64" s="233">
        <v>8800504</v>
      </c>
      <c r="J64" s="233"/>
      <c r="K64" s="233"/>
      <c r="L64" s="233">
        <f>L148</f>
        <v>15601709</v>
      </c>
      <c r="M64" s="233">
        <f t="shared" si="1"/>
        <v>24402213</v>
      </c>
      <c r="N64" s="233">
        <v>10435604</v>
      </c>
      <c r="O64" s="233"/>
      <c r="P64" s="233"/>
      <c r="Q64" s="233">
        <f>Q148</f>
        <v>15410960</v>
      </c>
      <c r="R64" s="233">
        <f t="shared" si="2"/>
        <v>25846564</v>
      </c>
    </row>
    <row r="65" spans="1:18" s="89" customFormat="1" ht="12">
      <c r="A65" s="140">
        <v>9000</v>
      </c>
      <c r="B65" s="182" t="s">
        <v>164</v>
      </c>
      <c r="C65" s="171">
        <v>31127592</v>
      </c>
      <c r="D65" s="171">
        <v>8922101</v>
      </c>
      <c r="E65" s="233">
        <f>E66+E72+E76+E79</f>
        <v>0</v>
      </c>
      <c r="F65" s="233">
        <f>F66+F72+F76+F79</f>
        <v>0</v>
      </c>
      <c r="G65" s="233">
        <f>G66+G72+G76+G79</f>
        <v>0</v>
      </c>
      <c r="H65" s="233">
        <f t="shared" si="0"/>
        <v>8922101</v>
      </c>
      <c r="I65" s="233">
        <v>4016715</v>
      </c>
      <c r="J65" s="233">
        <f>J66+J72+J76+J79</f>
        <v>0</v>
      </c>
      <c r="K65" s="233">
        <f>K66+K72+K76+K79</f>
        <v>0</v>
      </c>
      <c r="L65" s="233">
        <f>L66+L72+L76+L79</f>
        <v>0</v>
      </c>
      <c r="M65" s="233">
        <f t="shared" si="1"/>
        <v>4016715</v>
      </c>
      <c r="N65" s="233">
        <v>854291</v>
      </c>
      <c r="O65" s="233">
        <f>O66+O72+O76+O79</f>
        <v>0</v>
      </c>
      <c r="P65" s="233">
        <f>P66+P72+P76+P79</f>
        <v>0</v>
      </c>
      <c r="Q65" s="233">
        <f>Q66+Q72+Q76+Q79</f>
        <v>0</v>
      </c>
      <c r="R65" s="233">
        <f t="shared" si="2"/>
        <v>854291</v>
      </c>
    </row>
    <row r="66" spans="1:18" s="89" customFormat="1" ht="12" hidden="1" customHeight="1">
      <c r="A66" s="141">
        <v>9100</v>
      </c>
      <c r="B66" s="179" t="s">
        <v>124</v>
      </c>
      <c r="C66" s="171">
        <v>0</v>
      </c>
      <c r="D66" s="171">
        <v>0</v>
      </c>
      <c r="E66" s="233">
        <f>SUM(E67:E68)</f>
        <v>0</v>
      </c>
      <c r="F66" s="233">
        <f>SUM(F67:F68)</f>
        <v>0</v>
      </c>
      <c r="G66" s="233">
        <f>SUM(G67:G68)</f>
        <v>0</v>
      </c>
      <c r="H66" s="233">
        <f t="shared" si="0"/>
        <v>0</v>
      </c>
      <c r="I66" s="233">
        <v>0</v>
      </c>
      <c r="J66" s="233">
        <f>SUM(J67:J68)</f>
        <v>0</v>
      </c>
      <c r="K66" s="233">
        <f>SUM(K67:K68)</f>
        <v>0</v>
      </c>
      <c r="L66" s="233">
        <f>SUM(L67:L68)</f>
        <v>0</v>
      </c>
      <c r="M66" s="233">
        <f t="shared" si="1"/>
        <v>0</v>
      </c>
      <c r="N66" s="233">
        <v>0</v>
      </c>
      <c r="O66" s="233">
        <f>SUM(O67:O68)</f>
        <v>0</v>
      </c>
      <c r="P66" s="233">
        <f>SUM(P67:P68)</f>
        <v>0</v>
      </c>
      <c r="Q66" s="233">
        <f>SUM(Q67:Q68)</f>
        <v>0</v>
      </c>
      <c r="R66" s="233">
        <f t="shared" si="2"/>
        <v>0</v>
      </c>
    </row>
    <row r="67" spans="1:18" s="89" customFormat="1" ht="24" hidden="1" customHeight="1">
      <c r="A67" s="133" t="s">
        <v>125</v>
      </c>
      <c r="B67" s="179" t="s">
        <v>214</v>
      </c>
      <c r="C67" s="171"/>
      <c r="D67" s="171">
        <v>0</v>
      </c>
      <c r="E67" s="233"/>
      <c r="F67" s="233"/>
      <c r="G67" s="233"/>
      <c r="H67" s="233">
        <f t="shared" si="0"/>
        <v>0</v>
      </c>
      <c r="I67" s="233">
        <v>0</v>
      </c>
      <c r="J67" s="233"/>
      <c r="K67" s="233"/>
      <c r="L67" s="233"/>
      <c r="M67" s="233">
        <f t="shared" si="1"/>
        <v>0</v>
      </c>
      <c r="N67" s="233">
        <v>0</v>
      </c>
      <c r="O67" s="233"/>
      <c r="P67" s="233"/>
      <c r="Q67" s="233"/>
      <c r="R67" s="233">
        <f t="shared" si="2"/>
        <v>0</v>
      </c>
    </row>
    <row r="68" spans="1:18" s="89" customFormat="1" ht="24" hidden="1" customHeight="1">
      <c r="A68" s="133">
        <v>9140</v>
      </c>
      <c r="B68" s="179" t="s">
        <v>215</v>
      </c>
      <c r="C68" s="171">
        <v>0</v>
      </c>
      <c r="D68" s="171">
        <v>0</v>
      </c>
      <c r="E68" s="233">
        <f>SUM(E69:E71)</f>
        <v>0</v>
      </c>
      <c r="F68" s="233">
        <f>SUM(F69:F71)</f>
        <v>0</v>
      </c>
      <c r="G68" s="233">
        <f>SUM(G69:G71)</f>
        <v>0</v>
      </c>
      <c r="H68" s="233">
        <f t="shared" si="0"/>
        <v>0</v>
      </c>
      <c r="I68" s="233">
        <v>0</v>
      </c>
      <c r="J68" s="233">
        <f>SUM(J69:J71)</f>
        <v>0</v>
      </c>
      <c r="K68" s="233">
        <f>SUM(K69:K71)</f>
        <v>0</v>
      </c>
      <c r="L68" s="233">
        <f>SUM(L69:L71)</f>
        <v>0</v>
      </c>
      <c r="M68" s="233">
        <f t="shared" si="1"/>
        <v>0</v>
      </c>
      <c r="N68" s="233">
        <v>0</v>
      </c>
      <c r="O68" s="233">
        <f>SUM(O69:O71)</f>
        <v>0</v>
      </c>
      <c r="P68" s="233">
        <f>SUM(P69:P71)</f>
        <v>0</v>
      </c>
      <c r="Q68" s="233">
        <f>SUM(Q69:Q71)</f>
        <v>0</v>
      </c>
      <c r="R68" s="233">
        <f t="shared" si="2"/>
        <v>0</v>
      </c>
    </row>
    <row r="69" spans="1:18" s="89" customFormat="1" ht="36" hidden="1" customHeight="1">
      <c r="A69" s="134">
        <v>9141</v>
      </c>
      <c r="B69" s="172" t="s">
        <v>190</v>
      </c>
      <c r="C69" s="180"/>
      <c r="D69" s="180">
        <v>0</v>
      </c>
      <c r="E69" s="252"/>
      <c r="F69" s="252"/>
      <c r="G69" s="252"/>
      <c r="H69" s="233">
        <f t="shared" si="0"/>
        <v>0</v>
      </c>
      <c r="I69" s="252">
        <v>0</v>
      </c>
      <c r="J69" s="252"/>
      <c r="K69" s="252"/>
      <c r="L69" s="252"/>
      <c r="M69" s="233">
        <f t="shared" si="1"/>
        <v>0</v>
      </c>
      <c r="N69" s="252">
        <v>0</v>
      </c>
      <c r="O69" s="252"/>
      <c r="P69" s="252"/>
      <c r="Q69" s="252"/>
      <c r="R69" s="233">
        <f t="shared" si="2"/>
        <v>0</v>
      </c>
    </row>
    <row r="70" spans="1:18" s="89" customFormat="1" ht="36" hidden="1" customHeight="1">
      <c r="A70" s="134">
        <v>9142</v>
      </c>
      <c r="B70" s="172" t="s">
        <v>191</v>
      </c>
      <c r="C70" s="180"/>
      <c r="D70" s="180">
        <v>0</v>
      </c>
      <c r="E70" s="252"/>
      <c r="F70" s="252"/>
      <c r="G70" s="252"/>
      <c r="H70" s="233">
        <f t="shared" si="0"/>
        <v>0</v>
      </c>
      <c r="I70" s="252">
        <v>0</v>
      </c>
      <c r="J70" s="252"/>
      <c r="K70" s="252"/>
      <c r="L70" s="252"/>
      <c r="M70" s="233">
        <f t="shared" si="1"/>
        <v>0</v>
      </c>
      <c r="N70" s="252">
        <v>0</v>
      </c>
      <c r="O70" s="252"/>
      <c r="P70" s="252"/>
      <c r="Q70" s="252"/>
      <c r="R70" s="233">
        <f t="shared" si="2"/>
        <v>0</v>
      </c>
    </row>
    <row r="71" spans="1:18" s="89" customFormat="1" ht="24" hidden="1" customHeight="1">
      <c r="A71" s="134">
        <v>9149</v>
      </c>
      <c r="B71" s="172" t="s">
        <v>192</v>
      </c>
      <c r="C71" s="180"/>
      <c r="D71" s="180">
        <v>0</v>
      </c>
      <c r="E71" s="252"/>
      <c r="F71" s="252"/>
      <c r="G71" s="252"/>
      <c r="H71" s="233">
        <f t="shared" si="0"/>
        <v>0</v>
      </c>
      <c r="I71" s="252">
        <v>0</v>
      </c>
      <c r="J71" s="252"/>
      <c r="K71" s="252"/>
      <c r="L71" s="252"/>
      <c r="M71" s="233">
        <f t="shared" si="1"/>
        <v>0</v>
      </c>
      <c r="N71" s="252">
        <v>0</v>
      </c>
      <c r="O71" s="252"/>
      <c r="P71" s="252"/>
      <c r="Q71" s="252"/>
      <c r="R71" s="233">
        <f t="shared" si="2"/>
        <v>0</v>
      </c>
    </row>
    <row r="72" spans="1:18" s="29" customFormat="1" ht="24">
      <c r="A72" s="141">
        <v>9500</v>
      </c>
      <c r="B72" s="172" t="s">
        <v>165</v>
      </c>
      <c r="C72" s="171">
        <v>16085149</v>
      </c>
      <c r="D72" s="171">
        <v>3121259</v>
      </c>
      <c r="E72" s="233">
        <f>SUM(E73:E75)</f>
        <v>0</v>
      </c>
      <c r="F72" s="233">
        <f>SUM(F73:F75)</f>
        <v>0</v>
      </c>
      <c r="G72" s="233">
        <f>SUM(G73:G75)</f>
        <v>0</v>
      </c>
      <c r="H72" s="233">
        <f t="shared" si="0"/>
        <v>3121259</v>
      </c>
      <c r="I72" s="233">
        <v>2751837</v>
      </c>
      <c r="J72" s="233">
        <f>SUM(J73:J75)</f>
        <v>0</v>
      </c>
      <c r="K72" s="233">
        <f>SUM(K73:K75)</f>
        <v>0</v>
      </c>
      <c r="L72" s="233">
        <f>SUM(L73:L75)</f>
        <v>0</v>
      </c>
      <c r="M72" s="233">
        <f t="shared" si="1"/>
        <v>2751837</v>
      </c>
      <c r="N72" s="233">
        <v>823141</v>
      </c>
      <c r="O72" s="233">
        <f>SUM(O73:O75)</f>
        <v>0</v>
      </c>
      <c r="P72" s="233">
        <f>SUM(P73:P75)</f>
        <v>0</v>
      </c>
      <c r="Q72" s="233">
        <f>SUM(Q73:Q75)</f>
        <v>0</v>
      </c>
      <c r="R72" s="233">
        <f t="shared" si="2"/>
        <v>823141</v>
      </c>
    </row>
    <row r="73" spans="1:18" s="29" customFormat="1" ht="24" hidden="1" customHeight="1">
      <c r="A73" s="133" t="s">
        <v>193</v>
      </c>
      <c r="B73" s="172" t="s">
        <v>171</v>
      </c>
      <c r="C73" s="171"/>
      <c r="D73" s="171">
        <v>0</v>
      </c>
      <c r="E73" s="233"/>
      <c r="F73" s="233"/>
      <c r="G73" s="233"/>
      <c r="H73" s="233">
        <f t="shared" si="0"/>
        <v>0</v>
      </c>
      <c r="I73" s="233">
        <v>0</v>
      </c>
      <c r="J73" s="233"/>
      <c r="K73" s="233"/>
      <c r="L73" s="233"/>
      <c r="M73" s="233">
        <f t="shared" si="1"/>
        <v>0</v>
      </c>
      <c r="N73" s="233">
        <v>0</v>
      </c>
      <c r="O73" s="233"/>
      <c r="P73" s="233"/>
      <c r="Q73" s="233"/>
      <c r="R73" s="233">
        <f t="shared" si="2"/>
        <v>0</v>
      </c>
    </row>
    <row r="74" spans="1:18" s="28" customFormat="1" ht="48">
      <c r="A74" s="133">
        <v>9580</v>
      </c>
      <c r="B74" s="172" t="s">
        <v>166</v>
      </c>
      <c r="C74" s="180">
        <v>16085149</v>
      </c>
      <c r="D74" s="180">
        <v>3121259</v>
      </c>
      <c r="E74" s="252"/>
      <c r="F74" s="252"/>
      <c r="G74" s="252"/>
      <c r="H74" s="233">
        <f t="shared" ref="H74:H137" si="13">SUM(D74:G74)</f>
        <v>3121259</v>
      </c>
      <c r="I74" s="252">
        <v>2751837</v>
      </c>
      <c r="J74" s="252"/>
      <c r="K74" s="252"/>
      <c r="L74" s="252"/>
      <c r="M74" s="233">
        <f t="shared" ref="M74:M137" si="14">SUM(I74:L74)</f>
        <v>2751837</v>
      </c>
      <c r="N74" s="252">
        <v>823141</v>
      </c>
      <c r="O74" s="252"/>
      <c r="P74" s="252"/>
      <c r="Q74" s="252"/>
      <c r="R74" s="233">
        <f t="shared" ref="R74:R137" si="15">SUM(N74:Q74)</f>
        <v>823141</v>
      </c>
    </row>
    <row r="75" spans="1:18" s="4" customFormat="1" ht="48" hidden="1" customHeight="1">
      <c r="A75" s="133">
        <v>9590</v>
      </c>
      <c r="B75" s="179" t="s">
        <v>172</v>
      </c>
      <c r="C75" s="180">
        <v>0</v>
      </c>
      <c r="D75" s="180">
        <v>0</v>
      </c>
      <c r="E75" s="252"/>
      <c r="F75" s="252"/>
      <c r="G75" s="252"/>
      <c r="H75" s="233">
        <f t="shared" si="13"/>
        <v>0</v>
      </c>
      <c r="I75" s="252">
        <v>0</v>
      </c>
      <c r="J75" s="252"/>
      <c r="K75" s="252"/>
      <c r="L75" s="252"/>
      <c r="M75" s="233">
        <f t="shared" si="14"/>
        <v>0</v>
      </c>
      <c r="N75" s="252">
        <v>0</v>
      </c>
      <c r="O75" s="252"/>
      <c r="P75" s="252"/>
      <c r="Q75" s="252"/>
      <c r="R75" s="233">
        <f t="shared" si="15"/>
        <v>0</v>
      </c>
    </row>
    <row r="76" spans="1:18" s="3" customFormat="1" ht="24" hidden="1" customHeight="1">
      <c r="A76" s="141">
        <v>9700</v>
      </c>
      <c r="B76" s="183" t="s">
        <v>194</v>
      </c>
      <c r="C76" s="171">
        <v>0</v>
      </c>
      <c r="D76" s="171">
        <v>0</v>
      </c>
      <c r="E76" s="233">
        <f>SUM(E77:E78)</f>
        <v>0</v>
      </c>
      <c r="F76" s="233">
        <f>SUM(F77:F78)</f>
        <v>0</v>
      </c>
      <c r="G76" s="233">
        <f>SUM(G77:G78)</f>
        <v>0</v>
      </c>
      <c r="H76" s="233">
        <f t="shared" si="13"/>
        <v>0</v>
      </c>
      <c r="I76" s="233">
        <v>0</v>
      </c>
      <c r="J76" s="233">
        <f>SUM(J77:J78)</f>
        <v>0</v>
      </c>
      <c r="K76" s="233">
        <f>SUM(K77:K78)</f>
        <v>0</v>
      </c>
      <c r="L76" s="233">
        <f>SUM(L77:L78)</f>
        <v>0</v>
      </c>
      <c r="M76" s="233">
        <f t="shared" si="14"/>
        <v>0</v>
      </c>
      <c r="N76" s="233">
        <v>0</v>
      </c>
      <c r="O76" s="233">
        <f>SUM(O77:O78)</f>
        <v>0</v>
      </c>
      <c r="P76" s="233">
        <f>SUM(P77:P78)</f>
        <v>0</v>
      </c>
      <c r="Q76" s="233">
        <f>SUM(Q77:Q78)</f>
        <v>0</v>
      </c>
      <c r="R76" s="233">
        <f t="shared" si="15"/>
        <v>0</v>
      </c>
    </row>
    <row r="77" spans="1:18" s="3" customFormat="1" ht="24" hidden="1" customHeight="1">
      <c r="A77" s="133">
        <v>9710</v>
      </c>
      <c r="B77" s="184" t="s">
        <v>195</v>
      </c>
      <c r="C77" s="180">
        <v>0</v>
      </c>
      <c r="D77" s="180">
        <v>0</v>
      </c>
      <c r="E77" s="252"/>
      <c r="F77" s="252"/>
      <c r="G77" s="252"/>
      <c r="H77" s="233">
        <f t="shared" si="13"/>
        <v>0</v>
      </c>
      <c r="I77" s="252">
        <v>0</v>
      </c>
      <c r="J77" s="252"/>
      <c r="K77" s="252"/>
      <c r="L77" s="252"/>
      <c r="M77" s="233">
        <f t="shared" si="14"/>
        <v>0</v>
      </c>
      <c r="N77" s="252">
        <v>0</v>
      </c>
      <c r="O77" s="252"/>
      <c r="P77" s="252"/>
      <c r="Q77" s="252"/>
      <c r="R77" s="233">
        <f t="shared" si="15"/>
        <v>0</v>
      </c>
    </row>
    <row r="78" spans="1:18" s="3" customFormat="1" ht="48" hidden="1" customHeight="1">
      <c r="A78" s="142">
        <v>9720</v>
      </c>
      <c r="B78" s="183" t="s">
        <v>196</v>
      </c>
      <c r="C78" s="180">
        <v>0</v>
      </c>
      <c r="D78" s="180">
        <v>0</v>
      </c>
      <c r="E78" s="252"/>
      <c r="F78" s="252"/>
      <c r="G78" s="252"/>
      <c r="H78" s="233">
        <f t="shared" si="13"/>
        <v>0</v>
      </c>
      <c r="I78" s="252">
        <v>0</v>
      </c>
      <c r="J78" s="252"/>
      <c r="K78" s="252"/>
      <c r="L78" s="252"/>
      <c r="M78" s="233">
        <f t="shared" si="14"/>
        <v>0</v>
      </c>
      <c r="N78" s="252">
        <v>0</v>
      </c>
      <c r="O78" s="252"/>
      <c r="P78" s="252"/>
      <c r="Q78" s="252"/>
      <c r="R78" s="233">
        <f t="shared" si="15"/>
        <v>0</v>
      </c>
    </row>
    <row r="79" spans="1:18" s="3" customFormat="1" ht="24">
      <c r="A79" s="141">
        <v>9600</v>
      </c>
      <c r="B79" s="179" t="s">
        <v>134</v>
      </c>
      <c r="C79" s="180">
        <v>15042443</v>
      </c>
      <c r="D79" s="180">
        <v>5800842</v>
      </c>
      <c r="E79" s="252"/>
      <c r="F79" s="252"/>
      <c r="G79" s="252"/>
      <c r="H79" s="233">
        <f t="shared" si="13"/>
        <v>5800842</v>
      </c>
      <c r="I79" s="252">
        <v>1264878</v>
      </c>
      <c r="J79" s="252"/>
      <c r="K79" s="252"/>
      <c r="L79" s="252"/>
      <c r="M79" s="233">
        <f t="shared" si="14"/>
        <v>1264878</v>
      </c>
      <c r="N79" s="252">
        <v>31150</v>
      </c>
      <c r="O79" s="252"/>
      <c r="P79" s="252"/>
      <c r="Q79" s="252"/>
      <c r="R79" s="233">
        <f t="shared" si="15"/>
        <v>31150</v>
      </c>
    </row>
    <row r="80" spans="1:18" s="3" customFormat="1" ht="30.6">
      <c r="A80" s="130" t="s">
        <v>197</v>
      </c>
      <c r="B80" s="185" t="s">
        <v>47</v>
      </c>
      <c r="C80" s="186">
        <v>3034510</v>
      </c>
      <c r="D80" s="186">
        <v>0</v>
      </c>
      <c r="E80" s="262">
        <f>E10-E35</f>
        <v>0</v>
      </c>
      <c r="F80" s="262">
        <f>F10-F35</f>
        <v>0</v>
      </c>
      <c r="G80" s="262">
        <f>G10-G35</f>
        <v>6496018</v>
      </c>
      <c r="H80" s="233">
        <f t="shared" si="13"/>
        <v>6496018</v>
      </c>
      <c r="I80" s="262">
        <v>0</v>
      </c>
      <c r="J80" s="262">
        <f>J10-J35</f>
        <v>0</v>
      </c>
      <c r="K80" s="262">
        <f>K10-K35</f>
        <v>0</v>
      </c>
      <c r="L80" s="262">
        <f>L10-L35</f>
        <v>0</v>
      </c>
      <c r="M80" s="233">
        <f t="shared" si="14"/>
        <v>0</v>
      </c>
      <c r="N80" s="262">
        <v>0</v>
      </c>
      <c r="O80" s="262">
        <f>O10-O35</f>
        <v>0</v>
      </c>
      <c r="P80" s="262">
        <f>P10-P35</f>
        <v>0</v>
      </c>
      <c r="Q80" s="262">
        <f>Q10-Q35</f>
        <v>0</v>
      </c>
      <c r="R80" s="233">
        <f t="shared" si="15"/>
        <v>0</v>
      </c>
    </row>
    <row r="81" spans="1:18" s="3" customFormat="1" ht="12">
      <c r="A81" s="143" t="s">
        <v>48</v>
      </c>
      <c r="B81" s="185" t="s">
        <v>49</v>
      </c>
      <c r="C81" s="186">
        <v>-3034510</v>
      </c>
      <c r="D81" s="186">
        <v>0</v>
      </c>
      <c r="E81" s="262">
        <f>E82+E85+E89+E88</f>
        <v>0</v>
      </c>
      <c r="F81" s="262">
        <f>F82+F85+F89+F88</f>
        <v>0</v>
      </c>
      <c r="G81" s="262">
        <f>G82+G85+G89+G88</f>
        <v>-6496018</v>
      </c>
      <c r="H81" s="233">
        <f t="shared" si="13"/>
        <v>-6496018</v>
      </c>
      <c r="I81" s="262">
        <v>0</v>
      </c>
      <c r="J81" s="262">
        <f>J82+J85+J89+J88</f>
        <v>0</v>
      </c>
      <c r="K81" s="262">
        <f>K82+K85+K89+K88</f>
        <v>0</v>
      </c>
      <c r="L81" s="262">
        <f>L82+L85+L89+L88</f>
        <v>0</v>
      </c>
      <c r="M81" s="233">
        <f t="shared" si="14"/>
        <v>0</v>
      </c>
      <c r="N81" s="262">
        <v>0</v>
      </c>
      <c r="O81" s="262">
        <f>O82+O85+O89+O88</f>
        <v>0</v>
      </c>
      <c r="P81" s="262">
        <f>P82+P85+P89+P88</f>
        <v>0</v>
      </c>
      <c r="Q81" s="262">
        <f>Q82+Q85+Q89+Q88</f>
        <v>0</v>
      </c>
      <c r="R81" s="233">
        <f t="shared" si="15"/>
        <v>0</v>
      </c>
    </row>
    <row r="82" spans="1:18" s="4" customFormat="1" ht="12" hidden="1" customHeight="1">
      <c r="A82" s="141" t="s">
        <v>50</v>
      </c>
      <c r="B82" s="179" t="s">
        <v>51</v>
      </c>
      <c r="C82" s="169">
        <v>0</v>
      </c>
      <c r="D82" s="169">
        <v>0</v>
      </c>
      <c r="E82" s="231">
        <f>E83+E84</f>
        <v>0</v>
      </c>
      <c r="F82" s="231">
        <f>F83+F84</f>
        <v>0</v>
      </c>
      <c r="G82" s="231">
        <f>G83+G84</f>
        <v>0</v>
      </c>
      <c r="H82" s="233">
        <f t="shared" si="13"/>
        <v>0</v>
      </c>
      <c r="I82" s="231">
        <v>0</v>
      </c>
      <c r="J82" s="231">
        <f>J83+J84</f>
        <v>0</v>
      </c>
      <c r="K82" s="231">
        <f>K83+K84</f>
        <v>0</v>
      </c>
      <c r="L82" s="231">
        <f>L83+L84</f>
        <v>0</v>
      </c>
      <c r="M82" s="233">
        <f t="shared" si="14"/>
        <v>0</v>
      </c>
      <c r="N82" s="231">
        <v>0</v>
      </c>
      <c r="O82" s="231">
        <f>O83+O84</f>
        <v>0</v>
      </c>
      <c r="P82" s="231">
        <f>P83+P84</f>
        <v>0</v>
      </c>
      <c r="Q82" s="231">
        <f>Q83+Q84</f>
        <v>0</v>
      </c>
      <c r="R82" s="233">
        <f t="shared" si="15"/>
        <v>0</v>
      </c>
    </row>
    <row r="83" spans="1:18" s="6" customFormat="1" ht="12" hidden="1" customHeight="1">
      <c r="A83" s="141" t="s">
        <v>52</v>
      </c>
      <c r="B83" s="179" t="s">
        <v>53</v>
      </c>
      <c r="C83" s="169"/>
      <c r="D83" s="169">
        <v>0</v>
      </c>
      <c r="E83" s="231"/>
      <c r="F83" s="231"/>
      <c r="G83" s="231"/>
      <c r="H83" s="233">
        <f t="shared" si="13"/>
        <v>0</v>
      </c>
      <c r="I83" s="231">
        <v>0</v>
      </c>
      <c r="J83" s="231"/>
      <c r="K83" s="231"/>
      <c r="L83" s="231"/>
      <c r="M83" s="233">
        <f t="shared" si="14"/>
        <v>0</v>
      </c>
      <c r="N83" s="231">
        <v>0</v>
      </c>
      <c r="O83" s="231"/>
      <c r="P83" s="231"/>
      <c r="Q83" s="231"/>
      <c r="R83" s="233">
        <f t="shared" si="15"/>
        <v>0</v>
      </c>
    </row>
    <row r="84" spans="1:18" s="6" customFormat="1" ht="12" hidden="1" customHeight="1">
      <c r="A84" s="141" t="s">
        <v>54</v>
      </c>
      <c r="B84" s="179" t="s">
        <v>55</v>
      </c>
      <c r="C84" s="169"/>
      <c r="D84" s="169">
        <v>0</v>
      </c>
      <c r="E84" s="231"/>
      <c r="F84" s="231"/>
      <c r="G84" s="231"/>
      <c r="H84" s="233">
        <f t="shared" si="13"/>
        <v>0</v>
      </c>
      <c r="I84" s="231">
        <v>0</v>
      </c>
      <c r="J84" s="231"/>
      <c r="K84" s="231"/>
      <c r="L84" s="231"/>
      <c r="M84" s="233">
        <f t="shared" si="14"/>
        <v>0</v>
      </c>
      <c r="N84" s="231">
        <v>0</v>
      </c>
      <c r="O84" s="231"/>
      <c r="P84" s="231"/>
      <c r="Q84" s="231"/>
      <c r="R84" s="233">
        <f t="shared" si="15"/>
        <v>0</v>
      </c>
    </row>
    <row r="85" spans="1:18" s="6" customFormat="1" ht="12" hidden="1" customHeight="1">
      <c r="A85" s="141" t="s">
        <v>56</v>
      </c>
      <c r="B85" s="179" t="s">
        <v>57</v>
      </c>
      <c r="C85" s="169">
        <v>0</v>
      </c>
      <c r="D85" s="169">
        <v>0</v>
      </c>
      <c r="E85" s="231">
        <f>E86+E87</f>
        <v>0</v>
      </c>
      <c r="F85" s="231">
        <f>F86+F87</f>
        <v>0</v>
      </c>
      <c r="G85" s="231">
        <f>G86+G87</f>
        <v>0</v>
      </c>
      <c r="H85" s="233">
        <f t="shared" si="13"/>
        <v>0</v>
      </c>
      <c r="I85" s="231">
        <v>0</v>
      </c>
      <c r="J85" s="231">
        <f>J86+J87</f>
        <v>0</v>
      </c>
      <c r="K85" s="231">
        <f>K86+K87</f>
        <v>0</v>
      </c>
      <c r="L85" s="231">
        <f>L86+L87</f>
        <v>0</v>
      </c>
      <c r="M85" s="233">
        <f t="shared" si="14"/>
        <v>0</v>
      </c>
      <c r="N85" s="231">
        <v>0</v>
      </c>
      <c r="O85" s="231">
        <f>O86+O87</f>
        <v>0</v>
      </c>
      <c r="P85" s="231">
        <f>P86+P87</f>
        <v>0</v>
      </c>
      <c r="Q85" s="231">
        <f>Q86+Q87</f>
        <v>0</v>
      </c>
      <c r="R85" s="233">
        <f t="shared" si="15"/>
        <v>0</v>
      </c>
    </row>
    <row r="86" spans="1:18" s="6" customFormat="1" ht="12" hidden="1" customHeight="1">
      <c r="A86" s="141" t="s">
        <v>58</v>
      </c>
      <c r="B86" s="179" t="s">
        <v>59</v>
      </c>
      <c r="C86" s="169">
        <v>0</v>
      </c>
      <c r="D86" s="169">
        <v>0</v>
      </c>
      <c r="E86" s="231"/>
      <c r="F86" s="231"/>
      <c r="G86" s="231"/>
      <c r="H86" s="233">
        <f t="shared" si="13"/>
        <v>0</v>
      </c>
      <c r="I86" s="231">
        <v>0</v>
      </c>
      <c r="J86" s="231"/>
      <c r="K86" s="231"/>
      <c r="L86" s="231"/>
      <c r="M86" s="233">
        <f t="shared" si="14"/>
        <v>0</v>
      </c>
      <c r="N86" s="231">
        <v>0</v>
      </c>
      <c r="O86" s="231"/>
      <c r="P86" s="231"/>
      <c r="Q86" s="231"/>
      <c r="R86" s="233">
        <f t="shared" si="15"/>
        <v>0</v>
      </c>
    </row>
    <row r="87" spans="1:18" s="6" customFormat="1" ht="12" hidden="1" customHeight="1">
      <c r="A87" s="141" t="s">
        <v>60</v>
      </c>
      <c r="B87" s="179" t="s">
        <v>61</v>
      </c>
      <c r="C87" s="169">
        <v>0</v>
      </c>
      <c r="D87" s="169">
        <v>0</v>
      </c>
      <c r="E87" s="231"/>
      <c r="F87" s="231"/>
      <c r="G87" s="231"/>
      <c r="H87" s="233">
        <f t="shared" si="13"/>
        <v>0</v>
      </c>
      <c r="I87" s="231">
        <v>0</v>
      </c>
      <c r="J87" s="231"/>
      <c r="K87" s="231"/>
      <c r="L87" s="231"/>
      <c r="M87" s="233">
        <f t="shared" si="14"/>
        <v>0</v>
      </c>
      <c r="N87" s="231">
        <v>0</v>
      </c>
      <c r="O87" s="231"/>
      <c r="P87" s="231"/>
      <c r="Q87" s="231"/>
      <c r="R87" s="233">
        <f t="shared" si="15"/>
        <v>0</v>
      </c>
    </row>
    <row r="88" spans="1:18" s="6" customFormat="1" ht="12">
      <c r="A88" s="141" t="s">
        <v>198</v>
      </c>
      <c r="B88" s="187" t="s">
        <v>168</v>
      </c>
      <c r="C88" s="169">
        <v>-4300500</v>
      </c>
      <c r="D88" s="169">
        <v>0</v>
      </c>
      <c r="E88" s="231"/>
      <c r="F88" s="231"/>
      <c r="G88" s="231">
        <f>G172</f>
        <v>-6496018</v>
      </c>
      <c r="H88" s="233">
        <f t="shared" si="13"/>
        <v>-6496018</v>
      </c>
      <c r="I88" s="231">
        <v>0</v>
      </c>
      <c r="J88" s="231"/>
      <c r="K88" s="231"/>
      <c r="L88" s="231"/>
      <c r="M88" s="233">
        <f t="shared" si="14"/>
        <v>0</v>
      </c>
      <c r="N88" s="231">
        <v>0</v>
      </c>
      <c r="O88" s="231"/>
      <c r="P88" s="231"/>
      <c r="Q88" s="231"/>
      <c r="R88" s="233">
        <f t="shared" si="15"/>
        <v>0</v>
      </c>
    </row>
    <row r="89" spans="1:18" s="6" customFormat="1" ht="12">
      <c r="A89" s="144" t="s">
        <v>62</v>
      </c>
      <c r="B89" s="125" t="s">
        <v>63</v>
      </c>
      <c r="C89" s="171">
        <v>1265990</v>
      </c>
      <c r="D89" s="171">
        <v>0</v>
      </c>
      <c r="E89" s="233">
        <f>E90+E91+E92</f>
        <v>0</v>
      </c>
      <c r="F89" s="233">
        <f>F90+F91+F92</f>
        <v>0</v>
      </c>
      <c r="G89" s="233">
        <f>G90+G91+G92</f>
        <v>0</v>
      </c>
      <c r="H89" s="233">
        <f t="shared" si="13"/>
        <v>0</v>
      </c>
      <c r="I89" s="233">
        <v>0</v>
      </c>
      <c r="J89" s="233">
        <f>J90+J91+J92</f>
        <v>0</v>
      </c>
      <c r="K89" s="233">
        <f>K90+K91+K92</f>
        <v>0</v>
      </c>
      <c r="L89" s="233">
        <f>L90+L91+L92</f>
        <v>0</v>
      </c>
      <c r="M89" s="233">
        <f t="shared" si="14"/>
        <v>0</v>
      </c>
      <c r="N89" s="233">
        <v>0</v>
      </c>
      <c r="O89" s="233">
        <f>O90+O91+O92</f>
        <v>0</v>
      </c>
      <c r="P89" s="233">
        <f>P90+P91+P92</f>
        <v>0</v>
      </c>
      <c r="Q89" s="233">
        <f>Q90+Q91+Q92</f>
        <v>0</v>
      </c>
      <c r="R89" s="233">
        <f t="shared" si="15"/>
        <v>0</v>
      </c>
    </row>
    <row r="90" spans="1:18" s="6" customFormat="1" ht="36" hidden="1" customHeight="1">
      <c r="A90" s="144" t="s">
        <v>64</v>
      </c>
      <c r="B90" s="179" t="s">
        <v>65</v>
      </c>
      <c r="C90" s="169"/>
      <c r="D90" s="169">
        <v>0</v>
      </c>
      <c r="E90" s="231"/>
      <c r="F90" s="231"/>
      <c r="G90" s="231"/>
      <c r="H90" s="233">
        <f t="shared" si="13"/>
        <v>0</v>
      </c>
      <c r="I90" s="231">
        <v>0</v>
      </c>
      <c r="J90" s="231"/>
      <c r="K90" s="231"/>
      <c r="L90" s="231"/>
      <c r="M90" s="233">
        <f t="shared" si="14"/>
        <v>0</v>
      </c>
      <c r="N90" s="231">
        <v>0</v>
      </c>
      <c r="O90" s="231"/>
      <c r="P90" s="231"/>
      <c r="Q90" s="231"/>
      <c r="R90" s="233">
        <f t="shared" si="15"/>
        <v>0</v>
      </c>
    </row>
    <row r="91" spans="1:18" s="6" customFormat="1" ht="24">
      <c r="A91" s="144" t="s">
        <v>66</v>
      </c>
      <c r="B91" s="179" t="s">
        <v>67</v>
      </c>
      <c r="C91" s="169">
        <v>1265990</v>
      </c>
      <c r="D91" s="169">
        <v>0</v>
      </c>
      <c r="E91" s="231">
        <f>E259</f>
        <v>0</v>
      </c>
      <c r="F91" s="231"/>
      <c r="G91" s="231"/>
      <c r="H91" s="233">
        <f t="shared" si="13"/>
        <v>0</v>
      </c>
      <c r="I91" s="231">
        <v>0</v>
      </c>
      <c r="J91" s="231"/>
      <c r="K91" s="231"/>
      <c r="L91" s="231"/>
      <c r="M91" s="233">
        <f t="shared" si="14"/>
        <v>0</v>
      </c>
      <c r="N91" s="231">
        <v>0</v>
      </c>
      <c r="O91" s="231"/>
      <c r="P91" s="231"/>
      <c r="Q91" s="231"/>
      <c r="R91" s="233">
        <f t="shared" si="15"/>
        <v>0</v>
      </c>
    </row>
    <row r="92" spans="1:18" s="6" customFormat="1" ht="24" hidden="1" customHeight="1">
      <c r="A92" s="144" t="s">
        <v>68</v>
      </c>
      <c r="B92" s="125" t="s">
        <v>69</v>
      </c>
      <c r="C92" s="169">
        <v>0</v>
      </c>
      <c r="D92" s="169">
        <v>0</v>
      </c>
      <c r="E92" s="231"/>
      <c r="F92" s="231"/>
      <c r="G92" s="231"/>
      <c r="H92" s="233">
        <f t="shared" si="13"/>
        <v>0</v>
      </c>
      <c r="I92" s="231">
        <v>0</v>
      </c>
      <c r="J92" s="231"/>
      <c r="K92" s="231"/>
      <c r="L92" s="231"/>
      <c r="M92" s="233">
        <f t="shared" si="14"/>
        <v>0</v>
      </c>
      <c r="N92" s="231">
        <v>0</v>
      </c>
      <c r="O92" s="231"/>
      <c r="P92" s="231"/>
      <c r="Q92" s="231"/>
      <c r="R92" s="233">
        <f t="shared" si="15"/>
        <v>0</v>
      </c>
    </row>
    <row r="93" spans="1:18" s="6" customFormat="1" ht="12" customHeight="1">
      <c r="A93" s="145"/>
      <c r="B93" s="188" t="s">
        <v>199</v>
      </c>
      <c r="C93" s="293"/>
      <c r="D93" s="294">
        <v>0</v>
      </c>
      <c r="E93" s="347"/>
      <c r="F93" s="347"/>
      <c r="G93" s="347"/>
      <c r="H93" s="347">
        <f t="shared" si="13"/>
        <v>0</v>
      </c>
      <c r="I93" s="347">
        <v>0</v>
      </c>
      <c r="J93" s="347"/>
      <c r="K93" s="347"/>
      <c r="L93" s="347"/>
      <c r="M93" s="347">
        <f t="shared" si="14"/>
        <v>0</v>
      </c>
      <c r="N93" s="347">
        <v>0</v>
      </c>
      <c r="O93" s="347"/>
      <c r="P93" s="347"/>
      <c r="Q93" s="347"/>
      <c r="R93" s="347">
        <f t="shared" si="15"/>
        <v>0</v>
      </c>
    </row>
    <row r="94" spans="1:18" s="6" customFormat="1" ht="20.399999999999999">
      <c r="A94" s="129" t="s">
        <v>201</v>
      </c>
      <c r="B94" s="123" t="s">
        <v>88</v>
      </c>
      <c r="C94" s="167">
        <v>448220693</v>
      </c>
      <c r="D94" s="167">
        <v>476134292</v>
      </c>
      <c r="E94" s="228">
        <f>E95+E96+E98+E116</f>
        <v>0</v>
      </c>
      <c r="F94" s="228">
        <f>F95+F96+F98+F116</f>
        <v>9248447</v>
      </c>
      <c r="G94" s="228">
        <f>G95+G96+G98+G116</f>
        <v>12182020</v>
      </c>
      <c r="H94" s="243">
        <f t="shared" si="13"/>
        <v>497564759</v>
      </c>
      <c r="I94" s="228">
        <v>558706242</v>
      </c>
      <c r="J94" s="228">
        <f>J95+J96+J98+J116</f>
        <v>0</v>
      </c>
      <c r="K94" s="228">
        <f>K95+K96+K98+K116</f>
        <v>10502589</v>
      </c>
      <c r="L94" s="228">
        <f>L95+L96+L98+L116</f>
        <v>24562794</v>
      </c>
      <c r="M94" s="243">
        <f t="shared" si="14"/>
        <v>593771625</v>
      </c>
      <c r="N94" s="228">
        <v>602615720</v>
      </c>
      <c r="O94" s="228">
        <f>O95+O96+O98+O116</f>
        <v>0</v>
      </c>
      <c r="P94" s="228">
        <f>P95+P96+P98+P116</f>
        <v>5417447</v>
      </c>
      <c r="Q94" s="228">
        <f>Q95+Q96+Q98+Q116</f>
        <v>20291268</v>
      </c>
      <c r="R94" s="243">
        <f t="shared" si="15"/>
        <v>628324435</v>
      </c>
    </row>
    <row r="95" spans="1:18" s="6" customFormat="1" ht="22.8">
      <c r="A95" s="130" t="s">
        <v>177</v>
      </c>
      <c r="B95" s="124" t="s">
        <v>90</v>
      </c>
      <c r="C95" s="169">
        <v>1709631</v>
      </c>
      <c r="D95" s="169">
        <v>2049631</v>
      </c>
      <c r="E95" s="231"/>
      <c r="F95" s="231"/>
      <c r="G95" s="231"/>
      <c r="H95" s="233">
        <f t="shared" si="13"/>
        <v>2049631</v>
      </c>
      <c r="I95" s="231">
        <v>2059631</v>
      </c>
      <c r="J95" s="231"/>
      <c r="K95" s="231"/>
      <c r="L95" s="231"/>
      <c r="M95" s="233">
        <f t="shared" si="14"/>
        <v>2059631</v>
      </c>
      <c r="N95" s="231">
        <v>2109631</v>
      </c>
      <c r="O95" s="231"/>
      <c r="P95" s="231"/>
      <c r="Q95" s="231"/>
      <c r="R95" s="233">
        <f t="shared" si="15"/>
        <v>2109631</v>
      </c>
    </row>
    <row r="96" spans="1:18" s="6" customFormat="1" ht="12" hidden="1" customHeight="1">
      <c r="A96" s="130" t="s">
        <v>91</v>
      </c>
      <c r="B96" s="124" t="s">
        <v>92</v>
      </c>
      <c r="C96" s="169"/>
      <c r="D96" s="169">
        <v>0</v>
      </c>
      <c r="E96" s="231"/>
      <c r="F96" s="231"/>
      <c r="G96" s="231"/>
      <c r="H96" s="233">
        <f t="shared" si="13"/>
        <v>0</v>
      </c>
      <c r="I96" s="231">
        <v>0</v>
      </c>
      <c r="J96" s="231"/>
      <c r="K96" s="231"/>
      <c r="L96" s="231"/>
      <c r="M96" s="233">
        <f t="shared" si="14"/>
        <v>0</v>
      </c>
      <c r="N96" s="231">
        <v>0</v>
      </c>
      <c r="O96" s="231"/>
      <c r="P96" s="231"/>
      <c r="Q96" s="231"/>
      <c r="R96" s="233">
        <f t="shared" si="15"/>
        <v>0</v>
      </c>
    </row>
    <row r="97" spans="1:18" s="6" customFormat="1" ht="24" hidden="1" customHeight="1">
      <c r="A97" s="131">
        <v>21210</v>
      </c>
      <c r="B97" s="125" t="s">
        <v>93</v>
      </c>
      <c r="C97" s="169"/>
      <c r="D97" s="169">
        <v>0</v>
      </c>
      <c r="E97" s="231"/>
      <c r="F97" s="231"/>
      <c r="G97" s="231"/>
      <c r="H97" s="233">
        <f t="shared" si="13"/>
        <v>0</v>
      </c>
      <c r="I97" s="231">
        <v>0</v>
      </c>
      <c r="J97" s="231"/>
      <c r="K97" s="231"/>
      <c r="L97" s="231"/>
      <c r="M97" s="233">
        <f t="shared" si="14"/>
        <v>0</v>
      </c>
      <c r="N97" s="231">
        <v>0</v>
      </c>
      <c r="O97" s="231"/>
      <c r="P97" s="231"/>
      <c r="Q97" s="231"/>
      <c r="R97" s="233">
        <f t="shared" si="15"/>
        <v>0</v>
      </c>
    </row>
    <row r="98" spans="1:18" s="6" customFormat="1" ht="21" hidden="1" customHeight="1">
      <c r="A98" s="130" t="s">
        <v>178</v>
      </c>
      <c r="B98" s="124" t="s">
        <v>94</v>
      </c>
      <c r="C98" s="171">
        <v>0</v>
      </c>
      <c r="D98" s="171">
        <v>0</v>
      </c>
      <c r="E98" s="233">
        <f>E99+E105</f>
        <v>0</v>
      </c>
      <c r="F98" s="233">
        <f>F99+F105</f>
        <v>0</v>
      </c>
      <c r="G98" s="233">
        <f>G99+G105</f>
        <v>0</v>
      </c>
      <c r="H98" s="233">
        <f t="shared" si="13"/>
        <v>0</v>
      </c>
      <c r="I98" s="233">
        <v>0</v>
      </c>
      <c r="J98" s="233">
        <f>J99+J105</f>
        <v>0</v>
      </c>
      <c r="K98" s="233">
        <f>K99+K105</f>
        <v>0</v>
      </c>
      <c r="L98" s="233">
        <f>L99+L105</f>
        <v>0</v>
      </c>
      <c r="M98" s="233">
        <f t="shared" si="14"/>
        <v>0</v>
      </c>
      <c r="N98" s="233">
        <v>0</v>
      </c>
      <c r="O98" s="233">
        <f>O99+O105</f>
        <v>0</v>
      </c>
      <c r="P98" s="233">
        <f>P99+P105</f>
        <v>0</v>
      </c>
      <c r="Q98" s="233">
        <f>Q99+Q105</f>
        <v>0</v>
      </c>
      <c r="R98" s="233">
        <f t="shared" si="15"/>
        <v>0</v>
      </c>
    </row>
    <row r="99" spans="1:18" s="6" customFormat="1" ht="12" hidden="1" customHeight="1">
      <c r="A99" s="132">
        <v>18000</v>
      </c>
      <c r="B99" s="125" t="s">
        <v>95</v>
      </c>
      <c r="C99" s="171">
        <v>0</v>
      </c>
      <c r="D99" s="171">
        <v>0</v>
      </c>
      <c r="E99" s="233">
        <f t="shared" ref="E99:L100" si="16">E100</f>
        <v>0</v>
      </c>
      <c r="F99" s="233">
        <f t="shared" si="16"/>
        <v>0</v>
      </c>
      <c r="G99" s="233">
        <f t="shared" si="16"/>
        <v>0</v>
      </c>
      <c r="H99" s="233">
        <f t="shared" si="13"/>
        <v>0</v>
      </c>
      <c r="I99" s="233">
        <v>0</v>
      </c>
      <c r="J99" s="233">
        <f t="shared" si="16"/>
        <v>0</v>
      </c>
      <c r="K99" s="233">
        <f t="shared" si="16"/>
        <v>0</v>
      </c>
      <c r="L99" s="233">
        <f t="shared" si="16"/>
        <v>0</v>
      </c>
      <c r="M99" s="233">
        <f t="shared" si="14"/>
        <v>0</v>
      </c>
      <c r="N99" s="233">
        <v>0</v>
      </c>
      <c r="O99" s="233">
        <f t="shared" ref="O99:Q100" si="17">O100</f>
        <v>0</v>
      </c>
      <c r="P99" s="233">
        <f t="shared" si="17"/>
        <v>0</v>
      </c>
      <c r="Q99" s="233">
        <f t="shared" si="17"/>
        <v>0</v>
      </c>
      <c r="R99" s="233">
        <f t="shared" si="15"/>
        <v>0</v>
      </c>
    </row>
    <row r="100" spans="1:18" s="6" customFormat="1" ht="12" hidden="1" customHeight="1">
      <c r="A100" s="132">
        <v>18100</v>
      </c>
      <c r="B100" s="125" t="s">
        <v>96</v>
      </c>
      <c r="C100" s="171">
        <v>0</v>
      </c>
      <c r="D100" s="171">
        <v>0</v>
      </c>
      <c r="E100" s="233">
        <f t="shared" si="16"/>
        <v>0</v>
      </c>
      <c r="F100" s="233">
        <f t="shared" si="16"/>
        <v>0</v>
      </c>
      <c r="G100" s="233">
        <f t="shared" si="16"/>
        <v>0</v>
      </c>
      <c r="H100" s="233">
        <f t="shared" si="13"/>
        <v>0</v>
      </c>
      <c r="I100" s="233">
        <v>0</v>
      </c>
      <c r="J100" s="233">
        <f t="shared" si="16"/>
        <v>0</v>
      </c>
      <c r="K100" s="233">
        <f t="shared" si="16"/>
        <v>0</v>
      </c>
      <c r="L100" s="233">
        <f t="shared" si="16"/>
        <v>0</v>
      </c>
      <c r="M100" s="233">
        <f t="shared" si="14"/>
        <v>0</v>
      </c>
      <c r="N100" s="233">
        <v>0</v>
      </c>
      <c r="O100" s="233">
        <f t="shared" si="17"/>
        <v>0</v>
      </c>
      <c r="P100" s="233">
        <f t="shared" si="17"/>
        <v>0</v>
      </c>
      <c r="Q100" s="233">
        <f t="shared" si="17"/>
        <v>0</v>
      </c>
      <c r="R100" s="233">
        <f t="shared" si="15"/>
        <v>0</v>
      </c>
    </row>
    <row r="101" spans="1:18" s="6" customFormat="1" ht="24" hidden="1" customHeight="1">
      <c r="A101" s="133">
        <v>18130</v>
      </c>
      <c r="B101" s="172" t="s">
        <v>159</v>
      </c>
      <c r="C101" s="171">
        <v>0</v>
      </c>
      <c r="D101" s="171">
        <v>0</v>
      </c>
      <c r="E101" s="233">
        <f>SUM(E102:E104)</f>
        <v>0</v>
      </c>
      <c r="F101" s="233">
        <f>SUM(F102:F104)</f>
        <v>0</v>
      </c>
      <c r="G101" s="233">
        <f>SUM(G102:G104)</f>
        <v>0</v>
      </c>
      <c r="H101" s="233">
        <f t="shared" si="13"/>
        <v>0</v>
      </c>
      <c r="I101" s="233">
        <v>0</v>
      </c>
      <c r="J101" s="233">
        <f>SUM(J102:J104)</f>
        <v>0</v>
      </c>
      <c r="K101" s="233">
        <f>SUM(K102:K104)</f>
        <v>0</v>
      </c>
      <c r="L101" s="233">
        <f>SUM(L102:L104)</f>
        <v>0</v>
      </c>
      <c r="M101" s="233">
        <f t="shared" si="14"/>
        <v>0</v>
      </c>
      <c r="N101" s="233">
        <v>0</v>
      </c>
      <c r="O101" s="233">
        <f>SUM(O102:O104)</f>
        <v>0</v>
      </c>
      <c r="P101" s="233">
        <f>SUM(P102:P104)</f>
        <v>0</v>
      </c>
      <c r="Q101" s="233">
        <f>SUM(Q102:Q104)</f>
        <v>0</v>
      </c>
      <c r="R101" s="233">
        <f t="shared" si="15"/>
        <v>0</v>
      </c>
    </row>
    <row r="102" spans="1:18" s="6" customFormat="1" ht="36" hidden="1" customHeight="1">
      <c r="A102" s="134">
        <v>18131</v>
      </c>
      <c r="B102" s="172" t="s">
        <v>160</v>
      </c>
      <c r="C102" s="171"/>
      <c r="D102" s="171">
        <v>0</v>
      </c>
      <c r="E102" s="233"/>
      <c r="F102" s="233"/>
      <c r="G102" s="233"/>
      <c r="H102" s="233">
        <f t="shared" si="13"/>
        <v>0</v>
      </c>
      <c r="I102" s="233">
        <v>0</v>
      </c>
      <c r="J102" s="233"/>
      <c r="K102" s="233"/>
      <c r="L102" s="233"/>
      <c r="M102" s="233">
        <f t="shared" si="14"/>
        <v>0</v>
      </c>
      <c r="N102" s="233">
        <v>0</v>
      </c>
      <c r="O102" s="233"/>
      <c r="P102" s="233"/>
      <c r="Q102" s="233"/>
      <c r="R102" s="233">
        <f t="shared" si="15"/>
        <v>0</v>
      </c>
    </row>
    <row r="103" spans="1:18" s="6" customFormat="1" ht="24" hidden="1" customHeight="1">
      <c r="A103" s="134">
        <v>18132</v>
      </c>
      <c r="B103" s="172" t="s">
        <v>169</v>
      </c>
      <c r="C103" s="171"/>
      <c r="D103" s="171">
        <v>0</v>
      </c>
      <c r="E103" s="233"/>
      <c r="F103" s="233"/>
      <c r="G103" s="233"/>
      <c r="H103" s="233">
        <f t="shared" si="13"/>
        <v>0</v>
      </c>
      <c r="I103" s="233">
        <v>0</v>
      </c>
      <c r="J103" s="233"/>
      <c r="K103" s="233"/>
      <c r="L103" s="233"/>
      <c r="M103" s="233">
        <f t="shared" si="14"/>
        <v>0</v>
      </c>
      <c r="N103" s="233">
        <v>0</v>
      </c>
      <c r="O103" s="233"/>
      <c r="P103" s="233"/>
      <c r="Q103" s="233"/>
      <c r="R103" s="233">
        <f t="shared" si="15"/>
        <v>0</v>
      </c>
    </row>
    <row r="104" spans="1:18" s="6" customFormat="1" ht="24" hidden="1" customHeight="1">
      <c r="A104" s="134">
        <v>18139</v>
      </c>
      <c r="B104" s="172" t="s">
        <v>179</v>
      </c>
      <c r="C104" s="171"/>
      <c r="D104" s="171">
        <v>0</v>
      </c>
      <c r="E104" s="233"/>
      <c r="F104" s="233"/>
      <c r="G104" s="233"/>
      <c r="H104" s="233">
        <f t="shared" si="13"/>
        <v>0</v>
      </c>
      <c r="I104" s="233">
        <v>0</v>
      </c>
      <c r="J104" s="233"/>
      <c r="K104" s="233"/>
      <c r="L104" s="233"/>
      <c r="M104" s="233">
        <f t="shared" si="14"/>
        <v>0</v>
      </c>
      <c r="N104" s="233">
        <v>0</v>
      </c>
      <c r="O104" s="233"/>
      <c r="P104" s="233"/>
      <c r="Q104" s="233"/>
      <c r="R104" s="233">
        <f t="shared" si="15"/>
        <v>0</v>
      </c>
    </row>
    <row r="105" spans="1:18" s="6" customFormat="1" ht="12" hidden="1" customHeight="1">
      <c r="A105" s="135" t="s">
        <v>180</v>
      </c>
      <c r="B105" s="173" t="s">
        <v>173</v>
      </c>
      <c r="C105" s="174">
        <v>0</v>
      </c>
      <c r="D105" s="174">
        <v>0</v>
      </c>
      <c r="E105" s="238">
        <f t="shared" ref="E105:L105" si="18">E106</f>
        <v>0</v>
      </c>
      <c r="F105" s="238">
        <f t="shared" si="18"/>
        <v>0</v>
      </c>
      <c r="G105" s="238">
        <f t="shared" si="18"/>
        <v>0</v>
      </c>
      <c r="H105" s="233">
        <f t="shared" si="13"/>
        <v>0</v>
      </c>
      <c r="I105" s="238">
        <v>0</v>
      </c>
      <c r="J105" s="238">
        <f t="shared" si="18"/>
        <v>0</v>
      </c>
      <c r="K105" s="238">
        <f t="shared" si="18"/>
        <v>0</v>
      </c>
      <c r="L105" s="238">
        <f t="shared" si="18"/>
        <v>0</v>
      </c>
      <c r="M105" s="233">
        <f t="shared" si="14"/>
        <v>0</v>
      </c>
      <c r="N105" s="238">
        <v>0</v>
      </c>
      <c r="O105" s="238">
        <f>O106</f>
        <v>0</v>
      </c>
      <c r="P105" s="238">
        <f>P106</f>
        <v>0</v>
      </c>
      <c r="Q105" s="238">
        <f>Q106</f>
        <v>0</v>
      </c>
      <c r="R105" s="233">
        <f t="shared" si="15"/>
        <v>0</v>
      </c>
    </row>
    <row r="106" spans="1:18" s="6" customFormat="1" ht="24" hidden="1" customHeight="1">
      <c r="A106" s="135">
        <v>19500</v>
      </c>
      <c r="B106" s="172" t="s">
        <v>174</v>
      </c>
      <c r="C106" s="171">
        <v>0</v>
      </c>
      <c r="D106" s="171">
        <v>0</v>
      </c>
      <c r="E106" s="233">
        <f>SUM(E107:E109)</f>
        <v>0</v>
      </c>
      <c r="F106" s="233">
        <f>SUM(F107:F109)</f>
        <v>0</v>
      </c>
      <c r="G106" s="233">
        <f>SUM(G107:G109)</f>
        <v>0</v>
      </c>
      <c r="H106" s="233">
        <f t="shared" si="13"/>
        <v>0</v>
      </c>
      <c r="I106" s="233">
        <v>0</v>
      </c>
      <c r="J106" s="233">
        <f>SUM(J107:J109)</f>
        <v>0</v>
      </c>
      <c r="K106" s="233">
        <f>SUM(K107:K109)</f>
        <v>0</v>
      </c>
      <c r="L106" s="233">
        <f>SUM(L107:L109)</f>
        <v>0</v>
      </c>
      <c r="M106" s="233">
        <f t="shared" si="14"/>
        <v>0</v>
      </c>
      <c r="N106" s="233">
        <v>0</v>
      </c>
      <c r="O106" s="233">
        <f>SUM(O107:O109)</f>
        <v>0</v>
      </c>
      <c r="P106" s="233">
        <f>SUM(P107:P109)</f>
        <v>0</v>
      </c>
      <c r="Q106" s="233">
        <f>SUM(Q107:Q109)</f>
        <v>0</v>
      </c>
      <c r="R106" s="233">
        <f t="shared" si="15"/>
        <v>0</v>
      </c>
    </row>
    <row r="107" spans="1:18" s="6" customFormat="1" ht="24" hidden="1" customHeight="1">
      <c r="A107" s="136">
        <v>19550</v>
      </c>
      <c r="B107" s="172" t="s">
        <v>175</v>
      </c>
      <c r="C107" s="171"/>
      <c r="D107" s="171">
        <v>0</v>
      </c>
      <c r="E107" s="233"/>
      <c r="F107" s="233"/>
      <c r="G107" s="233"/>
      <c r="H107" s="233">
        <f t="shared" si="13"/>
        <v>0</v>
      </c>
      <c r="I107" s="233">
        <v>0</v>
      </c>
      <c r="J107" s="233"/>
      <c r="K107" s="233"/>
      <c r="L107" s="233"/>
      <c r="M107" s="233">
        <f t="shared" si="14"/>
        <v>0</v>
      </c>
      <c r="N107" s="233">
        <v>0</v>
      </c>
      <c r="O107" s="233"/>
      <c r="P107" s="233"/>
      <c r="Q107" s="233"/>
      <c r="R107" s="233">
        <f t="shared" si="15"/>
        <v>0</v>
      </c>
    </row>
    <row r="108" spans="1:18" s="6" customFormat="1" ht="36" hidden="1" customHeight="1">
      <c r="A108" s="136">
        <v>19560</v>
      </c>
      <c r="B108" s="172" t="s">
        <v>181</v>
      </c>
      <c r="C108" s="171"/>
      <c r="D108" s="171">
        <v>0</v>
      </c>
      <c r="E108" s="233"/>
      <c r="F108" s="233"/>
      <c r="G108" s="233"/>
      <c r="H108" s="233">
        <f t="shared" si="13"/>
        <v>0</v>
      </c>
      <c r="I108" s="233">
        <v>0</v>
      </c>
      <c r="J108" s="233"/>
      <c r="K108" s="233"/>
      <c r="L108" s="233"/>
      <c r="M108" s="233">
        <f t="shared" si="14"/>
        <v>0</v>
      </c>
      <c r="N108" s="233">
        <v>0</v>
      </c>
      <c r="O108" s="233"/>
      <c r="P108" s="233"/>
      <c r="Q108" s="233"/>
      <c r="R108" s="233">
        <f t="shared" si="15"/>
        <v>0</v>
      </c>
    </row>
    <row r="109" spans="1:18" s="6" customFormat="1" ht="72" hidden="1" customHeight="1">
      <c r="A109" s="136">
        <v>19570</v>
      </c>
      <c r="B109" s="172" t="s">
        <v>182</v>
      </c>
      <c r="C109" s="171"/>
      <c r="D109" s="171">
        <v>0</v>
      </c>
      <c r="E109" s="233"/>
      <c r="F109" s="233"/>
      <c r="G109" s="233"/>
      <c r="H109" s="233">
        <f t="shared" si="13"/>
        <v>0</v>
      </c>
      <c r="I109" s="233">
        <v>0</v>
      </c>
      <c r="J109" s="233"/>
      <c r="K109" s="233"/>
      <c r="L109" s="233"/>
      <c r="M109" s="233">
        <f t="shared" si="14"/>
        <v>0</v>
      </c>
      <c r="N109" s="233">
        <v>0</v>
      </c>
      <c r="O109" s="233"/>
      <c r="P109" s="233"/>
      <c r="Q109" s="233"/>
      <c r="R109" s="233">
        <f t="shared" si="15"/>
        <v>0</v>
      </c>
    </row>
    <row r="110" spans="1:18" s="6" customFormat="1" ht="24" hidden="1" customHeight="1">
      <c r="A110" s="209" t="s">
        <v>222</v>
      </c>
      <c r="B110" s="208" t="s">
        <v>216</v>
      </c>
      <c r="C110" s="107">
        <f>C111</f>
        <v>0</v>
      </c>
      <c r="D110" s="107">
        <v>0</v>
      </c>
      <c r="E110" s="233">
        <f t="shared" ref="E110:L110" si="19">E111</f>
        <v>0</v>
      </c>
      <c r="F110" s="233">
        <f t="shared" si="19"/>
        <v>0</v>
      </c>
      <c r="G110" s="233">
        <f t="shared" si="19"/>
        <v>0</v>
      </c>
      <c r="H110" s="233">
        <f t="shared" si="13"/>
        <v>0</v>
      </c>
      <c r="I110" s="233">
        <v>0</v>
      </c>
      <c r="J110" s="233">
        <f t="shared" si="19"/>
        <v>0</v>
      </c>
      <c r="K110" s="233">
        <f t="shared" si="19"/>
        <v>0</v>
      </c>
      <c r="L110" s="233">
        <f t="shared" si="19"/>
        <v>0</v>
      </c>
      <c r="M110" s="233">
        <f t="shared" si="14"/>
        <v>0</v>
      </c>
      <c r="N110" s="233">
        <v>0</v>
      </c>
      <c r="O110" s="233">
        <f>O111</f>
        <v>0</v>
      </c>
      <c r="P110" s="233">
        <f>P111</f>
        <v>0</v>
      </c>
      <c r="Q110" s="233">
        <f>Q111</f>
        <v>0</v>
      </c>
      <c r="R110" s="233">
        <f t="shared" si="15"/>
        <v>0</v>
      </c>
    </row>
    <row r="111" spans="1:18" s="6" customFormat="1" ht="36" hidden="1" customHeight="1">
      <c r="A111" s="209">
        <v>17100</v>
      </c>
      <c r="B111" s="208" t="s">
        <v>217</v>
      </c>
      <c r="C111" s="107">
        <f>SUM(C112:C115)</f>
        <v>0</v>
      </c>
      <c r="D111" s="107">
        <v>0</v>
      </c>
      <c r="E111" s="233">
        <f>SUM(E112:E115)</f>
        <v>0</v>
      </c>
      <c r="F111" s="233">
        <f>SUM(F112:F115)</f>
        <v>0</v>
      </c>
      <c r="G111" s="233">
        <f>SUM(G112:G115)</f>
        <v>0</v>
      </c>
      <c r="H111" s="233">
        <f t="shared" si="13"/>
        <v>0</v>
      </c>
      <c r="I111" s="233">
        <v>0</v>
      </c>
      <c r="J111" s="233">
        <f>SUM(J112:J115)</f>
        <v>0</v>
      </c>
      <c r="K111" s="233">
        <f>SUM(K112:K115)</f>
        <v>0</v>
      </c>
      <c r="L111" s="233">
        <f>SUM(L112:L115)</f>
        <v>0</v>
      </c>
      <c r="M111" s="233">
        <f t="shared" si="14"/>
        <v>0</v>
      </c>
      <c r="N111" s="233">
        <v>0</v>
      </c>
      <c r="O111" s="233">
        <f>SUM(O112:O115)</f>
        <v>0</v>
      </c>
      <c r="P111" s="233">
        <f>SUM(P112:P115)</f>
        <v>0</v>
      </c>
      <c r="Q111" s="233">
        <f>SUM(Q112:Q115)</f>
        <v>0</v>
      </c>
      <c r="R111" s="233">
        <f t="shared" si="15"/>
        <v>0</v>
      </c>
    </row>
    <row r="112" spans="1:18" s="6" customFormat="1" ht="48" hidden="1" customHeight="1">
      <c r="A112" s="149">
        <v>17110</v>
      </c>
      <c r="B112" s="208" t="s">
        <v>218</v>
      </c>
      <c r="C112" s="107"/>
      <c r="D112" s="107">
        <v>0</v>
      </c>
      <c r="E112" s="233"/>
      <c r="F112" s="233"/>
      <c r="G112" s="233"/>
      <c r="H112" s="233">
        <f t="shared" si="13"/>
        <v>0</v>
      </c>
      <c r="I112" s="233">
        <v>0</v>
      </c>
      <c r="J112" s="233"/>
      <c r="K112" s="233"/>
      <c r="L112" s="233"/>
      <c r="M112" s="233">
        <f t="shared" si="14"/>
        <v>0</v>
      </c>
      <c r="N112" s="233">
        <v>0</v>
      </c>
      <c r="O112" s="233"/>
      <c r="P112" s="233"/>
      <c r="Q112" s="233"/>
      <c r="R112" s="233">
        <f t="shared" si="15"/>
        <v>0</v>
      </c>
    </row>
    <row r="113" spans="1:18" s="6" customFormat="1" ht="48" hidden="1" customHeight="1">
      <c r="A113" s="149">
        <v>17120</v>
      </c>
      <c r="B113" s="208" t="s">
        <v>219</v>
      </c>
      <c r="C113" s="107"/>
      <c r="D113" s="107">
        <v>0</v>
      </c>
      <c r="E113" s="233"/>
      <c r="F113" s="233"/>
      <c r="G113" s="233"/>
      <c r="H113" s="233">
        <f t="shared" si="13"/>
        <v>0</v>
      </c>
      <c r="I113" s="233">
        <v>0</v>
      </c>
      <c r="J113" s="233"/>
      <c r="K113" s="233"/>
      <c r="L113" s="233"/>
      <c r="M113" s="233">
        <f t="shared" si="14"/>
        <v>0</v>
      </c>
      <c r="N113" s="233">
        <v>0</v>
      </c>
      <c r="O113" s="233"/>
      <c r="P113" s="233"/>
      <c r="Q113" s="233"/>
      <c r="R113" s="233">
        <f t="shared" si="15"/>
        <v>0</v>
      </c>
    </row>
    <row r="114" spans="1:18" s="6" customFormat="1" ht="96" hidden="1" customHeight="1">
      <c r="A114" s="149">
        <v>17130</v>
      </c>
      <c r="B114" s="208" t="s">
        <v>220</v>
      </c>
      <c r="C114" s="107"/>
      <c r="D114" s="107">
        <v>0</v>
      </c>
      <c r="E114" s="233"/>
      <c r="F114" s="233"/>
      <c r="G114" s="233"/>
      <c r="H114" s="233">
        <f t="shared" si="13"/>
        <v>0</v>
      </c>
      <c r="I114" s="233">
        <v>0</v>
      </c>
      <c r="J114" s="233"/>
      <c r="K114" s="233"/>
      <c r="L114" s="233"/>
      <c r="M114" s="233">
        <f t="shared" si="14"/>
        <v>0</v>
      </c>
      <c r="N114" s="233">
        <v>0</v>
      </c>
      <c r="O114" s="233"/>
      <c r="P114" s="233"/>
      <c r="Q114" s="233"/>
      <c r="R114" s="233">
        <f t="shared" si="15"/>
        <v>0</v>
      </c>
    </row>
    <row r="115" spans="1:18" s="6" customFormat="1" ht="96" hidden="1" customHeight="1">
      <c r="A115" s="149">
        <v>17140</v>
      </c>
      <c r="B115" s="208" t="s">
        <v>221</v>
      </c>
      <c r="C115" s="107"/>
      <c r="D115" s="107">
        <v>0</v>
      </c>
      <c r="E115" s="233"/>
      <c r="F115" s="233"/>
      <c r="G115" s="233"/>
      <c r="H115" s="233">
        <f t="shared" si="13"/>
        <v>0</v>
      </c>
      <c r="I115" s="233">
        <v>0</v>
      </c>
      <c r="J115" s="233"/>
      <c r="K115" s="233"/>
      <c r="L115" s="233"/>
      <c r="M115" s="233">
        <f t="shared" si="14"/>
        <v>0</v>
      </c>
      <c r="N115" s="233">
        <v>0</v>
      </c>
      <c r="O115" s="233"/>
      <c r="P115" s="233"/>
      <c r="Q115" s="233"/>
      <c r="R115" s="233">
        <f t="shared" si="15"/>
        <v>0</v>
      </c>
    </row>
    <row r="116" spans="1:18" s="6" customFormat="1" ht="12">
      <c r="A116" s="137">
        <v>21700</v>
      </c>
      <c r="B116" s="124" t="s">
        <v>97</v>
      </c>
      <c r="C116" s="171">
        <v>446511062</v>
      </c>
      <c r="D116" s="171">
        <v>474084661</v>
      </c>
      <c r="E116" s="233">
        <f>E117+E118</f>
        <v>0</v>
      </c>
      <c r="F116" s="233">
        <f>F117+F118</f>
        <v>9248447</v>
      </c>
      <c r="G116" s="233">
        <f>G117+G118</f>
        <v>12182020</v>
      </c>
      <c r="H116" s="233">
        <f t="shared" si="13"/>
        <v>495515128</v>
      </c>
      <c r="I116" s="233">
        <v>556646611</v>
      </c>
      <c r="J116" s="233">
        <f>J117+J118</f>
        <v>0</v>
      </c>
      <c r="K116" s="233">
        <f>K117+K118</f>
        <v>10502589</v>
      </c>
      <c r="L116" s="233">
        <f>L117+L118</f>
        <v>24562794</v>
      </c>
      <c r="M116" s="233">
        <f t="shared" si="14"/>
        <v>591711994</v>
      </c>
      <c r="N116" s="233">
        <v>600506089</v>
      </c>
      <c r="O116" s="233">
        <f>O117+O118</f>
        <v>0</v>
      </c>
      <c r="P116" s="233">
        <f>P117+P118</f>
        <v>5417447</v>
      </c>
      <c r="Q116" s="233">
        <f>Q117+Q118</f>
        <v>20291268</v>
      </c>
      <c r="R116" s="233">
        <f t="shared" si="15"/>
        <v>626214804</v>
      </c>
    </row>
    <row r="117" spans="1:18" s="6" customFormat="1" ht="24">
      <c r="A117" s="138">
        <v>21710</v>
      </c>
      <c r="B117" s="125" t="s">
        <v>98</v>
      </c>
      <c r="C117" s="171">
        <v>446511062</v>
      </c>
      <c r="D117" s="171">
        <v>474084661</v>
      </c>
      <c r="E117" s="233"/>
      <c r="F117" s="233">
        <f>F119</f>
        <v>9248447</v>
      </c>
      <c r="G117" s="233">
        <f>G119+6496018</f>
        <v>12182020</v>
      </c>
      <c r="H117" s="233">
        <f t="shared" si="13"/>
        <v>495515128</v>
      </c>
      <c r="I117" s="233">
        <v>556646611</v>
      </c>
      <c r="J117" s="233"/>
      <c r="K117" s="233">
        <f>K119</f>
        <v>10502589</v>
      </c>
      <c r="L117" s="233">
        <f>L119</f>
        <v>24562794</v>
      </c>
      <c r="M117" s="233">
        <f t="shared" si="14"/>
        <v>591711994</v>
      </c>
      <c r="N117" s="233">
        <v>600506089</v>
      </c>
      <c r="O117" s="233"/>
      <c r="P117" s="233">
        <f>P119</f>
        <v>5417447</v>
      </c>
      <c r="Q117" s="233">
        <f>Q119</f>
        <v>20291268</v>
      </c>
      <c r="R117" s="233">
        <f t="shared" si="15"/>
        <v>626214804</v>
      </c>
    </row>
    <row r="118" spans="1:18" s="6" customFormat="1" ht="24" hidden="1" customHeight="1">
      <c r="A118" s="138">
        <v>21720</v>
      </c>
      <c r="B118" s="125" t="s">
        <v>99</v>
      </c>
      <c r="C118" s="171"/>
      <c r="D118" s="171">
        <v>0</v>
      </c>
      <c r="E118" s="233"/>
      <c r="F118" s="233"/>
      <c r="G118" s="233"/>
      <c r="H118" s="233">
        <f t="shared" si="13"/>
        <v>0</v>
      </c>
      <c r="I118" s="233">
        <v>0</v>
      </c>
      <c r="J118" s="233"/>
      <c r="K118" s="233"/>
      <c r="L118" s="233"/>
      <c r="M118" s="233">
        <f t="shared" si="14"/>
        <v>0</v>
      </c>
      <c r="N118" s="233">
        <v>0</v>
      </c>
      <c r="O118" s="233"/>
      <c r="P118" s="233"/>
      <c r="Q118" s="233"/>
      <c r="R118" s="233">
        <f t="shared" si="15"/>
        <v>0</v>
      </c>
    </row>
    <row r="119" spans="1:18" s="6" customFormat="1" ht="11.4">
      <c r="A119" s="129" t="s">
        <v>100</v>
      </c>
      <c r="B119" s="123" t="s">
        <v>101</v>
      </c>
      <c r="C119" s="175">
        <v>443920193</v>
      </c>
      <c r="D119" s="175">
        <v>476134292</v>
      </c>
      <c r="E119" s="243">
        <f>E120+E147</f>
        <v>0</v>
      </c>
      <c r="F119" s="243">
        <f>F120+F147</f>
        <v>9248447</v>
      </c>
      <c r="G119" s="243">
        <f>G120+G147</f>
        <v>5686002</v>
      </c>
      <c r="H119" s="243">
        <f t="shared" si="13"/>
        <v>491068741</v>
      </c>
      <c r="I119" s="243">
        <v>558706242</v>
      </c>
      <c r="J119" s="243">
        <f>J120+J147</f>
        <v>0</v>
      </c>
      <c r="K119" s="243">
        <f>K120+K147</f>
        <v>10502589</v>
      </c>
      <c r="L119" s="243">
        <f>L120+L147</f>
        <v>24562794</v>
      </c>
      <c r="M119" s="243">
        <f t="shared" si="14"/>
        <v>593771625</v>
      </c>
      <c r="N119" s="243">
        <v>602615720</v>
      </c>
      <c r="O119" s="243">
        <f>O120+O147</f>
        <v>0</v>
      </c>
      <c r="P119" s="243">
        <f>P120+P147</f>
        <v>5417447</v>
      </c>
      <c r="Q119" s="243">
        <f>Q120+Q147</f>
        <v>20291268</v>
      </c>
      <c r="R119" s="243">
        <f t="shared" si="15"/>
        <v>628324435</v>
      </c>
    </row>
    <row r="120" spans="1:18" s="6" customFormat="1" ht="20.399999999999999">
      <c r="A120" s="130" t="s">
        <v>102</v>
      </c>
      <c r="B120" s="124" t="s">
        <v>103</v>
      </c>
      <c r="C120" s="171">
        <v>441729817</v>
      </c>
      <c r="D120" s="171">
        <v>473972791</v>
      </c>
      <c r="E120" s="233">
        <f>E121+E125+E126+E129+E132</f>
        <v>0</v>
      </c>
      <c r="F120" s="233">
        <f>F121+F125+F126+F129+F132</f>
        <v>9246947</v>
      </c>
      <c r="G120" s="233">
        <f>G121+G125+G126+G129+G132</f>
        <v>753290</v>
      </c>
      <c r="H120" s="233">
        <f t="shared" si="13"/>
        <v>483973028</v>
      </c>
      <c r="I120" s="233">
        <v>549995879</v>
      </c>
      <c r="J120" s="233">
        <f>J121+J125+J126+J129+J132</f>
        <v>0</v>
      </c>
      <c r="K120" s="233">
        <f>K121+K125+K126+K129+K132</f>
        <v>10502589</v>
      </c>
      <c r="L120" s="233">
        <f>L121+L125+L126+L129+L132</f>
        <v>8961085</v>
      </c>
      <c r="M120" s="233">
        <f t="shared" si="14"/>
        <v>569459553</v>
      </c>
      <c r="N120" s="233">
        <v>592250257</v>
      </c>
      <c r="O120" s="233">
        <f>O121+O125+O126+O129+O132</f>
        <v>0</v>
      </c>
      <c r="P120" s="233">
        <f>P121+P125+P126+P129+P132</f>
        <v>5417447</v>
      </c>
      <c r="Q120" s="233">
        <f>Q121+Q125+Q126+Q129+Q132</f>
        <v>4880308</v>
      </c>
      <c r="R120" s="233">
        <f t="shared" si="15"/>
        <v>602548012</v>
      </c>
    </row>
    <row r="121" spans="1:18" s="6" customFormat="1" ht="12">
      <c r="A121" s="130" t="s">
        <v>104</v>
      </c>
      <c r="B121" s="124" t="s">
        <v>105</v>
      </c>
      <c r="C121" s="171">
        <v>69419161</v>
      </c>
      <c r="D121" s="171">
        <v>71893973</v>
      </c>
      <c r="E121" s="233">
        <f>E122+E124</f>
        <v>0</v>
      </c>
      <c r="F121" s="233">
        <f>F122+F124</f>
        <v>546947</v>
      </c>
      <c r="G121" s="233">
        <f>G122+G124</f>
        <v>753290</v>
      </c>
      <c r="H121" s="233">
        <f t="shared" si="13"/>
        <v>73194210</v>
      </c>
      <c r="I121" s="233">
        <v>73874190</v>
      </c>
      <c r="J121" s="233">
        <f>J122+J124</f>
        <v>0</v>
      </c>
      <c r="K121" s="233">
        <f>K122+K124</f>
        <v>512589</v>
      </c>
      <c r="L121" s="233">
        <f>L122+L124</f>
        <v>8961085</v>
      </c>
      <c r="M121" s="233">
        <f t="shared" si="14"/>
        <v>83347864</v>
      </c>
      <c r="N121" s="233">
        <v>68955840</v>
      </c>
      <c r="O121" s="233">
        <f>O122+O124</f>
        <v>0</v>
      </c>
      <c r="P121" s="233">
        <f>P122+P124</f>
        <v>417447</v>
      </c>
      <c r="Q121" s="233">
        <f>Q122+Q124</f>
        <v>4880308</v>
      </c>
      <c r="R121" s="233">
        <f t="shared" si="15"/>
        <v>74253595</v>
      </c>
    </row>
    <row r="122" spans="1:18" s="29" customFormat="1" ht="12">
      <c r="A122" s="132">
        <v>1000</v>
      </c>
      <c r="B122" s="125" t="s">
        <v>106</v>
      </c>
      <c r="C122" s="171">
        <v>47737990</v>
      </c>
      <c r="D122" s="171">
        <v>48498685</v>
      </c>
      <c r="E122" s="233"/>
      <c r="F122" s="233">
        <v>284170</v>
      </c>
      <c r="G122" s="233">
        <f>77698+12440+12122</f>
        <v>102260</v>
      </c>
      <c r="H122" s="233">
        <f t="shared" si="13"/>
        <v>48885115</v>
      </c>
      <c r="I122" s="233">
        <v>48508685</v>
      </c>
      <c r="J122" s="233"/>
      <c r="K122" s="233">
        <v>348237</v>
      </c>
      <c r="L122" s="233">
        <f>177384+13911</f>
        <v>191295</v>
      </c>
      <c r="M122" s="233">
        <f t="shared" si="14"/>
        <v>49048217</v>
      </c>
      <c r="N122" s="233">
        <v>48558685</v>
      </c>
      <c r="O122" s="233"/>
      <c r="P122" s="233">
        <v>283737</v>
      </c>
      <c r="Q122" s="233">
        <f>177384+6956</f>
        <v>184340</v>
      </c>
      <c r="R122" s="233">
        <f t="shared" si="15"/>
        <v>49026762</v>
      </c>
    </row>
    <row r="123" spans="1:18" s="89" customFormat="1" ht="12">
      <c r="A123" s="139">
        <v>1100</v>
      </c>
      <c r="B123" s="125" t="s">
        <v>107</v>
      </c>
      <c r="C123" s="171">
        <v>37812114</v>
      </c>
      <c r="D123" s="171">
        <v>38400060</v>
      </c>
      <c r="E123" s="233">
        <v>-53000</v>
      </c>
      <c r="F123" s="233">
        <v>105065</v>
      </c>
      <c r="G123" s="233">
        <f>54999+9450</f>
        <v>64449</v>
      </c>
      <c r="H123" s="233">
        <f t="shared" si="13"/>
        <v>38516574</v>
      </c>
      <c r="I123" s="233">
        <v>38407060</v>
      </c>
      <c r="J123" s="233">
        <v>-53000</v>
      </c>
      <c r="K123" s="233">
        <v>142369</v>
      </c>
      <c r="L123" s="233">
        <f>130584+10800</f>
        <v>141384</v>
      </c>
      <c r="M123" s="233">
        <f t="shared" si="14"/>
        <v>38637813</v>
      </c>
      <c r="N123" s="233">
        <v>38445060</v>
      </c>
      <c r="O123" s="233">
        <v>-53000</v>
      </c>
      <c r="P123" s="233">
        <v>123343</v>
      </c>
      <c r="Q123" s="233">
        <f>130584+5400</f>
        <v>135984</v>
      </c>
      <c r="R123" s="233">
        <f t="shared" si="15"/>
        <v>38651387</v>
      </c>
    </row>
    <row r="124" spans="1:18" s="89" customFormat="1" ht="12">
      <c r="A124" s="132">
        <v>2000</v>
      </c>
      <c r="B124" s="125" t="s">
        <v>108</v>
      </c>
      <c r="C124" s="171">
        <v>21681171</v>
      </c>
      <c r="D124" s="171">
        <v>23395288</v>
      </c>
      <c r="E124" s="233"/>
      <c r="F124" s="233">
        <f>176487+86290</f>
        <v>262777</v>
      </c>
      <c r="G124" s="233">
        <f>396887+32775+219000+2368</f>
        <v>651030</v>
      </c>
      <c r="H124" s="233">
        <f t="shared" si="13"/>
        <v>24309095</v>
      </c>
      <c r="I124" s="233">
        <v>25365505</v>
      </c>
      <c r="J124" s="233"/>
      <c r="K124" s="233">
        <v>164352</v>
      </c>
      <c r="L124" s="233">
        <f>8514436+34142+219000+2212</f>
        <v>8769790</v>
      </c>
      <c r="M124" s="233">
        <f t="shared" si="14"/>
        <v>34299647</v>
      </c>
      <c r="N124" s="233">
        <v>20397155</v>
      </c>
      <c r="O124" s="233"/>
      <c r="P124" s="233">
        <v>133710</v>
      </c>
      <c r="Q124" s="233">
        <f>4442710+33152+219000+1106</f>
        <v>4695968</v>
      </c>
      <c r="R124" s="233">
        <f t="shared" si="15"/>
        <v>25226833</v>
      </c>
    </row>
    <row r="125" spans="1:18" s="89" customFormat="1" ht="12">
      <c r="A125" s="140">
        <v>4000</v>
      </c>
      <c r="B125" s="124" t="s">
        <v>132</v>
      </c>
      <c r="C125" s="171">
        <v>230700000</v>
      </c>
      <c r="D125" s="171">
        <v>250700000</v>
      </c>
      <c r="E125" s="233"/>
      <c r="F125" s="233"/>
      <c r="G125" s="233"/>
      <c r="H125" s="233">
        <f t="shared" si="13"/>
        <v>250700000</v>
      </c>
      <c r="I125" s="233">
        <v>316700000</v>
      </c>
      <c r="J125" s="233"/>
      <c r="K125" s="233"/>
      <c r="L125" s="233"/>
      <c r="M125" s="233">
        <f t="shared" si="14"/>
        <v>316700000</v>
      </c>
      <c r="N125" s="233">
        <v>354900000</v>
      </c>
      <c r="O125" s="233"/>
      <c r="P125" s="233"/>
      <c r="Q125" s="233"/>
      <c r="R125" s="233">
        <f t="shared" si="15"/>
        <v>354900000</v>
      </c>
    </row>
    <row r="126" spans="1:18" s="89" customFormat="1" ht="12">
      <c r="A126" s="140" t="s">
        <v>109</v>
      </c>
      <c r="B126" s="124" t="s">
        <v>110</v>
      </c>
      <c r="C126" s="171">
        <v>434971</v>
      </c>
      <c r="D126" s="171">
        <v>381971</v>
      </c>
      <c r="E126" s="233">
        <f>E127+E128</f>
        <v>0</v>
      </c>
      <c r="F126" s="233">
        <f>F127+F128</f>
        <v>0</v>
      </c>
      <c r="G126" s="233">
        <f>G127+G128</f>
        <v>0</v>
      </c>
      <c r="H126" s="233">
        <f t="shared" si="13"/>
        <v>381971</v>
      </c>
      <c r="I126" s="233">
        <v>381971</v>
      </c>
      <c r="J126" s="233">
        <f>J127+J128</f>
        <v>0</v>
      </c>
      <c r="K126" s="233">
        <f>K127+K128</f>
        <v>0</v>
      </c>
      <c r="L126" s="233">
        <f>L127+L128</f>
        <v>0</v>
      </c>
      <c r="M126" s="233">
        <f t="shared" si="14"/>
        <v>381971</v>
      </c>
      <c r="N126" s="233">
        <v>381971</v>
      </c>
      <c r="O126" s="233">
        <f>O127+O128</f>
        <v>0</v>
      </c>
      <c r="P126" s="233">
        <f>P127+P128</f>
        <v>0</v>
      </c>
      <c r="Q126" s="233">
        <f>Q127+Q128</f>
        <v>0</v>
      </c>
      <c r="R126" s="233">
        <f t="shared" si="15"/>
        <v>381971</v>
      </c>
    </row>
    <row r="127" spans="1:18" s="89" customFormat="1" ht="12">
      <c r="A127" s="132">
        <v>3000</v>
      </c>
      <c r="B127" s="125" t="s">
        <v>111</v>
      </c>
      <c r="C127" s="213">
        <v>78000</v>
      </c>
      <c r="D127" s="213">
        <v>25000</v>
      </c>
      <c r="E127" s="345"/>
      <c r="F127" s="345"/>
      <c r="G127" s="345"/>
      <c r="H127" s="233">
        <f t="shared" si="13"/>
        <v>25000</v>
      </c>
      <c r="I127" s="345">
        <v>25000</v>
      </c>
      <c r="J127" s="345"/>
      <c r="K127" s="345"/>
      <c r="L127" s="345"/>
      <c r="M127" s="233">
        <f t="shared" si="14"/>
        <v>25000</v>
      </c>
      <c r="N127" s="345">
        <v>25000</v>
      </c>
      <c r="O127" s="345"/>
      <c r="P127" s="345"/>
      <c r="Q127" s="345"/>
      <c r="R127" s="233">
        <f t="shared" si="15"/>
        <v>25000</v>
      </c>
    </row>
    <row r="128" spans="1:18" s="89" customFormat="1" ht="12">
      <c r="A128" s="132">
        <v>6000</v>
      </c>
      <c r="B128" s="125" t="s">
        <v>112</v>
      </c>
      <c r="C128" s="287">
        <v>356971</v>
      </c>
      <c r="D128" s="287">
        <v>356971</v>
      </c>
      <c r="E128" s="346"/>
      <c r="F128" s="346"/>
      <c r="G128" s="346"/>
      <c r="H128" s="233">
        <f t="shared" si="13"/>
        <v>356971</v>
      </c>
      <c r="I128" s="346">
        <v>356971</v>
      </c>
      <c r="J128" s="346"/>
      <c r="K128" s="346"/>
      <c r="L128" s="346"/>
      <c r="M128" s="233">
        <f t="shared" si="14"/>
        <v>356971</v>
      </c>
      <c r="N128" s="346">
        <v>356971</v>
      </c>
      <c r="O128" s="346"/>
      <c r="P128" s="346"/>
      <c r="Q128" s="346"/>
      <c r="R128" s="233">
        <f t="shared" si="15"/>
        <v>356971</v>
      </c>
    </row>
    <row r="129" spans="1:18" s="89" customFormat="1" ht="22.8">
      <c r="A129" s="140" t="s">
        <v>113</v>
      </c>
      <c r="B129" s="124" t="s">
        <v>183</v>
      </c>
      <c r="C129" s="171">
        <v>141175685</v>
      </c>
      <c r="D129" s="171">
        <v>150996847</v>
      </c>
      <c r="E129" s="233">
        <f>E130+E131</f>
        <v>0</v>
      </c>
      <c r="F129" s="233">
        <f>F130+F131</f>
        <v>8700000</v>
      </c>
      <c r="G129" s="233">
        <f>G130+G131</f>
        <v>0</v>
      </c>
      <c r="H129" s="233">
        <f t="shared" si="13"/>
        <v>159696847</v>
      </c>
      <c r="I129" s="233">
        <v>159039718</v>
      </c>
      <c r="J129" s="233">
        <f>J130+J131</f>
        <v>0</v>
      </c>
      <c r="K129" s="233">
        <f>K130+K131</f>
        <v>9990000</v>
      </c>
      <c r="L129" s="233">
        <f>L130+L131</f>
        <v>0</v>
      </c>
      <c r="M129" s="233">
        <f t="shared" si="14"/>
        <v>169029718</v>
      </c>
      <c r="N129" s="233">
        <v>168012446</v>
      </c>
      <c r="O129" s="233">
        <f>O130+O131</f>
        <v>0</v>
      </c>
      <c r="P129" s="233">
        <f>P130+P131</f>
        <v>5000000</v>
      </c>
      <c r="Q129" s="233">
        <f>Q130+Q131</f>
        <v>0</v>
      </c>
      <c r="R129" s="233">
        <f t="shared" si="15"/>
        <v>173012446</v>
      </c>
    </row>
    <row r="130" spans="1:18" s="89" customFormat="1" ht="12">
      <c r="A130" s="132">
        <v>7600</v>
      </c>
      <c r="B130" s="179" t="s">
        <v>184</v>
      </c>
      <c r="C130" s="171">
        <v>138883717</v>
      </c>
      <c r="D130" s="171">
        <v>150000000</v>
      </c>
      <c r="E130" s="233"/>
      <c r="F130" s="233">
        <v>8700000</v>
      </c>
      <c r="G130" s="233"/>
      <c r="H130" s="233">
        <f t="shared" si="13"/>
        <v>158700000</v>
      </c>
      <c r="I130" s="233">
        <v>158000000</v>
      </c>
      <c r="J130" s="233"/>
      <c r="K130" s="233">
        <v>9990000</v>
      </c>
      <c r="L130" s="233"/>
      <c r="M130" s="233">
        <f t="shared" si="14"/>
        <v>167990000</v>
      </c>
      <c r="N130" s="233">
        <v>167000000</v>
      </c>
      <c r="O130" s="233"/>
      <c r="P130" s="233">
        <v>5000000</v>
      </c>
      <c r="Q130" s="233"/>
      <c r="R130" s="233">
        <f t="shared" si="15"/>
        <v>172000000</v>
      </c>
    </row>
    <row r="131" spans="1:18" s="89" customFormat="1" ht="12">
      <c r="A131" s="132">
        <v>7700</v>
      </c>
      <c r="B131" s="126" t="s">
        <v>114</v>
      </c>
      <c r="C131" s="171">
        <v>2291968</v>
      </c>
      <c r="D131" s="171">
        <v>996847</v>
      </c>
      <c r="E131" s="233"/>
      <c r="F131" s="233"/>
      <c r="G131" s="233"/>
      <c r="H131" s="233">
        <f t="shared" si="13"/>
        <v>996847</v>
      </c>
      <c r="I131" s="233">
        <v>1039718</v>
      </c>
      <c r="J131" s="233"/>
      <c r="K131" s="233"/>
      <c r="L131" s="233"/>
      <c r="M131" s="233">
        <f t="shared" si="14"/>
        <v>1039718</v>
      </c>
      <c r="N131" s="233">
        <v>1012446</v>
      </c>
      <c r="O131" s="233"/>
      <c r="P131" s="233"/>
      <c r="Q131" s="233"/>
      <c r="R131" s="233">
        <f t="shared" si="15"/>
        <v>1012446</v>
      </c>
    </row>
    <row r="132" spans="1:18" s="89" customFormat="1" ht="21" hidden="1" customHeight="1">
      <c r="A132" s="140" t="s">
        <v>185</v>
      </c>
      <c r="B132" s="124" t="s">
        <v>115</v>
      </c>
      <c r="C132" s="171">
        <v>0</v>
      </c>
      <c r="D132" s="171">
        <v>0</v>
      </c>
      <c r="E132" s="233">
        <f>E133+E139+E143+E146</f>
        <v>0</v>
      </c>
      <c r="F132" s="233">
        <f>F133+F139+F143+F146</f>
        <v>0</v>
      </c>
      <c r="G132" s="233">
        <f>G133+G139+G143+G146</f>
        <v>0</v>
      </c>
      <c r="H132" s="233">
        <f t="shared" si="13"/>
        <v>0</v>
      </c>
      <c r="I132" s="233">
        <v>0</v>
      </c>
      <c r="J132" s="233">
        <f>J133+J139+J143+J146</f>
        <v>0</v>
      </c>
      <c r="K132" s="233">
        <f>K133+K139+K143+K146</f>
        <v>0</v>
      </c>
      <c r="L132" s="233">
        <f>L133+L139+L143+L146</f>
        <v>0</v>
      </c>
      <c r="M132" s="233">
        <f t="shared" si="14"/>
        <v>0</v>
      </c>
      <c r="N132" s="233">
        <v>0</v>
      </c>
      <c r="O132" s="233">
        <f>O133+O139+O143+O146</f>
        <v>0</v>
      </c>
      <c r="P132" s="233">
        <f>P133+P139+P143+P146</f>
        <v>0</v>
      </c>
      <c r="Q132" s="233">
        <f>Q133+Q139+Q143+Q146</f>
        <v>0</v>
      </c>
      <c r="R132" s="233">
        <f t="shared" si="15"/>
        <v>0</v>
      </c>
    </row>
    <row r="133" spans="1:18" s="89" customFormat="1" ht="12" hidden="1" customHeight="1">
      <c r="A133" s="132">
        <v>7100</v>
      </c>
      <c r="B133" s="179" t="s">
        <v>116</v>
      </c>
      <c r="C133" s="171">
        <v>0</v>
      </c>
      <c r="D133" s="171">
        <v>0</v>
      </c>
      <c r="E133" s="233">
        <f>E134+E135</f>
        <v>0</v>
      </c>
      <c r="F133" s="233">
        <f>F134+F135</f>
        <v>0</v>
      </c>
      <c r="G133" s="233">
        <f>G134+G135</f>
        <v>0</v>
      </c>
      <c r="H133" s="233">
        <f t="shared" si="13"/>
        <v>0</v>
      </c>
      <c r="I133" s="233">
        <v>0</v>
      </c>
      <c r="J133" s="233">
        <f>J134+J135</f>
        <v>0</v>
      </c>
      <c r="K133" s="233">
        <f>K134+K135</f>
        <v>0</v>
      </c>
      <c r="L133" s="233">
        <f>L134+L135</f>
        <v>0</v>
      </c>
      <c r="M133" s="233">
        <f t="shared" si="14"/>
        <v>0</v>
      </c>
      <c r="N133" s="233">
        <v>0</v>
      </c>
      <c r="O133" s="233">
        <f>O134+O135</f>
        <v>0</v>
      </c>
      <c r="P133" s="233">
        <f>P134+P135</f>
        <v>0</v>
      </c>
      <c r="Q133" s="233">
        <f>Q134+Q135</f>
        <v>0</v>
      </c>
      <c r="R133" s="233">
        <f t="shared" si="15"/>
        <v>0</v>
      </c>
    </row>
    <row r="134" spans="1:18" s="89" customFormat="1" ht="24" hidden="1" customHeight="1">
      <c r="A134" s="133" t="s">
        <v>117</v>
      </c>
      <c r="B134" s="179" t="s">
        <v>118</v>
      </c>
      <c r="C134" s="171"/>
      <c r="D134" s="171">
        <v>0</v>
      </c>
      <c r="E134" s="233"/>
      <c r="F134" s="233"/>
      <c r="G134" s="233"/>
      <c r="H134" s="233">
        <f t="shared" si="13"/>
        <v>0</v>
      </c>
      <c r="I134" s="233">
        <v>0</v>
      </c>
      <c r="J134" s="233"/>
      <c r="K134" s="233"/>
      <c r="L134" s="233"/>
      <c r="M134" s="233">
        <f t="shared" si="14"/>
        <v>0</v>
      </c>
      <c r="N134" s="233">
        <v>0</v>
      </c>
      <c r="O134" s="233"/>
      <c r="P134" s="233"/>
      <c r="Q134" s="233"/>
      <c r="R134" s="233">
        <f t="shared" si="15"/>
        <v>0</v>
      </c>
    </row>
    <row r="135" spans="1:18" s="89" customFormat="1" ht="24" hidden="1" customHeight="1">
      <c r="A135" s="133">
        <v>7130</v>
      </c>
      <c r="B135" s="179" t="s">
        <v>119</v>
      </c>
      <c r="C135" s="171">
        <v>0</v>
      </c>
      <c r="D135" s="171">
        <v>0</v>
      </c>
      <c r="E135" s="233">
        <f>SUM(E136:E138)</f>
        <v>0</v>
      </c>
      <c r="F135" s="233">
        <f>SUM(F136:F138)</f>
        <v>0</v>
      </c>
      <c r="G135" s="233">
        <f>SUM(G136:G138)</f>
        <v>0</v>
      </c>
      <c r="H135" s="233">
        <f t="shared" si="13"/>
        <v>0</v>
      </c>
      <c r="I135" s="233">
        <v>0</v>
      </c>
      <c r="J135" s="233">
        <f>SUM(J136:J138)</f>
        <v>0</v>
      </c>
      <c r="K135" s="233">
        <f>SUM(K136:K138)</f>
        <v>0</v>
      </c>
      <c r="L135" s="233">
        <f>SUM(L136:L138)</f>
        <v>0</v>
      </c>
      <c r="M135" s="233">
        <f t="shared" si="14"/>
        <v>0</v>
      </c>
      <c r="N135" s="233">
        <v>0</v>
      </c>
      <c r="O135" s="233">
        <f>SUM(O136:O138)</f>
        <v>0</v>
      </c>
      <c r="P135" s="233">
        <f>SUM(P136:P138)</f>
        <v>0</v>
      </c>
      <c r="Q135" s="233">
        <f>SUM(Q136:Q138)</f>
        <v>0</v>
      </c>
      <c r="R135" s="233">
        <f t="shared" si="15"/>
        <v>0</v>
      </c>
    </row>
    <row r="136" spans="1:18" s="89" customFormat="1" ht="36" hidden="1" customHeight="1">
      <c r="A136" s="134">
        <v>7131</v>
      </c>
      <c r="B136" s="179" t="s">
        <v>120</v>
      </c>
      <c r="C136" s="171"/>
      <c r="D136" s="171">
        <v>0</v>
      </c>
      <c r="E136" s="233"/>
      <c r="F136" s="233"/>
      <c r="G136" s="233"/>
      <c r="H136" s="233">
        <f t="shared" si="13"/>
        <v>0</v>
      </c>
      <c r="I136" s="233">
        <v>0</v>
      </c>
      <c r="J136" s="233"/>
      <c r="K136" s="233"/>
      <c r="L136" s="233"/>
      <c r="M136" s="233">
        <f t="shared" si="14"/>
        <v>0</v>
      </c>
      <c r="N136" s="233">
        <v>0</v>
      </c>
      <c r="O136" s="233"/>
      <c r="P136" s="233"/>
      <c r="Q136" s="233"/>
      <c r="R136" s="233">
        <f t="shared" si="15"/>
        <v>0</v>
      </c>
    </row>
    <row r="137" spans="1:18" s="29" customFormat="1" ht="36" hidden="1" customHeight="1">
      <c r="A137" s="134">
        <v>7132</v>
      </c>
      <c r="B137" s="179" t="s">
        <v>121</v>
      </c>
      <c r="C137" s="171"/>
      <c r="D137" s="171">
        <v>0</v>
      </c>
      <c r="E137" s="233"/>
      <c r="F137" s="233"/>
      <c r="G137" s="233"/>
      <c r="H137" s="233">
        <f t="shared" si="13"/>
        <v>0</v>
      </c>
      <c r="I137" s="233">
        <v>0</v>
      </c>
      <c r="J137" s="233"/>
      <c r="K137" s="233"/>
      <c r="L137" s="233"/>
      <c r="M137" s="233">
        <f t="shared" si="14"/>
        <v>0</v>
      </c>
      <c r="N137" s="233">
        <v>0</v>
      </c>
      <c r="O137" s="233"/>
      <c r="P137" s="233"/>
      <c r="Q137" s="233"/>
      <c r="R137" s="233">
        <f t="shared" si="15"/>
        <v>0</v>
      </c>
    </row>
    <row r="138" spans="1:18" s="29" customFormat="1" ht="24" hidden="1" customHeight="1">
      <c r="A138" s="134" t="s">
        <v>186</v>
      </c>
      <c r="B138" s="179" t="s">
        <v>187</v>
      </c>
      <c r="C138" s="171"/>
      <c r="D138" s="171">
        <v>0</v>
      </c>
      <c r="E138" s="233"/>
      <c r="F138" s="233"/>
      <c r="G138" s="233"/>
      <c r="H138" s="233">
        <f t="shared" ref="H138:H201" si="20">SUM(D138:G138)</f>
        <v>0</v>
      </c>
      <c r="I138" s="233">
        <v>0</v>
      </c>
      <c r="J138" s="233"/>
      <c r="K138" s="233"/>
      <c r="L138" s="233"/>
      <c r="M138" s="233">
        <f t="shared" ref="M138:M201" si="21">SUM(I138:L138)</f>
        <v>0</v>
      </c>
      <c r="N138" s="233">
        <v>0</v>
      </c>
      <c r="O138" s="233"/>
      <c r="P138" s="233"/>
      <c r="Q138" s="233"/>
      <c r="R138" s="233">
        <f t="shared" ref="R138:R201" si="22">SUM(N138:Q138)</f>
        <v>0</v>
      </c>
    </row>
    <row r="139" spans="1:18" s="29" customFormat="1" ht="24" hidden="1" customHeight="1">
      <c r="A139" s="132">
        <v>7300</v>
      </c>
      <c r="B139" s="172" t="s">
        <v>155</v>
      </c>
      <c r="C139" s="171">
        <v>0</v>
      </c>
      <c r="D139" s="171">
        <v>0</v>
      </c>
      <c r="E139" s="233">
        <f>SUM(E140:E142)</f>
        <v>0</v>
      </c>
      <c r="F139" s="233">
        <f>SUM(F140:F142)</f>
        <v>0</v>
      </c>
      <c r="G139" s="233">
        <f>SUM(G140:G142)</f>
        <v>0</v>
      </c>
      <c r="H139" s="233">
        <f t="shared" si="20"/>
        <v>0</v>
      </c>
      <c r="I139" s="233">
        <v>0</v>
      </c>
      <c r="J139" s="233">
        <f>SUM(J140:J142)</f>
        <v>0</v>
      </c>
      <c r="K139" s="233">
        <f>SUM(K140:K142)</f>
        <v>0</v>
      </c>
      <c r="L139" s="233">
        <f>SUM(L140:L142)</f>
        <v>0</v>
      </c>
      <c r="M139" s="233">
        <f t="shared" si="21"/>
        <v>0</v>
      </c>
      <c r="N139" s="233">
        <v>0</v>
      </c>
      <c r="O139" s="233">
        <f>SUM(O140:O142)</f>
        <v>0</v>
      </c>
      <c r="P139" s="233">
        <f>SUM(P140:P142)</f>
        <v>0</v>
      </c>
      <c r="Q139" s="233">
        <f>SUM(Q140:Q142)</f>
        <v>0</v>
      </c>
      <c r="R139" s="233">
        <f t="shared" si="22"/>
        <v>0</v>
      </c>
    </row>
    <row r="140" spans="1:18" s="4" customFormat="1" ht="24" hidden="1" customHeight="1">
      <c r="A140" s="133" t="s">
        <v>188</v>
      </c>
      <c r="B140" s="179" t="s">
        <v>170</v>
      </c>
      <c r="C140" s="180"/>
      <c r="D140" s="180">
        <v>0</v>
      </c>
      <c r="E140" s="252"/>
      <c r="F140" s="252"/>
      <c r="G140" s="252"/>
      <c r="H140" s="233">
        <f t="shared" si="20"/>
        <v>0</v>
      </c>
      <c r="I140" s="252">
        <v>0</v>
      </c>
      <c r="J140" s="252"/>
      <c r="K140" s="252"/>
      <c r="L140" s="252"/>
      <c r="M140" s="233">
        <f t="shared" si="21"/>
        <v>0</v>
      </c>
      <c r="N140" s="252">
        <v>0</v>
      </c>
      <c r="O140" s="252"/>
      <c r="P140" s="252"/>
      <c r="Q140" s="252"/>
      <c r="R140" s="233">
        <f t="shared" si="22"/>
        <v>0</v>
      </c>
    </row>
    <row r="141" spans="1:18" s="3" customFormat="1" ht="48" hidden="1" customHeight="1">
      <c r="A141" s="133" t="s">
        <v>189</v>
      </c>
      <c r="B141" s="179" t="s">
        <v>156</v>
      </c>
      <c r="C141" s="180"/>
      <c r="D141" s="180">
        <v>0</v>
      </c>
      <c r="E141" s="252"/>
      <c r="F141" s="252"/>
      <c r="G141" s="252"/>
      <c r="H141" s="233">
        <f t="shared" si="20"/>
        <v>0</v>
      </c>
      <c r="I141" s="252">
        <v>0</v>
      </c>
      <c r="J141" s="252"/>
      <c r="K141" s="252"/>
      <c r="L141" s="252"/>
      <c r="M141" s="233">
        <f t="shared" si="21"/>
        <v>0</v>
      </c>
      <c r="N141" s="252">
        <v>0</v>
      </c>
      <c r="O141" s="252"/>
      <c r="P141" s="252"/>
      <c r="Q141" s="252"/>
      <c r="R141" s="233">
        <f t="shared" si="22"/>
        <v>0</v>
      </c>
    </row>
    <row r="142" spans="1:18" s="3" customFormat="1" ht="36" hidden="1" customHeight="1">
      <c r="A142" s="133">
        <v>7350</v>
      </c>
      <c r="B142" s="179" t="s">
        <v>163</v>
      </c>
      <c r="C142" s="180"/>
      <c r="D142" s="180">
        <v>0</v>
      </c>
      <c r="E142" s="252"/>
      <c r="F142" s="252"/>
      <c r="G142" s="252"/>
      <c r="H142" s="233">
        <f t="shared" si="20"/>
        <v>0</v>
      </c>
      <c r="I142" s="252">
        <v>0</v>
      </c>
      <c r="J142" s="252"/>
      <c r="K142" s="252"/>
      <c r="L142" s="252"/>
      <c r="M142" s="233">
        <f t="shared" si="21"/>
        <v>0</v>
      </c>
      <c r="N142" s="252">
        <v>0</v>
      </c>
      <c r="O142" s="252"/>
      <c r="P142" s="252"/>
      <c r="Q142" s="252"/>
      <c r="R142" s="233">
        <f t="shared" si="22"/>
        <v>0</v>
      </c>
    </row>
    <row r="143" spans="1:18" s="3" customFormat="1" ht="24" hidden="1" customHeight="1">
      <c r="A143" s="132">
        <v>7400</v>
      </c>
      <c r="B143" s="172" t="s">
        <v>161</v>
      </c>
      <c r="C143" s="171">
        <v>0</v>
      </c>
      <c r="D143" s="171">
        <v>0</v>
      </c>
      <c r="E143" s="233">
        <f>SUM(E144:E145)</f>
        <v>0</v>
      </c>
      <c r="F143" s="233">
        <f>SUM(F144:F145)</f>
        <v>0</v>
      </c>
      <c r="G143" s="233">
        <f>SUM(G144:G145)</f>
        <v>0</v>
      </c>
      <c r="H143" s="233">
        <f t="shared" si="20"/>
        <v>0</v>
      </c>
      <c r="I143" s="233">
        <v>0</v>
      </c>
      <c r="J143" s="233">
        <f>SUM(J144:J145)</f>
        <v>0</v>
      </c>
      <c r="K143" s="233">
        <f>SUM(K144:K145)</f>
        <v>0</v>
      </c>
      <c r="L143" s="233">
        <f>SUM(L144:L145)</f>
        <v>0</v>
      </c>
      <c r="M143" s="233">
        <f t="shared" si="21"/>
        <v>0</v>
      </c>
      <c r="N143" s="233">
        <v>0</v>
      </c>
      <c r="O143" s="233">
        <f>SUM(O144:O145)</f>
        <v>0</v>
      </c>
      <c r="P143" s="233">
        <f>SUM(P144:P145)</f>
        <v>0</v>
      </c>
      <c r="Q143" s="233">
        <f>SUM(Q144:Q145)</f>
        <v>0</v>
      </c>
      <c r="R143" s="233">
        <f t="shared" si="22"/>
        <v>0</v>
      </c>
    </row>
    <row r="144" spans="1:18" s="3" customFormat="1" ht="24" hidden="1" customHeight="1">
      <c r="A144" s="133">
        <v>7460</v>
      </c>
      <c r="B144" s="172" t="s">
        <v>162</v>
      </c>
      <c r="C144" s="180"/>
      <c r="D144" s="180">
        <v>0</v>
      </c>
      <c r="E144" s="252"/>
      <c r="F144" s="252"/>
      <c r="G144" s="252"/>
      <c r="H144" s="233">
        <f t="shared" si="20"/>
        <v>0</v>
      </c>
      <c r="I144" s="252">
        <v>0</v>
      </c>
      <c r="J144" s="252"/>
      <c r="K144" s="252"/>
      <c r="L144" s="252"/>
      <c r="M144" s="233">
        <f t="shared" si="21"/>
        <v>0</v>
      </c>
      <c r="N144" s="252">
        <v>0</v>
      </c>
      <c r="O144" s="252"/>
      <c r="P144" s="252"/>
      <c r="Q144" s="252"/>
      <c r="R144" s="233">
        <f t="shared" si="22"/>
        <v>0</v>
      </c>
    </row>
    <row r="145" spans="1:18" s="3" customFormat="1" ht="48" hidden="1" customHeight="1">
      <c r="A145" s="133">
        <v>7470</v>
      </c>
      <c r="B145" s="179" t="s">
        <v>167</v>
      </c>
      <c r="C145" s="180"/>
      <c r="D145" s="180">
        <v>0</v>
      </c>
      <c r="E145" s="252"/>
      <c r="F145" s="252"/>
      <c r="G145" s="252"/>
      <c r="H145" s="233">
        <f t="shared" si="20"/>
        <v>0</v>
      </c>
      <c r="I145" s="252">
        <v>0</v>
      </c>
      <c r="J145" s="252"/>
      <c r="K145" s="252"/>
      <c r="L145" s="252"/>
      <c r="M145" s="233">
        <f t="shared" si="21"/>
        <v>0</v>
      </c>
      <c r="N145" s="252">
        <v>0</v>
      </c>
      <c r="O145" s="252"/>
      <c r="P145" s="252"/>
      <c r="Q145" s="252"/>
      <c r="R145" s="233">
        <f t="shared" si="22"/>
        <v>0</v>
      </c>
    </row>
    <row r="146" spans="1:18" s="3" customFormat="1" ht="24" hidden="1" customHeight="1">
      <c r="A146" s="132">
        <v>7500</v>
      </c>
      <c r="B146" s="179" t="s">
        <v>157</v>
      </c>
      <c r="C146" s="171"/>
      <c r="D146" s="171">
        <v>0</v>
      </c>
      <c r="E146" s="233"/>
      <c r="F146" s="233"/>
      <c r="G146" s="233"/>
      <c r="H146" s="233">
        <f t="shared" si="20"/>
        <v>0</v>
      </c>
      <c r="I146" s="233">
        <v>0</v>
      </c>
      <c r="J146" s="233"/>
      <c r="K146" s="233"/>
      <c r="L146" s="233"/>
      <c r="M146" s="233">
        <f t="shared" si="21"/>
        <v>0</v>
      </c>
      <c r="N146" s="233">
        <v>0</v>
      </c>
      <c r="O146" s="233"/>
      <c r="P146" s="233"/>
      <c r="Q146" s="233"/>
      <c r="R146" s="233">
        <f t="shared" si="22"/>
        <v>0</v>
      </c>
    </row>
    <row r="147" spans="1:18" s="4" customFormat="1" ht="12">
      <c r="A147" s="140" t="s">
        <v>133</v>
      </c>
      <c r="B147" s="124" t="s">
        <v>122</v>
      </c>
      <c r="C147" s="181">
        <v>2190376</v>
      </c>
      <c r="D147" s="181">
        <v>2161501</v>
      </c>
      <c r="E147" s="254">
        <f>E148+E149</f>
        <v>0</v>
      </c>
      <c r="F147" s="254">
        <f>F148+F149</f>
        <v>1500</v>
      </c>
      <c r="G147" s="254">
        <f>G148+G149</f>
        <v>4932712</v>
      </c>
      <c r="H147" s="233">
        <f t="shared" si="20"/>
        <v>7095713</v>
      </c>
      <c r="I147" s="254">
        <v>8710363</v>
      </c>
      <c r="J147" s="254">
        <f>J148+J149</f>
        <v>0</v>
      </c>
      <c r="K147" s="254">
        <f>K148+K149</f>
        <v>0</v>
      </c>
      <c r="L147" s="254">
        <f>L148+L149</f>
        <v>15601709</v>
      </c>
      <c r="M147" s="233">
        <f t="shared" si="21"/>
        <v>24312072</v>
      </c>
      <c r="N147" s="254">
        <v>10365463</v>
      </c>
      <c r="O147" s="254">
        <f>O148+O149</f>
        <v>0</v>
      </c>
      <c r="P147" s="254">
        <f>P148+P149</f>
        <v>0</v>
      </c>
      <c r="Q147" s="254">
        <f>Q148+Q149</f>
        <v>15410960</v>
      </c>
      <c r="R147" s="233">
        <f t="shared" si="22"/>
        <v>25776423</v>
      </c>
    </row>
    <row r="148" spans="1:18" s="6" customFormat="1" ht="12">
      <c r="A148" s="140">
        <v>5000</v>
      </c>
      <c r="B148" s="124" t="s">
        <v>123</v>
      </c>
      <c r="C148" s="171">
        <v>2190376</v>
      </c>
      <c r="D148" s="171">
        <v>2161501</v>
      </c>
      <c r="E148" s="233"/>
      <c r="F148" s="233">
        <f>1500</f>
        <v>1500</v>
      </c>
      <c r="G148" s="233">
        <f>112816+283109+44410+510705+73292+3907480+900</f>
        <v>4932712</v>
      </c>
      <c r="H148" s="233">
        <f t="shared" si="20"/>
        <v>7095713</v>
      </c>
      <c r="I148" s="233">
        <v>8710363</v>
      </c>
      <c r="J148" s="233"/>
      <c r="K148" s="233"/>
      <c r="L148" s="233">
        <f>900571+6500+1500000+13194638</f>
        <v>15601709</v>
      </c>
      <c r="M148" s="233">
        <f t="shared" si="21"/>
        <v>24312072</v>
      </c>
      <c r="N148" s="233">
        <v>10365463</v>
      </c>
      <c r="O148" s="233"/>
      <c r="P148" s="233"/>
      <c r="Q148" s="233">
        <f>9037+2000000+13401923</f>
        <v>15410960</v>
      </c>
      <c r="R148" s="233">
        <f t="shared" si="22"/>
        <v>25776423</v>
      </c>
    </row>
    <row r="149" spans="1:18" s="6" customFormat="1" ht="12" hidden="1" customHeight="1">
      <c r="A149" s="140">
        <v>9000</v>
      </c>
      <c r="B149" s="182" t="s">
        <v>164</v>
      </c>
      <c r="C149" s="171">
        <v>0</v>
      </c>
      <c r="D149" s="171">
        <v>0</v>
      </c>
      <c r="E149" s="233">
        <f>E150+E156+E160+E163</f>
        <v>0</v>
      </c>
      <c r="F149" s="233">
        <f>F150+F156+F160+F163</f>
        <v>0</v>
      </c>
      <c r="G149" s="233">
        <f>G150+G156+G160+G163</f>
        <v>0</v>
      </c>
      <c r="H149" s="233">
        <f t="shared" si="20"/>
        <v>0</v>
      </c>
      <c r="I149" s="233">
        <v>0</v>
      </c>
      <c r="J149" s="233">
        <f>J150+J156+J160+J163</f>
        <v>0</v>
      </c>
      <c r="K149" s="233">
        <f>K150+K156+K160+K163</f>
        <v>0</v>
      </c>
      <c r="L149" s="233">
        <f>L150+L156+L160+L163</f>
        <v>0</v>
      </c>
      <c r="M149" s="233">
        <f t="shared" si="21"/>
        <v>0</v>
      </c>
      <c r="N149" s="233">
        <v>0</v>
      </c>
      <c r="O149" s="233">
        <f>O150+O156+O160+O163</f>
        <v>0</v>
      </c>
      <c r="P149" s="233">
        <f>P150+P156+P160+P163</f>
        <v>0</v>
      </c>
      <c r="Q149" s="233">
        <f>Q150+Q156+Q160+Q163</f>
        <v>0</v>
      </c>
      <c r="R149" s="233">
        <f t="shared" si="22"/>
        <v>0</v>
      </c>
    </row>
    <row r="150" spans="1:18" s="6" customFormat="1" ht="12" hidden="1" customHeight="1">
      <c r="A150" s="141">
        <v>9100</v>
      </c>
      <c r="B150" s="179" t="s">
        <v>124</v>
      </c>
      <c r="C150" s="171">
        <v>0</v>
      </c>
      <c r="D150" s="171">
        <v>0</v>
      </c>
      <c r="E150" s="233">
        <f>SUM(E151:E152)</f>
        <v>0</v>
      </c>
      <c r="F150" s="233">
        <f>SUM(F151:F152)</f>
        <v>0</v>
      </c>
      <c r="G150" s="233">
        <f>SUM(G151:G152)</f>
        <v>0</v>
      </c>
      <c r="H150" s="233">
        <f t="shared" si="20"/>
        <v>0</v>
      </c>
      <c r="I150" s="233">
        <v>0</v>
      </c>
      <c r="J150" s="233">
        <f>SUM(J151:J152)</f>
        <v>0</v>
      </c>
      <c r="K150" s="233">
        <f>SUM(K151:K152)</f>
        <v>0</v>
      </c>
      <c r="L150" s="233">
        <f>SUM(L151:L152)</f>
        <v>0</v>
      </c>
      <c r="M150" s="233">
        <f t="shared" si="21"/>
        <v>0</v>
      </c>
      <c r="N150" s="233">
        <v>0</v>
      </c>
      <c r="O150" s="233">
        <f>SUM(O151:O152)</f>
        <v>0</v>
      </c>
      <c r="P150" s="233">
        <f>SUM(P151:P152)</f>
        <v>0</v>
      </c>
      <c r="Q150" s="233">
        <f>SUM(Q151:Q152)</f>
        <v>0</v>
      </c>
      <c r="R150" s="233">
        <f t="shared" si="22"/>
        <v>0</v>
      </c>
    </row>
    <row r="151" spans="1:18" s="6" customFormat="1" ht="24" hidden="1" customHeight="1">
      <c r="A151" s="133" t="s">
        <v>125</v>
      </c>
      <c r="B151" s="179" t="s">
        <v>214</v>
      </c>
      <c r="C151" s="171"/>
      <c r="D151" s="171">
        <v>0</v>
      </c>
      <c r="E151" s="233"/>
      <c r="F151" s="233"/>
      <c r="G151" s="233"/>
      <c r="H151" s="233">
        <f t="shared" si="20"/>
        <v>0</v>
      </c>
      <c r="I151" s="233">
        <v>0</v>
      </c>
      <c r="J151" s="233"/>
      <c r="K151" s="233"/>
      <c r="L151" s="233"/>
      <c r="M151" s="233">
        <f t="shared" si="21"/>
        <v>0</v>
      </c>
      <c r="N151" s="233">
        <v>0</v>
      </c>
      <c r="O151" s="233"/>
      <c r="P151" s="233"/>
      <c r="Q151" s="233"/>
      <c r="R151" s="233">
        <f t="shared" si="22"/>
        <v>0</v>
      </c>
    </row>
    <row r="152" spans="1:18" s="6" customFormat="1" ht="24" hidden="1" customHeight="1">
      <c r="A152" s="133">
        <v>9140</v>
      </c>
      <c r="B152" s="179" t="s">
        <v>215</v>
      </c>
      <c r="C152" s="171">
        <v>0</v>
      </c>
      <c r="D152" s="171">
        <v>0</v>
      </c>
      <c r="E152" s="233">
        <f>SUM(E153:E155)</f>
        <v>0</v>
      </c>
      <c r="F152" s="233">
        <f>SUM(F153:F155)</f>
        <v>0</v>
      </c>
      <c r="G152" s="233">
        <f>SUM(G153:G155)</f>
        <v>0</v>
      </c>
      <c r="H152" s="233">
        <f t="shared" si="20"/>
        <v>0</v>
      </c>
      <c r="I152" s="233">
        <v>0</v>
      </c>
      <c r="J152" s="233">
        <f>SUM(J153:J155)</f>
        <v>0</v>
      </c>
      <c r="K152" s="233">
        <f>SUM(K153:K155)</f>
        <v>0</v>
      </c>
      <c r="L152" s="233">
        <f>SUM(L153:L155)</f>
        <v>0</v>
      </c>
      <c r="M152" s="233">
        <f t="shared" si="21"/>
        <v>0</v>
      </c>
      <c r="N152" s="233">
        <v>0</v>
      </c>
      <c r="O152" s="233">
        <f>SUM(O153:O155)</f>
        <v>0</v>
      </c>
      <c r="P152" s="233">
        <f>SUM(P153:P155)</f>
        <v>0</v>
      </c>
      <c r="Q152" s="233">
        <f>SUM(Q153:Q155)</f>
        <v>0</v>
      </c>
      <c r="R152" s="233">
        <f t="shared" si="22"/>
        <v>0</v>
      </c>
    </row>
    <row r="153" spans="1:18" s="6" customFormat="1" ht="36" hidden="1" customHeight="1">
      <c r="A153" s="134">
        <v>9141</v>
      </c>
      <c r="B153" s="172" t="s">
        <v>190</v>
      </c>
      <c r="C153" s="180"/>
      <c r="D153" s="180">
        <v>0</v>
      </c>
      <c r="E153" s="252"/>
      <c r="F153" s="252"/>
      <c r="G153" s="252"/>
      <c r="H153" s="233">
        <f t="shared" si="20"/>
        <v>0</v>
      </c>
      <c r="I153" s="252">
        <v>0</v>
      </c>
      <c r="J153" s="252"/>
      <c r="K153" s="252"/>
      <c r="L153" s="252"/>
      <c r="M153" s="233">
        <f t="shared" si="21"/>
        <v>0</v>
      </c>
      <c r="N153" s="252">
        <v>0</v>
      </c>
      <c r="O153" s="252"/>
      <c r="P153" s="252"/>
      <c r="Q153" s="252"/>
      <c r="R153" s="233">
        <f t="shared" si="22"/>
        <v>0</v>
      </c>
    </row>
    <row r="154" spans="1:18" s="6" customFormat="1" ht="36" hidden="1" customHeight="1">
      <c r="A154" s="134">
        <v>9142</v>
      </c>
      <c r="B154" s="172" t="s">
        <v>191</v>
      </c>
      <c r="C154" s="180"/>
      <c r="D154" s="180">
        <v>0</v>
      </c>
      <c r="E154" s="252"/>
      <c r="F154" s="252"/>
      <c r="G154" s="252"/>
      <c r="H154" s="233">
        <f t="shared" si="20"/>
        <v>0</v>
      </c>
      <c r="I154" s="252">
        <v>0</v>
      </c>
      <c r="J154" s="252"/>
      <c r="K154" s="252"/>
      <c r="L154" s="252"/>
      <c r="M154" s="233">
        <f t="shared" si="21"/>
        <v>0</v>
      </c>
      <c r="N154" s="252">
        <v>0</v>
      </c>
      <c r="O154" s="252"/>
      <c r="P154" s="252"/>
      <c r="Q154" s="252"/>
      <c r="R154" s="233">
        <f t="shared" si="22"/>
        <v>0</v>
      </c>
    </row>
    <row r="155" spans="1:18" s="6" customFormat="1" ht="24" hidden="1" customHeight="1">
      <c r="A155" s="134">
        <v>9149</v>
      </c>
      <c r="B155" s="172" t="s">
        <v>192</v>
      </c>
      <c r="C155" s="180"/>
      <c r="D155" s="180">
        <v>0</v>
      </c>
      <c r="E155" s="252"/>
      <c r="F155" s="252"/>
      <c r="G155" s="252"/>
      <c r="H155" s="233">
        <f t="shared" si="20"/>
        <v>0</v>
      </c>
      <c r="I155" s="252">
        <v>0</v>
      </c>
      <c r="J155" s="252"/>
      <c r="K155" s="252"/>
      <c r="L155" s="252"/>
      <c r="M155" s="233">
        <f t="shared" si="21"/>
        <v>0</v>
      </c>
      <c r="N155" s="252">
        <v>0</v>
      </c>
      <c r="O155" s="252"/>
      <c r="P155" s="252"/>
      <c r="Q155" s="252"/>
      <c r="R155" s="233">
        <f t="shared" si="22"/>
        <v>0</v>
      </c>
    </row>
    <row r="156" spans="1:18" s="6" customFormat="1" ht="24" hidden="1" customHeight="1">
      <c r="A156" s="141">
        <v>9500</v>
      </c>
      <c r="B156" s="172" t="s">
        <v>165</v>
      </c>
      <c r="C156" s="171">
        <v>0</v>
      </c>
      <c r="D156" s="171">
        <v>0</v>
      </c>
      <c r="E156" s="233">
        <f>SUM(E157:E159)</f>
        <v>0</v>
      </c>
      <c r="F156" s="233">
        <f>SUM(F157:F159)</f>
        <v>0</v>
      </c>
      <c r="G156" s="233">
        <f>SUM(G157:G159)</f>
        <v>0</v>
      </c>
      <c r="H156" s="233">
        <f t="shared" si="20"/>
        <v>0</v>
      </c>
      <c r="I156" s="233">
        <v>0</v>
      </c>
      <c r="J156" s="233">
        <f>SUM(J157:J159)</f>
        <v>0</v>
      </c>
      <c r="K156" s="233">
        <f>SUM(K157:K159)</f>
        <v>0</v>
      </c>
      <c r="L156" s="233">
        <f>SUM(L157:L159)</f>
        <v>0</v>
      </c>
      <c r="M156" s="233">
        <f t="shared" si="21"/>
        <v>0</v>
      </c>
      <c r="N156" s="233">
        <v>0</v>
      </c>
      <c r="O156" s="233">
        <f>SUM(O157:O159)</f>
        <v>0</v>
      </c>
      <c r="P156" s="233">
        <f>SUM(P157:P159)</f>
        <v>0</v>
      </c>
      <c r="Q156" s="233">
        <f>SUM(Q157:Q159)</f>
        <v>0</v>
      </c>
      <c r="R156" s="233">
        <f t="shared" si="22"/>
        <v>0</v>
      </c>
    </row>
    <row r="157" spans="1:18" s="6" customFormat="1" ht="24" hidden="1" customHeight="1">
      <c r="A157" s="133" t="s">
        <v>193</v>
      </c>
      <c r="B157" s="172" t="s">
        <v>171</v>
      </c>
      <c r="C157" s="171"/>
      <c r="D157" s="171">
        <v>0</v>
      </c>
      <c r="E157" s="233"/>
      <c r="F157" s="233"/>
      <c r="G157" s="233"/>
      <c r="H157" s="233">
        <f t="shared" si="20"/>
        <v>0</v>
      </c>
      <c r="I157" s="233">
        <v>0</v>
      </c>
      <c r="J157" s="233"/>
      <c r="K157" s="233"/>
      <c r="L157" s="233"/>
      <c r="M157" s="233">
        <f t="shared" si="21"/>
        <v>0</v>
      </c>
      <c r="N157" s="233">
        <v>0</v>
      </c>
      <c r="O157" s="233"/>
      <c r="P157" s="233"/>
      <c r="Q157" s="233"/>
      <c r="R157" s="233">
        <f t="shared" si="22"/>
        <v>0</v>
      </c>
    </row>
    <row r="158" spans="1:18" s="6" customFormat="1" ht="48" hidden="1" customHeight="1">
      <c r="A158" s="133">
        <v>9580</v>
      </c>
      <c r="B158" s="172" t="s">
        <v>166</v>
      </c>
      <c r="C158" s="180"/>
      <c r="D158" s="180">
        <v>0</v>
      </c>
      <c r="E158" s="252"/>
      <c r="F158" s="252"/>
      <c r="G158" s="252"/>
      <c r="H158" s="233">
        <f t="shared" si="20"/>
        <v>0</v>
      </c>
      <c r="I158" s="252">
        <v>0</v>
      </c>
      <c r="J158" s="252"/>
      <c r="K158" s="252"/>
      <c r="L158" s="252"/>
      <c r="M158" s="233">
        <f t="shared" si="21"/>
        <v>0</v>
      </c>
      <c r="N158" s="252">
        <v>0</v>
      </c>
      <c r="O158" s="252"/>
      <c r="P158" s="252"/>
      <c r="Q158" s="252"/>
      <c r="R158" s="233">
        <f t="shared" si="22"/>
        <v>0</v>
      </c>
    </row>
    <row r="159" spans="1:18" s="6" customFormat="1" ht="48" hidden="1" customHeight="1">
      <c r="A159" s="133">
        <v>9590</v>
      </c>
      <c r="B159" s="179" t="s">
        <v>172</v>
      </c>
      <c r="C159" s="180"/>
      <c r="D159" s="180">
        <v>0</v>
      </c>
      <c r="E159" s="252"/>
      <c r="F159" s="252"/>
      <c r="G159" s="252"/>
      <c r="H159" s="233">
        <f t="shared" si="20"/>
        <v>0</v>
      </c>
      <c r="I159" s="252">
        <v>0</v>
      </c>
      <c r="J159" s="252"/>
      <c r="K159" s="252"/>
      <c r="L159" s="252"/>
      <c r="M159" s="233">
        <f t="shared" si="21"/>
        <v>0</v>
      </c>
      <c r="N159" s="252">
        <v>0</v>
      </c>
      <c r="O159" s="252"/>
      <c r="P159" s="252"/>
      <c r="Q159" s="252"/>
      <c r="R159" s="233">
        <f t="shared" si="22"/>
        <v>0</v>
      </c>
    </row>
    <row r="160" spans="1:18" s="6" customFormat="1" ht="24" hidden="1" customHeight="1">
      <c r="A160" s="141">
        <v>9700</v>
      </c>
      <c r="B160" s="183" t="s">
        <v>194</v>
      </c>
      <c r="C160" s="171">
        <v>0</v>
      </c>
      <c r="D160" s="171">
        <v>0</v>
      </c>
      <c r="E160" s="233">
        <f>SUM(E161:E162)</f>
        <v>0</v>
      </c>
      <c r="F160" s="233">
        <f>SUM(F161:F162)</f>
        <v>0</v>
      </c>
      <c r="G160" s="233">
        <f>SUM(G161:G162)</f>
        <v>0</v>
      </c>
      <c r="H160" s="233">
        <f t="shared" si="20"/>
        <v>0</v>
      </c>
      <c r="I160" s="233">
        <v>0</v>
      </c>
      <c r="J160" s="233">
        <f>SUM(J161:J162)</f>
        <v>0</v>
      </c>
      <c r="K160" s="233">
        <f>SUM(K161:K162)</f>
        <v>0</v>
      </c>
      <c r="L160" s="233">
        <f>SUM(L161:L162)</f>
        <v>0</v>
      </c>
      <c r="M160" s="233">
        <f t="shared" si="21"/>
        <v>0</v>
      </c>
      <c r="N160" s="233">
        <v>0</v>
      </c>
      <c r="O160" s="233">
        <f>SUM(O161:O162)</f>
        <v>0</v>
      </c>
      <c r="P160" s="233">
        <f>SUM(P161:P162)</f>
        <v>0</v>
      </c>
      <c r="Q160" s="233">
        <f>SUM(Q161:Q162)</f>
        <v>0</v>
      </c>
      <c r="R160" s="233">
        <f t="shared" si="22"/>
        <v>0</v>
      </c>
    </row>
    <row r="161" spans="1:18" s="6" customFormat="1" ht="24" hidden="1" customHeight="1">
      <c r="A161" s="133">
        <v>9710</v>
      </c>
      <c r="B161" s="184" t="s">
        <v>195</v>
      </c>
      <c r="C161" s="180"/>
      <c r="D161" s="180">
        <v>0</v>
      </c>
      <c r="E161" s="252"/>
      <c r="F161" s="252"/>
      <c r="G161" s="252"/>
      <c r="H161" s="233">
        <f t="shared" si="20"/>
        <v>0</v>
      </c>
      <c r="I161" s="252">
        <v>0</v>
      </c>
      <c r="J161" s="252"/>
      <c r="K161" s="252"/>
      <c r="L161" s="252"/>
      <c r="M161" s="233">
        <f t="shared" si="21"/>
        <v>0</v>
      </c>
      <c r="N161" s="252">
        <v>0</v>
      </c>
      <c r="O161" s="252"/>
      <c r="P161" s="252"/>
      <c r="Q161" s="252"/>
      <c r="R161" s="233">
        <f t="shared" si="22"/>
        <v>0</v>
      </c>
    </row>
    <row r="162" spans="1:18" s="6" customFormat="1" ht="48" hidden="1" customHeight="1">
      <c r="A162" s="142">
        <v>9720</v>
      </c>
      <c r="B162" s="183" t="s">
        <v>196</v>
      </c>
      <c r="C162" s="180"/>
      <c r="D162" s="180">
        <v>0</v>
      </c>
      <c r="E162" s="252"/>
      <c r="F162" s="252"/>
      <c r="G162" s="252"/>
      <c r="H162" s="233">
        <f t="shared" si="20"/>
        <v>0</v>
      </c>
      <c r="I162" s="252">
        <v>0</v>
      </c>
      <c r="J162" s="252"/>
      <c r="K162" s="252"/>
      <c r="L162" s="252"/>
      <c r="M162" s="233">
        <f t="shared" si="21"/>
        <v>0</v>
      </c>
      <c r="N162" s="252">
        <v>0</v>
      </c>
      <c r="O162" s="252"/>
      <c r="P162" s="252"/>
      <c r="Q162" s="252"/>
      <c r="R162" s="233">
        <f t="shared" si="22"/>
        <v>0</v>
      </c>
    </row>
    <row r="163" spans="1:18" s="6" customFormat="1" ht="24" hidden="1" customHeight="1">
      <c r="A163" s="141">
        <v>9600</v>
      </c>
      <c r="B163" s="179" t="s">
        <v>134</v>
      </c>
      <c r="C163" s="180"/>
      <c r="D163" s="180">
        <v>0</v>
      </c>
      <c r="E163" s="252"/>
      <c r="F163" s="252"/>
      <c r="G163" s="252"/>
      <c r="H163" s="233">
        <f t="shared" si="20"/>
        <v>0</v>
      </c>
      <c r="I163" s="252">
        <v>0</v>
      </c>
      <c r="J163" s="252"/>
      <c r="K163" s="252"/>
      <c r="L163" s="252"/>
      <c r="M163" s="233">
        <f t="shared" si="21"/>
        <v>0</v>
      </c>
      <c r="N163" s="252">
        <v>0</v>
      </c>
      <c r="O163" s="252"/>
      <c r="P163" s="252"/>
      <c r="Q163" s="252"/>
      <c r="R163" s="233">
        <f t="shared" si="22"/>
        <v>0</v>
      </c>
    </row>
    <row r="164" spans="1:18" s="6" customFormat="1" ht="30.6">
      <c r="A164" s="130" t="s">
        <v>197</v>
      </c>
      <c r="B164" s="185" t="s">
        <v>47</v>
      </c>
      <c r="C164" s="186">
        <v>4300500</v>
      </c>
      <c r="D164" s="186">
        <v>0</v>
      </c>
      <c r="E164" s="262">
        <f>E94-E119</f>
        <v>0</v>
      </c>
      <c r="F164" s="262">
        <f>F94-F119</f>
        <v>0</v>
      </c>
      <c r="G164" s="262">
        <f>G94-G119</f>
        <v>6496018</v>
      </c>
      <c r="H164" s="233">
        <f t="shared" si="20"/>
        <v>6496018</v>
      </c>
      <c r="I164" s="262">
        <v>0</v>
      </c>
      <c r="J164" s="262">
        <f>J94-J119</f>
        <v>0</v>
      </c>
      <c r="K164" s="262">
        <f>K94-K119</f>
        <v>0</v>
      </c>
      <c r="L164" s="262">
        <f>L94-L119</f>
        <v>0</v>
      </c>
      <c r="M164" s="233">
        <f t="shared" si="21"/>
        <v>0</v>
      </c>
      <c r="N164" s="262">
        <v>0</v>
      </c>
      <c r="O164" s="262">
        <f>O94-O119</f>
        <v>0</v>
      </c>
      <c r="P164" s="262">
        <f>P94-P119</f>
        <v>0</v>
      </c>
      <c r="Q164" s="262">
        <f>Q94-Q119</f>
        <v>0</v>
      </c>
      <c r="R164" s="233">
        <f t="shared" si="22"/>
        <v>0</v>
      </c>
    </row>
    <row r="165" spans="1:18" s="6" customFormat="1" ht="12">
      <c r="A165" s="143" t="s">
        <v>48</v>
      </c>
      <c r="B165" s="185" t="s">
        <v>49</v>
      </c>
      <c r="C165" s="186">
        <v>-4300500</v>
      </c>
      <c r="D165" s="186">
        <v>0</v>
      </c>
      <c r="E165" s="262">
        <f>E166+E169+E173+E172</f>
        <v>0</v>
      </c>
      <c r="F165" s="262">
        <f>F166+F169+F173+F172</f>
        <v>0</v>
      </c>
      <c r="G165" s="262">
        <f>G166+G169+G173+G172</f>
        <v>-6496018</v>
      </c>
      <c r="H165" s="233">
        <f t="shared" si="20"/>
        <v>-6496018</v>
      </c>
      <c r="I165" s="262">
        <v>0</v>
      </c>
      <c r="J165" s="262">
        <f>J166+J169+J173+J172</f>
        <v>0</v>
      </c>
      <c r="K165" s="262">
        <f>K166+K169+K173+K172</f>
        <v>0</v>
      </c>
      <c r="L165" s="262">
        <f>L166+L169+L173+L172</f>
        <v>0</v>
      </c>
      <c r="M165" s="233">
        <f t="shared" si="21"/>
        <v>0</v>
      </c>
      <c r="N165" s="262">
        <v>0</v>
      </c>
      <c r="O165" s="262">
        <f>O166+O169+O173+O172</f>
        <v>0</v>
      </c>
      <c r="P165" s="262">
        <f>P166+P169+P173+P172</f>
        <v>0</v>
      </c>
      <c r="Q165" s="262">
        <f>Q166+Q169+Q173+Q172</f>
        <v>0</v>
      </c>
      <c r="R165" s="233">
        <f t="shared" si="22"/>
        <v>0</v>
      </c>
    </row>
    <row r="166" spans="1:18" s="6" customFormat="1" ht="12" hidden="1" customHeight="1">
      <c r="A166" s="141" t="s">
        <v>50</v>
      </c>
      <c r="B166" s="179" t="s">
        <v>51</v>
      </c>
      <c r="C166" s="169">
        <v>0</v>
      </c>
      <c r="D166" s="169">
        <v>0</v>
      </c>
      <c r="E166" s="231">
        <f>E167+E168</f>
        <v>0</v>
      </c>
      <c r="F166" s="231">
        <f>F167+F168</f>
        <v>0</v>
      </c>
      <c r="G166" s="231">
        <f>G167+G168</f>
        <v>0</v>
      </c>
      <c r="H166" s="233">
        <f t="shared" si="20"/>
        <v>0</v>
      </c>
      <c r="I166" s="231">
        <v>0</v>
      </c>
      <c r="J166" s="231">
        <f>J167+J168</f>
        <v>0</v>
      </c>
      <c r="K166" s="231">
        <f>K167+K168</f>
        <v>0</v>
      </c>
      <c r="L166" s="231">
        <f>L167+L168</f>
        <v>0</v>
      </c>
      <c r="M166" s="233">
        <f t="shared" si="21"/>
        <v>0</v>
      </c>
      <c r="N166" s="231">
        <v>0</v>
      </c>
      <c r="O166" s="231">
        <f>O167+O168</f>
        <v>0</v>
      </c>
      <c r="P166" s="231">
        <f>P167+P168</f>
        <v>0</v>
      </c>
      <c r="Q166" s="231">
        <f>Q167+Q168</f>
        <v>0</v>
      </c>
      <c r="R166" s="233">
        <f t="shared" si="22"/>
        <v>0</v>
      </c>
    </row>
    <row r="167" spans="1:18" s="6" customFormat="1" ht="12" hidden="1" customHeight="1">
      <c r="A167" s="141" t="s">
        <v>52</v>
      </c>
      <c r="B167" s="179" t="s">
        <v>53</v>
      </c>
      <c r="C167" s="169"/>
      <c r="D167" s="169">
        <v>0</v>
      </c>
      <c r="E167" s="231"/>
      <c r="F167" s="231"/>
      <c r="G167" s="231"/>
      <c r="H167" s="233">
        <f t="shared" si="20"/>
        <v>0</v>
      </c>
      <c r="I167" s="231">
        <v>0</v>
      </c>
      <c r="J167" s="231"/>
      <c r="K167" s="231"/>
      <c r="L167" s="231"/>
      <c r="M167" s="233">
        <f t="shared" si="21"/>
        <v>0</v>
      </c>
      <c r="N167" s="231">
        <v>0</v>
      </c>
      <c r="O167" s="231"/>
      <c r="P167" s="231"/>
      <c r="Q167" s="231"/>
      <c r="R167" s="233">
        <f t="shared" si="22"/>
        <v>0</v>
      </c>
    </row>
    <row r="168" spans="1:18" s="6" customFormat="1" ht="12" hidden="1" customHeight="1">
      <c r="A168" s="141" t="s">
        <v>54</v>
      </c>
      <c r="B168" s="179" t="s">
        <v>55</v>
      </c>
      <c r="C168" s="169"/>
      <c r="D168" s="169">
        <v>0</v>
      </c>
      <c r="E168" s="231"/>
      <c r="F168" s="231"/>
      <c r="G168" s="231"/>
      <c r="H168" s="233">
        <f t="shared" si="20"/>
        <v>0</v>
      </c>
      <c r="I168" s="231">
        <v>0</v>
      </c>
      <c r="J168" s="231"/>
      <c r="K168" s="231"/>
      <c r="L168" s="231"/>
      <c r="M168" s="233">
        <f t="shared" si="21"/>
        <v>0</v>
      </c>
      <c r="N168" s="231">
        <v>0</v>
      </c>
      <c r="O168" s="231"/>
      <c r="P168" s="231"/>
      <c r="Q168" s="231"/>
      <c r="R168" s="233">
        <f t="shared" si="22"/>
        <v>0</v>
      </c>
    </row>
    <row r="169" spans="1:18" s="6" customFormat="1" ht="12" hidden="1" customHeight="1">
      <c r="A169" s="141" t="s">
        <v>56</v>
      </c>
      <c r="B169" s="179" t="s">
        <v>57</v>
      </c>
      <c r="C169" s="169">
        <v>0</v>
      </c>
      <c r="D169" s="169">
        <v>0</v>
      </c>
      <c r="E169" s="231">
        <f>E170+E171</f>
        <v>0</v>
      </c>
      <c r="F169" s="231">
        <f>F170+F171</f>
        <v>0</v>
      </c>
      <c r="G169" s="231">
        <f>G170+G171</f>
        <v>0</v>
      </c>
      <c r="H169" s="233">
        <f t="shared" si="20"/>
        <v>0</v>
      </c>
      <c r="I169" s="231">
        <v>0</v>
      </c>
      <c r="J169" s="231">
        <f>J170+J171</f>
        <v>0</v>
      </c>
      <c r="K169" s="231">
        <f>K170+K171</f>
        <v>0</v>
      </c>
      <c r="L169" s="231">
        <f>L170+L171</f>
        <v>0</v>
      </c>
      <c r="M169" s="233">
        <f t="shared" si="21"/>
        <v>0</v>
      </c>
      <c r="N169" s="231">
        <v>0</v>
      </c>
      <c r="O169" s="231">
        <f>O170+O171</f>
        <v>0</v>
      </c>
      <c r="P169" s="231">
        <f>P170+P171</f>
        <v>0</v>
      </c>
      <c r="Q169" s="231">
        <f>Q170+Q171</f>
        <v>0</v>
      </c>
      <c r="R169" s="233">
        <f t="shared" si="22"/>
        <v>0</v>
      </c>
    </row>
    <row r="170" spans="1:18" s="6" customFormat="1" ht="12" hidden="1" customHeight="1">
      <c r="A170" s="141" t="s">
        <v>58</v>
      </c>
      <c r="B170" s="179" t="s">
        <v>59</v>
      </c>
      <c r="C170" s="169">
        <v>0</v>
      </c>
      <c r="D170" s="169">
        <v>0</v>
      </c>
      <c r="E170" s="231"/>
      <c r="F170" s="231"/>
      <c r="G170" s="231"/>
      <c r="H170" s="233">
        <f t="shared" si="20"/>
        <v>0</v>
      </c>
      <c r="I170" s="231">
        <v>0</v>
      </c>
      <c r="J170" s="231"/>
      <c r="K170" s="231"/>
      <c r="L170" s="231"/>
      <c r="M170" s="233">
        <f t="shared" si="21"/>
        <v>0</v>
      </c>
      <c r="N170" s="231">
        <v>0</v>
      </c>
      <c r="O170" s="231"/>
      <c r="P170" s="231"/>
      <c r="Q170" s="231"/>
      <c r="R170" s="233">
        <f t="shared" si="22"/>
        <v>0</v>
      </c>
    </row>
    <row r="171" spans="1:18" s="6" customFormat="1" ht="12" hidden="1" customHeight="1">
      <c r="A171" s="141" t="s">
        <v>60</v>
      </c>
      <c r="B171" s="179" t="s">
        <v>61</v>
      </c>
      <c r="C171" s="169"/>
      <c r="D171" s="169">
        <v>0</v>
      </c>
      <c r="E171" s="231"/>
      <c r="F171" s="231"/>
      <c r="G171" s="231"/>
      <c r="H171" s="233">
        <f t="shared" si="20"/>
        <v>0</v>
      </c>
      <c r="I171" s="231">
        <v>0</v>
      </c>
      <c r="J171" s="231"/>
      <c r="K171" s="231"/>
      <c r="L171" s="231"/>
      <c r="M171" s="233">
        <f t="shared" si="21"/>
        <v>0</v>
      </c>
      <c r="N171" s="231">
        <v>0</v>
      </c>
      <c r="O171" s="231"/>
      <c r="P171" s="231"/>
      <c r="Q171" s="231"/>
      <c r="R171" s="233">
        <f t="shared" si="22"/>
        <v>0</v>
      </c>
    </row>
    <row r="172" spans="1:18" s="6" customFormat="1" ht="12">
      <c r="A172" s="141" t="s">
        <v>198</v>
      </c>
      <c r="B172" s="187" t="s">
        <v>168</v>
      </c>
      <c r="C172" s="169">
        <v>-4300500</v>
      </c>
      <c r="D172" s="169">
        <v>0</v>
      </c>
      <c r="E172" s="231"/>
      <c r="F172" s="231"/>
      <c r="G172" s="231">
        <v>-6496018</v>
      </c>
      <c r="H172" s="233">
        <f t="shared" si="20"/>
        <v>-6496018</v>
      </c>
      <c r="I172" s="231">
        <v>0</v>
      </c>
      <c r="J172" s="231"/>
      <c r="K172" s="231"/>
      <c r="L172" s="231"/>
      <c r="M172" s="233">
        <f t="shared" si="21"/>
        <v>0</v>
      </c>
      <c r="N172" s="231">
        <v>0</v>
      </c>
      <c r="O172" s="231"/>
      <c r="P172" s="231"/>
      <c r="Q172" s="231"/>
      <c r="R172" s="233">
        <f t="shared" si="22"/>
        <v>0</v>
      </c>
    </row>
    <row r="173" spans="1:18" s="6" customFormat="1" ht="12" hidden="1" customHeight="1">
      <c r="A173" s="144" t="s">
        <v>62</v>
      </c>
      <c r="B173" s="125" t="s">
        <v>63</v>
      </c>
      <c r="C173" s="171">
        <v>0</v>
      </c>
      <c r="D173" s="171">
        <v>0</v>
      </c>
      <c r="E173" s="233">
        <f>E174+E175+E176</f>
        <v>0</v>
      </c>
      <c r="F173" s="233">
        <f>F174+F175+F176</f>
        <v>0</v>
      </c>
      <c r="G173" s="233">
        <f>G174+G175+G176</f>
        <v>0</v>
      </c>
      <c r="H173" s="233">
        <f t="shared" si="20"/>
        <v>0</v>
      </c>
      <c r="I173" s="233">
        <v>0</v>
      </c>
      <c r="J173" s="233">
        <f>J174+J175+J176</f>
        <v>0</v>
      </c>
      <c r="K173" s="233">
        <f>K174+K175+K176</f>
        <v>0</v>
      </c>
      <c r="L173" s="233">
        <f>L174+L175+L176</f>
        <v>0</v>
      </c>
      <c r="M173" s="233">
        <f t="shared" si="21"/>
        <v>0</v>
      </c>
      <c r="N173" s="233">
        <v>0</v>
      </c>
      <c r="O173" s="233">
        <f>O174+O175+O176</f>
        <v>0</v>
      </c>
      <c r="P173" s="233">
        <f>P174+P175+P176</f>
        <v>0</v>
      </c>
      <c r="Q173" s="233">
        <f>Q174+Q175+Q176</f>
        <v>0</v>
      </c>
      <c r="R173" s="233">
        <f t="shared" si="22"/>
        <v>0</v>
      </c>
    </row>
    <row r="174" spans="1:18" s="6" customFormat="1" ht="36" hidden="1" customHeight="1">
      <c r="A174" s="144" t="s">
        <v>64</v>
      </c>
      <c r="B174" s="179" t="s">
        <v>65</v>
      </c>
      <c r="C174" s="169"/>
      <c r="D174" s="169">
        <v>0</v>
      </c>
      <c r="E174" s="231"/>
      <c r="F174" s="231"/>
      <c r="G174" s="231"/>
      <c r="H174" s="233">
        <f t="shared" si="20"/>
        <v>0</v>
      </c>
      <c r="I174" s="231">
        <v>0</v>
      </c>
      <c r="J174" s="231"/>
      <c r="K174" s="231"/>
      <c r="L174" s="231"/>
      <c r="M174" s="233">
        <f t="shared" si="21"/>
        <v>0</v>
      </c>
      <c r="N174" s="231">
        <v>0</v>
      </c>
      <c r="O174" s="231"/>
      <c r="P174" s="231"/>
      <c r="Q174" s="231"/>
      <c r="R174" s="233">
        <f t="shared" si="22"/>
        <v>0</v>
      </c>
    </row>
    <row r="175" spans="1:18" s="6" customFormat="1" ht="24" hidden="1" customHeight="1">
      <c r="A175" s="144" t="s">
        <v>66</v>
      </c>
      <c r="B175" s="179" t="s">
        <v>67</v>
      </c>
      <c r="C175" s="169"/>
      <c r="D175" s="169">
        <v>0</v>
      </c>
      <c r="E175" s="231"/>
      <c r="F175" s="231"/>
      <c r="G175" s="231"/>
      <c r="H175" s="233">
        <f t="shared" si="20"/>
        <v>0</v>
      </c>
      <c r="I175" s="231">
        <v>0</v>
      </c>
      <c r="J175" s="231"/>
      <c r="K175" s="231"/>
      <c r="L175" s="231"/>
      <c r="M175" s="233">
        <f t="shared" si="21"/>
        <v>0</v>
      </c>
      <c r="N175" s="231">
        <v>0</v>
      </c>
      <c r="O175" s="231"/>
      <c r="P175" s="231"/>
      <c r="Q175" s="231"/>
      <c r="R175" s="233">
        <f t="shared" si="22"/>
        <v>0</v>
      </c>
    </row>
    <row r="176" spans="1:18" s="6" customFormat="1" ht="24" hidden="1" customHeight="1">
      <c r="A176" s="144" t="s">
        <v>68</v>
      </c>
      <c r="B176" s="125" t="s">
        <v>69</v>
      </c>
      <c r="C176" s="169"/>
      <c r="D176" s="169">
        <v>0</v>
      </c>
      <c r="E176" s="231"/>
      <c r="F176" s="231"/>
      <c r="G176" s="231"/>
      <c r="H176" s="233">
        <f t="shared" si="20"/>
        <v>0</v>
      </c>
      <c r="I176" s="231">
        <v>0</v>
      </c>
      <c r="J176" s="231"/>
      <c r="K176" s="231"/>
      <c r="L176" s="231"/>
      <c r="M176" s="233">
        <f t="shared" si="21"/>
        <v>0</v>
      </c>
      <c r="N176" s="231">
        <v>0</v>
      </c>
      <c r="O176" s="231"/>
      <c r="P176" s="231"/>
      <c r="Q176" s="231"/>
      <c r="R176" s="233">
        <f t="shared" si="22"/>
        <v>0</v>
      </c>
    </row>
    <row r="177" spans="1:18" s="6" customFormat="1" ht="36" customHeight="1">
      <c r="A177" s="145"/>
      <c r="B177" s="188" t="s">
        <v>200</v>
      </c>
      <c r="C177" s="293"/>
      <c r="D177" s="294">
        <v>0</v>
      </c>
      <c r="E177" s="347"/>
      <c r="F177" s="347"/>
      <c r="G177" s="347"/>
      <c r="H177" s="347">
        <f t="shared" si="20"/>
        <v>0</v>
      </c>
      <c r="I177" s="347">
        <v>0</v>
      </c>
      <c r="J177" s="347"/>
      <c r="K177" s="347"/>
      <c r="L177" s="347"/>
      <c r="M177" s="347">
        <f t="shared" si="21"/>
        <v>0</v>
      </c>
      <c r="N177" s="347">
        <v>0</v>
      </c>
      <c r="O177" s="347"/>
      <c r="P177" s="347"/>
      <c r="Q177" s="347"/>
      <c r="R177" s="347">
        <f t="shared" si="22"/>
        <v>0</v>
      </c>
    </row>
    <row r="178" spans="1:18" s="6" customFormat="1" ht="20.399999999999999">
      <c r="A178" s="129" t="s">
        <v>201</v>
      </c>
      <c r="B178" s="123" t="s">
        <v>88</v>
      </c>
      <c r="C178" s="175">
        <v>87085930</v>
      </c>
      <c r="D178" s="175">
        <v>58612366</v>
      </c>
      <c r="E178" s="228">
        <f>E179+E180+E182+E200</f>
        <v>6500</v>
      </c>
      <c r="F178" s="228">
        <f>F179+F180+F182+F200</f>
        <v>0</v>
      </c>
      <c r="G178" s="228">
        <f>G179+G180+G182+G200</f>
        <v>0</v>
      </c>
      <c r="H178" s="243">
        <f t="shared" si="20"/>
        <v>58618866</v>
      </c>
      <c r="I178" s="228">
        <v>33713221</v>
      </c>
      <c r="J178" s="228">
        <f>J179+J180+J182+J200</f>
        <v>0</v>
      </c>
      <c r="K178" s="228">
        <f>K179+K180+K182+K200</f>
        <v>0</v>
      </c>
      <c r="L178" s="228">
        <f>L179+L180+L182+L200</f>
        <v>0</v>
      </c>
      <c r="M178" s="243">
        <f t="shared" si="21"/>
        <v>33713221</v>
      </c>
      <c r="N178" s="228">
        <v>10603035</v>
      </c>
      <c r="O178" s="228">
        <f>O179+O180+O182+O200</f>
        <v>0</v>
      </c>
      <c r="P178" s="228">
        <f>P179+P180+P182+P200</f>
        <v>0</v>
      </c>
      <c r="Q178" s="228">
        <f>Q179+Q180+Q182+Q200</f>
        <v>0</v>
      </c>
      <c r="R178" s="243">
        <f t="shared" si="22"/>
        <v>10603035</v>
      </c>
    </row>
    <row r="179" spans="1:18" s="6" customFormat="1" ht="24" hidden="1" customHeight="1">
      <c r="A179" s="130" t="s">
        <v>177</v>
      </c>
      <c r="B179" s="124" t="s">
        <v>90</v>
      </c>
      <c r="C179" s="169"/>
      <c r="D179" s="169">
        <v>0</v>
      </c>
      <c r="E179" s="231"/>
      <c r="F179" s="231"/>
      <c r="G179" s="231"/>
      <c r="H179" s="233">
        <f t="shared" si="20"/>
        <v>0</v>
      </c>
      <c r="I179" s="231">
        <v>0</v>
      </c>
      <c r="J179" s="231"/>
      <c r="K179" s="231"/>
      <c r="L179" s="231"/>
      <c r="M179" s="233">
        <f t="shared" si="21"/>
        <v>0</v>
      </c>
      <c r="N179" s="231">
        <v>0</v>
      </c>
      <c r="O179" s="231"/>
      <c r="P179" s="231"/>
      <c r="Q179" s="231"/>
      <c r="R179" s="233">
        <f t="shared" si="22"/>
        <v>0</v>
      </c>
    </row>
    <row r="180" spans="1:18" s="6" customFormat="1" ht="12">
      <c r="A180" s="130" t="s">
        <v>91</v>
      </c>
      <c r="B180" s="124" t="s">
        <v>92</v>
      </c>
      <c r="C180" s="169">
        <v>5565484</v>
      </c>
      <c r="D180" s="169">
        <v>3618987</v>
      </c>
      <c r="E180" s="231"/>
      <c r="F180" s="231"/>
      <c r="G180" s="231"/>
      <c r="H180" s="233">
        <f t="shared" si="20"/>
        <v>3618987</v>
      </c>
      <c r="I180" s="231">
        <v>2587184</v>
      </c>
      <c r="J180" s="231"/>
      <c r="K180" s="231"/>
      <c r="L180" s="231"/>
      <c r="M180" s="233">
        <f t="shared" si="21"/>
        <v>2587184</v>
      </c>
      <c r="N180" s="231">
        <v>3291350</v>
      </c>
      <c r="O180" s="231"/>
      <c r="P180" s="231"/>
      <c r="Q180" s="231"/>
      <c r="R180" s="233">
        <f t="shared" si="22"/>
        <v>3291350</v>
      </c>
    </row>
    <row r="181" spans="1:18" s="29" customFormat="1" ht="12" customHeight="1">
      <c r="A181" s="131">
        <v>21210</v>
      </c>
      <c r="B181" s="125" t="s">
        <v>93</v>
      </c>
      <c r="C181" s="169">
        <v>4489691</v>
      </c>
      <c r="D181" s="169">
        <v>2686487</v>
      </c>
      <c r="E181" s="231"/>
      <c r="F181" s="231"/>
      <c r="G181" s="231"/>
      <c r="H181" s="233">
        <f t="shared" si="20"/>
        <v>2686487</v>
      </c>
      <c r="I181" s="231">
        <v>1802122</v>
      </c>
      <c r="J181" s="231"/>
      <c r="K181" s="231"/>
      <c r="L181" s="231"/>
      <c r="M181" s="233">
        <f t="shared" si="21"/>
        <v>1802122</v>
      </c>
      <c r="N181" s="231">
        <v>2750659</v>
      </c>
      <c r="O181" s="231"/>
      <c r="P181" s="231"/>
      <c r="Q181" s="231"/>
      <c r="R181" s="233">
        <f t="shared" si="22"/>
        <v>2750659</v>
      </c>
    </row>
    <row r="182" spans="1:18" s="89" customFormat="1" ht="21" hidden="1" customHeight="1">
      <c r="A182" s="130" t="s">
        <v>178</v>
      </c>
      <c r="B182" s="124" t="s">
        <v>94</v>
      </c>
      <c r="C182" s="171">
        <v>0</v>
      </c>
      <c r="D182" s="171">
        <v>0</v>
      </c>
      <c r="E182" s="233">
        <f>E183+E189</f>
        <v>0</v>
      </c>
      <c r="F182" s="233">
        <f>F183+F189</f>
        <v>0</v>
      </c>
      <c r="G182" s="233">
        <f>G183+G189</f>
        <v>0</v>
      </c>
      <c r="H182" s="233">
        <f t="shared" si="20"/>
        <v>0</v>
      </c>
      <c r="I182" s="233">
        <v>0</v>
      </c>
      <c r="J182" s="233">
        <f>J183+J189</f>
        <v>0</v>
      </c>
      <c r="K182" s="233">
        <f>K183+K189</f>
        <v>0</v>
      </c>
      <c r="L182" s="233">
        <f>L183+L189</f>
        <v>0</v>
      </c>
      <c r="M182" s="233">
        <f t="shared" si="21"/>
        <v>0</v>
      </c>
      <c r="N182" s="233">
        <v>0</v>
      </c>
      <c r="O182" s="233">
        <f>O183+O189</f>
        <v>0</v>
      </c>
      <c r="P182" s="233">
        <f>P183+P189</f>
        <v>0</v>
      </c>
      <c r="Q182" s="233">
        <f>Q183+Q189</f>
        <v>0</v>
      </c>
      <c r="R182" s="233">
        <f t="shared" si="22"/>
        <v>0</v>
      </c>
    </row>
    <row r="183" spans="1:18" s="89" customFormat="1" ht="12" hidden="1" customHeight="1">
      <c r="A183" s="132">
        <v>18000</v>
      </c>
      <c r="B183" s="125" t="s">
        <v>95</v>
      </c>
      <c r="C183" s="171">
        <v>0</v>
      </c>
      <c r="D183" s="171">
        <v>0</v>
      </c>
      <c r="E183" s="233">
        <f t="shared" ref="E183:L184" si="23">E184</f>
        <v>0</v>
      </c>
      <c r="F183" s="233">
        <f t="shared" si="23"/>
        <v>0</v>
      </c>
      <c r="G183" s="233">
        <f t="shared" si="23"/>
        <v>0</v>
      </c>
      <c r="H183" s="233">
        <f t="shared" si="20"/>
        <v>0</v>
      </c>
      <c r="I183" s="233">
        <v>0</v>
      </c>
      <c r="J183" s="233">
        <f t="shared" si="23"/>
        <v>0</v>
      </c>
      <c r="K183" s="233">
        <f t="shared" si="23"/>
        <v>0</v>
      </c>
      <c r="L183" s="233">
        <f t="shared" si="23"/>
        <v>0</v>
      </c>
      <c r="M183" s="233">
        <f t="shared" si="21"/>
        <v>0</v>
      </c>
      <c r="N183" s="233">
        <v>0</v>
      </c>
      <c r="O183" s="233">
        <f t="shared" ref="O183:Q184" si="24">O184</f>
        <v>0</v>
      </c>
      <c r="P183" s="233">
        <f t="shared" si="24"/>
        <v>0</v>
      </c>
      <c r="Q183" s="233">
        <f t="shared" si="24"/>
        <v>0</v>
      </c>
      <c r="R183" s="233">
        <f t="shared" si="22"/>
        <v>0</v>
      </c>
    </row>
    <row r="184" spans="1:18" s="89" customFormat="1" ht="12" hidden="1" customHeight="1">
      <c r="A184" s="132">
        <v>18100</v>
      </c>
      <c r="B184" s="125" t="s">
        <v>96</v>
      </c>
      <c r="C184" s="171">
        <v>0</v>
      </c>
      <c r="D184" s="171">
        <v>0</v>
      </c>
      <c r="E184" s="233">
        <f t="shared" si="23"/>
        <v>0</v>
      </c>
      <c r="F184" s="233">
        <f t="shared" si="23"/>
        <v>0</v>
      </c>
      <c r="G184" s="233">
        <f t="shared" si="23"/>
        <v>0</v>
      </c>
      <c r="H184" s="233">
        <f t="shared" si="20"/>
        <v>0</v>
      </c>
      <c r="I184" s="233">
        <v>0</v>
      </c>
      <c r="J184" s="233">
        <f t="shared" si="23"/>
        <v>0</v>
      </c>
      <c r="K184" s="233">
        <f t="shared" si="23"/>
        <v>0</v>
      </c>
      <c r="L184" s="233">
        <f t="shared" si="23"/>
        <v>0</v>
      </c>
      <c r="M184" s="233">
        <f t="shared" si="21"/>
        <v>0</v>
      </c>
      <c r="N184" s="233">
        <v>0</v>
      </c>
      <c r="O184" s="233">
        <f t="shared" si="24"/>
        <v>0</v>
      </c>
      <c r="P184" s="233">
        <f t="shared" si="24"/>
        <v>0</v>
      </c>
      <c r="Q184" s="233">
        <f t="shared" si="24"/>
        <v>0</v>
      </c>
      <c r="R184" s="233">
        <f t="shared" si="22"/>
        <v>0</v>
      </c>
    </row>
    <row r="185" spans="1:18" s="89" customFormat="1" ht="24" hidden="1" customHeight="1">
      <c r="A185" s="133">
        <v>18130</v>
      </c>
      <c r="B185" s="172" t="s">
        <v>159</v>
      </c>
      <c r="C185" s="171">
        <v>0</v>
      </c>
      <c r="D185" s="171">
        <v>0</v>
      </c>
      <c r="E185" s="233">
        <f>SUM(E186:E188)</f>
        <v>0</v>
      </c>
      <c r="F185" s="233">
        <f>SUM(F186:F188)</f>
        <v>0</v>
      </c>
      <c r="G185" s="233">
        <f>SUM(G186:G188)</f>
        <v>0</v>
      </c>
      <c r="H185" s="233">
        <f t="shared" si="20"/>
        <v>0</v>
      </c>
      <c r="I185" s="233">
        <v>0</v>
      </c>
      <c r="J185" s="233">
        <f>SUM(J186:J188)</f>
        <v>0</v>
      </c>
      <c r="K185" s="233">
        <f>SUM(K186:K188)</f>
        <v>0</v>
      </c>
      <c r="L185" s="233">
        <f>SUM(L186:L188)</f>
        <v>0</v>
      </c>
      <c r="M185" s="233">
        <f t="shared" si="21"/>
        <v>0</v>
      </c>
      <c r="N185" s="233">
        <v>0</v>
      </c>
      <c r="O185" s="233">
        <f>SUM(O186:O188)</f>
        <v>0</v>
      </c>
      <c r="P185" s="233">
        <f>SUM(P186:P188)</f>
        <v>0</v>
      </c>
      <c r="Q185" s="233">
        <f>SUM(Q186:Q188)</f>
        <v>0</v>
      </c>
      <c r="R185" s="233">
        <f t="shared" si="22"/>
        <v>0</v>
      </c>
    </row>
    <row r="186" spans="1:18" s="89" customFormat="1" ht="36" hidden="1" customHeight="1">
      <c r="A186" s="134">
        <v>18131</v>
      </c>
      <c r="B186" s="172" t="s">
        <v>160</v>
      </c>
      <c r="C186" s="171"/>
      <c r="D186" s="171">
        <v>0</v>
      </c>
      <c r="E186" s="233"/>
      <c r="F186" s="233"/>
      <c r="G186" s="233"/>
      <c r="H186" s="233">
        <f t="shared" si="20"/>
        <v>0</v>
      </c>
      <c r="I186" s="233">
        <v>0</v>
      </c>
      <c r="J186" s="233"/>
      <c r="K186" s="233"/>
      <c r="L186" s="233"/>
      <c r="M186" s="233">
        <f t="shared" si="21"/>
        <v>0</v>
      </c>
      <c r="N186" s="233">
        <v>0</v>
      </c>
      <c r="O186" s="233"/>
      <c r="P186" s="233"/>
      <c r="Q186" s="233"/>
      <c r="R186" s="233">
        <f t="shared" si="22"/>
        <v>0</v>
      </c>
    </row>
    <row r="187" spans="1:18" s="89" customFormat="1" ht="24" hidden="1" customHeight="1">
      <c r="A187" s="134">
        <v>18132</v>
      </c>
      <c r="B187" s="172" t="s">
        <v>169</v>
      </c>
      <c r="C187" s="171"/>
      <c r="D187" s="171">
        <v>0</v>
      </c>
      <c r="E187" s="233"/>
      <c r="F187" s="233"/>
      <c r="G187" s="233"/>
      <c r="H187" s="233">
        <f t="shared" si="20"/>
        <v>0</v>
      </c>
      <c r="I187" s="233">
        <v>0</v>
      </c>
      <c r="J187" s="233"/>
      <c r="K187" s="233"/>
      <c r="L187" s="233"/>
      <c r="M187" s="233">
        <f t="shared" si="21"/>
        <v>0</v>
      </c>
      <c r="N187" s="233">
        <v>0</v>
      </c>
      <c r="O187" s="233"/>
      <c r="P187" s="233"/>
      <c r="Q187" s="233"/>
      <c r="R187" s="233">
        <f t="shared" si="22"/>
        <v>0</v>
      </c>
    </row>
    <row r="188" spans="1:18" s="89" customFormat="1" ht="24" hidden="1" customHeight="1">
      <c r="A188" s="134">
        <v>18139</v>
      </c>
      <c r="B188" s="172" t="s">
        <v>179</v>
      </c>
      <c r="C188" s="171"/>
      <c r="D188" s="171">
        <v>0</v>
      </c>
      <c r="E188" s="233"/>
      <c r="F188" s="233"/>
      <c r="G188" s="233"/>
      <c r="H188" s="233">
        <f t="shared" si="20"/>
        <v>0</v>
      </c>
      <c r="I188" s="233">
        <v>0</v>
      </c>
      <c r="J188" s="233"/>
      <c r="K188" s="233"/>
      <c r="L188" s="233"/>
      <c r="M188" s="233">
        <f t="shared" si="21"/>
        <v>0</v>
      </c>
      <c r="N188" s="233">
        <v>0</v>
      </c>
      <c r="O188" s="233"/>
      <c r="P188" s="233"/>
      <c r="Q188" s="233"/>
      <c r="R188" s="233">
        <f t="shared" si="22"/>
        <v>0</v>
      </c>
    </row>
    <row r="189" spans="1:18" s="89" customFormat="1" ht="12" hidden="1" customHeight="1">
      <c r="A189" s="135" t="s">
        <v>180</v>
      </c>
      <c r="B189" s="173" t="s">
        <v>173</v>
      </c>
      <c r="C189" s="169">
        <v>0</v>
      </c>
      <c r="D189" s="169">
        <v>0</v>
      </c>
      <c r="E189" s="238">
        <f t="shared" ref="E189:L189" si="25">E190</f>
        <v>0</v>
      </c>
      <c r="F189" s="238">
        <f t="shared" si="25"/>
        <v>0</v>
      </c>
      <c r="G189" s="238">
        <f t="shared" si="25"/>
        <v>0</v>
      </c>
      <c r="H189" s="233">
        <f t="shared" si="20"/>
        <v>0</v>
      </c>
      <c r="I189" s="238">
        <v>0</v>
      </c>
      <c r="J189" s="238">
        <f t="shared" si="25"/>
        <v>0</v>
      </c>
      <c r="K189" s="238">
        <f t="shared" si="25"/>
        <v>0</v>
      </c>
      <c r="L189" s="238">
        <f t="shared" si="25"/>
        <v>0</v>
      </c>
      <c r="M189" s="233">
        <f t="shared" si="21"/>
        <v>0</v>
      </c>
      <c r="N189" s="238">
        <v>0</v>
      </c>
      <c r="O189" s="238">
        <f>O190</f>
        <v>0</v>
      </c>
      <c r="P189" s="238">
        <f>P190</f>
        <v>0</v>
      </c>
      <c r="Q189" s="238">
        <f>Q190</f>
        <v>0</v>
      </c>
      <c r="R189" s="233">
        <f t="shared" si="22"/>
        <v>0</v>
      </c>
    </row>
    <row r="190" spans="1:18" s="89" customFormat="1" ht="24" hidden="1" customHeight="1">
      <c r="A190" s="135">
        <v>19500</v>
      </c>
      <c r="B190" s="172" t="s">
        <v>174</v>
      </c>
      <c r="C190" s="171">
        <v>0</v>
      </c>
      <c r="D190" s="171">
        <v>0</v>
      </c>
      <c r="E190" s="233">
        <f>SUM(E191:E193)</f>
        <v>0</v>
      </c>
      <c r="F190" s="233">
        <f>SUM(F191:F193)</f>
        <v>0</v>
      </c>
      <c r="G190" s="233">
        <f>SUM(G191:G193)</f>
        <v>0</v>
      </c>
      <c r="H190" s="233">
        <f t="shared" si="20"/>
        <v>0</v>
      </c>
      <c r="I190" s="233">
        <v>0</v>
      </c>
      <c r="J190" s="233">
        <f>SUM(J191:J193)</f>
        <v>0</v>
      </c>
      <c r="K190" s="233">
        <f>SUM(K191:K193)</f>
        <v>0</v>
      </c>
      <c r="L190" s="233">
        <f>SUM(L191:L193)</f>
        <v>0</v>
      </c>
      <c r="M190" s="233">
        <f t="shared" si="21"/>
        <v>0</v>
      </c>
      <c r="N190" s="233">
        <v>0</v>
      </c>
      <c r="O190" s="233">
        <f>SUM(O191:O193)</f>
        <v>0</v>
      </c>
      <c r="P190" s="233">
        <f>SUM(P191:P193)</f>
        <v>0</v>
      </c>
      <c r="Q190" s="233">
        <f>SUM(Q191:Q193)</f>
        <v>0</v>
      </c>
      <c r="R190" s="233">
        <f t="shared" si="22"/>
        <v>0</v>
      </c>
    </row>
    <row r="191" spans="1:18" s="89" customFormat="1" ht="24" hidden="1" customHeight="1">
      <c r="A191" s="136">
        <v>19550</v>
      </c>
      <c r="B191" s="172" t="s">
        <v>175</v>
      </c>
      <c r="C191" s="171"/>
      <c r="D191" s="171">
        <v>0</v>
      </c>
      <c r="E191" s="233"/>
      <c r="F191" s="233"/>
      <c r="G191" s="233"/>
      <c r="H191" s="233">
        <f t="shared" si="20"/>
        <v>0</v>
      </c>
      <c r="I191" s="233">
        <v>0</v>
      </c>
      <c r="J191" s="233"/>
      <c r="K191" s="233"/>
      <c r="L191" s="233"/>
      <c r="M191" s="233">
        <f t="shared" si="21"/>
        <v>0</v>
      </c>
      <c r="N191" s="233">
        <v>0</v>
      </c>
      <c r="O191" s="233"/>
      <c r="P191" s="233"/>
      <c r="Q191" s="233"/>
      <c r="R191" s="233">
        <f t="shared" si="22"/>
        <v>0</v>
      </c>
    </row>
    <row r="192" spans="1:18" s="89" customFormat="1" ht="36" hidden="1" customHeight="1">
      <c r="A192" s="136">
        <v>19560</v>
      </c>
      <c r="B192" s="172" t="s">
        <v>181</v>
      </c>
      <c r="C192" s="171"/>
      <c r="D192" s="171">
        <v>0</v>
      </c>
      <c r="E192" s="233"/>
      <c r="F192" s="233"/>
      <c r="G192" s="233"/>
      <c r="H192" s="233">
        <f t="shared" si="20"/>
        <v>0</v>
      </c>
      <c r="I192" s="233">
        <v>0</v>
      </c>
      <c r="J192" s="233"/>
      <c r="K192" s="233"/>
      <c r="L192" s="233"/>
      <c r="M192" s="233">
        <f t="shared" si="21"/>
        <v>0</v>
      </c>
      <c r="N192" s="233">
        <v>0</v>
      </c>
      <c r="O192" s="233"/>
      <c r="P192" s="233"/>
      <c r="Q192" s="233"/>
      <c r="R192" s="233">
        <f t="shared" si="22"/>
        <v>0</v>
      </c>
    </row>
    <row r="193" spans="1:18" s="89" customFormat="1" ht="72" hidden="1" customHeight="1">
      <c r="A193" s="136">
        <v>19570</v>
      </c>
      <c r="B193" s="172" t="s">
        <v>182</v>
      </c>
      <c r="C193" s="171"/>
      <c r="D193" s="171">
        <v>0</v>
      </c>
      <c r="E193" s="233"/>
      <c r="F193" s="233"/>
      <c r="G193" s="233"/>
      <c r="H193" s="233">
        <f t="shared" si="20"/>
        <v>0</v>
      </c>
      <c r="I193" s="233">
        <v>0</v>
      </c>
      <c r="J193" s="233"/>
      <c r="K193" s="233"/>
      <c r="L193" s="233"/>
      <c r="M193" s="233">
        <f t="shared" si="21"/>
        <v>0</v>
      </c>
      <c r="N193" s="233">
        <v>0</v>
      </c>
      <c r="O193" s="233"/>
      <c r="P193" s="233"/>
      <c r="Q193" s="233"/>
      <c r="R193" s="233">
        <f t="shared" si="22"/>
        <v>0</v>
      </c>
    </row>
    <row r="194" spans="1:18" s="6" customFormat="1" ht="24" hidden="1" customHeight="1">
      <c r="A194" s="209" t="s">
        <v>222</v>
      </c>
      <c r="B194" s="208" t="s">
        <v>216</v>
      </c>
      <c r="C194" s="107">
        <f>C195</f>
        <v>0</v>
      </c>
      <c r="D194" s="107">
        <v>0</v>
      </c>
      <c r="E194" s="233">
        <f t="shared" ref="E194:L194" si="26">E195</f>
        <v>0</v>
      </c>
      <c r="F194" s="233">
        <f t="shared" si="26"/>
        <v>0</v>
      </c>
      <c r="G194" s="233">
        <f t="shared" si="26"/>
        <v>0</v>
      </c>
      <c r="H194" s="233">
        <f t="shared" si="20"/>
        <v>0</v>
      </c>
      <c r="I194" s="233">
        <v>0</v>
      </c>
      <c r="J194" s="233">
        <f t="shared" si="26"/>
        <v>0</v>
      </c>
      <c r="K194" s="233">
        <f t="shared" si="26"/>
        <v>0</v>
      </c>
      <c r="L194" s="233">
        <f t="shared" si="26"/>
        <v>0</v>
      </c>
      <c r="M194" s="233">
        <f t="shared" si="21"/>
        <v>0</v>
      </c>
      <c r="N194" s="233">
        <v>0</v>
      </c>
      <c r="O194" s="233">
        <f>O195</f>
        <v>0</v>
      </c>
      <c r="P194" s="233">
        <f>P195</f>
        <v>0</v>
      </c>
      <c r="Q194" s="233">
        <f>Q195</f>
        <v>0</v>
      </c>
      <c r="R194" s="233">
        <f t="shared" si="22"/>
        <v>0</v>
      </c>
    </row>
    <row r="195" spans="1:18" s="6" customFormat="1" ht="36" hidden="1" customHeight="1">
      <c r="A195" s="209">
        <v>17100</v>
      </c>
      <c r="B195" s="208" t="s">
        <v>217</v>
      </c>
      <c r="C195" s="107">
        <f>SUM(C196:C199)</f>
        <v>0</v>
      </c>
      <c r="D195" s="107">
        <v>0</v>
      </c>
      <c r="E195" s="233">
        <f>SUM(E196:E199)</f>
        <v>0</v>
      </c>
      <c r="F195" s="233">
        <f>SUM(F196:F199)</f>
        <v>0</v>
      </c>
      <c r="G195" s="233">
        <f>SUM(G196:G199)</f>
        <v>0</v>
      </c>
      <c r="H195" s="233">
        <f t="shared" si="20"/>
        <v>0</v>
      </c>
      <c r="I195" s="233">
        <v>0</v>
      </c>
      <c r="J195" s="233">
        <f>SUM(J196:J199)</f>
        <v>0</v>
      </c>
      <c r="K195" s="233">
        <f>SUM(K196:K199)</f>
        <v>0</v>
      </c>
      <c r="L195" s="233">
        <f>SUM(L196:L199)</f>
        <v>0</v>
      </c>
      <c r="M195" s="233">
        <f t="shared" si="21"/>
        <v>0</v>
      </c>
      <c r="N195" s="233">
        <v>0</v>
      </c>
      <c r="O195" s="233">
        <f>SUM(O196:O199)</f>
        <v>0</v>
      </c>
      <c r="P195" s="233">
        <f>SUM(P196:P199)</f>
        <v>0</v>
      </c>
      <c r="Q195" s="233">
        <f>SUM(Q196:Q199)</f>
        <v>0</v>
      </c>
      <c r="R195" s="233">
        <f t="shared" si="22"/>
        <v>0</v>
      </c>
    </row>
    <row r="196" spans="1:18" s="6" customFormat="1" ht="48" hidden="1" customHeight="1">
      <c r="A196" s="149">
        <v>17110</v>
      </c>
      <c r="B196" s="208" t="s">
        <v>218</v>
      </c>
      <c r="C196" s="107"/>
      <c r="D196" s="107">
        <v>0</v>
      </c>
      <c r="E196" s="233"/>
      <c r="F196" s="233"/>
      <c r="G196" s="233"/>
      <c r="H196" s="233">
        <f t="shared" si="20"/>
        <v>0</v>
      </c>
      <c r="I196" s="233">
        <v>0</v>
      </c>
      <c r="J196" s="233"/>
      <c r="K196" s="233"/>
      <c r="L196" s="233"/>
      <c r="M196" s="233">
        <f t="shared" si="21"/>
        <v>0</v>
      </c>
      <c r="N196" s="233">
        <v>0</v>
      </c>
      <c r="O196" s="233"/>
      <c r="P196" s="233"/>
      <c r="Q196" s="233"/>
      <c r="R196" s="233">
        <f t="shared" si="22"/>
        <v>0</v>
      </c>
    </row>
    <row r="197" spans="1:18" s="6" customFormat="1" ht="48" hidden="1" customHeight="1">
      <c r="A197" s="149">
        <v>17120</v>
      </c>
      <c r="B197" s="208" t="s">
        <v>219</v>
      </c>
      <c r="C197" s="107"/>
      <c r="D197" s="107">
        <v>0</v>
      </c>
      <c r="E197" s="233"/>
      <c r="F197" s="233"/>
      <c r="G197" s="233"/>
      <c r="H197" s="233">
        <f t="shared" si="20"/>
        <v>0</v>
      </c>
      <c r="I197" s="233">
        <v>0</v>
      </c>
      <c r="J197" s="233"/>
      <c r="K197" s="233"/>
      <c r="L197" s="233"/>
      <c r="M197" s="233">
        <f t="shared" si="21"/>
        <v>0</v>
      </c>
      <c r="N197" s="233">
        <v>0</v>
      </c>
      <c r="O197" s="233"/>
      <c r="P197" s="233"/>
      <c r="Q197" s="233"/>
      <c r="R197" s="233">
        <f t="shared" si="22"/>
        <v>0</v>
      </c>
    </row>
    <row r="198" spans="1:18" s="6" customFormat="1" ht="96" hidden="1" customHeight="1">
      <c r="A198" s="149">
        <v>17130</v>
      </c>
      <c r="B198" s="208" t="s">
        <v>220</v>
      </c>
      <c r="C198" s="107"/>
      <c r="D198" s="107">
        <v>0</v>
      </c>
      <c r="E198" s="233"/>
      <c r="F198" s="233"/>
      <c r="G198" s="233"/>
      <c r="H198" s="233">
        <f t="shared" si="20"/>
        <v>0</v>
      </c>
      <c r="I198" s="233">
        <v>0</v>
      </c>
      <c r="J198" s="233"/>
      <c r="K198" s="233"/>
      <c r="L198" s="233"/>
      <c r="M198" s="233">
        <f t="shared" si="21"/>
        <v>0</v>
      </c>
      <c r="N198" s="233">
        <v>0</v>
      </c>
      <c r="O198" s="233"/>
      <c r="P198" s="233"/>
      <c r="Q198" s="233"/>
      <c r="R198" s="233">
        <f t="shared" si="22"/>
        <v>0</v>
      </c>
    </row>
    <row r="199" spans="1:18" s="6" customFormat="1" ht="96" hidden="1" customHeight="1">
      <c r="A199" s="149">
        <v>17140</v>
      </c>
      <c r="B199" s="208" t="s">
        <v>221</v>
      </c>
      <c r="C199" s="107"/>
      <c r="D199" s="107">
        <v>0</v>
      </c>
      <c r="E199" s="233"/>
      <c r="F199" s="233"/>
      <c r="G199" s="233"/>
      <c r="H199" s="233">
        <f t="shared" si="20"/>
        <v>0</v>
      </c>
      <c r="I199" s="233">
        <v>0</v>
      </c>
      <c r="J199" s="233"/>
      <c r="K199" s="233"/>
      <c r="L199" s="233"/>
      <c r="M199" s="233">
        <f t="shared" si="21"/>
        <v>0</v>
      </c>
      <c r="N199" s="233">
        <v>0</v>
      </c>
      <c r="O199" s="233"/>
      <c r="P199" s="233"/>
      <c r="Q199" s="233"/>
      <c r="R199" s="233">
        <f t="shared" si="22"/>
        <v>0</v>
      </c>
    </row>
    <row r="200" spans="1:18" s="89" customFormat="1" ht="12">
      <c r="A200" s="137">
        <v>21700</v>
      </c>
      <c r="B200" s="124" t="s">
        <v>97</v>
      </c>
      <c r="C200" s="171">
        <v>81520446</v>
      </c>
      <c r="D200" s="171">
        <v>54993379</v>
      </c>
      <c r="E200" s="233">
        <f>E201+E202</f>
        <v>6500</v>
      </c>
      <c r="F200" s="233">
        <f>F201+F202</f>
        <v>0</v>
      </c>
      <c r="G200" s="233">
        <f>G201+G202</f>
        <v>0</v>
      </c>
      <c r="H200" s="233">
        <f t="shared" si="20"/>
        <v>54999879</v>
      </c>
      <c r="I200" s="233">
        <v>31126037</v>
      </c>
      <c r="J200" s="233">
        <f>J201+J202</f>
        <v>0</v>
      </c>
      <c r="K200" s="233">
        <f>K201+K202</f>
        <v>0</v>
      </c>
      <c r="L200" s="233">
        <f>L201+L202</f>
        <v>0</v>
      </c>
      <c r="M200" s="233">
        <f t="shared" si="21"/>
        <v>31126037</v>
      </c>
      <c r="N200" s="233">
        <v>7311685</v>
      </c>
      <c r="O200" s="233">
        <f>O201+O202</f>
        <v>0</v>
      </c>
      <c r="P200" s="233">
        <f>P201+P202</f>
        <v>0</v>
      </c>
      <c r="Q200" s="233">
        <f>Q201+Q202</f>
        <v>0</v>
      </c>
      <c r="R200" s="233">
        <f t="shared" si="22"/>
        <v>7311685</v>
      </c>
    </row>
    <row r="201" spans="1:18" s="89" customFormat="1" ht="24">
      <c r="A201" s="138">
        <v>21710</v>
      </c>
      <c r="B201" s="125" t="s">
        <v>98</v>
      </c>
      <c r="C201" s="171">
        <v>51687792</v>
      </c>
      <c r="D201" s="171">
        <v>35865965</v>
      </c>
      <c r="E201" s="233">
        <v>6500</v>
      </c>
      <c r="F201" s="233"/>
      <c r="G201" s="233"/>
      <c r="H201" s="233">
        <f t="shared" si="20"/>
        <v>35872465</v>
      </c>
      <c r="I201" s="233">
        <v>20512884</v>
      </c>
      <c r="J201" s="233"/>
      <c r="K201" s="233"/>
      <c r="L201" s="233"/>
      <c r="M201" s="233">
        <f t="shared" si="21"/>
        <v>20512884</v>
      </c>
      <c r="N201" s="233">
        <v>1558357</v>
      </c>
      <c r="O201" s="233"/>
      <c r="P201" s="233"/>
      <c r="Q201" s="233"/>
      <c r="R201" s="233">
        <f t="shared" si="22"/>
        <v>1558357</v>
      </c>
    </row>
    <row r="202" spans="1:18" s="29" customFormat="1" ht="24">
      <c r="A202" s="138">
        <v>21720</v>
      </c>
      <c r="B202" s="125" t="s">
        <v>99</v>
      </c>
      <c r="C202" s="171">
        <v>29832654</v>
      </c>
      <c r="D202" s="171">
        <v>19127414</v>
      </c>
      <c r="E202" s="233"/>
      <c r="F202" s="233"/>
      <c r="G202" s="233"/>
      <c r="H202" s="233">
        <f t="shared" ref="H202:H260" si="27">SUM(D202:G202)</f>
        <v>19127414</v>
      </c>
      <c r="I202" s="233">
        <v>10613153</v>
      </c>
      <c r="J202" s="233"/>
      <c r="K202" s="233"/>
      <c r="L202" s="233"/>
      <c r="M202" s="233">
        <f t="shared" ref="M202:M260" si="28">SUM(I202:L202)</f>
        <v>10613153</v>
      </c>
      <c r="N202" s="233">
        <v>5753328</v>
      </c>
      <c r="O202" s="233"/>
      <c r="P202" s="233"/>
      <c r="Q202" s="233"/>
      <c r="R202" s="233">
        <f t="shared" ref="R202:R260" si="29">SUM(N202:Q202)</f>
        <v>5753328</v>
      </c>
    </row>
    <row r="203" spans="1:18" s="29" customFormat="1" ht="11.4">
      <c r="A203" s="129" t="s">
        <v>100</v>
      </c>
      <c r="B203" s="123" t="s">
        <v>101</v>
      </c>
      <c r="C203" s="175">
        <v>88351920</v>
      </c>
      <c r="D203" s="175">
        <v>58612366</v>
      </c>
      <c r="E203" s="243">
        <f>E204+E231</f>
        <v>6500</v>
      </c>
      <c r="F203" s="243">
        <f>F204+F231</f>
        <v>0</v>
      </c>
      <c r="G203" s="243">
        <f>G204+G231</f>
        <v>0</v>
      </c>
      <c r="H203" s="403">
        <f t="shared" si="27"/>
        <v>58618866</v>
      </c>
      <c r="I203" s="243">
        <v>33713221</v>
      </c>
      <c r="J203" s="243">
        <f>J204+J231</f>
        <v>0</v>
      </c>
      <c r="K203" s="243">
        <f>K204+K231</f>
        <v>0</v>
      </c>
      <c r="L203" s="243">
        <f>L204+L231</f>
        <v>0</v>
      </c>
      <c r="M203" s="403">
        <f t="shared" si="28"/>
        <v>33713221</v>
      </c>
      <c r="N203" s="243">
        <v>10603035</v>
      </c>
      <c r="O203" s="243">
        <f>O204+O231</f>
        <v>0</v>
      </c>
      <c r="P203" s="243">
        <f>P204+P231</f>
        <v>0</v>
      </c>
      <c r="Q203" s="243">
        <f>Q204+Q231</f>
        <v>0</v>
      </c>
      <c r="R203" s="403">
        <f t="shared" si="29"/>
        <v>10603035</v>
      </c>
    </row>
    <row r="204" spans="1:18" s="29" customFormat="1" ht="20.399999999999999">
      <c r="A204" s="130" t="s">
        <v>102</v>
      </c>
      <c r="B204" s="124" t="s">
        <v>103</v>
      </c>
      <c r="C204" s="171">
        <v>54555049</v>
      </c>
      <c r="D204" s="171">
        <v>47079176</v>
      </c>
      <c r="E204" s="233">
        <f>E205+E209+E210+E213+E216</f>
        <v>-63640</v>
      </c>
      <c r="F204" s="233">
        <f>F205+F209+F210+F213+F216</f>
        <v>0</v>
      </c>
      <c r="G204" s="233">
        <f>G205+G209+G210+G213+G216</f>
        <v>0</v>
      </c>
      <c r="H204" s="233">
        <f t="shared" si="27"/>
        <v>47015536</v>
      </c>
      <c r="I204" s="233">
        <v>29606365</v>
      </c>
      <c r="J204" s="233">
        <f>J205+J209+J210+J213+J216</f>
        <v>0</v>
      </c>
      <c r="K204" s="233">
        <f>K205+K209+K210+K213+K216</f>
        <v>0</v>
      </c>
      <c r="L204" s="233">
        <f>L205+L209+L210+L213+L216</f>
        <v>0</v>
      </c>
      <c r="M204" s="233">
        <f t="shared" si="28"/>
        <v>29606365</v>
      </c>
      <c r="N204" s="233">
        <v>9678603</v>
      </c>
      <c r="O204" s="233">
        <f>O205+O209+O210+O213+O216</f>
        <v>0</v>
      </c>
      <c r="P204" s="233">
        <f>P205+P209+P210+P213+P216</f>
        <v>0</v>
      </c>
      <c r="Q204" s="233">
        <f>Q205+Q209+Q210+Q213+Q216</f>
        <v>0</v>
      </c>
      <c r="R204" s="233">
        <f t="shared" si="29"/>
        <v>9678603</v>
      </c>
    </row>
    <row r="205" spans="1:18" s="29" customFormat="1" ht="12">
      <c r="A205" s="130" t="s">
        <v>104</v>
      </c>
      <c r="B205" s="124" t="s">
        <v>105</v>
      </c>
      <c r="C205" s="171">
        <v>4838279</v>
      </c>
      <c r="D205" s="171">
        <v>4579422</v>
      </c>
      <c r="E205" s="233">
        <f>E206+E208</f>
        <v>-63640</v>
      </c>
      <c r="F205" s="233">
        <f>F206+F208</f>
        <v>0</v>
      </c>
      <c r="G205" s="233">
        <f>G206+G208</f>
        <v>0</v>
      </c>
      <c r="H205" s="233">
        <f t="shared" si="27"/>
        <v>4515782</v>
      </c>
      <c r="I205" s="233">
        <v>2719466</v>
      </c>
      <c r="J205" s="233">
        <f>J206+J208</f>
        <v>0</v>
      </c>
      <c r="K205" s="233">
        <f>K206+K208</f>
        <v>0</v>
      </c>
      <c r="L205" s="233">
        <f>L206+L208</f>
        <v>0</v>
      </c>
      <c r="M205" s="233">
        <f t="shared" si="28"/>
        <v>2719466</v>
      </c>
      <c r="N205" s="233">
        <v>1075356</v>
      </c>
      <c r="O205" s="233">
        <f>O206+O208</f>
        <v>0</v>
      </c>
      <c r="P205" s="233">
        <f>P206+P208</f>
        <v>0</v>
      </c>
      <c r="Q205" s="233">
        <f>Q206+Q208</f>
        <v>0</v>
      </c>
      <c r="R205" s="233">
        <f t="shared" si="29"/>
        <v>1075356</v>
      </c>
    </row>
    <row r="206" spans="1:18" s="29" customFormat="1" ht="12">
      <c r="A206" s="132">
        <v>1000</v>
      </c>
      <c r="B206" s="125" t="s">
        <v>106</v>
      </c>
      <c r="C206" s="171">
        <v>2622320</v>
      </c>
      <c r="D206" s="171">
        <v>2703774</v>
      </c>
      <c r="E206" s="233">
        <v>8100</v>
      </c>
      <c r="F206" s="233"/>
      <c r="G206" s="233"/>
      <c r="H206" s="233">
        <f t="shared" si="27"/>
        <v>2711874</v>
      </c>
      <c r="I206" s="233">
        <v>1752015</v>
      </c>
      <c r="J206" s="233"/>
      <c r="K206" s="233"/>
      <c r="L206" s="233"/>
      <c r="M206" s="233">
        <f t="shared" si="28"/>
        <v>1752015</v>
      </c>
      <c r="N206" s="233">
        <v>470233</v>
      </c>
      <c r="O206" s="233"/>
      <c r="P206" s="233"/>
      <c r="Q206" s="233"/>
      <c r="R206" s="233">
        <f t="shared" si="29"/>
        <v>470233</v>
      </c>
    </row>
    <row r="207" spans="1:18" s="29" customFormat="1" ht="12">
      <c r="A207" s="139">
        <v>1100</v>
      </c>
      <c r="B207" s="125" t="s">
        <v>107</v>
      </c>
      <c r="C207" s="171">
        <v>2021002</v>
      </c>
      <c r="D207" s="171">
        <v>2121873</v>
      </c>
      <c r="E207" s="233">
        <v>-1023</v>
      </c>
      <c r="F207" s="233"/>
      <c r="G207" s="233"/>
      <c r="H207" s="233">
        <f t="shared" si="27"/>
        <v>2120850</v>
      </c>
      <c r="I207" s="233">
        <v>1393188</v>
      </c>
      <c r="J207" s="233"/>
      <c r="K207" s="233"/>
      <c r="L207" s="233"/>
      <c r="M207" s="233">
        <f t="shared" si="28"/>
        <v>1393188</v>
      </c>
      <c r="N207" s="233">
        <v>372863</v>
      </c>
      <c r="O207" s="233"/>
      <c r="P207" s="233"/>
      <c r="Q207" s="233"/>
      <c r="R207" s="233">
        <f t="shared" si="29"/>
        <v>372863</v>
      </c>
    </row>
    <row r="208" spans="1:18" s="29" customFormat="1" ht="12">
      <c r="A208" s="132">
        <v>2000</v>
      </c>
      <c r="B208" s="125" t="s">
        <v>108</v>
      </c>
      <c r="C208" s="171">
        <v>2215959</v>
      </c>
      <c r="D208" s="171">
        <v>1875648</v>
      </c>
      <c r="E208" s="233">
        <f>-1600-70140</f>
        <v>-71740</v>
      </c>
      <c r="F208" s="233"/>
      <c r="G208" s="233"/>
      <c r="H208" s="233">
        <f t="shared" si="27"/>
        <v>1803908</v>
      </c>
      <c r="I208" s="233">
        <v>967451</v>
      </c>
      <c r="J208" s="233"/>
      <c r="K208" s="233"/>
      <c r="L208" s="233"/>
      <c r="M208" s="233">
        <f t="shared" si="28"/>
        <v>967451</v>
      </c>
      <c r="N208" s="233">
        <v>605123</v>
      </c>
      <c r="O208" s="233"/>
      <c r="P208" s="233"/>
      <c r="Q208" s="233"/>
      <c r="R208" s="233">
        <f t="shared" si="29"/>
        <v>605123</v>
      </c>
    </row>
    <row r="209" spans="1:18" s="29" customFormat="1" ht="12" hidden="1" customHeight="1">
      <c r="A209" s="140">
        <v>4000</v>
      </c>
      <c r="B209" s="124" t="s">
        <v>132</v>
      </c>
      <c r="C209" s="171"/>
      <c r="D209" s="171">
        <v>0</v>
      </c>
      <c r="E209" s="233"/>
      <c r="F209" s="233"/>
      <c r="G209" s="233"/>
      <c r="H209" s="233">
        <f t="shared" si="27"/>
        <v>0</v>
      </c>
      <c r="I209" s="233">
        <v>0</v>
      </c>
      <c r="J209" s="233"/>
      <c r="K209" s="233"/>
      <c r="L209" s="233"/>
      <c r="M209" s="233">
        <f t="shared" si="28"/>
        <v>0</v>
      </c>
      <c r="N209" s="233">
        <v>0</v>
      </c>
      <c r="O209" s="233"/>
      <c r="P209" s="233"/>
      <c r="Q209" s="233"/>
      <c r="R209" s="233">
        <f t="shared" si="29"/>
        <v>0</v>
      </c>
    </row>
    <row r="210" spans="1:18" s="29" customFormat="1" ht="12">
      <c r="A210" s="140" t="s">
        <v>109</v>
      </c>
      <c r="B210" s="124" t="s">
        <v>110</v>
      </c>
      <c r="C210" s="171">
        <v>30278538</v>
      </c>
      <c r="D210" s="171">
        <v>26486695</v>
      </c>
      <c r="E210" s="233">
        <f>E211+E212</f>
        <v>0</v>
      </c>
      <c r="F210" s="233">
        <f>F211+F212</f>
        <v>0</v>
      </c>
      <c r="G210" s="233">
        <f>G211+G212</f>
        <v>0</v>
      </c>
      <c r="H210" s="233">
        <f t="shared" si="27"/>
        <v>26486695</v>
      </c>
      <c r="I210" s="233">
        <v>15736502</v>
      </c>
      <c r="J210" s="233">
        <f>J211+J212</f>
        <v>0</v>
      </c>
      <c r="K210" s="233">
        <f>K211+K212</f>
        <v>0</v>
      </c>
      <c r="L210" s="233">
        <f>L211+L212</f>
        <v>0</v>
      </c>
      <c r="M210" s="233">
        <f t="shared" si="28"/>
        <v>15736502</v>
      </c>
      <c r="N210" s="233">
        <v>130410</v>
      </c>
      <c r="O210" s="233">
        <f>O211+O212</f>
        <v>0</v>
      </c>
      <c r="P210" s="233">
        <f>P211+P212</f>
        <v>0</v>
      </c>
      <c r="Q210" s="233">
        <f>Q211+Q212</f>
        <v>0</v>
      </c>
      <c r="R210" s="233">
        <f t="shared" si="29"/>
        <v>130410</v>
      </c>
    </row>
    <row r="211" spans="1:18" s="29" customFormat="1" ht="12">
      <c r="A211" s="132">
        <v>3000</v>
      </c>
      <c r="B211" s="125" t="s">
        <v>111</v>
      </c>
      <c r="C211" s="213">
        <v>30278538</v>
      </c>
      <c r="D211" s="213">
        <v>26486695</v>
      </c>
      <c r="E211" s="345"/>
      <c r="F211" s="345"/>
      <c r="G211" s="345"/>
      <c r="H211" s="233">
        <f t="shared" si="27"/>
        <v>26486695</v>
      </c>
      <c r="I211" s="345">
        <v>15736502</v>
      </c>
      <c r="J211" s="345"/>
      <c r="K211" s="345"/>
      <c r="L211" s="345"/>
      <c r="M211" s="233">
        <f t="shared" si="28"/>
        <v>15736502</v>
      </c>
      <c r="N211" s="345">
        <v>130410</v>
      </c>
      <c r="O211" s="345"/>
      <c r="P211" s="345"/>
      <c r="Q211" s="345"/>
      <c r="R211" s="233">
        <f t="shared" si="29"/>
        <v>130410</v>
      </c>
    </row>
    <row r="212" spans="1:18" s="29" customFormat="1" ht="12" hidden="1" customHeight="1">
      <c r="A212" s="132">
        <v>6000</v>
      </c>
      <c r="B212" s="125" t="s">
        <v>112</v>
      </c>
      <c r="C212" s="171"/>
      <c r="D212" s="171">
        <v>0</v>
      </c>
      <c r="E212" s="346"/>
      <c r="F212" s="346"/>
      <c r="G212" s="346"/>
      <c r="H212" s="233">
        <f t="shared" si="27"/>
        <v>0</v>
      </c>
      <c r="I212" s="346">
        <v>0</v>
      </c>
      <c r="J212" s="346"/>
      <c r="K212" s="346"/>
      <c r="L212" s="346"/>
      <c r="M212" s="233">
        <f t="shared" si="28"/>
        <v>0</v>
      </c>
      <c r="N212" s="346">
        <v>0</v>
      </c>
      <c r="O212" s="346"/>
      <c r="P212" s="346"/>
      <c r="Q212" s="346"/>
      <c r="R212" s="233">
        <f t="shared" si="29"/>
        <v>0</v>
      </c>
    </row>
    <row r="213" spans="1:18" s="29" customFormat="1" ht="22.8">
      <c r="A213" s="140" t="s">
        <v>113</v>
      </c>
      <c r="B213" s="124" t="s">
        <v>183</v>
      </c>
      <c r="C213" s="171">
        <v>100</v>
      </c>
      <c r="D213" s="171">
        <v>0</v>
      </c>
      <c r="E213" s="233">
        <f>E214+E215</f>
        <v>0</v>
      </c>
      <c r="F213" s="233">
        <f>F214+F215</f>
        <v>0</v>
      </c>
      <c r="G213" s="233">
        <f>G214+G215</f>
        <v>0</v>
      </c>
      <c r="H213" s="233">
        <f t="shared" si="27"/>
        <v>0</v>
      </c>
      <c r="I213" s="233">
        <v>0</v>
      </c>
      <c r="J213" s="233">
        <f>J214+J215</f>
        <v>0</v>
      </c>
      <c r="K213" s="233">
        <f>K214+K215</f>
        <v>0</v>
      </c>
      <c r="L213" s="233">
        <f>L214+L215</f>
        <v>0</v>
      </c>
      <c r="M213" s="233">
        <f t="shared" si="28"/>
        <v>0</v>
      </c>
      <c r="N213" s="233">
        <v>0</v>
      </c>
      <c r="O213" s="233">
        <f>O214+O215</f>
        <v>0</v>
      </c>
      <c r="P213" s="233">
        <f>P214+P215</f>
        <v>0</v>
      </c>
      <c r="Q213" s="233">
        <f>Q214+Q215</f>
        <v>0</v>
      </c>
      <c r="R213" s="233">
        <f t="shared" si="29"/>
        <v>0</v>
      </c>
    </row>
    <row r="214" spans="1:18" s="29" customFormat="1" ht="12" hidden="1" customHeight="1">
      <c r="A214" s="132">
        <v>7600</v>
      </c>
      <c r="B214" s="179" t="s">
        <v>184</v>
      </c>
      <c r="C214" s="171"/>
      <c r="D214" s="171">
        <v>0</v>
      </c>
      <c r="E214" s="233"/>
      <c r="F214" s="233"/>
      <c r="G214" s="233"/>
      <c r="H214" s="233">
        <f t="shared" si="27"/>
        <v>0</v>
      </c>
      <c r="I214" s="233">
        <v>0</v>
      </c>
      <c r="J214" s="233"/>
      <c r="K214" s="233"/>
      <c r="L214" s="233"/>
      <c r="M214" s="233">
        <f t="shared" si="28"/>
        <v>0</v>
      </c>
      <c r="N214" s="233">
        <v>0</v>
      </c>
      <c r="O214" s="233"/>
      <c r="P214" s="233"/>
      <c r="Q214" s="233"/>
      <c r="R214" s="233">
        <f t="shared" si="29"/>
        <v>0</v>
      </c>
    </row>
    <row r="215" spans="1:18" s="29" customFormat="1" ht="12">
      <c r="A215" s="132">
        <v>7700</v>
      </c>
      <c r="B215" s="126" t="s">
        <v>114</v>
      </c>
      <c r="C215" s="171">
        <v>100</v>
      </c>
      <c r="D215" s="171">
        <v>0</v>
      </c>
      <c r="E215" s="233"/>
      <c r="F215" s="233"/>
      <c r="G215" s="233"/>
      <c r="H215" s="233">
        <f t="shared" si="27"/>
        <v>0</v>
      </c>
      <c r="I215" s="233">
        <v>0</v>
      </c>
      <c r="J215" s="233"/>
      <c r="K215" s="233"/>
      <c r="L215" s="233"/>
      <c r="M215" s="233">
        <f t="shared" si="28"/>
        <v>0</v>
      </c>
      <c r="N215" s="233">
        <v>0</v>
      </c>
      <c r="O215" s="233"/>
      <c r="P215" s="233"/>
      <c r="Q215" s="233"/>
      <c r="R215" s="233">
        <f t="shared" si="29"/>
        <v>0</v>
      </c>
    </row>
    <row r="216" spans="1:18" s="29" customFormat="1" ht="12">
      <c r="A216" s="140" t="s">
        <v>185</v>
      </c>
      <c r="B216" s="124" t="s">
        <v>115</v>
      </c>
      <c r="C216" s="171">
        <v>19438132</v>
      </c>
      <c r="D216" s="171">
        <v>16013059</v>
      </c>
      <c r="E216" s="233">
        <f>E217+E223+E227+E230</f>
        <v>0</v>
      </c>
      <c r="F216" s="233">
        <f>F217+F223+F227+F230</f>
        <v>0</v>
      </c>
      <c r="G216" s="233">
        <f>G217+G223+G227+G230</f>
        <v>0</v>
      </c>
      <c r="H216" s="233">
        <f t="shared" si="27"/>
        <v>16013059</v>
      </c>
      <c r="I216" s="233">
        <v>11150397</v>
      </c>
      <c r="J216" s="233">
        <f>J217+J223+J227+J230</f>
        <v>0</v>
      </c>
      <c r="K216" s="233">
        <f>K217+K223+K227+K230</f>
        <v>0</v>
      </c>
      <c r="L216" s="233">
        <f>L217+L223+L227+L230</f>
        <v>0</v>
      </c>
      <c r="M216" s="233">
        <f t="shared" si="28"/>
        <v>11150397</v>
      </c>
      <c r="N216" s="233">
        <v>8472837</v>
      </c>
      <c r="O216" s="233">
        <f>O217+O223+O227+O230</f>
        <v>0</v>
      </c>
      <c r="P216" s="233">
        <f>P217+P223+P227+P230</f>
        <v>0</v>
      </c>
      <c r="Q216" s="233">
        <f>Q217+Q223+Q227+Q230</f>
        <v>0</v>
      </c>
      <c r="R216" s="233">
        <f t="shared" si="29"/>
        <v>8472837</v>
      </c>
    </row>
    <row r="217" spans="1:18" s="29" customFormat="1" ht="12" hidden="1" customHeight="1">
      <c r="A217" s="132">
        <v>7100</v>
      </c>
      <c r="B217" s="179" t="s">
        <v>116</v>
      </c>
      <c r="C217" s="171">
        <v>0</v>
      </c>
      <c r="D217" s="171">
        <v>0</v>
      </c>
      <c r="E217" s="233">
        <f>E218+E219</f>
        <v>0</v>
      </c>
      <c r="F217" s="233">
        <f>F218+F219</f>
        <v>0</v>
      </c>
      <c r="G217" s="233">
        <f>G218+G219</f>
        <v>0</v>
      </c>
      <c r="H217" s="233">
        <f t="shared" si="27"/>
        <v>0</v>
      </c>
      <c r="I217" s="233">
        <v>0</v>
      </c>
      <c r="J217" s="233">
        <f>J218+J219</f>
        <v>0</v>
      </c>
      <c r="K217" s="233">
        <f>K218+K219</f>
        <v>0</v>
      </c>
      <c r="L217" s="233">
        <f>L218+L219</f>
        <v>0</v>
      </c>
      <c r="M217" s="233">
        <f t="shared" si="28"/>
        <v>0</v>
      </c>
      <c r="N217" s="233">
        <v>0</v>
      </c>
      <c r="O217" s="233">
        <f>O218+O219</f>
        <v>0</v>
      </c>
      <c r="P217" s="233">
        <f>P218+P219</f>
        <v>0</v>
      </c>
      <c r="Q217" s="233">
        <f>Q218+Q219</f>
        <v>0</v>
      </c>
      <c r="R217" s="233">
        <f t="shared" si="29"/>
        <v>0</v>
      </c>
    </row>
    <row r="218" spans="1:18" s="29" customFormat="1" ht="24" hidden="1" customHeight="1">
      <c r="A218" s="133" t="s">
        <v>117</v>
      </c>
      <c r="B218" s="179" t="s">
        <v>118</v>
      </c>
      <c r="C218" s="171"/>
      <c r="D218" s="171">
        <v>0</v>
      </c>
      <c r="E218" s="233"/>
      <c r="F218" s="233"/>
      <c r="G218" s="233"/>
      <c r="H218" s="233">
        <f t="shared" si="27"/>
        <v>0</v>
      </c>
      <c r="I218" s="233">
        <v>0</v>
      </c>
      <c r="J218" s="233"/>
      <c r="K218" s="233"/>
      <c r="L218" s="233"/>
      <c r="M218" s="233">
        <f t="shared" si="28"/>
        <v>0</v>
      </c>
      <c r="N218" s="233">
        <v>0</v>
      </c>
      <c r="O218" s="233"/>
      <c r="P218" s="233"/>
      <c r="Q218" s="233"/>
      <c r="R218" s="233">
        <f t="shared" si="29"/>
        <v>0</v>
      </c>
    </row>
    <row r="219" spans="1:18" s="29" customFormat="1" ht="24" hidden="1" customHeight="1">
      <c r="A219" s="133">
        <v>7130</v>
      </c>
      <c r="B219" s="179" t="s">
        <v>119</v>
      </c>
      <c r="C219" s="171">
        <v>0</v>
      </c>
      <c r="D219" s="171">
        <v>0</v>
      </c>
      <c r="E219" s="233">
        <f>SUM(E220:E222)</f>
        <v>0</v>
      </c>
      <c r="F219" s="233">
        <f>SUM(F220:F222)</f>
        <v>0</v>
      </c>
      <c r="G219" s="233">
        <f>SUM(G220:G222)</f>
        <v>0</v>
      </c>
      <c r="H219" s="233">
        <f t="shared" si="27"/>
        <v>0</v>
      </c>
      <c r="I219" s="233">
        <v>0</v>
      </c>
      <c r="J219" s="233">
        <f>SUM(J220:J222)</f>
        <v>0</v>
      </c>
      <c r="K219" s="233">
        <f>SUM(K220:K222)</f>
        <v>0</v>
      </c>
      <c r="L219" s="233">
        <f>SUM(L220:L222)</f>
        <v>0</v>
      </c>
      <c r="M219" s="233">
        <f t="shared" si="28"/>
        <v>0</v>
      </c>
      <c r="N219" s="233">
        <v>0</v>
      </c>
      <c r="O219" s="233">
        <f>SUM(O220:O222)</f>
        <v>0</v>
      </c>
      <c r="P219" s="233">
        <f>SUM(P220:P222)</f>
        <v>0</v>
      </c>
      <c r="Q219" s="233">
        <f>SUM(Q220:Q222)</f>
        <v>0</v>
      </c>
      <c r="R219" s="233">
        <f t="shared" si="29"/>
        <v>0</v>
      </c>
    </row>
    <row r="220" spans="1:18" s="29" customFormat="1" ht="36" hidden="1" customHeight="1">
      <c r="A220" s="134">
        <v>7131</v>
      </c>
      <c r="B220" s="179" t="s">
        <v>120</v>
      </c>
      <c r="C220" s="171"/>
      <c r="D220" s="171">
        <v>0</v>
      </c>
      <c r="E220" s="233"/>
      <c r="F220" s="233"/>
      <c r="G220" s="233"/>
      <c r="H220" s="233">
        <f t="shared" si="27"/>
        <v>0</v>
      </c>
      <c r="I220" s="233">
        <v>0</v>
      </c>
      <c r="J220" s="233"/>
      <c r="K220" s="233"/>
      <c r="L220" s="233"/>
      <c r="M220" s="233">
        <f t="shared" si="28"/>
        <v>0</v>
      </c>
      <c r="N220" s="233">
        <v>0</v>
      </c>
      <c r="O220" s="233"/>
      <c r="P220" s="233"/>
      <c r="Q220" s="233"/>
      <c r="R220" s="233">
        <f t="shared" si="29"/>
        <v>0</v>
      </c>
    </row>
    <row r="221" spans="1:18" s="29" customFormat="1" ht="36" hidden="1" customHeight="1">
      <c r="A221" s="134">
        <v>7132</v>
      </c>
      <c r="B221" s="179" t="s">
        <v>121</v>
      </c>
      <c r="C221" s="171"/>
      <c r="D221" s="171">
        <v>0</v>
      </c>
      <c r="E221" s="233"/>
      <c r="F221" s="233"/>
      <c r="G221" s="233"/>
      <c r="H221" s="233">
        <f t="shared" si="27"/>
        <v>0</v>
      </c>
      <c r="I221" s="233">
        <v>0</v>
      </c>
      <c r="J221" s="233"/>
      <c r="K221" s="233"/>
      <c r="L221" s="233"/>
      <c r="M221" s="233">
        <f t="shared" si="28"/>
        <v>0</v>
      </c>
      <c r="N221" s="233">
        <v>0</v>
      </c>
      <c r="O221" s="233"/>
      <c r="P221" s="233"/>
      <c r="Q221" s="233"/>
      <c r="R221" s="233">
        <f t="shared" si="29"/>
        <v>0</v>
      </c>
    </row>
    <row r="222" spans="1:18" s="29" customFormat="1" ht="24" hidden="1" customHeight="1">
      <c r="A222" s="134" t="s">
        <v>186</v>
      </c>
      <c r="B222" s="179" t="s">
        <v>187</v>
      </c>
      <c r="C222" s="171"/>
      <c r="D222" s="171">
        <v>0</v>
      </c>
      <c r="E222" s="233"/>
      <c r="F222" s="233"/>
      <c r="G222" s="233"/>
      <c r="H222" s="233">
        <f t="shared" si="27"/>
        <v>0</v>
      </c>
      <c r="I222" s="233">
        <v>0</v>
      </c>
      <c r="J222" s="233"/>
      <c r="K222" s="233"/>
      <c r="L222" s="233"/>
      <c r="M222" s="233">
        <f t="shared" si="28"/>
        <v>0</v>
      </c>
      <c r="N222" s="233">
        <v>0</v>
      </c>
      <c r="O222" s="233"/>
      <c r="P222" s="233"/>
      <c r="Q222" s="233"/>
      <c r="R222" s="233">
        <f t="shared" si="29"/>
        <v>0</v>
      </c>
    </row>
    <row r="223" spans="1:18" s="29" customFormat="1" ht="24">
      <c r="A223" s="132">
        <v>7300</v>
      </c>
      <c r="B223" s="172" t="s">
        <v>155</v>
      </c>
      <c r="C223" s="171">
        <v>119636</v>
      </c>
      <c r="D223" s="171">
        <v>0</v>
      </c>
      <c r="E223" s="233">
        <f>SUM(E224:E226)</f>
        <v>0</v>
      </c>
      <c r="F223" s="233">
        <f>SUM(F224:F226)</f>
        <v>0</v>
      </c>
      <c r="G223" s="233">
        <f>SUM(G224:G226)</f>
        <v>0</v>
      </c>
      <c r="H223" s="233">
        <f t="shared" si="27"/>
        <v>0</v>
      </c>
      <c r="I223" s="233">
        <v>0</v>
      </c>
      <c r="J223" s="233">
        <f>SUM(J224:J226)</f>
        <v>0</v>
      </c>
      <c r="K223" s="233">
        <f>SUM(K224:K226)</f>
        <v>0</v>
      </c>
      <c r="L223" s="233">
        <f>SUM(L224:L226)</f>
        <v>0</v>
      </c>
      <c r="M223" s="233">
        <f t="shared" si="28"/>
        <v>0</v>
      </c>
      <c r="N223" s="233">
        <v>0</v>
      </c>
      <c r="O223" s="233">
        <f>SUM(O224:O226)</f>
        <v>0</v>
      </c>
      <c r="P223" s="233">
        <f>SUM(P224:P226)</f>
        <v>0</v>
      </c>
      <c r="Q223" s="233">
        <f>SUM(Q224:Q226)</f>
        <v>0</v>
      </c>
      <c r="R223" s="233">
        <f t="shared" si="29"/>
        <v>0</v>
      </c>
    </row>
    <row r="224" spans="1:18" s="29" customFormat="1" ht="24" hidden="1" customHeight="1">
      <c r="A224" s="133" t="s">
        <v>188</v>
      </c>
      <c r="B224" s="179" t="s">
        <v>170</v>
      </c>
      <c r="C224" s="180"/>
      <c r="D224" s="180">
        <v>0</v>
      </c>
      <c r="E224" s="252"/>
      <c r="F224" s="252"/>
      <c r="G224" s="252"/>
      <c r="H224" s="233">
        <f t="shared" si="27"/>
        <v>0</v>
      </c>
      <c r="I224" s="252">
        <v>0</v>
      </c>
      <c r="J224" s="252"/>
      <c r="K224" s="252"/>
      <c r="L224" s="252"/>
      <c r="M224" s="233">
        <f t="shared" si="28"/>
        <v>0</v>
      </c>
      <c r="N224" s="252">
        <v>0</v>
      </c>
      <c r="O224" s="252"/>
      <c r="P224" s="252"/>
      <c r="Q224" s="252"/>
      <c r="R224" s="233">
        <f t="shared" si="29"/>
        <v>0</v>
      </c>
    </row>
    <row r="225" spans="1:18" s="29" customFormat="1" ht="48">
      <c r="A225" s="133" t="s">
        <v>189</v>
      </c>
      <c r="B225" s="179" t="s">
        <v>156</v>
      </c>
      <c r="C225" s="180">
        <v>119636</v>
      </c>
      <c r="D225" s="180">
        <v>0</v>
      </c>
      <c r="E225" s="252"/>
      <c r="F225" s="252"/>
      <c r="G225" s="252"/>
      <c r="H225" s="233">
        <f t="shared" si="27"/>
        <v>0</v>
      </c>
      <c r="I225" s="252">
        <v>0</v>
      </c>
      <c r="J225" s="252"/>
      <c r="K225" s="252"/>
      <c r="L225" s="252"/>
      <c r="M225" s="233">
        <f t="shared" si="28"/>
        <v>0</v>
      </c>
      <c r="N225" s="252">
        <v>0</v>
      </c>
      <c r="O225" s="252"/>
      <c r="P225" s="252"/>
      <c r="Q225" s="252"/>
      <c r="R225" s="233">
        <f t="shared" si="29"/>
        <v>0</v>
      </c>
    </row>
    <row r="226" spans="1:18" s="29" customFormat="1" ht="36" hidden="1" customHeight="1">
      <c r="A226" s="133">
        <v>7350</v>
      </c>
      <c r="B226" s="179" t="s">
        <v>163</v>
      </c>
      <c r="C226" s="180"/>
      <c r="D226" s="180">
        <v>0</v>
      </c>
      <c r="E226" s="252"/>
      <c r="F226" s="252"/>
      <c r="G226" s="252"/>
      <c r="H226" s="233">
        <f t="shared" si="27"/>
        <v>0</v>
      </c>
      <c r="I226" s="252">
        <v>0</v>
      </c>
      <c r="J226" s="252"/>
      <c r="K226" s="252"/>
      <c r="L226" s="252"/>
      <c r="M226" s="233">
        <f t="shared" si="28"/>
        <v>0</v>
      </c>
      <c r="N226" s="252">
        <v>0</v>
      </c>
      <c r="O226" s="252"/>
      <c r="P226" s="252"/>
      <c r="Q226" s="252"/>
      <c r="R226" s="233">
        <f t="shared" si="29"/>
        <v>0</v>
      </c>
    </row>
    <row r="227" spans="1:18" s="29" customFormat="1" ht="24">
      <c r="A227" s="132">
        <v>7400</v>
      </c>
      <c r="B227" s="172" t="s">
        <v>161</v>
      </c>
      <c r="C227" s="171">
        <v>38594</v>
      </c>
      <c r="D227" s="171">
        <v>0</v>
      </c>
      <c r="E227" s="233">
        <f>SUM(E228:E229)</f>
        <v>0</v>
      </c>
      <c r="F227" s="233">
        <f>SUM(F228:F229)</f>
        <v>0</v>
      </c>
      <c r="G227" s="233">
        <f>SUM(G228:G229)</f>
        <v>0</v>
      </c>
      <c r="H227" s="233">
        <f t="shared" si="27"/>
        <v>0</v>
      </c>
      <c r="I227" s="233">
        <v>0</v>
      </c>
      <c r="J227" s="233">
        <f>SUM(J228:J229)</f>
        <v>0</v>
      </c>
      <c r="K227" s="233">
        <f>SUM(K228:K229)</f>
        <v>0</v>
      </c>
      <c r="L227" s="233">
        <f>SUM(L228:L229)</f>
        <v>0</v>
      </c>
      <c r="M227" s="233">
        <f t="shared" si="28"/>
        <v>0</v>
      </c>
      <c r="N227" s="233">
        <v>0</v>
      </c>
      <c r="O227" s="233">
        <f>SUM(O228:O229)</f>
        <v>0</v>
      </c>
      <c r="P227" s="233">
        <f>SUM(P228:P229)</f>
        <v>0</v>
      </c>
      <c r="Q227" s="233">
        <f>SUM(Q228:Q229)</f>
        <v>0</v>
      </c>
      <c r="R227" s="233">
        <f t="shared" si="29"/>
        <v>0</v>
      </c>
    </row>
    <row r="228" spans="1:18" s="29" customFormat="1" ht="24" hidden="1" customHeight="1">
      <c r="A228" s="133">
        <v>7460</v>
      </c>
      <c r="B228" s="172" t="s">
        <v>162</v>
      </c>
      <c r="C228" s="180"/>
      <c r="D228" s="180">
        <v>0</v>
      </c>
      <c r="E228" s="252"/>
      <c r="F228" s="252"/>
      <c r="G228" s="252"/>
      <c r="H228" s="233">
        <f t="shared" si="27"/>
        <v>0</v>
      </c>
      <c r="I228" s="252">
        <v>0</v>
      </c>
      <c r="J228" s="252"/>
      <c r="K228" s="252"/>
      <c r="L228" s="252"/>
      <c r="M228" s="233">
        <f t="shared" si="28"/>
        <v>0</v>
      </c>
      <c r="N228" s="252">
        <v>0</v>
      </c>
      <c r="O228" s="252"/>
      <c r="P228" s="252"/>
      <c r="Q228" s="252"/>
      <c r="R228" s="233">
        <f t="shared" si="29"/>
        <v>0</v>
      </c>
    </row>
    <row r="229" spans="1:18" s="29" customFormat="1" ht="36">
      <c r="A229" s="133">
        <v>7470</v>
      </c>
      <c r="B229" s="179" t="s">
        <v>167</v>
      </c>
      <c r="C229" s="180">
        <v>38594</v>
      </c>
      <c r="D229" s="180">
        <v>0</v>
      </c>
      <c r="E229" s="252"/>
      <c r="F229" s="252"/>
      <c r="G229" s="252"/>
      <c r="H229" s="233">
        <f t="shared" si="27"/>
        <v>0</v>
      </c>
      <c r="I229" s="252">
        <v>0</v>
      </c>
      <c r="J229" s="252"/>
      <c r="K229" s="252"/>
      <c r="L229" s="252"/>
      <c r="M229" s="233">
        <f t="shared" si="28"/>
        <v>0</v>
      </c>
      <c r="N229" s="252">
        <v>0</v>
      </c>
      <c r="O229" s="252"/>
      <c r="P229" s="252"/>
      <c r="Q229" s="252"/>
      <c r="R229" s="233">
        <f t="shared" si="29"/>
        <v>0</v>
      </c>
    </row>
    <row r="230" spans="1:18" s="29" customFormat="1" ht="24">
      <c r="A230" s="132">
        <v>7500</v>
      </c>
      <c r="B230" s="179" t="s">
        <v>157</v>
      </c>
      <c r="C230" s="171">
        <v>19279902</v>
      </c>
      <c r="D230" s="171">
        <v>16013059</v>
      </c>
      <c r="E230" s="233"/>
      <c r="F230" s="233"/>
      <c r="G230" s="233"/>
      <c r="H230" s="233">
        <f t="shared" si="27"/>
        <v>16013059</v>
      </c>
      <c r="I230" s="233">
        <v>11150397</v>
      </c>
      <c r="J230" s="233"/>
      <c r="K230" s="233"/>
      <c r="L230" s="233"/>
      <c r="M230" s="233">
        <f t="shared" si="28"/>
        <v>11150397</v>
      </c>
      <c r="N230" s="233">
        <v>8472837</v>
      </c>
      <c r="O230" s="233"/>
      <c r="P230" s="233"/>
      <c r="Q230" s="233"/>
      <c r="R230" s="233">
        <f t="shared" si="29"/>
        <v>8472837</v>
      </c>
    </row>
    <row r="231" spans="1:18" s="29" customFormat="1" ht="12">
      <c r="A231" s="140" t="s">
        <v>133</v>
      </c>
      <c r="B231" s="124" t="s">
        <v>122</v>
      </c>
      <c r="C231" s="181">
        <v>33796871</v>
      </c>
      <c r="D231" s="181">
        <v>11533190</v>
      </c>
      <c r="E231" s="254">
        <v>70140</v>
      </c>
      <c r="F231" s="254">
        <f>F232+F233</f>
        <v>0</v>
      </c>
      <c r="G231" s="254">
        <f>G232+G233</f>
        <v>0</v>
      </c>
      <c r="H231" s="233">
        <f t="shared" si="27"/>
        <v>11603330</v>
      </c>
      <c r="I231" s="254">
        <v>4106856</v>
      </c>
      <c r="J231" s="254">
        <f>J232+J233</f>
        <v>0</v>
      </c>
      <c r="K231" s="254">
        <f>K232+K233</f>
        <v>0</v>
      </c>
      <c r="L231" s="254">
        <f>L232+L233</f>
        <v>0</v>
      </c>
      <c r="M231" s="233">
        <f t="shared" si="28"/>
        <v>4106856</v>
      </c>
      <c r="N231" s="254">
        <v>924432</v>
      </c>
      <c r="O231" s="254">
        <f>O232+O233</f>
        <v>0</v>
      </c>
      <c r="P231" s="254">
        <f>P232+P233</f>
        <v>0</v>
      </c>
      <c r="Q231" s="254">
        <f>Q232+Q233</f>
        <v>0</v>
      </c>
      <c r="R231" s="233">
        <f t="shared" si="29"/>
        <v>924432</v>
      </c>
    </row>
    <row r="232" spans="1:18" s="29" customFormat="1" ht="12">
      <c r="A232" s="140">
        <v>5000</v>
      </c>
      <c r="B232" s="124" t="s">
        <v>123</v>
      </c>
      <c r="C232" s="171">
        <v>2669279</v>
      </c>
      <c r="D232" s="171">
        <v>2611089</v>
      </c>
      <c r="E232" s="233">
        <v>70140</v>
      </c>
      <c r="F232" s="233"/>
      <c r="G232" s="233"/>
      <c r="H232" s="233">
        <f t="shared" si="27"/>
        <v>2681229</v>
      </c>
      <c r="I232" s="233">
        <v>90141</v>
      </c>
      <c r="J232" s="233"/>
      <c r="K232" s="233"/>
      <c r="L232" s="233"/>
      <c r="M232" s="233">
        <f t="shared" si="28"/>
        <v>90141</v>
      </c>
      <c r="N232" s="233">
        <v>70141</v>
      </c>
      <c r="O232" s="233"/>
      <c r="P232" s="233"/>
      <c r="Q232" s="233"/>
      <c r="R232" s="233">
        <f t="shared" si="29"/>
        <v>70141</v>
      </c>
    </row>
    <row r="233" spans="1:18" s="29" customFormat="1" ht="12">
      <c r="A233" s="140">
        <v>9000</v>
      </c>
      <c r="B233" s="182" t="s">
        <v>164</v>
      </c>
      <c r="C233" s="171">
        <v>31127592</v>
      </c>
      <c r="D233" s="171">
        <v>8922101</v>
      </c>
      <c r="E233" s="233">
        <f>E234+E240+E244+E247</f>
        <v>0</v>
      </c>
      <c r="F233" s="233">
        <f>F234+F240+F244+F247</f>
        <v>0</v>
      </c>
      <c r="G233" s="233">
        <f>G234+G240+G244+G247</f>
        <v>0</v>
      </c>
      <c r="H233" s="233">
        <f t="shared" si="27"/>
        <v>8922101</v>
      </c>
      <c r="I233" s="233">
        <v>4016715</v>
      </c>
      <c r="J233" s="233">
        <f>J234+J240+J244+J247</f>
        <v>0</v>
      </c>
      <c r="K233" s="233">
        <f>K234+K240+K244+K247</f>
        <v>0</v>
      </c>
      <c r="L233" s="233">
        <f>L234+L240+L244+L247</f>
        <v>0</v>
      </c>
      <c r="M233" s="233">
        <f t="shared" si="28"/>
        <v>4016715</v>
      </c>
      <c r="N233" s="233">
        <v>854291</v>
      </c>
      <c r="O233" s="233">
        <f>O234+O240+O244+O247</f>
        <v>0</v>
      </c>
      <c r="P233" s="233">
        <f>P234+P240+P244+P247</f>
        <v>0</v>
      </c>
      <c r="Q233" s="233">
        <f>Q234+Q240+Q244+Q247</f>
        <v>0</v>
      </c>
      <c r="R233" s="233">
        <f t="shared" si="29"/>
        <v>854291</v>
      </c>
    </row>
    <row r="234" spans="1:18" s="29" customFormat="1" ht="12" hidden="1" customHeight="1">
      <c r="A234" s="141">
        <v>9100</v>
      </c>
      <c r="B234" s="179" t="s">
        <v>124</v>
      </c>
      <c r="C234" s="171">
        <v>0</v>
      </c>
      <c r="D234" s="171">
        <v>0</v>
      </c>
      <c r="E234" s="233">
        <f>SUM(E235:E236)</f>
        <v>0</v>
      </c>
      <c r="F234" s="233">
        <f>SUM(F235:F236)</f>
        <v>0</v>
      </c>
      <c r="G234" s="233">
        <f>SUM(G235:G236)</f>
        <v>0</v>
      </c>
      <c r="H234" s="233">
        <f t="shared" si="27"/>
        <v>0</v>
      </c>
      <c r="I234" s="233">
        <v>0</v>
      </c>
      <c r="J234" s="233">
        <f>SUM(J235:J236)</f>
        <v>0</v>
      </c>
      <c r="K234" s="233">
        <f>SUM(K235:K236)</f>
        <v>0</v>
      </c>
      <c r="L234" s="233">
        <f>SUM(L235:L236)</f>
        <v>0</v>
      </c>
      <c r="M234" s="233">
        <f t="shared" si="28"/>
        <v>0</v>
      </c>
      <c r="N234" s="233">
        <v>0</v>
      </c>
      <c r="O234" s="233">
        <f>SUM(O235:O236)</f>
        <v>0</v>
      </c>
      <c r="P234" s="233">
        <f>SUM(P235:P236)</f>
        <v>0</v>
      </c>
      <c r="Q234" s="233">
        <f>SUM(Q235:Q236)</f>
        <v>0</v>
      </c>
      <c r="R234" s="233">
        <f t="shared" si="29"/>
        <v>0</v>
      </c>
    </row>
    <row r="235" spans="1:18" s="29" customFormat="1" ht="24" hidden="1" customHeight="1">
      <c r="A235" s="133" t="s">
        <v>125</v>
      </c>
      <c r="B235" s="179" t="s">
        <v>214</v>
      </c>
      <c r="C235" s="171"/>
      <c r="D235" s="171">
        <v>0</v>
      </c>
      <c r="E235" s="233"/>
      <c r="F235" s="233"/>
      <c r="G235" s="233"/>
      <c r="H235" s="233">
        <f t="shared" si="27"/>
        <v>0</v>
      </c>
      <c r="I235" s="233">
        <v>0</v>
      </c>
      <c r="J235" s="233"/>
      <c r="K235" s="233"/>
      <c r="L235" s="233"/>
      <c r="M235" s="233">
        <f t="shared" si="28"/>
        <v>0</v>
      </c>
      <c r="N235" s="233">
        <v>0</v>
      </c>
      <c r="O235" s="233"/>
      <c r="P235" s="233"/>
      <c r="Q235" s="233"/>
      <c r="R235" s="233">
        <f t="shared" si="29"/>
        <v>0</v>
      </c>
    </row>
    <row r="236" spans="1:18" s="29" customFormat="1" ht="24" hidden="1" customHeight="1">
      <c r="A236" s="133">
        <v>9140</v>
      </c>
      <c r="B236" s="179" t="s">
        <v>215</v>
      </c>
      <c r="C236" s="171">
        <v>0</v>
      </c>
      <c r="D236" s="171">
        <v>0</v>
      </c>
      <c r="E236" s="233">
        <f>SUM(E237:E239)</f>
        <v>0</v>
      </c>
      <c r="F236" s="233">
        <f>SUM(F237:F239)</f>
        <v>0</v>
      </c>
      <c r="G236" s="233">
        <f>SUM(G237:G239)</f>
        <v>0</v>
      </c>
      <c r="H236" s="233">
        <f t="shared" si="27"/>
        <v>0</v>
      </c>
      <c r="I236" s="233">
        <v>0</v>
      </c>
      <c r="J236" s="233">
        <f>SUM(J237:J239)</f>
        <v>0</v>
      </c>
      <c r="K236" s="233">
        <f>SUM(K237:K239)</f>
        <v>0</v>
      </c>
      <c r="L236" s="233">
        <f>SUM(L237:L239)</f>
        <v>0</v>
      </c>
      <c r="M236" s="233">
        <f t="shared" si="28"/>
        <v>0</v>
      </c>
      <c r="N236" s="233">
        <v>0</v>
      </c>
      <c r="O236" s="233">
        <f>SUM(O237:O239)</f>
        <v>0</v>
      </c>
      <c r="P236" s="233">
        <f>SUM(P237:P239)</f>
        <v>0</v>
      </c>
      <c r="Q236" s="233">
        <f>SUM(Q237:Q239)</f>
        <v>0</v>
      </c>
      <c r="R236" s="233">
        <f t="shared" si="29"/>
        <v>0</v>
      </c>
    </row>
    <row r="237" spans="1:18" s="29" customFormat="1" ht="36" hidden="1" customHeight="1">
      <c r="A237" s="134">
        <v>9141</v>
      </c>
      <c r="B237" s="172" t="s">
        <v>190</v>
      </c>
      <c r="C237" s="180"/>
      <c r="D237" s="180">
        <v>0</v>
      </c>
      <c r="E237" s="252"/>
      <c r="F237" s="252"/>
      <c r="G237" s="252"/>
      <c r="H237" s="233">
        <f t="shared" si="27"/>
        <v>0</v>
      </c>
      <c r="I237" s="252">
        <v>0</v>
      </c>
      <c r="J237" s="252"/>
      <c r="K237" s="252"/>
      <c r="L237" s="252"/>
      <c r="M237" s="233">
        <f t="shared" si="28"/>
        <v>0</v>
      </c>
      <c r="N237" s="252">
        <v>0</v>
      </c>
      <c r="O237" s="252"/>
      <c r="P237" s="252"/>
      <c r="Q237" s="252"/>
      <c r="R237" s="233">
        <f t="shared" si="29"/>
        <v>0</v>
      </c>
    </row>
    <row r="238" spans="1:18" s="29" customFormat="1" ht="36" hidden="1" customHeight="1">
      <c r="A238" s="134">
        <v>9142</v>
      </c>
      <c r="B238" s="172" t="s">
        <v>191</v>
      </c>
      <c r="C238" s="180"/>
      <c r="D238" s="180">
        <v>0</v>
      </c>
      <c r="E238" s="252"/>
      <c r="F238" s="252"/>
      <c r="G238" s="252"/>
      <c r="H238" s="233">
        <f t="shared" si="27"/>
        <v>0</v>
      </c>
      <c r="I238" s="252">
        <v>0</v>
      </c>
      <c r="J238" s="252"/>
      <c r="K238" s="252"/>
      <c r="L238" s="252"/>
      <c r="M238" s="233">
        <f t="shared" si="28"/>
        <v>0</v>
      </c>
      <c r="N238" s="252">
        <v>0</v>
      </c>
      <c r="O238" s="252"/>
      <c r="P238" s="252"/>
      <c r="Q238" s="252"/>
      <c r="R238" s="233">
        <f t="shared" si="29"/>
        <v>0</v>
      </c>
    </row>
    <row r="239" spans="1:18" s="29" customFormat="1" ht="24" hidden="1" customHeight="1">
      <c r="A239" s="134">
        <v>9149</v>
      </c>
      <c r="B239" s="172" t="s">
        <v>192</v>
      </c>
      <c r="C239" s="180"/>
      <c r="D239" s="180">
        <v>0</v>
      </c>
      <c r="E239" s="252"/>
      <c r="F239" s="252"/>
      <c r="G239" s="252"/>
      <c r="H239" s="233">
        <f t="shared" si="27"/>
        <v>0</v>
      </c>
      <c r="I239" s="252">
        <v>0</v>
      </c>
      <c r="J239" s="252"/>
      <c r="K239" s="252"/>
      <c r="L239" s="252"/>
      <c r="M239" s="233">
        <f t="shared" si="28"/>
        <v>0</v>
      </c>
      <c r="N239" s="252">
        <v>0</v>
      </c>
      <c r="O239" s="252"/>
      <c r="P239" s="252"/>
      <c r="Q239" s="252"/>
      <c r="R239" s="233">
        <f t="shared" si="29"/>
        <v>0</v>
      </c>
    </row>
    <row r="240" spans="1:18" s="29" customFormat="1" ht="24">
      <c r="A240" s="141">
        <v>9500</v>
      </c>
      <c r="B240" s="172" t="s">
        <v>165</v>
      </c>
      <c r="C240" s="171">
        <v>16085149</v>
      </c>
      <c r="D240" s="171">
        <v>3121259</v>
      </c>
      <c r="E240" s="233">
        <f>SUM(E241:E243)</f>
        <v>0</v>
      </c>
      <c r="F240" s="233">
        <f>SUM(F241:F243)</f>
        <v>0</v>
      </c>
      <c r="G240" s="233">
        <f>SUM(G241:G243)</f>
        <v>0</v>
      </c>
      <c r="H240" s="233">
        <f t="shared" si="27"/>
        <v>3121259</v>
      </c>
      <c r="I240" s="233">
        <v>2751837</v>
      </c>
      <c r="J240" s="233">
        <f>SUM(J241:J243)</f>
        <v>0</v>
      </c>
      <c r="K240" s="233">
        <f>SUM(K241:K243)</f>
        <v>0</v>
      </c>
      <c r="L240" s="233">
        <f>SUM(L241:L243)</f>
        <v>0</v>
      </c>
      <c r="M240" s="233">
        <f t="shared" si="28"/>
        <v>2751837</v>
      </c>
      <c r="N240" s="233">
        <v>823141</v>
      </c>
      <c r="O240" s="233">
        <f>SUM(O241:O243)</f>
        <v>0</v>
      </c>
      <c r="P240" s="233">
        <f>SUM(P241:P243)</f>
        <v>0</v>
      </c>
      <c r="Q240" s="233">
        <f>SUM(Q241:Q243)</f>
        <v>0</v>
      </c>
      <c r="R240" s="233">
        <f t="shared" si="29"/>
        <v>823141</v>
      </c>
    </row>
    <row r="241" spans="1:18" s="29" customFormat="1" ht="24" hidden="1" customHeight="1">
      <c r="A241" s="133" t="s">
        <v>193</v>
      </c>
      <c r="B241" s="172" t="s">
        <v>171</v>
      </c>
      <c r="C241" s="171"/>
      <c r="D241" s="171">
        <v>0</v>
      </c>
      <c r="E241" s="233"/>
      <c r="F241" s="233"/>
      <c r="G241" s="233"/>
      <c r="H241" s="233">
        <f t="shared" si="27"/>
        <v>0</v>
      </c>
      <c r="I241" s="233">
        <v>0</v>
      </c>
      <c r="J241" s="233"/>
      <c r="K241" s="233"/>
      <c r="L241" s="233"/>
      <c r="M241" s="233">
        <f t="shared" si="28"/>
        <v>0</v>
      </c>
      <c r="N241" s="233">
        <v>0</v>
      </c>
      <c r="O241" s="233"/>
      <c r="P241" s="233"/>
      <c r="Q241" s="233"/>
      <c r="R241" s="233">
        <f t="shared" si="29"/>
        <v>0</v>
      </c>
    </row>
    <row r="242" spans="1:18" s="29" customFormat="1" ht="48">
      <c r="A242" s="133">
        <v>9580</v>
      </c>
      <c r="B242" s="172" t="s">
        <v>166</v>
      </c>
      <c r="C242" s="180">
        <v>16085149</v>
      </c>
      <c r="D242" s="180">
        <v>3121259</v>
      </c>
      <c r="E242" s="252"/>
      <c r="F242" s="252"/>
      <c r="G242" s="252"/>
      <c r="H242" s="233">
        <f t="shared" si="27"/>
        <v>3121259</v>
      </c>
      <c r="I242" s="252">
        <v>2751837</v>
      </c>
      <c r="J242" s="252"/>
      <c r="K242" s="252"/>
      <c r="L242" s="252"/>
      <c r="M242" s="233">
        <f t="shared" si="28"/>
        <v>2751837</v>
      </c>
      <c r="N242" s="252">
        <v>823141</v>
      </c>
      <c r="O242" s="252"/>
      <c r="P242" s="252"/>
      <c r="Q242" s="252"/>
      <c r="R242" s="233">
        <f t="shared" si="29"/>
        <v>823141</v>
      </c>
    </row>
    <row r="243" spans="1:18" s="29" customFormat="1" ht="48" hidden="1" customHeight="1">
      <c r="A243" s="133">
        <v>9590</v>
      </c>
      <c r="B243" s="179" t="s">
        <v>172</v>
      </c>
      <c r="C243" s="180">
        <v>0</v>
      </c>
      <c r="D243" s="180">
        <v>0</v>
      </c>
      <c r="E243" s="252"/>
      <c r="F243" s="252"/>
      <c r="G243" s="252"/>
      <c r="H243" s="233">
        <f t="shared" si="27"/>
        <v>0</v>
      </c>
      <c r="I243" s="252">
        <v>0</v>
      </c>
      <c r="J243" s="252"/>
      <c r="K243" s="252"/>
      <c r="L243" s="252"/>
      <c r="M243" s="233">
        <f t="shared" si="28"/>
        <v>0</v>
      </c>
      <c r="N243" s="252">
        <v>0</v>
      </c>
      <c r="O243" s="252"/>
      <c r="P243" s="252"/>
      <c r="Q243" s="252"/>
      <c r="R243" s="233">
        <f t="shared" si="29"/>
        <v>0</v>
      </c>
    </row>
    <row r="244" spans="1:18" s="29" customFormat="1" ht="24" hidden="1" customHeight="1">
      <c r="A244" s="141">
        <v>9700</v>
      </c>
      <c r="B244" s="183" t="s">
        <v>194</v>
      </c>
      <c r="C244" s="171">
        <v>0</v>
      </c>
      <c r="D244" s="171">
        <v>0</v>
      </c>
      <c r="E244" s="233">
        <f>SUM(E245:E246)</f>
        <v>0</v>
      </c>
      <c r="F244" s="233">
        <f>SUM(F245:F246)</f>
        <v>0</v>
      </c>
      <c r="G244" s="233">
        <f>SUM(G245:G246)</f>
        <v>0</v>
      </c>
      <c r="H244" s="233">
        <f t="shared" si="27"/>
        <v>0</v>
      </c>
      <c r="I244" s="233">
        <v>0</v>
      </c>
      <c r="J244" s="233">
        <f>SUM(J245:J246)</f>
        <v>0</v>
      </c>
      <c r="K244" s="233">
        <f>SUM(K245:K246)</f>
        <v>0</v>
      </c>
      <c r="L244" s="233">
        <f>SUM(L245:L246)</f>
        <v>0</v>
      </c>
      <c r="M244" s="233">
        <f t="shared" si="28"/>
        <v>0</v>
      </c>
      <c r="N244" s="233">
        <v>0</v>
      </c>
      <c r="O244" s="233">
        <f>SUM(O245:O246)</f>
        <v>0</v>
      </c>
      <c r="P244" s="233">
        <f>SUM(P245:P246)</f>
        <v>0</v>
      </c>
      <c r="Q244" s="233">
        <f>SUM(Q245:Q246)</f>
        <v>0</v>
      </c>
      <c r="R244" s="233">
        <f t="shared" si="29"/>
        <v>0</v>
      </c>
    </row>
    <row r="245" spans="1:18" s="29" customFormat="1" ht="24" hidden="1" customHeight="1">
      <c r="A245" s="133">
        <v>9710</v>
      </c>
      <c r="B245" s="184" t="s">
        <v>195</v>
      </c>
      <c r="C245" s="180">
        <v>0</v>
      </c>
      <c r="D245" s="180">
        <v>0</v>
      </c>
      <c r="E245" s="252"/>
      <c r="F245" s="252"/>
      <c r="G245" s="252"/>
      <c r="H245" s="233">
        <f t="shared" si="27"/>
        <v>0</v>
      </c>
      <c r="I245" s="252">
        <v>0</v>
      </c>
      <c r="J245" s="252"/>
      <c r="K245" s="252"/>
      <c r="L245" s="252"/>
      <c r="M245" s="233">
        <f t="shared" si="28"/>
        <v>0</v>
      </c>
      <c r="N245" s="252">
        <v>0</v>
      </c>
      <c r="O245" s="252"/>
      <c r="P245" s="252"/>
      <c r="Q245" s="252"/>
      <c r="R245" s="233">
        <f t="shared" si="29"/>
        <v>0</v>
      </c>
    </row>
    <row r="246" spans="1:18" s="29" customFormat="1" ht="48" hidden="1" customHeight="1">
      <c r="A246" s="142">
        <v>9720</v>
      </c>
      <c r="B246" s="183" t="s">
        <v>196</v>
      </c>
      <c r="C246" s="180">
        <v>0</v>
      </c>
      <c r="D246" s="180">
        <v>0</v>
      </c>
      <c r="E246" s="252"/>
      <c r="F246" s="252"/>
      <c r="G246" s="252"/>
      <c r="H246" s="233">
        <f t="shared" si="27"/>
        <v>0</v>
      </c>
      <c r="I246" s="252">
        <v>0</v>
      </c>
      <c r="J246" s="252"/>
      <c r="K246" s="252"/>
      <c r="L246" s="252"/>
      <c r="M246" s="233">
        <f t="shared" si="28"/>
        <v>0</v>
      </c>
      <c r="N246" s="252">
        <v>0</v>
      </c>
      <c r="O246" s="252"/>
      <c r="P246" s="252"/>
      <c r="Q246" s="252"/>
      <c r="R246" s="233">
        <f t="shared" si="29"/>
        <v>0</v>
      </c>
    </row>
    <row r="247" spans="1:18" s="29" customFormat="1" ht="24">
      <c r="A247" s="141">
        <v>9600</v>
      </c>
      <c r="B247" s="179" t="s">
        <v>134</v>
      </c>
      <c r="C247" s="180">
        <v>15042443</v>
      </c>
      <c r="D247" s="180">
        <v>5800842</v>
      </c>
      <c r="E247" s="252"/>
      <c r="F247" s="252"/>
      <c r="G247" s="252"/>
      <c r="H247" s="233">
        <f t="shared" si="27"/>
        <v>5800842</v>
      </c>
      <c r="I247" s="252">
        <v>1264878</v>
      </c>
      <c r="J247" s="252"/>
      <c r="K247" s="252"/>
      <c r="L247" s="252"/>
      <c r="M247" s="233">
        <f t="shared" si="28"/>
        <v>1264878</v>
      </c>
      <c r="N247" s="252">
        <v>31150</v>
      </c>
      <c r="O247" s="252"/>
      <c r="P247" s="252"/>
      <c r="Q247" s="252"/>
      <c r="R247" s="233">
        <f t="shared" si="29"/>
        <v>31150</v>
      </c>
    </row>
    <row r="248" spans="1:18" s="29" customFormat="1" ht="30.6">
      <c r="A248" s="130" t="s">
        <v>197</v>
      </c>
      <c r="B248" s="185" t="s">
        <v>47</v>
      </c>
      <c r="C248" s="186">
        <v>-1265990</v>
      </c>
      <c r="D248" s="186">
        <v>0</v>
      </c>
      <c r="E248" s="262">
        <f>E178-E203</f>
        <v>0</v>
      </c>
      <c r="F248" s="262">
        <f>F178-F203</f>
        <v>0</v>
      </c>
      <c r="G248" s="262">
        <f>G178-G203</f>
        <v>0</v>
      </c>
      <c r="H248" s="233">
        <f t="shared" si="27"/>
        <v>0</v>
      </c>
      <c r="I248" s="262">
        <v>0</v>
      </c>
      <c r="J248" s="262">
        <f>J178-J203</f>
        <v>0</v>
      </c>
      <c r="K248" s="262">
        <f>K178-K203</f>
        <v>0</v>
      </c>
      <c r="L248" s="262">
        <f>L178-L203</f>
        <v>0</v>
      </c>
      <c r="M248" s="233">
        <f t="shared" si="28"/>
        <v>0</v>
      </c>
      <c r="N248" s="262">
        <v>0</v>
      </c>
      <c r="O248" s="262">
        <f>O178-O203</f>
        <v>0</v>
      </c>
      <c r="P248" s="262">
        <f>P178-P203</f>
        <v>0</v>
      </c>
      <c r="Q248" s="262">
        <f>Q178-Q203</f>
        <v>0</v>
      </c>
      <c r="R248" s="233">
        <f t="shared" si="29"/>
        <v>0</v>
      </c>
    </row>
    <row r="249" spans="1:18" s="29" customFormat="1" ht="12">
      <c r="A249" s="143" t="s">
        <v>48</v>
      </c>
      <c r="B249" s="185" t="s">
        <v>49</v>
      </c>
      <c r="C249" s="186">
        <v>1265990</v>
      </c>
      <c r="D249" s="186">
        <v>0</v>
      </c>
      <c r="E249" s="262"/>
      <c r="F249" s="262">
        <f>F250+F253+F257+F256</f>
        <v>0</v>
      </c>
      <c r="G249" s="262">
        <f>G250+G253+G257+G256</f>
        <v>0</v>
      </c>
      <c r="H249" s="233">
        <f t="shared" si="27"/>
        <v>0</v>
      </c>
      <c r="I249" s="262">
        <v>0</v>
      </c>
      <c r="J249" s="262">
        <f>J250+J253+J257+J256</f>
        <v>0</v>
      </c>
      <c r="K249" s="262">
        <f>K250+K253+K257+K256</f>
        <v>0</v>
      </c>
      <c r="L249" s="262">
        <f>L250+L253+L257+L256</f>
        <v>0</v>
      </c>
      <c r="M249" s="233">
        <f t="shared" si="28"/>
        <v>0</v>
      </c>
      <c r="N249" s="262">
        <v>0</v>
      </c>
      <c r="O249" s="262">
        <f>O250+O253+O257+O256</f>
        <v>0</v>
      </c>
      <c r="P249" s="262">
        <f>P250+P253+P257+P256</f>
        <v>0</v>
      </c>
      <c r="Q249" s="262">
        <f>Q250+Q253+Q257+Q256</f>
        <v>0</v>
      </c>
      <c r="R249" s="233">
        <f t="shared" si="29"/>
        <v>0</v>
      </c>
    </row>
    <row r="250" spans="1:18" s="29" customFormat="1" ht="12" hidden="1" customHeight="1">
      <c r="A250" s="141" t="s">
        <v>50</v>
      </c>
      <c r="B250" s="179" t="s">
        <v>51</v>
      </c>
      <c r="C250" s="169">
        <v>0</v>
      </c>
      <c r="D250" s="169">
        <v>0</v>
      </c>
      <c r="E250" s="231">
        <f>E251+E252</f>
        <v>0</v>
      </c>
      <c r="F250" s="231">
        <f>F251+F252</f>
        <v>0</v>
      </c>
      <c r="G250" s="231">
        <f>G251+G252</f>
        <v>0</v>
      </c>
      <c r="H250" s="233">
        <f t="shared" si="27"/>
        <v>0</v>
      </c>
      <c r="I250" s="231">
        <v>0</v>
      </c>
      <c r="J250" s="231">
        <f>J251+J252</f>
        <v>0</v>
      </c>
      <c r="K250" s="231">
        <f>K251+K252</f>
        <v>0</v>
      </c>
      <c r="L250" s="231">
        <f>L251+L252</f>
        <v>0</v>
      </c>
      <c r="M250" s="233">
        <f t="shared" si="28"/>
        <v>0</v>
      </c>
      <c r="N250" s="231">
        <v>0</v>
      </c>
      <c r="O250" s="231">
        <f>O251+O252</f>
        <v>0</v>
      </c>
      <c r="P250" s="231">
        <f>P251+P252</f>
        <v>0</v>
      </c>
      <c r="Q250" s="231">
        <f>Q251+Q252</f>
        <v>0</v>
      </c>
      <c r="R250" s="233">
        <f t="shared" si="29"/>
        <v>0</v>
      </c>
    </row>
    <row r="251" spans="1:18" s="29" customFormat="1" ht="12" hidden="1" customHeight="1">
      <c r="A251" s="141" t="s">
        <v>52</v>
      </c>
      <c r="B251" s="179" t="s">
        <v>53</v>
      </c>
      <c r="C251" s="169"/>
      <c r="D251" s="169">
        <v>0</v>
      </c>
      <c r="E251" s="231"/>
      <c r="F251" s="231"/>
      <c r="G251" s="231"/>
      <c r="H251" s="233">
        <f t="shared" si="27"/>
        <v>0</v>
      </c>
      <c r="I251" s="231">
        <v>0</v>
      </c>
      <c r="J251" s="231"/>
      <c r="K251" s="231"/>
      <c r="L251" s="231"/>
      <c r="M251" s="233">
        <f t="shared" si="28"/>
        <v>0</v>
      </c>
      <c r="N251" s="231">
        <v>0</v>
      </c>
      <c r="O251" s="231"/>
      <c r="P251" s="231"/>
      <c r="Q251" s="231"/>
      <c r="R251" s="233">
        <f t="shared" si="29"/>
        <v>0</v>
      </c>
    </row>
    <row r="252" spans="1:18" s="29" customFormat="1" ht="12" hidden="1" customHeight="1">
      <c r="A252" s="141" t="s">
        <v>54</v>
      </c>
      <c r="B252" s="179" t="s">
        <v>55</v>
      </c>
      <c r="C252" s="169"/>
      <c r="D252" s="169">
        <v>0</v>
      </c>
      <c r="E252" s="231"/>
      <c r="F252" s="231"/>
      <c r="G252" s="231"/>
      <c r="H252" s="233">
        <f t="shared" si="27"/>
        <v>0</v>
      </c>
      <c r="I252" s="231">
        <v>0</v>
      </c>
      <c r="J252" s="231"/>
      <c r="K252" s="231"/>
      <c r="L252" s="231"/>
      <c r="M252" s="233">
        <f t="shared" si="28"/>
        <v>0</v>
      </c>
      <c r="N252" s="231">
        <v>0</v>
      </c>
      <c r="O252" s="231"/>
      <c r="P252" s="231"/>
      <c r="Q252" s="231"/>
      <c r="R252" s="233">
        <f t="shared" si="29"/>
        <v>0</v>
      </c>
    </row>
    <row r="253" spans="1:18" s="29" customFormat="1" ht="12" hidden="1" customHeight="1">
      <c r="A253" s="141" t="s">
        <v>56</v>
      </c>
      <c r="B253" s="179" t="s">
        <v>57</v>
      </c>
      <c r="C253" s="169">
        <v>0</v>
      </c>
      <c r="D253" s="169">
        <v>0</v>
      </c>
      <c r="E253" s="231">
        <f>E254+E255</f>
        <v>0</v>
      </c>
      <c r="F253" s="231">
        <f>F254+F255</f>
        <v>0</v>
      </c>
      <c r="G253" s="231">
        <f>G254+G255</f>
        <v>0</v>
      </c>
      <c r="H253" s="233">
        <f t="shared" si="27"/>
        <v>0</v>
      </c>
      <c r="I253" s="231">
        <v>0</v>
      </c>
      <c r="J253" s="231">
        <f>J254+J255</f>
        <v>0</v>
      </c>
      <c r="K253" s="231">
        <f>K254+K255</f>
        <v>0</v>
      </c>
      <c r="L253" s="231">
        <f>L254+L255</f>
        <v>0</v>
      </c>
      <c r="M253" s="233">
        <f t="shared" si="28"/>
        <v>0</v>
      </c>
      <c r="N253" s="231">
        <v>0</v>
      </c>
      <c r="O253" s="231">
        <f>O254+O255</f>
        <v>0</v>
      </c>
      <c r="P253" s="231">
        <f>P254+P255</f>
        <v>0</v>
      </c>
      <c r="Q253" s="231">
        <f>Q254+Q255</f>
        <v>0</v>
      </c>
      <c r="R253" s="233">
        <f t="shared" si="29"/>
        <v>0</v>
      </c>
    </row>
    <row r="254" spans="1:18" s="29" customFormat="1" ht="12" hidden="1" customHeight="1">
      <c r="A254" s="141" t="s">
        <v>58</v>
      </c>
      <c r="B254" s="179" t="s">
        <v>59</v>
      </c>
      <c r="C254" s="169"/>
      <c r="D254" s="169">
        <v>0</v>
      </c>
      <c r="E254" s="231"/>
      <c r="F254" s="231"/>
      <c r="G254" s="231"/>
      <c r="H254" s="233">
        <f t="shared" si="27"/>
        <v>0</v>
      </c>
      <c r="I254" s="231">
        <v>0</v>
      </c>
      <c r="J254" s="231"/>
      <c r="K254" s="231"/>
      <c r="L254" s="231"/>
      <c r="M254" s="233">
        <f t="shared" si="28"/>
        <v>0</v>
      </c>
      <c r="N254" s="231">
        <v>0</v>
      </c>
      <c r="O254" s="231"/>
      <c r="P254" s="231"/>
      <c r="Q254" s="231"/>
      <c r="R254" s="233">
        <f t="shared" si="29"/>
        <v>0</v>
      </c>
    </row>
    <row r="255" spans="1:18" s="29" customFormat="1" ht="12" hidden="1" customHeight="1">
      <c r="A255" s="141" t="s">
        <v>60</v>
      </c>
      <c r="B255" s="179" t="s">
        <v>61</v>
      </c>
      <c r="C255" s="169"/>
      <c r="D255" s="169">
        <v>0</v>
      </c>
      <c r="E255" s="231"/>
      <c r="F255" s="231"/>
      <c r="G255" s="231"/>
      <c r="H255" s="233">
        <f t="shared" si="27"/>
        <v>0</v>
      </c>
      <c r="I255" s="231">
        <v>0</v>
      </c>
      <c r="J255" s="231"/>
      <c r="K255" s="231"/>
      <c r="L255" s="231"/>
      <c r="M255" s="233">
        <f t="shared" si="28"/>
        <v>0</v>
      </c>
      <c r="N255" s="231">
        <v>0</v>
      </c>
      <c r="O255" s="231"/>
      <c r="P255" s="231"/>
      <c r="Q255" s="231"/>
      <c r="R255" s="233">
        <f t="shared" si="29"/>
        <v>0</v>
      </c>
    </row>
    <row r="256" spans="1:18" s="29" customFormat="1" ht="12" hidden="1" customHeight="1">
      <c r="A256" s="141" t="s">
        <v>198</v>
      </c>
      <c r="B256" s="187" t="s">
        <v>168</v>
      </c>
      <c r="C256" s="169"/>
      <c r="D256" s="169">
        <v>0</v>
      </c>
      <c r="E256" s="231"/>
      <c r="F256" s="231"/>
      <c r="G256" s="231"/>
      <c r="H256" s="233">
        <f t="shared" si="27"/>
        <v>0</v>
      </c>
      <c r="I256" s="231">
        <v>0</v>
      </c>
      <c r="J256" s="231"/>
      <c r="K256" s="231"/>
      <c r="L256" s="231"/>
      <c r="M256" s="233">
        <f t="shared" si="28"/>
        <v>0</v>
      </c>
      <c r="N256" s="231">
        <v>0</v>
      </c>
      <c r="O256" s="231"/>
      <c r="P256" s="231"/>
      <c r="Q256" s="231"/>
      <c r="R256" s="233">
        <f t="shared" si="29"/>
        <v>0</v>
      </c>
    </row>
    <row r="257" spans="1:18" s="29" customFormat="1" ht="12">
      <c r="A257" s="144" t="s">
        <v>62</v>
      </c>
      <c r="B257" s="125" t="s">
        <v>63</v>
      </c>
      <c r="C257" s="171">
        <v>1265990</v>
      </c>
      <c r="D257" s="171">
        <v>0</v>
      </c>
      <c r="E257" s="233"/>
      <c r="F257" s="233">
        <f>F258+F259+F260</f>
        <v>0</v>
      </c>
      <c r="G257" s="233">
        <f>G258+G259+G260</f>
        <v>0</v>
      </c>
      <c r="H257" s="233">
        <f t="shared" si="27"/>
        <v>0</v>
      </c>
      <c r="I257" s="233">
        <v>0</v>
      </c>
      <c r="J257" s="233">
        <f>J258+J259+J260</f>
        <v>0</v>
      </c>
      <c r="K257" s="233">
        <f>K258+K259+K260</f>
        <v>0</v>
      </c>
      <c r="L257" s="233">
        <f>L258+L259+L260</f>
        <v>0</v>
      </c>
      <c r="M257" s="233">
        <f t="shared" si="28"/>
        <v>0</v>
      </c>
      <c r="N257" s="233">
        <v>0</v>
      </c>
      <c r="O257" s="233">
        <f>O258+O259+O260</f>
        <v>0</v>
      </c>
      <c r="P257" s="233">
        <f>P258+P259+P260</f>
        <v>0</v>
      </c>
      <c r="Q257" s="233">
        <f>Q258+Q259+Q260</f>
        <v>0</v>
      </c>
      <c r="R257" s="233">
        <f t="shared" si="29"/>
        <v>0</v>
      </c>
    </row>
    <row r="258" spans="1:18" s="29" customFormat="1" ht="36" hidden="1" customHeight="1">
      <c r="A258" s="144" t="s">
        <v>64</v>
      </c>
      <c r="B258" s="179" t="s">
        <v>65</v>
      </c>
      <c r="C258" s="169"/>
      <c r="D258" s="169">
        <v>0</v>
      </c>
      <c r="E258" s="231"/>
      <c r="F258" s="231"/>
      <c r="G258" s="231"/>
      <c r="H258" s="233">
        <f t="shared" si="27"/>
        <v>0</v>
      </c>
      <c r="I258" s="231">
        <v>0</v>
      </c>
      <c r="J258" s="231"/>
      <c r="K258" s="231"/>
      <c r="L258" s="231"/>
      <c r="M258" s="233">
        <f t="shared" si="28"/>
        <v>0</v>
      </c>
      <c r="N258" s="231">
        <v>0</v>
      </c>
      <c r="O258" s="231"/>
      <c r="P258" s="231"/>
      <c r="Q258" s="231"/>
      <c r="R258" s="233">
        <f t="shared" si="29"/>
        <v>0</v>
      </c>
    </row>
    <row r="259" spans="1:18" s="29" customFormat="1" ht="24">
      <c r="A259" s="144" t="s">
        <v>66</v>
      </c>
      <c r="B259" s="179" t="s">
        <v>67</v>
      </c>
      <c r="C259" s="169">
        <v>1265990</v>
      </c>
      <c r="D259" s="169">
        <v>0</v>
      </c>
      <c r="E259" s="231"/>
      <c r="F259" s="231"/>
      <c r="G259" s="231"/>
      <c r="H259" s="233">
        <f t="shared" si="27"/>
        <v>0</v>
      </c>
      <c r="I259" s="231">
        <v>0</v>
      </c>
      <c r="J259" s="231"/>
      <c r="K259" s="231"/>
      <c r="L259" s="231"/>
      <c r="M259" s="233">
        <f t="shared" si="28"/>
        <v>0</v>
      </c>
      <c r="N259" s="231">
        <v>0</v>
      </c>
      <c r="O259" s="231"/>
      <c r="P259" s="231"/>
      <c r="Q259" s="231"/>
      <c r="R259" s="233">
        <f t="shared" si="29"/>
        <v>0</v>
      </c>
    </row>
    <row r="260" spans="1:18" s="29" customFormat="1" ht="24" hidden="1" customHeight="1">
      <c r="A260" s="144" t="s">
        <v>68</v>
      </c>
      <c r="B260" s="125" t="s">
        <v>69</v>
      </c>
      <c r="C260" s="169"/>
      <c r="D260" s="169">
        <v>0</v>
      </c>
      <c r="E260" s="231"/>
      <c r="F260" s="231"/>
      <c r="G260" s="231"/>
      <c r="H260" s="233">
        <f t="shared" si="27"/>
        <v>0</v>
      </c>
      <c r="I260" s="231">
        <v>0</v>
      </c>
      <c r="J260" s="231"/>
      <c r="K260" s="231"/>
      <c r="L260" s="231"/>
      <c r="M260" s="233">
        <f t="shared" si="28"/>
        <v>0</v>
      </c>
      <c r="N260" s="231">
        <v>0</v>
      </c>
      <c r="O260" s="231"/>
      <c r="P260" s="231"/>
      <c r="Q260" s="231"/>
      <c r="R260" s="233">
        <f t="shared" si="29"/>
        <v>0</v>
      </c>
    </row>
    <row r="261" spans="1:18" s="29" customFormat="1" ht="12">
      <c r="A261" s="271"/>
      <c r="B261" s="272"/>
      <c r="C261" s="254"/>
      <c r="D261" s="254"/>
      <c r="E261" s="254"/>
      <c r="F261" s="254"/>
      <c r="G261" s="254"/>
      <c r="H261" s="233"/>
      <c r="I261" s="254"/>
      <c r="J261" s="254"/>
      <c r="K261" s="254"/>
      <c r="L261" s="254"/>
      <c r="M261" s="233"/>
      <c r="N261" s="254"/>
      <c r="O261" s="254"/>
      <c r="P261" s="254"/>
      <c r="Q261" s="254"/>
      <c r="R261" s="233"/>
    </row>
    <row r="262" spans="1:18" s="3" customFormat="1" ht="12">
      <c r="A262" s="33"/>
      <c r="B262" s="164"/>
      <c r="C262" s="540"/>
      <c r="D262" s="876"/>
      <c r="E262" s="540"/>
      <c r="F262" s="540"/>
      <c r="G262" s="540"/>
      <c r="H262" s="540"/>
      <c r="I262" s="540"/>
      <c r="J262" s="540"/>
      <c r="K262" s="540"/>
      <c r="L262" s="540"/>
      <c r="M262" s="540"/>
      <c r="N262" s="540"/>
      <c r="O262" s="540"/>
      <c r="P262" s="540"/>
      <c r="Q262" s="540"/>
      <c r="R262" s="540"/>
    </row>
    <row r="263" spans="1:18" s="3" customFormat="1" ht="12">
      <c r="A263" s="33"/>
      <c r="B263" s="164"/>
      <c r="C263" s="540"/>
      <c r="D263" s="876"/>
      <c r="E263" s="540"/>
      <c r="F263" s="540"/>
      <c r="G263" s="540"/>
      <c r="H263" s="540"/>
      <c r="I263" s="540"/>
      <c r="J263" s="540"/>
      <c r="K263" s="540"/>
      <c r="L263" s="540"/>
      <c r="M263" s="540"/>
      <c r="N263" s="540"/>
      <c r="O263" s="540"/>
      <c r="P263" s="540"/>
      <c r="Q263" s="540"/>
      <c r="R263" s="540"/>
    </row>
    <row r="264" spans="1:18" s="3" customFormat="1" ht="13.2">
      <c r="A264" s="369" t="s">
        <v>236</v>
      </c>
      <c r="B264" s="370" t="s">
        <v>237</v>
      </c>
      <c r="C264" s="540"/>
      <c r="D264" s="876"/>
      <c r="E264" s="540"/>
      <c r="F264" s="540"/>
      <c r="G264" s="540"/>
      <c r="H264" s="540"/>
      <c r="I264" s="540"/>
      <c r="J264" s="540"/>
      <c r="K264" s="540"/>
      <c r="L264" s="540"/>
      <c r="M264" s="540"/>
      <c r="N264" s="540"/>
      <c r="O264" s="540"/>
      <c r="P264" s="540"/>
      <c r="Q264" s="540"/>
      <c r="R264" s="540"/>
    </row>
    <row r="265" spans="1:18" s="3" customFormat="1" ht="13.2">
      <c r="A265" s="371"/>
      <c r="B265" s="372" t="s">
        <v>238</v>
      </c>
      <c r="C265" s="540"/>
      <c r="D265" s="876"/>
      <c r="E265" s="540"/>
      <c r="F265" s="540"/>
      <c r="G265" s="540"/>
      <c r="H265" s="540"/>
      <c r="I265" s="540"/>
      <c r="J265" s="540"/>
      <c r="K265" s="540"/>
      <c r="L265" s="540"/>
      <c r="M265" s="540"/>
      <c r="N265" s="540"/>
      <c r="O265" s="540"/>
      <c r="P265" s="540"/>
      <c r="Q265" s="540"/>
      <c r="R265" s="540"/>
    </row>
    <row r="266" spans="1:18" s="3" customFormat="1" ht="13.2">
      <c r="A266" s="373" t="s">
        <v>223</v>
      </c>
      <c r="B266" s="374" t="s">
        <v>434</v>
      </c>
      <c r="C266" s="540"/>
      <c r="D266" s="876"/>
      <c r="E266" s="540"/>
      <c r="F266" s="540"/>
      <c r="G266" s="540"/>
      <c r="H266" s="540"/>
      <c r="I266" s="540"/>
      <c r="J266" s="540"/>
      <c r="K266" s="540"/>
      <c r="L266" s="540"/>
      <c r="M266" s="540"/>
      <c r="N266" s="540"/>
      <c r="O266" s="540"/>
      <c r="P266" s="540"/>
      <c r="Q266" s="540"/>
      <c r="R266" s="540"/>
    </row>
    <row r="267" spans="1:18" s="3" customFormat="1" ht="118.8">
      <c r="A267" s="799">
        <v>1.1000000000000001</v>
      </c>
      <c r="B267" s="800" t="s">
        <v>717</v>
      </c>
      <c r="C267" s="540"/>
      <c r="D267" s="876"/>
      <c r="E267" s="540">
        <v>53000</v>
      </c>
      <c r="F267" s="540"/>
      <c r="G267" s="540"/>
      <c r="H267" s="540"/>
      <c r="I267" s="540"/>
      <c r="J267" s="540">
        <v>53000</v>
      </c>
      <c r="K267" s="540"/>
      <c r="L267" s="540"/>
      <c r="M267" s="540"/>
      <c r="N267" s="540"/>
      <c r="O267" s="540">
        <v>53000</v>
      </c>
      <c r="P267" s="540"/>
      <c r="Q267" s="540"/>
      <c r="R267" s="540"/>
    </row>
    <row r="268" spans="1:18" s="3" customFormat="1" ht="13.2">
      <c r="A268" s="377"/>
      <c r="B268" s="376"/>
      <c r="C268" s="540"/>
      <c r="D268" s="876"/>
      <c r="E268" s="540"/>
      <c r="F268" s="540"/>
      <c r="G268" s="540"/>
      <c r="H268" s="540"/>
      <c r="I268" s="540"/>
      <c r="J268" s="540"/>
      <c r="K268" s="540"/>
      <c r="L268" s="540"/>
      <c r="M268" s="540"/>
      <c r="N268" s="540"/>
      <c r="O268" s="540"/>
      <c r="P268" s="540"/>
      <c r="Q268" s="540"/>
      <c r="R268" s="540"/>
    </row>
    <row r="269" spans="1:18" s="3" customFormat="1" ht="13.2">
      <c r="A269" s="378" t="s">
        <v>224</v>
      </c>
      <c r="B269" s="374" t="s">
        <v>242</v>
      </c>
      <c r="C269" s="540"/>
      <c r="D269" s="876"/>
      <c r="E269" s="540"/>
      <c r="F269" s="540"/>
      <c r="G269" s="540"/>
      <c r="H269" s="540"/>
      <c r="I269" s="540"/>
      <c r="J269" s="540"/>
      <c r="K269" s="540"/>
      <c r="L269" s="540"/>
      <c r="M269" s="540"/>
      <c r="N269" s="540"/>
      <c r="O269" s="540"/>
      <c r="P269" s="540"/>
      <c r="Q269" s="540"/>
      <c r="R269" s="540"/>
    </row>
    <row r="270" spans="1:18" s="3" customFormat="1" ht="52.8">
      <c r="A270" s="375" t="s">
        <v>243</v>
      </c>
      <c r="B270" s="376" t="s">
        <v>718</v>
      </c>
      <c r="C270" s="540"/>
      <c r="D270" s="876"/>
      <c r="E270" s="540"/>
      <c r="F270" s="540">
        <v>548447</v>
      </c>
      <c r="G270" s="540"/>
      <c r="H270" s="540"/>
      <c r="I270" s="540"/>
      <c r="J270" s="540"/>
      <c r="K270" s="540">
        <v>512589</v>
      </c>
      <c r="L270" s="540"/>
      <c r="M270" s="540"/>
      <c r="N270" s="540"/>
      <c r="O270" s="540"/>
      <c r="P270" s="540">
        <v>417447</v>
      </c>
      <c r="Q270" s="540"/>
      <c r="R270" s="540"/>
    </row>
    <row r="271" spans="1:18" s="3" customFormat="1" ht="39.6">
      <c r="A271" s="801" t="s">
        <v>250</v>
      </c>
      <c r="B271" s="376" t="s">
        <v>425</v>
      </c>
      <c r="C271" s="540"/>
      <c r="D271" s="876"/>
      <c r="E271" s="540"/>
      <c r="F271" s="540">
        <v>8700000</v>
      </c>
      <c r="G271" s="540"/>
      <c r="H271" s="540"/>
      <c r="I271" s="540"/>
      <c r="J271" s="540"/>
      <c r="K271" s="540">
        <v>9990000</v>
      </c>
      <c r="L271" s="540"/>
      <c r="M271" s="540"/>
      <c r="N271" s="540"/>
      <c r="O271" s="540"/>
      <c r="P271" s="540">
        <v>5000000</v>
      </c>
      <c r="Q271" s="540"/>
      <c r="R271" s="540"/>
    </row>
    <row r="272" spans="1:18" s="3" customFormat="1" ht="132">
      <c r="A272" s="375" t="s">
        <v>257</v>
      </c>
      <c r="B272" s="376" t="s">
        <v>917</v>
      </c>
      <c r="C272" s="540"/>
      <c r="D272" s="876"/>
      <c r="E272" s="540"/>
      <c r="F272" s="540"/>
      <c r="G272" s="540">
        <v>27830</v>
      </c>
      <c r="H272" s="540"/>
      <c r="I272" s="540"/>
      <c r="J272" s="540"/>
      <c r="K272" s="540"/>
      <c r="L272" s="540">
        <v>16123</v>
      </c>
      <c r="M272" s="540"/>
      <c r="N272" s="540"/>
      <c r="O272" s="540"/>
      <c r="P272" s="540"/>
      <c r="Q272" s="540">
        <v>8062</v>
      </c>
      <c r="R272" s="540"/>
    </row>
    <row r="273" spans="1:18" s="3" customFormat="1" ht="79.2">
      <c r="A273" s="375" t="s">
        <v>324</v>
      </c>
      <c r="B273" s="376" t="s">
        <v>918</v>
      </c>
      <c r="C273" s="540"/>
      <c r="D273" s="876"/>
      <c r="E273" s="540"/>
      <c r="F273" s="540"/>
      <c r="G273" s="540">
        <v>509703</v>
      </c>
      <c r="H273" s="540"/>
      <c r="I273" s="540"/>
      <c r="J273" s="540"/>
      <c r="K273" s="540"/>
      <c r="L273" s="540">
        <v>9415007</v>
      </c>
      <c r="M273" s="540"/>
      <c r="N273" s="540"/>
      <c r="O273" s="540"/>
      <c r="P273" s="540"/>
      <c r="Q273" s="540">
        <v>4451747</v>
      </c>
      <c r="R273" s="540"/>
    </row>
    <row r="274" spans="1:18" s="3" customFormat="1" ht="52.8">
      <c r="A274" s="375" t="s">
        <v>326</v>
      </c>
      <c r="B274" s="376" t="s">
        <v>919</v>
      </c>
      <c r="C274" s="540"/>
      <c r="D274" s="876"/>
      <c r="E274" s="540"/>
      <c r="F274" s="540"/>
      <c r="G274" s="540">
        <v>283109</v>
      </c>
      <c r="H274" s="540"/>
      <c r="I274" s="540"/>
      <c r="J274" s="540"/>
      <c r="K274" s="540"/>
      <c r="L274" s="540"/>
      <c r="M274" s="540"/>
      <c r="N274" s="540"/>
      <c r="O274" s="540"/>
      <c r="P274" s="540"/>
      <c r="Q274" s="540"/>
      <c r="R274" s="540"/>
    </row>
    <row r="275" spans="1:18" s="3" customFormat="1" ht="52.8">
      <c r="A275" s="375" t="s">
        <v>327</v>
      </c>
      <c r="B275" s="376" t="s">
        <v>920</v>
      </c>
      <c r="C275" s="540"/>
      <c r="D275" s="876"/>
      <c r="E275" s="540"/>
      <c r="F275" s="540"/>
      <c r="G275" s="540">
        <v>154883</v>
      </c>
      <c r="H275" s="540"/>
      <c r="I275" s="540"/>
      <c r="J275" s="540"/>
      <c r="K275" s="540"/>
      <c r="L275" s="540">
        <v>218026</v>
      </c>
      <c r="M275" s="540"/>
      <c r="N275" s="540"/>
      <c r="O275" s="540"/>
      <c r="P275" s="540"/>
      <c r="Q275" s="540">
        <v>210536</v>
      </c>
      <c r="R275" s="540"/>
    </row>
    <row r="276" spans="1:18" s="3" customFormat="1" ht="39.6">
      <c r="A276" s="375" t="s">
        <v>328</v>
      </c>
      <c r="B276" s="376" t="s">
        <v>921</v>
      </c>
      <c r="C276" s="540"/>
      <c r="D276" s="876"/>
      <c r="E276" s="540"/>
      <c r="F276" s="540"/>
      <c r="G276" s="540">
        <v>510705</v>
      </c>
      <c r="H276" s="540"/>
      <c r="I276" s="540"/>
      <c r="J276" s="540"/>
      <c r="K276" s="540"/>
      <c r="L276" s="540">
        <v>1500000</v>
      </c>
      <c r="M276" s="540"/>
      <c r="N276" s="540"/>
      <c r="O276" s="540"/>
      <c r="P276" s="540"/>
      <c r="Q276" s="540">
        <v>2000000</v>
      </c>
      <c r="R276" s="540"/>
    </row>
    <row r="277" spans="1:18" s="3" customFormat="1" ht="39.6">
      <c r="A277" s="375" t="s">
        <v>329</v>
      </c>
      <c r="B277" s="376" t="s">
        <v>922</v>
      </c>
      <c r="C277" s="540"/>
      <c r="D277" s="876"/>
      <c r="E277" s="540"/>
      <c r="F277" s="540"/>
      <c r="G277" s="540">
        <v>219000</v>
      </c>
      <c r="H277" s="540"/>
      <c r="I277" s="540"/>
      <c r="J277" s="540"/>
      <c r="K277" s="540"/>
      <c r="L277" s="540">
        <v>219000</v>
      </c>
      <c r="M277" s="540"/>
      <c r="N277" s="540"/>
      <c r="O277" s="540"/>
      <c r="P277" s="540"/>
      <c r="Q277" s="540">
        <v>219000</v>
      </c>
      <c r="R277" s="540"/>
    </row>
    <row r="278" spans="1:18" s="3" customFormat="1" ht="39.6">
      <c r="A278" s="375" t="s">
        <v>330</v>
      </c>
      <c r="B278" s="376" t="s">
        <v>923</v>
      </c>
      <c r="C278" s="540"/>
      <c r="D278" s="876"/>
      <c r="E278" s="540"/>
      <c r="F278" s="540"/>
      <c r="G278" s="540">
        <v>73292</v>
      </c>
      <c r="H278" s="540"/>
      <c r="I278" s="540"/>
      <c r="J278" s="540"/>
      <c r="K278" s="540"/>
      <c r="L278" s="540"/>
      <c r="M278" s="540"/>
      <c r="N278" s="540"/>
      <c r="O278" s="540"/>
      <c r="P278" s="540"/>
      <c r="Q278" s="540"/>
      <c r="R278" s="540"/>
    </row>
    <row r="279" spans="1:18" s="3" customFormat="1" ht="66">
      <c r="A279" s="375" t="s">
        <v>331</v>
      </c>
      <c r="B279" s="376" t="s">
        <v>924</v>
      </c>
      <c r="C279" s="540"/>
      <c r="D279" s="876"/>
      <c r="E279" s="540"/>
      <c r="F279" s="540"/>
      <c r="G279" s="540">
        <v>592265</v>
      </c>
      <c r="H279" s="540"/>
      <c r="I279" s="540"/>
      <c r="J279" s="540"/>
      <c r="K279" s="540"/>
      <c r="L279" s="540">
        <v>389982</v>
      </c>
      <c r="M279" s="540"/>
      <c r="N279" s="540"/>
      <c r="O279" s="540"/>
      <c r="P279" s="540"/>
      <c r="Q279" s="540">
        <v>4423614</v>
      </c>
      <c r="R279" s="540"/>
    </row>
    <row r="280" spans="1:18" s="3" customFormat="1" ht="105.6">
      <c r="A280" s="375" t="s">
        <v>356</v>
      </c>
      <c r="B280" s="376" t="s">
        <v>925</v>
      </c>
      <c r="C280" s="540"/>
      <c r="D280" s="876"/>
      <c r="E280" s="540"/>
      <c r="F280" s="540"/>
      <c r="G280" s="540">
        <v>2732789</v>
      </c>
      <c r="H280" s="540"/>
      <c r="I280" s="540"/>
      <c r="J280" s="540"/>
      <c r="K280" s="540"/>
      <c r="L280" s="540">
        <v>8777914</v>
      </c>
      <c r="M280" s="540"/>
      <c r="N280" s="540"/>
      <c r="O280" s="540"/>
      <c r="P280" s="540"/>
      <c r="Q280" s="540">
        <v>6583436</v>
      </c>
      <c r="R280" s="540"/>
    </row>
    <row r="281" spans="1:18" s="3" customFormat="1" ht="52.8">
      <c r="A281" s="375" t="s">
        <v>358</v>
      </c>
      <c r="B281" s="376" t="s">
        <v>926</v>
      </c>
      <c r="C281" s="540"/>
      <c r="D281" s="876"/>
      <c r="E281" s="540"/>
      <c r="F281" s="540"/>
      <c r="G281" s="540">
        <v>33516</v>
      </c>
      <c r="H281" s="540"/>
      <c r="I281" s="540"/>
      <c r="J281" s="540"/>
      <c r="K281" s="540"/>
      <c r="L281" s="540">
        <v>394465</v>
      </c>
      <c r="M281" s="540"/>
      <c r="N281" s="540"/>
      <c r="O281" s="540"/>
      <c r="P281" s="540"/>
      <c r="Q281" s="540">
        <v>195777</v>
      </c>
      <c r="R281" s="540"/>
    </row>
    <row r="282" spans="1:18" ht="52.8">
      <c r="A282" s="375" t="s">
        <v>542</v>
      </c>
      <c r="B282" s="376" t="s">
        <v>927</v>
      </c>
      <c r="C282" s="540"/>
      <c r="D282" s="876"/>
      <c r="E282" s="540"/>
      <c r="F282" s="540"/>
      <c r="G282" s="540">
        <v>365588</v>
      </c>
      <c r="H282" s="540"/>
      <c r="I282" s="540"/>
      <c r="J282" s="540"/>
      <c r="K282" s="540"/>
      <c r="L282" s="540">
        <v>1484400</v>
      </c>
      <c r="M282" s="540"/>
      <c r="N282" s="540"/>
      <c r="O282" s="540"/>
      <c r="P282" s="540"/>
      <c r="Q282" s="540">
        <v>2199096</v>
      </c>
      <c r="R282" s="540"/>
    </row>
    <row r="283" spans="1:18" ht="66" customHeight="1">
      <c r="A283" s="375" t="s">
        <v>544</v>
      </c>
      <c r="B283" s="376" t="s">
        <v>928</v>
      </c>
      <c r="C283" s="540"/>
      <c r="D283" s="876"/>
      <c r="E283" s="540"/>
      <c r="F283" s="540"/>
      <c r="G283" s="540">
        <v>183322</v>
      </c>
      <c r="H283" s="540"/>
      <c r="I283" s="540"/>
      <c r="J283" s="540"/>
      <c r="K283" s="540"/>
      <c r="L283" s="540">
        <v>2147877</v>
      </c>
      <c r="M283" s="540"/>
      <c r="N283" s="540"/>
      <c r="O283" s="540"/>
      <c r="P283" s="540"/>
      <c r="Q283" s="540"/>
      <c r="R283" s="540"/>
    </row>
    <row r="284" spans="1:18" ht="52.8">
      <c r="A284" s="375" t="s">
        <v>546</v>
      </c>
      <c r="B284" s="376" t="s">
        <v>929</v>
      </c>
      <c r="C284" s="540"/>
      <c r="D284" s="876"/>
      <c r="E284" s="540"/>
      <c r="F284" s="540"/>
      <c r="G284" s="540">
        <v>6496018</v>
      </c>
      <c r="H284" s="540"/>
      <c r="I284" s="540"/>
      <c r="J284" s="540"/>
      <c r="K284" s="540"/>
      <c r="L284" s="540"/>
      <c r="M284" s="540"/>
      <c r="N284" s="540"/>
      <c r="O284" s="540"/>
      <c r="P284" s="540"/>
      <c r="Q284" s="540"/>
      <c r="R284" s="540"/>
    </row>
    <row r="285" spans="1:18" ht="13.2">
      <c r="A285" s="375"/>
      <c r="B285" s="376"/>
      <c r="C285" s="540"/>
      <c r="D285" s="876"/>
      <c r="E285" s="540"/>
      <c r="F285" s="540"/>
      <c r="G285" s="540"/>
      <c r="H285" s="540"/>
      <c r="I285" s="540"/>
      <c r="J285" s="540"/>
      <c r="K285" s="540"/>
      <c r="L285" s="540"/>
      <c r="M285" s="540"/>
      <c r="N285" s="540"/>
      <c r="O285" s="540"/>
      <c r="P285" s="540"/>
      <c r="Q285" s="540"/>
      <c r="R285" s="540"/>
    </row>
    <row r="286" spans="1:18" ht="13.2">
      <c r="A286" s="377"/>
      <c r="B286" s="376"/>
      <c r="C286" s="540"/>
      <c r="D286" s="876"/>
      <c r="E286" s="540"/>
      <c r="F286" s="540"/>
      <c r="G286" s="540"/>
      <c r="H286" s="540"/>
      <c r="I286" s="540"/>
      <c r="J286" s="540"/>
      <c r="K286" s="540"/>
      <c r="L286" s="540"/>
      <c r="M286" s="540"/>
      <c r="N286" s="540"/>
      <c r="O286" s="540"/>
      <c r="P286" s="540"/>
      <c r="Q286" s="540"/>
      <c r="R286" s="540"/>
    </row>
    <row r="287" spans="1:18" ht="13.2">
      <c r="A287" s="369" t="s">
        <v>245</v>
      </c>
      <c r="B287" s="370" t="s">
        <v>140</v>
      </c>
      <c r="C287" s="540"/>
      <c r="D287" s="876"/>
      <c r="E287" s="540"/>
      <c r="F287" s="540"/>
      <c r="G287" s="540"/>
      <c r="H287" s="540"/>
      <c r="I287" s="540"/>
      <c r="J287" s="540"/>
      <c r="K287" s="540"/>
      <c r="L287" s="540"/>
      <c r="M287" s="540"/>
      <c r="N287" s="540"/>
      <c r="O287" s="540"/>
      <c r="P287" s="540"/>
      <c r="Q287" s="540"/>
      <c r="R287" s="540"/>
    </row>
    <row r="288" spans="1:18" ht="13.2">
      <c r="A288" s="371"/>
      <c r="B288" s="372" t="s">
        <v>238</v>
      </c>
      <c r="C288" s="540"/>
      <c r="D288" s="876"/>
      <c r="E288" s="540"/>
      <c r="F288" s="540"/>
      <c r="G288" s="540"/>
      <c r="H288" s="540"/>
      <c r="I288" s="540"/>
      <c r="J288" s="540"/>
      <c r="K288" s="540"/>
      <c r="L288" s="540"/>
      <c r="M288" s="540"/>
      <c r="N288" s="540"/>
      <c r="O288" s="540"/>
      <c r="P288" s="540"/>
      <c r="Q288" s="540"/>
      <c r="R288" s="540"/>
    </row>
    <row r="289" spans="1:18" ht="13.2">
      <c r="A289" s="415" t="s">
        <v>223</v>
      </c>
      <c r="B289" s="372" t="s">
        <v>434</v>
      </c>
      <c r="C289" s="540"/>
      <c r="D289" s="876"/>
      <c r="E289" s="540"/>
      <c r="F289" s="540"/>
      <c r="G289" s="540"/>
      <c r="H289" s="540"/>
      <c r="I289" s="540"/>
      <c r="J289" s="540"/>
      <c r="K289" s="540"/>
      <c r="L289" s="540"/>
      <c r="M289" s="540"/>
      <c r="N289" s="540"/>
      <c r="O289" s="540"/>
      <c r="P289" s="540"/>
      <c r="Q289" s="540"/>
      <c r="R289" s="540"/>
    </row>
    <row r="290" spans="1:18" ht="66">
      <c r="A290" s="802" t="s">
        <v>719</v>
      </c>
      <c r="B290" s="475" t="s">
        <v>720</v>
      </c>
      <c r="C290" s="540"/>
      <c r="D290" s="876"/>
      <c r="E290" s="540">
        <v>6500</v>
      </c>
      <c r="F290" s="540"/>
      <c r="G290" s="540"/>
      <c r="H290" s="540"/>
      <c r="I290" s="540"/>
      <c r="J290" s="540"/>
      <c r="K290" s="540"/>
      <c r="L290" s="540"/>
      <c r="M290" s="540"/>
      <c r="N290" s="540"/>
      <c r="O290" s="540"/>
      <c r="P290" s="540"/>
      <c r="Q290" s="540"/>
      <c r="R290" s="540"/>
    </row>
    <row r="291" spans="1:18" ht="92.4">
      <c r="A291" s="802" t="s">
        <v>253</v>
      </c>
      <c r="B291" s="800" t="s">
        <v>721</v>
      </c>
      <c r="C291" s="540"/>
      <c r="D291" s="876"/>
      <c r="E291" s="540">
        <v>1600</v>
      </c>
      <c r="F291" s="540"/>
      <c r="G291" s="540"/>
      <c r="H291" s="540"/>
      <c r="I291" s="540"/>
      <c r="J291" s="540"/>
      <c r="K291" s="540"/>
      <c r="L291" s="540"/>
      <c r="M291" s="540"/>
      <c r="N291" s="540"/>
      <c r="O291" s="540"/>
      <c r="P291" s="540"/>
      <c r="Q291" s="540"/>
      <c r="R291" s="540"/>
    </row>
    <row r="292" spans="1:18" ht="79.2">
      <c r="A292" s="803" t="s">
        <v>255</v>
      </c>
      <c r="B292" s="800" t="s">
        <v>722</v>
      </c>
      <c r="C292" s="540"/>
      <c r="D292" s="876"/>
      <c r="E292" s="540">
        <v>70140</v>
      </c>
      <c r="F292" s="540"/>
      <c r="G292" s="540"/>
      <c r="H292" s="540"/>
      <c r="I292" s="540"/>
      <c r="J292" s="540"/>
      <c r="K292" s="540"/>
      <c r="L292" s="540"/>
      <c r="M292" s="540"/>
      <c r="N292" s="540"/>
      <c r="O292" s="540"/>
      <c r="P292" s="540"/>
      <c r="Q292" s="540"/>
      <c r="R292" s="540"/>
    </row>
    <row r="293" spans="1:18" ht="12">
      <c r="C293" s="1110"/>
      <c r="D293" s="1110"/>
      <c r="E293" s="540"/>
      <c r="F293" s="540"/>
      <c r="G293" s="540"/>
      <c r="H293" s="540"/>
      <c r="I293" s="540"/>
      <c r="J293" s="540"/>
      <c r="K293" s="540"/>
      <c r="L293" s="540"/>
      <c r="M293" s="540"/>
      <c r="N293" s="540"/>
      <c r="O293" s="540"/>
      <c r="P293" s="540"/>
      <c r="Q293" s="540"/>
      <c r="R293" s="540"/>
    </row>
    <row r="294" spans="1:18" ht="12">
      <c r="C294" s="1110"/>
      <c r="D294" s="1110"/>
      <c r="E294" s="540"/>
      <c r="F294" s="540"/>
      <c r="G294" s="540"/>
      <c r="H294" s="540"/>
      <c r="I294" s="540"/>
      <c r="J294" s="540"/>
      <c r="K294" s="540"/>
      <c r="L294" s="540"/>
      <c r="M294" s="540"/>
      <c r="N294" s="540"/>
      <c r="O294" s="540"/>
      <c r="P294" s="540"/>
      <c r="Q294" s="540"/>
      <c r="R294" s="540"/>
    </row>
    <row r="295" spans="1:18" ht="12">
      <c r="C295" s="1110"/>
      <c r="D295" s="1110"/>
      <c r="E295" s="540"/>
      <c r="F295" s="540"/>
      <c r="G295" s="540"/>
      <c r="H295" s="540"/>
      <c r="I295" s="540"/>
      <c r="J295" s="540"/>
      <c r="K295" s="540"/>
      <c r="L295" s="540"/>
      <c r="M295" s="540"/>
      <c r="N295" s="540"/>
      <c r="O295" s="540"/>
      <c r="P295" s="540"/>
      <c r="Q295" s="540"/>
      <c r="R295" s="540"/>
    </row>
    <row r="296" spans="1:18" ht="12">
      <c r="C296" s="1110"/>
      <c r="D296" s="1110"/>
      <c r="E296" s="540"/>
      <c r="F296" s="540"/>
      <c r="G296" s="540"/>
      <c r="H296" s="540"/>
      <c r="I296" s="540"/>
      <c r="J296" s="540"/>
      <c r="K296" s="540"/>
      <c r="L296" s="540"/>
      <c r="M296" s="540"/>
      <c r="N296" s="540"/>
      <c r="O296" s="540"/>
      <c r="P296" s="540"/>
      <c r="Q296" s="540"/>
      <c r="R296" s="540"/>
    </row>
    <row r="297" spans="1:18" ht="12">
      <c r="C297" s="1110"/>
      <c r="D297" s="1110"/>
      <c r="E297" s="540"/>
      <c r="F297" s="540"/>
      <c r="G297" s="540"/>
      <c r="H297" s="540"/>
      <c r="I297" s="540"/>
      <c r="J297" s="540"/>
      <c r="K297" s="540"/>
      <c r="L297" s="540"/>
      <c r="M297" s="540"/>
      <c r="N297" s="540"/>
      <c r="O297" s="540"/>
      <c r="P297" s="540"/>
      <c r="Q297" s="540"/>
      <c r="R297" s="540"/>
    </row>
    <row r="298" spans="1:18" ht="12">
      <c r="C298" s="1110"/>
      <c r="D298" s="1110"/>
      <c r="E298" s="540"/>
      <c r="F298" s="540"/>
      <c r="G298" s="540"/>
      <c r="H298" s="540"/>
      <c r="I298" s="540"/>
      <c r="J298" s="540"/>
      <c r="K298" s="540"/>
      <c r="L298" s="540"/>
      <c r="M298" s="540"/>
      <c r="N298" s="540"/>
      <c r="O298" s="540"/>
      <c r="P298" s="540"/>
      <c r="Q298" s="540"/>
      <c r="R298" s="540"/>
    </row>
    <row r="299" spans="1:18" ht="12">
      <c r="C299" s="1110"/>
      <c r="D299" s="1110"/>
      <c r="E299" s="540"/>
      <c r="F299" s="540"/>
      <c r="G299" s="540"/>
      <c r="H299" s="540"/>
      <c r="I299" s="540"/>
      <c r="J299" s="540"/>
      <c r="K299" s="540"/>
      <c r="L299" s="540"/>
      <c r="M299" s="540"/>
      <c r="N299" s="540"/>
      <c r="O299" s="540"/>
      <c r="P299" s="540"/>
      <c r="Q299" s="540"/>
      <c r="R299" s="540"/>
    </row>
    <row r="300" spans="1:18" ht="12">
      <c r="C300" s="1110"/>
      <c r="D300" s="1110"/>
      <c r="E300" s="540"/>
      <c r="F300" s="540"/>
      <c r="G300" s="540"/>
      <c r="H300" s="540"/>
      <c r="I300" s="540"/>
      <c r="J300" s="540"/>
      <c r="K300" s="540"/>
      <c r="L300" s="540"/>
      <c r="M300" s="540"/>
      <c r="N300" s="540"/>
      <c r="O300" s="540"/>
      <c r="P300" s="540"/>
      <c r="Q300" s="540"/>
      <c r="R300" s="540"/>
    </row>
    <row r="301" spans="1:18" ht="12">
      <c r="C301" s="1110"/>
      <c r="D301" s="1110"/>
      <c r="E301" s="540"/>
      <c r="F301" s="540"/>
      <c r="G301" s="540"/>
      <c r="H301" s="540"/>
      <c r="I301" s="540"/>
      <c r="J301" s="540"/>
      <c r="K301" s="540"/>
      <c r="L301" s="540"/>
      <c r="M301" s="540"/>
      <c r="N301" s="540"/>
      <c r="O301" s="540"/>
      <c r="P301" s="540"/>
      <c r="Q301" s="540"/>
      <c r="R301" s="540"/>
    </row>
    <row r="302" spans="1:18" ht="12">
      <c r="C302" s="1110"/>
      <c r="D302" s="1110"/>
      <c r="E302" s="540"/>
      <c r="F302" s="540"/>
      <c r="G302" s="540"/>
      <c r="H302" s="540"/>
      <c r="I302" s="540"/>
      <c r="J302" s="540"/>
      <c r="K302" s="540"/>
      <c r="L302" s="540"/>
      <c r="M302" s="540"/>
      <c r="N302" s="540"/>
      <c r="O302" s="540"/>
      <c r="P302" s="540"/>
      <c r="Q302" s="540"/>
      <c r="R302" s="540"/>
    </row>
    <row r="303" spans="1:18" ht="12">
      <c r="C303" s="1110"/>
      <c r="D303" s="1110"/>
      <c r="E303" s="540"/>
      <c r="F303" s="540"/>
      <c r="G303" s="540"/>
      <c r="H303" s="540"/>
      <c r="I303" s="540"/>
      <c r="J303" s="540"/>
      <c r="K303" s="540"/>
      <c r="L303" s="540"/>
      <c r="M303" s="540"/>
      <c r="N303" s="540"/>
      <c r="O303" s="540"/>
      <c r="P303" s="540"/>
      <c r="Q303" s="540"/>
      <c r="R303" s="540"/>
    </row>
    <row r="304" spans="1:18" ht="12">
      <c r="C304" s="1110"/>
      <c r="D304" s="1110"/>
      <c r="E304" s="540"/>
      <c r="F304" s="540"/>
      <c r="G304" s="540"/>
      <c r="H304" s="540"/>
      <c r="I304" s="540"/>
      <c r="J304" s="540"/>
      <c r="K304" s="540"/>
      <c r="L304" s="540"/>
      <c r="M304" s="540"/>
      <c r="N304" s="540"/>
      <c r="O304" s="540"/>
      <c r="P304" s="540"/>
      <c r="Q304" s="540"/>
      <c r="R304" s="540"/>
    </row>
    <row r="305" spans="3:18" ht="12">
      <c r="C305" s="1110"/>
      <c r="D305" s="1110"/>
      <c r="E305" s="540"/>
      <c r="F305" s="540"/>
      <c r="G305" s="540"/>
      <c r="H305" s="540"/>
      <c r="I305" s="540"/>
      <c r="J305" s="540"/>
      <c r="K305" s="540"/>
      <c r="L305" s="540"/>
      <c r="M305" s="540"/>
      <c r="N305" s="540"/>
      <c r="O305" s="540"/>
      <c r="P305" s="540"/>
      <c r="Q305" s="540"/>
      <c r="R305" s="540"/>
    </row>
    <row r="306" spans="3:18" ht="12">
      <c r="C306" s="1110"/>
      <c r="D306" s="1110"/>
      <c r="E306" s="540"/>
      <c r="F306" s="540"/>
      <c r="G306" s="540"/>
      <c r="H306" s="540"/>
      <c r="I306" s="540"/>
      <c r="J306" s="540"/>
      <c r="K306" s="540"/>
      <c r="L306" s="540"/>
      <c r="M306" s="540"/>
      <c r="N306" s="540"/>
      <c r="O306" s="540"/>
      <c r="P306" s="540"/>
      <c r="Q306" s="540"/>
      <c r="R306" s="540"/>
    </row>
    <row r="307" spans="3:18" ht="12">
      <c r="C307" s="1110"/>
      <c r="D307" s="1110"/>
      <c r="E307" s="540"/>
      <c r="F307" s="540"/>
      <c r="G307" s="540"/>
      <c r="H307" s="540"/>
      <c r="I307" s="540"/>
      <c r="J307" s="540"/>
      <c r="K307" s="540"/>
      <c r="L307" s="540"/>
      <c r="M307" s="540"/>
      <c r="N307" s="540"/>
      <c r="O307" s="540"/>
      <c r="P307" s="540"/>
      <c r="Q307" s="540"/>
      <c r="R307" s="540"/>
    </row>
    <row r="308" spans="3:18" ht="12">
      <c r="C308" s="1110"/>
      <c r="D308" s="1110"/>
      <c r="E308" s="540"/>
      <c r="F308" s="540"/>
      <c r="G308" s="540"/>
      <c r="H308" s="540"/>
      <c r="I308" s="540"/>
      <c r="J308" s="540"/>
      <c r="K308" s="540"/>
      <c r="L308" s="540"/>
      <c r="M308" s="540"/>
      <c r="N308" s="540"/>
      <c r="O308" s="540"/>
      <c r="P308" s="540"/>
      <c r="Q308" s="540"/>
      <c r="R308" s="540"/>
    </row>
    <row r="309" spans="3:18" ht="12">
      <c r="C309" s="1110"/>
      <c r="D309" s="1110"/>
      <c r="E309" s="540"/>
      <c r="F309" s="540"/>
      <c r="G309" s="540"/>
      <c r="H309" s="540"/>
      <c r="I309" s="540"/>
      <c r="J309" s="540"/>
      <c r="K309" s="540"/>
      <c r="L309" s="540"/>
      <c r="M309" s="540"/>
      <c r="N309" s="540"/>
      <c r="O309" s="540"/>
      <c r="P309" s="540"/>
      <c r="Q309" s="540"/>
      <c r="R309" s="540"/>
    </row>
    <row r="310" spans="3:18" ht="12">
      <c r="C310" s="1110"/>
      <c r="D310" s="1110"/>
      <c r="E310" s="540"/>
      <c r="F310" s="540"/>
      <c r="G310" s="540"/>
      <c r="H310" s="540"/>
      <c r="I310" s="540"/>
      <c r="J310" s="540"/>
      <c r="K310" s="540"/>
      <c r="L310" s="540"/>
      <c r="M310" s="540"/>
      <c r="N310" s="540"/>
      <c r="O310" s="540"/>
      <c r="P310" s="540"/>
      <c r="Q310" s="540"/>
      <c r="R310" s="540"/>
    </row>
    <row r="311" spans="3:18" ht="12">
      <c r="C311" s="1110"/>
      <c r="D311" s="1110"/>
      <c r="E311" s="540"/>
      <c r="F311" s="540"/>
      <c r="G311" s="540"/>
      <c r="H311" s="540"/>
      <c r="I311" s="540"/>
      <c r="J311" s="540"/>
      <c r="K311" s="540"/>
      <c r="L311" s="540"/>
      <c r="M311" s="540"/>
      <c r="N311" s="540"/>
      <c r="O311" s="540"/>
      <c r="P311" s="540"/>
      <c r="Q311" s="540"/>
      <c r="R311" s="540"/>
    </row>
    <row r="312" spans="3:18" ht="12">
      <c r="C312" s="1110"/>
      <c r="D312" s="1110"/>
      <c r="E312" s="540"/>
      <c r="F312" s="540"/>
      <c r="G312" s="540"/>
      <c r="H312" s="540"/>
      <c r="I312" s="540"/>
      <c r="J312" s="540"/>
      <c r="K312" s="540"/>
      <c r="L312" s="540"/>
      <c r="M312" s="540"/>
      <c r="N312" s="540"/>
      <c r="O312" s="540"/>
      <c r="P312" s="540"/>
      <c r="Q312" s="540"/>
      <c r="R312" s="540"/>
    </row>
    <row r="313" spans="3:18" ht="12">
      <c r="C313" s="1110"/>
      <c r="D313" s="1110"/>
      <c r="E313" s="540"/>
      <c r="F313" s="540"/>
      <c r="G313" s="540"/>
      <c r="H313" s="540"/>
      <c r="I313" s="540"/>
      <c r="J313" s="540"/>
      <c r="K313" s="540"/>
      <c r="L313" s="540"/>
      <c r="M313" s="540"/>
      <c r="N313" s="540"/>
      <c r="O313" s="540"/>
      <c r="P313" s="540"/>
      <c r="Q313" s="540"/>
      <c r="R313" s="540"/>
    </row>
    <row r="314" spans="3:18" ht="12">
      <c r="C314" s="1110"/>
      <c r="D314" s="1110"/>
      <c r="E314" s="540"/>
      <c r="F314" s="540"/>
      <c r="G314" s="540"/>
      <c r="H314" s="540"/>
      <c r="I314" s="540"/>
      <c r="J314" s="540"/>
      <c r="K314" s="540"/>
      <c r="L314" s="540"/>
      <c r="M314" s="540"/>
      <c r="N314" s="540"/>
      <c r="O314" s="540"/>
      <c r="P314" s="540"/>
      <c r="Q314" s="540"/>
      <c r="R314" s="540"/>
    </row>
    <row r="315" spans="3:18" ht="12">
      <c r="C315" s="1110"/>
      <c r="D315" s="1110"/>
      <c r="E315" s="540"/>
      <c r="F315" s="540"/>
      <c r="G315" s="540"/>
      <c r="H315" s="540"/>
      <c r="I315" s="540"/>
      <c r="J315" s="540"/>
      <c r="K315" s="540"/>
      <c r="L315" s="540"/>
      <c r="M315" s="540"/>
      <c r="N315" s="540"/>
      <c r="O315" s="540"/>
      <c r="P315" s="540"/>
      <c r="Q315" s="540"/>
      <c r="R315" s="540"/>
    </row>
    <row r="316" spans="3:18" ht="12">
      <c r="C316" s="1110"/>
      <c r="D316" s="1110"/>
      <c r="E316" s="540"/>
      <c r="F316" s="540"/>
      <c r="G316" s="540"/>
      <c r="H316" s="540"/>
      <c r="I316" s="540"/>
      <c r="J316" s="540"/>
      <c r="K316" s="540"/>
      <c r="L316" s="540"/>
      <c r="M316" s="540"/>
      <c r="N316" s="540"/>
      <c r="O316" s="540"/>
      <c r="P316" s="540"/>
      <c r="Q316" s="540"/>
      <c r="R316" s="540"/>
    </row>
    <row r="317" spans="3:18" ht="12">
      <c r="C317" s="1110"/>
      <c r="D317" s="1110"/>
      <c r="E317" s="540"/>
      <c r="F317" s="540"/>
      <c r="G317" s="540"/>
      <c r="H317" s="540"/>
      <c r="I317" s="540"/>
      <c r="J317" s="540"/>
      <c r="K317" s="540"/>
      <c r="L317" s="540"/>
      <c r="M317" s="540"/>
      <c r="N317" s="540"/>
      <c r="O317" s="540"/>
      <c r="P317" s="540"/>
      <c r="Q317" s="540"/>
      <c r="R317" s="540"/>
    </row>
    <row r="318" spans="3:18" ht="12">
      <c r="C318" s="1110"/>
      <c r="D318" s="1110"/>
      <c r="E318" s="540"/>
      <c r="F318" s="540"/>
      <c r="G318" s="540"/>
      <c r="H318" s="540"/>
      <c r="I318" s="540"/>
      <c r="J318" s="540"/>
      <c r="K318" s="540"/>
      <c r="L318" s="540"/>
      <c r="M318" s="540"/>
      <c r="N318" s="540"/>
      <c r="O318" s="540"/>
      <c r="P318" s="540"/>
      <c r="Q318" s="540"/>
      <c r="R318" s="540"/>
    </row>
    <row r="319" spans="3:18" ht="12">
      <c r="C319" s="1110"/>
      <c r="D319" s="1110"/>
      <c r="E319" s="540"/>
      <c r="F319" s="540"/>
      <c r="G319" s="540"/>
      <c r="H319" s="540"/>
      <c r="I319" s="540"/>
      <c r="J319" s="540"/>
      <c r="K319" s="540"/>
      <c r="L319" s="540"/>
      <c r="M319" s="540"/>
      <c r="N319" s="540"/>
      <c r="O319" s="540"/>
      <c r="P319" s="540"/>
      <c r="Q319" s="540"/>
      <c r="R319" s="540"/>
    </row>
    <row r="320" spans="3:18" ht="12">
      <c r="C320" s="1110"/>
      <c r="D320" s="1110"/>
      <c r="E320" s="540"/>
      <c r="F320" s="540"/>
      <c r="G320" s="540"/>
      <c r="H320" s="540"/>
      <c r="I320" s="540"/>
      <c r="J320" s="540"/>
      <c r="K320" s="540"/>
      <c r="L320" s="540"/>
      <c r="M320" s="540"/>
      <c r="N320" s="540"/>
      <c r="O320" s="540"/>
      <c r="P320" s="540"/>
      <c r="Q320" s="540"/>
      <c r="R320" s="540"/>
    </row>
    <row r="321" spans="3:18" ht="12">
      <c r="C321" s="1110"/>
      <c r="D321" s="1110"/>
      <c r="E321" s="540"/>
      <c r="F321" s="540"/>
      <c r="G321" s="540"/>
      <c r="H321" s="540"/>
      <c r="I321" s="540"/>
      <c r="J321" s="540"/>
      <c r="K321" s="540"/>
      <c r="L321" s="540"/>
      <c r="M321" s="540"/>
      <c r="N321" s="540"/>
      <c r="O321" s="540"/>
      <c r="P321" s="540"/>
      <c r="Q321" s="540"/>
      <c r="R321" s="540"/>
    </row>
    <row r="322" spans="3:18" ht="12">
      <c r="C322" s="1110"/>
      <c r="D322" s="1110"/>
      <c r="E322" s="540"/>
      <c r="F322" s="540"/>
      <c r="G322" s="540"/>
      <c r="H322" s="540"/>
      <c r="I322" s="540"/>
      <c r="J322" s="540"/>
      <c r="K322" s="540"/>
      <c r="L322" s="540"/>
      <c r="M322" s="540"/>
      <c r="N322" s="540"/>
      <c r="O322" s="540"/>
      <c r="P322" s="540"/>
      <c r="Q322" s="540"/>
      <c r="R322" s="540"/>
    </row>
    <row r="323" spans="3:18" ht="12">
      <c r="C323" s="1110"/>
      <c r="D323" s="1110"/>
      <c r="E323" s="540"/>
      <c r="F323" s="540"/>
      <c r="G323" s="540"/>
      <c r="H323" s="540"/>
      <c r="I323" s="540"/>
      <c r="J323" s="540"/>
      <c r="K323" s="540"/>
      <c r="L323" s="540"/>
      <c r="M323" s="540"/>
      <c r="N323" s="540"/>
      <c r="O323" s="540"/>
      <c r="P323" s="540"/>
      <c r="Q323" s="540"/>
      <c r="R323" s="540"/>
    </row>
    <row r="324" spans="3:18" ht="12">
      <c r="C324" s="1110"/>
      <c r="D324" s="1110"/>
      <c r="E324" s="540"/>
      <c r="F324" s="540"/>
      <c r="G324" s="540"/>
      <c r="H324" s="540"/>
      <c r="I324" s="540"/>
      <c r="J324" s="540"/>
      <c r="K324" s="540"/>
      <c r="L324" s="540"/>
      <c r="M324" s="540"/>
      <c r="N324" s="540"/>
      <c r="O324" s="540"/>
      <c r="P324" s="540"/>
      <c r="Q324" s="540"/>
      <c r="R324" s="540"/>
    </row>
    <row r="325" spans="3:18" ht="12">
      <c r="C325" s="1110"/>
      <c r="D325" s="1110"/>
      <c r="E325" s="540"/>
      <c r="F325" s="540"/>
      <c r="G325" s="540"/>
      <c r="H325" s="540"/>
      <c r="I325" s="540"/>
      <c r="J325" s="540"/>
      <c r="K325" s="540"/>
      <c r="L325" s="540"/>
      <c r="M325" s="540"/>
      <c r="N325" s="540"/>
      <c r="O325" s="540"/>
      <c r="P325" s="540"/>
      <c r="Q325" s="540"/>
      <c r="R325" s="540"/>
    </row>
    <row r="326" spans="3:18" ht="12">
      <c r="C326" s="1110"/>
      <c r="D326" s="1110"/>
      <c r="E326" s="540"/>
      <c r="F326" s="540"/>
      <c r="G326" s="540"/>
      <c r="H326" s="540"/>
      <c r="I326" s="540"/>
      <c r="J326" s="540"/>
      <c r="K326" s="540"/>
      <c r="L326" s="540"/>
      <c r="M326" s="540"/>
      <c r="N326" s="540"/>
      <c r="O326" s="540"/>
      <c r="P326" s="540"/>
      <c r="Q326" s="540"/>
      <c r="R326" s="540"/>
    </row>
    <row r="327" spans="3:18" ht="12">
      <c r="C327" s="1110"/>
      <c r="D327" s="1110"/>
      <c r="E327" s="540"/>
      <c r="F327" s="540"/>
      <c r="G327" s="540"/>
      <c r="H327" s="540"/>
      <c r="I327" s="540"/>
      <c r="J327" s="540"/>
      <c r="K327" s="540"/>
      <c r="L327" s="540"/>
      <c r="M327" s="540"/>
      <c r="N327" s="540"/>
      <c r="O327" s="540"/>
      <c r="P327" s="540"/>
      <c r="Q327" s="540"/>
      <c r="R327" s="540"/>
    </row>
    <row r="328" spans="3:18" ht="12">
      <c r="C328" s="1110"/>
      <c r="D328" s="1110"/>
      <c r="E328" s="540"/>
      <c r="F328" s="540"/>
      <c r="G328" s="540"/>
      <c r="H328" s="540"/>
      <c r="I328" s="540"/>
      <c r="J328" s="540"/>
      <c r="K328" s="540"/>
      <c r="L328" s="540"/>
      <c r="M328" s="540"/>
      <c r="N328" s="540"/>
      <c r="O328" s="540"/>
      <c r="P328" s="540"/>
      <c r="Q328" s="540"/>
      <c r="R328" s="540"/>
    </row>
    <row r="329" spans="3:18" ht="12">
      <c r="C329" s="1110"/>
      <c r="D329" s="1110"/>
      <c r="E329" s="540"/>
      <c r="F329" s="540"/>
      <c r="G329" s="540"/>
      <c r="H329" s="540"/>
      <c r="I329" s="540"/>
      <c r="J329" s="540"/>
      <c r="K329" s="540"/>
      <c r="L329" s="540"/>
      <c r="M329" s="540"/>
      <c r="N329" s="540"/>
      <c r="O329" s="540"/>
      <c r="P329" s="540"/>
      <c r="Q329" s="540"/>
      <c r="R329" s="540"/>
    </row>
    <row r="330" spans="3:18" ht="12">
      <c r="C330" s="1110"/>
      <c r="D330" s="1110"/>
      <c r="E330" s="540"/>
      <c r="F330" s="540"/>
      <c r="G330" s="540"/>
      <c r="H330" s="540"/>
      <c r="I330" s="540"/>
      <c r="J330" s="540"/>
      <c r="K330" s="540"/>
      <c r="L330" s="540"/>
      <c r="M330" s="540"/>
      <c r="N330" s="540"/>
      <c r="O330" s="540"/>
      <c r="P330" s="540"/>
      <c r="Q330" s="540"/>
      <c r="R330" s="540"/>
    </row>
    <row r="331" spans="3:18" ht="12">
      <c r="C331" s="1110"/>
      <c r="D331" s="1110"/>
      <c r="E331" s="540"/>
      <c r="F331" s="540"/>
      <c r="G331" s="540"/>
      <c r="H331" s="540"/>
      <c r="I331" s="540"/>
      <c r="J331" s="540"/>
      <c r="K331" s="540"/>
      <c r="L331" s="540"/>
      <c r="M331" s="540"/>
      <c r="N331" s="540"/>
      <c r="O331" s="540"/>
      <c r="P331" s="540"/>
      <c r="Q331" s="540"/>
      <c r="R331" s="540"/>
    </row>
    <row r="332" spans="3:18" ht="12">
      <c r="C332" s="1110"/>
      <c r="D332" s="1110"/>
      <c r="E332" s="540"/>
      <c r="F332" s="540"/>
      <c r="G332" s="540"/>
      <c r="H332" s="540"/>
      <c r="I332" s="540"/>
      <c r="J332" s="540"/>
      <c r="K332" s="540"/>
      <c r="L332" s="540"/>
      <c r="M332" s="540"/>
      <c r="N332" s="540"/>
      <c r="O332" s="540"/>
      <c r="P332" s="540"/>
      <c r="Q332" s="540"/>
      <c r="R332" s="540"/>
    </row>
    <row r="333" spans="3:18" ht="12">
      <c r="C333" s="1110"/>
      <c r="D333" s="1110"/>
      <c r="E333" s="540"/>
      <c r="F333" s="540"/>
      <c r="G333" s="540"/>
      <c r="H333" s="540"/>
      <c r="I333" s="540"/>
      <c r="J333" s="540"/>
      <c r="K333" s="540"/>
      <c r="L333" s="540"/>
      <c r="M333" s="540"/>
      <c r="N333" s="540"/>
      <c r="O333" s="540"/>
      <c r="P333" s="540"/>
      <c r="Q333" s="540"/>
      <c r="R333" s="540"/>
    </row>
    <row r="334" spans="3:18" ht="12">
      <c r="C334" s="1110"/>
      <c r="D334" s="1110"/>
      <c r="E334" s="540"/>
      <c r="F334" s="540"/>
      <c r="G334" s="540"/>
      <c r="H334" s="540"/>
      <c r="I334" s="540"/>
      <c r="J334" s="540"/>
      <c r="K334" s="540"/>
      <c r="L334" s="540"/>
      <c r="M334" s="540"/>
      <c r="N334" s="540"/>
      <c r="O334" s="540"/>
      <c r="P334" s="540"/>
      <c r="Q334" s="540"/>
      <c r="R334" s="540"/>
    </row>
    <row r="335" spans="3:18" ht="12">
      <c r="C335" s="1110"/>
      <c r="D335" s="1110"/>
      <c r="E335" s="540"/>
      <c r="F335" s="540"/>
      <c r="G335" s="540"/>
      <c r="H335" s="540"/>
      <c r="I335" s="540"/>
      <c r="J335" s="540"/>
      <c r="K335" s="540"/>
      <c r="L335" s="540"/>
      <c r="M335" s="540"/>
      <c r="N335" s="540"/>
      <c r="O335" s="540"/>
      <c r="P335" s="540"/>
      <c r="Q335" s="540"/>
      <c r="R335" s="540"/>
    </row>
    <row r="336" spans="3:18" ht="12">
      <c r="C336" s="1110"/>
      <c r="D336" s="1110"/>
      <c r="E336" s="540"/>
      <c r="F336" s="540"/>
      <c r="G336" s="540"/>
      <c r="H336" s="540"/>
      <c r="I336" s="540"/>
      <c r="J336" s="540"/>
      <c r="K336" s="540"/>
      <c r="L336" s="540"/>
      <c r="M336" s="540"/>
      <c r="N336" s="540"/>
      <c r="O336" s="540"/>
      <c r="P336" s="540"/>
      <c r="Q336" s="540"/>
      <c r="R336" s="540"/>
    </row>
    <row r="337" spans="3:18" ht="12">
      <c r="C337" s="1110"/>
      <c r="D337" s="1110"/>
      <c r="E337" s="540"/>
      <c r="F337" s="540"/>
      <c r="G337" s="540"/>
      <c r="H337" s="540"/>
      <c r="I337" s="540"/>
      <c r="J337" s="540"/>
      <c r="K337" s="540"/>
      <c r="L337" s="540"/>
      <c r="M337" s="540"/>
      <c r="N337" s="540"/>
      <c r="O337" s="540"/>
      <c r="P337" s="540"/>
      <c r="Q337" s="540"/>
      <c r="R337" s="540"/>
    </row>
    <row r="338" spans="3:18" ht="12">
      <c r="C338" s="1110"/>
      <c r="D338" s="1110"/>
      <c r="E338" s="540"/>
      <c r="F338" s="540"/>
      <c r="G338" s="540"/>
      <c r="H338" s="540"/>
      <c r="I338" s="540"/>
      <c r="J338" s="540"/>
      <c r="K338" s="540"/>
      <c r="L338" s="540"/>
      <c r="M338" s="540"/>
      <c r="N338" s="540"/>
      <c r="O338" s="540"/>
      <c r="P338" s="540"/>
      <c r="Q338" s="540"/>
      <c r="R338" s="540"/>
    </row>
    <row r="339" spans="3:18" ht="12">
      <c r="E339" s="165"/>
      <c r="F339" s="540"/>
      <c r="G339" s="540"/>
      <c r="H339" s="165"/>
      <c r="I339" s="165"/>
      <c r="J339" s="165"/>
      <c r="K339" s="165"/>
      <c r="L339" s="165"/>
      <c r="M339" s="165"/>
      <c r="N339" s="165"/>
      <c r="O339" s="165"/>
      <c r="P339" s="165"/>
      <c r="Q339" s="165"/>
      <c r="R339" s="165"/>
    </row>
    <row r="340" spans="3:18" ht="12">
      <c r="E340" s="165"/>
      <c r="F340" s="540"/>
      <c r="G340" s="540"/>
      <c r="H340" s="165"/>
      <c r="I340" s="165"/>
      <c r="J340" s="165"/>
      <c r="K340" s="165"/>
      <c r="L340" s="165"/>
      <c r="M340" s="165"/>
      <c r="N340" s="165"/>
      <c r="O340" s="165"/>
      <c r="P340" s="165"/>
      <c r="Q340" s="165"/>
      <c r="R340" s="165"/>
    </row>
    <row r="341" spans="3:18" ht="12">
      <c r="E341" s="165"/>
      <c r="F341" s="540"/>
      <c r="G341" s="540"/>
      <c r="H341" s="165"/>
      <c r="I341" s="165"/>
      <c r="J341" s="165"/>
      <c r="K341" s="165"/>
      <c r="L341" s="165"/>
      <c r="M341" s="165"/>
      <c r="N341" s="165"/>
      <c r="O341" s="165"/>
      <c r="P341" s="165"/>
      <c r="Q341" s="165"/>
      <c r="R341" s="165"/>
    </row>
    <row r="342" spans="3:18" ht="12">
      <c r="E342" s="165"/>
      <c r="F342" s="540"/>
      <c r="G342" s="540"/>
      <c r="H342" s="165"/>
      <c r="I342" s="165"/>
      <c r="J342" s="165"/>
      <c r="K342" s="165"/>
      <c r="L342" s="165"/>
      <c r="M342" s="165"/>
      <c r="N342" s="165"/>
      <c r="O342" s="165"/>
      <c r="P342" s="165"/>
      <c r="Q342" s="165"/>
      <c r="R342" s="165"/>
    </row>
    <row r="343" spans="3:18" ht="12">
      <c r="E343" s="165"/>
      <c r="F343" s="540"/>
      <c r="G343" s="540"/>
      <c r="H343" s="165"/>
      <c r="I343" s="165"/>
      <c r="J343" s="165"/>
      <c r="K343" s="165"/>
      <c r="L343" s="165"/>
      <c r="M343" s="165"/>
      <c r="N343" s="165"/>
      <c r="O343" s="165"/>
      <c r="P343" s="165"/>
      <c r="Q343" s="165"/>
      <c r="R343" s="165"/>
    </row>
    <row r="344" spans="3:18" ht="12">
      <c r="E344" s="165"/>
      <c r="F344" s="540"/>
      <c r="G344" s="540"/>
      <c r="H344" s="165"/>
      <c r="I344" s="165"/>
      <c r="J344" s="165"/>
      <c r="K344" s="165"/>
      <c r="L344" s="165"/>
      <c r="M344" s="165"/>
      <c r="N344" s="165"/>
      <c r="O344" s="165"/>
      <c r="P344" s="165"/>
      <c r="Q344" s="165"/>
      <c r="R344" s="165"/>
    </row>
    <row r="345" spans="3:18" ht="12">
      <c r="E345" s="165"/>
      <c r="F345" s="540"/>
      <c r="G345" s="540"/>
      <c r="H345" s="165"/>
      <c r="I345" s="165"/>
      <c r="J345" s="165"/>
      <c r="K345" s="165"/>
      <c r="L345" s="165"/>
      <c r="M345" s="165"/>
      <c r="N345" s="165"/>
      <c r="O345" s="165"/>
      <c r="P345" s="165"/>
      <c r="Q345" s="165"/>
      <c r="R345" s="165"/>
    </row>
    <row r="346" spans="3:18" ht="12">
      <c r="E346" s="165"/>
      <c r="F346" s="540"/>
      <c r="G346" s="540"/>
      <c r="H346" s="165"/>
      <c r="I346" s="165"/>
      <c r="J346" s="165"/>
      <c r="K346" s="165"/>
      <c r="L346" s="165"/>
      <c r="M346" s="165"/>
      <c r="N346" s="165"/>
      <c r="O346" s="165"/>
      <c r="P346" s="165"/>
      <c r="Q346" s="165"/>
      <c r="R346" s="165"/>
    </row>
    <row r="347" spans="3:18" ht="12">
      <c r="E347" s="165"/>
      <c r="F347" s="540"/>
      <c r="G347" s="540"/>
      <c r="H347" s="165"/>
      <c r="I347" s="165"/>
      <c r="J347" s="165"/>
      <c r="K347" s="165"/>
      <c r="L347" s="165"/>
      <c r="M347" s="165"/>
      <c r="N347" s="165"/>
      <c r="O347" s="165"/>
      <c r="P347" s="165"/>
      <c r="Q347" s="165"/>
      <c r="R347" s="165"/>
    </row>
    <row r="348" spans="3:18">
      <c r="E348" s="35"/>
      <c r="F348" s="542"/>
      <c r="G348" s="542"/>
      <c r="H348" s="532"/>
      <c r="I348" s="35"/>
      <c r="J348" s="35"/>
      <c r="K348" s="35"/>
      <c r="L348" s="35"/>
      <c r="M348" s="532"/>
      <c r="N348" s="35"/>
      <c r="O348" s="35"/>
      <c r="P348" s="35"/>
      <c r="Q348" s="35"/>
      <c r="R348" s="532"/>
    </row>
    <row r="349" spans="3:18">
      <c r="E349" s="35"/>
      <c r="F349" s="542"/>
      <c r="G349" s="542"/>
      <c r="H349" s="532"/>
      <c r="I349" s="35"/>
      <c r="J349" s="35"/>
      <c r="K349" s="35"/>
      <c r="L349" s="35"/>
      <c r="M349" s="532"/>
      <c r="N349" s="35"/>
      <c r="O349" s="35"/>
      <c r="P349" s="35"/>
      <c r="Q349" s="35"/>
      <c r="R349" s="532"/>
    </row>
    <row r="350" spans="3:18">
      <c r="E350" s="35"/>
      <c r="F350" s="542"/>
      <c r="G350" s="542"/>
      <c r="H350" s="532"/>
      <c r="I350" s="35"/>
      <c r="J350" s="35"/>
      <c r="K350" s="35"/>
      <c r="L350" s="35"/>
      <c r="M350" s="532"/>
      <c r="N350" s="35"/>
      <c r="O350" s="35"/>
      <c r="P350" s="35"/>
      <c r="Q350" s="35"/>
      <c r="R350" s="532"/>
    </row>
    <row r="351" spans="3:18">
      <c r="E351" s="35"/>
      <c r="F351" s="542"/>
      <c r="G351" s="542"/>
      <c r="H351" s="532"/>
      <c r="I351" s="35"/>
      <c r="J351" s="35"/>
      <c r="K351" s="35"/>
      <c r="L351" s="35"/>
      <c r="M351" s="532"/>
      <c r="N351" s="35"/>
      <c r="O351" s="35"/>
      <c r="P351" s="35"/>
      <c r="Q351" s="35"/>
      <c r="R351" s="532"/>
    </row>
    <row r="352" spans="3:18">
      <c r="E352" s="35"/>
      <c r="F352" s="542"/>
      <c r="G352" s="542"/>
      <c r="H352" s="532"/>
      <c r="I352" s="35"/>
      <c r="J352" s="35"/>
      <c r="K352" s="35"/>
      <c r="L352" s="35"/>
      <c r="M352" s="532"/>
      <c r="N352" s="35"/>
      <c r="O352" s="35"/>
      <c r="P352" s="35"/>
      <c r="Q352" s="35"/>
      <c r="R352" s="532"/>
    </row>
    <row r="353" spans="5:18">
      <c r="E353" s="35"/>
      <c r="F353" s="542"/>
      <c r="G353" s="542"/>
      <c r="H353" s="532"/>
      <c r="I353" s="35"/>
      <c r="J353" s="35"/>
      <c r="K353" s="35"/>
      <c r="L353" s="35"/>
      <c r="M353" s="532"/>
      <c r="N353" s="35"/>
      <c r="O353" s="35"/>
      <c r="P353" s="35"/>
      <c r="Q353" s="35"/>
      <c r="R353" s="532"/>
    </row>
    <row r="354" spans="5:18">
      <c r="E354" s="35"/>
      <c r="F354" s="542"/>
      <c r="G354" s="542"/>
      <c r="H354" s="532"/>
      <c r="I354" s="35"/>
      <c r="J354" s="35"/>
      <c r="K354" s="35"/>
      <c r="L354" s="35"/>
      <c r="M354" s="532"/>
      <c r="N354" s="35"/>
      <c r="O354" s="35"/>
      <c r="P354" s="35"/>
      <c r="Q354" s="35"/>
      <c r="R354" s="532"/>
    </row>
    <row r="355" spans="5:18">
      <c r="E355" s="35"/>
      <c r="F355" s="542"/>
      <c r="G355" s="542"/>
      <c r="H355" s="532"/>
      <c r="I355" s="35"/>
      <c r="J355" s="35"/>
      <c r="K355" s="35"/>
      <c r="L355" s="35"/>
      <c r="M355" s="532"/>
      <c r="N355" s="35"/>
      <c r="O355" s="35"/>
      <c r="P355" s="35"/>
      <c r="Q355" s="35"/>
      <c r="R355" s="532"/>
    </row>
    <row r="356" spans="5:18">
      <c r="E356" s="35"/>
      <c r="F356" s="542"/>
      <c r="G356" s="542"/>
      <c r="H356" s="532"/>
      <c r="I356" s="35"/>
      <c r="J356" s="35"/>
      <c r="K356" s="35"/>
      <c r="L356" s="35"/>
      <c r="M356" s="532"/>
      <c r="N356" s="35"/>
      <c r="O356" s="35"/>
      <c r="P356" s="35"/>
      <c r="Q356" s="35"/>
      <c r="R356" s="532"/>
    </row>
    <row r="357" spans="5:18">
      <c r="E357" s="35"/>
      <c r="F357" s="542"/>
      <c r="G357" s="542"/>
      <c r="H357" s="532"/>
      <c r="I357" s="35"/>
      <c r="J357" s="35"/>
      <c r="K357" s="35"/>
      <c r="L357" s="35"/>
      <c r="M357" s="532"/>
      <c r="N357" s="35"/>
      <c r="O357" s="35"/>
      <c r="P357" s="35"/>
      <c r="Q357" s="35"/>
      <c r="R357" s="532"/>
    </row>
    <row r="358" spans="5:18">
      <c r="E358" s="35"/>
      <c r="F358" s="542"/>
      <c r="G358" s="542"/>
      <c r="H358" s="532"/>
      <c r="I358" s="35"/>
      <c r="J358" s="35"/>
      <c r="K358" s="35"/>
      <c r="L358" s="35"/>
      <c r="M358" s="532"/>
      <c r="N358" s="35"/>
      <c r="O358" s="35"/>
      <c r="P358" s="35"/>
      <c r="Q358" s="35"/>
      <c r="R358" s="532"/>
    </row>
    <row r="359" spans="5:18">
      <c r="E359" s="35"/>
      <c r="F359" s="542"/>
      <c r="G359" s="542"/>
      <c r="H359" s="532"/>
      <c r="I359" s="35"/>
      <c r="J359" s="35"/>
      <c r="K359" s="35"/>
      <c r="L359" s="35"/>
      <c r="M359" s="532"/>
      <c r="N359" s="35"/>
      <c r="O359" s="35"/>
      <c r="P359" s="35"/>
      <c r="Q359" s="35"/>
      <c r="R359" s="532"/>
    </row>
    <row r="360" spans="5:18">
      <c r="E360" s="35"/>
      <c r="F360" s="542"/>
      <c r="G360" s="542"/>
      <c r="H360" s="532"/>
      <c r="I360" s="35"/>
      <c r="J360" s="35"/>
      <c r="K360" s="35"/>
      <c r="L360" s="35"/>
      <c r="M360" s="532"/>
      <c r="N360" s="35"/>
      <c r="O360" s="35"/>
      <c r="P360" s="35"/>
      <c r="Q360" s="35"/>
      <c r="R360" s="532"/>
    </row>
    <row r="361" spans="5:18">
      <c r="E361" s="35"/>
      <c r="F361" s="542"/>
      <c r="G361" s="542"/>
      <c r="H361" s="532"/>
      <c r="I361" s="35"/>
      <c r="J361" s="35"/>
      <c r="K361" s="35"/>
      <c r="L361" s="35"/>
      <c r="M361" s="532"/>
      <c r="N361" s="35"/>
      <c r="O361" s="35"/>
      <c r="P361" s="35"/>
      <c r="Q361" s="35"/>
      <c r="R361" s="532"/>
    </row>
    <row r="362" spans="5:18">
      <c r="E362" s="35"/>
      <c r="F362" s="542"/>
      <c r="G362" s="542"/>
      <c r="H362" s="532"/>
      <c r="I362" s="35"/>
      <c r="J362" s="35"/>
      <c r="K362" s="35"/>
      <c r="L362" s="35"/>
      <c r="M362" s="532"/>
      <c r="N362" s="35"/>
      <c r="O362" s="35"/>
      <c r="P362" s="35"/>
      <c r="Q362" s="35"/>
      <c r="R362" s="532"/>
    </row>
    <row r="363" spans="5:18">
      <c r="E363" s="35"/>
      <c r="F363" s="542"/>
      <c r="G363" s="542"/>
      <c r="H363" s="532"/>
      <c r="I363" s="35"/>
      <c r="J363" s="35"/>
      <c r="K363" s="35"/>
      <c r="L363" s="35"/>
      <c r="M363" s="532"/>
      <c r="N363" s="35"/>
      <c r="O363" s="35"/>
      <c r="P363" s="35"/>
      <c r="Q363" s="35"/>
      <c r="R363" s="532"/>
    </row>
    <row r="364" spans="5:18">
      <c r="E364" s="35"/>
      <c r="F364" s="542"/>
      <c r="G364" s="542"/>
      <c r="H364" s="532"/>
      <c r="I364" s="35"/>
      <c r="J364" s="35"/>
      <c r="K364" s="35"/>
      <c r="L364" s="35"/>
      <c r="M364" s="532"/>
      <c r="N364" s="35"/>
      <c r="O364" s="35"/>
      <c r="P364" s="35"/>
      <c r="Q364" s="35"/>
      <c r="R364" s="532"/>
    </row>
    <row r="365" spans="5:18">
      <c r="E365" s="35"/>
      <c r="F365" s="542"/>
      <c r="G365" s="542"/>
      <c r="H365" s="532"/>
      <c r="I365" s="35"/>
      <c r="J365" s="35"/>
      <c r="K365" s="35"/>
      <c r="L365" s="35"/>
      <c r="M365" s="532"/>
      <c r="N365" s="35"/>
      <c r="O365" s="35"/>
      <c r="P365" s="35"/>
      <c r="Q365" s="35"/>
      <c r="R365" s="532"/>
    </row>
    <row r="366" spans="5:18">
      <c r="E366" s="35"/>
      <c r="F366" s="542"/>
      <c r="G366" s="542"/>
      <c r="H366" s="532"/>
      <c r="I366" s="35"/>
      <c r="J366" s="35"/>
      <c r="K366" s="35"/>
      <c r="L366" s="35"/>
      <c r="M366" s="532"/>
      <c r="N366" s="35"/>
      <c r="O366" s="35"/>
      <c r="P366" s="35"/>
      <c r="Q366" s="35"/>
      <c r="R366" s="532"/>
    </row>
    <row r="367" spans="5:18">
      <c r="E367" s="35"/>
      <c r="F367" s="542"/>
      <c r="G367" s="542"/>
      <c r="H367" s="532"/>
      <c r="I367" s="35"/>
      <c r="J367" s="35"/>
      <c r="K367" s="35"/>
      <c r="L367" s="35"/>
      <c r="M367" s="532"/>
      <c r="N367" s="35"/>
      <c r="O367" s="35"/>
      <c r="P367" s="35"/>
      <c r="Q367" s="35"/>
      <c r="R367" s="532"/>
    </row>
    <row r="368" spans="5:18">
      <c r="E368" s="35"/>
      <c r="F368" s="542"/>
      <c r="G368" s="542"/>
      <c r="H368" s="532"/>
      <c r="I368" s="35"/>
      <c r="J368" s="35"/>
      <c r="K368" s="35"/>
      <c r="L368" s="35"/>
      <c r="M368" s="532"/>
      <c r="N368" s="35"/>
      <c r="O368" s="35"/>
      <c r="P368" s="35"/>
      <c r="Q368" s="35"/>
      <c r="R368" s="532"/>
    </row>
    <row r="369" spans="5:18">
      <c r="E369" s="35"/>
      <c r="F369" s="542"/>
      <c r="G369" s="542"/>
      <c r="H369" s="532"/>
      <c r="I369" s="35"/>
      <c r="J369" s="35"/>
      <c r="K369" s="35"/>
      <c r="L369" s="35"/>
      <c r="M369" s="532"/>
      <c r="N369" s="35"/>
      <c r="O369" s="35"/>
      <c r="P369" s="35"/>
      <c r="Q369" s="35"/>
      <c r="R369" s="532"/>
    </row>
    <row r="370" spans="5:18">
      <c r="E370" s="35"/>
      <c r="F370" s="542"/>
      <c r="G370" s="542"/>
      <c r="H370" s="532"/>
      <c r="I370" s="35"/>
      <c r="J370" s="35"/>
      <c r="K370" s="35"/>
      <c r="L370" s="35"/>
      <c r="M370" s="532"/>
      <c r="N370" s="35"/>
      <c r="O370" s="35"/>
      <c r="P370" s="35"/>
      <c r="Q370" s="35"/>
      <c r="R370" s="532"/>
    </row>
    <row r="371" spans="5:18">
      <c r="E371" s="35"/>
      <c r="F371" s="542"/>
      <c r="G371" s="542"/>
      <c r="H371" s="532"/>
      <c r="I371" s="35"/>
      <c r="J371" s="35"/>
      <c r="K371" s="35"/>
      <c r="L371" s="35"/>
      <c r="M371" s="532"/>
      <c r="N371" s="35"/>
      <c r="O371" s="35"/>
      <c r="P371" s="35"/>
      <c r="Q371" s="35"/>
      <c r="R371" s="532"/>
    </row>
    <row r="372" spans="5:18">
      <c r="E372" s="35"/>
      <c r="F372" s="542"/>
      <c r="G372" s="542"/>
      <c r="H372" s="532"/>
      <c r="I372" s="35"/>
      <c r="J372" s="35"/>
      <c r="K372" s="35"/>
      <c r="L372" s="35"/>
      <c r="M372" s="532"/>
      <c r="N372" s="35"/>
      <c r="O372" s="35"/>
      <c r="P372" s="35"/>
      <c r="Q372" s="35"/>
      <c r="R372" s="532"/>
    </row>
    <row r="373" spans="5:18">
      <c r="E373" s="35"/>
      <c r="F373" s="542"/>
      <c r="G373" s="542"/>
      <c r="H373" s="532"/>
      <c r="I373" s="35"/>
      <c r="J373" s="35"/>
      <c r="K373" s="35"/>
      <c r="L373" s="35"/>
      <c r="M373" s="532"/>
      <c r="N373" s="35"/>
      <c r="O373" s="35"/>
      <c r="P373" s="35"/>
      <c r="Q373" s="35"/>
      <c r="R373" s="532"/>
    </row>
    <row r="374" spans="5:18">
      <c r="E374" s="35"/>
      <c r="F374" s="542"/>
      <c r="G374" s="542"/>
      <c r="H374" s="532"/>
      <c r="I374" s="35"/>
      <c r="J374" s="35"/>
      <c r="K374" s="35"/>
      <c r="L374" s="35"/>
      <c r="M374" s="532"/>
      <c r="N374" s="35"/>
      <c r="O374" s="35"/>
      <c r="P374" s="35"/>
      <c r="Q374" s="35"/>
      <c r="R374" s="532"/>
    </row>
    <row r="375" spans="5:18">
      <c r="E375" s="35"/>
      <c r="F375" s="542"/>
      <c r="G375" s="542"/>
      <c r="H375" s="532"/>
      <c r="I375" s="35"/>
      <c r="J375" s="35"/>
      <c r="K375" s="35"/>
      <c r="L375" s="35"/>
      <c r="M375" s="532"/>
      <c r="N375" s="35"/>
      <c r="O375" s="35"/>
      <c r="P375" s="35"/>
      <c r="Q375" s="35"/>
      <c r="R375" s="532"/>
    </row>
    <row r="376" spans="5:18">
      <c r="E376" s="35"/>
      <c r="F376" s="542"/>
      <c r="G376" s="542"/>
      <c r="H376" s="532"/>
      <c r="I376" s="35"/>
      <c r="J376" s="35"/>
      <c r="K376" s="35"/>
      <c r="L376" s="35"/>
      <c r="M376" s="532"/>
      <c r="N376" s="35"/>
      <c r="O376" s="35"/>
      <c r="P376" s="35"/>
      <c r="Q376" s="35"/>
      <c r="R376" s="532"/>
    </row>
    <row r="377" spans="5:18">
      <c r="E377" s="35"/>
      <c r="F377" s="542"/>
      <c r="G377" s="542"/>
      <c r="H377" s="532"/>
      <c r="I377" s="35"/>
      <c r="J377" s="35"/>
      <c r="K377" s="35"/>
      <c r="L377" s="35"/>
      <c r="M377" s="532"/>
      <c r="N377" s="35"/>
      <c r="O377" s="35"/>
      <c r="P377" s="35"/>
      <c r="Q377" s="35"/>
      <c r="R377" s="532"/>
    </row>
    <row r="378" spans="5:18">
      <c r="E378" s="35"/>
      <c r="F378" s="542"/>
      <c r="G378" s="542"/>
      <c r="H378" s="532"/>
      <c r="I378" s="35"/>
      <c r="J378" s="35"/>
      <c r="K378" s="35"/>
      <c r="L378" s="35"/>
      <c r="M378" s="532"/>
      <c r="N378" s="35"/>
      <c r="O378" s="35"/>
      <c r="P378" s="35"/>
      <c r="Q378" s="35"/>
      <c r="R378" s="532"/>
    </row>
    <row r="379" spans="5:18">
      <c r="E379" s="35"/>
      <c r="F379" s="542"/>
      <c r="G379" s="542"/>
      <c r="H379" s="532"/>
      <c r="I379" s="35"/>
      <c r="J379" s="35"/>
      <c r="K379" s="35"/>
      <c r="L379" s="35"/>
      <c r="M379" s="532"/>
      <c r="N379" s="35"/>
      <c r="O379" s="35"/>
      <c r="P379" s="35"/>
      <c r="Q379" s="35"/>
      <c r="R379" s="532"/>
    </row>
    <row r="380" spans="5:18">
      <c r="E380" s="35"/>
      <c r="F380" s="542"/>
      <c r="G380" s="542"/>
      <c r="H380" s="532"/>
      <c r="I380" s="35"/>
      <c r="J380" s="35"/>
      <c r="K380" s="35"/>
      <c r="L380" s="35"/>
      <c r="M380" s="532"/>
      <c r="N380" s="35"/>
      <c r="O380" s="35"/>
      <c r="P380" s="35"/>
      <c r="Q380" s="35"/>
      <c r="R380" s="532"/>
    </row>
    <row r="381" spans="5:18">
      <c r="E381" s="35"/>
      <c r="F381" s="542"/>
      <c r="G381" s="542"/>
      <c r="H381" s="532"/>
      <c r="I381" s="35"/>
      <c r="J381" s="35"/>
      <c r="K381" s="35"/>
      <c r="L381" s="35"/>
      <c r="M381" s="532"/>
      <c r="N381" s="35"/>
      <c r="O381" s="35"/>
      <c r="P381" s="35"/>
      <c r="Q381" s="35"/>
      <c r="R381" s="532"/>
    </row>
    <row r="382" spans="5:18">
      <c r="E382" s="35"/>
      <c r="F382" s="542"/>
      <c r="G382" s="542"/>
      <c r="H382" s="532"/>
      <c r="I382" s="35"/>
      <c r="J382" s="35"/>
      <c r="K382" s="35"/>
      <c r="L382" s="35"/>
      <c r="M382" s="532"/>
      <c r="N382" s="35"/>
      <c r="O382" s="35"/>
      <c r="P382" s="35"/>
      <c r="Q382" s="35"/>
      <c r="R382" s="532"/>
    </row>
    <row r="383" spans="5:18">
      <c r="E383" s="35"/>
      <c r="F383" s="542"/>
      <c r="G383" s="542"/>
      <c r="H383" s="532"/>
      <c r="I383" s="35"/>
      <c r="J383" s="35"/>
      <c r="K383" s="35"/>
      <c r="L383" s="35"/>
      <c r="M383" s="532"/>
      <c r="N383" s="35"/>
      <c r="O383" s="35"/>
      <c r="P383" s="35"/>
      <c r="Q383" s="35"/>
      <c r="R383" s="532"/>
    </row>
    <row r="384" spans="5:18">
      <c r="E384" s="35"/>
      <c r="F384" s="542"/>
      <c r="G384" s="542"/>
      <c r="H384" s="532"/>
      <c r="I384" s="35"/>
      <c r="J384" s="35"/>
      <c r="K384" s="35"/>
      <c r="L384" s="35"/>
      <c r="M384" s="532"/>
      <c r="N384" s="35"/>
      <c r="O384" s="35"/>
      <c r="P384" s="35"/>
      <c r="Q384" s="35"/>
      <c r="R384" s="532"/>
    </row>
    <row r="385" spans="5:18">
      <c r="E385" s="35"/>
      <c r="F385" s="542"/>
      <c r="G385" s="542"/>
      <c r="H385" s="532"/>
      <c r="I385" s="35"/>
      <c r="J385" s="35"/>
      <c r="K385" s="35"/>
      <c r="L385" s="35"/>
      <c r="M385" s="532"/>
      <c r="N385" s="35"/>
      <c r="O385" s="35"/>
      <c r="P385" s="35"/>
      <c r="Q385" s="35"/>
      <c r="R385" s="532"/>
    </row>
    <row r="386" spans="5:18">
      <c r="E386" s="35"/>
      <c r="F386" s="542"/>
      <c r="G386" s="542"/>
      <c r="H386" s="532"/>
      <c r="I386" s="35"/>
      <c r="J386" s="35"/>
      <c r="K386" s="35"/>
      <c r="L386" s="35"/>
      <c r="M386" s="532"/>
      <c r="N386" s="35"/>
      <c r="O386" s="35"/>
      <c r="P386" s="35"/>
      <c r="Q386" s="35"/>
      <c r="R386" s="532"/>
    </row>
    <row r="387" spans="5:18">
      <c r="E387" s="35"/>
      <c r="F387" s="542"/>
      <c r="G387" s="542"/>
      <c r="H387" s="532"/>
      <c r="I387" s="35"/>
      <c r="J387" s="35"/>
      <c r="K387" s="35"/>
      <c r="L387" s="35"/>
      <c r="M387" s="532"/>
      <c r="N387" s="35"/>
      <c r="O387" s="35"/>
      <c r="P387" s="35"/>
      <c r="Q387" s="35"/>
      <c r="R387" s="532"/>
    </row>
    <row r="388" spans="5:18">
      <c r="E388" s="35"/>
      <c r="F388" s="542"/>
      <c r="G388" s="542"/>
      <c r="H388" s="532"/>
      <c r="I388" s="35"/>
      <c r="J388" s="35"/>
      <c r="K388" s="35"/>
      <c r="L388" s="35"/>
      <c r="M388" s="532"/>
      <c r="N388" s="35"/>
      <c r="O388" s="35"/>
      <c r="P388" s="35"/>
      <c r="Q388" s="35"/>
      <c r="R388" s="532"/>
    </row>
    <row r="389" spans="5:18">
      <c r="E389" s="35"/>
      <c r="F389" s="542"/>
      <c r="G389" s="542"/>
      <c r="H389" s="532"/>
      <c r="I389" s="35"/>
      <c r="J389" s="35"/>
      <c r="K389" s="35"/>
      <c r="L389" s="35"/>
      <c r="M389" s="532"/>
      <c r="N389" s="35"/>
      <c r="O389" s="35"/>
      <c r="P389" s="35"/>
      <c r="Q389" s="35"/>
      <c r="R389" s="532"/>
    </row>
    <row r="390" spans="5:18">
      <c r="E390" s="35"/>
      <c r="F390" s="542"/>
      <c r="G390" s="542"/>
      <c r="H390" s="532"/>
      <c r="I390" s="35"/>
      <c r="J390" s="35"/>
      <c r="K390" s="35"/>
      <c r="L390" s="35"/>
      <c r="M390" s="532"/>
      <c r="N390" s="35"/>
      <c r="O390" s="35"/>
      <c r="P390" s="35"/>
      <c r="Q390" s="35"/>
      <c r="R390" s="532"/>
    </row>
    <row r="391" spans="5:18">
      <c r="E391" s="35"/>
      <c r="F391" s="542"/>
      <c r="G391" s="542"/>
      <c r="H391" s="532"/>
      <c r="I391" s="35"/>
      <c r="J391" s="35"/>
      <c r="K391" s="35"/>
      <c r="L391" s="35"/>
      <c r="M391" s="532"/>
      <c r="N391" s="35"/>
      <c r="O391" s="35"/>
      <c r="P391" s="35"/>
      <c r="Q391" s="35"/>
      <c r="R391" s="532"/>
    </row>
    <row r="392" spans="5:18">
      <c r="E392" s="35"/>
      <c r="F392" s="542"/>
      <c r="G392" s="542"/>
      <c r="H392" s="532"/>
      <c r="I392" s="35"/>
      <c r="J392" s="35"/>
      <c r="K392" s="35"/>
      <c r="L392" s="35"/>
      <c r="M392" s="532"/>
      <c r="N392" s="35"/>
      <c r="O392" s="35"/>
      <c r="P392" s="35"/>
      <c r="Q392" s="35"/>
      <c r="R392" s="532"/>
    </row>
    <row r="393" spans="5:18">
      <c r="E393" s="35"/>
      <c r="F393" s="542"/>
      <c r="G393" s="542"/>
      <c r="H393" s="532"/>
      <c r="I393" s="35"/>
      <c r="J393" s="35"/>
      <c r="K393" s="35"/>
      <c r="L393" s="35"/>
      <c r="M393" s="532"/>
      <c r="N393" s="35"/>
      <c r="O393" s="35"/>
      <c r="P393" s="35"/>
      <c r="Q393" s="35"/>
      <c r="R393" s="532"/>
    </row>
    <row r="394" spans="5:18">
      <c r="E394" s="35"/>
      <c r="F394" s="542"/>
      <c r="G394" s="542"/>
      <c r="H394" s="532"/>
      <c r="I394" s="35"/>
      <c r="J394" s="35"/>
      <c r="K394" s="35"/>
      <c r="L394" s="35"/>
      <c r="M394" s="532"/>
      <c r="N394" s="35"/>
      <c r="O394" s="35"/>
      <c r="P394" s="35"/>
      <c r="Q394" s="35"/>
      <c r="R394" s="532"/>
    </row>
    <row r="395" spans="5:18">
      <c r="E395" s="35"/>
      <c r="F395" s="542"/>
      <c r="G395" s="542"/>
      <c r="H395" s="532"/>
      <c r="I395" s="35"/>
      <c r="J395" s="35"/>
      <c r="K395" s="35"/>
      <c r="L395" s="35"/>
      <c r="M395" s="532"/>
      <c r="N395" s="35"/>
      <c r="O395" s="35"/>
      <c r="P395" s="35"/>
      <c r="Q395" s="35"/>
      <c r="R395" s="532"/>
    </row>
    <row r="396" spans="5:18">
      <c r="E396" s="35"/>
      <c r="F396" s="542"/>
      <c r="G396" s="542"/>
      <c r="H396" s="532"/>
      <c r="I396" s="35"/>
      <c r="J396" s="35"/>
      <c r="K396" s="35"/>
      <c r="L396" s="35"/>
      <c r="M396" s="532"/>
      <c r="N396" s="35"/>
      <c r="O396" s="35"/>
      <c r="P396" s="35"/>
      <c r="Q396" s="35"/>
      <c r="R396" s="532"/>
    </row>
    <row r="397" spans="5:18">
      <c r="E397" s="35"/>
      <c r="F397" s="542"/>
      <c r="G397" s="542"/>
      <c r="H397" s="532"/>
      <c r="I397" s="35"/>
      <c r="J397" s="35"/>
      <c r="K397" s="35"/>
      <c r="L397" s="35"/>
      <c r="M397" s="532"/>
      <c r="N397" s="35"/>
      <c r="O397" s="35"/>
      <c r="P397" s="35"/>
      <c r="Q397" s="35"/>
      <c r="R397" s="532"/>
    </row>
    <row r="398" spans="5:18">
      <c r="E398" s="35"/>
      <c r="F398" s="542"/>
      <c r="G398" s="542"/>
      <c r="H398" s="532"/>
      <c r="I398" s="35"/>
      <c r="J398" s="35"/>
      <c r="K398" s="35"/>
      <c r="L398" s="35"/>
      <c r="M398" s="532"/>
      <c r="N398" s="35"/>
      <c r="O398" s="35"/>
      <c r="P398" s="35"/>
      <c r="Q398" s="35"/>
      <c r="R398" s="532"/>
    </row>
    <row r="399" spans="5:18">
      <c r="E399" s="35"/>
      <c r="F399" s="542"/>
      <c r="G399" s="542"/>
      <c r="H399" s="532"/>
      <c r="I399" s="35"/>
      <c r="J399" s="35"/>
      <c r="K399" s="35"/>
      <c r="L399" s="35"/>
      <c r="M399" s="532"/>
      <c r="N399" s="35"/>
      <c r="O399" s="35"/>
      <c r="P399" s="35"/>
      <c r="Q399" s="35"/>
      <c r="R399" s="532"/>
    </row>
    <row r="400" spans="5:18">
      <c r="E400" s="35"/>
      <c r="F400" s="542"/>
      <c r="G400" s="542"/>
      <c r="H400" s="532"/>
      <c r="I400" s="35"/>
      <c r="J400" s="35"/>
      <c r="K400" s="35"/>
      <c r="L400" s="35"/>
      <c r="M400" s="532"/>
      <c r="N400" s="35"/>
      <c r="O400" s="35"/>
      <c r="P400" s="35"/>
      <c r="Q400" s="35"/>
      <c r="R400" s="532"/>
    </row>
    <row r="401" spans="5:18">
      <c r="E401" s="35"/>
      <c r="F401" s="542"/>
      <c r="G401" s="542"/>
      <c r="H401" s="532"/>
      <c r="I401" s="35"/>
      <c r="J401" s="35"/>
      <c r="K401" s="35"/>
      <c r="L401" s="35"/>
      <c r="M401" s="532"/>
      <c r="N401" s="35"/>
      <c r="O401" s="35"/>
      <c r="P401" s="35"/>
      <c r="Q401" s="35"/>
      <c r="R401" s="532"/>
    </row>
  </sheetData>
  <mergeCells count="23">
    <mergeCell ref="O5:Q5"/>
    <mergeCell ref="A5:A7"/>
    <mergeCell ref="B5:B7"/>
    <mergeCell ref="C5:C7"/>
    <mergeCell ref="R5:R7"/>
    <mergeCell ref="L6:L7"/>
    <mergeCell ref="O6:O7"/>
    <mergeCell ref="Q6:Q7"/>
    <mergeCell ref="J6:J7"/>
    <mergeCell ref="I5:I7"/>
    <mergeCell ref="J5:L5"/>
    <mergeCell ref="M5:M7"/>
    <mergeCell ref="N5:N7"/>
    <mergeCell ref="P6:P7"/>
    <mergeCell ref="K6:K7"/>
    <mergeCell ref="F6:F7"/>
    <mergeCell ref="B2:H2"/>
    <mergeCell ref="B3:H3"/>
    <mergeCell ref="D5:D7"/>
    <mergeCell ref="E5:G5"/>
    <mergeCell ref="H5:H7"/>
    <mergeCell ref="E6:E7"/>
    <mergeCell ref="G6:G7"/>
  </mergeCells>
  <phoneticPr fontId="29" type="noConversion"/>
  <pageMargins left="0.27559055118110237" right="0.27559055118110237" top="0.39370078740157483" bottom="0.31496062992125984" header="0.23622047244094491" footer="0.15748031496062992"/>
  <pageSetup paperSize="9" scale="60" orientation="landscape" r:id="rId1"/>
  <headerFooter alignWithMargins="0">
    <oddFooter>&amp;L&amp;F&amp;C&amp;P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000"/>
  </sheetPr>
  <dimension ref="A1:R595"/>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C15" sqref="C15"/>
    </sheetView>
  </sheetViews>
  <sheetFormatPr defaultColWidth="9.109375" defaultRowHeight="10.199999999999999"/>
  <cols>
    <col min="1" max="1" width="10" style="21" customWidth="1"/>
    <col min="2" max="2" width="39.88671875" style="1" customWidth="1"/>
    <col min="3" max="3" width="14" style="22" customWidth="1"/>
    <col min="4" max="4" width="12" style="22"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577"/>
      <c r="J2" s="577"/>
      <c r="K2" s="577"/>
      <c r="L2" s="577"/>
      <c r="M2" s="220"/>
      <c r="N2" s="577"/>
      <c r="O2" s="577"/>
      <c r="P2" s="577"/>
      <c r="Q2" s="577"/>
      <c r="R2" s="220"/>
    </row>
    <row r="3" spans="1:18" s="1" customFormat="1" ht="12.75" customHeight="1">
      <c r="A3" s="221"/>
      <c r="B3" s="1400" t="s">
        <v>489</v>
      </c>
      <c r="C3" s="1400"/>
      <c r="D3" s="1400"/>
      <c r="E3" s="1400"/>
      <c r="F3" s="1400"/>
      <c r="G3" s="1400"/>
      <c r="H3" s="1400"/>
      <c r="I3" s="578"/>
      <c r="J3" s="578"/>
      <c r="K3" s="578"/>
      <c r="L3" s="578"/>
      <c r="M3" s="220"/>
      <c r="N3" s="578"/>
      <c r="O3" s="578"/>
      <c r="P3" s="578"/>
      <c r="Q3" s="578"/>
      <c r="R3" s="220"/>
    </row>
    <row r="4" spans="1:18" s="1" customFormat="1" ht="13.2">
      <c r="A4" s="221"/>
      <c r="B4" s="578"/>
      <c r="C4" s="222"/>
      <c r="D4" s="578"/>
      <c r="E4" s="222"/>
      <c r="F4" s="578"/>
      <c r="G4" s="578"/>
      <c r="H4" s="578"/>
      <c r="I4" s="578"/>
      <c r="J4" s="578"/>
      <c r="K4" s="578"/>
      <c r="L4" s="578"/>
      <c r="M4" s="578"/>
      <c r="N4" s="578"/>
      <c r="O4" s="578"/>
      <c r="P4" s="578"/>
      <c r="Q4" s="578"/>
      <c r="R4" s="578"/>
    </row>
    <row r="5" spans="1:18" s="1" customFormat="1" ht="14.25" customHeight="1">
      <c r="A5" s="1396" t="s">
        <v>213</v>
      </c>
      <c r="B5" s="1357"/>
      <c r="C5" s="1412" t="s">
        <v>202</v>
      </c>
      <c r="D5" s="1401" t="s">
        <v>231</v>
      </c>
      <c r="E5" s="1404" t="s">
        <v>232</v>
      </c>
      <c r="F5" s="1405"/>
      <c r="G5" s="1406"/>
      <c r="H5" s="1407" t="s">
        <v>486</v>
      </c>
      <c r="I5" s="1415" t="s">
        <v>234</v>
      </c>
      <c r="J5" s="1425" t="s">
        <v>232</v>
      </c>
      <c r="K5" s="1426"/>
      <c r="L5" s="1427"/>
      <c r="M5" s="1428" t="s">
        <v>487</v>
      </c>
      <c r="N5" s="1431" t="s">
        <v>235</v>
      </c>
      <c r="O5" s="1434" t="s">
        <v>232</v>
      </c>
      <c r="P5" s="1435"/>
      <c r="Q5" s="1436"/>
      <c r="R5" s="1418" t="s">
        <v>488</v>
      </c>
    </row>
    <row r="6" spans="1:18" s="1" customFormat="1" ht="18" customHeight="1">
      <c r="A6" s="1396"/>
      <c r="B6" s="1358"/>
      <c r="C6" s="1413"/>
      <c r="D6" s="1402"/>
      <c r="E6" s="1410" t="s">
        <v>233</v>
      </c>
      <c r="F6" s="1410" t="s">
        <v>496</v>
      </c>
      <c r="G6" s="1410" t="s">
        <v>485</v>
      </c>
      <c r="H6" s="1408"/>
      <c r="I6" s="1416"/>
      <c r="J6" s="1421" t="s">
        <v>233</v>
      </c>
      <c r="K6" s="1421" t="s">
        <v>496</v>
      </c>
      <c r="L6" s="1421" t="s">
        <v>485</v>
      </c>
      <c r="M6" s="1429"/>
      <c r="N6" s="1432"/>
      <c r="O6" s="1423" t="s">
        <v>233</v>
      </c>
      <c r="P6" s="1423" t="s">
        <v>496</v>
      </c>
      <c r="Q6" s="1423" t="s">
        <v>485</v>
      </c>
      <c r="R6" s="1419"/>
    </row>
    <row r="7" spans="1:18" s="1" customFormat="1" ht="25.95" customHeight="1">
      <c r="A7" s="1396"/>
      <c r="B7" s="1359"/>
      <c r="C7" s="1414"/>
      <c r="D7" s="1403"/>
      <c r="E7" s="1411"/>
      <c r="F7" s="1411"/>
      <c r="G7" s="1411"/>
      <c r="H7" s="1409"/>
      <c r="I7" s="1417"/>
      <c r="J7" s="1422"/>
      <c r="K7" s="1422"/>
      <c r="L7" s="1422"/>
      <c r="M7" s="1430"/>
      <c r="N7" s="1433"/>
      <c r="O7" s="1424"/>
      <c r="P7" s="1424"/>
      <c r="Q7" s="1424"/>
      <c r="R7" s="1420"/>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8"/>
      <c r="B9" s="392" t="s">
        <v>84</v>
      </c>
      <c r="C9" s="387"/>
      <c r="D9" s="387"/>
      <c r="E9" s="226"/>
      <c r="F9" s="226"/>
      <c r="G9" s="226"/>
      <c r="H9" s="226"/>
      <c r="I9" s="365"/>
      <c r="J9" s="226"/>
      <c r="K9" s="226"/>
      <c r="L9" s="226"/>
      <c r="M9" s="226"/>
      <c r="N9" s="365"/>
      <c r="O9" s="226"/>
      <c r="P9" s="226"/>
      <c r="Q9" s="226"/>
      <c r="R9" s="226"/>
    </row>
    <row r="10" spans="1:18" s="4" customFormat="1" ht="20.399999999999999">
      <c r="A10" s="597" t="s">
        <v>201</v>
      </c>
      <c r="B10" s="598" t="s">
        <v>88</v>
      </c>
      <c r="C10" s="617">
        <v>162078130</v>
      </c>
      <c r="D10" s="617">
        <v>161434405</v>
      </c>
      <c r="E10" s="600">
        <f>E94+E178</f>
        <v>1609283</v>
      </c>
      <c r="F10" s="600">
        <f>F94+F178</f>
        <v>16319228</v>
      </c>
      <c r="G10" s="600">
        <f>G94+G178</f>
        <v>3619141</v>
      </c>
      <c r="H10" s="603">
        <f>SUM(D10:G10)</f>
        <v>182982057</v>
      </c>
      <c r="I10" s="600">
        <v>151721176</v>
      </c>
      <c r="J10" s="600">
        <f>J94+J178</f>
        <v>18818</v>
      </c>
      <c r="K10" s="600">
        <f>K94+K178</f>
        <v>16164590</v>
      </c>
      <c r="L10" s="600">
        <f>L94+L178</f>
        <v>1547016</v>
      </c>
      <c r="M10" s="603">
        <f t="shared" ref="M10:M73" si="0">SUM(I10:L10)</f>
        <v>169451600</v>
      </c>
      <c r="N10" s="600">
        <v>144494965</v>
      </c>
      <c r="O10" s="600">
        <f>O94+O178</f>
        <v>0</v>
      </c>
      <c r="P10" s="600">
        <f>P94+P178</f>
        <v>16142426</v>
      </c>
      <c r="Q10" s="600">
        <f>Q94+Q178</f>
        <v>1177746</v>
      </c>
      <c r="R10" s="603">
        <f t="shared" ref="R10:R73" si="1">SUM(N10:Q10)</f>
        <v>161815137</v>
      </c>
    </row>
    <row r="11" spans="1:18" ht="22.8">
      <c r="A11" s="130" t="s">
        <v>177</v>
      </c>
      <c r="B11" s="124" t="s">
        <v>90</v>
      </c>
      <c r="C11" s="169">
        <v>7958592</v>
      </c>
      <c r="D11" s="169">
        <v>7568548</v>
      </c>
      <c r="E11" s="231">
        <f>E95</f>
        <v>0</v>
      </c>
      <c r="F11" s="231">
        <f>F95</f>
        <v>0</v>
      </c>
      <c r="G11" s="231">
        <f>G95</f>
        <v>0</v>
      </c>
      <c r="H11" s="233">
        <f t="shared" ref="H11:H74" si="2">SUM(D11:G11)</f>
        <v>7568548</v>
      </c>
      <c r="I11" s="231">
        <v>6898926</v>
      </c>
      <c r="J11" s="231">
        <f>J95</f>
        <v>0</v>
      </c>
      <c r="K11" s="231">
        <f>K95</f>
        <v>0</v>
      </c>
      <c r="L11" s="231">
        <f>L95</f>
        <v>0</v>
      </c>
      <c r="M11" s="233">
        <f t="shared" si="0"/>
        <v>6898926</v>
      </c>
      <c r="N11" s="231">
        <v>6587647</v>
      </c>
      <c r="O11" s="231">
        <f>O95</f>
        <v>0</v>
      </c>
      <c r="P11" s="231">
        <f>P95</f>
        <v>0</v>
      </c>
      <c r="Q11" s="231">
        <f>Q95</f>
        <v>0</v>
      </c>
      <c r="R11" s="233">
        <f t="shared" si="1"/>
        <v>6587647</v>
      </c>
    </row>
    <row r="12" spans="1:18" ht="12">
      <c r="A12" s="130" t="s">
        <v>91</v>
      </c>
      <c r="B12" s="124" t="s">
        <v>92</v>
      </c>
      <c r="C12" s="169">
        <v>4062701</v>
      </c>
      <c r="D12" s="169">
        <v>2835805</v>
      </c>
      <c r="E12" s="231">
        <f t="shared" ref="E12:G19" si="3">E180</f>
        <v>993864</v>
      </c>
      <c r="F12" s="231">
        <f t="shared" si="3"/>
        <v>0</v>
      </c>
      <c r="G12" s="231">
        <f t="shared" si="3"/>
        <v>0</v>
      </c>
      <c r="H12" s="233">
        <f t="shared" si="2"/>
        <v>3829669</v>
      </c>
      <c r="I12" s="231">
        <v>2759157</v>
      </c>
      <c r="J12" s="231">
        <f t="shared" ref="J12:L19" si="4">J180</f>
        <v>18298</v>
      </c>
      <c r="K12" s="231">
        <f t="shared" si="4"/>
        <v>0</v>
      </c>
      <c r="L12" s="231">
        <f t="shared" si="4"/>
        <v>0</v>
      </c>
      <c r="M12" s="233">
        <f t="shared" si="0"/>
        <v>2777455</v>
      </c>
      <c r="N12" s="231">
        <v>3456533</v>
      </c>
      <c r="O12" s="231">
        <f t="shared" ref="O12:Q19" si="5">O180</f>
        <v>0</v>
      </c>
      <c r="P12" s="231">
        <f t="shared" si="5"/>
        <v>0</v>
      </c>
      <c r="Q12" s="231">
        <f t="shared" si="5"/>
        <v>0</v>
      </c>
      <c r="R12" s="233">
        <f t="shared" si="1"/>
        <v>3456533</v>
      </c>
    </row>
    <row r="13" spans="1:18" ht="24">
      <c r="A13" s="131">
        <v>21210</v>
      </c>
      <c r="B13" s="125" t="s">
        <v>93</v>
      </c>
      <c r="C13" s="169">
        <v>3190396</v>
      </c>
      <c r="D13" s="169">
        <v>2159313</v>
      </c>
      <c r="E13" s="231">
        <f t="shared" si="3"/>
        <v>946859</v>
      </c>
      <c r="F13" s="231">
        <f t="shared" si="3"/>
        <v>0</v>
      </c>
      <c r="G13" s="231">
        <f t="shared" si="3"/>
        <v>0</v>
      </c>
      <c r="H13" s="233">
        <f t="shared" si="2"/>
        <v>3106172</v>
      </c>
      <c r="I13" s="231">
        <v>2690489</v>
      </c>
      <c r="J13" s="231">
        <f t="shared" si="4"/>
        <v>18298</v>
      </c>
      <c r="K13" s="231">
        <f t="shared" si="4"/>
        <v>0</v>
      </c>
      <c r="L13" s="231">
        <f t="shared" si="4"/>
        <v>0</v>
      </c>
      <c r="M13" s="233">
        <f t="shared" si="0"/>
        <v>2708787</v>
      </c>
      <c r="N13" s="231">
        <v>3387865</v>
      </c>
      <c r="O13" s="231">
        <f t="shared" si="5"/>
        <v>0</v>
      </c>
      <c r="P13" s="231">
        <f t="shared" si="5"/>
        <v>0</v>
      </c>
      <c r="Q13" s="231">
        <f t="shared" si="5"/>
        <v>0</v>
      </c>
      <c r="R13" s="233">
        <f t="shared" si="1"/>
        <v>3387865</v>
      </c>
    </row>
    <row r="14" spans="1:18" ht="20.399999999999999">
      <c r="A14" s="130" t="s">
        <v>178</v>
      </c>
      <c r="B14" s="124" t="s">
        <v>94</v>
      </c>
      <c r="C14" s="171">
        <v>838</v>
      </c>
      <c r="D14" s="171">
        <v>0</v>
      </c>
      <c r="E14" s="233">
        <f t="shared" si="3"/>
        <v>0</v>
      </c>
      <c r="F14" s="233">
        <f t="shared" si="3"/>
        <v>0</v>
      </c>
      <c r="G14" s="233">
        <f t="shared" si="3"/>
        <v>0</v>
      </c>
      <c r="H14" s="233">
        <f t="shared" si="2"/>
        <v>0</v>
      </c>
      <c r="I14" s="233">
        <v>0</v>
      </c>
      <c r="J14" s="233">
        <f t="shared" si="4"/>
        <v>0</v>
      </c>
      <c r="K14" s="233">
        <f t="shared" si="4"/>
        <v>0</v>
      </c>
      <c r="L14" s="233">
        <f t="shared" si="4"/>
        <v>0</v>
      </c>
      <c r="M14" s="233">
        <f t="shared" si="0"/>
        <v>0</v>
      </c>
      <c r="N14" s="233">
        <v>0</v>
      </c>
      <c r="O14" s="233">
        <f t="shared" si="5"/>
        <v>0</v>
      </c>
      <c r="P14" s="233">
        <f t="shared" si="5"/>
        <v>0</v>
      </c>
      <c r="Q14" s="233">
        <f t="shared" si="5"/>
        <v>0</v>
      </c>
      <c r="R14" s="233">
        <f t="shared" si="1"/>
        <v>0</v>
      </c>
    </row>
    <row r="15" spans="1:18" ht="12">
      <c r="A15" s="132">
        <v>18000</v>
      </c>
      <c r="B15" s="125" t="s">
        <v>95</v>
      </c>
      <c r="C15" s="171">
        <v>838</v>
      </c>
      <c r="D15" s="171">
        <v>0</v>
      </c>
      <c r="E15" s="233">
        <f t="shared" si="3"/>
        <v>0</v>
      </c>
      <c r="F15" s="233">
        <f t="shared" si="3"/>
        <v>0</v>
      </c>
      <c r="G15" s="233">
        <f t="shared" si="3"/>
        <v>0</v>
      </c>
      <c r="H15" s="233">
        <f t="shared" si="2"/>
        <v>0</v>
      </c>
      <c r="I15" s="233">
        <v>0</v>
      </c>
      <c r="J15" s="233">
        <f t="shared" si="4"/>
        <v>0</v>
      </c>
      <c r="K15" s="233">
        <f t="shared" si="4"/>
        <v>0</v>
      </c>
      <c r="L15" s="233">
        <f t="shared" si="4"/>
        <v>0</v>
      </c>
      <c r="M15" s="233">
        <f t="shared" si="0"/>
        <v>0</v>
      </c>
      <c r="N15" s="233">
        <v>0</v>
      </c>
      <c r="O15" s="233">
        <f t="shared" si="5"/>
        <v>0</v>
      </c>
      <c r="P15" s="233">
        <f t="shared" si="5"/>
        <v>0</v>
      </c>
      <c r="Q15" s="233">
        <f t="shared" si="5"/>
        <v>0</v>
      </c>
      <c r="R15" s="233">
        <f t="shared" si="1"/>
        <v>0</v>
      </c>
    </row>
    <row r="16" spans="1:18" ht="12">
      <c r="A16" s="132">
        <v>18100</v>
      </c>
      <c r="B16" s="125" t="s">
        <v>96</v>
      </c>
      <c r="C16" s="171">
        <v>838</v>
      </c>
      <c r="D16" s="171">
        <v>0</v>
      </c>
      <c r="E16" s="233">
        <f t="shared" si="3"/>
        <v>0</v>
      </c>
      <c r="F16" s="233">
        <f t="shared" si="3"/>
        <v>0</v>
      </c>
      <c r="G16" s="233">
        <f t="shared" si="3"/>
        <v>0</v>
      </c>
      <c r="H16" s="233">
        <f t="shared" si="2"/>
        <v>0</v>
      </c>
      <c r="I16" s="233">
        <v>0</v>
      </c>
      <c r="J16" s="233">
        <f t="shared" si="4"/>
        <v>0</v>
      </c>
      <c r="K16" s="233">
        <f t="shared" si="4"/>
        <v>0</v>
      </c>
      <c r="L16" s="233">
        <f t="shared" si="4"/>
        <v>0</v>
      </c>
      <c r="M16" s="233">
        <f t="shared" si="0"/>
        <v>0</v>
      </c>
      <c r="N16" s="233">
        <v>0</v>
      </c>
      <c r="O16" s="233">
        <f t="shared" si="5"/>
        <v>0</v>
      </c>
      <c r="P16" s="233">
        <f t="shared" si="5"/>
        <v>0</v>
      </c>
      <c r="Q16" s="233">
        <f t="shared" si="5"/>
        <v>0</v>
      </c>
      <c r="R16" s="233">
        <f t="shared" si="1"/>
        <v>0</v>
      </c>
    </row>
    <row r="17" spans="1:18" s="4" customFormat="1" ht="24">
      <c r="A17" s="133">
        <v>18130</v>
      </c>
      <c r="B17" s="172" t="s">
        <v>159</v>
      </c>
      <c r="C17" s="171">
        <v>838</v>
      </c>
      <c r="D17" s="171">
        <v>0</v>
      </c>
      <c r="E17" s="233">
        <f t="shared" si="3"/>
        <v>0</v>
      </c>
      <c r="F17" s="233">
        <f t="shared" si="3"/>
        <v>0</v>
      </c>
      <c r="G17" s="233">
        <f t="shared" si="3"/>
        <v>0</v>
      </c>
      <c r="H17" s="233">
        <f t="shared" si="2"/>
        <v>0</v>
      </c>
      <c r="I17" s="233">
        <v>0</v>
      </c>
      <c r="J17" s="233">
        <f t="shared" si="4"/>
        <v>0</v>
      </c>
      <c r="K17" s="233">
        <f t="shared" si="4"/>
        <v>0</v>
      </c>
      <c r="L17" s="233">
        <f t="shared" si="4"/>
        <v>0</v>
      </c>
      <c r="M17" s="233">
        <f t="shared" si="0"/>
        <v>0</v>
      </c>
      <c r="N17" s="233">
        <v>0</v>
      </c>
      <c r="O17" s="233">
        <f t="shared" si="5"/>
        <v>0</v>
      </c>
      <c r="P17" s="233">
        <f t="shared" si="5"/>
        <v>0</v>
      </c>
      <c r="Q17" s="233">
        <f t="shared" si="5"/>
        <v>0</v>
      </c>
      <c r="R17" s="233">
        <f t="shared" si="1"/>
        <v>0</v>
      </c>
    </row>
    <row r="18" spans="1:18" s="6" customFormat="1" ht="36" hidden="1" customHeight="1">
      <c r="A18" s="134">
        <v>18131</v>
      </c>
      <c r="B18" s="172" t="s">
        <v>160</v>
      </c>
      <c r="C18" s="171"/>
      <c r="D18" s="171">
        <v>0</v>
      </c>
      <c r="E18" s="233">
        <f t="shared" si="3"/>
        <v>0</v>
      </c>
      <c r="F18" s="233">
        <f t="shared" si="3"/>
        <v>0</v>
      </c>
      <c r="G18" s="233">
        <f t="shared" si="3"/>
        <v>0</v>
      </c>
      <c r="H18" s="233">
        <f t="shared" si="2"/>
        <v>0</v>
      </c>
      <c r="I18" s="233">
        <v>0</v>
      </c>
      <c r="J18" s="233">
        <f t="shared" si="4"/>
        <v>0</v>
      </c>
      <c r="K18" s="233">
        <f t="shared" si="4"/>
        <v>0</v>
      </c>
      <c r="L18" s="233">
        <f t="shared" si="4"/>
        <v>0</v>
      </c>
      <c r="M18" s="233">
        <f t="shared" si="0"/>
        <v>0</v>
      </c>
      <c r="N18" s="233">
        <v>0</v>
      </c>
      <c r="O18" s="233">
        <f t="shared" si="5"/>
        <v>0</v>
      </c>
      <c r="P18" s="233">
        <f t="shared" si="5"/>
        <v>0</v>
      </c>
      <c r="Q18" s="233">
        <f t="shared" si="5"/>
        <v>0</v>
      </c>
      <c r="R18" s="233">
        <f t="shared" si="1"/>
        <v>0</v>
      </c>
    </row>
    <row r="19" spans="1:18" s="6" customFormat="1" ht="24">
      <c r="A19" s="134">
        <v>18132</v>
      </c>
      <c r="B19" s="172" t="s">
        <v>169</v>
      </c>
      <c r="C19" s="171">
        <v>838</v>
      </c>
      <c r="D19" s="171">
        <v>0</v>
      </c>
      <c r="E19" s="233">
        <f t="shared" si="3"/>
        <v>0</v>
      </c>
      <c r="F19" s="233">
        <f t="shared" si="3"/>
        <v>0</v>
      </c>
      <c r="G19" s="233">
        <f t="shared" si="3"/>
        <v>0</v>
      </c>
      <c r="H19" s="233">
        <f t="shared" si="2"/>
        <v>0</v>
      </c>
      <c r="I19" s="233">
        <v>0</v>
      </c>
      <c r="J19" s="233">
        <f t="shared" si="4"/>
        <v>0</v>
      </c>
      <c r="K19" s="233">
        <f t="shared" si="4"/>
        <v>0</v>
      </c>
      <c r="L19" s="233">
        <f t="shared" si="4"/>
        <v>0</v>
      </c>
      <c r="M19" s="233">
        <f t="shared" si="0"/>
        <v>0</v>
      </c>
      <c r="N19" s="233">
        <v>0</v>
      </c>
      <c r="O19" s="233">
        <f t="shared" si="5"/>
        <v>0</v>
      </c>
      <c r="P19" s="233">
        <f t="shared" si="5"/>
        <v>0</v>
      </c>
      <c r="Q19" s="233">
        <f t="shared" si="5"/>
        <v>0</v>
      </c>
      <c r="R19" s="233">
        <f t="shared" si="1"/>
        <v>0</v>
      </c>
    </row>
    <row r="20" spans="1:18" s="6" customFormat="1" ht="24" hidden="1" customHeight="1">
      <c r="A20" s="134">
        <v>18139</v>
      </c>
      <c r="B20" s="172" t="s">
        <v>179</v>
      </c>
      <c r="C20" s="171"/>
      <c r="D20" s="171">
        <v>0</v>
      </c>
      <c r="E20" s="233"/>
      <c r="F20" s="233"/>
      <c r="G20" s="233"/>
      <c r="H20" s="233">
        <f t="shared" si="2"/>
        <v>0</v>
      </c>
      <c r="I20" s="233">
        <v>0</v>
      </c>
      <c r="J20" s="233"/>
      <c r="K20" s="233"/>
      <c r="L20" s="233"/>
      <c r="M20" s="233">
        <f t="shared" si="0"/>
        <v>0</v>
      </c>
      <c r="N20" s="233">
        <v>0</v>
      </c>
      <c r="O20" s="233"/>
      <c r="P20" s="233"/>
      <c r="Q20" s="233"/>
      <c r="R20" s="233">
        <f t="shared" si="1"/>
        <v>0</v>
      </c>
    </row>
    <row r="21" spans="1:18" s="6" customFormat="1" ht="12" hidden="1" customHeight="1">
      <c r="A21" s="135" t="s">
        <v>180</v>
      </c>
      <c r="B21" s="173" t="s">
        <v>173</v>
      </c>
      <c r="C21" s="174">
        <v>0</v>
      </c>
      <c r="D21" s="174">
        <v>0</v>
      </c>
      <c r="E21" s="238">
        <f t="shared" ref="E21:L21" si="6">E22</f>
        <v>0</v>
      </c>
      <c r="F21" s="238">
        <f t="shared" si="6"/>
        <v>0</v>
      </c>
      <c r="G21" s="238">
        <f t="shared" si="6"/>
        <v>0</v>
      </c>
      <c r="H21" s="233">
        <f t="shared" si="2"/>
        <v>0</v>
      </c>
      <c r="I21" s="238">
        <v>0</v>
      </c>
      <c r="J21" s="238">
        <f t="shared" si="6"/>
        <v>0</v>
      </c>
      <c r="K21" s="238">
        <f t="shared" si="6"/>
        <v>0</v>
      </c>
      <c r="L21" s="238">
        <f t="shared" si="6"/>
        <v>0</v>
      </c>
      <c r="M21" s="233">
        <f t="shared" si="0"/>
        <v>0</v>
      </c>
      <c r="N21" s="238">
        <v>0</v>
      </c>
      <c r="O21" s="238">
        <f>O22</f>
        <v>0</v>
      </c>
      <c r="P21" s="238">
        <f>P22</f>
        <v>0</v>
      </c>
      <c r="Q21" s="238">
        <f>Q22</f>
        <v>0</v>
      </c>
      <c r="R21" s="233">
        <f t="shared" si="1"/>
        <v>0</v>
      </c>
    </row>
    <row r="22" spans="1:18" s="6" customFormat="1" ht="24" hidden="1" customHeight="1">
      <c r="A22" s="135">
        <v>19500</v>
      </c>
      <c r="B22" s="172" t="s">
        <v>174</v>
      </c>
      <c r="C22" s="171">
        <v>0</v>
      </c>
      <c r="D22" s="171">
        <v>0</v>
      </c>
      <c r="E22" s="233">
        <f>SUM(E23:E25)</f>
        <v>0</v>
      </c>
      <c r="F22" s="233">
        <f>SUM(F23:F25)</f>
        <v>0</v>
      </c>
      <c r="G22" s="233">
        <f>SUM(G23:G25)</f>
        <v>0</v>
      </c>
      <c r="H22" s="233">
        <f t="shared" si="2"/>
        <v>0</v>
      </c>
      <c r="I22" s="233">
        <v>0</v>
      </c>
      <c r="J22" s="233">
        <f>SUM(J23:J25)</f>
        <v>0</v>
      </c>
      <c r="K22" s="233">
        <f>SUM(K23:K25)</f>
        <v>0</v>
      </c>
      <c r="L22" s="233">
        <f>SUM(L23:L25)</f>
        <v>0</v>
      </c>
      <c r="M22" s="233">
        <f t="shared" si="0"/>
        <v>0</v>
      </c>
      <c r="N22" s="233">
        <v>0</v>
      </c>
      <c r="O22" s="233">
        <f>SUM(O23:O25)</f>
        <v>0</v>
      </c>
      <c r="P22" s="233">
        <f>SUM(P23:P25)</f>
        <v>0</v>
      </c>
      <c r="Q22" s="233">
        <f>SUM(Q23:Q25)</f>
        <v>0</v>
      </c>
      <c r="R22" s="233">
        <f t="shared" si="1"/>
        <v>0</v>
      </c>
    </row>
    <row r="23" spans="1:18" s="6" customFormat="1" ht="24" hidden="1" customHeight="1">
      <c r="A23" s="136">
        <v>19550</v>
      </c>
      <c r="B23" s="172" t="s">
        <v>175</v>
      </c>
      <c r="C23" s="171"/>
      <c r="D23" s="171">
        <v>0</v>
      </c>
      <c r="E23" s="233"/>
      <c r="F23" s="233"/>
      <c r="G23" s="233"/>
      <c r="H23" s="233">
        <f t="shared" si="2"/>
        <v>0</v>
      </c>
      <c r="I23" s="233">
        <v>0</v>
      </c>
      <c r="J23" s="233"/>
      <c r="K23" s="233"/>
      <c r="L23" s="233"/>
      <c r="M23" s="233">
        <f t="shared" si="0"/>
        <v>0</v>
      </c>
      <c r="N23" s="233">
        <v>0</v>
      </c>
      <c r="O23" s="233"/>
      <c r="P23" s="233"/>
      <c r="Q23" s="233"/>
      <c r="R23" s="233">
        <f t="shared" si="1"/>
        <v>0</v>
      </c>
    </row>
    <row r="24" spans="1:18" s="6" customFormat="1" ht="36" hidden="1" customHeight="1">
      <c r="A24" s="136">
        <v>19560</v>
      </c>
      <c r="B24" s="172" t="s">
        <v>181</v>
      </c>
      <c r="C24" s="171"/>
      <c r="D24" s="171">
        <v>0</v>
      </c>
      <c r="E24" s="233"/>
      <c r="F24" s="233"/>
      <c r="G24" s="233"/>
      <c r="H24" s="233">
        <f t="shared" si="2"/>
        <v>0</v>
      </c>
      <c r="I24" s="233">
        <v>0</v>
      </c>
      <c r="J24" s="233"/>
      <c r="K24" s="233"/>
      <c r="L24" s="233"/>
      <c r="M24" s="233">
        <f t="shared" si="0"/>
        <v>0</v>
      </c>
      <c r="N24" s="233">
        <v>0</v>
      </c>
      <c r="O24" s="233"/>
      <c r="P24" s="233"/>
      <c r="Q24" s="233"/>
      <c r="R24" s="233">
        <f t="shared" si="1"/>
        <v>0</v>
      </c>
    </row>
    <row r="25" spans="1:18" s="6" customFormat="1" ht="72" hidden="1" customHeight="1">
      <c r="A25" s="136">
        <v>19570</v>
      </c>
      <c r="B25" s="172" t="s">
        <v>182</v>
      </c>
      <c r="C25" s="171"/>
      <c r="D25" s="171">
        <v>0</v>
      </c>
      <c r="E25" s="233"/>
      <c r="F25" s="233"/>
      <c r="G25" s="233"/>
      <c r="H25" s="233">
        <f t="shared" si="2"/>
        <v>0</v>
      </c>
      <c r="I25" s="233">
        <v>0</v>
      </c>
      <c r="J25" s="233"/>
      <c r="K25" s="233"/>
      <c r="L25" s="233"/>
      <c r="M25" s="233">
        <f t="shared" si="0"/>
        <v>0</v>
      </c>
      <c r="N25" s="233">
        <v>0</v>
      </c>
      <c r="O25" s="233"/>
      <c r="P25" s="233"/>
      <c r="Q25" s="233"/>
      <c r="R25" s="233">
        <f t="shared" si="1"/>
        <v>0</v>
      </c>
    </row>
    <row r="26" spans="1:18" s="6" customFormat="1" ht="24" hidden="1" customHeight="1">
      <c r="A26" s="209" t="s">
        <v>222</v>
      </c>
      <c r="B26" s="208" t="s">
        <v>216</v>
      </c>
      <c r="C26" s="107">
        <v>0</v>
      </c>
      <c r="D26" s="107">
        <v>0</v>
      </c>
      <c r="E26" s="233">
        <f t="shared" ref="E26:L26" si="7">E27</f>
        <v>0</v>
      </c>
      <c r="F26" s="233">
        <f t="shared" si="7"/>
        <v>0</v>
      </c>
      <c r="G26" s="233">
        <f t="shared" si="7"/>
        <v>0</v>
      </c>
      <c r="H26" s="233">
        <f t="shared" si="2"/>
        <v>0</v>
      </c>
      <c r="I26" s="233">
        <v>0</v>
      </c>
      <c r="J26" s="233">
        <f t="shared" si="7"/>
        <v>0</v>
      </c>
      <c r="K26" s="233">
        <f t="shared" si="7"/>
        <v>0</v>
      </c>
      <c r="L26" s="233">
        <f t="shared" si="7"/>
        <v>0</v>
      </c>
      <c r="M26" s="233">
        <f t="shared" si="0"/>
        <v>0</v>
      </c>
      <c r="N26" s="233">
        <v>0</v>
      </c>
      <c r="O26" s="233">
        <f>O27</f>
        <v>0</v>
      </c>
      <c r="P26" s="233">
        <f>P27</f>
        <v>0</v>
      </c>
      <c r="Q26" s="233">
        <f>Q27</f>
        <v>0</v>
      </c>
      <c r="R26" s="233">
        <f t="shared" si="1"/>
        <v>0</v>
      </c>
    </row>
    <row r="27" spans="1:18" s="6" customFormat="1" ht="36" hidden="1" customHeight="1">
      <c r="A27" s="209">
        <v>17100</v>
      </c>
      <c r="B27" s="208" t="s">
        <v>217</v>
      </c>
      <c r="C27" s="107">
        <v>0</v>
      </c>
      <c r="D27" s="107">
        <v>0</v>
      </c>
      <c r="E27" s="233">
        <f>SUM(E28:E31)</f>
        <v>0</v>
      </c>
      <c r="F27" s="233">
        <f>SUM(F28:F31)</f>
        <v>0</v>
      </c>
      <c r="G27" s="233">
        <f>SUM(G28:G31)</f>
        <v>0</v>
      </c>
      <c r="H27" s="233">
        <f t="shared" si="2"/>
        <v>0</v>
      </c>
      <c r="I27" s="233">
        <v>0</v>
      </c>
      <c r="J27" s="233">
        <f>SUM(J28:J31)</f>
        <v>0</v>
      </c>
      <c r="K27" s="233">
        <f>SUM(K28:K31)</f>
        <v>0</v>
      </c>
      <c r="L27" s="233">
        <f>SUM(L28:L31)</f>
        <v>0</v>
      </c>
      <c r="M27" s="233">
        <f t="shared" si="0"/>
        <v>0</v>
      </c>
      <c r="N27" s="233">
        <v>0</v>
      </c>
      <c r="O27" s="233">
        <f>SUM(O28:O31)</f>
        <v>0</v>
      </c>
      <c r="P27" s="233">
        <f>SUM(P28:P31)</f>
        <v>0</v>
      </c>
      <c r="Q27" s="233">
        <f>SUM(Q28:Q31)</f>
        <v>0</v>
      </c>
      <c r="R27" s="233">
        <f t="shared" si="1"/>
        <v>0</v>
      </c>
    </row>
    <row r="28" spans="1:18" s="6" customFormat="1" ht="60" hidden="1" customHeight="1">
      <c r="A28" s="149">
        <v>17110</v>
      </c>
      <c r="B28" s="208" t="s">
        <v>218</v>
      </c>
      <c r="C28" s="107"/>
      <c r="D28" s="107">
        <v>0</v>
      </c>
      <c r="E28" s="233"/>
      <c r="F28" s="233"/>
      <c r="G28" s="233"/>
      <c r="H28" s="233">
        <f t="shared" si="2"/>
        <v>0</v>
      </c>
      <c r="I28" s="233">
        <v>0</v>
      </c>
      <c r="J28" s="233"/>
      <c r="K28" s="233"/>
      <c r="L28" s="233"/>
      <c r="M28" s="233">
        <f t="shared" si="0"/>
        <v>0</v>
      </c>
      <c r="N28" s="233">
        <v>0</v>
      </c>
      <c r="O28" s="233"/>
      <c r="P28" s="233"/>
      <c r="Q28" s="233"/>
      <c r="R28" s="233">
        <f t="shared" si="1"/>
        <v>0</v>
      </c>
    </row>
    <row r="29" spans="1:18" s="6" customFormat="1" ht="60" hidden="1" customHeight="1">
      <c r="A29" s="149">
        <v>17120</v>
      </c>
      <c r="B29" s="208" t="s">
        <v>219</v>
      </c>
      <c r="C29" s="107"/>
      <c r="D29" s="107">
        <v>0</v>
      </c>
      <c r="E29" s="233"/>
      <c r="F29" s="233"/>
      <c r="G29" s="233"/>
      <c r="H29" s="233">
        <f t="shared" si="2"/>
        <v>0</v>
      </c>
      <c r="I29" s="233">
        <v>0</v>
      </c>
      <c r="J29" s="233"/>
      <c r="K29" s="233"/>
      <c r="L29" s="233"/>
      <c r="M29" s="233">
        <f t="shared" si="0"/>
        <v>0</v>
      </c>
      <c r="N29" s="233">
        <v>0</v>
      </c>
      <c r="O29" s="233"/>
      <c r="P29" s="233"/>
      <c r="Q29" s="233"/>
      <c r="R29" s="233">
        <f t="shared" si="1"/>
        <v>0</v>
      </c>
    </row>
    <row r="30" spans="1:18" s="6" customFormat="1" ht="108" hidden="1" customHeight="1">
      <c r="A30" s="149">
        <v>17130</v>
      </c>
      <c r="B30" s="208" t="s">
        <v>220</v>
      </c>
      <c r="C30" s="107"/>
      <c r="D30" s="107">
        <v>0</v>
      </c>
      <c r="E30" s="233"/>
      <c r="F30" s="233"/>
      <c r="G30" s="233"/>
      <c r="H30" s="233">
        <f t="shared" si="2"/>
        <v>0</v>
      </c>
      <c r="I30" s="233">
        <v>0</v>
      </c>
      <c r="J30" s="233"/>
      <c r="K30" s="233"/>
      <c r="L30" s="233"/>
      <c r="M30" s="233">
        <f t="shared" si="0"/>
        <v>0</v>
      </c>
      <c r="N30" s="233">
        <v>0</v>
      </c>
      <c r="O30" s="233"/>
      <c r="P30" s="233"/>
      <c r="Q30" s="233"/>
      <c r="R30" s="233">
        <f t="shared" si="1"/>
        <v>0</v>
      </c>
    </row>
    <row r="31" spans="1:18" s="6" customFormat="1" ht="96" hidden="1" customHeight="1">
      <c r="A31" s="149">
        <v>17140</v>
      </c>
      <c r="B31" s="208" t="s">
        <v>221</v>
      </c>
      <c r="C31" s="107"/>
      <c r="D31" s="107">
        <v>0</v>
      </c>
      <c r="E31" s="233"/>
      <c r="F31" s="233"/>
      <c r="G31" s="233"/>
      <c r="H31" s="233">
        <f t="shared" si="2"/>
        <v>0</v>
      </c>
      <c r="I31" s="233">
        <v>0</v>
      </c>
      <c r="J31" s="233"/>
      <c r="K31" s="233"/>
      <c r="L31" s="233"/>
      <c r="M31" s="233">
        <f t="shared" si="0"/>
        <v>0</v>
      </c>
      <c r="N31" s="233">
        <v>0</v>
      </c>
      <c r="O31" s="233"/>
      <c r="P31" s="233"/>
      <c r="Q31" s="233"/>
      <c r="R31" s="233">
        <f t="shared" si="1"/>
        <v>0</v>
      </c>
    </row>
    <row r="32" spans="1:18" s="6" customFormat="1" ht="12">
      <c r="A32" s="137">
        <v>21700</v>
      </c>
      <c r="B32" s="124" t="s">
        <v>97</v>
      </c>
      <c r="C32" s="171">
        <v>150055999</v>
      </c>
      <c r="D32" s="171">
        <v>151030052</v>
      </c>
      <c r="E32" s="233">
        <f>E116+E200</f>
        <v>615419</v>
      </c>
      <c r="F32" s="233">
        <f>F116+F200</f>
        <v>16319228</v>
      </c>
      <c r="G32" s="233">
        <f>G116+G200</f>
        <v>3619141</v>
      </c>
      <c r="H32" s="233">
        <f t="shared" si="2"/>
        <v>171583840</v>
      </c>
      <c r="I32" s="233">
        <v>142063093</v>
      </c>
      <c r="J32" s="233">
        <f t="shared" ref="J32:L40" si="8">J116+J200</f>
        <v>520</v>
      </c>
      <c r="K32" s="233">
        <f t="shared" si="8"/>
        <v>16164590</v>
      </c>
      <c r="L32" s="233">
        <f t="shared" si="8"/>
        <v>1547016</v>
      </c>
      <c r="M32" s="233">
        <f t="shared" si="0"/>
        <v>159775219</v>
      </c>
      <c r="N32" s="233">
        <v>134450785</v>
      </c>
      <c r="O32" s="233">
        <f t="shared" ref="O32:Q40" si="9">O116+O200</f>
        <v>0</v>
      </c>
      <c r="P32" s="233">
        <f t="shared" si="9"/>
        <v>16142426</v>
      </c>
      <c r="Q32" s="233">
        <f t="shared" si="9"/>
        <v>1177746</v>
      </c>
      <c r="R32" s="233">
        <f t="shared" si="1"/>
        <v>151770957</v>
      </c>
    </row>
    <row r="33" spans="1:18" s="6" customFormat="1" ht="24">
      <c r="A33" s="138">
        <v>21710</v>
      </c>
      <c r="B33" s="125" t="s">
        <v>98</v>
      </c>
      <c r="C33" s="171">
        <v>150055999</v>
      </c>
      <c r="D33" s="171">
        <v>151030052</v>
      </c>
      <c r="E33" s="233">
        <f t="shared" ref="E33:G40" si="10">E117+E201</f>
        <v>615419</v>
      </c>
      <c r="F33" s="233">
        <f t="shared" si="10"/>
        <v>16319228</v>
      </c>
      <c r="G33" s="233">
        <f t="shared" si="10"/>
        <v>3619141</v>
      </c>
      <c r="H33" s="233">
        <f t="shared" si="2"/>
        <v>171583840</v>
      </c>
      <c r="I33" s="233">
        <v>142063093</v>
      </c>
      <c r="J33" s="233">
        <f t="shared" si="8"/>
        <v>520</v>
      </c>
      <c r="K33" s="233">
        <f t="shared" si="8"/>
        <v>16164590</v>
      </c>
      <c r="L33" s="233">
        <f t="shared" si="8"/>
        <v>1547016</v>
      </c>
      <c r="M33" s="233">
        <f t="shared" si="0"/>
        <v>159775219</v>
      </c>
      <c r="N33" s="233">
        <v>134450785</v>
      </c>
      <c r="O33" s="233">
        <f t="shared" si="9"/>
        <v>0</v>
      </c>
      <c r="P33" s="233">
        <f t="shared" si="9"/>
        <v>16142426</v>
      </c>
      <c r="Q33" s="233">
        <f t="shared" si="9"/>
        <v>1177746</v>
      </c>
      <c r="R33" s="233">
        <f t="shared" si="1"/>
        <v>151770957</v>
      </c>
    </row>
    <row r="34" spans="1:18" s="6" customFormat="1" ht="24" hidden="1" customHeight="1">
      <c r="A34" s="138">
        <v>21720</v>
      </c>
      <c r="B34" s="125" t="s">
        <v>99</v>
      </c>
      <c r="C34" s="171"/>
      <c r="D34" s="171">
        <v>0</v>
      </c>
      <c r="E34" s="233">
        <f t="shared" si="10"/>
        <v>0</v>
      </c>
      <c r="F34" s="233">
        <f t="shared" si="10"/>
        <v>0</v>
      </c>
      <c r="G34" s="233">
        <f t="shared" si="10"/>
        <v>0</v>
      </c>
      <c r="H34" s="233">
        <f t="shared" si="2"/>
        <v>0</v>
      </c>
      <c r="I34" s="233">
        <v>0</v>
      </c>
      <c r="J34" s="233">
        <f t="shared" si="8"/>
        <v>0</v>
      </c>
      <c r="K34" s="233">
        <f t="shared" si="8"/>
        <v>0</v>
      </c>
      <c r="L34" s="233">
        <f t="shared" si="8"/>
        <v>0</v>
      </c>
      <c r="M34" s="233">
        <f t="shared" si="0"/>
        <v>0</v>
      </c>
      <c r="N34" s="233">
        <v>0</v>
      </c>
      <c r="O34" s="233">
        <f t="shared" si="9"/>
        <v>0</v>
      </c>
      <c r="P34" s="233">
        <f t="shared" si="9"/>
        <v>0</v>
      </c>
      <c r="Q34" s="233">
        <f t="shared" si="9"/>
        <v>0</v>
      </c>
      <c r="R34" s="233">
        <f t="shared" si="1"/>
        <v>0</v>
      </c>
    </row>
    <row r="35" spans="1:18" s="6" customFormat="1" ht="11.4">
      <c r="A35" s="597" t="s">
        <v>100</v>
      </c>
      <c r="B35" s="598" t="s">
        <v>101</v>
      </c>
      <c r="C35" s="618">
        <v>162078130</v>
      </c>
      <c r="D35" s="618">
        <v>161434405</v>
      </c>
      <c r="E35" s="775">
        <f t="shared" si="10"/>
        <v>1609283</v>
      </c>
      <c r="F35" s="775">
        <f t="shared" si="10"/>
        <v>16319228</v>
      </c>
      <c r="G35" s="775">
        <f t="shared" si="10"/>
        <v>3619141</v>
      </c>
      <c r="H35" s="603">
        <f t="shared" si="2"/>
        <v>182982057</v>
      </c>
      <c r="I35" s="603">
        <v>151721176</v>
      </c>
      <c r="J35" s="603">
        <f t="shared" si="8"/>
        <v>18818</v>
      </c>
      <c r="K35" s="603">
        <f t="shared" si="8"/>
        <v>16164590</v>
      </c>
      <c r="L35" s="603">
        <f t="shared" si="8"/>
        <v>1547016</v>
      </c>
      <c r="M35" s="603">
        <f t="shared" si="0"/>
        <v>169451600</v>
      </c>
      <c r="N35" s="603">
        <v>144494965</v>
      </c>
      <c r="O35" s="603">
        <f t="shared" si="9"/>
        <v>0</v>
      </c>
      <c r="P35" s="603">
        <f t="shared" si="9"/>
        <v>16142426</v>
      </c>
      <c r="Q35" s="603">
        <f t="shared" si="9"/>
        <v>1177746</v>
      </c>
      <c r="R35" s="603">
        <f t="shared" si="1"/>
        <v>161815137</v>
      </c>
    </row>
    <row r="36" spans="1:18" s="6" customFormat="1" ht="20.399999999999999">
      <c r="A36" s="130" t="s">
        <v>102</v>
      </c>
      <c r="B36" s="124" t="s">
        <v>103</v>
      </c>
      <c r="C36" s="171">
        <v>150289038</v>
      </c>
      <c r="D36" s="171">
        <v>153828366</v>
      </c>
      <c r="E36" s="233">
        <f>E120+E204</f>
        <v>249249</v>
      </c>
      <c r="F36" s="233">
        <f t="shared" si="10"/>
        <v>16331228</v>
      </c>
      <c r="G36" s="233">
        <f>G120+G204</f>
        <v>2335774</v>
      </c>
      <c r="H36" s="233">
        <f t="shared" si="2"/>
        <v>172744617</v>
      </c>
      <c r="I36" s="233">
        <v>147954897</v>
      </c>
      <c r="J36" s="233">
        <f t="shared" si="8"/>
        <v>18818</v>
      </c>
      <c r="K36" s="233">
        <f t="shared" si="8"/>
        <v>16162590</v>
      </c>
      <c r="L36" s="233">
        <f t="shared" si="8"/>
        <v>1488816</v>
      </c>
      <c r="M36" s="233">
        <f t="shared" si="0"/>
        <v>165625121</v>
      </c>
      <c r="N36" s="233">
        <v>141507271</v>
      </c>
      <c r="O36" s="233">
        <f t="shared" si="9"/>
        <v>0</v>
      </c>
      <c r="P36" s="233">
        <f t="shared" si="9"/>
        <v>16140426</v>
      </c>
      <c r="Q36" s="233">
        <f t="shared" si="9"/>
        <v>1177746</v>
      </c>
      <c r="R36" s="233">
        <f t="shared" si="1"/>
        <v>158825443</v>
      </c>
    </row>
    <row r="37" spans="1:18" s="6" customFormat="1" ht="12">
      <c r="A37" s="130" t="s">
        <v>104</v>
      </c>
      <c r="B37" s="124" t="s">
        <v>105</v>
      </c>
      <c r="C37" s="171">
        <v>147918266</v>
      </c>
      <c r="D37" s="171">
        <v>151724613</v>
      </c>
      <c r="E37" s="233">
        <f t="shared" ref="E37:G40" si="11">E121+E205</f>
        <v>127926</v>
      </c>
      <c r="F37" s="233">
        <f t="shared" si="10"/>
        <v>16329736</v>
      </c>
      <c r="G37" s="233">
        <f t="shared" si="11"/>
        <v>2323643</v>
      </c>
      <c r="H37" s="233">
        <f t="shared" si="2"/>
        <v>170505918</v>
      </c>
      <c r="I37" s="233">
        <v>145811560</v>
      </c>
      <c r="J37" s="233">
        <f t="shared" si="8"/>
        <v>520</v>
      </c>
      <c r="K37" s="233">
        <f t="shared" si="8"/>
        <v>16161098</v>
      </c>
      <c r="L37" s="233">
        <f t="shared" si="8"/>
        <v>1476685</v>
      </c>
      <c r="M37" s="233">
        <f t="shared" si="0"/>
        <v>163449863</v>
      </c>
      <c r="N37" s="233">
        <v>139003305</v>
      </c>
      <c r="O37" s="233">
        <f t="shared" si="9"/>
        <v>0</v>
      </c>
      <c r="P37" s="233">
        <f t="shared" si="9"/>
        <v>16138934</v>
      </c>
      <c r="Q37" s="233">
        <f t="shared" si="9"/>
        <v>1165615</v>
      </c>
      <c r="R37" s="233">
        <f t="shared" si="1"/>
        <v>156307854</v>
      </c>
    </row>
    <row r="38" spans="1:18" s="6" customFormat="1" ht="12">
      <c r="A38" s="132">
        <v>1000</v>
      </c>
      <c r="B38" s="125" t="s">
        <v>106</v>
      </c>
      <c r="C38" s="171">
        <v>94073861</v>
      </c>
      <c r="D38" s="171">
        <v>93751240</v>
      </c>
      <c r="E38" s="233">
        <f t="shared" si="11"/>
        <v>17961</v>
      </c>
      <c r="F38" s="233">
        <f t="shared" si="10"/>
        <v>15613293</v>
      </c>
      <c r="G38" s="233">
        <f t="shared" si="11"/>
        <v>696635</v>
      </c>
      <c r="H38" s="233">
        <f t="shared" si="2"/>
        <v>110079129</v>
      </c>
      <c r="I38" s="233">
        <v>93556373</v>
      </c>
      <c r="J38" s="233">
        <f t="shared" si="8"/>
        <v>292</v>
      </c>
      <c r="K38" s="233">
        <f t="shared" si="8"/>
        <v>15633832</v>
      </c>
      <c r="L38" s="233">
        <f t="shared" si="8"/>
        <v>947778</v>
      </c>
      <c r="M38" s="233">
        <f t="shared" si="0"/>
        <v>110138275</v>
      </c>
      <c r="N38" s="233">
        <v>93450025</v>
      </c>
      <c r="O38" s="233">
        <f t="shared" si="9"/>
        <v>0</v>
      </c>
      <c r="P38" s="233">
        <f t="shared" si="9"/>
        <v>15618679</v>
      </c>
      <c r="Q38" s="233">
        <f t="shared" si="9"/>
        <v>640795</v>
      </c>
      <c r="R38" s="233">
        <f t="shared" si="1"/>
        <v>109709499</v>
      </c>
    </row>
    <row r="39" spans="1:18" s="6" customFormat="1" ht="12">
      <c r="A39" s="139">
        <v>1100</v>
      </c>
      <c r="B39" s="125" t="s">
        <v>107</v>
      </c>
      <c r="C39" s="171">
        <v>68237190</v>
      </c>
      <c r="D39" s="171">
        <v>67976147</v>
      </c>
      <c r="E39" s="233">
        <f t="shared" si="11"/>
        <v>14473</v>
      </c>
      <c r="F39" s="233">
        <f t="shared" si="10"/>
        <v>12568472</v>
      </c>
      <c r="G39" s="233">
        <f t="shared" si="11"/>
        <v>561395</v>
      </c>
      <c r="H39" s="233">
        <f t="shared" si="2"/>
        <v>81120487</v>
      </c>
      <c r="I39" s="233">
        <v>67819111</v>
      </c>
      <c r="J39" s="233">
        <f t="shared" si="8"/>
        <v>235</v>
      </c>
      <c r="K39" s="233">
        <f t="shared" si="8"/>
        <v>12575264</v>
      </c>
      <c r="L39" s="233">
        <f t="shared" si="8"/>
        <v>763783</v>
      </c>
      <c r="M39" s="233">
        <f t="shared" si="0"/>
        <v>81158393</v>
      </c>
      <c r="N39" s="233">
        <v>67737162</v>
      </c>
      <c r="O39" s="233">
        <f t="shared" si="9"/>
        <v>0</v>
      </c>
      <c r="P39" s="233">
        <f t="shared" si="9"/>
        <v>12570736</v>
      </c>
      <c r="Q39" s="233">
        <f t="shared" si="9"/>
        <v>516396</v>
      </c>
      <c r="R39" s="233">
        <f t="shared" si="1"/>
        <v>80824294</v>
      </c>
    </row>
    <row r="40" spans="1:18" s="6" customFormat="1" ht="12">
      <c r="A40" s="132">
        <v>2000</v>
      </c>
      <c r="B40" s="125" t="s">
        <v>108</v>
      </c>
      <c r="C40" s="171">
        <v>53844405</v>
      </c>
      <c r="D40" s="171">
        <v>57973373</v>
      </c>
      <c r="E40" s="233">
        <f t="shared" si="11"/>
        <v>109965</v>
      </c>
      <c r="F40" s="233">
        <f t="shared" si="10"/>
        <v>716443</v>
      </c>
      <c r="G40" s="233">
        <f t="shared" si="11"/>
        <v>1627008</v>
      </c>
      <c r="H40" s="233">
        <f t="shared" si="2"/>
        <v>60426789</v>
      </c>
      <c r="I40" s="233">
        <v>52255187</v>
      </c>
      <c r="J40" s="233">
        <f t="shared" si="8"/>
        <v>228</v>
      </c>
      <c r="K40" s="233">
        <f t="shared" si="8"/>
        <v>527266</v>
      </c>
      <c r="L40" s="233">
        <f t="shared" si="8"/>
        <v>528907</v>
      </c>
      <c r="M40" s="233">
        <f t="shared" si="0"/>
        <v>53311588</v>
      </c>
      <c r="N40" s="233">
        <v>45553280</v>
      </c>
      <c r="O40" s="233">
        <f t="shared" si="9"/>
        <v>0</v>
      </c>
      <c r="P40" s="233">
        <f t="shared" si="9"/>
        <v>520255</v>
      </c>
      <c r="Q40" s="233">
        <f t="shared" si="9"/>
        <v>524820</v>
      </c>
      <c r="R40" s="233">
        <f t="shared" si="1"/>
        <v>46598355</v>
      </c>
    </row>
    <row r="41" spans="1:18" s="6" customFormat="1" ht="12">
      <c r="A41" s="140">
        <v>4000</v>
      </c>
      <c r="B41" s="124" t="s">
        <v>132</v>
      </c>
      <c r="C41" s="171">
        <v>300475</v>
      </c>
      <c r="D41" s="171">
        <v>107299</v>
      </c>
      <c r="E41" s="233">
        <f>E125</f>
        <v>0</v>
      </c>
      <c r="F41" s="233">
        <f>F125</f>
        <v>0</v>
      </c>
      <c r="G41" s="233">
        <f>G125</f>
        <v>0</v>
      </c>
      <c r="H41" s="233">
        <f t="shared" si="2"/>
        <v>107299</v>
      </c>
      <c r="I41" s="233">
        <v>4309</v>
      </c>
      <c r="J41" s="233">
        <f>J125</f>
        <v>0</v>
      </c>
      <c r="K41" s="233">
        <f>K125</f>
        <v>0</v>
      </c>
      <c r="L41" s="233">
        <f>L125</f>
        <v>0</v>
      </c>
      <c r="M41" s="233">
        <f t="shared" si="0"/>
        <v>4309</v>
      </c>
      <c r="N41" s="233">
        <v>0</v>
      </c>
      <c r="O41" s="233">
        <f>O125</f>
        <v>0</v>
      </c>
      <c r="P41" s="233">
        <f>P125</f>
        <v>0</v>
      </c>
      <c r="Q41" s="233">
        <f>Q125</f>
        <v>0</v>
      </c>
      <c r="R41" s="233">
        <f t="shared" si="1"/>
        <v>0</v>
      </c>
    </row>
    <row r="42" spans="1:18" s="6" customFormat="1" ht="12">
      <c r="A42" s="140" t="s">
        <v>109</v>
      </c>
      <c r="B42" s="124" t="s">
        <v>110</v>
      </c>
      <c r="C42" s="171">
        <v>220200</v>
      </c>
      <c r="D42" s="171">
        <v>258125</v>
      </c>
      <c r="E42" s="233">
        <f>E126+E210</f>
        <v>0</v>
      </c>
      <c r="F42" s="233">
        <f>F126+F210</f>
        <v>0</v>
      </c>
      <c r="G42" s="233">
        <f>G126+G210</f>
        <v>0</v>
      </c>
      <c r="H42" s="233">
        <f t="shared" si="2"/>
        <v>258125</v>
      </c>
      <c r="I42" s="233">
        <v>259879</v>
      </c>
      <c r="J42" s="233">
        <f>J126+J210</f>
        <v>0</v>
      </c>
      <c r="K42" s="233">
        <f>K126+K210</f>
        <v>0</v>
      </c>
      <c r="L42" s="233">
        <f>L126+L210</f>
        <v>0</v>
      </c>
      <c r="M42" s="233">
        <f t="shared" si="0"/>
        <v>259879</v>
      </c>
      <c r="N42" s="233">
        <v>161365</v>
      </c>
      <c r="O42" s="233">
        <f>O126+O210</f>
        <v>0</v>
      </c>
      <c r="P42" s="233">
        <f>P126+P210</f>
        <v>0</v>
      </c>
      <c r="Q42" s="233">
        <f>Q126+Q210</f>
        <v>0</v>
      </c>
      <c r="R42" s="233">
        <f t="shared" si="1"/>
        <v>161365</v>
      </c>
    </row>
    <row r="43" spans="1:18" s="6" customFormat="1" ht="12">
      <c r="A43" s="132">
        <v>3000</v>
      </c>
      <c r="B43" s="125" t="s">
        <v>111</v>
      </c>
      <c r="C43" s="213">
        <v>144790</v>
      </c>
      <c r="D43" s="213">
        <v>182885</v>
      </c>
      <c r="E43" s="345">
        <f>E211</f>
        <v>0</v>
      </c>
      <c r="F43" s="345">
        <f>F211</f>
        <v>0</v>
      </c>
      <c r="G43" s="345">
        <f>G211</f>
        <v>0</v>
      </c>
      <c r="H43" s="233">
        <f t="shared" si="2"/>
        <v>182885</v>
      </c>
      <c r="I43" s="345">
        <v>184639</v>
      </c>
      <c r="J43" s="345">
        <f>J211</f>
        <v>0</v>
      </c>
      <c r="K43" s="345">
        <f>K211</f>
        <v>0</v>
      </c>
      <c r="L43" s="345">
        <f>L211</f>
        <v>0</v>
      </c>
      <c r="M43" s="233">
        <f t="shared" si="0"/>
        <v>184639</v>
      </c>
      <c r="N43" s="345">
        <v>86125</v>
      </c>
      <c r="O43" s="345">
        <f>O211</f>
        <v>0</v>
      </c>
      <c r="P43" s="345">
        <f>P211</f>
        <v>0</v>
      </c>
      <c r="Q43" s="345">
        <f>Q211</f>
        <v>0</v>
      </c>
      <c r="R43" s="233">
        <f t="shared" si="1"/>
        <v>86125</v>
      </c>
    </row>
    <row r="44" spans="1:18" s="6" customFormat="1" ht="12">
      <c r="A44" s="132">
        <v>6000</v>
      </c>
      <c r="B44" s="125" t="s">
        <v>112</v>
      </c>
      <c r="C44" s="287">
        <v>75410</v>
      </c>
      <c r="D44" s="287">
        <v>75240</v>
      </c>
      <c r="E44" s="346">
        <f t="shared" ref="E44:G48" si="12">E128+E212</f>
        <v>0</v>
      </c>
      <c r="F44" s="346">
        <f>F128+F212</f>
        <v>0</v>
      </c>
      <c r="G44" s="346">
        <f t="shared" si="12"/>
        <v>0</v>
      </c>
      <c r="H44" s="233">
        <f t="shared" si="2"/>
        <v>75240</v>
      </c>
      <c r="I44" s="346">
        <v>75240</v>
      </c>
      <c r="J44" s="346">
        <f t="shared" ref="J44:L48" si="13">J128+J212</f>
        <v>0</v>
      </c>
      <c r="K44" s="346">
        <f>K128+K212</f>
        <v>0</v>
      </c>
      <c r="L44" s="346">
        <f t="shared" si="13"/>
        <v>0</v>
      </c>
      <c r="M44" s="233">
        <f t="shared" si="0"/>
        <v>75240</v>
      </c>
      <c r="N44" s="346">
        <v>75240</v>
      </c>
      <c r="O44" s="346">
        <f t="shared" ref="O44:Q48" si="14">O128+O212</f>
        <v>0</v>
      </c>
      <c r="P44" s="346">
        <f>P128+P212</f>
        <v>0</v>
      </c>
      <c r="Q44" s="346">
        <f t="shared" si="14"/>
        <v>0</v>
      </c>
      <c r="R44" s="233">
        <f t="shared" si="1"/>
        <v>75240</v>
      </c>
    </row>
    <row r="45" spans="1:18" s="6" customFormat="1" ht="22.8">
      <c r="A45" s="140" t="s">
        <v>113</v>
      </c>
      <c r="B45" s="124" t="s">
        <v>183</v>
      </c>
      <c r="C45" s="171">
        <v>78461</v>
      </c>
      <c r="D45" s="171">
        <v>200195</v>
      </c>
      <c r="E45" s="233">
        <f t="shared" si="12"/>
        <v>0</v>
      </c>
      <c r="F45" s="233">
        <f>F129+F213</f>
        <v>1492</v>
      </c>
      <c r="G45" s="233">
        <f t="shared" si="12"/>
        <v>12131</v>
      </c>
      <c r="H45" s="233">
        <f t="shared" si="2"/>
        <v>213818</v>
      </c>
      <c r="I45" s="233">
        <v>42763</v>
      </c>
      <c r="J45" s="233">
        <f t="shared" si="13"/>
        <v>0</v>
      </c>
      <c r="K45" s="233">
        <f>K129+K213</f>
        <v>1492</v>
      </c>
      <c r="L45" s="233">
        <f t="shared" si="13"/>
        <v>12131</v>
      </c>
      <c r="M45" s="233">
        <f t="shared" si="0"/>
        <v>56386</v>
      </c>
      <c r="N45" s="233">
        <v>42763</v>
      </c>
      <c r="O45" s="233">
        <f t="shared" si="14"/>
        <v>0</v>
      </c>
      <c r="P45" s="233">
        <f>P129+P213</f>
        <v>1492</v>
      </c>
      <c r="Q45" s="233">
        <f t="shared" si="14"/>
        <v>12131</v>
      </c>
      <c r="R45" s="233">
        <f t="shared" si="1"/>
        <v>56386</v>
      </c>
    </row>
    <row r="46" spans="1:18" s="6" customFormat="1" ht="12" hidden="1" customHeight="1">
      <c r="A46" s="132">
        <v>7600</v>
      </c>
      <c r="B46" s="179" t="s">
        <v>184</v>
      </c>
      <c r="C46" s="171"/>
      <c r="D46" s="171">
        <v>0</v>
      </c>
      <c r="E46" s="233">
        <f t="shared" si="12"/>
        <v>0</v>
      </c>
      <c r="F46" s="233">
        <f>F130+F214</f>
        <v>0</v>
      </c>
      <c r="G46" s="233">
        <f t="shared" si="12"/>
        <v>0</v>
      </c>
      <c r="H46" s="233">
        <f t="shared" si="2"/>
        <v>0</v>
      </c>
      <c r="I46" s="233">
        <v>0</v>
      </c>
      <c r="J46" s="233">
        <f t="shared" si="13"/>
        <v>0</v>
      </c>
      <c r="K46" s="233">
        <f>K130+K214</f>
        <v>0</v>
      </c>
      <c r="L46" s="233">
        <f t="shared" si="13"/>
        <v>0</v>
      </c>
      <c r="M46" s="233">
        <f t="shared" si="0"/>
        <v>0</v>
      </c>
      <c r="N46" s="233">
        <v>0</v>
      </c>
      <c r="O46" s="233">
        <f t="shared" si="14"/>
        <v>0</v>
      </c>
      <c r="P46" s="233">
        <f>P130+P214</f>
        <v>0</v>
      </c>
      <c r="Q46" s="233">
        <f t="shared" si="14"/>
        <v>0</v>
      </c>
      <c r="R46" s="233">
        <f t="shared" si="1"/>
        <v>0</v>
      </c>
    </row>
    <row r="47" spans="1:18" s="6" customFormat="1" ht="12">
      <c r="A47" s="132">
        <v>7700</v>
      </c>
      <c r="B47" s="126" t="s">
        <v>114</v>
      </c>
      <c r="C47" s="171">
        <v>78461</v>
      </c>
      <c r="D47" s="171">
        <v>200195</v>
      </c>
      <c r="E47" s="233">
        <f t="shared" si="12"/>
        <v>0</v>
      </c>
      <c r="F47" s="233">
        <f>F131+F215</f>
        <v>1492</v>
      </c>
      <c r="G47" s="233">
        <f t="shared" si="12"/>
        <v>12131</v>
      </c>
      <c r="H47" s="233">
        <f t="shared" si="2"/>
        <v>213818</v>
      </c>
      <c r="I47" s="233">
        <v>42763</v>
      </c>
      <c r="J47" s="233">
        <f t="shared" si="13"/>
        <v>0</v>
      </c>
      <c r="K47" s="233">
        <f>K131+K215</f>
        <v>1492</v>
      </c>
      <c r="L47" s="233">
        <f t="shared" si="13"/>
        <v>12131</v>
      </c>
      <c r="M47" s="233">
        <f t="shared" si="0"/>
        <v>56386</v>
      </c>
      <c r="N47" s="233">
        <v>42763</v>
      </c>
      <c r="O47" s="233">
        <f t="shared" si="14"/>
        <v>0</v>
      </c>
      <c r="P47" s="233">
        <f>P131+P215</f>
        <v>1492</v>
      </c>
      <c r="Q47" s="233">
        <f t="shared" si="14"/>
        <v>12131</v>
      </c>
      <c r="R47" s="233">
        <f t="shared" si="1"/>
        <v>56386</v>
      </c>
    </row>
    <row r="48" spans="1:18" s="6" customFormat="1" ht="20.399999999999999">
      <c r="A48" s="140" t="s">
        <v>185</v>
      </c>
      <c r="B48" s="124" t="s">
        <v>115</v>
      </c>
      <c r="C48" s="171">
        <v>1771636</v>
      </c>
      <c r="D48" s="171">
        <v>1538134</v>
      </c>
      <c r="E48" s="233">
        <f t="shared" si="12"/>
        <v>121323</v>
      </c>
      <c r="F48" s="233">
        <f>F132+F216</f>
        <v>0</v>
      </c>
      <c r="G48" s="233">
        <f t="shared" si="12"/>
        <v>0</v>
      </c>
      <c r="H48" s="233">
        <f t="shared" si="2"/>
        <v>1659457</v>
      </c>
      <c r="I48" s="233">
        <v>1836386</v>
      </c>
      <c r="J48" s="233">
        <f t="shared" si="13"/>
        <v>18298</v>
      </c>
      <c r="K48" s="233">
        <f>K132+K216</f>
        <v>0</v>
      </c>
      <c r="L48" s="233">
        <f t="shared" si="13"/>
        <v>0</v>
      </c>
      <c r="M48" s="233">
        <f t="shared" si="0"/>
        <v>1854684</v>
      </c>
      <c r="N48" s="233">
        <v>2299838</v>
      </c>
      <c r="O48" s="233">
        <f t="shared" si="14"/>
        <v>0</v>
      </c>
      <c r="P48" s="233">
        <f>P132+P216</f>
        <v>0</v>
      </c>
      <c r="Q48" s="233">
        <f t="shared" si="14"/>
        <v>0</v>
      </c>
      <c r="R48" s="233">
        <f t="shared" si="1"/>
        <v>2299838</v>
      </c>
    </row>
    <row r="49" spans="1:18" s="6" customFormat="1" ht="12" hidden="1" customHeight="1">
      <c r="A49" s="132">
        <v>7100</v>
      </c>
      <c r="B49" s="179" t="s">
        <v>116</v>
      </c>
      <c r="C49" s="171">
        <v>0</v>
      </c>
      <c r="D49" s="171">
        <v>0</v>
      </c>
      <c r="E49" s="233">
        <f>E50+E51</f>
        <v>0</v>
      </c>
      <c r="F49" s="233">
        <f>F50+F51</f>
        <v>0</v>
      </c>
      <c r="G49" s="233">
        <f>G50+G51</f>
        <v>0</v>
      </c>
      <c r="H49" s="233">
        <f t="shared" si="2"/>
        <v>0</v>
      </c>
      <c r="I49" s="233">
        <v>0</v>
      </c>
      <c r="J49" s="233">
        <f>J50+J51</f>
        <v>0</v>
      </c>
      <c r="K49" s="233">
        <f>K50+K51</f>
        <v>0</v>
      </c>
      <c r="L49" s="233">
        <f>L50+L51</f>
        <v>0</v>
      </c>
      <c r="M49" s="233">
        <f t="shared" si="0"/>
        <v>0</v>
      </c>
      <c r="N49" s="233">
        <v>0</v>
      </c>
      <c r="O49" s="233">
        <f>O50+O51</f>
        <v>0</v>
      </c>
      <c r="P49" s="233">
        <f>P50+P51</f>
        <v>0</v>
      </c>
      <c r="Q49" s="233">
        <f>Q50+Q51</f>
        <v>0</v>
      </c>
      <c r="R49" s="233">
        <f t="shared" si="1"/>
        <v>0</v>
      </c>
    </row>
    <row r="50" spans="1:18" s="6" customFormat="1" ht="24" hidden="1" customHeight="1">
      <c r="A50" s="133" t="s">
        <v>117</v>
      </c>
      <c r="B50" s="179" t="s">
        <v>118</v>
      </c>
      <c r="C50" s="171"/>
      <c r="D50" s="171">
        <v>0</v>
      </c>
      <c r="E50" s="233"/>
      <c r="F50" s="233"/>
      <c r="G50" s="233"/>
      <c r="H50" s="233">
        <f t="shared" si="2"/>
        <v>0</v>
      </c>
      <c r="I50" s="233">
        <v>0</v>
      </c>
      <c r="J50" s="233"/>
      <c r="K50" s="233"/>
      <c r="L50" s="233"/>
      <c r="M50" s="233">
        <f t="shared" si="0"/>
        <v>0</v>
      </c>
      <c r="N50" s="233">
        <v>0</v>
      </c>
      <c r="O50" s="233"/>
      <c r="P50" s="233"/>
      <c r="Q50" s="233"/>
      <c r="R50" s="233">
        <f t="shared" si="1"/>
        <v>0</v>
      </c>
    </row>
    <row r="51" spans="1:18" s="6" customFormat="1" ht="24" hidden="1" customHeight="1">
      <c r="A51" s="133">
        <v>7130</v>
      </c>
      <c r="B51" s="179" t="s">
        <v>119</v>
      </c>
      <c r="C51" s="171">
        <v>0</v>
      </c>
      <c r="D51" s="171">
        <v>0</v>
      </c>
      <c r="E51" s="233">
        <f>SUM(E52:E54)</f>
        <v>0</v>
      </c>
      <c r="F51" s="233">
        <f>SUM(F52:F54)</f>
        <v>0</v>
      </c>
      <c r="G51" s="233">
        <f>SUM(G52:G54)</f>
        <v>0</v>
      </c>
      <c r="H51" s="233">
        <f t="shared" si="2"/>
        <v>0</v>
      </c>
      <c r="I51" s="233">
        <v>0</v>
      </c>
      <c r="J51" s="233">
        <f>SUM(J52:J54)</f>
        <v>0</v>
      </c>
      <c r="K51" s="233">
        <f>SUM(K52:K54)</f>
        <v>0</v>
      </c>
      <c r="L51" s="233">
        <f>SUM(L52:L54)</f>
        <v>0</v>
      </c>
      <c r="M51" s="233">
        <f t="shared" si="0"/>
        <v>0</v>
      </c>
      <c r="N51" s="233">
        <v>0</v>
      </c>
      <c r="O51" s="233">
        <f>SUM(O52:O54)</f>
        <v>0</v>
      </c>
      <c r="P51" s="233">
        <f>SUM(P52:P54)</f>
        <v>0</v>
      </c>
      <c r="Q51" s="233">
        <f>SUM(Q52:Q54)</f>
        <v>0</v>
      </c>
      <c r="R51" s="233">
        <f t="shared" si="1"/>
        <v>0</v>
      </c>
    </row>
    <row r="52" spans="1:18" s="6" customFormat="1" ht="36" hidden="1" customHeight="1">
      <c r="A52" s="134">
        <v>7131</v>
      </c>
      <c r="B52" s="179" t="s">
        <v>120</v>
      </c>
      <c r="C52" s="171"/>
      <c r="D52" s="171">
        <v>0</v>
      </c>
      <c r="E52" s="233"/>
      <c r="F52" s="233"/>
      <c r="G52" s="233"/>
      <c r="H52" s="233">
        <f t="shared" si="2"/>
        <v>0</v>
      </c>
      <c r="I52" s="233">
        <v>0</v>
      </c>
      <c r="J52" s="233"/>
      <c r="K52" s="233"/>
      <c r="L52" s="233"/>
      <c r="M52" s="233">
        <f t="shared" si="0"/>
        <v>0</v>
      </c>
      <c r="N52" s="233">
        <v>0</v>
      </c>
      <c r="O52" s="233"/>
      <c r="P52" s="233"/>
      <c r="Q52" s="233"/>
      <c r="R52" s="233">
        <f t="shared" si="1"/>
        <v>0</v>
      </c>
    </row>
    <row r="53" spans="1:18" s="6" customFormat="1" ht="36" hidden="1" customHeight="1">
      <c r="A53" s="134">
        <v>7132</v>
      </c>
      <c r="B53" s="179" t="s">
        <v>121</v>
      </c>
      <c r="C53" s="171"/>
      <c r="D53" s="171">
        <v>0</v>
      </c>
      <c r="E53" s="233"/>
      <c r="F53" s="233"/>
      <c r="G53" s="233"/>
      <c r="H53" s="233">
        <f t="shared" si="2"/>
        <v>0</v>
      </c>
      <c r="I53" s="233">
        <v>0</v>
      </c>
      <c r="J53" s="233"/>
      <c r="K53" s="233"/>
      <c r="L53" s="233"/>
      <c r="M53" s="233">
        <f t="shared" si="0"/>
        <v>0</v>
      </c>
      <c r="N53" s="233">
        <v>0</v>
      </c>
      <c r="O53" s="233"/>
      <c r="P53" s="233"/>
      <c r="Q53" s="233"/>
      <c r="R53" s="233">
        <f t="shared" si="1"/>
        <v>0</v>
      </c>
    </row>
    <row r="54" spans="1:18" s="6" customFormat="1" ht="24" hidden="1" customHeight="1">
      <c r="A54" s="134" t="s">
        <v>186</v>
      </c>
      <c r="B54" s="179" t="s">
        <v>187</v>
      </c>
      <c r="C54" s="171"/>
      <c r="D54" s="171">
        <v>0</v>
      </c>
      <c r="E54" s="233"/>
      <c r="F54" s="233"/>
      <c r="G54" s="233"/>
      <c r="H54" s="233">
        <f t="shared" si="2"/>
        <v>0</v>
      </c>
      <c r="I54" s="233">
        <v>0</v>
      </c>
      <c r="J54" s="233"/>
      <c r="K54" s="233"/>
      <c r="L54" s="233"/>
      <c r="M54" s="233">
        <f t="shared" si="0"/>
        <v>0</v>
      </c>
      <c r="N54" s="233">
        <v>0</v>
      </c>
      <c r="O54" s="233"/>
      <c r="P54" s="233"/>
      <c r="Q54" s="233"/>
      <c r="R54" s="233">
        <f t="shared" si="1"/>
        <v>0</v>
      </c>
    </row>
    <row r="55" spans="1:18" s="6" customFormat="1" ht="24">
      <c r="A55" s="132">
        <v>7300</v>
      </c>
      <c r="B55" s="172" t="s">
        <v>155</v>
      </c>
      <c r="C55" s="171">
        <v>199360</v>
      </c>
      <c r="D55" s="171">
        <v>199360</v>
      </c>
      <c r="E55" s="233">
        <f>E139</f>
        <v>0</v>
      </c>
      <c r="F55" s="233">
        <f>F139</f>
        <v>0</v>
      </c>
      <c r="G55" s="233">
        <f>G139</f>
        <v>0</v>
      </c>
      <c r="H55" s="233">
        <f t="shared" si="2"/>
        <v>199360</v>
      </c>
      <c r="I55" s="233">
        <v>199360</v>
      </c>
      <c r="J55" s="233">
        <f t="shared" ref="J55:L58" si="15">J139</f>
        <v>0</v>
      </c>
      <c r="K55" s="233">
        <f>K139</f>
        <v>0</v>
      </c>
      <c r="L55" s="233">
        <f t="shared" si="15"/>
        <v>0</v>
      </c>
      <c r="M55" s="233">
        <f t="shared" si="0"/>
        <v>199360</v>
      </c>
      <c r="N55" s="233">
        <v>199360</v>
      </c>
      <c r="O55" s="233">
        <f t="shared" ref="O55:Q58" si="16">O139</f>
        <v>0</v>
      </c>
      <c r="P55" s="233">
        <f>P139</f>
        <v>0</v>
      </c>
      <c r="Q55" s="233">
        <f t="shared" si="16"/>
        <v>0</v>
      </c>
      <c r="R55" s="233">
        <f t="shared" si="1"/>
        <v>199360</v>
      </c>
    </row>
    <row r="56" spans="1:18" s="6" customFormat="1" ht="24" hidden="1" customHeight="1">
      <c r="A56" s="133" t="s">
        <v>188</v>
      </c>
      <c r="B56" s="179" t="s">
        <v>170</v>
      </c>
      <c r="C56" s="619"/>
      <c r="D56" s="619">
        <v>0</v>
      </c>
      <c r="E56" s="233">
        <f t="shared" ref="E56:G58" si="17">E140</f>
        <v>0</v>
      </c>
      <c r="F56" s="233">
        <f>F140</f>
        <v>0</v>
      </c>
      <c r="G56" s="233">
        <f t="shared" si="17"/>
        <v>0</v>
      </c>
      <c r="H56" s="233">
        <f t="shared" si="2"/>
        <v>0</v>
      </c>
      <c r="I56" s="605">
        <v>0</v>
      </c>
      <c r="J56" s="605">
        <f t="shared" si="15"/>
        <v>0</v>
      </c>
      <c r="K56" s="605">
        <f>K140</f>
        <v>0</v>
      </c>
      <c r="L56" s="605">
        <f t="shared" si="15"/>
        <v>0</v>
      </c>
      <c r="M56" s="233">
        <f t="shared" si="0"/>
        <v>0</v>
      </c>
      <c r="N56" s="605">
        <v>0</v>
      </c>
      <c r="O56" s="605">
        <f t="shared" si="16"/>
        <v>0</v>
      </c>
      <c r="P56" s="605">
        <f>P140</f>
        <v>0</v>
      </c>
      <c r="Q56" s="605">
        <f t="shared" si="16"/>
        <v>0</v>
      </c>
      <c r="R56" s="233">
        <f t="shared" si="1"/>
        <v>0</v>
      </c>
    </row>
    <row r="57" spans="1:18" s="29" customFormat="1" ht="48" hidden="1" customHeight="1">
      <c r="A57" s="133" t="s">
        <v>189</v>
      </c>
      <c r="B57" s="179" t="s">
        <v>156</v>
      </c>
      <c r="C57" s="619"/>
      <c r="D57" s="619">
        <v>0</v>
      </c>
      <c r="E57" s="233">
        <f t="shared" si="17"/>
        <v>0</v>
      </c>
      <c r="F57" s="233">
        <f>F141</f>
        <v>0</v>
      </c>
      <c r="G57" s="233">
        <f t="shared" si="17"/>
        <v>0</v>
      </c>
      <c r="H57" s="233">
        <f t="shared" si="2"/>
        <v>0</v>
      </c>
      <c r="I57" s="605">
        <v>0</v>
      </c>
      <c r="J57" s="605">
        <f t="shared" si="15"/>
        <v>0</v>
      </c>
      <c r="K57" s="605">
        <f>K141</f>
        <v>0</v>
      </c>
      <c r="L57" s="605">
        <f t="shared" si="15"/>
        <v>0</v>
      </c>
      <c r="M57" s="233">
        <f t="shared" si="0"/>
        <v>0</v>
      </c>
      <c r="N57" s="605">
        <v>0</v>
      </c>
      <c r="O57" s="605">
        <f t="shared" si="16"/>
        <v>0</v>
      </c>
      <c r="P57" s="605">
        <f>P141</f>
        <v>0</v>
      </c>
      <c r="Q57" s="605">
        <f t="shared" si="16"/>
        <v>0</v>
      </c>
      <c r="R57" s="233">
        <f t="shared" si="1"/>
        <v>0</v>
      </c>
    </row>
    <row r="58" spans="1:18" s="89" customFormat="1" ht="36">
      <c r="A58" s="133">
        <v>7350</v>
      </c>
      <c r="B58" s="179" t="s">
        <v>163</v>
      </c>
      <c r="C58" s="619">
        <v>199360</v>
      </c>
      <c r="D58" s="619">
        <v>199360</v>
      </c>
      <c r="E58" s="233">
        <f t="shared" si="17"/>
        <v>0</v>
      </c>
      <c r="F58" s="233">
        <f>F142</f>
        <v>0</v>
      </c>
      <c r="G58" s="233">
        <f t="shared" si="17"/>
        <v>0</v>
      </c>
      <c r="H58" s="233">
        <f t="shared" si="2"/>
        <v>199360</v>
      </c>
      <c r="I58" s="605">
        <v>199360</v>
      </c>
      <c r="J58" s="605">
        <f t="shared" si="15"/>
        <v>0</v>
      </c>
      <c r="K58" s="605">
        <f>K142</f>
        <v>0</v>
      </c>
      <c r="L58" s="605">
        <f t="shared" si="15"/>
        <v>0</v>
      </c>
      <c r="M58" s="233">
        <f t="shared" si="0"/>
        <v>199360</v>
      </c>
      <c r="N58" s="605">
        <v>199360</v>
      </c>
      <c r="O58" s="605">
        <f t="shared" si="16"/>
        <v>0</v>
      </c>
      <c r="P58" s="605">
        <f>P142</f>
        <v>0</v>
      </c>
      <c r="Q58" s="605">
        <f t="shared" si="16"/>
        <v>0</v>
      </c>
      <c r="R58" s="233">
        <f t="shared" si="1"/>
        <v>199360</v>
      </c>
    </row>
    <row r="59" spans="1:18" s="89" customFormat="1" ht="24">
      <c r="A59" s="132">
        <v>7400</v>
      </c>
      <c r="B59" s="172" t="s">
        <v>161</v>
      </c>
      <c r="C59" s="171">
        <v>15208</v>
      </c>
      <c r="D59" s="171">
        <v>0</v>
      </c>
      <c r="E59" s="233">
        <f>E227</f>
        <v>0</v>
      </c>
      <c r="F59" s="233">
        <f>F227</f>
        <v>0</v>
      </c>
      <c r="G59" s="233">
        <f>G227</f>
        <v>0</v>
      </c>
      <c r="H59" s="233">
        <f t="shared" si="2"/>
        <v>0</v>
      </c>
      <c r="I59" s="233">
        <v>0</v>
      </c>
      <c r="J59" s="233">
        <f t="shared" ref="J59:L62" si="18">J227</f>
        <v>0</v>
      </c>
      <c r="K59" s="233">
        <f>K227</f>
        <v>0</v>
      </c>
      <c r="L59" s="233">
        <f t="shared" si="18"/>
        <v>0</v>
      </c>
      <c r="M59" s="233">
        <f t="shared" si="0"/>
        <v>0</v>
      </c>
      <c r="N59" s="233">
        <v>0</v>
      </c>
      <c r="O59" s="233">
        <f t="shared" ref="O59:Q62" si="19">O227</f>
        <v>0</v>
      </c>
      <c r="P59" s="233">
        <f>P227</f>
        <v>0</v>
      </c>
      <c r="Q59" s="233">
        <f t="shared" si="19"/>
        <v>0</v>
      </c>
      <c r="R59" s="233">
        <f t="shared" si="1"/>
        <v>0</v>
      </c>
    </row>
    <row r="60" spans="1:18" s="89" customFormat="1" ht="24">
      <c r="A60" s="133">
        <v>7460</v>
      </c>
      <c r="B60" s="172" t="s">
        <v>162</v>
      </c>
      <c r="C60" s="619">
        <v>15208</v>
      </c>
      <c r="D60" s="619">
        <v>0</v>
      </c>
      <c r="E60" s="233">
        <f t="shared" ref="E60:G62" si="20">E228</f>
        <v>0</v>
      </c>
      <c r="F60" s="233">
        <f>F228</f>
        <v>0</v>
      </c>
      <c r="G60" s="233">
        <f t="shared" si="20"/>
        <v>0</v>
      </c>
      <c r="H60" s="233">
        <f t="shared" si="2"/>
        <v>0</v>
      </c>
      <c r="I60" s="605">
        <v>0</v>
      </c>
      <c r="J60" s="605">
        <f t="shared" si="18"/>
        <v>0</v>
      </c>
      <c r="K60" s="605">
        <f>K228</f>
        <v>0</v>
      </c>
      <c r="L60" s="605">
        <f t="shared" si="18"/>
        <v>0</v>
      </c>
      <c r="M60" s="233">
        <f t="shared" si="0"/>
        <v>0</v>
      </c>
      <c r="N60" s="605">
        <v>0</v>
      </c>
      <c r="O60" s="605">
        <f t="shared" si="19"/>
        <v>0</v>
      </c>
      <c r="P60" s="605">
        <f>P228</f>
        <v>0</v>
      </c>
      <c r="Q60" s="605">
        <f t="shared" si="19"/>
        <v>0</v>
      </c>
      <c r="R60" s="233">
        <f t="shared" si="1"/>
        <v>0</v>
      </c>
    </row>
    <row r="61" spans="1:18" s="89" customFormat="1" ht="48" hidden="1" customHeight="1">
      <c r="A61" s="133">
        <v>7470</v>
      </c>
      <c r="B61" s="179" t="s">
        <v>167</v>
      </c>
      <c r="C61" s="619"/>
      <c r="D61" s="619">
        <v>0</v>
      </c>
      <c r="E61" s="233">
        <f t="shared" si="20"/>
        <v>0</v>
      </c>
      <c r="F61" s="233">
        <f>F229</f>
        <v>0</v>
      </c>
      <c r="G61" s="233">
        <f t="shared" si="20"/>
        <v>0</v>
      </c>
      <c r="H61" s="233">
        <f t="shared" si="2"/>
        <v>0</v>
      </c>
      <c r="I61" s="605">
        <v>0</v>
      </c>
      <c r="J61" s="605">
        <f t="shared" si="18"/>
        <v>0</v>
      </c>
      <c r="K61" s="605">
        <f>K229</f>
        <v>0</v>
      </c>
      <c r="L61" s="605">
        <f t="shared" si="18"/>
        <v>0</v>
      </c>
      <c r="M61" s="233">
        <f t="shared" si="0"/>
        <v>0</v>
      </c>
      <c r="N61" s="605">
        <v>0</v>
      </c>
      <c r="O61" s="605">
        <f t="shared" si="19"/>
        <v>0</v>
      </c>
      <c r="P61" s="605">
        <f>P229</f>
        <v>0</v>
      </c>
      <c r="Q61" s="605">
        <f t="shared" si="19"/>
        <v>0</v>
      </c>
      <c r="R61" s="233">
        <f t="shared" si="1"/>
        <v>0</v>
      </c>
    </row>
    <row r="62" spans="1:18" s="89" customFormat="1" ht="24">
      <c r="A62" s="132">
        <v>7500</v>
      </c>
      <c r="B62" s="179" t="s">
        <v>157</v>
      </c>
      <c r="C62" s="171">
        <v>1557068</v>
      </c>
      <c r="D62" s="171">
        <v>1338774</v>
      </c>
      <c r="E62" s="233">
        <f t="shared" si="20"/>
        <v>121323</v>
      </c>
      <c r="F62" s="233">
        <f>F230</f>
        <v>0</v>
      </c>
      <c r="G62" s="233">
        <f t="shared" si="20"/>
        <v>0</v>
      </c>
      <c r="H62" s="233">
        <f t="shared" si="2"/>
        <v>1460097</v>
      </c>
      <c r="I62" s="233">
        <v>1637026</v>
      </c>
      <c r="J62" s="233">
        <f t="shared" si="18"/>
        <v>18298</v>
      </c>
      <c r="K62" s="233">
        <f>K230</f>
        <v>0</v>
      </c>
      <c r="L62" s="233">
        <f t="shared" si="18"/>
        <v>0</v>
      </c>
      <c r="M62" s="233">
        <f t="shared" si="0"/>
        <v>1655324</v>
      </c>
      <c r="N62" s="233">
        <v>2100478</v>
      </c>
      <c r="O62" s="233">
        <f t="shared" si="19"/>
        <v>0</v>
      </c>
      <c r="P62" s="233">
        <f>P230</f>
        <v>0</v>
      </c>
      <c r="Q62" s="233">
        <f t="shared" si="19"/>
        <v>0</v>
      </c>
      <c r="R62" s="233">
        <f t="shared" si="1"/>
        <v>2100478</v>
      </c>
    </row>
    <row r="63" spans="1:18" s="89" customFormat="1" ht="12">
      <c r="A63" s="140" t="s">
        <v>133</v>
      </c>
      <c r="B63" s="124" t="s">
        <v>122</v>
      </c>
      <c r="C63" s="181">
        <v>11789092</v>
      </c>
      <c r="D63" s="181">
        <v>7606039</v>
      </c>
      <c r="E63" s="254">
        <f t="shared" ref="E63:G64" si="21">E147+E231</f>
        <v>1360034</v>
      </c>
      <c r="F63" s="254">
        <f t="shared" si="21"/>
        <v>-12000</v>
      </c>
      <c r="G63" s="254">
        <f t="shared" si="21"/>
        <v>1283367</v>
      </c>
      <c r="H63" s="233">
        <f t="shared" si="2"/>
        <v>10237440</v>
      </c>
      <c r="I63" s="254">
        <v>3766279</v>
      </c>
      <c r="J63" s="254">
        <f t="shared" ref="J63:L64" si="22">J147+J231</f>
        <v>0</v>
      </c>
      <c r="K63" s="254">
        <f t="shared" si="22"/>
        <v>2000</v>
      </c>
      <c r="L63" s="254">
        <f t="shared" si="22"/>
        <v>58200</v>
      </c>
      <c r="M63" s="233">
        <f t="shared" si="0"/>
        <v>3826479</v>
      </c>
      <c r="N63" s="254">
        <v>2987694</v>
      </c>
      <c r="O63" s="254">
        <f t="shared" ref="O63:Q64" si="23">O147+O231</f>
        <v>0</v>
      </c>
      <c r="P63" s="254">
        <f t="shared" si="23"/>
        <v>2000</v>
      </c>
      <c r="Q63" s="254">
        <f t="shared" si="23"/>
        <v>0</v>
      </c>
      <c r="R63" s="233">
        <f t="shared" si="1"/>
        <v>2989694</v>
      </c>
    </row>
    <row r="64" spans="1:18" s="89" customFormat="1" ht="12">
      <c r="A64" s="140">
        <v>5000</v>
      </c>
      <c r="B64" s="124" t="s">
        <v>123</v>
      </c>
      <c r="C64" s="171">
        <v>10155764</v>
      </c>
      <c r="D64" s="171">
        <v>6785500</v>
      </c>
      <c r="E64" s="254">
        <f t="shared" si="21"/>
        <v>534498</v>
      </c>
      <c r="F64" s="404">
        <f t="shared" si="21"/>
        <v>-12000</v>
      </c>
      <c r="G64" s="404">
        <f t="shared" si="21"/>
        <v>1283367</v>
      </c>
      <c r="H64" s="233">
        <f t="shared" si="2"/>
        <v>8591365</v>
      </c>
      <c r="I64" s="233">
        <v>2712816</v>
      </c>
      <c r="J64" s="233">
        <f t="shared" si="22"/>
        <v>0</v>
      </c>
      <c r="K64" s="233">
        <f t="shared" si="22"/>
        <v>2000</v>
      </c>
      <c r="L64" s="233">
        <f t="shared" si="22"/>
        <v>58200</v>
      </c>
      <c r="M64" s="233">
        <f t="shared" si="0"/>
        <v>2773016</v>
      </c>
      <c r="N64" s="233">
        <v>1700307</v>
      </c>
      <c r="O64" s="233">
        <f t="shared" si="23"/>
        <v>0</v>
      </c>
      <c r="P64" s="233">
        <f t="shared" si="23"/>
        <v>2000</v>
      </c>
      <c r="Q64" s="233">
        <f t="shared" si="23"/>
        <v>0</v>
      </c>
      <c r="R64" s="233">
        <f t="shared" si="1"/>
        <v>1702307</v>
      </c>
    </row>
    <row r="65" spans="1:18" s="89" customFormat="1" ht="12">
      <c r="A65" s="140">
        <v>9000</v>
      </c>
      <c r="B65" s="182" t="s">
        <v>164</v>
      </c>
      <c r="C65" s="171">
        <v>1633328</v>
      </c>
      <c r="D65" s="171">
        <v>820539</v>
      </c>
      <c r="E65" s="233">
        <f>E233</f>
        <v>825536</v>
      </c>
      <c r="F65" s="233">
        <f>F233</f>
        <v>0</v>
      </c>
      <c r="G65" s="233">
        <f>G233</f>
        <v>0</v>
      </c>
      <c r="H65" s="233">
        <f t="shared" si="2"/>
        <v>1646075</v>
      </c>
      <c r="I65" s="233">
        <v>1053463</v>
      </c>
      <c r="J65" s="233">
        <f t="shared" ref="J65:L79" si="24">J233</f>
        <v>0</v>
      </c>
      <c r="K65" s="233">
        <f t="shared" si="24"/>
        <v>0</v>
      </c>
      <c r="L65" s="233">
        <f t="shared" si="24"/>
        <v>0</v>
      </c>
      <c r="M65" s="233">
        <f t="shared" si="0"/>
        <v>1053463</v>
      </c>
      <c r="N65" s="233">
        <v>1287387</v>
      </c>
      <c r="O65" s="233">
        <f t="shared" ref="O65:Q79" si="25">O233</f>
        <v>0</v>
      </c>
      <c r="P65" s="233">
        <f t="shared" si="25"/>
        <v>0</v>
      </c>
      <c r="Q65" s="233">
        <f t="shared" si="25"/>
        <v>0</v>
      </c>
      <c r="R65" s="233">
        <f t="shared" si="1"/>
        <v>1287387</v>
      </c>
    </row>
    <row r="66" spans="1:18" s="89" customFormat="1" ht="12" hidden="1" customHeight="1">
      <c r="A66" s="141">
        <v>9100</v>
      </c>
      <c r="B66" s="179" t="s">
        <v>124</v>
      </c>
      <c r="C66" s="171">
        <v>0</v>
      </c>
      <c r="D66" s="171">
        <v>0</v>
      </c>
      <c r="E66" s="233">
        <f t="shared" ref="E66:G79" si="26">E234</f>
        <v>0</v>
      </c>
      <c r="F66" s="233">
        <f t="shared" si="26"/>
        <v>0</v>
      </c>
      <c r="G66" s="233">
        <f t="shared" si="26"/>
        <v>0</v>
      </c>
      <c r="H66" s="233">
        <f t="shared" si="2"/>
        <v>0</v>
      </c>
      <c r="I66" s="233">
        <v>0</v>
      </c>
      <c r="J66" s="233">
        <f t="shared" si="24"/>
        <v>0</v>
      </c>
      <c r="K66" s="233">
        <f t="shared" si="24"/>
        <v>0</v>
      </c>
      <c r="L66" s="233">
        <f t="shared" si="24"/>
        <v>0</v>
      </c>
      <c r="M66" s="233">
        <f t="shared" si="0"/>
        <v>0</v>
      </c>
      <c r="N66" s="233">
        <v>0</v>
      </c>
      <c r="O66" s="233">
        <f t="shared" si="25"/>
        <v>0</v>
      </c>
      <c r="P66" s="233">
        <f t="shared" si="25"/>
        <v>0</v>
      </c>
      <c r="Q66" s="233">
        <f t="shared" si="25"/>
        <v>0</v>
      </c>
      <c r="R66" s="233">
        <f t="shared" si="1"/>
        <v>0</v>
      </c>
    </row>
    <row r="67" spans="1:18" s="89" customFormat="1" ht="24" hidden="1" customHeight="1">
      <c r="A67" s="133" t="s">
        <v>125</v>
      </c>
      <c r="B67" s="179" t="s">
        <v>214</v>
      </c>
      <c r="C67" s="171"/>
      <c r="D67" s="171">
        <v>0</v>
      </c>
      <c r="E67" s="233">
        <f t="shared" si="26"/>
        <v>0</v>
      </c>
      <c r="F67" s="233">
        <f t="shared" si="26"/>
        <v>0</v>
      </c>
      <c r="G67" s="233">
        <f t="shared" si="26"/>
        <v>0</v>
      </c>
      <c r="H67" s="233">
        <f t="shared" si="2"/>
        <v>0</v>
      </c>
      <c r="I67" s="233">
        <v>0</v>
      </c>
      <c r="J67" s="233">
        <f t="shared" si="24"/>
        <v>0</v>
      </c>
      <c r="K67" s="233">
        <f t="shared" si="24"/>
        <v>0</v>
      </c>
      <c r="L67" s="233">
        <f t="shared" si="24"/>
        <v>0</v>
      </c>
      <c r="M67" s="233">
        <f t="shared" si="0"/>
        <v>0</v>
      </c>
      <c r="N67" s="233">
        <v>0</v>
      </c>
      <c r="O67" s="233">
        <f t="shared" si="25"/>
        <v>0</v>
      </c>
      <c r="P67" s="233">
        <f t="shared" si="25"/>
        <v>0</v>
      </c>
      <c r="Q67" s="233">
        <f t="shared" si="25"/>
        <v>0</v>
      </c>
      <c r="R67" s="233">
        <f t="shared" si="1"/>
        <v>0</v>
      </c>
    </row>
    <row r="68" spans="1:18" s="89" customFormat="1" ht="24" hidden="1" customHeight="1">
      <c r="A68" s="133">
        <v>9140</v>
      </c>
      <c r="B68" s="179" t="s">
        <v>215</v>
      </c>
      <c r="C68" s="171">
        <v>0</v>
      </c>
      <c r="D68" s="171">
        <v>0</v>
      </c>
      <c r="E68" s="233">
        <f t="shared" si="26"/>
        <v>0</v>
      </c>
      <c r="F68" s="233">
        <f t="shared" si="26"/>
        <v>0</v>
      </c>
      <c r="G68" s="233">
        <f t="shared" si="26"/>
        <v>0</v>
      </c>
      <c r="H68" s="233">
        <f t="shared" si="2"/>
        <v>0</v>
      </c>
      <c r="I68" s="233">
        <v>0</v>
      </c>
      <c r="J68" s="233">
        <f t="shared" si="24"/>
        <v>0</v>
      </c>
      <c r="K68" s="233">
        <f t="shared" si="24"/>
        <v>0</v>
      </c>
      <c r="L68" s="233">
        <f t="shared" si="24"/>
        <v>0</v>
      </c>
      <c r="M68" s="233">
        <f t="shared" si="0"/>
        <v>0</v>
      </c>
      <c r="N68" s="233">
        <v>0</v>
      </c>
      <c r="O68" s="233">
        <f t="shared" si="25"/>
        <v>0</v>
      </c>
      <c r="P68" s="233">
        <f t="shared" si="25"/>
        <v>0</v>
      </c>
      <c r="Q68" s="233">
        <f t="shared" si="25"/>
        <v>0</v>
      </c>
      <c r="R68" s="233">
        <f t="shared" si="1"/>
        <v>0</v>
      </c>
    </row>
    <row r="69" spans="1:18" s="89" customFormat="1" ht="36" hidden="1" customHeight="1">
      <c r="A69" s="134">
        <v>9141</v>
      </c>
      <c r="B69" s="172" t="s">
        <v>190</v>
      </c>
      <c r="C69" s="619"/>
      <c r="D69" s="619">
        <v>0</v>
      </c>
      <c r="E69" s="233">
        <f t="shared" si="26"/>
        <v>0</v>
      </c>
      <c r="F69" s="233">
        <f t="shared" si="26"/>
        <v>0</v>
      </c>
      <c r="G69" s="233">
        <f t="shared" si="26"/>
        <v>0</v>
      </c>
      <c r="H69" s="233">
        <f t="shared" si="2"/>
        <v>0</v>
      </c>
      <c r="I69" s="605">
        <v>0</v>
      </c>
      <c r="J69" s="605">
        <f t="shared" si="24"/>
        <v>0</v>
      </c>
      <c r="K69" s="605">
        <f t="shared" si="24"/>
        <v>0</v>
      </c>
      <c r="L69" s="605">
        <f t="shared" si="24"/>
        <v>0</v>
      </c>
      <c r="M69" s="233">
        <f t="shared" si="0"/>
        <v>0</v>
      </c>
      <c r="N69" s="605">
        <v>0</v>
      </c>
      <c r="O69" s="605">
        <f t="shared" si="25"/>
        <v>0</v>
      </c>
      <c r="P69" s="605">
        <f t="shared" si="25"/>
        <v>0</v>
      </c>
      <c r="Q69" s="605">
        <f t="shared" si="25"/>
        <v>0</v>
      </c>
      <c r="R69" s="233">
        <f t="shared" si="1"/>
        <v>0</v>
      </c>
    </row>
    <row r="70" spans="1:18" s="89" customFormat="1" ht="36" hidden="1" customHeight="1">
      <c r="A70" s="134">
        <v>9142</v>
      </c>
      <c r="B70" s="172" t="s">
        <v>191</v>
      </c>
      <c r="C70" s="619"/>
      <c r="D70" s="619">
        <v>0</v>
      </c>
      <c r="E70" s="233">
        <f t="shared" si="26"/>
        <v>0</v>
      </c>
      <c r="F70" s="233">
        <f t="shared" si="26"/>
        <v>0</v>
      </c>
      <c r="G70" s="233">
        <f t="shared" si="26"/>
        <v>0</v>
      </c>
      <c r="H70" s="233">
        <f t="shared" si="2"/>
        <v>0</v>
      </c>
      <c r="I70" s="605">
        <v>0</v>
      </c>
      <c r="J70" s="605">
        <f t="shared" si="24"/>
        <v>0</v>
      </c>
      <c r="K70" s="605">
        <f t="shared" si="24"/>
        <v>0</v>
      </c>
      <c r="L70" s="605">
        <f t="shared" si="24"/>
        <v>0</v>
      </c>
      <c r="M70" s="233">
        <f t="shared" si="0"/>
        <v>0</v>
      </c>
      <c r="N70" s="605">
        <v>0</v>
      </c>
      <c r="O70" s="605">
        <f t="shared" si="25"/>
        <v>0</v>
      </c>
      <c r="P70" s="605">
        <f t="shared" si="25"/>
        <v>0</v>
      </c>
      <c r="Q70" s="605">
        <f t="shared" si="25"/>
        <v>0</v>
      </c>
      <c r="R70" s="233">
        <f t="shared" si="1"/>
        <v>0</v>
      </c>
    </row>
    <row r="71" spans="1:18" s="89" customFormat="1" ht="24" hidden="1" customHeight="1">
      <c r="A71" s="134">
        <v>9149</v>
      </c>
      <c r="B71" s="172" t="s">
        <v>192</v>
      </c>
      <c r="C71" s="619"/>
      <c r="D71" s="619">
        <v>0</v>
      </c>
      <c r="E71" s="233">
        <f t="shared" si="26"/>
        <v>0</v>
      </c>
      <c r="F71" s="233">
        <f t="shared" si="26"/>
        <v>0</v>
      </c>
      <c r="G71" s="233">
        <f t="shared" si="26"/>
        <v>0</v>
      </c>
      <c r="H71" s="233">
        <f t="shared" si="2"/>
        <v>0</v>
      </c>
      <c r="I71" s="605">
        <v>0</v>
      </c>
      <c r="J71" s="605">
        <f t="shared" si="24"/>
        <v>0</v>
      </c>
      <c r="K71" s="605">
        <f t="shared" si="24"/>
        <v>0</v>
      </c>
      <c r="L71" s="605">
        <f t="shared" si="24"/>
        <v>0</v>
      </c>
      <c r="M71" s="233">
        <f t="shared" si="0"/>
        <v>0</v>
      </c>
      <c r="N71" s="605">
        <v>0</v>
      </c>
      <c r="O71" s="605">
        <f t="shared" si="25"/>
        <v>0</v>
      </c>
      <c r="P71" s="605">
        <f t="shared" si="25"/>
        <v>0</v>
      </c>
      <c r="Q71" s="605">
        <f t="shared" si="25"/>
        <v>0</v>
      </c>
      <c r="R71" s="233">
        <f t="shared" si="1"/>
        <v>0</v>
      </c>
    </row>
    <row r="72" spans="1:18" s="29" customFormat="1" ht="24" hidden="1" customHeight="1">
      <c r="A72" s="141">
        <v>9500</v>
      </c>
      <c r="B72" s="172" t="s">
        <v>165</v>
      </c>
      <c r="C72" s="171">
        <v>0</v>
      </c>
      <c r="D72" s="171">
        <v>0</v>
      </c>
      <c r="E72" s="233">
        <f t="shared" si="26"/>
        <v>0</v>
      </c>
      <c r="F72" s="233">
        <f t="shared" si="26"/>
        <v>0</v>
      </c>
      <c r="G72" s="233">
        <f t="shared" si="26"/>
        <v>0</v>
      </c>
      <c r="H72" s="233">
        <f t="shared" si="2"/>
        <v>0</v>
      </c>
      <c r="I72" s="233">
        <v>0</v>
      </c>
      <c r="J72" s="233">
        <f t="shared" si="24"/>
        <v>0</v>
      </c>
      <c r="K72" s="233">
        <f t="shared" si="24"/>
        <v>0</v>
      </c>
      <c r="L72" s="233">
        <f t="shared" si="24"/>
        <v>0</v>
      </c>
      <c r="M72" s="233">
        <f t="shared" si="0"/>
        <v>0</v>
      </c>
      <c r="N72" s="233">
        <v>0</v>
      </c>
      <c r="O72" s="233">
        <f t="shared" si="25"/>
        <v>0</v>
      </c>
      <c r="P72" s="233">
        <f t="shared" si="25"/>
        <v>0</v>
      </c>
      <c r="Q72" s="233">
        <f t="shared" si="25"/>
        <v>0</v>
      </c>
      <c r="R72" s="233">
        <f t="shared" si="1"/>
        <v>0</v>
      </c>
    </row>
    <row r="73" spans="1:18" s="29" customFormat="1" ht="24" hidden="1" customHeight="1">
      <c r="A73" s="133" t="s">
        <v>193</v>
      </c>
      <c r="B73" s="172" t="s">
        <v>171</v>
      </c>
      <c r="C73" s="171"/>
      <c r="D73" s="171">
        <v>0</v>
      </c>
      <c r="E73" s="233">
        <f t="shared" si="26"/>
        <v>0</v>
      </c>
      <c r="F73" s="233">
        <f t="shared" si="26"/>
        <v>0</v>
      </c>
      <c r="G73" s="233">
        <f t="shared" si="26"/>
        <v>0</v>
      </c>
      <c r="H73" s="233">
        <f t="shared" si="2"/>
        <v>0</v>
      </c>
      <c r="I73" s="233">
        <v>0</v>
      </c>
      <c r="J73" s="233">
        <f t="shared" si="24"/>
        <v>0</v>
      </c>
      <c r="K73" s="233">
        <f t="shared" si="24"/>
        <v>0</v>
      </c>
      <c r="L73" s="233">
        <f t="shared" si="24"/>
        <v>0</v>
      </c>
      <c r="M73" s="233">
        <f t="shared" si="0"/>
        <v>0</v>
      </c>
      <c r="N73" s="233">
        <v>0</v>
      </c>
      <c r="O73" s="233">
        <f t="shared" si="25"/>
        <v>0</v>
      </c>
      <c r="P73" s="233">
        <f t="shared" si="25"/>
        <v>0</v>
      </c>
      <c r="Q73" s="233">
        <f t="shared" si="25"/>
        <v>0</v>
      </c>
      <c r="R73" s="233">
        <f t="shared" si="1"/>
        <v>0</v>
      </c>
    </row>
    <row r="74" spans="1:18" s="28" customFormat="1" ht="48" hidden="1" customHeight="1">
      <c r="A74" s="133">
        <v>9580</v>
      </c>
      <c r="B74" s="172" t="s">
        <v>166</v>
      </c>
      <c r="C74" s="619"/>
      <c r="D74" s="619">
        <v>0</v>
      </c>
      <c r="E74" s="233">
        <f t="shared" si="26"/>
        <v>0</v>
      </c>
      <c r="F74" s="233">
        <f t="shared" si="26"/>
        <v>0</v>
      </c>
      <c r="G74" s="233">
        <f t="shared" si="26"/>
        <v>0</v>
      </c>
      <c r="H74" s="233">
        <f t="shared" si="2"/>
        <v>0</v>
      </c>
      <c r="I74" s="605">
        <v>0</v>
      </c>
      <c r="J74" s="605">
        <f t="shared" si="24"/>
        <v>0</v>
      </c>
      <c r="K74" s="605">
        <f t="shared" si="24"/>
        <v>0</v>
      </c>
      <c r="L74" s="605">
        <f t="shared" si="24"/>
        <v>0</v>
      </c>
      <c r="M74" s="233">
        <f t="shared" ref="M74:M137" si="27">SUM(I74:L74)</f>
        <v>0</v>
      </c>
      <c r="N74" s="605">
        <v>0</v>
      </c>
      <c r="O74" s="605">
        <f t="shared" si="25"/>
        <v>0</v>
      </c>
      <c r="P74" s="605">
        <f t="shared" si="25"/>
        <v>0</v>
      </c>
      <c r="Q74" s="605">
        <f t="shared" si="25"/>
        <v>0</v>
      </c>
      <c r="R74" s="233">
        <f t="shared" ref="R74:R137" si="28">SUM(N74:Q74)</f>
        <v>0</v>
      </c>
    </row>
    <row r="75" spans="1:18" s="4" customFormat="1" ht="48" hidden="1" customHeight="1">
      <c r="A75" s="133">
        <v>9590</v>
      </c>
      <c r="B75" s="179" t="s">
        <v>172</v>
      </c>
      <c r="C75" s="619"/>
      <c r="D75" s="619">
        <v>0</v>
      </c>
      <c r="E75" s="233">
        <f t="shared" si="26"/>
        <v>0</v>
      </c>
      <c r="F75" s="233">
        <f t="shared" si="26"/>
        <v>0</v>
      </c>
      <c r="G75" s="233">
        <f t="shared" si="26"/>
        <v>0</v>
      </c>
      <c r="H75" s="233">
        <f t="shared" ref="H75:H137" si="29">SUM(D75:G75)</f>
        <v>0</v>
      </c>
      <c r="I75" s="605">
        <v>0</v>
      </c>
      <c r="J75" s="605">
        <f t="shared" si="24"/>
        <v>0</v>
      </c>
      <c r="K75" s="605">
        <f t="shared" si="24"/>
        <v>0</v>
      </c>
      <c r="L75" s="605">
        <f t="shared" si="24"/>
        <v>0</v>
      </c>
      <c r="M75" s="233">
        <f t="shared" si="27"/>
        <v>0</v>
      </c>
      <c r="N75" s="605">
        <v>0</v>
      </c>
      <c r="O75" s="605">
        <f t="shared" si="25"/>
        <v>0</v>
      </c>
      <c r="P75" s="605">
        <f t="shared" si="25"/>
        <v>0</v>
      </c>
      <c r="Q75" s="605">
        <f t="shared" si="25"/>
        <v>0</v>
      </c>
      <c r="R75" s="233">
        <f t="shared" si="28"/>
        <v>0</v>
      </c>
    </row>
    <row r="76" spans="1:18" ht="24" hidden="1" customHeight="1">
      <c r="A76" s="141">
        <v>9700</v>
      </c>
      <c r="B76" s="183" t="s">
        <v>194</v>
      </c>
      <c r="C76" s="171">
        <v>0</v>
      </c>
      <c r="D76" s="171">
        <v>0</v>
      </c>
      <c r="E76" s="233">
        <f t="shared" si="26"/>
        <v>0</v>
      </c>
      <c r="F76" s="233">
        <f t="shared" si="26"/>
        <v>0</v>
      </c>
      <c r="G76" s="233">
        <f t="shared" si="26"/>
        <v>0</v>
      </c>
      <c r="H76" s="233">
        <f t="shared" si="29"/>
        <v>0</v>
      </c>
      <c r="I76" s="233">
        <v>0</v>
      </c>
      <c r="J76" s="233">
        <f t="shared" si="24"/>
        <v>0</v>
      </c>
      <c r="K76" s="233">
        <f t="shared" si="24"/>
        <v>0</v>
      </c>
      <c r="L76" s="233">
        <f t="shared" si="24"/>
        <v>0</v>
      </c>
      <c r="M76" s="233">
        <f t="shared" si="27"/>
        <v>0</v>
      </c>
      <c r="N76" s="233">
        <v>0</v>
      </c>
      <c r="O76" s="233">
        <f t="shared" si="25"/>
        <v>0</v>
      </c>
      <c r="P76" s="233">
        <f t="shared" si="25"/>
        <v>0</v>
      </c>
      <c r="Q76" s="233">
        <f t="shared" si="25"/>
        <v>0</v>
      </c>
      <c r="R76" s="233">
        <f t="shared" si="28"/>
        <v>0</v>
      </c>
    </row>
    <row r="77" spans="1:18" ht="24" hidden="1" customHeight="1">
      <c r="A77" s="133">
        <v>9710</v>
      </c>
      <c r="B77" s="184" t="s">
        <v>195</v>
      </c>
      <c r="C77" s="619"/>
      <c r="D77" s="619">
        <v>0</v>
      </c>
      <c r="E77" s="233">
        <f t="shared" si="26"/>
        <v>0</v>
      </c>
      <c r="F77" s="233">
        <f t="shared" si="26"/>
        <v>0</v>
      </c>
      <c r="G77" s="233">
        <f t="shared" si="26"/>
        <v>0</v>
      </c>
      <c r="H77" s="233">
        <f t="shared" si="29"/>
        <v>0</v>
      </c>
      <c r="I77" s="605">
        <v>0</v>
      </c>
      <c r="J77" s="605">
        <f t="shared" si="24"/>
        <v>0</v>
      </c>
      <c r="K77" s="605">
        <f t="shared" si="24"/>
        <v>0</v>
      </c>
      <c r="L77" s="605">
        <f t="shared" si="24"/>
        <v>0</v>
      </c>
      <c r="M77" s="233">
        <f t="shared" si="27"/>
        <v>0</v>
      </c>
      <c r="N77" s="605">
        <v>0</v>
      </c>
      <c r="O77" s="605">
        <f t="shared" si="25"/>
        <v>0</v>
      </c>
      <c r="P77" s="605">
        <f t="shared" si="25"/>
        <v>0</v>
      </c>
      <c r="Q77" s="605">
        <f t="shared" si="25"/>
        <v>0</v>
      </c>
      <c r="R77" s="233">
        <f t="shared" si="28"/>
        <v>0</v>
      </c>
    </row>
    <row r="78" spans="1:18" ht="48" hidden="1" customHeight="1">
      <c r="A78" s="142">
        <v>9720</v>
      </c>
      <c r="B78" s="183" t="s">
        <v>196</v>
      </c>
      <c r="C78" s="619"/>
      <c r="D78" s="619">
        <v>0</v>
      </c>
      <c r="E78" s="233">
        <f t="shared" si="26"/>
        <v>0</v>
      </c>
      <c r="F78" s="233">
        <f t="shared" si="26"/>
        <v>0</v>
      </c>
      <c r="G78" s="233">
        <f t="shared" si="26"/>
        <v>0</v>
      </c>
      <c r="H78" s="233">
        <f t="shared" si="29"/>
        <v>0</v>
      </c>
      <c r="I78" s="605">
        <v>0</v>
      </c>
      <c r="J78" s="605">
        <f t="shared" si="24"/>
        <v>0</v>
      </c>
      <c r="K78" s="605">
        <f t="shared" si="24"/>
        <v>0</v>
      </c>
      <c r="L78" s="605">
        <f t="shared" si="24"/>
        <v>0</v>
      </c>
      <c r="M78" s="233">
        <f t="shared" si="27"/>
        <v>0</v>
      </c>
      <c r="N78" s="605">
        <v>0</v>
      </c>
      <c r="O78" s="605">
        <f t="shared" si="25"/>
        <v>0</v>
      </c>
      <c r="P78" s="605">
        <f t="shared" si="25"/>
        <v>0</v>
      </c>
      <c r="Q78" s="605">
        <f t="shared" si="25"/>
        <v>0</v>
      </c>
      <c r="R78" s="233">
        <f t="shared" si="28"/>
        <v>0</v>
      </c>
    </row>
    <row r="79" spans="1:18" ht="24">
      <c r="A79" s="141">
        <v>9600</v>
      </c>
      <c r="B79" s="179" t="s">
        <v>134</v>
      </c>
      <c r="C79" s="619">
        <v>1633328</v>
      </c>
      <c r="D79" s="619">
        <v>820539</v>
      </c>
      <c r="E79" s="233">
        <f t="shared" si="26"/>
        <v>825536</v>
      </c>
      <c r="F79" s="233">
        <f t="shared" si="26"/>
        <v>0</v>
      </c>
      <c r="G79" s="233">
        <f t="shared" si="26"/>
        <v>0</v>
      </c>
      <c r="H79" s="233">
        <f t="shared" si="29"/>
        <v>1646075</v>
      </c>
      <c r="I79" s="605">
        <v>1053463</v>
      </c>
      <c r="J79" s="605">
        <f t="shared" si="24"/>
        <v>0</v>
      </c>
      <c r="K79" s="605">
        <f t="shared" si="24"/>
        <v>0</v>
      </c>
      <c r="L79" s="605">
        <f t="shared" si="24"/>
        <v>0</v>
      </c>
      <c r="M79" s="233">
        <f t="shared" si="27"/>
        <v>1053463</v>
      </c>
      <c r="N79" s="605">
        <v>1287387</v>
      </c>
      <c r="O79" s="605">
        <f t="shared" si="25"/>
        <v>0</v>
      </c>
      <c r="P79" s="605">
        <f t="shared" si="25"/>
        <v>0</v>
      </c>
      <c r="Q79" s="605">
        <f t="shared" si="25"/>
        <v>0</v>
      </c>
      <c r="R79" s="233">
        <f t="shared" si="28"/>
        <v>1287387</v>
      </c>
    </row>
    <row r="80" spans="1:18" ht="63" hidden="1" customHeight="1">
      <c r="A80" s="130" t="s">
        <v>197</v>
      </c>
      <c r="B80" s="185" t="s">
        <v>47</v>
      </c>
      <c r="C80" s="186">
        <v>0</v>
      </c>
      <c r="D80" s="186">
        <v>0</v>
      </c>
      <c r="E80" s="262">
        <f>E10-E35</f>
        <v>0</v>
      </c>
      <c r="F80" s="262">
        <f>F10-F35</f>
        <v>0</v>
      </c>
      <c r="G80" s="262">
        <f>G10-G35</f>
        <v>0</v>
      </c>
      <c r="H80" s="233">
        <f t="shared" si="29"/>
        <v>0</v>
      </c>
      <c r="I80" s="262">
        <v>0</v>
      </c>
      <c r="J80" s="262">
        <f>J10-J35</f>
        <v>0</v>
      </c>
      <c r="K80" s="262">
        <f>K10-K35</f>
        <v>0</v>
      </c>
      <c r="L80" s="262">
        <f>L10-L35</f>
        <v>0</v>
      </c>
      <c r="M80" s="233">
        <f t="shared" si="27"/>
        <v>0</v>
      </c>
      <c r="N80" s="262">
        <v>0</v>
      </c>
      <c r="O80" s="262">
        <f>O10-O35</f>
        <v>0</v>
      </c>
      <c r="P80" s="262">
        <f>P10-P35</f>
        <v>0</v>
      </c>
      <c r="Q80" s="262">
        <f>Q10-Q35</f>
        <v>0</v>
      </c>
      <c r="R80" s="233">
        <f t="shared" si="28"/>
        <v>0</v>
      </c>
    </row>
    <row r="81" spans="1:18" ht="21" hidden="1" customHeight="1">
      <c r="A81" s="143" t="s">
        <v>48</v>
      </c>
      <c r="B81" s="185" t="s">
        <v>49</v>
      </c>
      <c r="C81" s="186">
        <v>0</v>
      </c>
      <c r="D81" s="186">
        <v>0</v>
      </c>
      <c r="E81" s="262">
        <f>E82+E85+E89+E88</f>
        <v>0</v>
      </c>
      <c r="F81" s="262">
        <f>F82+F85+F89+F88</f>
        <v>0</v>
      </c>
      <c r="G81" s="262">
        <f>G82+G85+G89+G88</f>
        <v>0</v>
      </c>
      <c r="H81" s="233">
        <f t="shared" si="29"/>
        <v>0</v>
      </c>
      <c r="I81" s="262">
        <v>0</v>
      </c>
      <c r="J81" s="262">
        <f>J82+J85+J89+J88</f>
        <v>0</v>
      </c>
      <c r="K81" s="262">
        <f>K82+K85+K89+K88</f>
        <v>0</v>
      </c>
      <c r="L81" s="262">
        <f>L82+L85+L89+L88</f>
        <v>0</v>
      </c>
      <c r="M81" s="233">
        <f t="shared" si="27"/>
        <v>0</v>
      </c>
      <c r="N81" s="262">
        <v>0</v>
      </c>
      <c r="O81" s="262">
        <f>O82+O85+O89+O88</f>
        <v>0</v>
      </c>
      <c r="P81" s="262">
        <f>P82+P85+P89+P88</f>
        <v>0</v>
      </c>
      <c r="Q81" s="262">
        <f>Q82+Q85+Q89+Q88</f>
        <v>0</v>
      </c>
      <c r="R81" s="233">
        <f t="shared" si="28"/>
        <v>0</v>
      </c>
    </row>
    <row r="82" spans="1:18" s="4" customFormat="1" ht="12" hidden="1" customHeight="1">
      <c r="A82" s="141" t="s">
        <v>50</v>
      </c>
      <c r="B82" s="179" t="s">
        <v>51</v>
      </c>
      <c r="C82" s="169">
        <v>0</v>
      </c>
      <c r="D82" s="169">
        <v>0</v>
      </c>
      <c r="E82" s="231">
        <f>E83+E84</f>
        <v>0</v>
      </c>
      <c r="F82" s="231">
        <f>F83+F84</f>
        <v>0</v>
      </c>
      <c r="G82" s="231">
        <f>G83+G84</f>
        <v>0</v>
      </c>
      <c r="H82" s="233">
        <f t="shared" si="29"/>
        <v>0</v>
      </c>
      <c r="I82" s="231">
        <v>0</v>
      </c>
      <c r="J82" s="231">
        <f>J83+J84</f>
        <v>0</v>
      </c>
      <c r="K82" s="231">
        <f>K83+K84</f>
        <v>0</v>
      </c>
      <c r="L82" s="231">
        <f>L83+L84</f>
        <v>0</v>
      </c>
      <c r="M82" s="233">
        <f t="shared" si="27"/>
        <v>0</v>
      </c>
      <c r="N82" s="231">
        <v>0</v>
      </c>
      <c r="O82" s="231">
        <f>O83+O84</f>
        <v>0</v>
      </c>
      <c r="P82" s="231">
        <f>P83+P84</f>
        <v>0</v>
      </c>
      <c r="Q82" s="231">
        <f>Q83+Q84</f>
        <v>0</v>
      </c>
      <c r="R82" s="233">
        <f t="shared" si="28"/>
        <v>0</v>
      </c>
    </row>
    <row r="83" spans="1:18" s="6" customFormat="1" ht="12" hidden="1" customHeight="1">
      <c r="A83" s="141" t="s">
        <v>52</v>
      </c>
      <c r="B83" s="179" t="s">
        <v>53</v>
      </c>
      <c r="C83" s="169"/>
      <c r="D83" s="169">
        <v>0</v>
      </c>
      <c r="E83" s="231"/>
      <c r="F83" s="231"/>
      <c r="G83" s="231"/>
      <c r="H83" s="233">
        <f t="shared" si="29"/>
        <v>0</v>
      </c>
      <c r="I83" s="231">
        <v>0</v>
      </c>
      <c r="J83" s="231"/>
      <c r="K83" s="231"/>
      <c r="L83" s="231"/>
      <c r="M83" s="233">
        <f t="shared" si="27"/>
        <v>0</v>
      </c>
      <c r="N83" s="231">
        <v>0</v>
      </c>
      <c r="O83" s="231"/>
      <c r="P83" s="231"/>
      <c r="Q83" s="231"/>
      <c r="R83" s="233">
        <f t="shared" si="28"/>
        <v>0</v>
      </c>
    </row>
    <row r="84" spans="1:18" s="6" customFormat="1" ht="12" hidden="1" customHeight="1">
      <c r="A84" s="141" t="s">
        <v>54</v>
      </c>
      <c r="B84" s="179" t="s">
        <v>55</v>
      </c>
      <c r="C84" s="169"/>
      <c r="D84" s="169">
        <v>0</v>
      </c>
      <c r="E84" s="231"/>
      <c r="F84" s="231"/>
      <c r="G84" s="231"/>
      <c r="H84" s="233">
        <f t="shared" si="29"/>
        <v>0</v>
      </c>
      <c r="I84" s="231">
        <v>0</v>
      </c>
      <c r="J84" s="231"/>
      <c r="K84" s="231"/>
      <c r="L84" s="231"/>
      <c r="M84" s="233">
        <f t="shared" si="27"/>
        <v>0</v>
      </c>
      <c r="N84" s="231">
        <v>0</v>
      </c>
      <c r="O84" s="231"/>
      <c r="P84" s="231"/>
      <c r="Q84" s="231"/>
      <c r="R84" s="233">
        <f t="shared" si="28"/>
        <v>0</v>
      </c>
    </row>
    <row r="85" spans="1:18" s="6" customFormat="1" ht="12" hidden="1" customHeight="1">
      <c r="A85" s="141" t="s">
        <v>56</v>
      </c>
      <c r="B85" s="179" t="s">
        <v>57</v>
      </c>
      <c r="C85" s="169">
        <v>0</v>
      </c>
      <c r="D85" s="169">
        <v>0</v>
      </c>
      <c r="E85" s="231">
        <f>E86+E87</f>
        <v>0</v>
      </c>
      <c r="F85" s="231">
        <f>F86+F87</f>
        <v>0</v>
      </c>
      <c r="G85" s="231">
        <f>G86+G87</f>
        <v>0</v>
      </c>
      <c r="H85" s="233">
        <f t="shared" si="29"/>
        <v>0</v>
      </c>
      <c r="I85" s="231">
        <v>0</v>
      </c>
      <c r="J85" s="231">
        <f>J86+J87</f>
        <v>0</v>
      </c>
      <c r="K85" s="231">
        <f>K86+K87</f>
        <v>0</v>
      </c>
      <c r="L85" s="231">
        <f>L86+L87</f>
        <v>0</v>
      </c>
      <c r="M85" s="233">
        <f t="shared" si="27"/>
        <v>0</v>
      </c>
      <c r="N85" s="231">
        <v>0</v>
      </c>
      <c r="O85" s="231">
        <f>O86+O87</f>
        <v>0</v>
      </c>
      <c r="P85" s="231">
        <f>P86+P87</f>
        <v>0</v>
      </c>
      <c r="Q85" s="231">
        <f>Q86+Q87</f>
        <v>0</v>
      </c>
      <c r="R85" s="233">
        <f t="shared" si="28"/>
        <v>0</v>
      </c>
    </row>
    <row r="86" spans="1:18" s="6" customFormat="1" ht="12" hidden="1" customHeight="1">
      <c r="A86" s="141" t="s">
        <v>58</v>
      </c>
      <c r="B86" s="179" t="s">
        <v>59</v>
      </c>
      <c r="C86" s="169"/>
      <c r="D86" s="169">
        <v>0</v>
      </c>
      <c r="E86" s="231"/>
      <c r="F86" s="231"/>
      <c r="G86" s="231"/>
      <c r="H86" s="233">
        <f t="shared" si="29"/>
        <v>0</v>
      </c>
      <c r="I86" s="231">
        <v>0</v>
      </c>
      <c r="J86" s="231"/>
      <c r="K86" s="231"/>
      <c r="L86" s="231"/>
      <c r="M86" s="233">
        <f t="shared" si="27"/>
        <v>0</v>
      </c>
      <c r="N86" s="231">
        <v>0</v>
      </c>
      <c r="O86" s="231"/>
      <c r="P86" s="231"/>
      <c r="Q86" s="231"/>
      <c r="R86" s="233">
        <f t="shared" si="28"/>
        <v>0</v>
      </c>
    </row>
    <row r="87" spans="1:18" s="6" customFormat="1" ht="12" hidden="1" customHeight="1">
      <c r="A87" s="141" t="s">
        <v>60</v>
      </c>
      <c r="B87" s="179" t="s">
        <v>61</v>
      </c>
      <c r="C87" s="169"/>
      <c r="D87" s="169">
        <v>0</v>
      </c>
      <c r="E87" s="231"/>
      <c r="F87" s="231"/>
      <c r="G87" s="231"/>
      <c r="H87" s="233">
        <f t="shared" si="29"/>
        <v>0</v>
      </c>
      <c r="I87" s="231">
        <v>0</v>
      </c>
      <c r="J87" s="231"/>
      <c r="K87" s="231"/>
      <c r="L87" s="231"/>
      <c r="M87" s="233">
        <f t="shared" si="27"/>
        <v>0</v>
      </c>
      <c r="N87" s="231">
        <v>0</v>
      </c>
      <c r="O87" s="231"/>
      <c r="P87" s="231"/>
      <c r="Q87" s="231"/>
      <c r="R87" s="233">
        <f t="shared" si="28"/>
        <v>0</v>
      </c>
    </row>
    <row r="88" spans="1:18" s="6" customFormat="1" ht="12" hidden="1" customHeight="1">
      <c r="A88" s="141" t="s">
        <v>198</v>
      </c>
      <c r="B88" s="187" t="s">
        <v>168</v>
      </c>
      <c r="C88" s="169"/>
      <c r="D88" s="169">
        <v>0</v>
      </c>
      <c r="E88" s="231"/>
      <c r="F88" s="231"/>
      <c r="G88" s="231"/>
      <c r="H88" s="233">
        <f t="shared" si="29"/>
        <v>0</v>
      </c>
      <c r="I88" s="231">
        <v>0</v>
      </c>
      <c r="J88" s="231"/>
      <c r="K88" s="231"/>
      <c r="L88" s="231"/>
      <c r="M88" s="233">
        <f t="shared" si="27"/>
        <v>0</v>
      </c>
      <c r="N88" s="231">
        <v>0</v>
      </c>
      <c r="O88" s="231"/>
      <c r="P88" s="231"/>
      <c r="Q88" s="231"/>
      <c r="R88" s="233">
        <f t="shared" si="28"/>
        <v>0</v>
      </c>
    </row>
    <row r="89" spans="1:18" s="6" customFormat="1" ht="12" hidden="1" customHeight="1">
      <c r="A89" s="144" t="s">
        <v>62</v>
      </c>
      <c r="B89" s="125" t="s">
        <v>63</v>
      </c>
      <c r="C89" s="171">
        <v>0</v>
      </c>
      <c r="D89" s="171">
        <v>0</v>
      </c>
      <c r="E89" s="233">
        <f>E90+E91+E92</f>
        <v>0</v>
      </c>
      <c r="F89" s="233">
        <f>F90+F91+F92</f>
        <v>0</v>
      </c>
      <c r="G89" s="233">
        <f>G90+G91+G92</f>
        <v>0</v>
      </c>
      <c r="H89" s="233">
        <f t="shared" si="29"/>
        <v>0</v>
      </c>
      <c r="I89" s="233">
        <v>0</v>
      </c>
      <c r="J89" s="233">
        <f>J90+J91+J92</f>
        <v>0</v>
      </c>
      <c r="K89" s="233">
        <f>K90+K91+K92</f>
        <v>0</v>
      </c>
      <c r="L89" s="233">
        <f>L90+L91+L92</f>
        <v>0</v>
      </c>
      <c r="M89" s="233">
        <f t="shared" si="27"/>
        <v>0</v>
      </c>
      <c r="N89" s="233">
        <v>0</v>
      </c>
      <c r="O89" s="233">
        <f>O90+O91+O92</f>
        <v>0</v>
      </c>
      <c r="P89" s="233">
        <f>P90+P91+P92</f>
        <v>0</v>
      </c>
      <c r="Q89" s="233">
        <f>Q90+Q91+Q92</f>
        <v>0</v>
      </c>
      <c r="R89" s="233">
        <f t="shared" si="28"/>
        <v>0</v>
      </c>
    </row>
    <row r="90" spans="1:18" s="6" customFormat="1" ht="36" hidden="1" customHeight="1">
      <c r="A90" s="144" t="s">
        <v>64</v>
      </c>
      <c r="B90" s="179" t="s">
        <v>65</v>
      </c>
      <c r="C90" s="169"/>
      <c r="D90" s="169">
        <v>0</v>
      </c>
      <c r="E90" s="231"/>
      <c r="F90" s="231"/>
      <c r="G90" s="231"/>
      <c r="H90" s="233">
        <f t="shared" si="29"/>
        <v>0</v>
      </c>
      <c r="I90" s="231">
        <v>0</v>
      </c>
      <c r="J90" s="231"/>
      <c r="K90" s="231"/>
      <c r="L90" s="231"/>
      <c r="M90" s="233">
        <f t="shared" si="27"/>
        <v>0</v>
      </c>
      <c r="N90" s="231">
        <v>0</v>
      </c>
      <c r="O90" s="231"/>
      <c r="P90" s="231"/>
      <c r="Q90" s="231"/>
      <c r="R90" s="233">
        <f t="shared" si="28"/>
        <v>0</v>
      </c>
    </row>
    <row r="91" spans="1:18" s="6" customFormat="1" ht="24" hidden="1" customHeight="1">
      <c r="A91" s="144" t="s">
        <v>66</v>
      </c>
      <c r="B91" s="179" t="s">
        <v>67</v>
      </c>
      <c r="C91" s="169"/>
      <c r="D91" s="169">
        <v>0</v>
      </c>
      <c r="E91" s="231"/>
      <c r="F91" s="231"/>
      <c r="G91" s="231"/>
      <c r="H91" s="233">
        <f t="shared" si="29"/>
        <v>0</v>
      </c>
      <c r="I91" s="231">
        <v>0</v>
      </c>
      <c r="J91" s="231"/>
      <c r="K91" s="231"/>
      <c r="L91" s="231"/>
      <c r="M91" s="233">
        <f t="shared" si="27"/>
        <v>0</v>
      </c>
      <c r="N91" s="231">
        <v>0</v>
      </c>
      <c r="O91" s="231"/>
      <c r="P91" s="231"/>
      <c r="Q91" s="231"/>
      <c r="R91" s="233">
        <f t="shared" si="28"/>
        <v>0</v>
      </c>
    </row>
    <row r="92" spans="1:18" s="6" customFormat="1" ht="24" hidden="1" customHeight="1">
      <c r="A92" s="144" t="s">
        <v>68</v>
      </c>
      <c r="B92" s="125" t="s">
        <v>69</v>
      </c>
      <c r="C92" s="169"/>
      <c r="D92" s="169">
        <v>0</v>
      </c>
      <c r="E92" s="231"/>
      <c r="F92" s="231"/>
      <c r="G92" s="231"/>
      <c r="H92" s="233">
        <f t="shared" si="29"/>
        <v>0</v>
      </c>
      <c r="I92" s="231">
        <v>0</v>
      </c>
      <c r="J92" s="231"/>
      <c r="K92" s="231"/>
      <c r="L92" s="231"/>
      <c r="M92" s="233">
        <f t="shared" si="27"/>
        <v>0</v>
      </c>
      <c r="N92" s="231">
        <v>0</v>
      </c>
      <c r="O92" s="231"/>
      <c r="P92" s="231"/>
      <c r="Q92" s="231"/>
      <c r="R92" s="233">
        <f t="shared" si="28"/>
        <v>0</v>
      </c>
    </row>
    <row r="93" spans="1:18" s="6" customFormat="1" ht="12">
      <c r="A93" s="607"/>
      <c r="B93" s="608" t="s">
        <v>199</v>
      </c>
      <c r="C93" s="1267"/>
      <c r="D93" s="776"/>
      <c r="E93" s="611"/>
      <c r="F93" s="611"/>
      <c r="G93" s="611"/>
      <c r="H93" s="611">
        <f t="shared" si="29"/>
        <v>0</v>
      </c>
      <c r="I93" s="611"/>
      <c r="J93" s="611"/>
      <c r="K93" s="611"/>
      <c r="L93" s="611"/>
      <c r="M93" s="611">
        <f t="shared" si="27"/>
        <v>0</v>
      </c>
      <c r="N93" s="611"/>
      <c r="O93" s="611"/>
      <c r="P93" s="611"/>
      <c r="Q93" s="611"/>
      <c r="R93" s="611">
        <f t="shared" si="28"/>
        <v>0</v>
      </c>
    </row>
    <row r="94" spans="1:18" s="6" customFormat="1" ht="20.399999999999999">
      <c r="A94" s="597" t="s">
        <v>201</v>
      </c>
      <c r="B94" s="598" t="s">
        <v>88</v>
      </c>
      <c r="C94" s="617">
        <v>151543734</v>
      </c>
      <c r="D94" s="617">
        <v>154108177</v>
      </c>
      <c r="E94" s="600">
        <f>E95+E96+E98+E116</f>
        <v>0</v>
      </c>
      <c r="F94" s="600">
        <f>F95+F96+F98+F116</f>
        <v>16319228</v>
      </c>
      <c r="G94" s="600">
        <f>G95+G96+G98+G116</f>
        <v>3619141</v>
      </c>
      <c r="H94" s="603">
        <f t="shared" si="29"/>
        <v>174046546</v>
      </c>
      <c r="I94" s="600">
        <v>146717608</v>
      </c>
      <c r="J94" s="600">
        <f>J95+J96+J98+J116</f>
        <v>0</v>
      </c>
      <c r="K94" s="600">
        <f>K95+K96+K98+K116</f>
        <v>16164590</v>
      </c>
      <c r="L94" s="600">
        <f>L95+L96+L98+L116</f>
        <v>1547016</v>
      </c>
      <c r="M94" s="603">
        <f t="shared" si="27"/>
        <v>164429214</v>
      </c>
      <c r="N94" s="600">
        <v>139278064</v>
      </c>
      <c r="O94" s="600">
        <f>O95+O96+O98+O116</f>
        <v>0</v>
      </c>
      <c r="P94" s="600">
        <f>P95+P96+P98+P116</f>
        <v>16142426</v>
      </c>
      <c r="Q94" s="600">
        <f>Q95+Q96+Q98+Q116</f>
        <v>1177746</v>
      </c>
      <c r="R94" s="603">
        <f t="shared" si="28"/>
        <v>156598236</v>
      </c>
    </row>
    <row r="95" spans="1:18" s="6" customFormat="1" ht="22.8">
      <c r="A95" s="130" t="s">
        <v>177</v>
      </c>
      <c r="B95" s="124" t="s">
        <v>90</v>
      </c>
      <c r="C95" s="169">
        <v>7958592</v>
      </c>
      <c r="D95" s="169">
        <v>7568548</v>
      </c>
      <c r="E95" s="231"/>
      <c r="F95" s="231"/>
      <c r="G95" s="231"/>
      <c r="H95" s="233">
        <f t="shared" si="29"/>
        <v>7568548</v>
      </c>
      <c r="I95" s="231">
        <v>6898926</v>
      </c>
      <c r="J95" s="231"/>
      <c r="K95" s="231"/>
      <c r="L95" s="231"/>
      <c r="M95" s="233">
        <f t="shared" si="27"/>
        <v>6898926</v>
      </c>
      <c r="N95" s="231">
        <v>6587647</v>
      </c>
      <c r="O95" s="231"/>
      <c r="P95" s="231"/>
      <c r="Q95" s="231"/>
      <c r="R95" s="233">
        <f t="shared" si="28"/>
        <v>6587647</v>
      </c>
    </row>
    <row r="96" spans="1:18" s="6" customFormat="1" ht="21" hidden="1" customHeight="1">
      <c r="A96" s="130" t="s">
        <v>91</v>
      </c>
      <c r="B96" s="124" t="s">
        <v>92</v>
      </c>
      <c r="C96" s="169"/>
      <c r="D96" s="169">
        <v>0</v>
      </c>
      <c r="E96" s="231"/>
      <c r="F96" s="231"/>
      <c r="G96" s="231"/>
      <c r="H96" s="233">
        <f t="shared" si="29"/>
        <v>0</v>
      </c>
      <c r="I96" s="231">
        <v>0</v>
      </c>
      <c r="J96" s="231"/>
      <c r="K96" s="231"/>
      <c r="L96" s="231"/>
      <c r="M96" s="233">
        <f t="shared" si="27"/>
        <v>0</v>
      </c>
      <c r="N96" s="231">
        <v>0</v>
      </c>
      <c r="O96" s="231"/>
      <c r="P96" s="231"/>
      <c r="Q96" s="231"/>
      <c r="R96" s="233">
        <f t="shared" si="28"/>
        <v>0</v>
      </c>
    </row>
    <row r="97" spans="1:18" s="6" customFormat="1" ht="24" hidden="1" customHeight="1">
      <c r="A97" s="131">
        <v>21210</v>
      </c>
      <c r="B97" s="125" t="s">
        <v>93</v>
      </c>
      <c r="C97" s="169"/>
      <c r="D97" s="169">
        <v>0</v>
      </c>
      <c r="E97" s="231"/>
      <c r="F97" s="231"/>
      <c r="G97" s="231"/>
      <c r="H97" s="233">
        <f t="shared" si="29"/>
        <v>0</v>
      </c>
      <c r="I97" s="231">
        <v>0</v>
      </c>
      <c r="J97" s="231"/>
      <c r="K97" s="231"/>
      <c r="L97" s="231"/>
      <c r="M97" s="233">
        <f t="shared" si="27"/>
        <v>0</v>
      </c>
      <c r="N97" s="231">
        <v>0</v>
      </c>
      <c r="O97" s="231"/>
      <c r="P97" s="231"/>
      <c r="Q97" s="231"/>
      <c r="R97" s="233">
        <f t="shared" si="28"/>
        <v>0</v>
      </c>
    </row>
    <row r="98" spans="1:18" s="6" customFormat="1" ht="31.5" hidden="1" customHeight="1">
      <c r="A98" s="130" t="s">
        <v>178</v>
      </c>
      <c r="B98" s="124" t="s">
        <v>94</v>
      </c>
      <c r="C98" s="171">
        <v>0</v>
      </c>
      <c r="D98" s="171">
        <v>0</v>
      </c>
      <c r="E98" s="233">
        <f>E99+E105</f>
        <v>0</v>
      </c>
      <c r="F98" s="233">
        <f>F99+F105</f>
        <v>0</v>
      </c>
      <c r="G98" s="233">
        <f>G99+G105</f>
        <v>0</v>
      </c>
      <c r="H98" s="233">
        <f t="shared" si="29"/>
        <v>0</v>
      </c>
      <c r="I98" s="233">
        <v>0</v>
      </c>
      <c r="J98" s="233">
        <f>J99+J105</f>
        <v>0</v>
      </c>
      <c r="K98" s="233">
        <f>K99+K105</f>
        <v>0</v>
      </c>
      <c r="L98" s="233">
        <f>L99+L105</f>
        <v>0</v>
      </c>
      <c r="M98" s="233">
        <f t="shared" si="27"/>
        <v>0</v>
      </c>
      <c r="N98" s="233">
        <v>0</v>
      </c>
      <c r="O98" s="233">
        <f>O99+O105</f>
        <v>0</v>
      </c>
      <c r="P98" s="233">
        <f>P99+P105</f>
        <v>0</v>
      </c>
      <c r="Q98" s="233">
        <f>Q99+Q105</f>
        <v>0</v>
      </c>
      <c r="R98" s="233">
        <f t="shared" si="28"/>
        <v>0</v>
      </c>
    </row>
    <row r="99" spans="1:18" s="6" customFormat="1" ht="12" hidden="1" customHeight="1">
      <c r="A99" s="132">
        <v>18000</v>
      </c>
      <c r="B99" s="125" t="s">
        <v>95</v>
      </c>
      <c r="C99" s="171">
        <v>0</v>
      </c>
      <c r="D99" s="171">
        <v>0</v>
      </c>
      <c r="E99" s="233">
        <f t="shared" ref="E99:L100" si="30">E100</f>
        <v>0</v>
      </c>
      <c r="F99" s="233">
        <f t="shared" si="30"/>
        <v>0</v>
      </c>
      <c r="G99" s="233">
        <f t="shared" si="30"/>
        <v>0</v>
      </c>
      <c r="H99" s="233">
        <f t="shared" si="29"/>
        <v>0</v>
      </c>
      <c r="I99" s="233">
        <v>0</v>
      </c>
      <c r="J99" s="233">
        <f t="shared" si="30"/>
        <v>0</v>
      </c>
      <c r="K99" s="233">
        <f t="shared" si="30"/>
        <v>0</v>
      </c>
      <c r="L99" s="233">
        <f t="shared" si="30"/>
        <v>0</v>
      </c>
      <c r="M99" s="233">
        <f t="shared" si="27"/>
        <v>0</v>
      </c>
      <c r="N99" s="233">
        <v>0</v>
      </c>
      <c r="O99" s="233">
        <f t="shared" ref="O99:Q100" si="31">O100</f>
        <v>0</v>
      </c>
      <c r="P99" s="233">
        <f t="shared" si="31"/>
        <v>0</v>
      </c>
      <c r="Q99" s="233">
        <f t="shared" si="31"/>
        <v>0</v>
      </c>
      <c r="R99" s="233">
        <f t="shared" si="28"/>
        <v>0</v>
      </c>
    </row>
    <row r="100" spans="1:18" s="6" customFormat="1" ht="12" hidden="1" customHeight="1">
      <c r="A100" s="132">
        <v>18100</v>
      </c>
      <c r="B100" s="125" t="s">
        <v>96</v>
      </c>
      <c r="C100" s="171">
        <v>0</v>
      </c>
      <c r="D100" s="171">
        <v>0</v>
      </c>
      <c r="E100" s="233">
        <f t="shared" si="30"/>
        <v>0</v>
      </c>
      <c r="F100" s="233">
        <f t="shared" si="30"/>
        <v>0</v>
      </c>
      <c r="G100" s="233">
        <f t="shared" si="30"/>
        <v>0</v>
      </c>
      <c r="H100" s="233">
        <f t="shared" si="29"/>
        <v>0</v>
      </c>
      <c r="I100" s="233">
        <v>0</v>
      </c>
      <c r="J100" s="233">
        <f t="shared" si="30"/>
        <v>0</v>
      </c>
      <c r="K100" s="233">
        <f t="shared" si="30"/>
        <v>0</v>
      </c>
      <c r="L100" s="233">
        <f t="shared" si="30"/>
        <v>0</v>
      </c>
      <c r="M100" s="233">
        <f t="shared" si="27"/>
        <v>0</v>
      </c>
      <c r="N100" s="233">
        <v>0</v>
      </c>
      <c r="O100" s="233">
        <f t="shared" si="31"/>
        <v>0</v>
      </c>
      <c r="P100" s="233">
        <f t="shared" si="31"/>
        <v>0</v>
      </c>
      <c r="Q100" s="233">
        <f t="shared" si="31"/>
        <v>0</v>
      </c>
      <c r="R100" s="233">
        <f t="shared" si="28"/>
        <v>0</v>
      </c>
    </row>
    <row r="101" spans="1:18" s="6" customFormat="1" ht="24" hidden="1" customHeight="1">
      <c r="A101" s="133">
        <v>18130</v>
      </c>
      <c r="B101" s="172" t="s">
        <v>159</v>
      </c>
      <c r="C101" s="171">
        <v>0</v>
      </c>
      <c r="D101" s="171">
        <v>0</v>
      </c>
      <c r="E101" s="233">
        <f>SUM(E102:E104)</f>
        <v>0</v>
      </c>
      <c r="F101" s="233">
        <f>SUM(F102:F104)</f>
        <v>0</v>
      </c>
      <c r="G101" s="233">
        <f>SUM(G102:G104)</f>
        <v>0</v>
      </c>
      <c r="H101" s="233">
        <f t="shared" si="29"/>
        <v>0</v>
      </c>
      <c r="I101" s="233">
        <v>0</v>
      </c>
      <c r="J101" s="233">
        <f>SUM(J102:J104)</f>
        <v>0</v>
      </c>
      <c r="K101" s="233">
        <f>SUM(K102:K104)</f>
        <v>0</v>
      </c>
      <c r="L101" s="233">
        <f>SUM(L102:L104)</f>
        <v>0</v>
      </c>
      <c r="M101" s="233">
        <f t="shared" si="27"/>
        <v>0</v>
      </c>
      <c r="N101" s="233">
        <v>0</v>
      </c>
      <c r="O101" s="233">
        <f>SUM(O102:O104)</f>
        <v>0</v>
      </c>
      <c r="P101" s="233">
        <f>SUM(P102:P104)</f>
        <v>0</v>
      </c>
      <c r="Q101" s="233">
        <f>SUM(Q102:Q104)</f>
        <v>0</v>
      </c>
      <c r="R101" s="233">
        <f t="shared" si="28"/>
        <v>0</v>
      </c>
    </row>
    <row r="102" spans="1:18" s="6" customFormat="1" ht="36" hidden="1" customHeight="1">
      <c r="A102" s="134">
        <v>18131</v>
      </c>
      <c r="B102" s="172" t="s">
        <v>160</v>
      </c>
      <c r="C102" s="171"/>
      <c r="D102" s="171">
        <v>0</v>
      </c>
      <c r="E102" s="233"/>
      <c r="F102" s="233"/>
      <c r="G102" s="233"/>
      <c r="H102" s="233">
        <f t="shared" si="29"/>
        <v>0</v>
      </c>
      <c r="I102" s="233">
        <v>0</v>
      </c>
      <c r="J102" s="233"/>
      <c r="K102" s="233"/>
      <c r="L102" s="233"/>
      <c r="M102" s="233">
        <f t="shared" si="27"/>
        <v>0</v>
      </c>
      <c r="N102" s="233">
        <v>0</v>
      </c>
      <c r="O102" s="233"/>
      <c r="P102" s="233"/>
      <c r="Q102" s="233"/>
      <c r="R102" s="233">
        <f t="shared" si="28"/>
        <v>0</v>
      </c>
    </row>
    <row r="103" spans="1:18" s="6" customFormat="1" ht="24" hidden="1" customHeight="1">
      <c r="A103" s="134">
        <v>18132</v>
      </c>
      <c r="B103" s="172" t="s">
        <v>169</v>
      </c>
      <c r="C103" s="171"/>
      <c r="D103" s="171">
        <v>0</v>
      </c>
      <c r="E103" s="233"/>
      <c r="F103" s="233"/>
      <c r="G103" s="233"/>
      <c r="H103" s="233">
        <f t="shared" si="29"/>
        <v>0</v>
      </c>
      <c r="I103" s="233">
        <v>0</v>
      </c>
      <c r="J103" s="233"/>
      <c r="K103" s="233"/>
      <c r="L103" s="233"/>
      <c r="M103" s="233">
        <f t="shared" si="27"/>
        <v>0</v>
      </c>
      <c r="N103" s="233">
        <v>0</v>
      </c>
      <c r="O103" s="233"/>
      <c r="P103" s="233"/>
      <c r="Q103" s="233"/>
      <c r="R103" s="233">
        <f t="shared" si="28"/>
        <v>0</v>
      </c>
    </row>
    <row r="104" spans="1:18" s="6" customFormat="1" ht="24" hidden="1" customHeight="1">
      <c r="A104" s="134">
        <v>18139</v>
      </c>
      <c r="B104" s="172" t="s">
        <v>179</v>
      </c>
      <c r="C104" s="171"/>
      <c r="D104" s="171">
        <v>0</v>
      </c>
      <c r="E104" s="233"/>
      <c r="F104" s="233"/>
      <c r="G104" s="233"/>
      <c r="H104" s="233">
        <f t="shared" si="29"/>
        <v>0</v>
      </c>
      <c r="I104" s="233">
        <v>0</v>
      </c>
      <c r="J104" s="233"/>
      <c r="K104" s="233"/>
      <c r="L104" s="233"/>
      <c r="M104" s="233">
        <f t="shared" si="27"/>
        <v>0</v>
      </c>
      <c r="N104" s="233">
        <v>0</v>
      </c>
      <c r="O104" s="233"/>
      <c r="P104" s="233"/>
      <c r="Q104" s="233"/>
      <c r="R104" s="233">
        <f t="shared" si="28"/>
        <v>0</v>
      </c>
    </row>
    <row r="105" spans="1:18" s="6" customFormat="1" ht="12" hidden="1" customHeight="1">
      <c r="A105" s="135" t="s">
        <v>180</v>
      </c>
      <c r="B105" s="173" t="s">
        <v>173</v>
      </c>
      <c r="C105" s="174">
        <v>0</v>
      </c>
      <c r="D105" s="174">
        <v>0</v>
      </c>
      <c r="E105" s="238">
        <f t="shared" ref="E105:L105" si="32">E106</f>
        <v>0</v>
      </c>
      <c r="F105" s="238">
        <f t="shared" si="32"/>
        <v>0</v>
      </c>
      <c r="G105" s="238">
        <f t="shared" si="32"/>
        <v>0</v>
      </c>
      <c r="H105" s="233">
        <f t="shared" si="29"/>
        <v>0</v>
      </c>
      <c r="I105" s="238">
        <v>0</v>
      </c>
      <c r="J105" s="238">
        <f t="shared" si="32"/>
        <v>0</v>
      </c>
      <c r="K105" s="238">
        <f t="shared" si="32"/>
        <v>0</v>
      </c>
      <c r="L105" s="238">
        <f t="shared" si="32"/>
        <v>0</v>
      </c>
      <c r="M105" s="233">
        <f t="shared" si="27"/>
        <v>0</v>
      </c>
      <c r="N105" s="238">
        <v>0</v>
      </c>
      <c r="O105" s="238">
        <f>O106</f>
        <v>0</v>
      </c>
      <c r="P105" s="238">
        <f>P106</f>
        <v>0</v>
      </c>
      <c r="Q105" s="238">
        <f>Q106</f>
        <v>0</v>
      </c>
      <c r="R105" s="233">
        <f t="shared" si="28"/>
        <v>0</v>
      </c>
    </row>
    <row r="106" spans="1:18" s="6" customFormat="1" ht="24" hidden="1" customHeight="1">
      <c r="A106" s="135">
        <v>19500</v>
      </c>
      <c r="B106" s="172" t="s">
        <v>174</v>
      </c>
      <c r="C106" s="171">
        <v>0</v>
      </c>
      <c r="D106" s="171">
        <v>0</v>
      </c>
      <c r="E106" s="233">
        <f>SUM(E107:E109)</f>
        <v>0</v>
      </c>
      <c r="F106" s="233">
        <f>SUM(F107:F109)</f>
        <v>0</v>
      </c>
      <c r="G106" s="233">
        <f>SUM(G107:G109)</f>
        <v>0</v>
      </c>
      <c r="H106" s="233">
        <f t="shared" si="29"/>
        <v>0</v>
      </c>
      <c r="I106" s="233">
        <v>0</v>
      </c>
      <c r="J106" s="233">
        <f>SUM(J107:J109)</f>
        <v>0</v>
      </c>
      <c r="K106" s="233">
        <f>SUM(K107:K109)</f>
        <v>0</v>
      </c>
      <c r="L106" s="233">
        <f>SUM(L107:L109)</f>
        <v>0</v>
      </c>
      <c r="M106" s="233">
        <f t="shared" si="27"/>
        <v>0</v>
      </c>
      <c r="N106" s="233">
        <v>0</v>
      </c>
      <c r="O106" s="233">
        <f>SUM(O107:O109)</f>
        <v>0</v>
      </c>
      <c r="P106" s="233">
        <f>SUM(P107:P109)</f>
        <v>0</v>
      </c>
      <c r="Q106" s="233">
        <f>SUM(Q107:Q109)</f>
        <v>0</v>
      </c>
      <c r="R106" s="233">
        <f t="shared" si="28"/>
        <v>0</v>
      </c>
    </row>
    <row r="107" spans="1:18" s="6" customFormat="1" ht="24" hidden="1" customHeight="1">
      <c r="A107" s="136">
        <v>19550</v>
      </c>
      <c r="B107" s="172" t="s">
        <v>175</v>
      </c>
      <c r="C107" s="171"/>
      <c r="D107" s="171">
        <v>0</v>
      </c>
      <c r="E107" s="233"/>
      <c r="F107" s="233"/>
      <c r="G107" s="233"/>
      <c r="H107" s="233">
        <f t="shared" si="29"/>
        <v>0</v>
      </c>
      <c r="I107" s="233">
        <v>0</v>
      </c>
      <c r="J107" s="233"/>
      <c r="K107" s="233"/>
      <c r="L107" s="233"/>
      <c r="M107" s="233">
        <f t="shared" si="27"/>
        <v>0</v>
      </c>
      <c r="N107" s="233">
        <v>0</v>
      </c>
      <c r="O107" s="233"/>
      <c r="P107" s="233"/>
      <c r="Q107" s="233"/>
      <c r="R107" s="233">
        <f t="shared" si="28"/>
        <v>0</v>
      </c>
    </row>
    <row r="108" spans="1:18" s="6" customFormat="1" ht="36" hidden="1" customHeight="1">
      <c r="A108" s="136">
        <v>19560</v>
      </c>
      <c r="B108" s="172" t="s">
        <v>181</v>
      </c>
      <c r="C108" s="171"/>
      <c r="D108" s="171">
        <v>0</v>
      </c>
      <c r="E108" s="233"/>
      <c r="F108" s="233"/>
      <c r="G108" s="233"/>
      <c r="H108" s="233">
        <f t="shared" si="29"/>
        <v>0</v>
      </c>
      <c r="I108" s="233">
        <v>0</v>
      </c>
      <c r="J108" s="233"/>
      <c r="K108" s="233"/>
      <c r="L108" s="233"/>
      <c r="M108" s="233">
        <f t="shared" si="27"/>
        <v>0</v>
      </c>
      <c r="N108" s="233">
        <v>0</v>
      </c>
      <c r="O108" s="233"/>
      <c r="P108" s="233"/>
      <c r="Q108" s="233"/>
      <c r="R108" s="233">
        <f t="shared" si="28"/>
        <v>0</v>
      </c>
    </row>
    <row r="109" spans="1:18" s="6" customFormat="1" ht="72" hidden="1" customHeight="1">
      <c r="A109" s="136">
        <v>19570</v>
      </c>
      <c r="B109" s="172" t="s">
        <v>182</v>
      </c>
      <c r="C109" s="171"/>
      <c r="D109" s="171">
        <v>0</v>
      </c>
      <c r="E109" s="233"/>
      <c r="F109" s="233"/>
      <c r="G109" s="233"/>
      <c r="H109" s="233">
        <f t="shared" si="29"/>
        <v>0</v>
      </c>
      <c r="I109" s="233">
        <v>0</v>
      </c>
      <c r="J109" s="233"/>
      <c r="K109" s="233"/>
      <c r="L109" s="233"/>
      <c r="M109" s="233">
        <f t="shared" si="27"/>
        <v>0</v>
      </c>
      <c r="N109" s="233">
        <v>0</v>
      </c>
      <c r="O109" s="233"/>
      <c r="P109" s="233"/>
      <c r="Q109" s="233"/>
      <c r="R109" s="233">
        <f t="shared" si="28"/>
        <v>0</v>
      </c>
    </row>
    <row r="110" spans="1:18" s="6" customFormat="1" ht="24" hidden="1" customHeight="1">
      <c r="A110" s="209" t="s">
        <v>222</v>
      </c>
      <c r="B110" s="208" t="s">
        <v>216</v>
      </c>
      <c r="C110" s="107">
        <v>0</v>
      </c>
      <c r="D110" s="107">
        <v>0</v>
      </c>
      <c r="E110" s="233">
        <f t="shared" ref="E110:L110" si="33">E111</f>
        <v>0</v>
      </c>
      <c r="F110" s="233">
        <f t="shared" si="33"/>
        <v>0</v>
      </c>
      <c r="G110" s="233">
        <f t="shared" si="33"/>
        <v>0</v>
      </c>
      <c r="H110" s="233">
        <f t="shared" si="29"/>
        <v>0</v>
      </c>
      <c r="I110" s="233">
        <v>0</v>
      </c>
      <c r="J110" s="233">
        <f t="shared" si="33"/>
        <v>0</v>
      </c>
      <c r="K110" s="233">
        <f t="shared" si="33"/>
        <v>0</v>
      </c>
      <c r="L110" s="233">
        <f t="shared" si="33"/>
        <v>0</v>
      </c>
      <c r="M110" s="233">
        <f t="shared" si="27"/>
        <v>0</v>
      </c>
      <c r="N110" s="233">
        <v>0</v>
      </c>
      <c r="O110" s="233">
        <f>O111</f>
        <v>0</v>
      </c>
      <c r="P110" s="233">
        <f>P111</f>
        <v>0</v>
      </c>
      <c r="Q110" s="233">
        <f>Q111</f>
        <v>0</v>
      </c>
      <c r="R110" s="233">
        <f t="shared" si="28"/>
        <v>0</v>
      </c>
    </row>
    <row r="111" spans="1:18" s="6" customFormat="1" ht="36" hidden="1" customHeight="1">
      <c r="A111" s="209">
        <v>17100</v>
      </c>
      <c r="B111" s="208" t="s">
        <v>217</v>
      </c>
      <c r="C111" s="107">
        <v>0</v>
      </c>
      <c r="D111" s="107">
        <v>0</v>
      </c>
      <c r="E111" s="233">
        <f>SUM(E112:E115)</f>
        <v>0</v>
      </c>
      <c r="F111" s="233">
        <f>SUM(F112:F115)</f>
        <v>0</v>
      </c>
      <c r="G111" s="233">
        <f>SUM(G112:G115)</f>
        <v>0</v>
      </c>
      <c r="H111" s="233">
        <f t="shared" si="29"/>
        <v>0</v>
      </c>
      <c r="I111" s="233">
        <v>0</v>
      </c>
      <c r="J111" s="233">
        <f>SUM(J112:J115)</f>
        <v>0</v>
      </c>
      <c r="K111" s="233">
        <f>SUM(K112:K115)</f>
        <v>0</v>
      </c>
      <c r="L111" s="233">
        <f>SUM(L112:L115)</f>
        <v>0</v>
      </c>
      <c r="M111" s="233">
        <f t="shared" si="27"/>
        <v>0</v>
      </c>
      <c r="N111" s="233">
        <v>0</v>
      </c>
      <c r="O111" s="233">
        <f>SUM(O112:O115)</f>
        <v>0</v>
      </c>
      <c r="P111" s="233">
        <f>SUM(P112:P115)</f>
        <v>0</v>
      </c>
      <c r="Q111" s="233">
        <f>SUM(Q112:Q115)</f>
        <v>0</v>
      </c>
      <c r="R111" s="233">
        <f t="shared" si="28"/>
        <v>0</v>
      </c>
    </row>
    <row r="112" spans="1:18" s="6" customFormat="1" ht="60" hidden="1" customHeight="1">
      <c r="A112" s="149">
        <v>17110</v>
      </c>
      <c r="B112" s="208" t="s">
        <v>218</v>
      </c>
      <c r="C112" s="107"/>
      <c r="D112" s="107">
        <v>0</v>
      </c>
      <c r="E112" s="233"/>
      <c r="F112" s="233"/>
      <c r="G112" s="233"/>
      <c r="H112" s="233">
        <f t="shared" si="29"/>
        <v>0</v>
      </c>
      <c r="I112" s="233">
        <v>0</v>
      </c>
      <c r="J112" s="233"/>
      <c r="K112" s="233"/>
      <c r="L112" s="233"/>
      <c r="M112" s="233">
        <f t="shared" si="27"/>
        <v>0</v>
      </c>
      <c r="N112" s="233">
        <v>0</v>
      </c>
      <c r="O112" s="233"/>
      <c r="P112" s="233"/>
      <c r="Q112" s="233"/>
      <c r="R112" s="233">
        <f t="shared" si="28"/>
        <v>0</v>
      </c>
    </row>
    <row r="113" spans="1:18" s="6" customFormat="1" ht="60" hidden="1" customHeight="1">
      <c r="A113" s="149">
        <v>17120</v>
      </c>
      <c r="B113" s="208" t="s">
        <v>219</v>
      </c>
      <c r="C113" s="107"/>
      <c r="D113" s="107">
        <v>0</v>
      </c>
      <c r="E113" s="233"/>
      <c r="F113" s="233"/>
      <c r="G113" s="233"/>
      <c r="H113" s="233">
        <f t="shared" si="29"/>
        <v>0</v>
      </c>
      <c r="I113" s="233">
        <v>0</v>
      </c>
      <c r="J113" s="233"/>
      <c r="K113" s="233"/>
      <c r="L113" s="233"/>
      <c r="M113" s="233">
        <f t="shared" si="27"/>
        <v>0</v>
      </c>
      <c r="N113" s="233">
        <v>0</v>
      </c>
      <c r="O113" s="233"/>
      <c r="P113" s="233"/>
      <c r="Q113" s="233"/>
      <c r="R113" s="233">
        <f t="shared" si="28"/>
        <v>0</v>
      </c>
    </row>
    <row r="114" spans="1:18" s="6" customFormat="1" ht="108" hidden="1" customHeight="1">
      <c r="A114" s="149">
        <v>17130</v>
      </c>
      <c r="B114" s="208" t="s">
        <v>220</v>
      </c>
      <c r="C114" s="107"/>
      <c r="D114" s="107">
        <v>0</v>
      </c>
      <c r="E114" s="233"/>
      <c r="F114" s="233"/>
      <c r="G114" s="233"/>
      <c r="H114" s="233">
        <f t="shared" si="29"/>
        <v>0</v>
      </c>
      <c r="I114" s="233">
        <v>0</v>
      </c>
      <c r="J114" s="233"/>
      <c r="K114" s="233"/>
      <c r="L114" s="233"/>
      <c r="M114" s="233">
        <f t="shared" si="27"/>
        <v>0</v>
      </c>
      <c r="N114" s="233">
        <v>0</v>
      </c>
      <c r="O114" s="233"/>
      <c r="P114" s="233"/>
      <c r="Q114" s="233"/>
      <c r="R114" s="233">
        <f t="shared" si="28"/>
        <v>0</v>
      </c>
    </row>
    <row r="115" spans="1:18" s="6" customFormat="1" ht="96" hidden="1" customHeight="1">
      <c r="A115" s="149">
        <v>17140</v>
      </c>
      <c r="B115" s="208" t="s">
        <v>221</v>
      </c>
      <c r="C115" s="107"/>
      <c r="D115" s="107">
        <v>0</v>
      </c>
      <c r="E115" s="233"/>
      <c r="F115" s="233"/>
      <c r="G115" s="233"/>
      <c r="H115" s="233">
        <f t="shared" si="29"/>
        <v>0</v>
      </c>
      <c r="I115" s="233">
        <v>0</v>
      </c>
      <c r="J115" s="233"/>
      <c r="K115" s="233"/>
      <c r="L115" s="233"/>
      <c r="M115" s="233">
        <f t="shared" si="27"/>
        <v>0</v>
      </c>
      <c r="N115" s="233">
        <v>0</v>
      </c>
      <c r="O115" s="233"/>
      <c r="P115" s="233"/>
      <c r="Q115" s="233"/>
      <c r="R115" s="233">
        <f t="shared" si="28"/>
        <v>0</v>
      </c>
    </row>
    <row r="116" spans="1:18" s="6" customFormat="1" ht="12">
      <c r="A116" s="137">
        <v>21700</v>
      </c>
      <c r="B116" s="124" t="s">
        <v>97</v>
      </c>
      <c r="C116" s="171">
        <v>143585142</v>
      </c>
      <c r="D116" s="171">
        <v>146539629</v>
      </c>
      <c r="E116" s="233">
        <f>E117+E118</f>
        <v>0</v>
      </c>
      <c r="F116" s="233">
        <f>F117+F118</f>
        <v>16319228</v>
      </c>
      <c r="G116" s="233">
        <f>G117+G118</f>
        <v>3619141</v>
      </c>
      <c r="H116" s="233">
        <f t="shared" si="29"/>
        <v>166477998</v>
      </c>
      <c r="I116" s="233">
        <v>139818682</v>
      </c>
      <c r="J116" s="233">
        <f>J117+J118</f>
        <v>0</v>
      </c>
      <c r="K116" s="233">
        <f>K117+K118</f>
        <v>16164590</v>
      </c>
      <c r="L116" s="233">
        <f>L117+L118</f>
        <v>1547016</v>
      </c>
      <c r="M116" s="233">
        <f t="shared" si="27"/>
        <v>157530288</v>
      </c>
      <c r="N116" s="233">
        <v>132690417</v>
      </c>
      <c r="O116" s="233">
        <f>O117+O118</f>
        <v>0</v>
      </c>
      <c r="P116" s="233">
        <f>P117+P118</f>
        <v>16142426</v>
      </c>
      <c r="Q116" s="233">
        <f>Q117+Q118</f>
        <v>1177746</v>
      </c>
      <c r="R116" s="233">
        <f t="shared" si="28"/>
        <v>150010589</v>
      </c>
    </row>
    <row r="117" spans="1:18" s="6" customFormat="1" ht="24">
      <c r="A117" s="138">
        <v>21710</v>
      </c>
      <c r="B117" s="125" t="s">
        <v>98</v>
      </c>
      <c r="C117" s="171">
        <v>143585142</v>
      </c>
      <c r="D117" s="171">
        <v>146539629</v>
      </c>
      <c r="E117" s="233">
        <f>E273</f>
        <v>0</v>
      </c>
      <c r="F117" s="233">
        <f>F273+F282+F290+F298+F309+F320</f>
        <v>16319228</v>
      </c>
      <c r="G117" s="233">
        <f>G443+G454+G465+G474+G485+G496+G507+G518+G529+G540+G549+G560+G571+G582+G590</f>
        <v>3619141</v>
      </c>
      <c r="H117" s="233">
        <f t="shared" si="29"/>
        <v>166477998</v>
      </c>
      <c r="I117" s="233">
        <v>139818682</v>
      </c>
      <c r="J117" s="233"/>
      <c r="K117" s="233">
        <f>K273+K282+K290+K298+K309+K320</f>
        <v>16164590</v>
      </c>
      <c r="L117" s="233">
        <f>L443+L454+L465+L474+L485+L496+L507+L518+L529+L540+L549+L560+L571+L582+L590</f>
        <v>1547016</v>
      </c>
      <c r="M117" s="233">
        <f t="shared" si="27"/>
        <v>157530288</v>
      </c>
      <c r="N117" s="233">
        <v>132690417</v>
      </c>
      <c r="O117" s="233"/>
      <c r="P117" s="233">
        <f>P273+P282+P290+P298+P309+P320</f>
        <v>16142426</v>
      </c>
      <c r="Q117" s="233">
        <f>Q443+Q454+Q465+Q474+Q485+Q496+Q507+Q518+Q529+Q540+Q549+Q560+Q571+Q582+Q590</f>
        <v>1177746</v>
      </c>
      <c r="R117" s="233">
        <f t="shared" si="28"/>
        <v>150010589</v>
      </c>
    </row>
    <row r="118" spans="1:18" s="6" customFormat="1" ht="24" hidden="1" customHeight="1">
      <c r="A118" s="138">
        <v>21720</v>
      </c>
      <c r="B118" s="125" t="s">
        <v>99</v>
      </c>
      <c r="C118" s="171"/>
      <c r="D118" s="171">
        <v>0</v>
      </c>
      <c r="E118" s="233"/>
      <c r="F118" s="233"/>
      <c r="G118" s="233"/>
      <c r="H118" s="233">
        <f t="shared" si="29"/>
        <v>0</v>
      </c>
      <c r="I118" s="233">
        <v>0</v>
      </c>
      <c r="J118" s="233"/>
      <c r="K118" s="233"/>
      <c r="L118" s="233"/>
      <c r="M118" s="233">
        <f t="shared" si="27"/>
        <v>0</v>
      </c>
      <c r="N118" s="233">
        <v>0</v>
      </c>
      <c r="O118" s="233"/>
      <c r="P118" s="233"/>
      <c r="Q118" s="233"/>
      <c r="R118" s="233">
        <f t="shared" si="28"/>
        <v>0</v>
      </c>
    </row>
    <row r="119" spans="1:18" s="6" customFormat="1" ht="11.4">
      <c r="A119" s="597" t="s">
        <v>100</v>
      </c>
      <c r="B119" s="598" t="s">
        <v>101</v>
      </c>
      <c r="C119" s="618">
        <v>151543734</v>
      </c>
      <c r="D119" s="618">
        <v>154108177</v>
      </c>
      <c r="E119" s="603">
        <f>E120+E147</f>
        <v>0</v>
      </c>
      <c r="F119" s="603">
        <f>F120+F147</f>
        <v>16319228</v>
      </c>
      <c r="G119" s="603">
        <f>G120+G147</f>
        <v>3619141</v>
      </c>
      <c r="H119" s="603">
        <f t="shared" si="29"/>
        <v>174046546</v>
      </c>
      <c r="I119" s="603">
        <v>146717608</v>
      </c>
      <c r="J119" s="603">
        <f>J120+J147</f>
        <v>0</v>
      </c>
      <c r="K119" s="603">
        <f>K120+K147</f>
        <v>16164590</v>
      </c>
      <c r="L119" s="603">
        <f>L120+L147</f>
        <v>1547016</v>
      </c>
      <c r="M119" s="603">
        <f t="shared" si="27"/>
        <v>164429214</v>
      </c>
      <c r="N119" s="603">
        <v>139278064</v>
      </c>
      <c r="O119" s="603">
        <f>O120+O147</f>
        <v>0</v>
      </c>
      <c r="P119" s="603">
        <f>P120+P147</f>
        <v>16142426</v>
      </c>
      <c r="Q119" s="603">
        <f>Q120+Q147</f>
        <v>1177746</v>
      </c>
      <c r="R119" s="603">
        <f t="shared" si="28"/>
        <v>156598236</v>
      </c>
    </row>
    <row r="120" spans="1:18" s="6" customFormat="1" ht="20.399999999999999">
      <c r="A120" s="130" t="s">
        <v>102</v>
      </c>
      <c r="B120" s="124" t="s">
        <v>103</v>
      </c>
      <c r="C120" s="171">
        <v>147170564</v>
      </c>
      <c r="D120" s="171">
        <v>149698615</v>
      </c>
      <c r="E120" s="233">
        <f>E121+E125+E126+E129+E132</f>
        <v>0</v>
      </c>
      <c r="F120" s="233">
        <f>F121+F125+F126+F129+F132</f>
        <v>16331228</v>
      </c>
      <c r="G120" s="233">
        <f>G121+G125+G126+G129+G132</f>
        <v>2335774</v>
      </c>
      <c r="H120" s="233">
        <f t="shared" si="29"/>
        <v>168365617</v>
      </c>
      <c r="I120" s="233">
        <v>144431489</v>
      </c>
      <c r="J120" s="233">
        <f>J121+J125+J126+J129+J132</f>
        <v>0</v>
      </c>
      <c r="K120" s="233">
        <f>K121+K125+K126+K129+K132</f>
        <v>16162590</v>
      </c>
      <c r="L120" s="233">
        <f>L121+L125+L126+L129+L132</f>
        <v>1488816</v>
      </c>
      <c r="M120" s="233">
        <f t="shared" si="27"/>
        <v>162082895</v>
      </c>
      <c r="N120" s="233">
        <v>138603948</v>
      </c>
      <c r="O120" s="233">
        <f>O121+O125+O126+O129+O132</f>
        <v>0</v>
      </c>
      <c r="P120" s="233">
        <f>P121+P125+P126+P129+P132</f>
        <v>16140426</v>
      </c>
      <c r="Q120" s="233">
        <f>Q121+Q125+Q126+Q129+Q132</f>
        <v>1177746</v>
      </c>
      <c r="R120" s="233">
        <f t="shared" si="28"/>
        <v>155922120</v>
      </c>
    </row>
    <row r="121" spans="1:18" s="6" customFormat="1" ht="12">
      <c r="A121" s="130" t="s">
        <v>104</v>
      </c>
      <c r="B121" s="124" t="s">
        <v>105</v>
      </c>
      <c r="C121" s="171">
        <v>146552726</v>
      </c>
      <c r="D121" s="171">
        <v>149273953</v>
      </c>
      <c r="E121" s="233">
        <f>E122+E124</f>
        <v>0</v>
      </c>
      <c r="F121" s="233">
        <f>F122+F124</f>
        <v>16329736</v>
      </c>
      <c r="G121" s="233">
        <f>G122+G124</f>
        <v>2323643</v>
      </c>
      <c r="H121" s="233">
        <f t="shared" si="29"/>
        <v>167927332</v>
      </c>
      <c r="I121" s="233">
        <v>144109817</v>
      </c>
      <c r="J121" s="233">
        <f>J122+J124</f>
        <v>0</v>
      </c>
      <c r="K121" s="233">
        <f>K122+K124</f>
        <v>16161098</v>
      </c>
      <c r="L121" s="233">
        <f>L122+L124</f>
        <v>1476685</v>
      </c>
      <c r="M121" s="233">
        <f t="shared" si="27"/>
        <v>161747600</v>
      </c>
      <c r="N121" s="233">
        <v>138286585</v>
      </c>
      <c r="O121" s="233">
        <f>O122+O124</f>
        <v>0</v>
      </c>
      <c r="P121" s="233">
        <f>P122+P124</f>
        <v>16138934</v>
      </c>
      <c r="Q121" s="233">
        <f>Q122+Q124</f>
        <v>1165615</v>
      </c>
      <c r="R121" s="233">
        <f t="shared" si="28"/>
        <v>155591134</v>
      </c>
    </row>
    <row r="122" spans="1:18" s="29" customFormat="1" ht="12">
      <c r="A122" s="132">
        <v>1000</v>
      </c>
      <c r="B122" s="125" t="s">
        <v>106</v>
      </c>
      <c r="C122" s="171">
        <v>93395486</v>
      </c>
      <c r="D122" s="171">
        <v>93356195</v>
      </c>
      <c r="E122" s="233"/>
      <c r="F122" s="233">
        <f>F302+F313</f>
        <v>15613293</v>
      </c>
      <c r="G122" s="233">
        <f>G533+G553+G564+G575+G594</f>
        <v>696635</v>
      </c>
      <c r="H122" s="233">
        <f t="shared" si="29"/>
        <v>109666123</v>
      </c>
      <c r="I122" s="233">
        <v>93217709</v>
      </c>
      <c r="J122" s="233"/>
      <c r="K122" s="233">
        <f>K302+K313</f>
        <v>15633832</v>
      </c>
      <c r="L122" s="233">
        <f>L533+L553+L564+L575+L594</f>
        <v>947778</v>
      </c>
      <c r="M122" s="233">
        <f t="shared" si="27"/>
        <v>109799319</v>
      </c>
      <c r="N122" s="233">
        <v>93217709</v>
      </c>
      <c r="O122" s="233"/>
      <c r="P122" s="233">
        <f>P302+P313</f>
        <v>15618679</v>
      </c>
      <c r="Q122" s="233">
        <f>Q533+Q553+Q564+Q575+Q594</f>
        <v>640795</v>
      </c>
      <c r="R122" s="233">
        <f t="shared" si="28"/>
        <v>109477183</v>
      </c>
    </row>
    <row r="123" spans="1:18" s="89" customFormat="1" ht="12">
      <c r="A123" s="139">
        <v>1100</v>
      </c>
      <c r="B123" s="125" t="s">
        <v>107</v>
      </c>
      <c r="C123" s="171">
        <v>67694133</v>
      </c>
      <c r="D123" s="171">
        <v>67661546</v>
      </c>
      <c r="E123" s="233"/>
      <c r="F123" s="233">
        <f>F303+F314</f>
        <v>12568472</v>
      </c>
      <c r="G123" s="233">
        <f>G534+G554+G565+G576+G595</f>
        <v>561395</v>
      </c>
      <c r="H123" s="233">
        <f t="shared" si="29"/>
        <v>80791413</v>
      </c>
      <c r="I123" s="233">
        <v>67549946</v>
      </c>
      <c r="J123" s="233"/>
      <c r="K123" s="233">
        <f>K303+K314</f>
        <v>12575264</v>
      </c>
      <c r="L123" s="233">
        <f>L534+L554+L565+L576+L595</f>
        <v>763783</v>
      </c>
      <c r="M123" s="233">
        <f t="shared" si="27"/>
        <v>80888993</v>
      </c>
      <c r="N123" s="233">
        <v>67549946</v>
      </c>
      <c r="O123" s="233"/>
      <c r="P123" s="233">
        <f>P303+P314</f>
        <v>12570736</v>
      </c>
      <c r="Q123" s="233">
        <f>Q534+Q554+Q565+Q576+Q595</f>
        <v>516396</v>
      </c>
      <c r="R123" s="233">
        <f t="shared" si="28"/>
        <v>80637078</v>
      </c>
    </row>
    <row r="124" spans="1:18" s="89" customFormat="1" ht="12">
      <c r="A124" s="132">
        <v>2000</v>
      </c>
      <c r="B124" s="125" t="s">
        <v>108</v>
      </c>
      <c r="C124" s="171">
        <v>53157240</v>
      </c>
      <c r="D124" s="171">
        <v>55917758</v>
      </c>
      <c r="E124" s="233">
        <f>E277</f>
        <v>0</v>
      </c>
      <c r="F124" s="233">
        <f>F277+F304+F315</f>
        <v>716443</v>
      </c>
      <c r="G124" s="233">
        <f>G447+G458+G469+G478+G489+G500+G511+G522+G535+G555+G566+G577</f>
        <v>1627008</v>
      </c>
      <c r="H124" s="233">
        <f t="shared" si="29"/>
        <v>58261209</v>
      </c>
      <c r="I124" s="233">
        <v>50892108</v>
      </c>
      <c r="J124" s="233"/>
      <c r="K124" s="233">
        <f>K277+K304+K315</f>
        <v>527266</v>
      </c>
      <c r="L124" s="233">
        <f>L447+L458+L469+L478+L489+L500+L511+L522+L535+L555+L566+L577</f>
        <v>528907</v>
      </c>
      <c r="M124" s="233">
        <f t="shared" si="27"/>
        <v>51948281</v>
      </c>
      <c r="N124" s="233">
        <v>45068876</v>
      </c>
      <c r="O124" s="233"/>
      <c r="P124" s="233">
        <f>P277+P304+P315</f>
        <v>520255</v>
      </c>
      <c r="Q124" s="233">
        <f>Q447+Q458+Q469+Q478+Q489+Q500+Q511+Q522+Q535+Q555+Q566+Q577</f>
        <v>524820</v>
      </c>
      <c r="R124" s="233">
        <f t="shared" si="28"/>
        <v>46113951</v>
      </c>
    </row>
    <row r="125" spans="1:18" s="89" customFormat="1" ht="12">
      <c r="A125" s="140">
        <v>4000</v>
      </c>
      <c r="B125" s="124" t="s">
        <v>132</v>
      </c>
      <c r="C125" s="171">
        <v>300475</v>
      </c>
      <c r="D125" s="171">
        <v>107299</v>
      </c>
      <c r="E125" s="233"/>
      <c r="F125" s="233"/>
      <c r="G125" s="233"/>
      <c r="H125" s="233">
        <f t="shared" si="29"/>
        <v>107299</v>
      </c>
      <c r="I125" s="233">
        <v>4309</v>
      </c>
      <c r="J125" s="233"/>
      <c r="K125" s="233"/>
      <c r="L125" s="233"/>
      <c r="M125" s="233">
        <f t="shared" si="27"/>
        <v>4309</v>
      </c>
      <c r="N125" s="233">
        <v>0</v>
      </c>
      <c r="O125" s="233"/>
      <c r="P125" s="233"/>
      <c r="Q125" s="233"/>
      <c r="R125" s="233">
        <f t="shared" si="28"/>
        <v>0</v>
      </c>
    </row>
    <row r="126" spans="1:18" s="89" customFormat="1" ht="12">
      <c r="A126" s="140" t="s">
        <v>109</v>
      </c>
      <c r="B126" s="124" t="s">
        <v>110</v>
      </c>
      <c r="C126" s="171">
        <v>75240</v>
      </c>
      <c r="D126" s="171">
        <v>75240</v>
      </c>
      <c r="E126" s="233">
        <f>E127+E128</f>
        <v>0</v>
      </c>
      <c r="F126" s="233">
        <f>F127+F128</f>
        <v>0</v>
      </c>
      <c r="G126" s="233">
        <f>G127+G128</f>
        <v>0</v>
      </c>
      <c r="H126" s="233">
        <f t="shared" si="29"/>
        <v>75240</v>
      </c>
      <c r="I126" s="233">
        <v>75240</v>
      </c>
      <c r="J126" s="233">
        <f>J127+J128</f>
        <v>0</v>
      </c>
      <c r="K126" s="233">
        <f>K127+K128</f>
        <v>0</v>
      </c>
      <c r="L126" s="233">
        <f>L127+L128</f>
        <v>0</v>
      </c>
      <c r="M126" s="233">
        <f t="shared" si="27"/>
        <v>75240</v>
      </c>
      <c r="N126" s="233">
        <v>75240</v>
      </c>
      <c r="O126" s="233">
        <f>O127+O128</f>
        <v>0</v>
      </c>
      <c r="P126" s="233">
        <f>P127+P128</f>
        <v>0</v>
      </c>
      <c r="Q126" s="233">
        <f>Q127+Q128</f>
        <v>0</v>
      </c>
      <c r="R126" s="233">
        <f t="shared" si="28"/>
        <v>75240</v>
      </c>
    </row>
    <row r="127" spans="1:18" s="89" customFormat="1" ht="12" hidden="1" customHeight="1">
      <c r="A127" s="132">
        <v>3000</v>
      </c>
      <c r="B127" s="125" t="s">
        <v>111</v>
      </c>
      <c r="C127" s="213"/>
      <c r="D127" s="213">
        <v>0</v>
      </c>
      <c r="E127" s="345"/>
      <c r="F127" s="345"/>
      <c r="G127" s="345"/>
      <c r="H127" s="233">
        <f t="shared" si="29"/>
        <v>0</v>
      </c>
      <c r="I127" s="345">
        <v>0</v>
      </c>
      <c r="J127" s="345"/>
      <c r="K127" s="345"/>
      <c r="L127" s="345"/>
      <c r="M127" s="233">
        <f t="shared" si="27"/>
        <v>0</v>
      </c>
      <c r="N127" s="345">
        <v>0</v>
      </c>
      <c r="O127" s="345"/>
      <c r="P127" s="345"/>
      <c r="Q127" s="345"/>
      <c r="R127" s="233">
        <f t="shared" si="28"/>
        <v>0</v>
      </c>
    </row>
    <row r="128" spans="1:18" s="89" customFormat="1" ht="12">
      <c r="A128" s="132">
        <v>6000</v>
      </c>
      <c r="B128" s="125" t="s">
        <v>112</v>
      </c>
      <c r="C128" s="287">
        <v>75240</v>
      </c>
      <c r="D128" s="287">
        <v>75240</v>
      </c>
      <c r="E128" s="346"/>
      <c r="F128" s="346"/>
      <c r="G128" s="346"/>
      <c r="H128" s="233">
        <f t="shared" si="29"/>
        <v>75240</v>
      </c>
      <c r="I128" s="346">
        <v>75240</v>
      </c>
      <c r="J128" s="346"/>
      <c r="K128" s="346"/>
      <c r="L128" s="346"/>
      <c r="M128" s="233">
        <f t="shared" si="27"/>
        <v>75240</v>
      </c>
      <c r="N128" s="346">
        <v>75240</v>
      </c>
      <c r="O128" s="346"/>
      <c r="P128" s="346"/>
      <c r="Q128" s="346"/>
      <c r="R128" s="233">
        <f t="shared" si="28"/>
        <v>75240</v>
      </c>
    </row>
    <row r="129" spans="1:18" s="89" customFormat="1" ht="22.8">
      <c r="A129" s="140" t="s">
        <v>113</v>
      </c>
      <c r="B129" s="124" t="s">
        <v>183</v>
      </c>
      <c r="C129" s="171">
        <v>42763</v>
      </c>
      <c r="D129" s="171">
        <v>42763</v>
      </c>
      <c r="E129" s="233">
        <f>E130+E131</f>
        <v>0</v>
      </c>
      <c r="F129" s="233">
        <f>F130+F131</f>
        <v>1492</v>
      </c>
      <c r="G129" s="233">
        <f>G130+G131</f>
        <v>12131</v>
      </c>
      <c r="H129" s="233">
        <f t="shared" si="29"/>
        <v>56386</v>
      </c>
      <c r="I129" s="233">
        <v>42763</v>
      </c>
      <c r="J129" s="233">
        <f>J130+J131</f>
        <v>0</v>
      </c>
      <c r="K129" s="233">
        <f>K130+K131</f>
        <v>1492</v>
      </c>
      <c r="L129" s="233">
        <f>L130+L131</f>
        <v>12131</v>
      </c>
      <c r="M129" s="233">
        <f t="shared" si="27"/>
        <v>56386</v>
      </c>
      <c r="N129" s="233">
        <v>42763</v>
      </c>
      <c r="O129" s="233">
        <f>O130+O131</f>
        <v>0</v>
      </c>
      <c r="P129" s="233">
        <f>P130+P131</f>
        <v>1492</v>
      </c>
      <c r="Q129" s="233">
        <f>Q130+Q131</f>
        <v>12131</v>
      </c>
      <c r="R129" s="233">
        <f t="shared" si="28"/>
        <v>56386</v>
      </c>
    </row>
    <row r="130" spans="1:18" s="89" customFormat="1" ht="12" hidden="1" customHeight="1">
      <c r="A130" s="132">
        <v>7600</v>
      </c>
      <c r="B130" s="179" t="s">
        <v>184</v>
      </c>
      <c r="C130" s="171"/>
      <c r="D130" s="171">
        <v>0</v>
      </c>
      <c r="E130" s="233"/>
      <c r="F130" s="233"/>
      <c r="G130" s="233"/>
      <c r="H130" s="233">
        <f t="shared" si="29"/>
        <v>0</v>
      </c>
      <c r="I130" s="233">
        <v>0</v>
      </c>
      <c r="J130" s="233"/>
      <c r="K130" s="233"/>
      <c r="L130" s="233"/>
      <c r="M130" s="233">
        <f t="shared" si="27"/>
        <v>0</v>
      </c>
      <c r="N130" s="233">
        <v>0</v>
      </c>
      <c r="O130" s="233"/>
      <c r="P130" s="233"/>
      <c r="Q130" s="233"/>
      <c r="R130" s="233">
        <f t="shared" si="28"/>
        <v>0</v>
      </c>
    </row>
    <row r="131" spans="1:18" s="89" customFormat="1" ht="12">
      <c r="A131" s="132">
        <v>7700</v>
      </c>
      <c r="B131" s="126" t="s">
        <v>114</v>
      </c>
      <c r="C131" s="171">
        <v>42763</v>
      </c>
      <c r="D131" s="171">
        <v>42763</v>
      </c>
      <c r="E131" s="233"/>
      <c r="F131" s="233">
        <f>F324</f>
        <v>1492</v>
      </c>
      <c r="G131" s="233">
        <f>G544</f>
        <v>12131</v>
      </c>
      <c r="H131" s="233">
        <f t="shared" si="29"/>
        <v>56386</v>
      </c>
      <c r="I131" s="233">
        <v>42763</v>
      </c>
      <c r="J131" s="233"/>
      <c r="K131" s="233">
        <f>K324</f>
        <v>1492</v>
      </c>
      <c r="L131" s="233">
        <f>L544</f>
        <v>12131</v>
      </c>
      <c r="M131" s="233">
        <f t="shared" si="27"/>
        <v>56386</v>
      </c>
      <c r="N131" s="233">
        <v>42763</v>
      </c>
      <c r="O131" s="233"/>
      <c r="P131" s="233">
        <f>P324</f>
        <v>1492</v>
      </c>
      <c r="Q131" s="233">
        <f>Q544</f>
        <v>12131</v>
      </c>
      <c r="R131" s="233">
        <f t="shared" si="28"/>
        <v>56386</v>
      </c>
    </row>
    <row r="132" spans="1:18" s="89" customFormat="1" ht="20.399999999999999">
      <c r="A132" s="140" t="s">
        <v>185</v>
      </c>
      <c r="B132" s="124" t="s">
        <v>115</v>
      </c>
      <c r="C132" s="171">
        <v>199360</v>
      </c>
      <c r="D132" s="171">
        <v>199360</v>
      </c>
      <c r="E132" s="233">
        <f>E133+E139+E143+E146</f>
        <v>0</v>
      </c>
      <c r="F132" s="233">
        <f>F133+F139+F143+F146</f>
        <v>0</v>
      </c>
      <c r="G132" s="233">
        <f>G133+G139+G143+G146</f>
        <v>0</v>
      </c>
      <c r="H132" s="233">
        <f t="shared" si="29"/>
        <v>199360</v>
      </c>
      <c r="I132" s="233">
        <v>199360</v>
      </c>
      <c r="J132" s="233">
        <f>J133+J139+J143+J146</f>
        <v>0</v>
      </c>
      <c r="K132" s="233">
        <f>K133+K139+K143+K146</f>
        <v>0</v>
      </c>
      <c r="L132" s="233">
        <f>L133+L139+L143+L146</f>
        <v>0</v>
      </c>
      <c r="M132" s="233">
        <f t="shared" si="27"/>
        <v>199360</v>
      </c>
      <c r="N132" s="233">
        <v>199360</v>
      </c>
      <c r="O132" s="233">
        <f>O133+O139+O143+O146</f>
        <v>0</v>
      </c>
      <c r="P132" s="233">
        <f>P133+P139+P143+P146</f>
        <v>0</v>
      </c>
      <c r="Q132" s="233">
        <f>Q133+Q139+Q143+Q146</f>
        <v>0</v>
      </c>
      <c r="R132" s="233">
        <f t="shared" si="28"/>
        <v>199360</v>
      </c>
    </row>
    <row r="133" spans="1:18" s="89" customFormat="1" ht="12" hidden="1" customHeight="1">
      <c r="A133" s="132">
        <v>7100</v>
      </c>
      <c r="B133" s="179" t="s">
        <v>116</v>
      </c>
      <c r="C133" s="171">
        <v>0</v>
      </c>
      <c r="D133" s="171">
        <v>0</v>
      </c>
      <c r="E133" s="233">
        <f>E134+E135</f>
        <v>0</v>
      </c>
      <c r="F133" s="233">
        <f>F134+F135</f>
        <v>0</v>
      </c>
      <c r="G133" s="233">
        <f>G134+G135</f>
        <v>0</v>
      </c>
      <c r="H133" s="233">
        <f t="shared" si="29"/>
        <v>0</v>
      </c>
      <c r="I133" s="233">
        <v>0</v>
      </c>
      <c r="J133" s="233">
        <f>J134+J135</f>
        <v>0</v>
      </c>
      <c r="K133" s="233">
        <f>K134+K135</f>
        <v>0</v>
      </c>
      <c r="L133" s="233">
        <f>L134+L135</f>
        <v>0</v>
      </c>
      <c r="M133" s="233">
        <f t="shared" si="27"/>
        <v>0</v>
      </c>
      <c r="N133" s="233">
        <v>0</v>
      </c>
      <c r="O133" s="233">
        <f>O134+O135</f>
        <v>0</v>
      </c>
      <c r="P133" s="233">
        <f>P134+P135</f>
        <v>0</v>
      </c>
      <c r="Q133" s="233">
        <f>Q134+Q135</f>
        <v>0</v>
      </c>
      <c r="R133" s="233">
        <f t="shared" si="28"/>
        <v>0</v>
      </c>
    </row>
    <row r="134" spans="1:18" s="89" customFormat="1" ht="24" hidden="1" customHeight="1">
      <c r="A134" s="133" t="s">
        <v>117</v>
      </c>
      <c r="B134" s="179" t="s">
        <v>118</v>
      </c>
      <c r="C134" s="171"/>
      <c r="D134" s="171">
        <v>0</v>
      </c>
      <c r="E134" s="233"/>
      <c r="F134" s="233"/>
      <c r="G134" s="233"/>
      <c r="H134" s="233">
        <f t="shared" si="29"/>
        <v>0</v>
      </c>
      <c r="I134" s="233">
        <v>0</v>
      </c>
      <c r="J134" s="233"/>
      <c r="K134" s="233"/>
      <c r="L134" s="233"/>
      <c r="M134" s="233">
        <f t="shared" si="27"/>
        <v>0</v>
      </c>
      <c r="N134" s="233">
        <v>0</v>
      </c>
      <c r="O134" s="233"/>
      <c r="P134" s="233"/>
      <c r="Q134" s="233"/>
      <c r="R134" s="233">
        <f t="shared" si="28"/>
        <v>0</v>
      </c>
    </row>
    <row r="135" spans="1:18" s="89" customFormat="1" ht="24" hidden="1" customHeight="1">
      <c r="A135" s="133">
        <v>7130</v>
      </c>
      <c r="B135" s="179" t="s">
        <v>119</v>
      </c>
      <c r="C135" s="171">
        <v>0</v>
      </c>
      <c r="D135" s="171">
        <v>0</v>
      </c>
      <c r="E135" s="233">
        <f>SUM(E136:E138)</f>
        <v>0</v>
      </c>
      <c r="F135" s="233">
        <f>SUM(F136:F138)</f>
        <v>0</v>
      </c>
      <c r="G135" s="233">
        <f>SUM(G136:G138)</f>
        <v>0</v>
      </c>
      <c r="H135" s="233">
        <f t="shared" si="29"/>
        <v>0</v>
      </c>
      <c r="I135" s="233">
        <v>0</v>
      </c>
      <c r="J135" s="233">
        <f>SUM(J136:J138)</f>
        <v>0</v>
      </c>
      <c r="K135" s="233">
        <f>SUM(K136:K138)</f>
        <v>0</v>
      </c>
      <c r="L135" s="233">
        <f>SUM(L136:L138)</f>
        <v>0</v>
      </c>
      <c r="M135" s="233">
        <f t="shared" si="27"/>
        <v>0</v>
      </c>
      <c r="N135" s="233">
        <v>0</v>
      </c>
      <c r="O135" s="233">
        <f>SUM(O136:O138)</f>
        <v>0</v>
      </c>
      <c r="P135" s="233">
        <f>SUM(P136:P138)</f>
        <v>0</v>
      </c>
      <c r="Q135" s="233">
        <f>SUM(Q136:Q138)</f>
        <v>0</v>
      </c>
      <c r="R135" s="233">
        <f t="shared" si="28"/>
        <v>0</v>
      </c>
    </row>
    <row r="136" spans="1:18" s="89" customFormat="1" ht="36" hidden="1" customHeight="1">
      <c r="A136" s="134">
        <v>7131</v>
      </c>
      <c r="B136" s="179" t="s">
        <v>120</v>
      </c>
      <c r="C136" s="171"/>
      <c r="D136" s="171">
        <v>0</v>
      </c>
      <c r="E136" s="233"/>
      <c r="F136" s="233"/>
      <c r="G136" s="233"/>
      <c r="H136" s="233">
        <f t="shared" si="29"/>
        <v>0</v>
      </c>
      <c r="I136" s="233">
        <v>0</v>
      </c>
      <c r="J136" s="233"/>
      <c r="K136" s="233"/>
      <c r="L136" s="233"/>
      <c r="M136" s="233">
        <f t="shared" si="27"/>
        <v>0</v>
      </c>
      <c r="N136" s="233">
        <v>0</v>
      </c>
      <c r="O136" s="233"/>
      <c r="P136" s="233"/>
      <c r="Q136" s="233"/>
      <c r="R136" s="233">
        <f t="shared" si="28"/>
        <v>0</v>
      </c>
    </row>
    <row r="137" spans="1:18" s="29" customFormat="1" ht="36" hidden="1" customHeight="1">
      <c r="A137" s="134">
        <v>7132</v>
      </c>
      <c r="B137" s="179" t="s">
        <v>121</v>
      </c>
      <c r="C137" s="171"/>
      <c r="D137" s="171">
        <v>0</v>
      </c>
      <c r="E137" s="233"/>
      <c r="F137" s="233"/>
      <c r="G137" s="233"/>
      <c r="H137" s="233">
        <f t="shared" si="29"/>
        <v>0</v>
      </c>
      <c r="I137" s="233">
        <v>0</v>
      </c>
      <c r="J137" s="233"/>
      <c r="K137" s="233"/>
      <c r="L137" s="233"/>
      <c r="M137" s="233">
        <f t="shared" si="27"/>
        <v>0</v>
      </c>
      <c r="N137" s="233">
        <v>0</v>
      </c>
      <c r="O137" s="233"/>
      <c r="P137" s="233"/>
      <c r="Q137" s="233"/>
      <c r="R137" s="233">
        <f t="shared" si="28"/>
        <v>0</v>
      </c>
    </row>
    <row r="138" spans="1:18" s="29" customFormat="1" ht="24" hidden="1" customHeight="1">
      <c r="A138" s="134" t="s">
        <v>186</v>
      </c>
      <c r="B138" s="179" t="s">
        <v>187</v>
      </c>
      <c r="C138" s="171"/>
      <c r="D138" s="171">
        <v>0</v>
      </c>
      <c r="E138" s="233"/>
      <c r="F138" s="233"/>
      <c r="G138" s="233"/>
      <c r="H138" s="233">
        <f t="shared" ref="H138:H201" si="34">SUM(D138:G138)</f>
        <v>0</v>
      </c>
      <c r="I138" s="233">
        <v>0</v>
      </c>
      <c r="J138" s="233"/>
      <c r="K138" s="233"/>
      <c r="L138" s="233"/>
      <c r="M138" s="233">
        <f t="shared" ref="M138:M201" si="35">SUM(I138:L138)</f>
        <v>0</v>
      </c>
      <c r="N138" s="233">
        <v>0</v>
      </c>
      <c r="O138" s="233"/>
      <c r="P138" s="233"/>
      <c r="Q138" s="233"/>
      <c r="R138" s="233">
        <f t="shared" ref="R138:R201" si="36">SUM(N138:Q138)</f>
        <v>0</v>
      </c>
    </row>
    <row r="139" spans="1:18" s="29" customFormat="1" ht="24">
      <c r="A139" s="132">
        <v>7300</v>
      </c>
      <c r="B139" s="172" t="s">
        <v>155</v>
      </c>
      <c r="C139" s="171">
        <v>199360</v>
      </c>
      <c r="D139" s="171">
        <v>199360</v>
      </c>
      <c r="E139" s="233">
        <f>SUM(E140:E142)</f>
        <v>0</v>
      </c>
      <c r="F139" s="233">
        <f>SUM(F140:F142)</f>
        <v>0</v>
      </c>
      <c r="G139" s="233">
        <f>SUM(G140:G142)</f>
        <v>0</v>
      </c>
      <c r="H139" s="233">
        <f t="shared" si="34"/>
        <v>199360</v>
      </c>
      <c r="I139" s="233">
        <v>199360</v>
      </c>
      <c r="J139" s="233">
        <f>SUM(J140:J142)</f>
        <v>0</v>
      </c>
      <c r="K139" s="233">
        <f>SUM(K140:K142)</f>
        <v>0</v>
      </c>
      <c r="L139" s="233">
        <f>SUM(L140:L142)</f>
        <v>0</v>
      </c>
      <c r="M139" s="233">
        <f t="shared" si="35"/>
        <v>199360</v>
      </c>
      <c r="N139" s="233">
        <v>199360</v>
      </c>
      <c r="O139" s="233">
        <f>SUM(O140:O142)</f>
        <v>0</v>
      </c>
      <c r="P139" s="233">
        <f>SUM(P140:P142)</f>
        <v>0</v>
      </c>
      <c r="Q139" s="233">
        <f>SUM(Q140:Q142)</f>
        <v>0</v>
      </c>
      <c r="R139" s="233">
        <f t="shared" si="36"/>
        <v>199360</v>
      </c>
    </row>
    <row r="140" spans="1:18" s="4" customFormat="1" ht="24" hidden="1" customHeight="1">
      <c r="A140" s="133" t="s">
        <v>188</v>
      </c>
      <c r="B140" s="179" t="s">
        <v>170</v>
      </c>
      <c r="C140" s="619"/>
      <c r="D140" s="619">
        <v>0</v>
      </c>
      <c r="E140" s="605"/>
      <c r="F140" s="605"/>
      <c r="G140" s="605"/>
      <c r="H140" s="233">
        <f t="shared" si="34"/>
        <v>0</v>
      </c>
      <c r="I140" s="605">
        <v>0</v>
      </c>
      <c r="J140" s="605"/>
      <c r="K140" s="605"/>
      <c r="L140" s="605"/>
      <c r="M140" s="233">
        <f t="shared" si="35"/>
        <v>0</v>
      </c>
      <c r="N140" s="605">
        <v>0</v>
      </c>
      <c r="O140" s="605"/>
      <c r="P140" s="605"/>
      <c r="Q140" s="605"/>
      <c r="R140" s="233">
        <f t="shared" si="36"/>
        <v>0</v>
      </c>
    </row>
    <row r="141" spans="1:18" ht="48" hidden="1" customHeight="1">
      <c r="A141" s="133" t="s">
        <v>189</v>
      </c>
      <c r="B141" s="179" t="s">
        <v>156</v>
      </c>
      <c r="C141" s="619"/>
      <c r="D141" s="619">
        <v>0</v>
      </c>
      <c r="E141" s="605"/>
      <c r="F141" s="605"/>
      <c r="G141" s="605"/>
      <c r="H141" s="233">
        <f t="shared" si="34"/>
        <v>0</v>
      </c>
      <c r="I141" s="605">
        <v>0</v>
      </c>
      <c r="J141" s="605"/>
      <c r="K141" s="605"/>
      <c r="L141" s="605"/>
      <c r="M141" s="233">
        <f t="shared" si="35"/>
        <v>0</v>
      </c>
      <c r="N141" s="605">
        <v>0</v>
      </c>
      <c r="O141" s="605"/>
      <c r="P141" s="605"/>
      <c r="Q141" s="605"/>
      <c r="R141" s="233">
        <f t="shared" si="36"/>
        <v>0</v>
      </c>
    </row>
    <row r="142" spans="1:18" ht="36">
      <c r="A142" s="133">
        <v>7350</v>
      </c>
      <c r="B142" s="179" t="s">
        <v>163</v>
      </c>
      <c r="C142" s="619">
        <v>199360</v>
      </c>
      <c r="D142" s="619">
        <v>199360</v>
      </c>
      <c r="E142" s="605"/>
      <c r="F142" s="605"/>
      <c r="G142" s="605"/>
      <c r="H142" s="233">
        <f t="shared" si="34"/>
        <v>199360</v>
      </c>
      <c r="I142" s="605">
        <v>199360</v>
      </c>
      <c r="J142" s="605"/>
      <c r="K142" s="605"/>
      <c r="L142" s="605"/>
      <c r="M142" s="233">
        <f t="shared" si="35"/>
        <v>199360</v>
      </c>
      <c r="N142" s="605">
        <v>199360</v>
      </c>
      <c r="O142" s="605"/>
      <c r="P142" s="605"/>
      <c r="Q142" s="605"/>
      <c r="R142" s="233">
        <f t="shared" si="36"/>
        <v>199360</v>
      </c>
    </row>
    <row r="143" spans="1:18" ht="24" hidden="1" customHeight="1">
      <c r="A143" s="132">
        <v>7400</v>
      </c>
      <c r="B143" s="172" t="s">
        <v>161</v>
      </c>
      <c r="C143" s="171">
        <v>0</v>
      </c>
      <c r="D143" s="171">
        <v>0</v>
      </c>
      <c r="E143" s="233">
        <f>SUM(E144:E145)</f>
        <v>0</v>
      </c>
      <c r="F143" s="233">
        <f>SUM(F144:F145)</f>
        <v>0</v>
      </c>
      <c r="G143" s="233">
        <f>SUM(G144:G145)</f>
        <v>0</v>
      </c>
      <c r="H143" s="233">
        <f t="shared" si="34"/>
        <v>0</v>
      </c>
      <c r="I143" s="233">
        <v>0</v>
      </c>
      <c r="J143" s="233">
        <f>SUM(J144:J145)</f>
        <v>0</v>
      </c>
      <c r="K143" s="233">
        <f>SUM(K144:K145)</f>
        <v>0</v>
      </c>
      <c r="L143" s="233">
        <f>SUM(L144:L145)</f>
        <v>0</v>
      </c>
      <c r="M143" s="233">
        <f t="shared" si="35"/>
        <v>0</v>
      </c>
      <c r="N143" s="233">
        <v>0</v>
      </c>
      <c r="O143" s="233">
        <f>SUM(O144:O145)</f>
        <v>0</v>
      </c>
      <c r="P143" s="233">
        <f>SUM(P144:P145)</f>
        <v>0</v>
      </c>
      <c r="Q143" s="233">
        <f>SUM(Q144:Q145)</f>
        <v>0</v>
      </c>
      <c r="R143" s="233">
        <f t="shared" si="36"/>
        <v>0</v>
      </c>
    </row>
    <row r="144" spans="1:18" ht="24" hidden="1" customHeight="1">
      <c r="A144" s="133">
        <v>7460</v>
      </c>
      <c r="B144" s="172" t="s">
        <v>162</v>
      </c>
      <c r="C144" s="619"/>
      <c r="D144" s="619">
        <v>0</v>
      </c>
      <c r="E144" s="605"/>
      <c r="F144" s="605"/>
      <c r="G144" s="605"/>
      <c r="H144" s="233">
        <f t="shared" si="34"/>
        <v>0</v>
      </c>
      <c r="I144" s="605">
        <v>0</v>
      </c>
      <c r="J144" s="605"/>
      <c r="K144" s="605"/>
      <c r="L144" s="605"/>
      <c r="M144" s="233">
        <f t="shared" si="35"/>
        <v>0</v>
      </c>
      <c r="N144" s="605">
        <v>0</v>
      </c>
      <c r="O144" s="605"/>
      <c r="P144" s="605"/>
      <c r="Q144" s="605"/>
      <c r="R144" s="233">
        <f t="shared" si="36"/>
        <v>0</v>
      </c>
    </row>
    <row r="145" spans="1:18" ht="48" hidden="1" customHeight="1">
      <c r="A145" s="133">
        <v>7470</v>
      </c>
      <c r="B145" s="179" t="s">
        <v>167</v>
      </c>
      <c r="C145" s="619"/>
      <c r="D145" s="619">
        <v>0</v>
      </c>
      <c r="E145" s="605"/>
      <c r="F145" s="605"/>
      <c r="G145" s="605"/>
      <c r="H145" s="233">
        <f t="shared" si="34"/>
        <v>0</v>
      </c>
      <c r="I145" s="605">
        <v>0</v>
      </c>
      <c r="J145" s="605"/>
      <c r="K145" s="605"/>
      <c r="L145" s="605"/>
      <c r="M145" s="233">
        <f t="shared" si="35"/>
        <v>0</v>
      </c>
      <c r="N145" s="605">
        <v>0</v>
      </c>
      <c r="O145" s="605"/>
      <c r="P145" s="605"/>
      <c r="Q145" s="605"/>
      <c r="R145" s="233">
        <f t="shared" si="36"/>
        <v>0</v>
      </c>
    </row>
    <row r="146" spans="1:18" ht="24" hidden="1" customHeight="1">
      <c r="A146" s="132">
        <v>7500</v>
      </c>
      <c r="B146" s="179" t="s">
        <v>157</v>
      </c>
      <c r="C146" s="171"/>
      <c r="D146" s="171">
        <v>0</v>
      </c>
      <c r="E146" s="233"/>
      <c r="F146" s="233"/>
      <c r="G146" s="233"/>
      <c r="H146" s="233">
        <f t="shared" si="34"/>
        <v>0</v>
      </c>
      <c r="I146" s="233">
        <v>0</v>
      </c>
      <c r="J146" s="233"/>
      <c r="K146" s="233"/>
      <c r="L146" s="233"/>
      <c r="M146" s="233">
        <f t="shared" si="35"/>
        <v>0</v>
      </c>
      <c r="N146" s="233">
        <v>0</v>
      </c>
      <c r="O146" s="233"/>
      <c r="P146" s="233"/>
      <c r="Q146" s="233"/>
      <c r="R146" s="233">
        <f t="shared" si="36"/>
        <v>0</v>
      </c>
    </row>
    <row r="147" spans="1:18" s="4" customFormat="1" ht="12">
      <c r="A147" s="140" t="s">
        <v>133</v>
      </c>
      <c r="B147" s="124" t="s">
        <v>122</v>
      </c>
      <c r="C147" s="181">
        <v>4373170</v>
      </c>
      <c r="D147" s="181">
        <v>4409562</v>
      </c>
      <c r="E147" s="254">
        <f>E148+E149</f>
        <v>0</v>
      </c>
      <c r="F147" s="254">
        <f>F148+F149</f>
        <v>-12000</v>
      </c>
      <c r="G147" s="254">
        <f>G148+G149</f>
        <v>1283367</v>
      </c>
      <c r="H147" s="233">
        <f t="shared" si="34"/>
        <v>5680929</v>
      </c>
      <c r="I147" s="254">
        <v>2286119</v>
      </c>
      <c r="J147" s="254">
        <f>J148+J149</f>
        <v>0</v>
      </c>
      <c r="K147" s="254">
        <f>K148+K149</f>
        <v>2000</v>
      </c>
      <c r="L147" s="254">
        <f>L148+L149</f>
        <v>58200</v>
      </c>
      <c r="M147" s="233">
        <f t="shared" si="35"/>
        <v>2346319</v>
      </c>
      <c r="N147" s="254">
        <v>674116</v>
      </c>
      <c r="O147" s="254">
        <f>O148+O149</f>
        <v>0</v>
      </c>
      <c r="P147" s="254">
        <f>P148+P149</f>
        <v>2000</v>
      </c>
      <c r="Q147" s="254">
        <f>Q148+Q149</f>
        <v>0</v>
      </c>
      <c r="R147" s="233">
        <f t="shared" si="36"/>
        <v>676116</v>
      </c>
    </row>
    <row r="148" spans="1:18" s="6" customFormat="1" ht="12">
      <c r="A148" s="140">
        <v>5000</v>
      </c>
      <c r="B148" s="124" t="s">
        <v>123</v>
      </c>
      <c r="C148" s="171">
        <v>4373170</v>
      </c>
      <c r="D148" s="171">
        <v>4409562</v>
      </c>
      <c r="E148" s="233"/>
      <c r="F148" s="233">
        <f>F285+F293</f>
        <v>-12000</v>
      </c>
      <c r="G148" s="233">
        <f>G449+G480+G491+G524+G585</f>
        <v>1283367</v>
      </c>
      <c r="H148" s="233">
        <f t="shared" si="34"/>
        <v>5680929</v>
      </c>
      <c r="I148" s="233">
        <v>2286119</v>
      </c>
      <c r="J148" s="233"/>
      <c r="K148" s="233">
        <f>K285+K293</f>
        <v>2000</v>
      </c>
      <c r="L148" s="233">
        <f>L449+L480+L491+L524+L585</f>
        <v>58200</v>
      </c>
      <c r="M148" s="233">
        <f t="shared" si="35"/>
        <v>2346319</v>
      </c>
      <c r="N148" s="233">
        <v>674116</v>
      </c>
      <c r="O148" s="233"/>
      <c r="P148" s="233">
        <f>P285+P293</f>
        <v>2000</v>
      </c>
      <c r="Q148" s="233">
        <f>Q449+Q480+Q491+Q524+Q585</f>
        <v>0</v>
      </c>
      <c r="R148" s="233">
        <f t="shared" si="36"/>
        <v>676116</v>
      </c>
    </row>
    <row r="149" spans="1:18" s="6" customFormat="1" ht="12" hidden="1" customHeight="1">
      <c r="A149" s="140">
        <v>9000</v>
      </c>
      <c r="B149" s="182" t="s">
        <v>164</v>
      </c>
      <c r="C149" s="171">
        <v>0</v>
      </c>
      <c r="D149" s="171">
        <v>0</v>
      </c>
      <c r="E149" s="233">
        <f>E150+E156+E160+E163</f>
        <v>0</v>
      </c>
      <c r="F149" s="233">
        <f>F150+F156+F160+F163</f>
        <v>0</v>
      </c>
      <c r="G149" s="233">
        <f>G150+G156+G160+G163</f>
        <v>0</v>
      </c>
      <c r="H149" s="233">
        <f t="shared" si="34"/>
        <v>0</v>
      </c>
      <c r="I149" s="233">
        <v>0</v>
      </c>
      <c r="J149" s="233">
        <f>J150+J156+J160+J163</f>
        <v>0</v>
      </c>
      <c r="K149" s="233">
        <f>K150+K156+K160+K163</f>
        <v>0</v>
      </c>
      <c r="L149" s="233">
        <f>L150+L156+L160+L163</f>
        <v>0</v>
      </c>
      <c r="M149" s="233">
        <f t="shared" si="35"/>
        <v>0</v>
      </c>
      <c r="N149" s="233">
        <v>0</v>
      </c>
      <c r="O149" s="233">
        <f>O150+O156+O160+O163</f>
        <v>0</v>
      </c>
      <c r="P149" s="233">
        <f>P150+P156+P160+P163</f>
        <v>0</v>
      </c>
      <c r="Q149" s="233">
        <f>Q150+Q156+Q160+Q163</f>
        <v>0</v>
      </c>
      <c r="R149" s="233">
        <f t="shared" si="36"/>
        <v>0</v>
      </c>
    </row>
    <row r="150" spans="1:18" s="6" customFormat="1" ht="12" hidden="1" customHeight="1">
      <c r="A150" s="141">
        <v>9100</v>
      </c>
      <c r="B150" s="179" t="s">
        <v>124</v>
      </c>
      <c r="C150" s="171">
        <v>0</v>
      </c>
      <c r="D150" s="171">
        <v>0</v>
      </c>
      <c r="E150" s="233">
        <f>SUM(E151:E152)</f>
        <v>0</v>
      </c>
      <c r="F150" s="233">
        <f>SUM(F151:F152)</f>
        <v>0</v>
      </c>
      <c r="G150" s="233">
        <f>SUM(G151:G152)</f>
        <v>0</v>
      </c>
      <c r="H150" s="233">
        <f t="shared" si="34"/>
        <v>0</v>
      </c>
      <c r="I150" s="233">
        <v>0</v>
      </c>
      <c r="J150" s="233">
        <f>SUM(J151:J152)</f>
        <v>0</v>
      </c>
      <c r="K150" s="233">
        <f>SUM(K151:K152)</f>
        <v>0</v>
      </c>
      <c r="L150" s="233">
        <f>SUM(L151:L152)</f>
        <v>0</v>
      </c>
      <c r="M150" s="233">
        <f t="shared" si="35"/>
        <v>0</v>
      </c>
      <c r="N150" s="233">
        <v>0</v>
      </c>
      <c r="O150" s="233">
        <f>SUM(O151:O152)</f>
        <v>0</v>
      </c>
      <c r="P150" s="233">
        <f>SUM(P151:P152)</f>
        <v>0</v>
      </c>
      <c r="Q150" s="233">
        <f>SUM(Q151:Q152)</f>
        <v>0</v>
      </c>
      <c r="R150" s="233">
        <f t="shared" si="36"/>
        <v>0</v>
      </c>
    </row>
    <row r="151" spans="1:18" s="6" customFormat="1" ht="24" hidden="1" customHeight="1">
      <c r="A151" s="133" t="s">
        <v>125</v>
      </c>
      <c r="B151" s="179" t="s">
        <v>214</v>
      </c>
      <c r="C151" s="171"/>
      <c r="D151" s="171">
        <v>0</v>
      </c>
      <c r="E151" s="233"/>
      <c r="F151" s="233"/>
      <c r="G151" s="233"/>
      <c r="H151" s="233">
        <f t="shared" si="34"/>
        <v>0</v>
      </c>
      <c r="I151" s="233">
        <v>0</v>
      </c>
      <c r="J151" s="233"/>
      <c r="K151" s="233"/>
      <c r="L151" s="233"/>
      <c r="M151" s="233">
        <f t="shared" si="35"/>
        <v>0</v>
      </c>
      <c r="N151" s="233">
        <v>0</v>
      </c>
      <c r="O151" s="233"/>
      <c r="P151" s="233"/>
      <c r="Q151" s="233"/>
      <c r="R151" s="233">
        <f t="shared" si="36"/>
        <v>0</v>
      </c>
    </row>
    <row r="152" spans="1:18" s="6" customFormat="1" ht="24" hidden="1" customHeight="1">
      <c r="A152" s="133">
        <v>9140</v>
      </c>
      <c r="B152" s="179" t="s">
        <v>215</v>
      </c>
      <c r="C152" s="171">
        <v>0</v>
      </c>
      <c r="D152" s="171">
        <v>0</v>
      </c>
      <c r="E152" s="233">
        <f>SUM(E153:E155)</f>
        <v>0</v>
      </c>
      <c r="F152" s="233">
        <f>SUM(F153:F155)</f>
        <v>0</v>
      </c>
      <c r="G152" s="233">
        <f>SUM(G153:G155)</f>
        <v>0</v>
      </c>
      <c r="H152" s="233">
        <f t="shared" si="34"/>
        <v>0</v>
      </c>
      <c r="I152" s="233">
        <v>0</v>
      </c>
      <c r="J152" s="233">
        <f>SUM(J153:J155)</f>
        <v>0</v>
      </c>
      <c r="K152" s="233">
        <f>SUM(K153:K155)</f>
        <v>0</v>
      </c>
      <c r="L152" s="233">
        <f>SUM(L153:L155)</f>
        <v>0</v>
      </c>
      <c r="M152" s="233">
        <f t="shared" si="35"/>
        <v>0</v>
      </c>
      <c r="N152" s="233">
        <v>0</v>
      </c>
      <c r="O152" s="233">
        <f>SUM(O153:O155)</f>
        <v>0</v>
      </c>
      <c r="P152" s="233">
        <f>SUM(P153:P155)</f>
        <v>0</v>
      </c>
      <c r="Q152" s="233">
        <f>SUM(Q153:Q155)</f>
        <v>0</v>
      </c>
      <c r="R152" s="233">
        <f t="shared" si="36"/>
        <v>0</v>
      </c>
    </row>
    <row r="153" spans="1:18" s="6" customFormat="1" ht="36" hidden="1" customHeight="1">
      <c r="A153" s="134">
        <v>9141</v>
      </c>
      <c r="B153" s="172" t="s">
        <v>190</v>
      </c>
      <c r="C153" s="619"/>
      <c r="D153" s="619">
        <v>0</v>
      </c>
      <c r="E153" s="605"/>
      <c r="F153" s="605"/>
      <c r="G153" s="605"/>
      <c r="H153" s="233">
        <f t="shared" si="34"/>
        <v>0</v>
      </c>
      <c r="I153" s="605">
        <v>0</v>
      </c>
      <c r="J153" s="605"/>
      <c r="K153" s="605"/>
      <c r="L153" s="605"/>
      <c r="M153" s="233">
        <f t="shared" si="35"/>
        <v>0</v>
      </c>
      <c r="N153" s="605">
        <v>0</v>
      </c>
      <c r="O153" s="605"/>
      <c r="P153" s="605"/>
      <c r="Q153" s="605"/>
      <c r="R153" s="233">
        <f t="shared" si="36"/>
        <v>0</v>
      </c>
    </row>
    <row r="154" spans="1:18" s="6" customFormat="1" ht="36" hidden="1" customHeight="1">
      <c r="A154" s="134">
        <v>9142</v>
      </c>
      <c r="B154" s="172" t="s">
        <v>191</v>
      </c>
      <c r="C154" s="619"/>
      <c r="D154" s="619">
        <v>0</v>
      </c>
      <c r="E154" s="605"/>
      <c r="F154" s="605"/>
      <c r="G154" s="605"/>
      <c r="H154" s="233">
        <f t="shared" si="34"/>
        <v>0</v>
      </c>
      <c r="I154" s="605">
        <v>0</v>
      </c>
      <c r="J154" s="605"/>
      <c r="K154" s="605"/>
      <c r="L154" s="605"/>
      <c r="M154" s="233">
        <f t="shared" si="35"/>
        <v>0</v>
      </c>
      <c r="N154" s="605">
        <v>0</v>
      </c>
      <c r="O154" s="605"/>
      <c r="P154" s="605"/>
      <c r="Q154" s="605"/>
      <c r="R154" s="233">
        <f t="shared" si="36"/>
        <v>0</v>
      </c>
    </row>
    <row r="155" spans="1:18" s="6" customFormat="1" ht="24" hidden="1" customHeight="1">
      <c r="A155" s="134">
        <v>9149</v>
      </c>
      <c r="B155" s="172" t="s">
        <v>192</v>
      </c>
      <c r="C155" s="619"/>
      <c r="D155" s="619">
        <v>0</v>
      </c>
      <c r="E155" s="605"/>
      <c r="F155" s="605"/>
      <c r="G155" s="605"/>
      <c r="H155" s="233">
        <f t="shared" si="34"/>
        <v>0</v>
      </c>
      <c r="I155" s="605">
        <v>0</v>
      </c>
      <c r="J155" s="605"/>
      <c r="K155" s="605"/>
      <c r="L155" s="605"/>
      <c r="M155" s="233">
        <f t="shared" si="35"/>
        <v>0</v>
      </c>
      <c r="N155" s="605">
        <v>0</v>
      </c>
      <c r="O155" s="605"/>
      <c r="P155" s="605"/>
      <c r="Q155" s="605"/>
      <c r="R155" s="233">
        <f t="shared" si="36"/>
        <v>0</v>
      </c>
    </row>
    <row r="156" spans="1:18" s="6" customFormat="1" ht="24" hidden="1" customHeight="1">
      <c r="A156" s="141">
        <v>9500</v>
      </c>
      <c r="B156" s="172" t="s">
        <v>165</v>
      </c>
      <c r="C156" s="171">
        <v>0</v>
      </c>
      <c r="D156" s="171">
        <v>0</v>
      </c>
      <c r="E156" s="233">
        <f>SUM(E157:E159)</f>
        <v>0</v>
      </c>
      <c r="F156" s="233">
        <f>SUM(F157:F159)</f>
        <v>0</v>
      </c>
      <c r="G156" s="233">
        <f>SUM(G157:G159)</f>
        <v>0</v>
      </c>
      <c r="H156" s="233">
        <f t="shared" si="34"/>
        <v>0</v>
      </c>
      <c r="I156" s="233">
        <v>0</v>
      </c>
      <c r="J156" s="233">
        <f>SUM(J157:J159)</f>
        <v>0</v>
      </c>
      <c r="K156" s="233">
        <f>SUM(K157:K159)</f>
        <v>0</v>
      </c>
      <c r="L156" s="233">
        <f>SUM(L157:L159)</f>
        <v>0</v>
      </c>
      <c r="M156" s="233">
        <f t="shared" si="35"/>
        <v>0</v>
      </c>
      <c r="N156" s="233">
        <v>0</v>
      </c>
      <c r="O156" s="233">
        <f>SUM(O157:O159)</f>
        <v>0</v>
      </c>
      <c r="P156" s="233">
        <f>SUM(P157:P159)</f>
        <v>0</v>
      </c>
      <c r="Q156" s="233">
        <f>SUM(Q157:Q159)</f>
        <v>0</v>
      </c>
      <c r="R156" s="233">
        <f t="shared" si="36"/>
        <v>0</v>
      </c>
    </row>
    <row r="157" spans="1:18" s="6" customFormat="1" ht="24" hidden="1" customHeight="1">
      <c r="A157" s="133" t="s">
        <v>193</v>
      </c>
      <c r="B157" s="172" t="s">
        <v>171</v>
      </c>
      <c r="C157" s="171"/>
      <c r="D157" s="171">
        <v>0</v>
      </c>
      <c r="E157" s="233"/>
      <c r="F157" s="233"/>
      <c r="G157" s="233"/>
      <c r="H157" s="233">
        <f t="shared" si="34"/>
        <v>0</v>
      </c>
      <c r="I157" s="233">
        <v>0</v>
      </c>
      <c r="J157" s="233"/>
      <c r="K157" s="233"/>
      <c r="L157" s="233"/>
      <c r="M157" s="233">
        <f t="shared" si="35"/>
        <v>0</v>
      </c>
      <c r="N157" s="233">
        <v>0</v>
      </c>
      <c r="O157" s="233"/>
      <c r="P157" s="233"/>
      <c r="Q157" s="233"/>
      <c r="R157" s="233">
        <f t="shared" si="36"/>
        <v>0</v>
      </c>
    </row>
    <row r="158" spans="1:18" s="6" customFormat="1" ht="48" hidden="1" customHeight="1">
      <c r="A158" s="133">
        <v>9580</v>
      </c>
      <c r="B158" s="172" t="s">
        <v>166</v>
      </c>
      <c r="C158" s="619"/>
      <c r="D158" s="619">
        <v>0</v>
      </c>
      <c r="E158" s="605"/>
      <c r="F158" s="605"/>
      <c r="G158" s="605"/>
      <c r="H158" s="233">
        <f t="shared" si="34"/>
        <v>0</v>
      </c>
      <c r="I158" s="605">
        <v>0</v>
      </c>
      <c r="J158" s="605"/>
      <c r="K158" s="605"/>
      <c r="L158" s="605"/>
      <c r="M158" s="233">
        <f t="shared" si="35"/>
        <v>0</v>
      </c>
      <c r="N158" s="605">
        <v>0</v>
      </c>
      <c r="O158" s="605"/>
      <c r="P158" s="605"/>
      <c r="Q158" s="605"/>
      <c r="R158" s="233">
        <f t="shared" si="36"/>
        <v>0</v>
      </c>
    </row>
    <row r="159" spans="1:18" s="6" customFormat="1" ht="48" hidden="1" customHeight="1">
      <c r="A159" s="133">
        <v>9590</v>
      </c>
      <c r="B159" s="179" t="s">
        <v>172</v>
      </c>
      <c r="C159" s="619"/>
      <c r="D159" s="619">
        <v>0</v>
      </c>
      <c r="E159" s="605"/>
      <c r="F159" s="605"/>
      <c r="G159" s="605"/>
      <c r="H159" s="233">
        <f t="shared" si="34"/>
        <v>0</v>
      </c>
      <c r="I159" s="605">
        <v>0</v>
      </c>
      <c r="J159" s="605"/>
      <c r="K159" s="605"/>
      <c r="L159" s="605"/>
      <c r="M159" s="233">
        <f t="shared" si="35"/>
        <v>0</v>
      </c>
      <c r="N159" s="605">
        <v>0</v>
      </c>
      <c r="O159" s="605"/>
      <c r="P159" s="605"/>
      <c r="Q159" s="605"/>
      <c r="R159" s="233">
        <f t="shared" si="36"/>
        <v>0</v>
      </c>
    </row>
    <row r="160" spans="1:18" s="6" customFormat="1" ht="24" hidden="1" customHeight="1">
      <c r="A160" s="141">
        <v>9700</v>
      </c>
      <c r="B160" s="183" t="s">
        <v>194</v>
      </c>
      <c r="C160" s="171">
        <v>0</v>
      </c>
      <c r="D160" s="171">
        <v>0</v>
      </c>
      <c r="E160" s="233">
        <f>SUM(E161:E162)</f>
        <v>0</v>
      </c>
      <c r="F160" s="233">
        <f>SUM(F161:F162)</f>
        <v>0</v>
      </c>
      <c r="G160" s="233">
        <f>SUM(G161:G162)</f>
        <v>0</v>
      </c>
      <c r="H160" s="233">
        <f t="shared" si="34"/>
        <v>0</v>
      </c>
      <c r="I160" s="233">
        <v>0</v>
      </c>
      <c r="J160" s="233">
        <f>SUM(J161:J162)</f>
        <v>0</v>
      </c>
      <c r="K160" s="233">
        <f>SUM(K161:K162)</f>
        <v>0</v>
      </c>
      <c r="L160" s="233">
        <f>SUM(L161:L162)</f>
        <v>0</v>
      </c>
      <c r="M160" s="233">
        <f t="shared" si="35"/>
        <v>0</v>
      </c>
      <c r="N160" s="233">
        <v>0</v>
      </c>
      <c r="O160" s="233">
        <f>SUM(O161:O162)</f>
        <v>0</v>
      </c>
      <c r="P160" s="233">
        <f>SUM(P161:P162)</f>
        <v>0</v>
      </c>
      <c r="Q160" s="233">
        <f>SUM(Q161:Q162)</f>
        <v>0</v>
      </c>
      <c r="R160" s="233">
        <f t="shared" si="36"/>
        <v>0</v>
      </c>
    </row>
    <row r="161" spans="1:18" s="6" customFormat="1" ht="24" hidden="1" customHeight="1">
      <c r="A161" s="133">
        <v>9710</v>
      </c>
      <c r="B161" s="184" t="s">
        <v>195</v>
      </c>
      <c r="C161" s="619"/>
      <c r="D161" s="619">
        <v>0</v>
      </c>
      <c r="E161" s="605"/>
      <c r="F161" s="605"/>
      <c r="G161" s="605"/>
      <c r="H161" s="233">
        <f t="shared" si="34"/>
        <v>0</v>
      </c>
      <c r="I161" s="605">
        <v>0</v>
      </c>
      <c r="J161" s="605"/>
      <c r="K161" s="605"/>
      <c r="L161" s="605"/>
      <c r="M161" s="233">
        <f t="shared" si="35"/>
        <v>0</v>
      </c>
      <c r="N161" s="605">
        <v>0</v>
      </c>
      <c r="O161" s="605"/>
      <c r="P161" s="605"/>
      <c r="Q161" s="605"/>
      <c r="R161" s="233">
        <f t="shared" si="36"/>
        <v>0</v>
      </c>
    </row>
    <row r="162" spans="1:18" s="6" customFormat="1" ht="48" hidden="1" customHeight="1">
      <c r="A162" s="142">
        <v>9720</v>
      </c>
      <c r="B162" s="183" t="s">
        <v>196</v>
      </c>
      <c r="C162" s="619"/>
      <c r="D162" s="619">
        <v>0</v>
      </c>
      <c r="E162" s="605"/>
      <c r="F162" s="605"/>
      <c r="G162" s="605"/>
      <c r="H162" s="233">
        <f t="shared" si="34"/>
        <v>0</v>
      </c>
      <c r="I162" s="605">
        <v>0</v>
      </c>
      <c r="J162" s="605"/>
      <c r="K162" s="605"/>
      <c r="L162" s="605"/>
      <c r="M162" s="233">
        <f t="shared" si="35"/>
        <v>0</v>
      </c>
      <c r="N162" s="605">
        <v>0</v>
      </c>
      <c r="O162" s="605"/>
      <c r="P162" s="605"/>
      <c r="Q162" s="605"/>
      <c r="R162" s="233">
        <f t="shared" si="36"/>
        <v>0</v>
      </c>
    </row>
    <row r="163" spans="1:18" s="6" customFormat="1" ht="24" hidden="1" customHeight="1">
      <c r="A163" s="141">
        <v>9600</v>
      </c>
      <c r="B163" s="179" t="s">
        <v>134</v>
      </c>
      <c r="C163" s="619"/>
      <c r="D163" s="619">
        <v>0</v>
      </c>
      <c r="E163" s="605"/>
      <c r="F163" s="605"/>
      <c r="G163" s="605"/>
      <c r="H163" s="233">
        <f t="shared" si="34"/>
        <v>0</v>
      </c>
      <c r="I163" s="605">
        <v>0</v>
      </c>
      <c r="J163" s="605"/>
      <c r="K163" s="605"/>
      <c r="L163" s="605"/>
      <c r="M163" s="233">
        <f t="shared" si="35"/>
        <v>0</v>
      </c>
      <c r="N163" s="605">
        <v>0</v>
      </c>
      <c r="O163" s="605"/>
      <c r="P163" s="605"/>
      <c r="Q163" s="605"/>
      <c r="R163" s="233">
        <f t="shared" si="36"/>
        <v>0</v>
      </c>
    </row>
    <row r="164" spans="1:18" s="6" customFormat="1" ht="63" hidden="1" customHeight="1">
      <c r="A164" s="130" t="s">
        <v>197</v>
      </c>
      <c r="B164" s="185" t="s">
        <v>47</v>
      </c>
      <c r="C164" s="186">
        <v>0</v>
      </c>
      <c r="D164" s="186">
        <v>0</v>
      </c>
      <c r="E164" s="262">
        <f>E94-E119</f>
        <v>0</v>
      </c>
      <c r="F164" s="262">
        <f>F94-F119</f>
        <v>0</v>
      </c>
      <c r="G164" s="262">
        <f>G94-G119</f>
        <v>0</v>
      </c>
      <c r="H164" s="233">
        <f t="shared" si="34"/>
        <v>0</v>
      </c>
      <c r="I164" s="262">
        <v>0</v>
      </c>
      <c r="J164" s="262">
        <f>J94-J119</f>
        <v>0</v>
      </c>
      <c r="K164" s="262">
        <f>K94-K119</f>
        <v>0</v>
      </c>
      <c r="L164" s="262">
        <f>L94-L119</f>
        <v>0</v>
      </c>
      <c r="M164" s="233">
        <f t="shared" si="35"/>
        <v>0</v>
      </c>
      <c r="N164" s="262">
        <v>0</v>
      </c>
      <c r="O164" s="262">
        <f>O94-O119</f>
        <v>0</v>
      </c>
      <c r="P164" s="262">
        <f>P94-P119</f>
        <v>0</v>
      </c>
      <c r="Q164" s="262">
        <f>Q94-Q119</f>
        <v>0</v>
      </c>
      <c r="R164" s="233">
        <f t="shared" si="36"/>
        <v>0</v>
      </c>
    </row>
    <row r="165" spans="1:18" s="6" customFormat="1" ht="21" hidden="1" customHeight="1">
      <c r="A165" s="143" t="s">
        <v>48</v>
      </c>
      <c r="B165" s="185" t="s">
        <v>49</v>
      </c>
      <c r="C165" s="186">
        <v>0</v>
      </c>
      <c r="D165" s="186">
        <v>0</v>
      </c>
      <c r="E165" s="262">
        <f>E166+E169+E173+E172</f>
        <v>0</v>
      </c>
      <c r="F165" s="262">
        <f>F166+F169+F173+F172</f>
        <v>0</v>
      </c>
      <c r="G165" s="262">
        <f>G166+G169+G173+G172</f>
        <v>0</v>
      </c>
      <c r="H165" s="233">
        <f t="shared" si="34"/>
        <v>0</v>
      </c>
      <c r="I165" s="262">
        <v>0</v>
      </c>
      <c r="J165" s="262">
        <f>J166+J169+J173+J172</f>
        <v>0</v>
      </c>
      <c r="K165" s="262">
        <f>K166+K169+K173+K172</f>
        <v>0</v>
      </c>
      <c r="L165" s="262">
        <f>L166+L169+L173+L172</f>
        <v>0</v>
      </c>
      <c r="M165" s="233">
        <f t="shared" si="35"/>
        <v>0</v>
      </c>
      <c r="N165" s="262">
        <v>0</v>
      </c>
      <c r="O165" s="262">
        <f>O166+O169+O173+O172</f>
        <v>0</v>
      </c>
      <c r="P165" s="262">
        <f>P166+P169+P173+P172</f>
        <v>0</v>
      </c>
      <c r="Q165" s="262">
        <f>Q166+Q169+Q173+Q172</f>
        <v>0</v>
      </c>
      <c r="R165" s="233">
        <f t="shared" si="36"/>
        <v>0</v>
      </c>
    </row>
    <row r="166" spans="1:18" s="6" customFormat="1" ht="12" hidden="1" customHeight="1">
      <c r="A166" s="141" t="s">
        <v>50</v>
      </c>
      <c r="B166" s="179" t="s">
        <v>51</v>
      </c>
      <c r="C166" s="169">
        <v>0</v>
      </c>
      <c r="D166" s="169">
        <v>0</v>
      </c>
      <c r="E166" s="231">
        <f>E167+E168</f>
        <v>0</v>
      </c>
      <c r="F166" s="231">
        <f>F167+F168</f>
        <v>0</v>
      </c>
      <c r="G166" s="231">
        <f>G167+G168</f>
        <v>0</v>
      </c>
      <c r="H166" s="233">
        <f t="shared" si="34"/>
        <v>0</v>
      </c>
      <c r="I166" s="231">
        <v>0</v>
      </c>
      <c r="J166" s="231">
        <f>J167+J168</f>
        <v>0</v>
      </c>
      <c r="K166" s="231">
        <f>K167+K168</f>
        <v>0</v>
      </c>
      <c r="L166" s="231">
        <f>L167+L168</f>
        <v>0</v>
      </c>
      <c r="M166" s="233">
        <f t="shared" si="35"/>
        <v>0</v>
      </c>
      <c r="N166" s="231">
        <v>0</v>
      </c>
      <c r="O166" s="231">
        <f>O167+O168</f>
        <v>0</v>
      </c>
      <c r="P166" s="231">
        <f>P167+P168</f>
        <v>0</v>
      </c>
      <c r="Q166" s="231">
        <f>Q167+Q168</f>
        <v>0</v>
      </c>
      <c r="R166" s="233">
        <f t="shared" si="36"/>
        <v>0</v>
      </c>
    </row>
    <row r="167" spans="1:18" s="6" customFormat="1" ht="12" hidden="1" customHeight="1">
      <c r="A167" s="141" t="s">
        <v>52</v>
      </c>
      <c r="B167" s="179" t="s">
        <v>53</v>
      </c>
      <c r="C167" s="169"/>
      <c r="D167" s="169">
        <v>0</v>
      </c>
      <c r="E167" s="231"/>
      <c r="F167" s="231"/>
      <c r="G167" s="231"/>
      <c r="H167" s="233">
        <f t="shared" si="34"/>
        <v>0</v>
      </c>
      <c r="I167" s="231">
        <v>0</v>
      </c>
      <c r="J167" s="231"/>
      <c r="K167" s="231"/>
      <c r="L167" s="231"/>
      <c r="M167" s="233">
        <f t="shared" si="35"/>
        <v>0</v>
      </c>
      <c r="N167" s="231">
        <v>0</v>
      </c>
      <c r="O167" s="231"/>
      <c r="P167" s="231"/>
      <c r="Q167" s="231"/>
      <c r="R167" s="233">
        <f t="shared" si="36"/>
        <v>0</v>
      </c>
    </row>
    <row r="168" spans="1:18" s="6" customFormat="1" ht="12" hidden="1" customHeight="1">
      <c r="A168" s="141" t="s">
        <v>54</v>
      </c>
      <c r="B168" s="179" t="s">
        <v>55</v>
      </c>
      <c r="C168" s="169"/>
      <c r="D168" s="169">
        <v>0</v>
      </c>
      <c r="E168" s="231"/>
      <c r="F168" s="231"/>
      <c r="G168" s="231"/>
      <c r="H168" s="233">
        <f t="shared" si="34"/>
        <v>0</v>
      </c>
      <c r="I168" s="231">
        <v>0</v>
      </c>
      <c r="J168" s="231"/>
      <c r="K168" s="231"/>
      <c r="L168" s="231"/>
      <c r="M168" s="233">
        <f t="shared" si="35"/>
        <v>0</v>
      </c>
      <c r="N168" s="231">
        <v>0</v>
      </c>
      <c r="O168" s="231"/>
      <c r="P168" s="231"/>
      <c r="Q168" s="231"/>
      <c r="R168" s="233">
        <f t="shared" si="36"/>
        <v>0</v>
      </c>
    </row>
    <row r="169" spans="1:18" s="6" customFormat="1" ht="12" hidden="1" customHeight="1">
      <c r="A169" s="141" t="s">
        <v>56</v>
      </c>
      <c r="B169" s="179" t="s">
        <v>57</v>
      </c>
      <c r="C169" s="169">
        <v>0</v>
      </c>
      <c r="D169" s="169">
        <v>0</v>
      </c>
      <c r="E169" s="231">
        <f>E170+E171</f>
        <v>0</v>
      </c>
      <c r="F169" s="231">
        <f>F170+F171</f>
        <v>0</v>
      </c>
      <c r="G169" s="231">
        <f>G170+G171</f>
        <v>0</v>
      </c>
      <c r="H169" s="233">
        <f t="shared" si="34"/>
        <v>0</v>
      </c>
      <c r="I169" s="231">
        <v>0</v>
      </c>
      <c r="J169" s="231">
        <f>J170+J171</f>
        <v>0</v>
      </c>
      <c r="K169" s="231">
        <f>K170+K171</f>
        <v>0</v>
      </c>
      <c r="L169" s="231">
        <f>L170+L171</f>
        <v>0</v>
      </c>
      <c r="M169" s="233">
        <f t="shared" si="35"/>
        <v>0</v>
      </c>
      <c r="N169" s="231">
        <v>0</v>
      </c>
      <c r="O169" s="231">
        <f>O170+O171</f>
        <v>0</v>
      </c>
      <c r="P169" s="231">
        <f>P170+P171</f>
        <v>0</v>
      </c>
      <c r="Q169" s="231">
        <f>Q170+Q171</f>
        <v>0</v>
      </c>
      <c r="R169" s="233">
        <f t="shared" si="36"/>
        <v>0</v>
      </c>
    </row>
    <row r="170" spans="1:18" s="6" customFormat="1" ht="12" hidden="1" customHeight="1">
      <c r="A170" s="141" t="s">
        <v>58</v>
      </c>
      <c r="B170" s="179" t="s">
        <v>59</v>
      </c>
      <c r="C170" s="169"/>
      <c r="D170" s="169">
        <v>0</v>
      </c>
      <c r="E170" s="231"/>
      <c r="F170" s="231"/>
      <c r="G170" s="231"/>
      <c r="H170" s="233">
        <f t="shared" si="34"/>
        <v>0</v>
      </c>
      <c r="I170" s="231">
        <v>0</v>
      </c>
      <c r="J170" s="231"/>
      <c r="K170" s="231"/>
      <c r="L170" s="231"/>
      <c r="M170" s="233">
        <f t="shared" si="35"/>
        <v>0</v>
      </c>
      <c r="N170" s="231">
        <v>0</v>
      </c>
      <c r="O170" s="231"/>
      <c r="P170" s="231"/>
      <c r="Q170" s="231"/>
      <c r="R170" s="233">
        <f t="shared" si="36"/>
        <v>0</v>
      </c>
    </row>
    <row r="171" spans="1:18" s="6" customFormat="1" ht="12" hidden="1" customHeight="1">
      <c r="A171" s="141" t="s">
        <v>60</v>
      </c>
      <c r="B171" s="179" t="s">
        <v>61</v>
      </c>
      <c r="C171" s="169"/>
      <c r="D171" s="169">
        <v>0</v>
      </c>
      <c r="E171" s="231"/>
      <c r="F171" s="231"/>
      <c r="G171" s="231"/>
      <c r="H171" s="233">
        <f t="shared" si="34"/>
        <v>0</v>
      </c>
      <c r="I171" s="231">
        <v>0</v>
      </c>
      <c r="J171" s="231"/>
      <c r="K171" s="231"/>
      <c r="L171" s="231"/>
      <c r="M171" s="233">
        <f t="shared" si="35"/>
        <v>0</v>
      </c>
      <c r="N171" s="231">
        <v>0</v>
      </c>
      <c r="O171" s="231"/>
      <c r="P171" s="231"/>
      <c r="Q171" s="231"/>
      <c r="R171" s="233">
        <f t="shared" si="36"/>
        <v>0</v>
      </c>
    </row>
    <row r="172" spans="1:18" s="6" customFormat="1" ht="12" hidden="1" customHeight="1">
      <c r="A172" s="141" t="s">
        <v>198</v>
      </c>
      <c r="B172" s="187" t="s">
        <v>168</v>
      </c>
      <c r="C172" s="169"/>
      <c r="D172" s="169">
        <v>0</v>
      </c>
      <c r="E172" s="231"/>
      <c r="F172" s="231"/>
      <c r="G172" s="231"/>
      <c r="H172" s="233">
        <f t="shared" si="34"/>
        <v>0</v>
      </c>
      <c r="I172" s="231">
        <v>0</v>
      </c>
      <c r="J172" s="231"/>
      <c r="K172" s="231"/>
      <c r="L172" s="231"/>
      <c r="M172" s="233">
        <f t="shared" si="35"/>
        <v>0</v>
      </c>
      <c r="N172" s="231">
        <v>0</v>
      </c>
      <c r="O172" s="231"/>
      <c r="P172" s="231"/>
      <c r="Q172" s="231"/>
      <c r="R172" s="233">
        <f t="shared" si="36"/>
        <v>0</v>
      </c>
    </row>
    <row r="173" spans="1:18" s="6" customFormat="1" ht="12" hidden="1" customHeight="1">
      <c r="A173" s="144" t="s">
        <v>62</v>
      </c>
      <c r="B173" s="125" t="s">
        <v>63</v>
      </c>
      <c r="C173" s="171">
        <v>0</v>
      </c>
      <c r="D173" s="171">
        <v>0</v>
      </c>
      <c r="E173" s="233">
        <f>E174+E175+E176</f>
        <v>0</v>
      </c>
      <c r="F173" s="233">
        <f>F174+F175+F176</f>
        <v>0</v>
      </c>
      <c r="G173" s="233">
        <f>G174+G175+G176</f>
        <v>0</v>
      </c>
      <c r="H173" s="233">
        <f t="shared" si="34"/>
        <v>0</v>
      </c>
      <c r="I173" s="233">
        <v>0</v>
      </c>
      <c r="J173" s="233">
        <f>J174+J175+J176</f>
        <v>0</v>
      </c>
      <c r="K173" s="233">
        <f>K174+K175+K176</f>
        <v>0</v>
      </c>
      <c r="L173" s="233">
        <f>L174+L175+L176</f>
        <v>0</v>
      </c>
      <c r="M173" s="233">
        <f t="shared" si="35"/>
        <v>0</v>
      </c>
      <c r="N173" s="233">
        <v>0</v>
      </c>
      <c r="O173" s="233">
        <f>O174+O175+O176</f>
        <v>0</v>
      </c>
      <c r="P173" s="233">
        <f>P174+P175+P176</f>
        <v>0</v>
      </c>
      <c r="Q173" s="233">
        <f>Q174+Q175+Q176</f>
        <v>0</v>
      </c>
      <c r="R173" s="233">
        <f t="shared" si="36"/>
        <v>0</v>
      </c>
    </row>
    <row r="174" spans="1:18" s="6" customFormat="1" ht="36" hidden="1" customHeight="1">
      <c r="A174" s="144" t="s">
        <v>64</v>
      </c>
      <c r="B174" s="179" t="s">
        <v>65</v>
      </c>
      <c r="C174" s="169"/>
      <c r="D174" s="169">
        <v>0</v>
      </c>
      <c r="E174" s="231"/>
      <c r="F174" s="231"/>
      <c r="G174" s="231"/>
      <c r="H174" s="233">
        <f t="shared" si="34"/>
        <v>0</v>
      </c>
      <c r="I174" s="231">
        <v>0</v>
      </c>
      <c r="J174" s="231"/>
      <c r="K174" s="231"/>
      <c r="L174" s="231"/>
      <c r="M174" s="233">
        <f t="shared" si="35"/>
        <v>0</v>
      </c>
      <c r="N174" s="231">
        <v>0</v>
      </c>
      <c r="O174" s="231"/>
      <c r="P174" s="231"/>
      <c r="Q174" s="231"/>
      <c r="R174" s="233">
        <f t="shared" si="36"/>
        <v>0</v>
      </c>
    </row>
    <row r="175" spans="1:18" s="6" customFormat="1" ht="24" hidden="1" customHeight="1">
      <c r="A175" s="144" t="s">
        <v>66</v>
      </c>
      <c r="B175" s="179" t="s">
        <v>67</v>
      </c>
      <c r="C175" s="169"/>
      <c r="D175" s="169">
        <v>0</v>
      </c>
      <c r="E175" s="231"/>
      <c r="F175" s="231"/>
      <c r="G175" s="231"/>
      <c r="H175" s="233">
        <f t="shared" si="34"/>
        <v>0</v>
      </c>
      <c r="I175" s="231">
        <v>0</v>
      </c>
      <c r="J175" s="231"/>
      <c r="K175" s="231"/>
      <c r="L175" s="231"/>
      <c r="M175" s="233">
        <f t="shared" si="35"/>
        <v>0</v>
      </c>
      <c r="N175" s="231">
        <v>0</v>
      </c>
      <c r="O175" s="231"/>
      <c r="P175" s="231"/>
      <c r="Q175" s="231"/>
      <c r="R175" s="233">
        <f t="shared" si="36"/>
        <v>0</v>
      </c>
    </row>
    <row r="176" spans="1:18" s="6" customFormat="1" ht="24" hidden="1" customHeight="1">
      <c r="A176" s="144" t="s">
        <v>68</v>
      </c>
      <c r="B176" s="125" t="s">
        <v>69</v>
      </c>
      <c r="C176" s="169"/>
      <c r="D176" s="169">
        <v>0</v>
      </c>
      <c r="E176" s="231"/>
      <c r="F176" s="231"/>
      <c r="G176" s="231"/>
      <c r="H176" s="233">
        <f t="shared" si="34"/>
        <v>0</v>
      </c>
      <c r="I176" s="231">
        <v>0</v>
      </c>
      <c r="J176" s="231"/>
      <c r="K176" s="231"/>
      <c r="L176" s="231"/>
      <c r="M176" s="233">
        <f t="shared" si="35"/>
        <v>0</v>
      </c>
      <c r="N176" s="231">
        <v>0</v>
      </c>
      <c r="O176" s="231"/>
      <c r="P176" s="231"/>
      <c r="Q176" s="231"/>
      <c r="R176" s="233">
        <f t="shared" si="36"/>
        <v>0</v>
      </c>
    </row>
    <row r="177" spans="1:18" s="6" customFormat="1" ht="34.200000000000003">
      <c r="A177" s="607"/>
      <c r="B177" s="608" t="s">
        <v>200</v>
      </c>
      <c r="C177" s="1267"/>
      <c r="D177" s="776"/>
      <c r="E177" s="611"/>
      <c r="F177" s="611"/>
      <c r="G177" s="611"/>
      <c r="H177" s="611">
        <f t="shared" si="34"/>
        <v>0</v>
      </c>
      <c r="I177" s="611"/>
      <c r="J177" s="611"/>
      <c r="K177" s="611"/>
      <c r="L177" s="611"/>
      <c r="M177" s="611">
        <f t="shared" si="35"/>
        <v>0</v>
      </c>
      <c r="N177" s="611"/>
      <c r="O177" s="611"/>
      <c r="P177" s="611"/>
      <c r="Q177" s="611"/>
      <c r="R177" s="611">
        <f t="shared" si="36"/>
        <v>0</v>
      </c>
    </row>
    <row r="178" spans="1:18" s="6" customFormat="1" ht="20.399999999999999">
      <c r="A178" s="597" t="s">
        <v>201</v>
      </c>
      <c r="B178" s="598" t="s">
        <v>88</v>
      </c>
      <c r="C178" s="617">
        <v>10534396</v>
      </c>
      <c r="D178" s="617">
        <v>7326228</v>
      </c>
      <c r="E178" s="600">
        <f>E179+E180+E182+E200</f>
        <v>1609283</v>
      </c>
      <c r="F178" s="600">
        <f>F179+F180+F182+F200</f>
        <v>0</v>
      </c>
      <c r="G178" s="600">
        <f>G179+G180+G182+G200</f>
        <v>0</v>
      </c>
      <c r="H178" s="603">
        <f t="shared" si="34"/>
        <v>8935511</v>
      </c>
      <c r="I178" s="600">
        <v>5003568</v>
      </c>
      <c r="J178" s="600">
        <f>J179+J180+J182+J200</f>
        <v>18818</v>
      </c>
      <c r="K178" s="600">
        <f>K179+K180+K182+K200</f>
        <v>0</v>
      </c>
      <c r="L178" s="600">
        <f>L179+L180+L182+L200</f>
        <v>0</v>
      </c>
      <c r="M178" s="603">
        <f t="shared" si="35"/>
        <v>5022386</v>
      </c>
      <c r="N178" s="600">
        <v>5216901</v>
      </c>
      <c r="O178" s="600">
        <f>O179+O180+O182+O200</f>
        <v>0</v>
      </c>
      <c r="P178" s="600">
        <f>P179+P180+P182+P200</f>
        <v>0</v>
      </c>
      <c r="Q178" s="600">
        <f>Q179+Q180+Q182+Q200</f>
        <v>0</v>
      </c>
      <c r="R178" s="603">
        <f t="shared" si="36"/>
        <v>5216901</v>
      </c>
    </row>
    <row r="179" spans="1:18" s="6" customFormat="1" ht="24" hidden="1" customHeight="1">
      <c r="A179" s="130" t="s">
        <v>177</v>
      </c>
      <c r="B179" s="124" t="s">
        <v>90</v>
      </c>
      <c r="C179" s="169"/>
      <c r="D179" s="169">
        <v>0</v>
      </c>
      <c r="E179" s="231"/>
      <c r="F179" s="231"/>
      <c r="G179" s="231"/>
      <c r="H179" s="233">
        <f t="shared" si="34"/>
        <v>0</v>
      </c>
      <c r="I179" s="231">
        <v>0</v>
      </c>
      <c r="J179" s="231"/>
      <c r="K179" s="231"/>
      <c r="L179" s="231"/>
      <c r="M179" s="233">
        <f t="shared" si="35"/>
        <v>0</v>
      </c>
      <c r="N179" s="231">
        <v>0</v>
      </c>
      <c r="O179" s="231"/>
      <c r="P179" s="231"/>
      <c r="Q179" s="231"/>
      <c r="R179" s="233">
        <f t="shared" si="36"/>
        <v>0</v>
      </c>
    </row>
    <row r="180" spans="1:18" s="6" customFormat="1" ht="12">
      <c r="A180" s="130" t="s">
        <v>91</v>
      </c>
      <c r="B180" s="124" t="s">
        <v>92</v>
      </c>
      <c r="C180" s="169">
        <v>4062701</v>
      </c>
      <c r="D180" s="169">
        <v>2835805</v>
      </c>
      <c r="E180" s="231">
        <f>E332+E342+E351+E371+E383+E392+E417+E431</f>
        <v>993864</v>
      </c>
      <c r="F180" s="231"/>
      <c r="G180" s="231"/>
      <c r="H180" s="233">
        <f t="shared" si="34"/>
        <v>3829669</v>
      </c>
      <c r="I180" s="231">
        <v>2759157</v>
      </c>
      <c r="J180" s="231">
        <f>J371+J392</f>
        <v>18298</v>
      </c>
      <c r="K180" s="231"/>
      <c r="L180" s="231"/>
      <c r="M180" s="233">
        <f t="shared" si="35"/>
        <v>2777455</v>
      </c>
      <c r="N180" s="231">
        <v>3456533</v>
      </c>
      <c r="O180" s="231"/>
      <c r="P180" s="231"/>
      <c r="Q180" s="231"/>
      <c r="R180" s="233">
        <f t="shared" si="36"/>
        <v>3456533</v>
      </c>
    </row>
    <row r="181" spans="1:18" s="29" customFormat="1" ht="24">
      <c r="A181" s="131">
        <v>21210</v>
      </c>
      <c r="B181" s="125" t="s">
        <v>93</v>
      </c>
      <c r="C181" s="169">
        <v>3190396</v>
      </c>
      <c r="D181" s="169">
        <v>2159313</v>
      </c>
      <c r="E181" s="231">
        <f>E343+E352+E372+E384+E393+E432</f>
        <v>946859</v>
      </c>
      <c r="F181" s="231"/>
      <c r="G181" s="231"/>
      <c r="H181" s="233">
        <f t="shared" si="34"/>
        <v>3106172</v>
      </c>
      <c r="I181" s="231">
        <v>2690489</v>
      </c>
      <c r="J181" s="231">
        <f>J372+J393</f>
        <v>18298</v>
      </c>
      <c r="K181" s="231"/>
      <c r="L181" s="231"/>
      <c r="M181" s="233">
        <f t="shared" si="35"/>
        <v>2708787</v>
      </c>
      <c r="N181" s="231">
        <v>3387865</v>
      </c>
      <c r="O181" s="231"/>
      <c r="P181" s="231"/>
      <c r="Q181" s="231"/>
      <c r="R181" s="233">
        <f t="shared" si="36"/>
        <v>3387865</v>
      </c>
    </row>
    <row r="182" spans="1:18" s="89" customFormat="1" ht="20.399999999999999">
      <c r="A182" s="130" t="s">
        <v>178</v>
      </c>
      <c r="B182" s="124" t="s">
        <v>94</v>
      </c>
      <c r="C182" s="171">
        <v>838</v>
      </c>
      <c r="D182" s="171">
        <v>0</v>
      </c>
      <c r="E182" s="233">
        <f>E183+E189</f>
        <v>0</v>
      </c>
      <c r="F182" s="233">
        <f>F183+F189</f>
        <v>0</v>
      </c>
      <c r="G182" s="233">
        <f>G183+G189</f>
        <v>0</v>
      </c>
      <c r="H182" s="233">
        <f t="shared" si="34"/>
        <v>0</v>
      </c>
      <c r="I182" s="233">
        <v>0</v>
      </c>
      <c r="J182" s="233">
        <f>J183+J189</f>
        <v>0</v>
      </c>
      <c r="K182" s="233">
        <f>K183+K189</f>
        <v>0</v>
      </c>
      <c r="L182" s="233">
        <f>L183+L189</f>
        <v>0</v>
      </c>
      <c r="M182" s="233">
        <f t="shared" si="35"/>
        <v>0</v>
      </c>
      <c r="N182" s="233">
        <v>0</v>
      </c>
      <c r="O182" s="233">
        <f>O183+O189</f>
        <v>0</v>
      </c>
      <c r="P182" s="233">
        <f>P183+P189</f>
        <v>0</v>
      </c>
      <c r="Q182" s="233">
        <f>Q183+Q189</f>
        <v>0</v>
      </c>
      <c r="R182" s="233">
        <f t="shared" si="36"/>
        <v>0</v>
      </c>
    </row>
    <row r="183" spans="1:18" s="89" customFormat="1" ht="12">
      <c r="A183" s="132">
        <v>18000</v>
      </c>
      <c r="B183" s="125" t="s">
        <v>95</v>
      </c>
      <c r="C183" s="171">
        <v>838</v>
      </c>
      <c r="D183" s="171">
        <v>0</v>
      </c>
      <c r="E183" s="233">
        <f t="shared" ref="E183:L184" si="37">E184</f>
        <v>0</v>
      </c>
      <c r="F183" s="233">
        <f t="shared" si="37"/>
        <v>0</v>
      </c>
      <c r="G183" s="233">
        <f t="shared" si="37"/>
        <v>0</v>
      </c>
      <c r="H183" s="233">
        <f t="shared" si="34"/>
        <v>0</v>
      </c>
      <c r="I183" s="233">
        <v>0</v>
      </c>
      <c r="J183" s="233">
        <f t="shared" si="37"/>
        <v>0</v>
      </c>
      <c r="K183" s="233">
        <f t="shared" si="37"/>
        <v>0</v>
      </c>
      <c r="L183" s="233">
        <f t="shared" si="37"/>
        <v>0</v>
      </c>
      <c r="M183" s="233">
        <f t="shared" si="35"/>
        <v>0</v>
      </c>
      <c r="N183" s="233">
        <v>0</v>
      </c>
      <c r="O183" s="233">
        <f t="shared" ref="O183:Q184" si="38">O184</f>
        <v>0</v>
      </c>
      <c r="P183" s="233">
        <f t="shared" si="38"/>
        <v>0</v>
      </c>
      <c r="Q183" s="233">
        <f t="shared" si="38"/>
        <v>0</v>
      </c>
      <c r="R183" s="233">
        <f t="shared" si="36"/>
        <v>0</v>
      </c>
    </row>
    <row r="184" spans="1:18" s="89" customFormat="1" ht="12">
      <c r="A184" s="132">
        <v>18100</v>
      </c>
      <c r="B184" s="125" t="s">
        <v>96</v>
      </c>
      <c r="C184" s="171">
        <v>838</v>
      </c>
      <c r="D184" s="171">
        <v>0</v>
      </c>
      <c r="E184" s="233">
        <f t="shared" si="37"/>
        <v>0</v>
      </c>
      <c r="F184" s="233">
        <f t="shared" si="37"/>
        <v>0</v>
      </c>
      <c r="G184" s="233">
        <f t="shared" si="37"/>
        <v>0</v>
      </c>
      <c r="H184" s="233">
        <f t="shared" si="34"/>
        <v>0</v>
      </c>
      <c r="I184" s="233">
        <v>0</v>
      </c>
      <c r="J184" s="233">
        <f t="shared" si="37"/>
        <v>0</v>
      </c>
      <c r="K184" s="233">
        <f t="shared" si="37"/>
        <v>0</v>
      </c>
      <c r="L184" s="233">
        <f t="shared" si="37"/>
        <v>0</v>
      </c>
      <c r="M184" s="233">
        <f t="shared" si="35"/>
        <v>0</v>
      </c>
      <c r="N184" s="233">
        <v>0</v>
      </c>
      <c r="O184" s="233">
        <f t="shared" si="38"/>
        <v>0</v>
      </c>
      <c r="P184" s="233">
        <f t="shared" si="38"/>
        <v>0</v>
      </c>
      <c r="Q184" s="233">
        <f t="shared" si="38"/>
        <v>0</v>
      </c>
      <c r="R184" s="233">
        <f t="shared" si="36"/>
        <v>0</v>
      </c>
    </row>
    <row r="185" spans="1:18" s="89" customFormat="1" ht="24">
      <c r="A185" s="133">
        <v>18130</v>
      </c>
      <c r="B185" s="172" t="s">
        <v>159</v>
      </c>
      <c r="C185" s="171">
        <v>838</v>
      </c>
      <c r="D185" s="171">
        <v>0</v>
      </c>
      <c r="E185" s="233">
        <f>SUM(E186:E188)</f>
        <v>0</v>
      </c>
      <c r="F185" s="233">
        <f>SUM(F186:F188)</f>
        <v>0</v>
      </c>
      <c r="G185" s="233">
        <f>SUM(G186:G188)</f>
        <v>0</v>
      </c>
      <c r="H185" s="233">
        <f t="shared" si="34"/>
        <v>0</v>
      </c>
      <c r="I185" s="233">
        <v>0</v>
      </c>
      <c r="J185" s="233">
        <f>SUM(J186:J188)</f>
        <v>0</v>
      </c>
      <c r="K185" s="233">
        <f>SUM(K186:K188)</f>
        <v>0</v>
      </c>
      <c r="L185" s="233">
        <f>SUM(L186:L188)</f>
        <v>0</v>
      </c>
      <c r="M185" s="233">
        <f t="shared" si="35"/>
        <v>0</v>
      </c>
      <c r="N185" s="233">
        <v>0</v>
      </c>
      <c r="O185" s="233">
        <f>SUM(O186:O188)</f>
        <v>0</v>
      </c>
      <c r="P185" s="233">
        <f>SUM(P186:P188)</f>
        <v>0</v>
      </c>
      <c r="Q185" s="233">
        <f>SUM(Q186:Q188)</f>
        <v>0</v>
      </c>
      <c r="R185" s="233">
        <f t="shared" si="36"/>
        <v>0</v>
      </c>
    </row>
    <row r="186" spans="1:18" s="89" customFormat="1" ht="36" hidden="1" customHeight="1">
      <c r="A186" s="134">
        <v>18131</v>
      </c>
      <c r="B186" s="172" t="s">
        <v>160</v>
      </c>
      <c r="C186" s="171"/>
      <c r="D186" s="171">
        <v>0</v>
      </c>
      <c r="E186" s="233"/>
      <c r="F186" s="233"/>
      <c r="G186" s="233"/>
      <c r="H186" s="233">
        <f t="shared" si="34"/>
        <v>0</v>
      </c>
      <c r="I186" s="233">
        <v>0</v>
      </c>
      <c r="J186" s="233"/>
      <c r="K186" s="233"/>
      <c r="L186" s="233"/>
      <c r="M186" s="233">
        <f t="shared" si="35"/>
        <v>0</v>
      </c>
      <c r="N186" s="233">
        <v>0</v>
      </c>
      <c r="O186" s="233"/>
      <c r="P186" s="233"/>
      <c r="Q186" s="233"/>
      <c r="R186" s="233">
        <f t="shared" si="36"/>
        <v>0</v>
      </c>
    </row>
    <row r="187" spans="1:18" s="89" customFormat="1" ht="24">
      <c r="A187" s="134">
        <v>18132</v>
      </c>
      <c r="B187" s="172" t="s">
        <v>169</v>
      </c>
      <c r="C187" s="171">
        <v>838</v>
      </c>
      <c r="D187" s="171">
        <v>0</v>
      </c>
      <c r="E187" s="233"/>
      <c r="F187" s="233"/>
      <c r="G187" s="233"/>
      <c r="H187" s="233">
        <f t="shared" si="34"/>
        <v>0</v>
      </c>
      <c r="I187" s="233">
        <v>0</v>
      </c>
      <c r="J187" s="233"/>
      <c r="K187" s="233"/>
      <c r="L187" s="233"/>
      <c r="M187" s="233">
        <f t="shared" si="35"/>
        <v>0</v>
      </c>
      <c r="N187" s="233">
        <v>0</v>
      </c>
      <c r="O187" s="233"/>
      <c r="P187" s="233"/>
      <c r="Q187" s="233"/>
      <c r="R187" s="233">
        <f t="shared" si="36"/>
        <v>0</v>
      </c>
    </row>
    <row r="188" spans="1:18" s="89" customFormat="1" ht="24" hidden="1" customHeight="1">
      <c r="A188" s="134">
        <v>18139</v>
      </c>
      <c r="B188" s="172" t="s">
        <v>179</v>
      </c>
      <c r="C188" s="171"/>
      <c r="D188" s="171">
        <v>0</v>
      </c>
      <c r="E188" s="233"/>
      <c r="F188" s="233"/>
      <c r="G188" s="233"/>
      <c r="H188" s="233">
        <f t="shared" si="34"/>
        <v>0</v>
      </c>
      <c r="I188" s="233">
        <v>0</v>
      </c>
      <c r="J188" s="233"/>
      <c r="K188" s="233"/>
      <c r="L188" s="233"/>
      <c r="M188" s="233">
        <f t="shared" si="35"/>
        <v>0</v>
      </c>
      <c r="N188" s="233">
        <v>0</v>
      </c>
      <c r="O188" s="233"/>
      <c r="P188" s="233"/>
      <c r="Q188" s="233"/>
      <c r="R188" s="233">
        <f t="shared" si="36"/>
        <v>0</v>
      </c>
    </row>
    <row r="189" spans="1:18" s="89" customFormat="1" ht="12" hidden="1" customHeight="1">
      <c r="A189" s="135" t="s">
        <v>180</v>
      </c>
      <c r="B189" s="173" t="s">
        <v>173</v>
      </c>
      <c r="C189" s="174">
        <v>0</v>
      </c>
      <c r="D189" s="174">
        <v>0</v>
      </c>
      <c r="E189" s="238">
        <f t="shared" ref="E189:L189" si="39">E190</f>
        <v>0</v>
      </c>
      <c r="F189" s="238">
        <f t="shared" si="39"/>
        <v>0</v>
      </c>
      <c r="G189" s="238">
        <f t="shared" si="39"/>
        <v>0</v>
      </c>
      <c r="H189" s="233">
        <f t="shared" si="34"/>
        <v>0</v>
      </c>
      <c r="I189" s="238">
        <v>0</v>
      </c>
      <c r="J189" s="238">
        <f t="shared" si="39"/>
        <v>0</v>
      </c>
      <c r="K189" s="238">
        <f t="shared" si="39"/>
        <v>0</v>
      </c>
      <c r="L189" s="238">
        <f t="shared" si="39"/>
        <v>0</v>
      </c>
      <c r="M189" s="233">
        <f t="shared" si="35"/>
        <v>0</v>
      </c>
      <c r="N189" s="238">
        <v>0</v>
      </c>
      <c r="O189" s="238">
        <f>O190</f>
        <v>0</v>
      </c>
      <c r="P189" s="238">
        <f>P190</f>
        <v>0</v>
      </c>
      <c r="Q189" s="238">
        <f>Q190</f>
        <v>0</v>
      </c>
      <c r="R189" s="233">
        <f t="shared" si="36"/>
        <v>0</v>
      </c>
    </row>
    <row r="190" spans="1:18" s="89" customFormat="1" ht="24" hidden="1" customHeight="1">
      <c r="A190" s="135">
        <v>19500</v>
      </c>
      <c r="B190" s="172" t="s">
        <v>174</v>
      </c>
      <c r="C190" s="171">
        <v>0</v>
      </c>
      <c r="D190" s="171">
        <v>0</v>
      </c>
      <c r="E190" s="233">
        <f>SUM(E191:E193)</f>
        <v>0</v>
      </c>
      <c r="F190" s="233">
        <f>SUM(F191:F193)</f>
        <v>0</v>
      </c>
      <c r="G190" s="233">
        <f>SUM(G191:G193)</f>
        <v>0</v>
      </c>
      <c r="H190" s="233">
        <f t="shared" si="34"/>
        <v>0</v>
      </c>
      <c r="I190" s="233">
        <v>0</v>
      </c>
      <c r="J190" s="233">
        <f>SUM(J191:J193)</f>
        <v>0</v>
      </c>
      <c r="K190" s="233">
        <f>SUM(K191:K193)</f>
        <v>0</v>
      </c>
      <c r="L190" s="233">
        <f>SUM(L191:L193)</f>
        <v>0</v>
      </c>
      <c r="M190" s="233">
        <f t="shared" si="35"/>
        <v>0</v>
      </c>
      <c r="N190" s="233">
        <v>0</v>
      </c>
      <c r="O190" s="233">
        <f>SUM(O191:O193)</f>
        <v>0</v>
      </c>
      <c r="P190" s="233">
        <f>SUM(P191:P193)</f>
        <v>0</v>
      </c>
      <c r="Q190" s="233">
        <f>SUM(Q191:Q193)</f>
        <v>0</v>
      </c>
      <c r="R190" s="233">
        <f t="shared" si="36"/>
        <v>0</v>
      </c>
    </row>
    <row r="191" spans="1:18" s="89" customFormat="1" ht="24" hidden="1" customHeight="1">
      <c r="A191" s="136">
        <v>19550</v>
      </c>
      <c r="B191" s="172" t="s">
        <v>175</v>
      </c>
      <c r="C191" s="171"/>
      <c r="D191" s="171">
        <v>0</v>
      </c>
      <c r="E191" s="233"/>
      <c r="F191" s="233"/>
      <c r="G191" s="233"/>
      <c r="H191" s="233">
        <f t="shared" si="34"/>
        <v>0</v>
      </c>
      <c r="I191" s="233">
        <v>0</v>
      </c>
      <c r="J191" s="233"/>
      <c r="K191" s="233"/>
      <c r="L191" s="233"/>
      <c r="M191" s="233">
        <f t="shared" si="35"/>
        <v>0</v>
      </c>
      <c r="N191" s="233">
        <v>0</v>
      </c>
      <c r="O191" s="233"/>
      <c r="P191" s="233"/>
      <c r="Q191" s="233"/>
      <c r="R191" s="233">
        <f t="shared" si="36"/>
        <v>0</v>
      </c>
    </row>
    <row r="192" spans="1:18" s="89" customFormat="1" ht="36" hidden="1" customHeight="1">
      <c r="A192" s="136">
        <v>19560</v>
      </c>
      <c r="B192" s="172" t="s">
        <v>181</v>
      </c>
      <c r="C192" s="171"/>
      <c r="D192" s="171">
        <v>0</v>
      </c>
      <c r="E192" s="233"/>
      <c r="F192" s="233"/>
      <c r="G192" s="233"/>
      <c r="H192" s="233">
        <f t="shared" si="34"/>
        <v>0</v>
      </c>
      <c r="I192" s="233">
        <v>0</v>
      </c>
      <c r="J192" s="233"/>
      <c r="K192" s="233"/>
      <c r="L192" s="233"/>
      <c r="M192" s="233">
        <f t="shared" si="35"/>
        <v>0</v>
      </c>
      <c r="N192" s="233">
        <v>0</v>
      </c>
      <c r="O192" s="233"/>
      <c r="P192" s="233"/>
      <c r="Q192" s="233"/>
      <c r="R192" s="233">
        <f t="shared" si="36"/>
        <v>0</v>
      </c>
    </row>
    <row r="193" spans="1:18" s="89" customFormat="1" ht="72" hidden="1" customHeight="1">
      <c r="A193" s="136">
        <v>19570</v>
      </c>
      <c r="B193" s="172" t="s">
        <v>182</v>
      </c>
      <c r="C193" s="171"/>
      <c r="D193" s="171">
        <v>0</v>
      </c>
      <c r="E193" s="233"/>
      <c r="F193" s="233"/>
      <c r="G193" s="233"/>
      <c r="H193" s="233">
        <f t="shared" si="34"/>
        <v>0</v>
      </c>
      <c r="I193" s="233">
        <v>0</v>
      </c>
      <c r="J193" s="233"/>
      <c r="K193" s="233"/>
      <c r="L193" s="233"/>
      <c r="M193" s="233">
        <f t="shared" si="35"/>
        <v>0</v>
      </c>
      <c r="N193" s="233">
        <v>0</v>
      </c>
      <c r="O193" s="233"/>
      <c r="P193" s="233"/>
      <c r="Q193" s="233"/>
      <c r="R193" s="233">
        <f t="shared" si="36"/>
        <v>0</v>
      </c>
    </row>
    <row r="194" spans="1:18" s="6" customFormat="1" ht="24" hidden="1" customHeight="1">
      <c r="A194" s="209" t="s">
        <v>222</v>
      </c>
      <c r="B194" s="208" t="s">
        <v>216</v>
      </c>
      <c r="C194" s="107">
        <v>0</v>
      </c>
      <c r="D194" s="107">
        <v>0</v>
      </c>
      <c r="E194" s="233">
        <f t="shared" ref="E194:L194" si="40">E195</f>
        <v>0</v>
      </c>
      <c r="F194" s="233">
        <f t="shared" si="40"/>
        <v>0</v>
      </c>
      <c r="G194" s="233">
        <f t="shared" si="40"/>
        <v>0</v>
      </c>
      <c r="H194" s="233">
        <f t="shared" si="34"/>
        <v>0</v>
      </c>
      <c r="I194" s="233">
        <v>0</v>
      </c>
      <c r="J194" s="233">
        <f t="shared" si="40"/>
        <v>0</v>
      </c>
      <c r="K194" s="233">
        <f t="shared" si="40"/>
        <v>0</v>
      </c>
      <c r="L194" s="233">
        <f t="shared" si="40"/>
        <v>0</v>
      </c>
      <c r="M194" s="233">
        <f t="shared" si="35"/>
        <v>0</v>
      </c>
      <c r="N194" s="233">
        <v>0</v>
      </c>
      <c r="O194" s="233">
        <f>O195</f>
        <v>0</v>
      </c>
      <c r="P194" s="233">
        <f>P195</f>
        <v>0</v>
      </c>
      <c r="Q194" s="233">
        <f>Q195</f>
        <v>0</v>
      </c>
      <c r="R194" s="233">
        <f t="shared" si="36"/>
        <v>0</v>
      </c>
    </row>
    <row r="195" spans="1:18" s="6" customFormat="1" ht="36" hidden="1" customHeight="1">
      <c r="A195" s="209">
        <v>17100</v>
      </c>
      <c r="B195" s="208" t="s">
        <v>217</v>
      </c>
      <c r="C195" s="107">
        <v>0</v>
      </c>
      <c r="D195" s="107">
        <v>0</v>
      </c>
      <c r="E195" s="233">
        <f>SUM(E196:E199)</f>
        <v>0</v>
      </c>
      <c r="F195" s="233">
        <f>SUM(F196:F199)</f>
        <v>0</v>
      </c>
      <c r="G195" s="233">
        <f>SUM(G196:G199)</f>
        <v>0</v>
      </c>
      <c r="H195" s="233">
        <f t="shared" si="34"/>
        <v>0</v>
      </c>
      <c r="I195" s="233">
        <v>0</v>
      </c>
      <c r="J195" s="233">
        <f>SUM(J196:J199)</f>
        <v>0</v>
      </c>
      <c r="K195" s="233">
        <f>SUM(K196:K199)</f>
        <v>0</v>
      </c>
      <c r="L195" s="233">
        <f>SUM(L196:L199)</f>
        <v>0</v>
      </c>
      <c r="M195" s="233">
        <f t="shared" si="35"/>
        <v>0</v>
      </c>
      <c r="N195" s="233">
        <v>0</v>
      </c>
      <c r="O195" s="233">
        <f>SUM(O196:O199)</f>
        <v>0</v>
      </c>
      <c r="P195" s="233">
        <f>SUM(P196:P199)</f>
        <v>0</v>
      </c>
      <c r="Q195" s="233">
        <f>SUM(Q196:Q199)</f>
        <v>0</v>
      </c>
      <c r="R195" s="233">
        <f t="shared" si="36"/>
        <v>0</v>
      </c>
    </row>
    <row r="196" spans="1:18" s="6" customFormat="1" ht="60" hidden="1" customHeight="1">
      <c r="A196" s="149">
        <v>17110</v>
      </c>
      <c r="B196" s="208" t="s">
        <v>218</v>
      </c>
      <c r="C196" s="107"/>
      <c r="D196" s="107">
        <v>0</v>
      </c>
      <c r="E196" s="233"/>
      <c r="F196" s="233"/>
      <c r="G196" s="233"/>
      <c r="H196" s="233">
        <f t="shared" si="34"/>
        <v>0</v>
      </c>
      <c r="I196" s="233">
        <v>0</v>
      </c>
      <c r="J196" s="233"/>
      <c r="K196" s="233"/>
      <c r="L196" s="233"/>
      <c r="M196" s="233">
        <f t="shared" si="35"/>
        <v>0</v>
      </c>
      <c r="N196" s="233">
        <v>0</v>
      </c>
      <c r="O196" s="233"/>
      <c r="P196" s="233"/>
      <c r="Q196" s="233"/>
      <c r="R196" s="233">
        <f t="shared" si="36"/>
        <v>0</v>
      </c>
    </row>
    <row r="197" spans="1:18" s="6" customFormat="1" ht="60" hidden="1" customHeight="1">
      <c r="A197" s="149">
        <v>17120</v>
      </c>
      <c r="B197" s="208" t="s">
        <v>219</v>
      </c>
      <c r="C197" s="107"/>
      <c r="D197" s="107">
        <v>0</v>
      </c>
      <c r="E197" s="233"/>
      <c r="F197" s="233"/>
      <c r="G197" s="233"/>
      <c r="H197" s="233">
        <f t="shared" si="34"/>
        <v>0</v>
      </c>
      <c r="I197" s="233">
        <v>0</v>
      </c>
      <c r="J197" s="233"/>
      <c r="K197" s="233"/>
      <c r="L197" s="233"/>
      <c r="M197" s="233">
        <f t="shared" si="35"/>
        <v>0</v>
      </c>
      <c r="N197" s="233">
        <v>0</v>
      </c>
      <c r="O197" s="233"/>
      <c r="P197" s="233"/>
      <c r="Q197" s="233"/>
      <c r="R197" s="233">
        <f t="shared" si="36"/>
        <v>0</v>
      </c>
    </row>
    <row r="198" spans="1:18" s="6" customFormat="1" ht="108" hidden="1" customHeight="1">
      <c r="A198" s="149">
        <v>17130</v>
      </c>
      <c r="B198" s="208" t="s">
        <v>220</v>
      </c>
      <c r="C198" s="107"/>
      <c r="D198" s="107">
        <v>0</v>
      </c>
      <c r="E198" s="233"/>
      <c r="F198" s="233"/>
      <c r="G198" s="233"/>
      <c r="H198" s="233">
        <f t="shared" si="34"/>
        <v>0</v>
      </c>
      <c r="I198" s="233">
        <v>0</v>
      </c>
      <c r="J198" s="233"/>
      <c r="K198" s="233"/>
      <c r="L198" s="233"/>
      <c r="M198" s="233">
        <f t="shared" si="35"/>
        <v>0</v>
      </c>
      <c r="N198" s="233">
        <v>0</v>
      </c>
      <c r="O198" s="233"/>
      <c r="P198" s="233"/>
      <c r="Q198" s="233"/>
      <c r="R198" s="233">
        <f t="shared" si="36"/>
        <v>0</v>
      </c>
    </row>
    <row r="199" spans="1:18" s="6" customFormat="1" ht="96" hidden="1" customHeight="1">
      <c r="A199" s="149">
        <v>17140</v>
      </c>
      <c r="B199" s="208" t="s">
        <v>221</v>
      </c>
      <c r="C199" s="107"/>
      <c r="D199" s="107">
        <v>0</v>
      </c>
      <c r="E199" s="233"/>
      <c r="F199" s="233"/>
      <c r="G199" s="233"/>
      <c r="H199" s="233">
        <f t="shared" si="34"/>
        <v>0</v>
      </c>
      <c r="I199" s="233">
        <v>0</v>
      </c>
      <c r="J199" s="233"/>
      <c r="K199" s="233"/>
      <c r="L199" s="233"/>
      <c r="M199" s="233">
        <f t="shared" si="35"/>
        <v>0</v>
      </c>
      <c r="N199" s="233">
        <v>0</v>
      </c>
      <c r="O199" s="233"/>
      <c r="P199" s="233"/>
      <c r="Q199" s="233"/>
      <c r="R199" s="233">
        <f t="shared" si="36"/>
        <v>0</v>
      </c>
    </row>
    <row r="200" spans="1:18" s="89" customFormat="1" ht="12">
      <c r="A200" s="137">
        <v>21700</v>
      </c>
      <c r="B200" s="124" t="s">
        <v>97</v>
      </c>
      <c r="C200" s="171">
        <v>6470857</v>
      </c>
      <c r="D200" s="171">
        <v>4490423</v>
      </c>
      <c r="E200" s="233">
        <f>E201</f>
        <v>615419</v>
      </c>
      <c r="F200" s="233">
        <f>F201+F202</f>
        <v>0</v>
      </c>
      <c r="G200" s="233">
        <f>G201+G202</f>
        <v>0</v>
      </c>
      <c r="H200" s="233">
        <f t="shared" si="34"/>
        <v>5105842</v>
      </c>
      <c r="I200" s="233">
        <v>2244411</v>
      </c>
      <c r="J200" s="233">
        <f>J201+J202</f>
        <v>520</v>
      </c>
      <c r="K200" s="233">
        <f>K201+K202</f>
        <v>0</v>
      </c>
      <c r="L200" s="233">
        <f>L201+L202</f>
        <v>0</v>
      </c>
      <c r="M200" s="233">
        <f t="shared" si="35"/>
        <v>2244931</v>
      </c>
      <c r="N200" s="233">
        <v>1760368</v>
      </c>
      <c r="O200" s="233">
        <f>O201+O202</f>
        <v>0</v>
      </c>
      <c r="P200" s="233">
        <f>P201+P202</f>
        <v>0</v>
      </c>
      <c r="Q200" s="233">
        <f>Q201+Q202</f>
        <v>0</v>
      </c>
      <c r="R200" s="233">
        <f t="shared" si="36"/>
        <v>1760368</v>
      </c>
    </row>
    <row r="201" spans="1:18" s="89" customFormat="1" ht="24">
      <c r="A201" s="138">
        <v>21710</v>
      </c>
      <c r="B201" s="125" t="s">
        <v>98</v>
      </c>
      <c r="C201" s="171">
        <v>6470857</v>
      </c>
      <c r="D201" s="171">
        <v>4490423</v>
      </c>
      <c r="E201" s="233">
        <f>E334+E361+E405+E419</f>
        <v>615419</v>
      </c>
      <c r="F201" s="233"/>
      <c r="G201" s="233"/>
      <c r="H201" s="233">
        <f t="shared" si="34"/>
        <v>5105842</v>
      </c>
      <c r="I201" s="233">
        <v>2244411</v>
      </c>
      <c r="J201" s="233">
        <f>J405</f>
        <v>520</v>
      </c>
      <c r="K201" s="233"/>
      <c r="L201" s="233"/>
      <c r="M201" s="233">
        <f t="shared" si="35"/>
        <v>2244931</v>
      </c>
      <c r="N201" s="233">
        <v>1760368</v>
      </c>
      <c r="O201" s="233"/>
      <c r="P201" s="233"/>
      <c r="Q201" s="233"/>
      <c r="R201" s="233">
        <f t="shared" si="36"/>
        <v>1760368</v>
      </c>
    </row>
    <row r="202" spans="1:18" s="29" customFormat="1" ht="24" hidden="1" customHeight="1">
      <c r="A202" s="138">
        <v>21720</v>
      </c>
      <c r="B202" s="125" t="s">
        <v>99</v>
      </c>
      <c r="C202" s="171"/>
      <c r="D202" s="171">
        <v>0</v>
      </c>
      <c r="E202" s="233"/>
      <c r="F202" s="233"/>
      <c r="G202" s="233"/>
      <c r="H202" s="233">
        <f t="shared" ref="H202:H260" si="41">SUM(D202:G202)</f>
        <v>0</v>
      </c>
      <c r="I202" s="233">
        <v>0</v>
      </c>
      <c r="J202" s="233"/>
      <c r="K202" s="233"/>
      <c r="L202" s="233"/>
      <c r="M202" s="233">
        <f t="shared" ref="M202:M260" si="42">SUM(I202:L202)</f>
        <v>0</v>
      </c>
      <c r="N202" s="233">
        <v>0</v>
      </c>
      <c r="O202" s="233"/>
      <c r="P202" s="233"/>
      <c r="Q202" s="233"/>
      <c r="R202" s="233">
        <f t="shared" ref="R202:R260" si="43">SUM(N202:Q202)</f>
        <v>0</v>
      </c>
    </row>
    <row r="203" spans="1:18" s="29" customFormat="1" ht="11.4">
      <c r="A203" s="597" t="s">
        <v>100</v>
      </c>
      <c r="B203" s="598" t="s">
        <v>101</v>
      </c>
      <c r="C203" s="618">
        <v>10534396</v>
      </c>
      <c r="D203" s="618">
        <v>7326228</v>
      </c>
      <c r="E203" s="603">
        <f>E204+E231</f>
        <v>1609283</v>
      </c>
      <c r="F203" s="603">
        <f>F204+F231</f>
        <v>0</v>
      </c>
      <c r="G203" s="603">
        <f>G204+G231</f>
        <v>0</v>
      </c>
      <c r="H203" s="775">
        <f t="shared" si="41"/>
        <v>8935511</v>
      </c>
      <c r="I203" s="603">
        <v>5003568</v>
      </c>
      <c r="J203" s="603">
        <f>J204+J231</f>
        <v>18818</v>
      </c>
      <c r="K203" s="603">
        <f>K204+K231</f>
        <v>0</v>
      </c>
      <c r="L203" s="603">
        <f>L204+L231</f>
        <v>0</v>
      </c>
      <c r="M203" s="775">
        <f t="shared" si="42"/>
        <v>5022386</v>
      </c>
      <c r="N203" s="603">
        <v>5216901</v>
      </c>
      <c r="O203" s="603">
        <f>O204+O231</f>
        <v>0</v>
      </c>
      <c r="P203" s="603">
        <f>P204+P231</f>
        <v>0</v>
      </c>
      <c r="Q203" s="603">
        <f>Q204+Q231</f>
        <v>0</v>
      </c>
      <c r="R203" s="775">
        <f t="shared" si="43"/>
        <v>5216901</v>
      </c>
    </row>
    <row r="204" spans="1:18" s="29" customFormat="1" ht="20.399999999999999">
      <c r="A204" s="130" t="s">
        <v>102</v>
      </c>
      <c r="B204" s="124" t="s">
        <v>103</v>
      </c>
      <c r="C204" s="171">
        <v>3118474</v>
      </c>
      <c r="D204" s="171">
        <v>4129751</v>
      </c>
      <c r="E204" s="233">
        <f>E205+E209+E210+E213+E216</f>
        <v>249249</v>
      </c>
      <c r="F204" s="233">
        <f>F205+F209+F210+F213+F216</f>
        <v>0</v>
      </c>
      <c r="G204" s="233">
        <f>G205+G209+G210+G213+G216</f>
        <v>0</v>
      </c>
      <c r="H204" s="233">
        <f t="shared" si="41"/>
        <v>4379000</v>
      </c>
      <c r="I204" s="233">
        <v>3523408</v>
      </c>
      <c r="J204" s="233">
        <f>J205+J209+J210+J213+J216</f>
        <v>18818</v>
      </c>
      <c r="K204" s="233">
        <f>K205+K209+K210+K213+K216</f>
        <v>0</v>
      </c>
      <c r="L204" s="233">
        <f>L205+L209+L210+L213+L216</f>
        <v>0</v>
      </c>
      <c r="M204" s="233">
        <f t="shared" si="42"/>
        <v>3542226</v>
      </c>
      <c r="N204" s="233">
        <v>2903323</v>
      </c>
      <c r="O204" s="233">
        <f>O205+O209+O210+O213+O216</f>
        <v>0</v>
      </c>
      <c r="P204" s="233">
        <f>P205+P209+P210+P213+P216</f>
        <v>0</v>
      </c>
      <c r="Q204" s="233">
        <f>Q205+Q209+Q210+Q213+Q216</f>
        <v>0</v>
      </c>
      <c r="R204" s="233">
        <f t="shared" si="43"/>
        <v>2903323</v>
      </c>
    </row>
    <row r="205" spans="1:18" s="29" customFormat="1" ht="12">
      <c r="A205" s="130" t="s">
        <v>104</v>
      </c>
      <c r="B205" s="124" t="s">
        <v>105</v>
      </c>
      <c r="C205" s="171">
        <v>1365540</v>
      </c>
      <c r="D205" s="171">
        <v>2450660</v>
      </c>
      <c r="E205" s="233">
        <f>E206+E208</f>
        <v>127926</v>
      </c>
      <c r="F205" s="233">
        <f>F206+F208</f>
        <v>0</v>
      </c>
      <c r="G205" s="233">
        <f>G206+G208</f>
        <v>0</v>
      </c>
      <c r="H205" s="233">
        <f t="shared" si="41"/>
        <v>2578586</v>
      </c>
      <c r="I205" s="233">
        <v>1701743</v>
      </c>
      <c r="J205" s="233">
        <f>J206+J208</f>
        <v>520</v>
      </c>
      <c r="K205" s="233">
        <f>K206+K208</f>
        <v>0</v>
      </c>
      <c r="L205" s="233">
        <f>L206+L208</f>
        <v>0</v>
      </c>
      <c r="M205" s="233">
        <f t="shared" si="42"/>
        <v>1702263</v>
      </c>
      <c r="N205" s="233">
        <v>716720</v>
      </c>
      <c r="O205" s="233">
        <f>O206+O208</f>
        <v>0</v>
      </c>
      <c r="P205" s="233">
        <f>P206+P208</f>
        <v>0</v>
      </c>
      <c r="Q205" s="233">
        <f>Q206+Q208</f>
        <v>0</v>
      </c>
      <c r="R205" s="233">
        <f t="shared" si="43"/>
        <v>716720</v>
      </c>
    </row>
    <row r="206" spans="1:18" s="29" customFormat="1" ht="12">
      <c r="A206" s="132">
        <v>1000</v>
      </c>
      <c r="B206" s="125" t="s">
        <v>106</v>
      </c>
      <c r="C206" s="171">
        <v>678375</v>
      </c>
      <c r="D206" s="171">
        <v>395045</v>
      </c>
      <c r="E206" s="233">
        <f>E365+E409+E423</f>
        <v>17961</v>
      </c>
      <c r="F206" s="233"/>
      <c r="G206" s="233"/>
      <c r="H206" s="233">
        <f t="shared" si="41"/>
        <v>413006</v>
      </c>
      <c r="I206" s="233">
        <v>338664</v>
      </c>
      <c r="J206" s="233">
        <f>J409</f>
        <v>292</v>
      </c>
      <c r="K206" s="233"/>
      <c r="L206" s="233"/>
      <c r="M206" s="233">
        <f t="shared" si="42"/>
        <v>338956</v>
      </c>
      <c r="N206" s="233">
        <v>232316</v>
      </c>
      <c r="O206" s="233"/>
      <c r="P206" s="233"/>
      <c r="Q206" s="233"/>
      <c r="R206" s="233">
        <f t="shared" si="43"/>
        <v>232316</v>
      </c>
    </row>
    <row r="207" spans="1:18" s="29" customFormat="1" ht="12">
      <c r="A207" s="139">
        <v>1100</v>
      </c>
      <c r="B207" s="125" t="s">
        <v>107</v>
      </c>
      <c r="C207" s="171">
        <v>543057</v>
      </c>
      <c r="D207" s="171">
        <v>314601</v>
      </c>
      <c r="E207" s="233">
        <f>E366+E410+E424</f>
        <v>14473</v>
      </c>
      <c r="F207" s="233"/>
      <c r="G207" s="233"/>
      <c r="H207" s="233">
        <f t="shared" si="41"/>
        <v>329074</v>
      </c>
      <c r="I207" s="233">
        <v>269165</v>
      </c>
      <c r="J207" s="233">
        <f>J410</f>
        <v>235</v>
      </c>
      <c r="K207" s="233"/>
      <c r="L207" s="233"/>
      <c r="M207" s="233">
        <f t="shared" si="42"/>
        <v>269400</v>
      </c>
      <c r="N207" s="233">
        <v>187216</v>
      </c>
      <c r="O207" s="233"/>
      <c r="P207" s="233"/>
      <c r="Q207" s="233"/>
      <c r="R207" s="233">
        <f t="shared" si="43"/>
        <v>187216</v>
      </c>
    </row>
    <row r="208" spans="1:18" s="29" customFormat="1" ht="12">
      <c r="A208" s="132">
        <v>2000</v>
      </c>
      <c r="B208" s="125" t="s">
        <v>108</v>
      </c>
      <c r="C208" s="171">
        <v>687165</v>
      </c>
      <c r="D208" s="171">
        <v>2055615</v>
      </c>
      <c r="E208" s="233">
        <f>E338+E367+E411+E425</f>
        <v>109965</v>
      </c>
      <c r="F208" s="233"/>
      <c r="G208" s="233"/>
      <c r="H208" s="233">
        <f t="shared" si="41"/>
        <v>2165580</v>
      </c>
      <c r="I208" s="233">
        <v>1363079</v>
      </c>
      <c r="J208" s="233">
        <f>J411</f>
        <v>228</v>
      </c>
      <c r="K208" s="233"/>
      <c r="L208" s="233"/>
      <c r="M208" s="233">
        <f t="shared" si="42"/>
        <v>1363307</v>
      </c>
      <c r="N208" s="233">
        <v>484404</v>
      </c>
      <c r="O208" s="233"/>
      <c r="P208" s="233"/>
      <c r="Q208" s="233"/>
      <c r="R208" s="233">
        <f t="shared" si="43"/>
        <v>484404</v>
      </c>
    </row>
    <row r="209" spans="1:18" s="29" customFormat="1" ht="12" hidden="1" customHeight="1">
      <c r="A209" s="140">
        <v>4000</v>
      </c>
      <c r="B209" s="124" t="s">
        <v>132</v>
      </c>
      <c r="C209" s="171"/>
      <c r="D209" s="171">
        <v>0</v>
      </c>
      <c r="E209" s="233"/>
      <c r="F209" s="233"/>
      <c r="G209" s="233"/>
      <c r="H209" s="233">
        <f t="shared" si="41"/>
        <v>0</v>
      </c>
      <c r="I209" s="233">
        <v>0</v>
      </c>
      <c r="J209" s="233"/>
      <c r="K209" s="233"/>
      <c r="L209" s="233"/>
      <c r="M209" s="233">
        <f t="shared" si="42"/>
        <v>0</v>
      </c>
      <c r="N209" s="233">
        <v>0</v>
      </c>
      <c r="O209" s="233"/>
      <c r="P209" s="233"/>
      <c r="Q209" s="233"/>
      <c r="R209" s="233">
        <f t="shared" si="43"/>
        <v>0</v>
      </c>
    </row>
    <row r="210" spans="1:18" s="29" customFormat="1" ht="12">
      <c r="A210" s="140" t="s">
        <v>109</v>
      </c>
      <c r="B210" s="124" t="s">
        <v>110</v>
      </c>
      <c r="C210" s="171">
        <v>144960</v>
      </c>
      <c r="D210" s="171">
        <v>182885</v>
      </c>
      <c r="E210" s="233">
        <f>E211+E212</f>
        <v>0</v>
      </c>
      <c r="F210" s="233">
        <f>F211+F212</f>
        <v>0</v>
      </c>
      <c r="G210" s="233">
        <f>G211+G212</f>
        <v>0</v>
      </c>
      <c r="H210" s="233">
        <f t="shared" si="41"/>
        <v>182885</v>
      </c>
      <c r="I210" s="233">
        <v>184639</v>
      </c>
      <c r="J210" s="233">
        <f>J211+J212</f>
        <v>0</v>
      </c>
      <c r="K210" s="233">
        <f>K211+K212</f>
        <v>0</v>
      </c>
      <c r="L210" s="233">
        <f>L211+L212</f>
        <v>0</v>
      </c>
      <c r="M210" s="233">
        <f t="shared" si="42"/>
        <v>184639</v>
      </c>
      <c r="N210" s="233">
        <v>86125</v>
      </c>
      <c r="O210" s="233">
        <f>O211+O212</f>
        <v>0</v>
      </c>
      <c r="P210" s="233">
        <f>P211+P212</f>
        <v>0</v>
      </c>
      <c r="Q210" s="233">
        <f>Q211+Q212</f>
        <v>0</v>
      </c>
      <c r="R210" s="233">
        <f t="shared" si="43"/>
        <v>86125</v>
      </c>
    </row>
    <row r="211" spans="1:18" s="29" customFormat="1" ht="12">
      <c r="A211" s="132">
        <v>3000</v>
      </c>
      <c r="B211" s="125" t="s">
        <v>111</v>
      </c>
      <c r="C211" s="213">
        <v>144790</v>
      </c>
      <c r="D211" s="213">
        <v>182885</v>
      </c>
      <c r="E211" s="345"/>
      <c r="F211" s="345"/>
      <c r="G211" s="345"/>
      <c r="H211" s="233">
        <f t="shared" si="41"/>
        <v>182885</v>
      </c>
      <c r="I211" s="345">
        <v>184639</v>
      </c>
      <c r="J211" s="345"/>
      <c r="K211" s="345"/>
      <c r="L211" s="345"/>
      <c r="M211" s="233">
        <f t="shared" si="42"/>
        <v>184639</v>
      </c>
      <c r="N211" s="345">
        <v>86125</v>
      </c>
      <c r="O211" s="345"/>
      <c r="P211" s="345"/>
      <c r="Q211" s="345"/>
      <c r="R211" s="233">
        <f t="shared" si="43"/>
        <v>86125</v>
      </c>
    </row>
    <row r="212" spans="1:18" s="29" customFormat="1" ht="12">
      <c r="A212" s="132">
        <v>6000</v>
      </c>
      <c r="B212" s="125" t="s">
        <v>112</v>
      </c>
      <c r="C212" s="287">
        <v>170</v>
      </c>
      <c r="D212" s="287">
        <v>0</v>
      </c>
      <c r="E212" s="346"/>
      <c r="F212" s="346"/>
      <c r="G212" s="346"/>
      <c r="H212" s="233">
        <f t="shared" si="41"/>
        <v>0</v>
      </c>
      <c r="I212" s="346">
        <v>0</v>
      </c>
      <c r="J212" s="346"/>
      <c r="K212" s="346"/>
      <c r="L212" s="346"/>
      <c r="M212" s="233">
        <f t="shared" si="42"/>
        <v>0</v>
      </c>
      <c r="N212" s="346">
        <v>0</v>
      </c>
      <c r="O212" s="346"/>
      <c r="P212" s="346"/>
      <c r="Q212" s="346"/>
      <c r="R212" s="233">
        <f t="shared" si="43"/>
        <v>0</v>
      </c>
    </row>
    <row r="213" spans="1:18" s="29" customFormat="1" ht="22.8">
      <c r="A213" s="140" t="s">
        <v>113</v>
      </c>
      <c r="B213" s="124" t="s">
        <v>183</v>
      </c>
      <c r="C213" s="171">
        <v>35698</v>
      </c>
      <c r="D213" s="171">
        <v>157432</v>
      </c>
      <c r="E213" s="233">
        <f>E214+E215</f>
        <v>0</v>
      </c>
      <c r="F213" s="233">
        <f>F214+F215</f>
        <v>0</v>
      </c>
      <c r="G213" s="233">
        <f>G214+G215</f>
        <v>0</v>
      </c>
      <c r="H213" s="233">
        <f t="shared" si="41"/>
        <v>157432</v>
      </c>
      <c r="I213" s="233">
        <v>0</v>
      </c>
      <c r="J213" s="233">
        <f>J214+J215</f>
        <v>0</v>
      </c>
      <c r="K213" s="233">
        <f>K214+K215</f>
        <v>0</v>
      </c>
      <c r="L213" s="233">
        <f>L214+L215</f>
        <v>0</v>
      </c>
      <c r="M213" s="233">
        <f t="shared" si="42"/>
        <v>0</v>
      </c>
      <c r="N213" s="233">
        <v>0</v>
      </c>
      <c r="O213" s="233">
        <f>O214+O215</f>
        <v>0</v>
      </c>
      <c r="P213" s="233">
        <f>P214+P215</f>
        <v>0</v>
      </c>
      <c r="Q213" s="233">
        <f>Q214+Q215</f>
        <v>0</v>
      </c>
      <c r="R213" s="233">
        <f t="shared" si="43"/>
        <v>0</v>
      </c>
    </row>
    <row r="214" spans="1:18" s="29" customFormat="1" ht="12" hidden="1" customHeight="1">
      <c r="A214" s="132">
        <v>7600</v>
      </c>
      <c r="B214" s="179" t="s">
        <v>184</v>
      </c>
      <c r="C214" s="171"/>
      <c r="D214" s="171">
        <v>0</v>
      </c>
      <c r="E214" s="233"/>
      <c r="F214" s="233"/>
      <c r="G214" s="233"/>
      <c r="H214" s="233">
        <f t="shared" si="41"/>
        <v>0</v>
      </c>
      <c r="I214" s="233">
        <v>0</v>
      </c>
      <c r="J214" s="233"/>
      <c r="K214" s="233"/>
      <c r="L214" s="233"/>
      <c r="M214" s="233">
        <f t="shared" si="42"/>
        <v>0</v>
      </c>
      <c r="N214" s="233">
        <v>0</v>
      </c>
      <c r="O214" s="233"/>
      <c r="P214" s="233"/>
      <c r="Q214" s="233"/>
      <c r="R214" s="233">
        <f t="shared" si="43"/>
        <v>0</v>
      </c>
    </row>
    <row r="215" spans="1:18" s="29" customFormat="1" ht="12">
      <c r="A215" s="132">
        <v>7700</v>
      </c>
      <c r="B215" s="126" t="s">
        <v>114</v>
      </c>
      <c r="C215" s="171">
        <v>35698</v>
      </c>
      <c r="D215" s="171">
        <v>157432</v>
      </c>
      <c r="E215" s="233"/>
      <c r="F215" s="233"/>
      <c r="G215" s="233"/>
      <c r="H215" s="233">
        <f t="shared" si="41"/>
        <v>157432</v>
      </c>
      <c r="I215" s="233">
        <v>0</v>
      </c>
      <c r="J215" s="233"/>
      <c r="K215" s="233"/>
      <c r="L215" s="233"/>
      <c r="M215" s="233">
        <f t="shared" si="42"/>
        <v>0</v>
      </c>
      <c r="N215" s="233">
        <v>0</v>
      </c>
      <c r="O215" s="233"/>
      <c r="P215" s="233"/>
      <c r="Q215" s="233"/>
      <c r="R215" s="233">
        <f t="shared" si="43"/>
        <v>0</v>
      </c>
    </row>
    <row r="216" spans="1:18" s="29" customFormat="1" ht="20.399999999999999">
      <c r="A216" s="140" t="s">
        <v>185</v>
      </c>
      <c r="B216" s="124" t="s">
        <v>115</v>
      </c>
      <c r="C216" s="171">
        <v>1572276</v>
      </c>
      <c r="D216" s="171">
        <v>1338774</v>
      </c>
      <c r="E216" s="233">
        <f>E217+E223+E227+E230</f>
        <v>121323</v>
      </c>
      <c r="F216" s="233">
        <f>F217+F223+F227+F230</f>
        <v>0</v>
      </c>
      <c r="G216" s="233">
        <f>G217+G223+G227+G230</f>
        <v>0</v>
      </c>
      <c r="H216" s="233">
        <f t="shared" si="41"/>
        <v>1460097</v>
      </c>
      <c r="I216" s="233">
        <v>1637026</v>
      </c>
      <c r="J216" s="233">
        <f>J217+J223+J227+J230</f>
        <v>18298</v>
      </c>
      <c r="K216" s="233">
        <f>K217+K223+K227+K230</f>
        <v>0</v>
      </c>
      <c r="L216" s="233">
        <f>L217+L223+L227+L230</f>
        <v>0</v>
      </c>
      <c r="M216" s="233">
        <f t="shared" si="42"/>
        <v>1655324</v>
      </c>
      <c r="N216" s="233">
        <v>2100478</v>
      </c>
      <c r="O216" s="233">
        <f>O217+O223+O227+O230</f>
        <v>0</v>
      </c>
      <c r="P216" s="233">
        <f>P217+P223+P227+P230</f>
        <v>0</v>
      </c>
      <c r="Q216" s="233">
        <f>Q217+Q223+Q227+Q230</f>
        <v>0</v>
      </c>
      <c r="R216" s="233">
        <f t="shared" si="43"/>
        <v>2100478</v>
      </c>
    </row>
    <row r="217" spans="1:18" s="29" customFormat="1" ht="12" hidden="1" customHeight="1">
      <c r="A217" s="132">
        <v>7100</v>
      </c>
      <c r="B217" s="179" t="s">
        <v>116</v>
      </c>
      <c r="C217" s="171">
        <v>0</v>
      </c>
      <c r="D217" s="171">
        <v>0</v>
      </c>
      <c r="E217" s="233">
        <f>E218+E219</f>
        <v>0</v>
      </c>
      <c r="F217" s="233">
        <f>F218+F219</f>
        <v>0</v>
      </c>
      <c r="G217" s="233">
        <f>G218+G219</f>
        <v>0</v>
      </c>
      <c r="H217" s="233">
        <f t="shared" si="41"/>
        <v>0</v>
      </c>
      <c r="I217" s="233">
        <v>0</v>
      </c>
      <c r="J217" s="233">
        <f>J218+J219</f>
        <v>0</v>
      </c>
      <c r="K217" s="233">
        <f>K218+K219</f>
        <v>0</v>
      </c>
      <c r="L217" s="233">
        <f>L218+L219</f>
        <v>0</v>
      </c>
      <c r="M217" s="233">
        <f t="shared" si="42"/>
        <v>0</v>
      </c>
      <c r="N217" s="233">
        <v>0</v>
      </c>
      <c r="O217" s="233">
        <f>O218+O219</f>
        <v>0</v>
      </c>
      <c r="P217" s="233">
        <f>P218+P219</f>
        <v>0</v>
      </c>
      <c r="Q217" s="233">
        <f>Q218+Q219</f>
        <v>0</v>
      </c>
      <c r="R217" s="233">
        <f t="shared" si="43"/>
        <v>0</v>
      </c>
    </row>
    <row r="218" spans="1:18" s="29" customFormat="1" ht="24" hidden="1" customHeight="1">
      <c r="A218" s="133" t="s">
        <v>117</v>
      </c>
      <c r="B218" s="179" t="s">
        <v>118</v>
      </c>
      <c r="C218" s="171"/>
      <c r="D218" s="171">
        <v>0</v>
      </c>
      <c r="E218" s="233"/>
      <c r="F218" s="233"/>
      <c r="G218" s="233"/>
      <c r="H218" s="233">
        <f t="shared" si="41"/>
        <v>0</v>
      </c>
      <c r="I218" s="233">
        <v>0</v>
      </c>
      <c r="J218" s="233"/>
      <c r="K218" s="233"/>
      <c r="L218" s="233"/>
      <c r="M218" s="233">
        <f t="shared" si="42"/>
        <v>0</v>
      </c>
      <c r="N218" s="233">
        <v>0</v>
      </c>
      <c r="O218" s="233"/>
      <c r="P218" s="233"/>
      <c r="Q218" s="233"/>
      <c r="R218" s="233">
        <f t="shared" si="43"/>
        <v>0</v>
      </c>
    </row>
    <row r="219" spans="1:18" s="29" customFormat="1" ht="24" hidden="1" customHeight="1">
      <c r="A219" s="133">
        <v>7130</v>
      </c>
      <c r="B219" s="179" t="s">
        <v>119</v>
      </c>
      <c r="C219" s="171">
        <v>0</v>
      </c>
      <c r="D219" s="171">
        <v>0</v>
      </c>
      <c r="E219" s="233">
        <f>SUM(E220:E222)</f>
        <v>0</v>
      </c>
      <c r="F219" s="233">
        <f>SUM(F220:F222)</f>
        <v>0</v>
      </c>
      <c r="G219" s="233">
        <f>SUM(G220:G222)</f>
        <v>0</v>
      </c>
      <c r="H219" s="233">
        <f t="shared" si="41"/>
        <v>0</v>
      </c>
      <c r="I219" s="233">
        <v>0</v>
      </c>
      <c r="J219" s="233">
        <f>SUM(J220:J222)</f>
        <v>0</v>
      </c>
      <c r="K219" s="233">
        <f>SUM(K220:K222)</f>
        <v>0</v>
      </c>
      <c r="L219" s="233">
        <f>SUM(L220:L222)</f>
        <v>0</v>
      </c>
      <c r="M219" s="233">
        <f t="shared" si="42"/>
        <v>0</v>
      </c>
      <c r="N219" s="233">
        <v>0</v>
      </c>
      <c r="O219" s="233">
        <f>SUM(O220:O222)</f>
        <v>0</v>
      </c>
      <c r="P219" s="233">
        <f>SUM(P220:P222)</f>
        <v>0</v>
      </c>
      <c r="Q219" s="233">
        <f>SUM(Q220:Q222)</f>
        <v>0</v>
      </c>
      <c r="R219" s="233">
        <f t="shared" si="43"/>
        <v>0</v>
      </c>
    </row>
    <row r="220" spans="1:18" s="29" customFormat="1" ht="36" hidden="1" customHeight="1">
      <c r="A220" s="134">
        <v>7131</v>
      </c>
      <c r="B220" s="179" t="s">
        <v>120</v>
      </c>
      <c r="C220" s="171"/>
      <c r="D220" s="171">
        <v>0</v>
      </c>
      <c r="E220" s="233"/>
      <c r="F220" s="233"/>
      <c r="G220" s="233"/>
      <c r="H220" s="233">
        <f t="shared" si="41"/>
        <v>0</v>
      </c>
      <c r="I220" s="233">
        <v>0</v>
      </c>
      <c r="J220" s="233"/>
      <c r="K220" s="233"/>
      <c r="L220" s="233"/>
      <c r="M220" s="233">
        <f t="shared" si="42"/>
        <v>0</v>
      </c>
      <c r="N220" s="233">
        <v>0</v>
      </c>
      <c r="O220" s="233"/>
      <c r="P220" s="233"/>
      <c r="Q220" s="233"/>
      <c r="R220" s="233">
        <f t="shared" si="43"/>
        <v>0</v>
      </c>
    </row>
    <row r="221" spans="1:18" s="29" customFormat="1" ht="36" hidden="1" customHeight="1">
      <c r="A221" s="134">
        <v>7132</v>
      </c>
      <c r="B221" s="179" t="s">
        <v>121</v>
      </c>
      <c r="C221" s="171"/>
      <c r="D221" s="171">
        <v>0</v>
      </c>
      <c r="E221" s="233"/>
      <c r="F221" s="233"/>
      <c r="G221" s="233"/>
      <c r="H221" s="233">
        <f t="shared" si="41"/>
        <v>0</v>
      </c>
      <c r="I221" s="233">
        <v>0</v>
      </c>
      <c r="J221" s="233"/>
      <c r="K221" s="233"/>
      <c r="L221" s="233"/>
      <c r="M221" s="233">
        <f t="shared" si="42"/>
        <v>0</v>
      </c>
      <c r="N221" s="233">
        <v>0</v>
      </c>
      <c r="O221" s="233"/>
      <c r="P221" s="233"/>
      <c r="Q221" s="233"/>
      <c r="R221" s="233">
        <f t="shared" si="43"/>
        <v>0</v>
      </c>
    </row>
    <row r="222" spans="1:18" s="29" customFormat="1" ht="24" hidden="1" customHeight="1">
      <c r="A222" s="134" t="s">
        <v>186</v>
      </c>
      <c r="B222" s="179" t="s">
        <v>187</v>
      </c>
      <c r="C222" s="171"/>
      <c r="D222" s="171">
        <v>0</v>
      </c>
      <c r="E222" s="233"/>
      <c r="F222" s="233"/>
      <c r="G222" s="233"/>
      <c r="H222" s="233">
        <f t="shared" si="41"/>
        <v>0</v>
      </c>
      <c r="I222" s="233">
        <v>0</v>
      </c>
      <c r="J222" s="233"/>
      <c r="K222" s="233"/>
      <c r="L222" s="233"/>
      <c r="M222" s="233">
        <f t="shared" si="42"/>
        <v>0</v>
      </c>
      <c r="N222" s="233">
        <v>0</v>
      </c>
      <c r="O222" s="233"/>
      <c r="P222" s="233"/>
      <c r="Q222" s="233"/>
      <c r="R222" s="233">
        <f t="shared" si="43"/>
        <v>0</v>
      </c>
    </row>
    <row r="223" spans="1:18" s="29" customFormat="1" ht="24" hidden="1" customHeight="1">
      <c r="A223" s="132">
        <v>7300</v>
      </c>
      <c r="B223" s="172" t="s">
        <v>155</v>
      </c>
      <c r="C223" s="171">
        <v>0</v>
      </c>
      <c r="D223" s="171">
        <v>0</v>
      </c>
      <c r="E223" s="233">
        <f>SUM(E224:E226)</f>
        <v>0</v>
      </c>
      <c r="F223" s="233">
        <f>SUM(F224:F226)</f>
        <v>0</v>
      </c>
      <c r="G223" s="233">
        <f>SUM(G224:G226)</f>
        <v>0</v>
      </c>
      <c r="H223" s="233">
        <f t="shared" si="41"/>
        <v>0</v>
      </c>
      <c r="I223" s="233">
        <v>0</v>
      </c>
      <c r="J223" s="233">
        <f>SUM(J224:J226)</f>
        <v>0</v>
      </c>
      <c r="K223" s="233">
        <f>SUM(K224:K226)</f>
        <v>0</v>
      </c>
      <c r="L223" s="233">
        <f>SUM(L224:L226)</f>
        <v>0</v>
      </c>
      <c r="M223" s="233">
        <f t="shared" si="42"/>
        <v>0</v>
      </c>
      <c r="N223" s="233">
        <v>0</v>
      </c>
      <c r="O223" s="233">
        <f>SUM(O224:O226)</f>
        <v>0</v>
      </c>
      <c r="P223" s="233">
        <f>SUM(P224:P226)</f>
        <v>0</v>
      </c>
      <c r="Q223" s="233">
        <f>SUM(Q224:Q226)</f>
        <v>0</v>
      </c>
      <c r="R223" s="233">
        <f t="shared" si="43"/>
        <v>0</v>
      </c>
    </row>
    <row r="224" spans="1:18" s="29" customFormat="1" ht="24" hidden="1" customHeight="1">
      <c r="A224" s="133" t="s">
        <v>188</v>
      </c>
      <c r="B224" s="179" t="s">
        <v>170</v>
      </c>
      <c r="C224" s="619"/>
      <c r="D224" s="619">
        <v>0</v>
      </c>
      <c r="E224" s="605"/>
      <c r="F224" s="605"/>
      <c r="G224" s="605"/>
      <c r="H224" s="233">
        <f t="shared" si="41"/>
        <v>0</v>
      </c>
      <c r="I224" s="605">
        <v>0</v>
      </c>
      <c r="J224" s="605"/>
      <c r="K224" s="605"/>
      <c r="L224" s="605"/>
      <c r="M224" s="233">
        <f t="shared" si="42"/>
        <v>0</v>
      </c>
      <c r="N224" s="605">
        <v>0</v>
      </c>
      <c r="O224" s="605"/>
      <c r="P224" s="605"/>
      <c r="Q224" s="605"/>
      <c r="R224" s="233">
        <f t="shared" si="43"/>
        <v>0</v>
      </c>
    </row>
    <row r="225" spans="1:18" s="29" customFormat="1" ht="48" hidden="1" customHeight="1">
      <c r="A225" s="133" t="s">
        <v>189</v>
      </c>
      <c r="B225" s="179" t="s">
        <v>156</v>
      </c>
      <c r="C225" s="619"/>
      <c r="D225" s="619">
        <v>0</v>
      </c>
      <c r="E225" s="605"/>
      <c r="F225" s="605"/>
      <c r="G225" s="605"/>
      <c r="H225" s="233">
        <f t="shared" si="41"/>
        <v>0</v>
      </c>
      <c r="I225" s="605">
        <v>0</v>
      </c>
      <c r="J225" s="605"/>
      <c r="K225" s="605"/>
      <c r="L225" s="605"/>
      <c r="M225" s="233">
        <f t="shared" si="42"/>
        <v>0</v>
      </c>
      <c r="N225" s="605">
        <v>0</v>
      </c>
      <c r="O225" s="605"/>
      <c r="P225" s="605"/>
      <c r="Q225" s="605"/>
      <c r="R225" s="233">
        <f t="shared" si="43"/>
        <v>0</v>
      </c>
    </row>
    <row r="226" spans="1:18" s="29" customFormat="1" ht="36" hidden="1" customHeight="1">
      <c r="A226" s="133">
        <v>7350</v>
      </c>
      <c r="B226" s="179" t="s">
        <v>163</v>
      </c>
      <c r="C226" s="619"/>
      <c r="D226" s="619">
        <v>0</v>
      </c>
      <c r="E226" s="605"/>
      <c r="F226" s="605"/>
      <c r="G226" s="605"/>
      <c r="H226" s="233">
        <f t="shared" si="41"/>
        <v>0</v>
      </c>
      <c r="I226" s="605">
        <v>0</v>
      </c>
      <c r="J226" s="605"/>
      <c r="K226" s="605"/>
      <c r="L226" s="605"/>
      <c r="M226" s="233">
        <f t="shared" si="42"/>
        <v>0</v>
      </c>
      <c r="N226" s="605">
        <v>0</v>
      </c>
      <c r="O226" s="605"/>
      <c r="P226" s="605"/>
      <c r="Q226" s="605"/>
      <c r="R226" s="233">
        <f t="shared" si="43"/>
        <v>0</v>
      </c>
    </row>
    <row r="227" spans="1:18" s="29" customFormat="1" ht="24">
      <c r="A227" s="132">
        <v>7400</v>
      </c>
      <c r="B227" s="172" t="s">
        <v>161</v>
      </c>
      <c r="C227" s="171">
        <v>15208</v>
      </c>
      <c r="D227" s="171">
        <v>0</v>
      </c>
      <c r="E227" s="233">
        <f>SUM(E228:E229)</f>
        <v>0</v>
      </c>
      <c r="F227" s="233">
        <f>SUM(F228:F229)</f>
        <v>0</v>
      </c>
      <c r="G227" s="233">
        <f>SUM(G228:G229)</f>
        <v>0</v>
      </c>
      <c r="H227" s="233">
        <f t="shared" si="41"/>
        <v>0</v>
      </c>
      <c r="I227" s="233">
        <v>0</v>
      </c>
      <c r="J227" s="233">
        <f>SUM(J228:J229)</f>
        <v>0</v>
      </c>
      <c r="K227" s="233">
        <f>SUM(K228:K229)</f>
        <v>0</v>
      </c>
      <c r="L227" s="233">
        <f>SUM(L228:L229)</f>
        <v>0</v>
      </c>
      <c r="M227" s="233">
        <f t="shared" si="42"/>
        <v>0</v>
      </c>
      <c r="N227" s="233">
        <v>0</v>
      </c>
      <c r="O227" s="233">
        <f>SUM(O228:O229)</f>
        <v>0</v>
      </c>
      <c r="P227" s="233">
        <f>SUM(P228:P229)</f>
        <v>0</v>
      </c>
      <c r="Q227" s="233">
        <f>SUM(Q228:Q229)</f>
        <v>0</v>
      </c>
      <c r="R227" s="233">
        <f t="shared" si="43"/>
        <v>0</v>
      </c>
    </row>
    <row r="228" spans="1:18" s="29" customFormat="1" ht="24">
      <c r="A228" s="133">
        <v>7460</v>
      </c>
      <c r="B228" s="172" t="s">
        <v>162</v>
      </c>
      <c r="C228" s="619">
        <v>15208</v>
      </c>
      <c r="D228" s="619">
        <v>0</v>
      </c>
      <c r="E228" s="605"/>
      <c r="F228" s="605"/>
      <c r="G228" s="605"/>
      <c r="H228" s="233">
        <f t="shared" si="41"/>
        <v>0</v>
      </c>
      <c r="I228" s="605">
        <v>0</v>
      </c>
      <c r="J228" s="605"/>
      <c r="K228" s="605"/>
      <c r="L228" s="605"/>
      <c r="M228" s="233">
        <f t="shared" si="42"/>
        <v>0</v>
      </c>
      <c r="N228" s="605">
        <v>0</v>
      </c>
      <c r="O228" s="605"/>
      <c r="P228" s="605"/>
      <c r="Q228" s="605"/>
      <c r="R228" s="233">
        <f t="shared" si="43"/>
        <v>0</v>
      </c>
    </row>
    <row r="229" spans="1:18" s="29" customFormat="1" ht="48" hidden="1" customHeight="1">
      <c r="A229" s="133">
        <v>7470</v>
      </c>
      <c r="B229" s="179" t="s">
        <v>167</v>
      </c>
      <c r="C229" s="619"/>
      <c r="D229" s="619">
        <v>0</v>
      </c>
      <c r="E229" s="605"/>
      <c r="F229" s="605"/>
      <c r="G229" s="605"/>
      <c r="H229" s="233">
        <f t="shared" si="41"/>
        <v>0</v>
      </c>
      <c r="I229" s="605">
        <v>0</v>
      </c>
      <c r="J229" s="605"/>
      <c r="K229" s="605"/>
      <c r="L229" s="605"/>
      <c r="M229" s="233">
        <f t="shared" si="42"/>
        <v>0</v>
      </c>
      <c r="N229" s="605">
        <v>0</v>
      </c>
      <c r="O229" s="605"/>
      <c r="P229" s="605"/>
      <c r="Q229" s="605"/>
      <c r="R229" s="233">
        <f t="shared" si="43"/>
        <v>0</v>
      </c>
    </row>
    <row r="230" spans="1:18" s="29" customFormat="1" ht="24">
      <c r="A230" s="132">
        <v>7500</v>
      </c>
      <c r="B230" s="179" t="s">
        <v>157</v>
      </c>
      <c r="C230" s="171">
        <v>1557068</v>
      </c>
      <c r="D230" s="171">
        <v>1338774</v>
      </c>
      <c r="E230" s="233">
        <f>E347+E376+E388+E397+E436</f>
        <v>121323</v>
      </c>
      <c r="F230" s="233"/>
      <c r="G230" s="233"/>
      <c r="H230" s="233">
        <f t="shared" si="41"/>
        <v>1460097</v>
      </c>
      <c r="I230" s="233">
        <v>1637026</v>
      </c>
      <c r="J230" s="233">
        <f>J376+J397</f>
        <v>18298</v>
      </c>
      <c r="K230" s="233"/>
      <c r="L230" s="233"/>
      <c r="M230" s="233">
        <f t="shared" si="42"/>
        <v>1655324</v>
      </c>
      <c r="N230" s="233">
        <v>2100478</v>
      </c>
      <c r="O230" s="233"/>
      <c r="P230" s="233"/>
      <c r="Q230" s="233"/>
      <c r="R230" s="233">
        <f t="shared" si="43"/>
        <v>2100478</v>
      </c>
    </row>
    <row r="231" spans="1:18" s="29" customFormat="1" ht="12">
      <c r="A231" s="140" t="s">
        <v>133</v>
      </c>
      <c r="B231" s="124" t="s">
        <v>122</v>
      </c>
      <c r="C231" s="181">
        <v>7415922</v>
      </c>
      <c r="D231" s="181">
        <v>3196477</v>
      </c>
      <c r="E231" s="254">
        <f>E232+E233</f>
        <v>1360034</v>
      </c>
      <c r="F231" s="254">
        <f>F232+F233</f>
        <v>0</v>
      </c>
      <c r="G231" s="254">
        <f>G232+G233</f>
        <v>0</v>
      </c>
      <c r="H231" s="233">
        <f t="shared" si="41"/>
        <v>4556511</v>
      </c>
      <c r="I231" s="254">
        <v>1480160</v>
      </c>
      <c r="J231" s="254">
        <f>J232+J233</f>
        <v>0</v>
      </c>
      <c r="K231" s="254">
        <f>K232+K233</f>
        <v>0</v>
      </c>
      <c r="L231" s="254">
        <f>L232+L233</f>
        <v>0</v>
      </c>
      <c r="M231" s="233">
        <f t="shared" si="42"/>
        <v>1480160</v>
      </c>
      <c r="N231" s="254">
        <v>2313578</v>
      </c>
      <c r="O231" s="254">
        <f>O232+O233</f>
        <v>0</v>
      </c>
      <c r="P231" s="254">
        <f>P232+P233</f>
        <v>0</v>
      </c>
      <c r="Q231" s="254">
        <f>Q232+Q233</f>
        <v>0</v>
      </c>
      <c r="R231" s="233">
        <f t="shared" si="43"/>
        <v>2313578</v>
      </c>
    </row>
    <row r="232" spans="1:18" s="29" customFormat="1" ht="12">
      <c r="A232" s="140">
        <v>5000</v>
      </c>
      <c r="B232" s="124" t="s">
        <v>123</v>
      </c>
      <c r="C232" s="171">
        <v>5782594</v>
      </c>
      <c r="D232" s="171">
        <v>2375938</v>
      </c>
      <c r="E232" s="233">
        <f>E413+E427</f>
        <v>534498</v>
      </c>
      <c r="F232" s="233"/>
      <c r="G232" s="233"/>
      <c r="H232" s="233">
        <f t="shared" si="41"/>
        <v>2910436</v>
      </c>
      <c r="I232" s="233">
        <v>426697</v>
      </c>
      <c r="J232" s="233"/>
      <c r="K232" s="233"/>
      <c r="L232" s="233"/>
      <c r="M232" s="233">
        <f t="shared" si="42"/>
        <v>426697</v>
      </c>
      <c r="N232" s="233">
        <v>1026191</v>
      </c>
      <c r="O232" s="233"/>
      <c r="P232" s="233"/>
      <c r="Q232" s="233"/>
      <c r="R232" s="233">
        <f t="shared" si="43"/>
        <v>1026191</v>
      </c>
    </row>
    <row r="233" spans="1:18" s="29" customFormat="1" ht="12">
      <c r="A233" s="140">
        <v>9000</v>
      </c>
      <c r="B233" s="182" t="s">
        <v>164</v>
      </c>
      <c r="C233" s="171">
        <v>1633328</v>
      </c>
      <c r="D233" s="171">
        <v>820539</v>
      </c>
      <c r="E233" s="233">
        <f>E234+E240+E244+E247</f>
        <v>825536</v>
      </c>
      <c r="F233" s="233">
        <f>F234+F240+F244+F247</f>
        <v>0</v>
      </c>
      <c r="G233" s="233">
        <f>G234+G240+G244+G247</f>
        <v>0</v>
      </c>
      <c r="H233" s="233">
        <f t="shared" si="41"/>
        <v>1646075</v>
      </c>
      <c r="I233" s="233">
        <v>1053463</v>
      </c>
      <c r="J233" s="233">
        <f>J234+J240+J244+J247</f>
        <v>0</v>
      </c>
      <c r="K233" s="233">
        <f>K234+K240+K244+K247</f>
        <v>0</v>
      </c>
      <c r="L233" s="233">
        <f>L234+L240+L244+L247</f>
        <v>0</v>
      </c>
      <c r="M233" s="233">
        <f t="shared" si="42"/>
        <v>1053463</v>
      </c>
      <c r="N233" s="233">
        <v>1287387</v>
      </c>
      <c r="O233" s="233">
        <f>O234+O240+O244+O247</f>
        <v>0</v>
      </c>
      <c r="P233" s="233">
        <f>P234+P240+P244+P247</f>
        <v>0</v>
      </c>
      <c r="Q233" s="233">
        <f>Q234+Q240+Q244+Q247</f>
        <v>0</v>
      </c>
      <c r="R233" s="233">
        <f t="shared" si="43"/>
        <v>1287387</v>
      </c>
    </row>
    <row r="234" spans="1:18" s="29" customFormat="1" ht="12" hidden="1" customHeight="1">
      <c r="A234" s="141">
        <v>9100</v>
      </c>
      <c r="B234" s="179" t="s">
        <v>124</v>
      </c>
      <c r="C234" s="171">
        <v>0</v>
      </c>
      <c r="D234" s="171">
        <v>0</v>
      </c>
      <c r="E234" s="233">
        <f>SUM(E235:E236)</f>
        <v>0</v>
      </c>
      <c r="F234" s="233">
        <f>SUM(F235:F236)</f>
        <v>0</v>
      </c>
      <c r="G234" s="233">
        <f>SUM(G235:G236)</f>
        <v>0</v>
      </c>
      <c r="H234" s="233">
        <f t="shared" si="41"/>
        <v>0</v>
      </c>
      <c r="I234" s="233">
        <v>0</v>
      </c>
      <c r="J234" s="233">
        <f>SUM(J235:J236)</f>
        <v>0</v>
      </c>
      <c r="K234" s="233">
        <f>SUM(K235:K236)</f>
        <v>0</v>
      </c>
      <c r="L234" s="233">
        <f>SUM(L235:L236)</f>
        <v>0</v>
      </c>
      <c r="M234" s="233">
        <f t="shared" si="42"/>
        <v>0</v>
      </c>
      <c r="N234" s="233">
        <v>0</v>
      </c>
      <c r="O234" s="233">
        <f>SUM(O235:O236)</f>
        <v>0</v>
      </c>
      <c r="P234" s="233">
        <f>SUM(P235:P236)</f>
        <v>0</v>
      </c>
      <c r="Q234" s="233">
        <f>SUM(Q235:Q236)</f>
        <v>0</v>
      </c>
      <c r="R234" s="233">
        <f t="shared" si="43"/>
        <v>0</v>
      </c>
    </row>
    <row r="235" spans="1:18" s="29" customFormat="1" ht="24" hidden="1" customHeight="1">
      <c r="A235" s="133" t="s">
        <v>125</v>
      </c>
      <c r="B235" s="179" t="s">
        <v>214</v>
      </c>
      <c r="C235" s="171"/>
      <c r="D235" s="171">
        <v>0</v>
      </c>
      <c r="E235" s="233"/>
      <c r="F235" s="233"/>
      <c r="G235" s="233"/>
      <c r="H235" s="233">
        <f t="shared" si="41"/>
        <v>0</v>
      </c>
      <c r="I235" s="233">
        <v>0</v>
      </c>
      <c r="J235" s="233"/>
      <c r="K235" s="233"/>
      <c r="L235" s="233"/>
      <c r="M235" s="233">
        <f t="shared" si="42"/>
        <v>0</v>
      </c>
      <c r="N235" s="233">
        <v>0</v>
      </c>
      <c r="O235" s="233"/>
      <c r="P235" s="233"/>
      <c r="Q235" s="233"/>
      <c r="R235" s="233">
        <f t="shared" si="43"/>
        <v>0</v>
      </c>
    </row>
    <row r="236" spans="1:18" s="29" customFormat="1" ht="24" hidden="1" customHeight="1">
      <c r="A236" s="133">
        <v>9140</v>
      </c>
      <c r="B236" s="179" t="s">
        <v>215</v>
      </c>
      <c r="C236" s="171">
        <v>0</v>
      </c>
      <c r="D236" s="171">
        <v>0</v>
      </c>
      <c r="E236" s="233">
        <f>SUM(E237:E239)</f>
        <v>0</v>
      </c>
      <c r="F236" s="233">
        <f>SUM(F237:F239)</f>
        <v>0</v>
      </c>
      <c r="G236" s="233">
        <f>SUM(G237:G239)</f>
        <v>0</v>
      </c>
      <c r="H236" s="233">
        <f t="shared" si="41"/>
        <v>0</v>
      </c>
      <c r="I236" s="233">
        <v>0</v>
      </c>
      <c r="J236" s="233">
        <f>SUM(J237:J239)</f>
        <v>0</v>
      </c>
      <c r="K236" s="233">
        <f>SUM(K237:K239)</f>
        <v>0</v>
      </c>
      <c r="L236" s="233">
        <f>SUM(L237:L239)</f>
        <v>0</v>
      </c>
      <c r="M236" s="233">
        <f t="shared" si="42"/>
        <v>0</v>
      </c>
      <c r="N236" s="233">
        <v>0</v>
      </c>
      <c r="O236" s="233">
        <f>SUM(O237:O239)</f>
        <v>0</v>
      </c>
      <c r="P236" s="233">
        <f>SUM(P237:P239)</f>
        <v>0</v>
      </c>
      <c r="Q236" s="233">
        <f>SUM(Q237:Q239)</f>
        <v>0</v>
      </c>
      <c r="R236" s="233">
        <f t="shared" si="43"/>
        <v>0</v>
      </c>
    </row>
    <row r="237" spans="1:18" s="29" customFormat="1" ht="36" hidden="1" customHeight="1">
      <c r="A237" s="134">
        <v>9141</v>
      </c>
      <c r="B237" s="172" t="s">
        <v>190</v>
      </c>
      <c r="C237" s="619"/>
      <c r="D237" s="619">
        <v>0</v>
      </c>
      <c r="E237" s="605"/>
      <c r="F237" s="605"/>
      <c r="G237" s="605"/>
      <c r="H237" s="233">
        <f t="shared" si="41"/>
        <v>0</v>
      </c>
      <c r="I237" s="605">
        <v>0</v>
      </c>
      <c r="J237" s="605"/>
      <c r="K237" s="605"/>
      <c r="L237" s="605"/>
      <c r="M237" s="233">
        <f t="shared" si="42"/>
        <v>0</v>
      </c>
      <c r="N237" s="605">
        <v>0</v>
      </c>
      <c r="O237" s="605"/>
      <c r="P237" s="605"/>
      <c r="Q237" s="605"/>
      <c r="R237" s="233">
        <f t="shared" si="43"/>
        <v>0</v>
      </c>
    </row>
    <row r="238" spans="1:18" s="29" customFormat="1" ht="36" hidden="1" customHeight="1">
      <c r="A238" s="134">
        <v>9142</v>
      </c>
      <c r="B238" s="172" t="s">
        <v>191</v>
      </c>
      <c r="C238" s="619"/>
      <c r="D238" s="619">
        <v>0</v>
      </c>
      <c r="E238" s="605"/>
      <c r="F238" s="605"/>
      <c r="G238" s="605"/>
      <c r="H238" s="233">
        <f t="shared" si="41"/>
        <v>0</v>
      </c>
      <c r="I238" s="605">
        <v>0</v>
      </c>
      <c r="J238" s="605"/>
      <c r="K238" s="605"/>
      <c r="L238" s="605"/>
      <c r="M238" s="233">
        <f t="shared" si="42"/>
        <v>0</v>
      </c>
      <c r="N238" s="605">
        <v>0</v>
      </c>
      <c r="O238" s="605"/>
      <c r="P238" s="605"/>
      <c r="Q238" s="605"/>
      <c r="R238" s="233">
        <f t="shared" si="43"/>
        <v>0</v>
      </c>
    </row>
    <row r="239" spans="1:18" s="29" customFormat="1" ht="24" hidden="1" customHeight="1">
      <c r="A239" s="134">
        <v>9149</v>
      </c>
      <c r="B239" s="172" t="s">
        <v>192</v>
      </c>
      <c r="C239" s="619"/>
      <c r="D239" s="619">
        <v>0</v>
      </c>
      <c r="E239" s="605"/>
      <c r="F239" s="605"/>
      <c r="G239" s="605"/>
      <c r="H239" s="233">
        <f t="shared" si="41"/>
        <v>0</v>
      </c>
      <c r="I239" s="605">
        <v>0</v>
      </c>
      <c r="J239" s="605"/>
      <c r="K239" s="605"/>
      <c r="L239" s="605"/>
      <c r="M239" s="233">
        <f t="shared" si="42"/>
        <v>0</v>
      </c>
      <c r="N239" s="605">
        <v>0</v>
      </c>
      <c r="O239" s="605"/>
      <c r="P239" s="605"/>
      <c r="Q239" s="605"/>
      <c r="R239" s="233">
        <f t="shared" si="43"/>
        <v>0</v>
      </c>
    </row>
    <row r="240" spans="1:18" s="29" customFormat="1" ht="24" hidden="1" customHeight="1">
      <c r="A240" s="141">
        <v>9500</v>
      </c>
      <c r="B240" s="172" t="s">
        <v>165</v>
      </c>
      <c r="C240" s="171">
        <v>0</v>
      </c>
      <c r="D240" s="171">
        <v>0</v>
      </c>
      <c r="E240" s="233">
        <f>SUM(E241:E243)</f>
        <v>0</v>
      </c>
      <c r="F240" s="233">
        <f>SUM(F241:F243)</f>
        <v>0</v>
      </c>
      <c r="G240" s="233">
        <f>SUM(G241:G243)</f>
        <v>0</v>
      </c>
      <c r="H240" s="233">
        <f t="shared" si="41"/>
        <v>0</v>
      </c>
      <c r="I240" s="233">
        <v>0</v>
      </c>
      <c r="J240" s="233">
        <f>SUM(J241:J243)</f>
        <v>0</v>
      </c>
      <c r="K240" s="233">
        <f>SUM(K241:K243)</f>
        <v>0</v>
      </c>
      <c r="L240" s="233">
        <f>SUM(L241:L243)</f>
        <v>0</v>
      </c>
      <c r="M240" s="233">
        <f t="shared" si="42"/>
        <v>0</v>
      </c>
      <c r="N240" s="233">
        <v>0</v>
      </c>
      <c r="O240" s="233">
        <f>SUM(O241:O243)</f>
        <v>0</v>
      </c>
      <c r="P240" s="233">
        <f>SUM(P241:P243)</f>
        <v>0</v>
      </c>
      <c r="Q240" s="233">
        <f>SUM(Q241:Q243)</f>
        <v>0</v>
      </c>
      <c r="R240" s="233">
        <f t="shared" si="43"/>
        <v>0</v>
      </c>
    </row>
    <row r="241" spans="1:18" s="29" customFormat="1" ht="24" hidden="1" customHeight="1">
      <c r="A241" s="133" t="s">
        <v>193</v>
      </c>
      <c r="B241" s="172" t="s">
        <v>171</v>
      </c>
      <c r="C241" s="171"/>
      <c r="D241" s="171">
        <v>0</v>
      </c>
      <c r="E241" s="233"/>
      <c r="F241" s="233"/>
      <c r="G241" s="233"/>
      <c r="H241" s="233">
        <f t="shared" si="41"/>
        <v>0</v>
      </c>
      <c r="I241" s="233">
        <v>0</v>
      </c>
      <c r="J241" s="233"/>
      <c r="K241" s="233"/>
      <c r="L241" s="233"/>
      <c r="M241" s="233">
        <f t="shared" si="42"/>
        <v>0</v>
      </c>
      <c r="N241" s="233">
        <v>0</v>
      </c>
      <c r="O241" s="233"/>
      <c r="P241" s="233"/>
      <c r="Q241" s="233"/>
      <c r="R241" s="233">
        <f t="shared" si="43"/>
        <v>0</v>
      </c>
    </row>
    <row r="242" spans="1:18" s="29" customFormat="1" ht="48" hidden="1" customHeight="1">
      <c r="A242" s="133">
        <v>9580</v>
      </c>
      <c r="B242" s="172" t="s">
        <v>166</v>
      </c>
      <c r="C242" s="619"/>
      <c r="D242" s="619">
        <v>0</v>
      </c>
      <c r="E242" s="605"/>
      <c r="F242" s="605"/>
      <c r="G242" s="605"/>
      <c r="H242" s="233">
        <f t="shared" si="41"/>
        <v>0</v>
      </c>
      <c r="I242" s="605">
        <v>0</v>
      </c>
      <c r="J242" s="605"/>
      <c r="K242" s="605"/>
      <c r="L242" s="605"/>
      <c r="M242" s="233">
        <f t="shared" si="42"/>
        <v>0</v>
      </c>
      <c r="N242" s="605">
        <v>0</v>
      </c>
      <c r="O242" s="605"/>
      <c r="P242" s="605"/>
      <c r="Q242" s="605"/>
      <c r="R242" s="233">
        <f t="shared" si="43"/>
        <v>0</v>
      </c>
    </row>
    <row r="243" spans="1:18" s="29" customFormat="1" ht="48" hidden="1" customHeight="1">
      <c r="A243" s="133">
        <v>9590</v>
      </c>
      <c r="B243" s="179" t="s">
        <v>172</v>
      </c>
      <c r="C243" s="619"/>
      <c r="D243" s="619">
        <v>0</v>
      </c>
      <c r="E243" s="605"/>
      <c r="F243" s="605"/>
      <c r="G243" s="605"/>
      <c r="H243" s="233">
        <f t="shared" si="41"/>
        <v>0</v>
      </c>
      <c r="I243" s="605">
        <v>0</v>
      </c>
      <c r="J243" s="605"/>
      <c r="K243" s="605"/>
      <c r="L243" s="605"/>
      <c r="M243" s="233">
        <f t="shared" si="42"/>
        <v>0</v>
      </c>
      <c r="N243" s="605">
        <v>0</v>
      </c>
      <c r="O243" s="605"/>
      <c r="P243" s="605"/>
      <c r="Q243" s="605"/>
      <c r="R243" s="233">
        <f t="shared" si="43"/>
        <v>0</v>
      </c>
    </row>
    <row r="244" spans="1:18" s="29" customFormat="1" ht="24" hidden="1" customHeight="1">
      <c r="A244" s="141">
        <v>9700</v>
      </c>
      <c r="B244" s="183" t="s">
        <v>194</v>
      </c>
      <c r="C244" s="171">
        <v>0</v>
      </c>
      <c r="D244" s="171">
        <v>0</v>
      </c>
      <c r="E244" s="233">
        <f>SUM(E245:E246)</f>
        <v>0</v>
      </c>
      <c r="F244" s="233">
        <f>SUM(F245:F246)</f>
        <v>0</v>
      </c>
      <c r="G244" s="233">
        <f>SUM(G245:G246)</f>
        <v>0</v>
      </c>
      <c r="H244" s="233">
        <f t="shared" si="41"/>
        <v>0</v>
      </c>
      <c r="I244" s="233">
        <v>0</v>
      </c>
      <c r="J244" s="233">
        <f>SUM(J245:J246)</f>
        <v>0</v>
      </c>
      <c r="K244" s="233">
        <f>SUM(K245:K246)</f>
        <v>0</v>
      </c>
      <c r="L244" s="233">
        <f>SUM(L245:L246)</f>
        <v>0</v>
      </c>
      <c r="M244" s="233">
        <f t="shared" si="42"/>
        <v>0</v>
      </c>
      <c r="N244" s="233">
        <v>0</v>
      </c>
      <c r="O244" s="233">
        <f>SUM(O245:O246)</f>
        <v>0</v>
      </c>
      <c r="P244" s="233">
        <f>SUM(P245:P246)</f>
        <v>0</v>
      </c>
      <c r="Q244" s="233">
        <f>SUM(Q245:Q246)</f>
        <v>0</v>
      </c>
      <c r="R244" s="233">
        <f t="shared" si="43"/>
        <v>0</v>
      </c>
    </row>
    <row r="245" spans="1:18" s="29" customFormat="1" ht="24" hidden="1" customHeight="1">
      <c r="A245" s="133">
        <v>9710</v>
      </c>
      <c r="B245" s="184" t="s">
        <v>195</v>
      </c>
      <c r="C245" s="619"/>
      <c r="D245" s="619">
        <v>0</v>
      </c>
      <c r="E245" s="605"/>
      <c r="F245" s="605"/>
      <c r="G245" s="605"/>
      <c r="H245" s="233">
        <f t="shared" si="41"/>
        <v>0</v>
      </c>
      <c r="I245" s="605">
        <v>0</v>
      </c>
      <c r="J245" s="605"/>
      <c r="K245" s="605"/>
      <c r="L245" s="605"/>
      <c r="M245" s="233">
        <f t="shared" si="42"/>
        <v>0</v>
      </c>
      <c r="N245" s="605">
        <v>0</v>
      </c>
      <c r="O245" s="605"/>
      <c r="P245" s="605"/>
      <c r="Q245" s="605"/>
      <c r="R245" s="233">
        <f t="shared" si="43"/>
        <v>0</v>
      </c>
    </row>
    <row r="246" spans="1:18" s="29" customFormat="1" ht="48" hidden="1" customHeight="1">
      <c r="A246" s="142">
        <v>9720</v>
      </c>
      <c r="B246" s="183" t="s">
        <v>196</v>
      </c>
      <c r="C246" s="619"/>
      <c r="D246" s="619">
        <v>0</v>
      </c>
      <c r="E246" s="605"/>
      <c r="F246" s="605"/>
      <c r="G246" s="605"/>
      <c r="H246" s="233">
        <f t="shared" si="41"/>
        <v>0</v>
      </c>
      <c r="I246" s="605">
        <v>0</v>
      </c>
      <c r="J246" s="605"/>
      <c r="K246" s="605"/>
      <c r="L246" s="605"/>
      <c r="M246" s="233">
        <f t="shared" si="42"/>
        <v>0</v>
      </c>
      <c r="N246" s="605">
        <v>0</v>
      </c>
      <c r="O246" s="605"/>
      <c r="P246" s="605"/>
      <c r="Q246" s="605"/>
      <c r="R246" s="233">
        <f t="shared" si="43"/>
        <v>0</v>
      </c>
    </row>
    <row r="247" spans="1:18" s="29" customFormat="1" ht="24">
      <c r="A247" s="141">
        <v>9600</v>
      </c>
      <c r="B247" s="179" t="s">
        <v>134</v>
      </c>
      <c r="C247" s="619">
        <v>1633328</v>
      </c>
      <c r="D247" s="619">
        <v>820539</v>
      </c>
      <c r="E247" s="605">
        <f>E356+E379+E400</f>
        <v>825536</v>
      </c>
      <c r="F247" s="605"/>
      <c r="G247" s="605"/>
      <c r="H247" s="233">
        <f t="shared" si="41"/>
        <v>1646075</v>
      </c>
      <c r="I247" s="605">
        <v>1053463</v>
      </c>
      <c r="J247" s="605"/>
      <c r="K247" s="605"/>
      <c r="L247" s="605"/>
      <c r="M247" s="233">
        <f t="shared" si="42"/>
        <v>1053463</v>
      </c>
      <c r="N247" s="605">
        <v>1287387</v>
      </c>
      <c r="O247" s="605"/>
      <c r="P247" s="605"/>
      <c r="Q247" s="605"/>
      <c r="R247" s="233">
        <f t="shared" si="43"/>
        <v>1287387</v>
      </c>
    </row>
    <row r="248" spans="1:18" s="29" customFormat="1" ht="63" hidden="1" customHeight="1">
      <c r="A248" s="130" t="s">
        <v>197</v>
      </c>
      <c r="B248" s="185" t="s">
        <v>47</v>
      </c>
      <c r="C248" s="186">
        <v>0</v>
      </c>
      <c r="D248" s="186">
        <v>0</v>
      </c>
      <c r="E248" s="262">
        <f>E178-E203</f>
        <v>0</v>
      </c>
      <c r="F248" s="262">
        <f>F178-F203</f>
        <v>0</v>
      </c>
      <c r="G248" s="262">
        <f>G178-G203</f>
        <v>0</v>
      </c>
      <c r="H248" s="233">
        <f t="shared" si="41"/>
        <v>0</v>
      </c>
      <c r="I248" s="262">
        <v>0</v>
      </c>
      <c r="J248" s="262">
        <f>J178-J203</f>
        <v>0</v>
      </c>
      <c r="K248" s="262">
        <f>K178-K203</f>
        <v>0</v>
      </c>
      <c r="L248" s="262">
        <f>L178-L203</f>
        <v>0</v>
      </c>
      <c r="M248" s="233">
        <f t="shared" si="42"/>
        <v>0</v>
      </c>
      <c r="N248" s="262">
        <v>0</v>
      </c>
      <c r="O248" s="262">
        <f>O178-O203</f>
        <v>0</v>
      </c>
      <c r="P248" s="262">
        <f>P178-P203</f>
        <v>0</v>
      </c>
      <c r="Q248" s="262">
        <f>Q178-Q203</f>
        <v>0</v>
      </c>
      <c r="R248" s="233">
        <f t="shared" si="43"/>
        <v>0</v>
      </c>
    </row>
    <row r="249" spans="1:18" s="29" customFormat="1" ht="21" hidden="1" customHeight="1">
      <c r="A249" s="143" t="s">
        <v>48</v>
      </c>
      <c r="B249" s="185" t="s">
        <v>49</v>
      </c>
      <c r="C249" s="186">
        <v>0</v>
      </c>
      <c r="D249" s="186">
        <v>0</v>
      </c>
      <c r="E249" s="262">
        <f>E250+E253+E257+E256</f>
        <v>0</v>
      </c>
      <c r="F249" s="262">
        <f>F250+F253+F257+F256</f>
        <v>0</v>
      </c>
      <c r="G249" s="262">
        <f>G250+G253+G257+G256</f>
        <v>0</v>
      </c>
      <c r="H249" s="233">
        <f t="shared" si="41"/>
        <v>0</v>
      </c>
      <c r="I249" s="262">
        <v>0</v>
      </c>
      <c r="J249" s="262">
        <f>J250+J253+J257+J256</f>
        <v>0</v>
      </c>
      <c r="K249" s="262">
        <f>K250+K253+K257+K256</f>
        <v>0</v>
      </c>
      <c r="L249" s="262">
        <f>L250+L253+L257+L256</f>
        <v>0</v>
      </c>
      <c r="M249" s="233">
        <f t="shared" si="42"/>
        <v>0</v>
      </c>
      <c r="N249" s="262">
        <v>0</v>
      </c>
      <c r="O249" s="262">
        <f>O250+O253+O257+O256</f>
        <v>0</v>
      </c>
      <c r="P249" s="262">
        <f>P250+P253+P257+P256</f>
        <v>0</v>
      </c>
      <c r="Q249" s="262">
        <f>Q250+Q253+Q257+Q256</f>
        <v>0</v>
      </c>
      <c r="R249" s="233">
        <f t="shared" si="43"/>
        <v>0</v>
      </c>
    </row>
    <row r="250" spans="1:18" s="29" customFormat="1" ht="12" hidden="1" customHeight="1">
      <c r="A250" s="141" t="s">
        <v>50</v>
      </c>
      <c r="B250" s="179" t="s">
        <v>51</v>
      </c>
      <c r="C250" s="169">
        <v>0</v>
      </c>
      <c r="D250" s="169">
        <v>0</v>
      </c>
      <c r="E250" s="231">
        <f>E251+E252</f>
        <v>0</v>
      </c>
      <c r="F250" s="231">
        <f>F251+F252</f>
        <v>0</v>
      </c>
      <c r="G250" s="231">
        <f>G251+G252</f>
        <v>0</v>
      </c>
      <c r="H250" s="233">
        <f t="shared" si="41"/>
        <v>0</v>
      </c>
      <c r="I250" s="231">
        <v>0</v>
      </c>
      <c r="J250" s="231">
        <f>J251+J252</f>
        <v>0</v>
      </c>
      <c r="K250" s="231">
        <f>K251+K252</f>
        <v>0</v>
      </c>
      <c r="L250" s="231">
        <f>L251+L252</f>
        <v>0</v>
      </c>
      <c r="M250" s="233">
        <f t="shared" si="42"/>
        <v>0</v>
      </c>
      <c r="N250" s="231">
        <v>0</v>
      </c>
      <c r="O250" s="231">
        <f>O251+O252</f>
        <v>0</v>
      </c>
      <c r="P250" s="231">
        <f>P251+P252</f>
        <v>0</v>
      </c>
      <c r="Q250" s="231">
        <f>Q251+Q252</f>
        <v>0</v>
      </c>
      <c r="R250" s="233">
        <f t="shared" si="43"/>
        <v>0</v>
      </c>
    </row>
    <row r="251" spans="1:18" s="29" customFormat="1" ht="12" hidden="1" customHeight="1">
      <c r="A251" s="141" t="s">
        <v>52</v>
      </c>
      <c r="B251" s="179" t="s">
        <v>53</v>
      </c>
      <c r="C251" s="169"/>
      <c r="D251" s="169">
        <v>0</v>
      </c>
      <c r="E251" s="231"/>
      <c r="F251" s="231"/>
      <c r="G251" s="231"/>
      <c r="H251" s="233">
        <f t="shared" si="41"/>
        <v>0</v>
      </c>
      <c r="I251" s="231">
        <v>0</v>
      </c>
      <c r="J251" s="231"/>
      <c r="K251" s="231"/>
      <c r="L251" s="231"/>
      <c r="M251" s="233">
        <f t="shared" si="42"/>
        <v>0</v>
      </c>
      <c r="N251" s="231">
        <v>0</v>
      </c>
      <c r="O251" s="231"/>
      <c r="P251" s="231"/>
      <c r="Q251" s="231"/>
      <c r="R251" s="233">
        <f t="shared" si="43"/>
        <v>0</v>
      </c>
    </row>
    <row r="252" spans="1:18" s="29" customFormat="1" ht="12" hidden="1" customHeight="1">
      <c r="A252" s="141" t="s">
        <v>54</v>
      </c>
      <c r="B252" s="179" t="s">
        <v>55</v>
      </c>
      <c r="C252" s="169"/>
      <c r="D252" s="169">
        <v>0</v>
      </c>
      <c r="E252" s="231"/>
      <c r="F252" s="231"/>
      <c r="G252" s="231"/>
      <c r="H252" s="233">
        <f t="shared" si="41"/>
        <v>0</v>
      </c>
      <c r="I252" s="231">
        <v>0</v>
      </c>
      <c r="J252" s="231"/>
      <c r="K252" s="231"/>
      <c r="L252" s="231"/>
      <c r="M252" s="233">
        <f t="shared" si="42"/>
        <v>0</v>
      </c>
      <c r="N252" s="231">
        <v>0</v>
      </c>
      <c r="O252" s="231"/>
      <c r="P252" s="231"/>
      <c r="Q252" s="231"/>
      <c r="R252" s="233">
        <f t="shared" si="43"/>
        <v>0</v>
      </c>
    </row>
    <row r="253" spans="1:18" s="29" customFormat="1" ht="12" hidden="1" customHeight="1">
      <c r="A253" s="141" t="s">
        <v>56</v>
      </c>
      <c r="B253" s="179" t="s">
        <v>57</v>
      </c>
      <c r="C253" s="169">
        <v>0</v>
      </c>
      <c r="D253" s="169">
        <v>0</v>
      </c>
      <c r="E253" s="231">
        <f>E254+E255</f>
        <v>0</v>
      </c>
      <c r="F253" s="231">
        <f>F254+F255</f>
        <v>0</v>
      </c>
      <c r="G253" s="231">
        <f>G254+G255</f>
        <v>0</v>
      </c>
      <c r="H253" s="233">
        <f t="shared" si="41"/>
        <v>0</v>
      </c>
      <c r="I253" s="231">
        <v>0</v>
      </c>
      <c r="J253" s="231">
        <f>J254+J255</f>
        <v>0</v>
      </c>
      <c r="K253" s="231">
        <f>K254+K255</f>
        <v>0</v>
      </c>
      <c r="L253" s="231">
        <f>L254+L255</f>
        <v>0</v>
      </c>
      <c r="M253" s="233">
        <f t="shared" si="42"/>
        <v>0</v>
      </c>
      <c r="N253" s="231">
        <v>0</v>
      </c>
      <c r="O253" s="231">
        <f>O254+O255</f>
        <v>0</v>
      </c>
      <c r="P253" s="231">
        <f>P254+P255</f>
        <v>0</v>
      </c>
      <c r="Q253" s="231">
        <f>Q254+Q255</f>
        <v>0</v>
      </c>
      <c r="R253" s="233">
        <f t="shared" si="43"/>
        <v>0</v>
      </c>
    </row>
    <row r="254" spans="1:18" s="29" customFormat="1" ht="12" hidden="1" customHeight="1">
      <c r="A254" s="141" t="s">
        <v>58</v>
      </c>
      <c r="B254" s="179" t="s">
        <v>59</v>
      </c>
      <c r="C254" s="169"/>
      <c r="D254" s="169">
        <v>0</v>
      </c>
      <c r="E254" s="231"/>
      <c r="F254" s="231"/>
      <c r="G254" s="231"/>
      <c r="H254" s="233">
        <f t="shared" si="41"/>
        <v>0</v>
      </c>
      <c r="I254" s="231">
        <v>0</v>
      </c>
      <c r="J254" s="231"/>
      <c r="K254" s="231"/>
      <c r="L254" s="231"/>
      <c r="M254" s="233">
        <f t="shared" si="42"/>
        <v>0</v>
      </c>
      <c r="N254" s="231">
        <v>0</v>
      </c>
      <c r="O254" s="231"/>
      <c r="P254" s="231"/>
      <c r="Q254" s="231"/>
      <c r="R254" s="233">
        <f t="shared" si="43"/>
        <v>0</v>
      </c>
    </row>
    <row r="255" spans="1:18" s="29" customFormat="1" ht="12" hidden="1" customHeight="1">
      <c r="A255" s="141" t="s">
        <v>60</v>
      </c>
      <c r="B255" s="179" t="s">
        <v>61</v>
      </c>
      <c r="C255" s="169"/>
      <c r="D255" s="169">
        <v>0</v>
      </c>
      <c r="E255" s="231"/>
      <c r="F255" s="231"/>
      <c r="G255" s="231"/>
      <c r="H255" s="233">
        <f t="shared" si="41"/>
        <v>0</v>
      </c>
      <c r="I255" s="231">
        <v>0</v>
      </c>
      <c r="J255" s="231"/>
      <c r="K255" s="231"/>
      <c r="L255" s="231"/>
      <c r="M255" s="233">
        <f t="shared" si="42"/>
        <v>0</v>
      </c>
      <c r="N255" s="231">
        <v>0</v>
      </c>
      <c r="O255" s="231"/>
      <c r="P255" s="231"/>
      <c r="Q255" s="231"/>
      <c r="R255" s="233">
        <f t="shared" si="43"/>
        <v>0</v>
      </c>
    </row>
    <row r="256" spans="1:18" s="29" customFormat="1" ht="12" hidden="1" customHeight="1">
      <c r="A256" s="141" t="s">
        <v>198</v>
      </c>
      <c r="B256" s="187" t="s">
        <v>168</v>
      </c>
      <c r="C256" s="169"/>
      <c r="D256" s="169">
        <v>0</v>
      </c>
      <c r="E256" s="231"/>
      <c r="F256" s="231"/>
      <c r="G256" s="231"/>
      <c r="H256" s="233">
        <f t="shared" si="41"/>
        <v>0</v>
      </c>
      <c r="I256" s="231">
        <v>0</v>
      </c>
      <c r="J256" s="231"/>
      <c r="K256" s="231"/>
      <c r="L256" s="231"/>
      <c r="M256" s="233">
        <f t="shared" si="42"/>
        <v>0</v>
      </c>
      <c r="N256" s="231">
        <v>0</v>
      </c>
      <c r="O256" s="231"/>
      <c r="P256" s="231"/>
      <c r="Q256" s="231"/>
      <c r="R256" s="233">
        <f t="shared" si="43"/>
        <v>0</v>
      </c>
    </row>
    <row r="257" spans="1:18" s="29" customFormat="1" ht="12" hidden="1" customHeight="1">
      <c r="A257" s="144" t="s">
        <v>62</v>
      </c>
      <c r="B257" s="125" t="s">
        <v>63</v>
      </c>
      <c r="C257" s="171">
        <v>0</v>
      </c>
      <c r="D257" s="171">
        <v>0</v>
      </c>
      <c r="E257" s="233">
        <f>E258+E259+E260</f>
        <v>0</v>
      </c>
      <c r="F257" s="233">
        <f>F258+F259+F260</f>
        <v>0</v>
      </c>
      <c r="G257" s="233">
        <f>G258+G259+G260</f>
        <v>0</v>
      </c>
      <c r="H257" s="233">
        <f t="shared" si="41"/>
        <v>0</v>
      </c>
      <c r="I257" s="233">
        <v>0</v>
      </c>
      <c r="J257" s="233">
        <f>J258+J259+J260</f>
        <v>0</v>
      </c>
      <c r="K257" s="233">
        <f>K258+K259+K260</f>
        <v>0</v>
      </c>
      <c r="L257" s="233">
        <f>L258+L259+L260</f>
        <v>0</v>
      </c>
      <c r="M257" s="233">
        <f t="shared" si="42"/>
        <v>0</v>
      </c>
      <c r="N257" s="233">
        <v>0</v>
      </c>
      <c r="O257" s="233">
        <f>O258+O259+O260</f>
        <v>0</v>
      </c>
      <c r="P257" s="233">
        <f>P258+P259+P260</f>
        <v>0</v>
      </c>
      <c r="Q257" s="233">
        <f>Q258+Q259+Q260</f>
        <v>0</v>
      </c>
      <c r="R257" s="233">
        <f t="shared" si="43"/>
        <v>0</v>
      </c>
    </row>
    <row r="258" spans="1:18" s="29" customFormat="1" ht="36" hidden="1" customHeight="1">
      <c r="A258" s="144" t="s">
        <v>64</v>
      </c>
      <c r="B258" s="179" t="s">
        <v>65</v>
      </c>
      <c r="C258" s="169"/>
      <c r="D258" s="169">
        <v>0</v>
      </c>
      <c r="E258" s="231"/>
      <c r="F258" s="231"/>
      <c r="G258" s="231"/>
      <c r="H258" s="233">
        <f t="shared" si="41"/>
        <v>0</v>
      </c>
      <c r="I258" s="231">
        <v>0</v>
      </c>
      <c r="J258" s="231"/>
      <c r="K258" s="231"/>
      <c r="L258" s="231"/>
      <c r="M258" s="233">
        <f t="shared" si="42"/>
        <v>0</v>
      </c>
      <c r="N258" s="231">
        <v>0</v>
      </c>
      <c r="O258" s="231"/>
      <c r="P258" s="231"/>
      <c r="Q258" s="231"/>
      <c r="R258" s="233">
        <f t="shared" si="43"/>
        <v>0</v>
      </c>
    </row>
    <row r="259" spans="1:18" s="29" customFormat="1" ht="24" hidden="1" customHeight="1">
      <c r="A259" s="144" t="s">
        <v>66</v>
      </c>
      <c r="B259" s="179" t="s">
        <v>67</v>
      </c>
      <c r="C259" s="169"/>
      <c r="D259" s="169">
        <v>0</v>
      </c>
      <c r="E259" s="231"/>
      <c r="F259" s="231"/>
      <c r="G259" s="231"/>
      <c r="H259" s="233">
        <f t="shared" si="41"/>
        <v>0</v>
      </c>
      <c r="I259" s="231">
        <v>0</v>
      </c>
      <c r="J259" s="231"/>
      <c r="K259" s="231"/>
      <c r="L259" s="231"/>
      <c r="M259" s="233">
        <f t="shared" si="42"/>
        <v>0</v>
      </c>
      <c r="N259" s="231">
        <v>0</v>
      </c>
      <c r="O259" s="231"/>
      <c r="P259" s="231"/>
      <c r="Q259" s="231"/>
      <c r="R259" s="233">
        <f t="shared" si="43"/>
        <v>0</v>
      </c>
    </row>
    <row r="260" spans="1:18" s="29" customFormat="1" ht="24" hidden="1" customHeight="1">
      <c r="A260" s="144" t="s">
        <v>68</v>
      </c>
      <c r="B260" s="125" t="s">
        <v>69</v>
      </c>
      <c r="C260" s="169"/>
      <c r="D260" s="169">
        <v>0</v>
      </c>
      <c r="E260" s="231"/>
      <c r="F260" s="231"/>
      <c r="G260" s="231"/>
      <c r="H260" s="233">
        <f t="shared" si="41"/>
        <v>0</v>
      </c>
      <c r="I260" s="231">
        <v>0</v>
      </c>
      <c r="J260" s="231"/>
      <c r="K260" s="231"/>
      <c r="L260" s="231"/>
      <c r="M260" s="233">
        <f t="shared" si="42"/>
        <v>0</v>
      </c>
      <c r="N260" s="231">
        <v>0</v>
      </c>
      <c r="O260" s="231"/>
      <c r="P260" s="231"/>
      <c r="Q260" s="231"/>
      <c r="R260" s="233">
        <f t="shared" si="43"/>
        <v>0</v>
      </c>
    </row>
    <row r="261" spans="1:18" s="29" customFormat="1" ht="12">
      <c r="A261" s="271"/>
      <c r="B261" s="272"/>
      <c r="C261" s="254"/>
      <c r="D261" s="254"/>
      <c r="E261" s="254"/>
      <c r="F261" s="254"/>
      <c r="G261" s="254"/>
      <c r="H261" s="233"/>
      <c r="I261" s="254"/>
      <c r="J261" s="254"/>
      <c r="K261" s="254"/>
      <c r="L261" s="254"/>
      <c r="M261" s="233"/>
      <c r="N261" s="254"/>
      <c r="O261" s="254"/>
      <c r="P261" s="254"/>
      <c r="Q261" s="254"/>
      <c r="R261" s="233"/>
    </row>
    <row r="262" spans="1:18" ht="12">
      <c r="A262" s="33"/>
      <c r="B262" s="164"/>
      <c r="C262" s="540"/>
      <c r="D262" s="876"/>
      <c r="E262" s="540"/>
      <c r="F262" s="876"/>
      <c r="G262" s="876"/>
      <c r="H262" s="876"/>
      <c r="I262" s="876"/>
      <c r="J262" s="540"/>
      <c r="K262" s="876"/>
      <c r="L262" s="876"/>
      <c r="M262" s="876"/>
      <c r="N262" s="876"/>
      <c r="O262" s="540"/>
      <c r="P262" s="876"/>
      <c r="Q262" s="876"/>
      <c r="R262" s="876"/>
    </row>
    <row r="263" spans="1:18" ht="13.2">
      <c r="A263" s="377"/>
      <c r="B263" s="376"/>
      <c r="C263" s="832"/>
      <c r="D263" s="375"/>
      <c r="E263" s="832"/>
      <c r="F263" s="375"/>
      <c r="G263" s="375"/>
      <c r="H263" s="375"/>
      <c r="I263" s="375"/>
      <c r="J263" s="832"/>
      <c r="K263" s="375"/>
      <c r="L263" s="375"/>
      <c r="M263" s="375"/>
      <c r="N263" s="375"/>
      <c r="O263" s="832"/>
      <c r="P263" s="375"/>
      <c r="Q263" s="375"/>
      <c r="R263" s="375"/>
    </row>
    <row r="264" spans="1:18" ht="13.2">
      <c r="A264" s="777" t="s">
        <v>236</v>
      </c>
      <c r="B264" s="778" t="s">
        <v>237</v>
      </c>
      <c r="C264" s="832"/>
      <c r="D264" s="375"/>
      <c r="E264" s="832"/>
      <c r="F264" s="375"/>
      <c r="G264" s="375"/>
      <c r="H264" s="375"/>
      <c r="I264" s="375"/>
      <c r="J264" s="832"/>
      <c r="K264" s="375"/>
      <c r="L264" s="375"/>
      <c r="M264" s="375"/>
      <c r="N264" s="375"/>
      <c r="O264" s="832"/>
      <c r="P264" s="375"/>
      <c r="Q264" s="375"/>
      <c r="R264" s="375"/>
    </row>
    <row r="265" spans="1:18" ht="13.2">
      <c r="A265" s="371"/>
      <c r="B265" s="372" t="s">
        <v>238</v>
      </c>
      <c r="C265" s="832"/>
      <c r="D265" s="375"/>
      <c r="E265" s="832"/>
      <c r="F265" s="375"/>
      <c r="G265" s="375"/>
      <c r="H265" s="375"/>
      <c r="I265" s="375"/>
      <c r="J265" s="832"/>
      <c r="K265" s="375"/>
      <c r="L265" s="375"/>
      <c r="M265" s="375"/>
      <c r="N265" s="375"/>
      <c r="O265" s="832"/>
      <c r="P265" s="375"/>
      <c r="Q265" s="375"/>
      <c r="R265" s="375"/>
    </row>
    <row r="266" spans="1:18" ht="13.2">
      <c r="A266" s="373" t="s">
        <v>223</v>
      </c>
      <c r="B266" s="374" t="s">
        <v>434</v>
      </c>
      <c r="C266" s="832"/>
      <c r="D266" s="375"/>
      <c r="E266" s="832"/>
      <c r="F266" s="375"/>
      <c r="G266" s="375"/>
      <c r="H266" s="375"/>
      <c r="I266" s="375"/>
      <c r="J266" s="832"/>
      <c r="K266" s="375"/>
      <c r="L266" s="375"/>
      <c r="M266" s="375"/>
      <c r="N266" s="375"/>
      <c r="O266" s="832"/>
      <c r="P266" s="375"/>
      <c r="Q266" s="375"/>
      <c r="R266" s="375"/>
    </row>
    <row r="267" spans="1:18" ht="13.2">
      <c r="A267" s="375" t="s">
        <v>240</v>
      </c>
      <c r="B267" s="376" t="s">
        <v>241</v>
      </c>
      <c r="C267" s="832"/>
      <c r="D267" s="375"/>
      <c r="E267" s="832"/>
      <c r="F267" s="375"/>
      <c r="G267" s="375"/>
      <c r="H267" s="375"/>
      <c r="I267" s="375"/>
      <c r="J267" s="832"/>
      <c r="K267" s="375"/>
      <c r="L267" s="375"/>
      <c r="M267" s="375"/>
      <c r="N267" s="375"/>
      <c r="O267" s="832"/>
      <c r="P267" s="375"/>
      <c r="Q267" s="375"/>
      <c r="R267" s="375"/>
    </row>
    <row r="268" spans="1:18" ht="13.2">
      <c r="A268" s="377"/>
      <c r="B268" s="376"/>
      <c r="C268" s="405"/>
      <c r="D268" s="377"/>
      <c r="E268" s="405"/>
      <c r="F268" s="377"/>
      <c r="G268" s="377"/>
      <c r="H268" s="377"/>
      <c r="I268" s="377"/>
      <c r="J268" s="405"/>
      <c r="K268" s="377"/>
      <c r="L268" s="377"/>
      <c r="M268" s="377"/>
      <c r="N268" s="377"/>
      <c r="O268" s="405"/>
      <c r="P268" s="377"/>
      <c r="Q268" s="377"/>
      <c r="R268" s="377"/>
    </row>
    <row r="269" spans="1:18" ht="13.2">
      <c r="A269" s="425" t="s">
        <v>224</v>
      </c>
      <c r="B269" s="374" t="s">
        <v>242</v>
      </c>
      <c r="C269" s="405"/>
      <c r="D269" s="377"/>
      <c r="E269" s="405"/>
      <c r="F269" s="377"/>
      <c r="G269" s="377"/>
      <c r="H269" s="377"/>
      <c r="I269" s="377"/>
      <c r="J269" s="405"/>
      <c r="K269" s="377"/>
      <c r="L269" s="377"/>
      <c r="M269" s="377"/>
      <c r="N269" s="377"/>
      <c r="O269" s="405"/>
      <c r="P269" s="377"/>
      <c r="Q269" s="377"/>
      <c r="R269" s="377"/>
    </row>
    <row r="270" spans="1:18" ht="51" customHeight="1">
      <c r="A270" s="1327" t="s">
        <v>243</v>
      </c>
      <c r="B270" s="453" t="s">
        <v>249</v>
      </c>
      <c r="C270" s="1328"/>
      <c r="D270" s="1329"/>
      <c r="E270" s="1328"/>
      <c r="F270" s="1329"/>
      <c r="G270" s="1329"/>
      <c r="H270" s="1329"/>
      <c r="I270" s="1329"/>
      <c r="J270" s="1328"/>
      <c r="K270" s="1329"/>
      <c r="L270" s="1329"/>
      <c r="M270" s="1329"/>
      <c r="N270" s="1329"/>
      <c r="O270" s="1328"/>
      <c r="P270" s="1329"/>
      <c r="Q270" s="1329"/>
      <c r="R270" s="1329"/>
    </row>
    <row r="271" spans="1:18" ht="13.2">
      <c r="A271" s="406"/>
      <c r="B271" s="407" t="s">
        <v>88</v>
      </c>
      <c r="C271" s="408"/>
      <c r="D271" s="409"/>
      <c r="E271" s="410"/>
      <c r="F271" s="410">
        <f>F272</f>
        <v>177283</v>
      </c>
      <c r="G271" s="410"/>
      <c r="H271" s="371"/>
      <c r="I271" s="371"/>
      <c r="J271" s="410"/>
      <c r="K271" s="410">
        <f>K272</f>
        <v>177283</v>
      </c>
      <c r="L271" s="410"/>
      <c r="M271" s="371"/>
      <c r="N271" s="371"/>
      <c r="O271" s="410"/>
      <c r="P271" s="410">
        <f>P272</f>
        <v>177283</v>
      </c>
      <c r="Q271" s="410"/>
      <c r="R271" s="371"/>
    </row>
    <row r="272" spans="1:18" ht="13.2">
      <c r="A272" s="411"/>
      <c r="B272" s="412" t="s">
        <v>97</v>
      </c>
      <c r="C272" s="413"/>
      <c r="D272" s="414"/>
      <c r="E272" s="405"/>
      <c r="F272" s="405">
        <f>F273</f>
        <v>177283</v>
      </c>
      <c r="G272" s="405"/>
      <c r="H272" s="377"/>
      <c r="I272" s="377"/>
      <c r="J272" s="405"/>
      <c r="K272" s="405">
        <f>K273</f>
        <v>177283</v>
      </c>
      <c r="L272" s="405"/>
      <c r="M272" s="377"/>
      <c r="N272" s="377"/>
      <c r="O272" s="405"/>
      <c r="P272" s="405">
        <f>P273</f>
        <v>177283</v>
      </c>
      <c r="Q272" s="405"/>
      <c r="R272" s="377"/>
    </row>
    <row r="273" spans="1:18" ht="26.4">
      <c r="A273" s="411"/>
      <c r="B273" s="412" t="s">
        <v>98</v>
      </c>
      <c r="C273" s="413"/>
      <c r="D273" s="414"/>
      <c r="E273" s="405"/>
      <c r="F273" s="405">
        <v>177283</v>
      </c>
      <c r="G273" s="405"/>
      <c r="H273" s="377"/>
      <c r="I273" s="377"/>
      <c r="J273" s="405"/>
      <c r="K273" s="405">
        <v>177283</v>
      </c>
      <c r="L273" s="405"/>
      <c r="M273" s="377"/>
      <c r="N273" s="377"/>
      <c r="O273" s="405"/>
      <c r="P273" s="405">
        <v>177283</v>
      </c>
      <c r="Q273" s="405"/>
      <c r="R273" s="377"/>
    </row>
    <row r="274" spans="1:18" ht="13.2">
      <c r="A274" s="406"/>
      <c r="B274" s="407" t="s">
        <v>101</v>
      </c>
      <c r="C274" s="408"/>
      <c r="D274" s="409"/>
      <c r="E274" s="410"/>
      <c r="F274" s="410">
        <f>F275</f>
        <v>177283</v>
      </c>
      <c r="G274" s="410"/>
      <c r="H274" s="371"/>
      <c r="I274" s="371"/>
      <c r="J274" s="410"/>
      <c r="K274" s="410">
        <f>K275</f>
        <v>177283</v>
      </c>
      <c r="L274" s="410"/>
      <c r="M274" s="371"/>
      <c r="N274" s="371"/>
      <c r="O274" s="410"/>
      <c r="P274" s="410">
        <f>P275</f>
        <v>177283</v>
      </c>
      <c r="Q274" s="410"/>
      <c r="R274" s="371"/>
    </row>
    <row r="275" spans="1:18" ht="13.2">
      <c r="A275" s="411"/>
      <c r="B275" s="412" t="s">
        <v>103</v>
      </c>
      <c r="C275" s="413"/>
      <c r="D275" s="414"/>
      <c r="E275" s="405"/>
      <c r="F275" s="405">
        <f>F276</f>
        <v>177283</v>
      </c>
      <c r="G275" s="405"/>
      <c r="H275" s="377"/>
      <c r="I275" s="377"/>
      <c r="J275" s="405"/>
      <c r="K275" s="405">
        <f>K276</f>
        <v>177283</v>
      </c>
      <c r="L275" s="405"/>
      <c r="M275" s="377"/>
      <c r="N275" s="377"/>
      <c r="O275" s="405"/>
      <c r="P275" s="405">
        <f>P276</f>
        <v>177283</v>
      </c>
      <c r="Q275" s="405"/>
      <c r="R275" s="377"/>
    </row>
    <row r="276" spans="1:18" ht="13.2">
      <c r="A276" s="411"/>
      <c r="B276" s="412" t="s">
        <v>105</v>
      </c>
      <c r="C276" s="413"/>
      <c r="D276" s="414"/>
      <c r="E276" s="405"/>
      <c r="F276" s="405">
        <f>F277</f>
        <v>177283</v>
      </c>
      <c r="G276" s="405"/>
      <c r="H276" s="377"/>
      <c r="I276" s="377"/>
      <c r="J276" s="405"/>
      <c r="K276" s="405">
        <f>K277</f>
        <v>177283</v>
      </c>
      <c r="L276" s="405"/>
      <c r="M276" s="377"/>
      <c r="N276" s="377"/>
      <c r="O276" s="405"/>
      <c r="P276" s="405">
        <f>P277</f>
        <v>177283</v>
      </c>
      <c r="Q276" s="405"/>
      <c r="R276" s="377"/>
    </row>
    <row r="277" spans="1:18" ht="13.2">
      <c r="A277" s="411"/>
      <c r="B277" s="412" t="s">
        <v>108</v>
      </c>
      <c r="C277" s="413"/>
      <c r="D277" s="414"/>
      <c r="E277" s="405"/>
      <c r="F277" s="405">
        <v>177283</v>
      </c>
      <c r="G277" s="405"/>
      <c r="H277" s="377"/>
      <c r="I277" s="377"/>
      <c r="J277" s="405"/>
      <c r="K277" s="405">
        <v>177283</v>
      </c>
      <c r="L277" s="405"/>
      <c r="M277" s="377"/>
      <c r="N277" s="377"/>
      <c r="O277" s="405"/>
      <c r="P277" s="405">
        <v>177283</v>
      </c>
      <c r="Q277" s="405"/>
      <c r="R277" s="377"/>
    </row>
    <row r="278" spans="1:18" ht="13.2">
      <c r="A278" s="411"/>
      <c r="B278" s="412"/>
      <c r="C278" s="413"/>
      <c r="D278" s="414"/>
      <c r="E278" s="405"/>
      <c r="F278" s="405"/>
      <c r="G278" s="405"/>
      <c r="H278" s="377"/>
      <c r="I278" s="377"/>
      <c r="J278" s="405"/>
      <c r="K278" s="405"/>
      <c r="L278" s="405"/>
      <c r="M278" s="377"/>
      <c r="N278" s="377"/>
      <c r="O278" s="405"/>
      <c r="P278" s="405"/>
      <c r="Q278" s="405"/>
      <c r="R278" s="377"/>
    </row>
    <row r="279" spans="1:18" ht="105.6">
      <c r="A279" s="1327" t="s">
        <v>250</v>
      </c>
      <c r="B279" s="453" t="s">
        <v>251</v>
      </c>
      <c r="C279" s="1328"/>
      <c r="D279" s="1329"/>
      <c r="E279" s="1328"/>
      <c r="F279" s="1329"/>
      <c r="G279" s="1329"/>
      <c r="H279" s="1329"/>
      <c r="I279" s="1329"/>
      <c r="J279" s="1328"/>
      <c r="K279" s="1329"/>
      <c r="L279" s="1329"/>
      <c r="M279" s="1329"/>
      <c r="N279" s="1329"/>
      <c r="O279" s="1328"/>
      <c r="P279" s="1329"/>
      <c r="Q279" s="1329"/>
      <c r="R279" s="1329"/>
    </row>
    <row r="280" spans="1:18" ht="13.2">
      <c r="A280" s="406"/>
      <c r="B280" s="407" t="s">
        <v>88</v>
      </c>
      <c r="C280" s="408"/>
      <c r="D280" s="409"/>
      <c r="E280" s="410"/>
      <c r="F280" s="410">
        <f>F281</f>
        <v>2000</v>
      </c>
      <c r="G280" s="410"/>
      <c r="H280" s="371"/>
      <c r="I280" s="371"/>
      <c r="J280" s="410"/>
      <c r="K280" s="410">
        <f>K281</f>
        <v>2000</v>
      </c>
      <c r="L280" s="410"/>
      <c r="M280" s="371"/>
      <c r="N280" s="371"/>
      <c r="O280" s="410"/>
      <c r="P280" s="410">
        <f>P281</f>
        <v>2000</v>
      </c>
      <c r="Q280" s="410"/>
      <c r="R280" s="371"/>
    </row>
    <row r="281" spans="1:18" ht="13.2">
      <c r="A281" s="411"/>
      <c r="B281" s="412" t="s">
        <v>97</v>
      </c>
      <c r="C281" s="413"/>
      <c r="D281" s="414"/>
      <c r="E281" s="405"/>
      <c r="F281" s="405">
        <f>F282</f>
        <v>2000</v>
      </c>
      <c r="G281" s="405"/>
      <c r="H281" s="377"/>
      <c r="I281" s="377"/>
      <c r="J281" s="405"/>
      <c r="K281" s="405">
        <f>K282</f>
        <v>2000</v>
      </c>
      <c r="L281" s="405"/>
      <c r="M281" s="377"/>
      <c r="N281" s="377"/>
      <c r="O281" s="405"/>
      <c r="P281" s="405">
        <f>P282</f>
        <v>2000</v>
      </c>
      <c r="Q281" s="405"/>
      <c r="R281" s="377"/>
    </row>
    <row r="282" spans="1:18" ht="26.4">
      <c r="A282" s="411"/>
      <c r="B282" s="412" t="s">
        <v>98</v>
      </c>
      <c r="C282" s="413"/>
      <c r="D282" s="414"/>
      <c r="E282" s="405"/>
      <c r="F282" s="405">
        <v>2000</v>
      </c>
      <c r="G282" s="405"/>
      <c r="H282" s="377"/>
      <c r="I282" s="377"/>
      <c r="J282" s="405"/>
      <c r="K282" s="405">
        <v>2000</v>
      </c>
      <c r="L282" s="405"/>
      <c r="M282" s="377"/>
      <c r="N282" s="377"/>
      <c r="O282" s="405"/>
      <c r="P282" s="405">
        <v>2000</v>
      </c>
      <c r="Q282" s="405"/>
      <c r="R282" s="377"/>
    </row>
    <row r="283" spans="1:18" ht="13.2">
      <c r="A283" s="406"/>
      <c r="B283" s="407" t="s">
        <v>101</v>
      </c>
      <c r="C283" s="408"/>
      <c r="D283" s="409"/>
      <c r="E283" s="410"/>
      <c r="F283" s="410">
        <f>F284</f>
        <v>2000</v>
      </c>
      <c r="G283" s="410"/>
      <c r="H283" s="371"/>
      <c r="I283" s="371"/>
      <c r="J283" s="410"/>
      <c r="K283" s="410">
        <f>K284</f>
        <v>2000</v>
      </c>
      <c r="L283" s="410"/>
      <c r="M283" s="371"/>
      <c r="N283" s="371"/>
      <c r="O283" s="410"/>
      <c r="P283" s="410">
        <f>P284</f>
        <v>2000</v>
      </c>
      <c r="Q283" s="410"/>
      <c r="R283" s="371"/>
    </row>
    <row r="284" spans="1:18" ht="13.2">
      <c r="A284" s="411"/>
      <c r="B284" s="412" t="s">
        <v>122</v>
      </c>
      <c r="C284" s="413"/>
      <c r="D284" s="414"/>
      <c r="E284" s="405"/>
      <c r="F284" s="405">
        <f>F285</f>
        <v>2000</v>
      </c>
      <c r="G284" s="405"/>
      <c r="H284" s="377"/>
      <c r="I284" s="377"/>
      <c r="J284" s="405"/>
      <c r="K284" s="405">
        <f>K285</f>
        <v>2000</v>
      </c>
      <c r="L284" s="405"/>
      <c r="M284" s="377"/>
      <c r="N284" s="377"/>
      <c r="O284" s="405"/>
      <c r="P284" s="405">
        <f>P285</f>
        <v>2000</v>
      </c>
      <c r="Q284" s="405"/>
      <c r="R284" s="377"/>
    </row>
    <row r="285" spans="1:18" ht="13.2">
      <c r="A285" s="411"/>
      <c r="B285" s="412" t="s">
        <v>123</v>
      </c>
      <c r="C285" s="413"/>
      <c r="D285" s="414"/>
      <c r="E285" s="405"/>
      <c r="F285" s="405">
        <v>2000</v>
      </c>
      <c r="G285" s="405"/>
      <c r="H285" s="377"/>
      <c r="I285" s="377"/>
      <c r="J285" s="405"/>
      <c r="K285" s="405">
        <v>2000</v>
      </c>
      <c r="L285" s="405"/>
      <c r="M285" s="377"/>
      <c r="N285" s="377"/>
      <c r="O285" s="405"/>
      <c r="P285" s="405">
        <v>2000</v>
      </c>
      <c r="Q285" s="405"/>
      <c r="R285" s="377"/>
    </row>
    <row r="286" spans="1:18" ht="13.2">
      <c r="A286" s="411"/>
      <c r="B286" s="412"/>
      <c r="C286" s="413"/>
      <c r="D286" s="414"/>
      <c r="E286" s="405"/>
      <c r="F286" s="405"/>
      <c r="G286" s="405"/>
      <c r="H286" s="377"/>
      <c r="I286" s="377"/>
      <c r="J286" s="405"/>
      <c r="K286" s="405"/>
      <c r="L286" s="405"/>
      <c r="M286" s="377"/>
      <c r="N286" s="377"/>
      <c r="O286" s="405"/>
      <c r="P286" s="405"/>
      <c r="Q286" s="405"/>
      <c r="R286" s="377"/>
    </row>
    <row r="287" spans="1:18" ht="79.2">
      <c r="A287" s="1327" t="s">
        <v>257</v>
      </c>
      <c r="B287" s="1330" t="s">
        <v>384</v>
      </c>
      <c r="C287" s="1328"/>
      <c r="D287" s="1329"/>
      <c r="E287" s="1328"/>
      <c r="F287" s="1329"/>
      <c r="G287" s="1329"/>
      <c r="H287" s="1329"/>
      <c r="I287" s="1329"/>
      <c r="J287" s="1328"/>
      <c r="K287" s="1329"/>
      <c r="L287" s="1329"/>
      <c r="M287" s="1329"/>
      <c r="N287" s="1329"/>
      <c r="O287" s="1328"/>
      <c r="P287" s="1329"/>
      <c r="Q287" s="1329"/>
      <c r="R287" s="1329"/>
    </row>
    <row r="288" spans="1:18" ht="13.2">
      <c r="A288" s="406"/>
      <c r="B288" s="407" t="s">
        <v>88</v>
      </c>
      <c r="C288" s="408"/>
      <c r="D288" s="409"/>
      <c r="E288" s="410"/>
      <c r="F288" s="410">
        <f>F289</f>
        <v>-14000</v>
      </c>
      <c r="G288" s="410"/>
      <c r="H288" s="371"/>
      <c r="I288" s="371"/>
      <c r="J288" s="410"/>
      <c r="K288" s="410">
        <f>K289</f>
        <v>0</v>
      </c>
      <c r="L288" s="410"/>
      <c r="M288" s="371"/>
      <c r="N288" s="371"/>
      <c r="O288" s="410"/>
      <c r="P288" s="410">
        <f>P289</f>
        <v>0</v>
      </c>
      <c r="Q288" s="410"/>
      <c r="R288" s="371"/>
    </row>
    <row r="289" spans="1:18" ht="13.2">
      <c r="A289" s="411"/>
      <c r="B289" s="412" t="s">
        <v>97</v>
      </c>
      <c r="C289" s="413"/>
      <c r="D289" s="414"/>
      <c r="E289" s="405"/>
      <c r="F289" s="405">
        <f>F290</f>
        <v>-14000</v>
      </c>
      <c r="G289" s="405"/>
      <c r="H289" s="377"/>
      <c r="I289" s="377"/>
      <c r="J289" s="405"/>
      <c r="K289" s="405">
        <f>K290</f>
        <v>0</v>
      </c>
      <c r="L289" s="405"/>
      <c r="M289" s="377"/>
      <c r="N289" s="377"/>
      <c r="O289" s="405"/>
      <c r="P289" s="405">
        <f>P290</f>
        <v>0</v>
      </c>
      <c r="Q289" s="405"/>
      <c r="R289" s="377"/>
    </row>
    <row r="290" spans="1:18" ht="26.4">
      <c r="A290" s="411"/>
      <c r="B290" s="412" t="s">
        <v>98</v>
      </c>
      <c r="C290" s="413"/>
      <c r="D290" s="414"/>
      <c r="E290" s="405"/>
      <c r="F290" s="405">
        <f>-14000</f>
        <v>-14000</v>
      </c>
      <c r="G290" s="405"/>
      <c r="H290" s="377"/>
      <c r="I290" s="377"/>
      <c r="J290" s="405"/>
      <c r="K290" s="405"/>
      <c r="L290" s="405"/>
      <c r="M290" s="377"/>
      <c r="N290" s="377"/>
      <c r="O290" s="405"/>
      <c r="P290" s="405"/>
      <c r="Q290" s="405"/>
      <c r="R290" s="377"/>
    </row>
    <row r="291" spans="1:18" ht="13.2">
      <c r="A291" s="406"/>
      <c r="B291" s="407" t="s">
        <v>101</v>
      </c>
      <c r="C291" s="408"/>
      <c r="D291" s="409"/>
      <c r="E291" s="410"/>
      <c r="F291" s="410">
        <f>F292</f>
        <v>-14000</v>
      </c>
      <c r="G291" s="410"/>
      <c r="H291" s="371"/>
      <c r="I291" s="371"/>
      <c r="J291" s="410"/>
      <c r="K291" s="410">
        <f>K292</f>
        <v>0</v>
      </c>
      <c r="L291" s="410"/>
      <c r="M291" s="371"/>
      <c r="N291" s="371"/>
      <c r="O291" s="410"/>
      <c r="P291" s="410">
        <f>P292</f>
        <v>0</v>
      </c>
      <c r="Q291" s="410"/>
      <c r="R291" s="371"/>
    </row>
    <row r="292" spans="1:18" ht="13.2">
      <c r="A292" s="411"/>
      <c r="B292" s="412" t="s">
        <v>122</v>
      </c>
      <c r="C292" s="413"/>
      <c r="D292" s="414"/>
      <c r="E292" s="405"/>
      <c r="F292" s="405">
        <f>F293</f>
        <v>-14000</v>
      </c>
      <c r="G292" s="405"/>
      <c r="H292" s="377"/>
      <c r="I292" s="377"/>
      <c r="J292" s="405"/>
      <c r="K292" s="405">
        <f>K293</f>
        <v>0</v>
      </c>
      <c r="L292" s="405"/>
      <c r="M292" s="377"/>
      <c r="N292" s="377"/>
      <c r="O292" s="405"/>
      <c r="P292" s="405">
        <f>P293</f>
        <v>0</v>
      </c>
      <c r="Q292" s="405"/>
      <c r="R292" s="377"/>
    </row>
    <row r="293" spans="1:18" ht="13.2">
      <c r="A293" s="411"/>
      <c r="B293" s="412" t="s">
        <v>123</v>
      </c>
      <c r="C293" s="413"/>
      <c r="D293" s="414"/>
      <c r="E293" s="405"/>
      <c r="F293" s="405">
        <f>-14000</f>
        <v>-14000</v>
      </c>
      <c r="G293" s="405"/>
      <c r="H293" s="377"/>
      <c r="I293" s="377"/>
      <c r="J293" s="405"/>
      <c r="K293" s="405"/>
      <c r="L293" s="405"/>
      <c r="M293" s="377"/>
      <c r="N293" s="377"/>
      <c r="O293" s="405"/>
      <c r="P293" s="405"/>
      <c r="Q293" s="405"/>
      <c r="R293" s="377"/>
    </row>
    <row r="294" spans="1:18" ht="13.2">
      <c r="A294" s="411"/>
      <c r="B294" s="412"/>
      <c r="C294" s="413"/>
      <c r="D294" s="414"/>
      <c r="E294" s="405"/>
      <c r="F294" s="405"/>
      <c r="G294" s="405"/>
      <c r="H294" s="377"/>
      <c r="I294" s="377"/>
      <c r="J294" s="405"/>
      <c r="K294" s="405"/>
      <c r="L294" s="405"/>
      <c r="M294" s="377"/>
      <c r="N294" s="377"/>
      <c r="O294" s="405"/>
      <c r="P294" s="405"/>
      <c r="Q294" s="405"/>
      <c r="R294" s="377"/>
    </row>
    <row r="295" spans="1:18" ht="211.2">
      <c r="A295" s="1327" t="s">
        <v>324</v>
      </c>
      <c r="B295" s="453" t="s">
        <v>385</v>
      </c>
      <c r="C295" s="1328"/>
      <c r="D295" s="1329"/>
      <c r="E295" s="1328"/>
      <c r="F295" s="1329"/>
      <c r="G295" s="1329"/>
      <c r="H295" s="1329"/>
      <c r="I295" s="1329"/>
      <c r="J295" s="1328"/>
      <c r="K295" s="1329"/>
      <c r="L295" s="1329"/>
      <c r="M295" s="1329"/>
      <c r="N295" s="1329"/>
      <c r="O295" s="1328"/>
      <c r="P295" s="1329"/>
      <c r="Q295" s="1329"/>
      <c r="R295" s="1329"/>
    </row>
    <row r="296" spans="1:18" ht="13.2">
      <c r="A296" s="406"/>
      <c r="B296" s="407" t="s">
        <v>88</v>
      </c>
      <c r="C296" s="408"/>
      <c r="D296" s="409"/>
      <c r="E296" s="410"/>
      <c r="F296" s="410">
        <f>F297</f>
        <v>15911180</v>
      </c>
      <c r="G296" s="410"/>
      <c r="H296" s="371"/>
      <c r="I296" s="371"/>
      <c r="J296" s="410"/>
      <c r="K296" s="410">
        <f>K297</f>
        <v>15911180</v>
      </c>
      <c r="L296" s="410"/>
      <c r="M296" s="371"/>
      <c r="N296" s="371"/>
      <c r="O296" s="410"/>
      <c r="P296" s="410">
        <f>P297</f>
        <v>15911180</v>
      </c>
      <c r="Q296" s="410"/>
      <c r="R296" s="371"/>
    </row>
    <row r="297" spans="1:18" ht="13.2">
      <c r="A297" s="411"/>
      <c r="B297" s="412" t="s">
        <v>97</v>
      </c>
      <c r="C297" s="413"/>
      <c r="D297" s="414"/>
      <c r="E297" s="405"/>
      <c r="F297" s="405">
        <f>F298</f>
        <v>15911180</v>
      </c>
      <c r="G297" s="405"/>
      <c r="H297" s="377"/>
      <c r="I297" s="377"/>
      <c r="J297" s="405"/>
      <c r="K297" s="405">
        <f>K298</f>
        <v>15911180</v>
      </c>
      <c r="L297" s="405"/>
      <c r="M297" s="377"/>
      <c r="N297" s="377"/>
      <c r="O297" s="405"/>
      <c r="P297" s="405">
        <f>P298</f>
        <v>15911180</v>
      </c>
      <c r="Q297" s="405"/>
      <c r="R297" s="377"/>
    </row>
    <row r="298" spans="1:18" ht="26.4">
      <c r="A298" s="411"/>
      <c r="B298" s="412" t="s">
        <v>98</v>
      </c>
      <c r="C298" s="413"/>
      <c r="D298" s="414"/>
      <c r="E298" s="405"/>
      <c r="F298" s="405">
        <f>15911180</f>
        <v>15911180</v>
      </c>
      <c r="G298" s="405"/>
      <c r="H298" s="377"/>
      <c r="I298" s="377"/>
      <c r="J298" s="405"/>
      <c r="K298" s="405">
        <f>15911180</f>
        <v>15911180</v>
      </c>
      <c r="L298" s="405"/>
      <c r="M298" s="377"/>
      <c r="N298" s="377"/>
      <c r="O298" s="405"/>
      <c r="P298" s="405">
        <f>15911180</f>
        <v>15911180</v>
      </c>
      <c r="Q298" s="405"/>
      <c r="R298" s="377"/>
    </row>
    <row r="299" spans="1:18" ht="13.2">
      <c r="A299" s="406"/>
      <c r="B299" s="407" t="s">
        <v>101</v>
      </c>
      <c r="C299" s="408"/>
      <c r="D299" s="409"/>
      <c r="E299" s="410"/>
      <c r="F299" s="410">
        <f>F300</f>
        <v>15911180</v>
      </c>
      <c r="G299" s="410"/>
      <c r="H299" s="371"/>
      <c r="I299" s="371"/>
      <c r="J299" s="410"/>
      <c r="K299" s="410">
        <f>K300</f>
        <v>15911180</v>
      </c>
      <c r="L299" s="410"/>
      <c r="M299" s="371"/>
      <c r="N299" s="371"/>
      <c r="O299" s="410"/>
      <c r="P299" s="410">
        <f>P300</f>
        <v>15911180</v>
      </c>
      <c r="Q299" s="410"/>
      <c r="R299" s="371"/>
    </row>
    <row r="300" spans="1:18" ht="13.2">
      <c r="A300" s="411"/>
      <c r="B300" s="412" t="s">
        <v>103</v>
      </c>
      <c r="C300" s="413"/>
      <c r="D300" s="414"/>
      <c r="E300" s="405"/>
      <c r="F300" s="405">
        <f>F301</f>
        <v>15911180</v>
      </c>
      <c r="G300" s="405"/>
      <c r="H300" s="377"/>
      <c r="I300" s="377"/>
      <c r="J300" s="405"/>
      <c r="K300" s="405">
        <f>K301</f>
        <v>15911180</v>
      </c>
      <c r="L300" s="405"/>
      <c r="M300" s="377"/>
      <c r="N300" s="377"/>
      <c r="O300" s="405"/>
      <c r="P300" s="405">
        <f>P301</f>
        <v>15911180</v>
      </c>
      <c r="Q300" s="405"/>
      <c r="R300" s="377"/>
    </row>
    <row r="301" spans="1:18" ht="13.2">
      <c r="A301" s="411"/>
      <c r="B301" s="412" t="s">
        <v>105</v>
      </c>
      <c r="C301" s="413"/>
      <c r="D301" s="414"/>
      <c r="E301" s="405"/>
      <c r="F301" s="405">
        <f>F302+F304</f>
        <v>15911180</v>
      </c>
      <c r="G301" s="405"/>
      <c r="H301" s="377"/>
      <c r="I301" s="377"/>
      <c r="J301" s="405"/>
      <c r="K301" s="405">
        <f>K302+K304</f>
        <v>15911180</v>
      </c>
      <c r="L301" s="405"/>
      <c r="M301" s="377"/>
      <c r="N301" s="377"/>
      <c r="O301" s="405"/>
      <c r="P301" s="405">
        <f>P302+P304</f>
        <v>15911180</v>
      </c>
      <c r="Q301" s="405"/>
      <c r="R301" s="377"/>
    </row>
    <row r="302" spans="1:18" ht="13.2">
      <c r="A302" s="411"/>
      <c r="B302" s="412" t="s">
        <v>106</v>
      </c>
      <c r="C302" s="413"/>
      <c r="D302" s="414"/>
      <c r="E302" s="405"/>
      <c r="F302" s="405">
        <v>15587790</v>
      </c>
      <c r="G302" s="405"/>
      <c r="H302" s="377"/>
      <c r="I302" s="377"/>
      <c r="J302" s="405"/>
      <c r="K302" s="405">
        <v>15587790</v>
      </c>
      <c r="L302" s="405"/>
      <c r="M302" s="377"/>
      <c r="N302" s="377"/>
      <c r="O302" s="405"/>
      <c r="P302" s="405">
        <v>15587790</v>
      </c>
      <c r="Q302" s="405"/>
      <c r="R302" s="377"/>
    </row>
    <row r="303" spans="1:18" ht="13.2">
      <c r="A303" s="411"/>
      <c r="B303" s="412" t="s">
        <v>107</v>
      </c>
      <c r="C303" s="413"/>
      <c r="D303" s="414"/>
      <c r="E303" s="405"/>
      <c r="F303" s="405">
        <v>12561680</v>
      </c>
      <c r="G303" s="405"/>
      <c r="H303" s="377"/>
      <c r="I303" s="377"/>
      <c r="J303" s="405"/>
      <c r="K303" s="405">
        <v>12561680</v>
      </c>
      <c r="L303" s="405"/>
      <c r="M303" s="377"/>
      <c r="N303" s="377"/>
      <c r="O303" s="405"/>
      <c r="P303" s="405">
        <v>12561680</v>
      </c>
      <c r="Q303" s="405"/>
      <c r="R303" s="377"/>
    </row>
    <row r="304" spans="1:18" ht="13.2">
      <c r="A304" s="411"/>
      <c r="B304" s="412" t="s">
        <v>108</v>
      </c>
      <c r="C304" s="413"/>
      <c r="D304" s="414"/>
      <c r="E304" s="405"/>
      <c r="F304" s="405">
        <f>323390</f>
        <v>323390</v>
      </c>
      <c r="G304" s="405"/>
      <c r="H304" s="377"/>
      <c r="I304" s="377"/>
      <c r="J304" s="405"/>
      <c r="K304" s="405">
        <f>323390</f>
        <v>323390</v>
      </c>
      <c r="L304" s="405"/>
      <c r="M304" s="377"/>
      <c r="N304" s="377"/>
      <c r="O304" s="405"/>
      <c r="P304" s="405">
        <f>323390</f>
        <v>323390</v>
      </c>
      <c r="Q304" s="405"/>
      <c r="R304" s="377"/>
    </row>
    <row r="305" spans="1:18" ht="13.2">
      <c r="A305" s="411"/>
      <c r="B305" s="412"/>
      <c r="C305" s="413"/>
      <c r="D305" s="414"/>
      <c r="E305" s="405"/>
      <c r="F305" s="405"/>
      <c r="G305" s="405"/>
      <c r="H305" s="377"/>
      <c r="I305" s="377"/>
      <c r="J305" s="405"/>
      <c r="K305" s="405"/>
      <c r="L305" s="405"/>
      <c r="M305" s="377"/>
      <c r="N305" s="377"/>
      <c r="O305" s="405"/>
      <c r="P305" s="405"/>
      <c r="Q305" s="405"/>
      <c r="R305" s="377"/>
    </row>
    <row r="306" spans="1:18" ht="79.2">
      <c r="A306" s="1327" t="s">
        <v>326</v>
      </c>
      <c r="B306" s="453" t="s">
        <v>621</v>
      </c>
      <c r="C306" s="1328"/>
      <c r="D306" s="1329"/>
      <c r="E306" s="1328"/>
      <c r="F306" s="1329"/>
      <c r="G306" s="1329"/>
      <c r="H306" s="1329"/>
      <c r="I306" s="1329"/>
      <c r="J306" s="1328"/>
      <c r="K306" s="1329"/>
      <c r="L306" s="1329"/>
      <c r="M306" s="1329"/>
      <c r="N306" s="1329"/>
      <c r="O306" s="1328"/>
      <c r="P306" s="1329"/>
      <c r="Q306" s="1329"/>
      <c r="R306" s="1329"/>
    </row>
    <row r="307" spans="1:18" ht="13.2">
      <c r="A307" s="406"/>
      <c r="B307" s="407" t="s">
        <v>88</v>
      </c>
      <c r="C307" s="408"/>
      <c r="D307" s="409"/>
      <c r="E307" s="410"/>
      <c r="F307" s="410">
        <f>F308</f>
        <v>241273</v>
      </c>
      <c r="G307" s="410"/>
      <c r="H307" s="371"/>
      <c r="I307" s="371"/>
      <c r="J307" s="410"/>
      <c r="K307" s="410">
        <f>K308</f>
        <v>72635</v>
      </c>
      <c r="L307" s="410"/>
      <c r="M307" s="371"/>
      <c r="N307" s="371"/>
      <c r="O307" s="410"/>
      <c r="P307" s="410">
        <f>P308</f>
        <v>50471</v>
      </c>
      <c r="Q307" s="410"/>
      <c r="R307" s="371"/>
    </row>
    <row r="308" spans="1:18" ht="13.2">
      <c r="A308" s="411"/>
      <c r="B308" s="412" t="s">
        <v>97</v>
      </c>
      <c r="C308" s="413"/>
      <c r="D308" s="414"/>
      <c r="E308" s="405"/>
      <c r="F308" s="405">
        <f>F309</f>
        <v>241273</v>
      </c>
      <c r="G308" s="405"/>
      <c r="H308" s="377"/>
      <c r="I308" s="377"/>
      <c r="J308" s="405"/>
      <c r="K308" s="405">
        <f>K309</f>
        <v>72635</v>
      </c>
      <c r="L308" s="405"/>
      <c r="M308" s="377"/>
      <c r="N308" s="377"/>
      <c r="O308" s="405"/>
      <c r="P308" s="405">
        <f>P309</f>
        <v>50471</v>
      </c>
      <c r="Q308" s="405"/>
      <c r="R308" s="377"/>
    </row>
    <row r="309" spans="1:18" ht="26.4">
      <c r="A309" s="411"/>
      <c r="B309" s="412" t="s">
        <v>98</v>
      </c>
      <c r="C309" s="413"/>
      <c r="D309" s="414"/>
      <c r="E309" s="405"/>
      <c r="F309" s="405">
        <v>241273</v>
      </c>
      <c r="G309" s="405"/>
      <c r="H309" s="377"/>
      <c r="I309" s="377"/>
      <c r="J309" s="405"/>
      <c r="K309" s="405">
        <v>72635</v>
      </c>
      <c r="L309" s="405"/>
      <c r="M309" s="377"/>
      <c r="N309" s="377"/>
      <c r="O309" s="405"/>
      <c r="P309" s="405">
        <v>50471</v>
      </c>
      <c r="Q309" s="405"/>
      <c r="R309" s="377"/>
    </row>
    <row r="310" spans="1:18" ht="13.2">
      <c r="A310" s="406"/>
      <c r="B310" s="407" t="s">
        <v>101</v>
      </c>
      <c r="C310" s="408"/>
      <c r="D310" s="409"/>
      <c r="E310" s="410"/>
      <c r="F310" s="410">
        <f>F311</f>
        <v>241273</v>
      </c>
      <c r="G310" s="410"/>
      <c r="H310" s="371"/>
      <c r="I310" s="371"/>
      <c r="J310" s="410"/>
      <c r="K310" s="410">
        <f>K311</f>
        <v>72635</v>
      </c>
      <c r="L310" s="410"/>
      <c r="M310" s="371"/>
      <c r="N310" s="371"/>
      <c r="O310" s="410"/>
      <c r="P310" s="410">
        <f>P311</f>
        <v>50471</v>
      </c>
      <c r="Q310" s="410"/>
      <c r="R310" s="371"/>
    </row>
    <row r="311" spans="1:18" ht="13.2">
      <c r="A311" s="411"/>
      <c r="B311" s="412" t="s">
        <v>103</v>
      </c>
      <c r="C311" s="413"/>
      <c r="D311" s="414"/>
      <c r="E311" s="405"/>
      <c r="F311" s="405">
        <f>F312</f>
        <v>241273</v>
      </c>
      <c r="G311" s="405"/>
      <c r="H311" s="377"/>
      <c r="I311" s="377"/>
      <c r="J311" s="405"/>
      <c r="K311" s="405">
        <f>K312</f>
        <v>72635</v>
      </c>
      <c r="L311" s="405"/>
      <c r="M311" s="377"/>
      <c r="N311" s="377"/>
      <c r="O311" s="405"/>
      <c r="P311" s="405">
        <f>P312</f>
        <v>50471</v>
      </c>
      <c r="Q311" s="405"/>
      <c r="R311" s="377"/>
    </row>
    <row r="312" spans="1:18" ht="13.2">
      <c r="A312" s="411"/>
      <c r="B312" s="412" t="s">
        <v>105</v>
      </c>
      <c r="C312" s="413"/>
      <c r="D312" s="414"/>
      <c r="E312" s="405"/>
      <c r="F312" s="405">
        <f>F313+F315</f>
        <v>241273</v>
      </c>
      <c r="G312" s="405"/>
      <c r="H312" s="377"/>
      <c r="I312" s="377"/>
      <c r="J312" s="405"/>
      <c r="K312" s="405">
        <f>K313+K315</f>
        <v>72635</v>
      </c>
      <c r="L312" s="405"/>
      <c r="M312" s="377"/>
      <c r="N312" s="377"/>
      <c r="O312" s="405"/>
      <c r="P312" s="405">
        <f>P313+P315</f>
        <v>50471</v>
      </c>
      <c r="Q312" s="405"/>
      <c r="R312" s="377"/>
    </row>
    <row r="313" spans="1:18" ht="13.2">
      <c r="A313" s="411"/>
      <c r="B313" s="412" t="s">
        <v>106</v>
      </c>
      <c r="C313" s="413"/>
      <c r="D313" s="414"/>
      <c r="E313" s="405"/>
      <c r="F313" s="405">
        <v>25503</v>
      </c>
      <c r="G313" s="405"/>
      <c r="H313" s="377"/>
      <c r="I313" s="377"/>
      <c r="J313" s="405"/>
      <c r="K313" s="405">
        <v>46042</v>
      </c>
      <c r="L313" s="405"/>
      <c r="M313" s="377"/>
      <c r="N313" s="377"/>
      <c r="O313" s="405"/>
      <c r="P313" s="405">
        <v>30889</v>
      </c>
      <c r="Q313" s="405"/>
      <c r="R313" s="377"/>
    </row>
    <row r="314" spans="1:18" ht="13.2">
      <c r="A314" s="411"/>
      <c r="B314" s="412" t="s">
        <v>107</v>
      </c>
      <c r="C314" s="413"/>
      <c r="D314" s="414"/>
      <c r="E314" s="405"/>
      <c r="F314" s="405">
        <v>6792</v>
      </c>
      <c r="G314" s="405"/>
      <c r="H314" s="377"/>
      <c r="I314" s="377"/>
      <c r="J314" s="405"/>
      <c r="K314" s="405">
        <v>13584</v>
      </c>
      <c r="L314" s="405"/>
      <c r="M314" s="377"/>
      <c r="N314" s="377"/>
      <c r="O314" s="405"/>
      <c r="P314" s="405">
        <v>9056</v>
      </c>
      <c r="Q314" s="405"/>
      <c r="R314" s="377"/>
    </row>
    <row r="315" spans="1:18" ht="13.2">
      <c r="A315" s="411"/>
      <c r="B315" s="412" t="s">
        <v>108</v>
      </c>
      <c r="C315" s="413"/>
      <c r="D315" s="414"/>
      <c r="E315" s="405"/>
      <c r="F315" s="405">
        <v>215770</v>
      </c>
      <c r="G315" s="405"/>
      <c r="H315" s="377"/>
      <c r="I315" s="377"/>
      <c r="J315" s="405"/>
      <c r="K315" s="405">
        <v>26593</v>
      </c>
      <c r="L315" s="405"/>
      <c r="M315" s="377"/>
      <c r="N315" s="377"/>
      <c r="O315" s="405"/>
      <c r="P315" s="405">
        <v>19582</v>
      </c>
      <c r="Q315" s="405"/>
      <c r="R315" s="377"/>
    </row>
    <row r="316" spans="1:18" ht="13.2">
      <c r="A316" s="411"/>
      <c r="B316" s="412"/>
      <c r="C316" s="413"/>
      <c r="D316" s="414"/>
      <c r="E316" s="405"/>
      <c r="F316" s="405"/>
      <c r="G316" s="405"/>
      <c r="H316" s="377"/>
      <c r="I316" s="377"/>
      <c r="J316" s="405"/>
      <c r="K316" s="405"/>
      <c r="L316" s="405"/>
      <c r="M316" s="377"/>
      <c r="N316" s="377"/>
      <c r="O316" s="405"/>
      <c r="P316" s="405"/>
      <c r="Q316" s="405"/>
      <c r="R316" s="377"/>
    </row>
    <row r="317" spans="1:18" ht="79.2">
      <c r="A317" s="1327" t="s">
        <v>327</v>
      </c>
      <c r="B317" s="453" t="s">
        <v>475</v>
      </c>
      <c r="C317" s="1328"/>
      <c r="D317" s="1329"/>
      <c r="E317" s="1328"/>
      <c r="F317" s="1329"/>
      <c r="G317" s="1329"/>
      <c r="H317" s="1329"/>
      <c r="I317" s="1329"/>
      <c r="J317" s="1328"/>
      <c r="K317" s="1329"/>
      <c r="L317" s="1329"/>
      <c r="M317" s="1329"/>
      <c r="N317" s="1329"/>
      <c r="O317" s="1328"/>
      <c r="P317" s="1329"/>
      <c r="Q317" s="1329"/>
      <c r="R317" s="1329"/>
    </row>
    <row r="318" spans="1:18" ht="13.2">
      <c r="A318" s="406"/>
      <c r="B318" s="407" t="s">
        <v>88</v>
      </c>
      <c r="C318" s="408"/>
      <c r="D318" s="409"/>
      <c r="E318" s="410"/>
      <c r="F318" s="410">
        <f>F319</f>
        <v>1492</v>
      </c>
      <c r="G318" s="410"/>
      <c r="H318" s="371"/>
      <c r="I318" s="371"/>
      <c r="J318" s="410"/>
      <c r="K318" s="410">
        <f>K319</f>
        <v>1492</v>
      </c>
      <c r="L318" s="410"/>
      <c r="M318" s="371"/>
      <c r="N318" s="371"/>
      <c r="O318" s="410"/>
      <c r="P318" s="410">
        <f>P319</f>
        <v>1492</v>
      </c>
      <c r="Q318" s="410"/>
      <c r="R318" s="371"/>
    </row>
    <row r="319" spans="1:18" ht="13.2">
      <c r="A319" s="411"/>
      <c r="B319" s="412" t="s">
        <v>97</v>
      </c>
      <c r="C319" s="413"/>
      <c r="D319" s="414"/>
      <c r="E319" s="405"/>
      <c r="F319" s="405">
        <f>F320</f>
        <v>1492</v>
      </c>
      <c r="G319" s="405"/>
      <c r="H319" s="377"/>
      <c r="I319" s="377"/>
      <c r="J319" s="405"/>
      <c r="K319" s="405">
        <f>K320</f>
        <v>1492</v>
      </c>
      <c r="L319" s="405"/>
      <c r="M319" s="377"/>
      <c r="N319" s="377"/>
      <c r="O319" s="405"/>
      <c r="P319" s="405">
        <f>P320</f>
        <v>1492</v>
      </c>
      <c r="Q319" s="405"/>
      <c r="R319" s="377"/>
    </row>
    <row r="320" spans="1:18" ht="26.4">
      <c r="A320" s="411"/>
      <c r="B320" s="412" t="s">
        <v>98</v>
      </c>
      <c r="C320" s="413"/>
      <c r="D320" s="414"/>
      <c r="E320" s="405"/>
      <c r="F320" s="405">
        <v>1492</v>
      </c>
      <c r="G320" s="405"/>
      <c r="H320" s="377"/>
      <c r="I320" s="377"/>
      <c r="J320" s="405"/>
      <c r="K320" s="405">
        <v>1492</v>
      </c>
      <c r="L320" s="405"/>
      <c r="M320" s="377"/>
      <c r="N320" s="377"/>
      <c r="O320" s="405"/>
      <c r="P320" s="405">
        <v>1492</v>
      </c>
      <c r="Q320" s="405"/>
      <c r="R320" s="377"/>
    </row>
    <row r="321" spans="1:18" ht="13.2">
      <c r="A321" s="406"/>
      <c r="B321" s="407" t="s">
        <v>101</v>
      </c>
      <c r="C321" s="408"/>
      <c r="D321" s="409"/>
      <c r="E321" s="410"/>
      <c r="F321" s="410">
        <f>F322</f>
        <v>1492</v>
      </c>
      <c r="G321" s="410"/>
      <c r="H321" s="371"/>
      <c r="I321" s="371"/>
      <c r="J321" s="410"/>
      <c r="K321" s="410">
        <f>K322</f>
        <v>1492</v>
      </c>
      <c r="L321" s="410"/>
      <c r="M321" s="371"/>
      <c r="N321" s="371"/>
      <c r="O321" s="410"/>
      <c r="P321" s="410">
        <f>P322</f>
        <v>1492</v>
      </c>
      <c r="Q321" s="410"/>
      <c r="R321" s="371"/>
    </row>
    <row r="322" spans="1:18" ht="13.2">
      <c r="A322" s="411"/>
      <c r="B322" s="412" t="s">
        <v>103</v>
      </c>
      <c r="C322" s="413"/>
      <c r="D322" s="414"/>
      <c r="E322" s="405"/>
      <c r="F322" s="405">
        <f>F323</f>
        <v>1492</v>
      </c>
      <c r="G322" s="405"/>
      <c r="H322" s="377"/>
      <c r="I322" s="377"/>
      <c r="J322" s="405"/>
      <c r="K322" s="405">
        <f>K323</f>
        <v>1492</v>
      </c>
      <c r="L322" s="405"/>
      <c r="M322" s="377"/>
      <c r="N322" s="377"/>
      <c r="O322" s="405"/>
      <c r="P322" s="405">
        <f>P323</f>
        <v>1492</v>
      </c>
      <c r="Q322" s="405"/>
      <c r="R322" s="377"/>
    </row>
    <row r="323" spans="1:18" ht="26.4">
      <c r="A323" s="411"/>
      <c r="B323" s="412" t="s">
        <v>183</v>
      </c>
      <c r="C323" s="413"/>
      <c r="D323" s="414"/>
      <c r="E323" s="405"/>
      <c r="F323" s="405">
        <f>F324</f>
        <v>1492</v>
      </c>
      <c r="G323" s="405"/>
      <c r="H323" s="377"/>
      <c r="I323" s="377"/>
      <c r="J323" s="405"/>
      <c r="K323" s="405">
        <f>K324</f>
        <v>1492</v>
      </c>
      <c r="L323" s="405"/>
      <c r="M323" s="377"/>
      <c r="N323" s="377"/>
      <c r="O323" s="405"/>
      <c r="P323" s="405">
        <f>P324</f>
        <v>1492</v>
      </c>
      <c r="Q323" s="405"/>
      <c r="R323" s="377"/>
    </row>
    <row r="324" spans="1:18" ht="13.2">
      <c r="A324" s="411"/>
      <c r="B324" s="568" t="s">
        <v>114</v>
      </c>
      <c r="C324" s="413"/>
      <c r="D324" s="414"/>
      <c r="E324" s="405"/>
      <c r="F324" s="405">
        <v>1492</v>
      </c>
      <c r="G324" s="405"/>
      <c r="H324" s="377"/>
      <c r="I324" s="377"/>
      <c r="J324" s="405"/>
      <c r="K324" s="405">
        <v>1492</v>
      </c>
      <c r="L324" s="405"/>
      <c r="M324" s="377"/>
      <c r="N324" s="377"/>
      <c r="O324" s="405"/>
      <c r="P324" s="405">
        <v>1492</v>
      </c>
      <c r="Q324" s="405"/>
      <c r="R324" s="377"/>
    </row>
    <row r="325" spans="1:18" ht="13.2">
      <c r="A325" s="411"/>
      <c r="B325" s="412"/>
      <c r="C325" s="413"/>
      <c r="D325" s="414"/>
      <c r="E325" s="405"/>
      <c r="F325" s="405"/>
      <c r="G325" s="405"/>
      <c r="H325" s="377"/>
      <c r="I325" s="377"/>
      <c r="J325" s="405"/>
      <c r="K325" s="405"/>
      <c r="L325" s="405"/>
      <c r="M325" s="377"/>
      <c r="N325" s="377"/>
      <c r="O325" s="405"/>
      <c r="P325" s="405"/>
      <c r="Q325" s="405"/>
      <c r="R325" s="377"/>
    </row>
    <row r="326" spans="1:18" ht="13.2">
      <c r="A326" s="777" t="s">
        <v>245</v>
      </c>
      <c r="B326" s="778" t="s">
        <v>140</v>
      </c>
      <c r="C326" s="405"/>
      <c r="D326" s="377"/>
      <c r="E326" s="405"/>
      <c r="F326" s="377"/>
      <c r="G326" s="377"/>
      <c r="H326" s="377"/>
      <c r="I326" s="377"/>
      <c r="J326" s="405"/>
      <c r="K326" s="377"/>
      <c r="L326" s="377"/>
      <c r="M326" s="377"/>
      <c r="N326" s="377"/>
      <c r="O326" s="405"/>
      <c r="P326" s="377"/>
      <c r="Q326" s="377"/>
      <c r="R326" s="377"/>
    </row>
    <row r="327" spans="1:18" ht="13.2">
      <c r="A327" s="371"/>
      <c r="B327" s="372" t="s">
        <v>238</v>
      </c>
      <c r="C327" s="405"/>
      <c r="D327" s="377"/>
      <c r="E327" s="405"/>
      <c r="F327" s="377"/>
      <c r="G327" s="377"/>
      <c r="H327" s="377"/>
      <c r="I327" s="377"/>
      <c r="J327" s="405"/>
      <c r="K327" s="377"/>
      <c r="L327" s="377"/>
      <c r="M327" s="377"/>
      <c r="N327" s="377"/>
      <c r="O327" s="405"/>
      <c r="P327" s="377"/>
      <c r="Q327" s="377"/>
      <c r="R327" s="377"/>
    </row>
    <row r="328" spans="1:18" ht="13.2">
      <c r="A328" s="371"/>
      <c r="B328" s="372"/>
      <c r="C328" s="405"/>
      <c r="D328" s="377"/>
      <c r="E328" s="405"/>
      <c r="F328" s="377"/>
      <c r="G328" s="377"/>
      <c r="H328" s="377"/>
      <c r="I328" s="377"/>
      <c r="J328" s="405"/>
      <c r="K328" s="377"/>
      <c r="L328" s="377"/>
      <c r="M328" s="377"/>
      <c r="N328" s="377"/>
      <c r="O328" s="405"/>
      <c r="P328" s="377"/>
      <c r="Q328" s="377"/>
      <c r="R328" s="377"/>
    </row>
    <row r="329" spans="1:18" ht="13.2">
      <c r="A329" s="373" t="s">
        <v>223</v>
      </c>
      <c r="B329" s="374" t="s">
        <v>434</v>
      </c>
      <c r="C329" s="405"/>
      <c r="D329" s="377"/>
      <c r="E329" s="405"/>
      <c r="F329" s="377"/>
      <c r="G329" s="377"/>
      <c r="H329" s="377"/>
      <c r="I329" s="377"/>
      <c r="J329" s="405"/>
      <c r="K329" s="377"/>
      <c r="L329" s="377"/>
      <c r="M329" s="377"/>
      <c r="N329" s="377"/>
      <c r="O329" s="405"/>
      <c r="P329" s="377"/>
      <c r="Q329" s="377"/>
      <c r="R329" s="377"/>
    </row>
    <row r="330" spans="1:18" ht="132">
      <c r="A330" s="1327" t="s">
        <v>240</v>
      </c>
      <c r="B330" s="453" t="s">
        <v>252</v>
      </c>
      <c r="C330" s="1328"/>
      <c r="D330" s="1329"/>
      <c r="E330" s="1328"/>
      <c r="F330" s="1329"/>
      <c r="G330" s="1329"/>
      <c r="H330" s="1329"/>
      <c r="I330" s="1329"/>
      <c r="J330" s="1328"/>
      <c r="K330" s="1329"/>
      <c r="L330" s="1329"/>
      <c r="M330" s="1329"/>
      <c r="N330" s="1329"/>
      <c r="O330" s="1328"/>
      <c r="P330" s="1329"/>
      <c r="Q330" s="1329"/>
      <c r="R330" s="1329"/>
    </row>
    <row r="331" spans="1:18" ht="13.2">
      <c r="A331" s="415"/>
      <c r="B331" s="407" t="s">
        <v>88</v>
      </c>
      <c r="C331" s="410"/>
      <c r="D331" s="371"/>
      <c r="E331" s="410">
        <f>E332+E333</f>
        <v>25232</v>
      </c>
      <c r="F331" s="371"/>
      <c r="G331" s="371"/>
      <c r="H331" s="371"/>
      <c r="I331" s="371"/>
      <c r="J331" s="410"/>
      <c r="K331" s="371"/>
      <c r="L331" s="371"/>
      <c r="M331" s="371"/>
      <c r="N331" s="371"/>
      <c r="O331" s="410"/>
      <c r="P331" s="371"/>
      <c r="Q331" s="371"/>
      <c r="R331" s="371"/>
    </row>
    <row r="332" spans="1:18" ht="13.2">
      <c r="A332" s="375"/>
      <c r="B332" s="412" t="s">
        <v>92</v>
      </c>
      <c r="C332" s="405"/>
      <c r="D332" s="377"/>
      <c r="E332" s="405">
        <v>21028</v>
      </c>
      <c r="F332" s="377"/>
      <c r="G332" s="377"/>
      <c r="H332" s="377"/>
      <c r="I332" s="377"/>
      <c r="J332" s="405"/>
      <c r="K332" s="377"/>
      <c r="L332" s="377"/>
      <c r="M332" s="377"/>
      <c r="N332" s="377"/>
      <c r="O332" s="405"/>
      <c r="P332" s="377"/>
      <c r="Q332" s="377"/>
      <c r="R332" s="377"/>
    </row>
    <row r="333" spans="1:18" ht="13.2">
      <c r="A333" s="375"/>
      <c r="B333" s="412" t="s">
        <v>97</v>
      </c>
      <c r="C333" s="405"/>
      <c r="D333" s="377"/>
      <c r="E333" s="405">
        <f>E334</f>
        <v>4204</v>
      </c>
      <c r="F333" s="377"/>
      <c r="G333" s="377"/>
      <c r="H333" s="377"/>
      <c r="I333" s="377"/>
      <c r="J333" s="405"/>
      <c r="K333" s="377"/>
      <c r="L333" s="377"/>
      <c r="M333" s="377"/>
      <c r="N333" s="377"/>
      <c r="O333" s="405"/>
      <c r="P333" s="377"/>
      <c r="Q333" s="377"/>
      <c r="R333" s="377"/>
    </row>
    <row r="334" spans="1:18" ht="26.4">
      <c r="A334" s="375"/>
      <c r="B334" s="412" t="s">
        <v>98</v>
      </c>
      <c r="C334" s="405"/>
      <c r="D334" s="377"/>
      <c r="E334" s="405">
        <v>4204</v>
      </c>
      <c r="F334" s="377"/>
      <c r="G334" s="377"/>
      <c r="H334" s="377"/>
      <c r="I334" s="377"/>
      <c r="J334" s="405"/>
      <c r="K334" s="377"/>
      <c r="L334" s="377"/>
      <c r="M334" s="377"/>
      <c r="N334" s="377"/>
      <c r="O334" s="405"/>
      <c r="P334" s="377"/>
      <c r="Q334" s="377"/>
      <c r="R334" s="377"/>
    </row>
    <row r="335" spans="1:18" ht="13.2">
      <c r="A335" s="415"/>
      <c r="B335" s="407" t="s">
        <v>101</v>
      </c>
      <c r="C335" s="410"/>
      <c r="D335" s="371"/>
      <c r="E335" s="410">
        <f>E336</f>
        <v>25232</v>
      </c>
      <c r="F335" s="371"/>
      <c r="G335" s="371"/>
      <c r="H335" s="371"/>
      <c r="I335" s="371"/>
      <c r="J335" s="410"/>
      <c r="K335" s="371"/>
      <c r="L335" s="371"/>
      <c r="M335" s="371"/>
      <c r="N335" s="371"/>
      <c r="O335" s="410"/>
      <c r="P335" s="371"/>
      <c r="Q335" s="371"/>
      <c r="R335" s="371"/>
    </row>
    <row r="336" spans="1:18" ht="13.2">
      <c r="A336" s="375"/>
      <c r="B336" s="412" t="s">
        <v>103</v>
      </c>
      <c r="C336" s="405"/>
      <c r="D336" s="377"/>
      <c r="E336" s="405">
        <f>E337</f>
        <v>25232</v>
      </c>
      <c r="F336" s="377"/>
      <c r="G336" s="377"/>
      <c r="H336" s="377"/>
      <c r="I336" s="377"/>
      <c r="J336" s="405"/>
      <c r="K336" s="377"/>
      <c r="L336" s="377"/>
      <c r="M336" s="377"/>
      <c r="N336" s="377"/>
      <c r="O336" s="405"/>
      <c r="P336" s="377"/>
      <c r="Q336" s="377"/>
      <c r="R336" s="377"/>
    </row>
    <row r="337" spans="1:18" ht="13.2">
      <c r="A337" s="375"/>
      <c r="B337" s="412" t="s">
        <v>105</v>
      </c>
      <c r="C337" s="405"/>
      <c r="D337" s="377"/>
      <c r="E337" s="405">
        <f>E338</f>
        <v>25232</v>
      </c>
      <c r="F337" s="377"/>
      <c r="G337" s="377"/>
      <c r="H337" s="377"/>
      <c r="I337" s="377"/>
      <c r="J337" s="405"/>
      <c r="K337" s="377"/>
      <c r="L337" s="377"/>
      <c r="M337" s="377"/>
      <c r="N337" s="377"/>
      <c r="O337" s="405"/>
      <c r="P337" s="377"/>
      <c r="Q337" s="377"/>
      <c r="R337" s="377"/>
    </row>
    <row r="338" spans="1:18" ht="13.2">
      <c r="A338" s="375"/>
      <c r="B338" s="412" t="s">
        <v>108</v>
      </c>
      <c r="C338" s="405"/>
      <c r="D338" s="377"/>
      <c r="E338" s="405">
        <f>21028+4204</f>
        <v>25232</v>
      </c>
      <c r="F338" s="377"/>
      <c r="G338" s="377"/>
      <c r="H338" s="377"/>
      <c r="I338" s="377"/>
      <c r="J338" s="405"/>
      <c r="K338" s="377"/>
      <c r="L338" s="377"/>
      <c r="M338" s="377"/>
      <c r="N338" s="377"/>
      <c r="O338" s="405"/>
      <c r="P338" s="377"/>
      <c r="Q338" s="377"/>
      <c r="R338" s="377"/>
    </row>
    <row r="339" spans="1:18" ht="13.2">
      <c r="A339" s="375"/>
      <c r="B339" s="412"/>
      <c r="C339" s="405"/>
      <c r="D339" s="377"/>
      <c r="E339" s="405"/>
      <c r="F339" s="377"/>
      <c r="G339" s="377"/>
      <c r="H339" s="377"/>
      <c r="I339" s="377"/>
      <c r="J339" s="405"/>
      <c r="K339" s="377"/>
      <c r="L339" s="377"/>
      <c r="M339" s="377"/>
      <c r="N339" s="377"/>
      <c r="O339" s="405"/>
      <c r="P339" s="377"/>
      <c r="Q339" s="377"/>
      <c r="R339" s="377"/>
    </row>
    <row r="340" spans="1:18" ht="105.6">
      <c r="A340" s="1327" t="s">
        <v>253</v>
      </c>
      <c r="B340" s="453" t="s">
        <v>254</v>
      </c>
      <c r="C340" s="1328"/>
      <c r="D340" s="1329"/>
      <c r="E340" s="1328"/>
      <c r="F340" s="1329"/>
      <c r="G340" s="1329"/>
      <c r="H340" s="1329"/>
      <c r="I340" s="1329"/>
      <c r="J340" s="1328"/>
      <c r="K340" s="1329"/>
      <c r="L340" s="1329"/>
      <c r="M340" s="1329"/>
      <c r="N340" s="1329"/>
      <c r="O340" s="1328"/>
      <c r="P340" s="1329"/>
      <c r="Q340" s="1329"/>
      <c r="R340" s="1329"/>
    </row>
    <row r="341" spans="1:18" ht="13.2">
      <c r="A341" s="415"/>
      <c r="B341" s="407" t="s">
        <v>88</v>
      </c>
      <c r="C341" s="410"/>
      <c r="D341" s="371"/>
      <c r="E341" s="410">
        <f>E342</f>
        <v>12191</v>
      </c>
      <c r="F341" s="371"/>
      <c r="G341" s="371"/>
      <c r="H341" s="371"/>
      <c r="I341" s="371"/>
      <c r="J341" s="410"/>
      <c r="K341" s="371"/>
      <c r="L341" s="371"/>
      <c r="M341" s="371"/>
      <c r="N341" s="371"/>
      <c r="O341" s="410"/>
      <c r="P341" s="371"/>
      <c r="Q341" s="371"/>
      <c r="R341" s="371"/>
    </row>
    <row r="342" spans="1:18" ht="13.2">
      <c r="A342" s="375"/>
      <c r="B342" s="412" t="s">
        <v>82</v>
      </c>
      <c r="C342" s="405"/>
      <c r="D342" s="377"/>
      <c r="E342" s="405">
        <f>E343</f>
        <v>12191</v>
      </c>
      <c r="F342" s="377"/>
      <c r="G342" s="377"/>
      <c r="H342" s="377"/>
      <c r="I342" s="377"/>
      <c r="J342" s="405"/>
      <c r="K342" s="377"/>
      <c r="L342" s="377"/>
      <c r="M342" s="377"/>
      <c r="N342" s="377"/>
      <c r="O342" s="405"/>
      <c r="P342" s="377"/>
      <c r="Q342" s="377"/>
      <c r="R342" s="377"/>
    </row>
    <row r="343" spans="1:18" ht="26.4">
      <c r="A343" s="375"/>
      <c r="B343" s="412" t="s">
        <v>93</v>
      </c>
      <c r="C343" s="405"/>
      <c r="D343" s="377"/>
      <c r="E343" s="405">
        <v>12191</v>
      </c>
      <c r="F343" s="377"/>
      <c r="G343" s="377"/>
      <c r="H343" s="377"/>
      <c r="I343" s="377"/>
      <c r="J343" s="405"/>
      <c r="K343" s="377"/>
      <c r="L343" s="377"/>
      <c r="M343" s="377"/>
      <c r="N343" s="377"/>
      <c r="O343" s="405"/>
      <c r="P343" s="377"/>
      <c r="Q343" s="377"/>
      <c r="R343" s="377"/>
    </row>
    <row r="344" spans="1:18" ht="13.2">
      <c r="A344" s="415"/>
      <c r="B344" s="407" t="s">
        <v>101</v>
      </c>
      <c r="C344" s="410"/>
      <c r="D344" s="371"/>
      <c r="E344" s="410">
        <f>E345</f>
        <v>12191</v>
      </c>
      <c r="F344" s="371"/>
      <c r="G344" s="371"/>
      <c r="H344" s="371"/>
      <c r="I344" s="371"/>
      <c r="J344" s="410"/>
      <c r="K344" s="371"/>
      <c r="L344" s="371"/>
      <c r="M344" s="371"/>
      <c r="N344" s="371"/>
      <c r="O344" s="410"/>
      <c r="P344" s="371"/>
      <c r="Q344" s="371"/>
      <c r="R344" s="371"/>
    </row>
    <row r="345" spans="1:18" ht="13.2">
      <c r="A345" s="375"/>
      <c r="B345" s="412" t="s">
        <v>103</v>
      </c>
      <c r="C345" s="405"/>
      <c r="D345" s="377"/>
      <c r="E345" s="405">
        <f>E346</f>
        <v>12191</v>
      </c>
      <c r="F345" s="377"/>
      <c r="G345" s="377"/>
      <c r="H345" s="377"/>
      <c r="I345" s="377"/>
      <c r="J345" s="405"/>
      <c r="K345" s="377"/>
      <c r="L345" s="377"/>
      <c r="M345" s="377"/>
      <c r="N345" s="377"/>
      <c r="O345" s="405"/>
      <c r="P345" s="377"/>
      <c r="Q345" s="377"/>
      <c r="R345" s="377"/>
    </row>
    <row r="346" spans="1:18" ht="13.2">
      <c r="A346" s="375"/>
      <c r="B346" s="412" t="s">
        <v>115</v>
      </c>
      <c r="C346" s="405"/>
      <c r="D346" s="377"/>
      <c r="E346" s="405">
        <f>E347</f>
        <v>12191</v>
      </c>
      <c r="F346" s="377"/>
      <c r="G346" s="377"/>
      <c r="H346" s="377"/>
      <c r="I346" s="377"/>
      <c r="J346" s="405"/>
      <c r="K346" s="377"/>
      <c r="L346" s="377"/>
      <c r="M346" s="377"/>
      <c r="N346" s="377"/>
      <c r="O346" s="405"/>
      <c r="P346" s="377"/>
      <c r="Q346" s="377"/>
      <c r="R346" s="377"/>
    </row>
    <row r="347" spans="1:18" ht="26.4">
      <c r="A347" s="375"/>
      <c r="B347" s="417" t="s">
        <v>157</v>
      </c>
      <c r="C347" s="405"/>
      <c r="D347" s="377"/>
      <c r="E347" s="405">
        <v>12191</v>
      </c>
      <c r="F347" s="377"/>
      <c r="G347" s="377"/>
      <c r="H347" s="377"/>
      <c r="I347" s="377"/>
      <c r="J347" s="405"/>
      <c r="K347" s="377"/>
      <c r="L347" s="377"/>
      <c r="M347" s="377"/>
      <c r="N347" s="377"/>
      <c r="O347" s="405"/>
      <c r="P347" s="377"/>
      <c r="Q347" s="377"/>
      <c r="R347" s="377"/>
    </row>
    <row r="348" spans="1:18" ht="13.2">
      <c r="A348" s="375"/>
      <c r="B348" s="417"/>
      <c r="C348" s="405"/>
      <c r="D348" s="377"/>
      <c r="E348" s="405"/>
      <c r="F348" s="377"/>
      <c r="G348" s="377"/>
      <c r="H348" s="377"/>
      <c r="I348" s="377"/>
      <c r="J348" s="405"/>
      <c r="K348" s="377"/>
      <c r="L348" s="377"/>
      <c r="M348" s="377"/>
      <c r="N348" s="377"/>
      <c r="O348" s="405"/>
      <c r="P348" s="377"/>
      <c r="Q348" s="377"/>
      <c r="R348" s="377"/>
    </row>
    <row r="349" spans="1:18" ht="92.4">
      <c r="A349" s="1327" t="s">
        <v>255</v>
      </c>
      <c r="B349" s="453" t="s">
        <v>256</v>
      </c>
      <c r="C349" s="1328"/>
      <c r="D349" s="1329"/>
      <c r="E349" s="1328"/>
      <c r="F349" s="1329"/>
      <c r="G349" s="1329"/>
      <c r="H349" s="1329"/>
      <c r="I349" s="1329"/>
      <c r="J349" s="1328"/>
      <c r="K349" s="1329"/>
      <c r="L349" s="1329"/>
      <c r="M349" s="1329"/>
      <c r="N349" s="1329"/>
      <c r="O349" s="1328"/>
      <c r="P349" s="1329"/>
      <c r="Q349" s="1329"/>
      <c r="R349" s="1329"/>
    </row>
    <row r="350" spans="1:18" ht="13.2">
      <c r="A350" s="415"/>
      <c r="B350" s="407" t="s">
        <v>88</v>
      </c>
      <c r="C350" s="410"/>
      <c r="D350" s="371"/>
      <c r="E350" s="410">
        <f>E351</f>
        <v>68861</v>
      </c>
      <c r="F350" s="371"/>
      <c r="G350" s="371"/>
      <c r="H350" s="371"/>
      <c r="I350" s="371"/>
      <c r="J350" s="410"/>
      <c r="K350" s="371"/>
      <c r="L350" s="371"/>
      <c r="M350" s="371"/>
      <c r="N350" s="371"/>
      <c r="O350" s="410"/>
      <c r="P350" s="371"/>
      <c r="Q350" s="371"/>
      <c r="R350" s="371"/>
    </row>
    <row r="351" spans="1:18" ht="13.2">
      <c r="A351" s="375"/>
      <c r="B351" s="412" t="s">
        <v>82</v>
      </c>
      <c r="C351" s="405"/>
      <c r="D351" s="377"/>
      <c r="E351" s="405">
        <f>E352</f>
        <v>68861</v>
      </c>
      <c r="F351" s="377"/>
      <c r="G351" s="377"/>
      <c r="H351" s="377"/>
      <c r="I351" s="377"/>
      <c r="J351" s="405"/>
      <c r="K351" s="377"/>
      <c r="L351" s="377"/>
      <c r="M351" s="377"/>
      <c r="N351" s="377"/>
      <c r="O351" s="405"/>
      <c r="P351" s="377"/>
      <c r="Q351" s="377"/>
      <c r="R351" s="377"/>
    </row>
    <row r="352" spans="1:18" ht="26.4">
      <c r="A352" s="375"/>
      <c r="B352" s="412" t="s">
        <v>93</v>
      </c>
      <c r="C352" s="405"/>
      <c r="D352" s="377"/>
      <c r="E352" s="405">
        <v>68861</v>
      </c>
      <c r="F352" s="377"/>
      <c r="G352" s="377"/>
      <c r="H352" s="377"/>
      <c r="I352" s="377"/>
      <c r="J352" s="405"/>
      <c r="K352" s="377"/>
      <c r="L352" s="377"/>
      <c r="M352" s="377"/>
      <c r="N352" s="377"/>
      <c r="O352" s="405"/>
      <c r="P352" s="377"/>
      <c r="Q352" s="377"/>
      <c r="R352" s="377"/>
    </row>
    <row r="353" spans="1:18" ht="13.2">
      <c r="A353" s="415"/>
      <c r="B353" s="407" t="s">
        <v>101</v>
      </c>
      <c r="C353" s="410"/>
      <c r="D353" s="371"/>
      <c r="E353" s="410">
        <f>E354</f>
        <v>68861</v>
      </c>
      <c r="F353" s="371"/>
      <c r="G353" s="371"/>
      <c r="H353" s="371"/>
      <c r="I353" s="371"/>
      <c r="J353" s="410"/>
      <c r="K353" s="371"/>
      <c r="L353" s="371"/>
      <c r="M353" s="371"/>
      <c r="N353" s="371"/>
      <c r="O353" s="410"/>
      <c r="P353" s="371"/>
      <c r="Q353" s="371"/>
      <c r="R353" s="371"/>
    </row>
    <row r="354" spans="1:18" ht="13.2">
      <c r="A354" s="375"/>
      <c r="B354" s="412" t="s">
        <v>122</v>
      </c>
      <c r="C354" s="405"/>
      <c r="D354" s="377"/>
      <c r="E354" s="405">
        <f>E355</f>
        <v>68861</v>
      </c>
      <c r="F354" s="377"/>
      <c r="G354" s="377"/>
      <c r="H354" s="377"/>
      <c r="I354" s="377"/>
      <c r="J354" s="405"/>
      <c r="K354" s="377"/>
      <c r="L354" s="377"/>
      <c r="M354" s="377"/>
      <c r="N354" s="377"/>
      <c r="O354" s="405"/>
      <c r="P354" s="377"/>
      <c r="Q354" s="377"/>
      <c r="R354" s="377"/>
    </row>
    <row r="355" spans="1:18" ht="13.2">
      <c r="A355" s="375"/>
      <c r="B355" s="416" t="s">
        <v>164</v>
      </c>
      <c r="C355" s="405"/>
      <c r="D355" s="377"/>
      <c r="E355" s="405">
        <f>E356</f>
        <v>68861</v>
      </c>
      <c r="F355" s="377"/>
      <c r="G355" s="377"/>
      <c r="H355" s="377"/>
      <c r="I355" s="377"/>
      <c r="J355" s="405"/>
      <c r="K355" s="377"/>
      <c r="L355" s="377"/>
      <c r="M355" s="377"/>
      <c r="N355" s="377"/>
      <c r="O355" s="405"/>
      <c r="P355" s="377"/>
      <c r="Q355" s="377"/>
      <c r="R355" s="377"/>
    </row>
    <row r="356" spans="1:18" ht="26.4">
      <c r="A356" s="375"/>
      <c r="B356" s="417" t="s">
        <v>134</v>
      </c>
      <c r="C356" s="405"/>
      <c r="D356" s="377"/>
      <c r="E356" s="405">
        <v>68861</v>
      </c>
      <c r="F356" s="377"/>
      <c r="G356" s="377"/>
      <c r="H356" s="377"/>
      <c r="I356" s="377"/>
      <c r="J356" s="405"/>
      <c r="K356" s="377"/>
      <c r="L356" s="377"/>
      <c r="M356" s="377"/>
      <c r="N356" s="377"/>
      <c r="O356" s="405"/>
      <c r="P356" s="377"/>
      <c r="Q356" s="377"/>
      <c r="R356" s="377"/>
    </row>
    <row r="357" spans="1:18" ht="13.2">
      <c r="A357" s="375"/>
      <c r="B357" s="417"/>
      <c r="C357" s="405"/>
      <c r="D357" s="377"/>
      <c r="E357" s="405"/>
      <c r="F357" s="377"/>
      <c r="G357" s="377"/>
      <c r="H357" s="377"/>
      <c r="I357" s="377"/>
      <c r="J357" s="405"/>
      <c r="K357" s="377"/>
      <c r="L357" s="377"/>
      <c r="M357" s="377"/>
      <c r="N357" s="377"/>
      <c r="O357" s="405"/>
      <c r="P357" s="377"/>
      <c r="Q357" s="377"/>
      <c r="R357" s="377"/>
    </row>
    <row r="358" spans="1:18" ht="132">
      <c r="A358" s="1327" t="s">
        <v>281</v>
      </c>
      <c r="B358" s="453" t="s">
        <v>282</v>
      </c>
      <c r="C358" s="1328"/>
      <c r="D358" s="1329"/>
      <c r="E358" s="1328"/>
      <c r="F358" s="1329"/>
      <c r="G358" s="1329"/>
      <c r="H358" s="1329"/>
      <c r="I358" s="1329"/>
      <c r="J358" s="1328"/>
      <c r="K358" s="1329"/>
      <c r="L358" s="1329"/>
      <c r="M358" s="1329"/>
      <c r="N358" s="1329"/>
      <c r="O358" s="1328"/>
      <c r="P358" s="1329"/>
      <c r="Q358" s="1329"/>
      <c r="R358" s="1329"/>
    </row>
    <row r="359" spans="1:18" ht="13.2">
      <c r="A359" s="415"/>
      <c r="B359" s="407" t="s">
        <v>88</v>
      </c>
      <c r="C359" s="410"/>
      <c r="D359" s="371"/>
      <c r="E359" s="410">
        <f>E360</f>
        <v>11244</v>
      </c>
      <c r="F359" s="371"/>
      <c r="G359" s="371"/>
      <c r="H359" s="371"/>
      <c r="I359" s="371"/>
      <c r="J359" s="410"/>
      <c r="K359" s="371"/>
      <c r="L359" s="371"/>
      <c r="M359" s="371"/>
      <c r="N359" s="371"/>
      <c r="O359" s="410"/>
      <c r="P359" s="371"/>
      <c r="Q359" s="371"/>
      <c r="R359" s="371"/>
    </row>
    <row r="360" spans="1:18" ht="13.2">
      <c r="A360" s="375"/>
      <c r="B360" s="412" t="s">
        <v>97</v>
      </c>
      <c r="C360" s="405"/>
      <c r="D360" s="377"/>
      <c r="E360" s="405">
        <f>E361</f>
        <v>11244</v>
      </c>
      <c r="F360" s="377"/>
      <c r="G360" s="377"/>
      <c r="H360" s="377"/>
      <c r="I360" s="377"/>
      <c r="J360" s="405"/>
      <c r="K360" s="377"/>
      <c r="L360" s="377"/>
      <c r="M360" s="377"/>
      <c r="N360" s="377"/>
      <c r="O360" s="405"/>
      <c r="P360" s="377"/>
      <c r="Q360" s="377"/>
      <c r="R360" s="377"/>
    </row>
    <row r="361" spans="1:18" ht="26.4">
      <c r="A361" s="375"/>
      <c r="B361" s="412" t="s">
        <v>98</v>
      </c>
      <c r="C361" s="405"/>
      <c r="D361" s="377"/>
      <c r="E361" s="405">
        <v>11244</v>
      </c>
      <c r="F361" s="377"/>
      <c r="G361" s="377"/>
      <c r="H361" s="377"/>
      <c r="I361" s="377"/>
      <c r="J361" s="405"/>
      <c r="K361" s="377"/>
      <c r="L361" s="377"/>
      <c r="M361" s="377"/>
      <c r="N361" s="377"/>
      <c r="O361" s="405"/>
      <c r="P361" s="377"/>
      <c r="Q361" s="377"/>
      <c r="R361" s="377"/>
    </row>
    <row r="362" spans="1:18" ht="13.2">
      <c r="A362" s="406"/>
      <c r="B362" s="407" t="s">
        <v>101</v>
      </c>
      <c r="C362" s="410"/>
      <c r="D362" s="371"/>
      <c r="E362" s="410">
        <f>E363</f>
        <v>11244</v>
      </c>
      <c r="F362" s="371"/>
      <c r="G362" s="371"/>
      <c r="H362" s="371"/>
      <c r="I362" s="371"/>
      <c r="J362" s="410"/>
      <c r="K362" s="371"/>
      <c r="L362" s="371"/>
      <c r="M362" s="371"/>
      <c r="N362" s="371"/>
      <c r="O362" s="410"/>
      <c r="P362" s="371"/>
      <c r="Q362" s="371"/>
      <c r="R362" s="371"/>
    </row>
    <row r="363" spans="1:18" ht="13.2">
      <c r="A363" s="411"/>
      <c r="B363" s="412" t="s">
        <v>103</v>
      </c>
      <c r="C363" s="405"/>
      <c r="D363" s="377"/>
      <c r="E363" s="405">
        <f>E364</f>
        <v>11244</v>
      </c>
      <c r="F363" s="377"/>
      <c r="G363" s="377"/>
      <c r="H363" s="377"/>
      <c r="I363" s="377"/>
      <c r="J363" s="405"/>
      <c r="K363" s="377"/>
      <c r="L363" s="377"/>
      <c r="M363" s="377"/>
      <c r="N363" s="377"/>
      <c r="O363" s="405"/>
      <c r="P363" s="377"/>
      <c r="Q363" s="377"/>
      <c r="R363" s="377"/>
    </row>
    <row r="364" spans="1:18" ht="13.2">
      <c r="A364" s="411"/>
      <c r="B364" s="412" t="s">
        <v>105</v>
      </c>
      <c r="C364" s="405"/>
      <c r="D364" s="377"/>
      <c r="E364" s="405">
        <f>E365+E367</f>
        <v>11244</v>
      </c>
      <c r="F364" s="377"/>
      <c r="G364" s="377"/>
      <c r="H364" s="377"/>
      <c r="I364" s="377"/>
      <c r="J364" s="405"/>
      <c r="K364" s="377"/>
      <c r="L364" s="377"/>
      <c r="M364" s="377"/>
      <c r="N364" s="377"/>
      <c r="O364" s="405"/>
      <c r="P364" s="377"/>
      <c r="Q364" s="377"/>
      <c r="R364" s="377"/>
    </row>
    <row r="365" spans="1:18" ht="13.2">
      <c r="A365" s="454"/>
      <c r="B365" s="412" t="s">
        <v>106</v>
      </c>
      <c r="C365" s="405"/>
      <c r="D365" s="377"/>
      <c r="E365" s="405">
        <v>4072</v>
      </c>
      <c r="F365" s="377"/>
      <c r="G365" s="377"/>
      <c r="H365" s="377"/>
      <c r="I365" s="377"/>
      <c r="J365" s="405"/>
      <c r="K365" s="377"/>
      <c r="L365" s="377"/>
      <c r="M365" s="377"/>
      <c r="N365" s="377"/>
      <c r="O365" s="405"/>
      <c r="P365" s="377"/>
      <c r="Q365" s="377"/>
      <c r="R365" s="377"/>
    </row>
    <row r="366" spans="1:18" ht="13.2">
      <c r="A366" s="455"/>
      <c r="B366" s="412" t="s">
        <v>107</v>
      </c>
      <c r="C366" s="405"/>
      <c r="D366" s="377"/>
      <c r="E366" s="405">
        <v>3281</v>
      </c>
      <c r="F366" s="377"/>
      <c r="G366" s="377"/>
      <c r="H366" s="377"/>
      <c r="I366" s="377"/>
      <c r="J366" s="405"/>
      <c r="K366" s="377"/>
      <c r="L366" s="377"/>
      <c r="M366" s="377"/>
      <c r="N366" s="377"/>
      <c r="O366" s="405"/>
      <c r="P366" s="377"/>
      <c r="Q366" s="377"/>
      <c r="R366" s="377"/>
    </row>
    <row r="367" spans="1:18" ht="13.2">
      <c r="A367" s="411"/>
      <c r="B367" s="412" t="s">
        <v>108</v>
      </c>
      <c r="C367" s="405"/>
      <c r="D367" s="377"/>
      <c r="E367" s="405">
        <v>7172</v>
      </c>
      <c r="F367" s="377"/>
      <c r="G367" s="377"/>
      <c r="H367" s="377"/>
      <c r="I367" s="377"/>
      <c r="J367" s="405"/>
      <c r="K367" s="377"/>
      <c r="L367" s="377"/>
      <c r="M367" s="377"/>
      <c r="N367" s="377"/>
      <c r="O367" s="405"/>
      <c r="P367" s="377"/>
      <c r="Q367" s="377"/>
      <c r="R367" s="377"/>
    </row>
    <row r="368" spans="1:18" ht="13.2">
      <c r="A368" s="375"/>
      <c r="B368" s="417"/>
      <c r="C368" s="405"/>
      <c r="D368" s="377"/>
      <c r="E368" s="405"/>
      <c r="F368" s="377"/>
      <c r="G368" s="377"/>
      <c r="H368" s="377"/>
      <c r="I368" s="377"/>
      <c r="J368" s="405"/>
      <c r="K368" s="377"/>
      <c r="L368" s="377"/>
      <c r="M368" s="377"/>
      <c r="N368" s="377"/>
      <c r="O368" s="405"/>
      <c r="P368" s="377"/>
      <c r="Q368" s="377"/>
      <c r="R368" s="377"/>
    </row>
    <row r="369" spans="1:18" ht="105.6">
      <c r="A369" s="1327" t="s">
        <v>283</v>
      </c>
      <c r="B369" s="453" t="s">
        <v>284</v>
      </c>
      <c r="C369" s="1328"/>
      <c r="D369" s="1329"/>
      <c r="E369" s="1328"/>
      <c r="F369" s="1329"/>
      <c r="G369" s="1329"/>
      <c r="H369" s="1329"/>
      <c r="I369" s="1329"/>
      <c r="J369" s="1328"/>
      <c r="K369" s="1329"/>
      <c r="L369" s="1329"/>
      <c r="M369" s="1329"/>
      <c r="N369" s="1329"/>
      <c r="O369" s="1328"/>
      <c r="P369" s="1329"/>
      <c r="Q369" s="1329"/>
      <c r="R369" s="1329"/>
    </row>
    <row r="370" spans="1:18" ht="13.2">
      <c r="A370" s="415"/>
      <c r="B370" s="407" t="s">
        <v>88</v>
      </c>
      <c r="C370" s="410"/>
      <c r="D370" s="371"/>
      <c r="E370" s="410">
        <f>E371</f>
        <v>41173</v>
      </c>
      <c r="F370" s="371"/>
      <c r="G370" s="371"/>
      <c r="H370" s="371"/>
      <c r="I370" s="371"/>
      <c r="J370" s="410">
        <f>J371</f>
        <v>8433</v>
      </c>
      <c r="K370" s="371"/>
      <c r="L370" s="371"/>
      <c r="M370" s="371"/>
      <c r="N370" s="371"/>
      <c r="O370" s="410"/>
      <c r="P370" s="371"/>
      <c r="Q370" s="371"/>
      <c r="R370" s="371"/>
    </row>
    <row r="371" spans="1:18" ht="13.2">
      <c r="A371" s="375"/>
      <c r="B371" s="412" t="s">
        <v>82</v>
      </c>
      <c r="C371" s="405"/>
      <c r="D371" s="377"/>
      <c r="E371" s="405">
        <f>E372</f>
        <v>41173</v>
      </c>
      <c r="F371" s="377"/>
      <c r="G371" s="377"/>
      <c r="H371" s="377"/>
      <c r="I371" s="377"/>
      <c r="J371" s="405">
        <f>J372</f>
        <v>8433</v>
      </c>
      <c r="K371" s="377"/>
      <c r="L371" s="377"/>
      <c r="M371" s="377"/>
      <c r="N371" s="377"/>
      <c r="O371" s="405"/>
      <c r="P371" s="377"/>
      <c r="Q371" s="377"/>
      <c r="R371" s="377"/>
    </row>
    <row r="372" spans="1:18" ht="26.4">
      <c r="A372" s="375"/>
      <c r="B372" s="412" t="s">
        <v>93</v>
      </c>
      <c r="C372" s="405"/>
      <c r="D372" s="377"/>
      <c r="E372" s="405">
        <f>41173</f>
        <v>41173</v>
      </c>
      <c r="F372" s="377"/>
      <c r="G372" s="377"/>
      <c r="H372" s="377"/>
      <c r="I372" s="377"/>
      <c r="J372" s="405">
        <f>8433</f>
        <v>8433</v>
      </c>
      <c r="K372" s="377"/>
      <c r="L372" s="377"/>
      <c r="M372" s="377"/>
      <c r="N372" s="377"/>
      <c r="O372" s="405"/>
      <c r="P372" s="377"/>
      <c r="Q372" s="377"/>
      <c r="R372" s="377"/>
    </row>
    <row r="373" spans="1:18" ht="13.2">
      <c r="A373" s="415"/>
      <c r="B373" s="407" t="s">
        <v>101</v>
      </c>
      <c r="C373" s="410"/>
      <c r="D373" s="371"/>
      <c r="E373" s="410">
        <f>E374+E377</f>
        <v>41173</v>
      </c>
      <c r="F373" s="371"/>
      <c r="G373" s="371"/>
      <c r="H373" s="371"/>
      <c r="I373" s="371"/>
      <c r="J373" s="410">
        <f>J374+J377</f>
        <v>8433</v>
      </c>
      <c r="K373" s="371"/>
      <c r="L373" s="371"/>
      <c r="M373" s="371"/>
      <c r="N373" s="371"/>
      <c r="O373" s="410"/>
      <c r="P373" s="371"/>
      <c r="Q373" s="371"/>
      <c r="R373" s="371"/>
    </row>
    <row r="374" spans="1:18" ht="13.2">
      <c r="A374" s="375"/>
      <c r="B374" s="412" t="s">
        <v>103</v>
      </c>
      <c r="C374" s="405"/>
      <c r="D374" s="377"/>
      <c r="E374" s="405">
        <f>E375</f>
        <v>29904</v>
      </c>
      <c r="F374" s="377"/>
      <c r="G374" s="377"/>
      <c r="H374" s="377"/>
      <c r="I374" s="377"/>
      <c r="J374" s="405">
        <f>J375</f>
        <v>8433</v>
      </c>
      <c r="K374" s="377"/>
      <c r="L374" s="377"/>
      <c r="M374" s="377"/>
      <c r="N374" s="377"/>
      <c r="O374" s="405"/>
      <c r="P374" s="377"/>
      <c r="Q374" s="377"/>
      <c r="R374" s="377"/>
    </row>
    <row r="375" spans="1:18" ht="13.2">
      <c r="A375" s="375"/>
      <c r="B375" s="412" t="s">
        <v>115</v>
      </c>
      <c r="C375" s="405"/>
      <c r="D375" s="377"/>
      <c r="E375" s="405">
        <f>E376</f>
        <v>29904</v>
      </c>
      <c r="F375" s="377"/>
      <c r="G375" s="377"/>
      <c r="H375" s="377"/>
      <c r="I375" s="377"/>
      <c r="J375" s="405">
        <f>J376</f>
        <v>8433</v>
      </c>
      <c r="K375" s="377"/>
      <c r="L375" s="377"/>
      <c r="M375" s="377"/>
      <c r="N375" s="377"/>
      <c r="O375" s="405"/>
      <c r="P375" s="377"/>
      <c r="Q375" s="377"/>
      <c r="R375" s="377"/>
    </row>
    <row r="376" spans="1:18" ht="26.4">
      <c r="A376" s="375"/>
      <c r="B376" s="417" t="s">
        <v>157</v>
      </c>
      <c r="C376" s="405"/>
      <c r="D376" s="377"/>
      <c r="E376" s="405">
        <f>29904</f>
        <v>29904</v>
      </c>
      <c r="F376" s="377"/>
      <c r="G376" s="377"/>
      <c r="H376" s="377"/>
      <c r="I376" s="377"/>
      <c r="J376" s="405">
        <f>8433</f>
        <v>8433</v>
      </c>
      <c r="K376" s="377"/>
      <c r="L376" s="377"/>
      <c r="M376" s="377"/>
      <c r="N376" s="377"/>
      <c r="O376" s="405"/>
      <c r="P376" s="377"/>
      <c r="Q376" s="377"/>
      <c r="R376" s="377"/>
    </row>
    <row r="377" spans="1:18" ht="13.2">
      <c r="A377" s="375"/>
      <c r="B377" s="412" t="s">
        <v>122</v>
      </c>
      <c r="C377" s="405"/>
      <c r="D377" s="377"/>
      <c r="E377" s="405">
        <f>E378</f>
        <v>11269</v>
      </c>
      <c r="F377" s="377"/>
      <c r="G377" s="377"/>
      <c r="H377" s="377"/>
      <c r="I377" s="377"/>
      <c r="J377" s="405"/>
      <c r="K377" s="377"/>
      <c r="L377" s="377"/>
      <c r="M377" s="377"/>
      <c r="N377" s="377"/>
      <c r="O377" s="405"/>
      <c r="P377" s="377"/>
      <c r="Q377" s="377"/>
      <c r="R377" s="377"/>
    </row>
    <row r="378" spans="1:18" ht="13.2">
      <c r="A378" s="375"/>
      <c r="B378" s="416" t="s">
        <v>164</v>
      </c>
      <c r="C378" s="405"/>
      <c r="D378" s="377"/>
      <c r="E378" s="405">
        <f>E379</f>
        <v>11269</v>
      </c>
      <c r="F378" s="377"/>
      <c r="G378" s="377"/>
      <c r="H378" s="377"/>
      <c r="I378" s="377"/>
      <c r="J378" s="405"/>
      <c r="K378" s="377"/>
      <c r="L378" s="377"/>
      <c r="M378" s="377"/>
      <c r="N378" s="377"/>
      <c r="O378" s="405"/>
      <c r="P378" s="377"/>
      <c r="Q378" s="377"/>
      <c r="R378" s="377"/>
    </row>
    <row r="379" spans="1:18" ht="26.4">
      <c r="A379" s="375"/>
      <c r="B379" s="417" t="s">
        <v>134</v>
      </c>
      <c r="C379" s="405"/>
      <c r="D379" s="377"/>
      <c r="E379" s="405">
        <f>11269</f>
        <v>11269</v>
      </c>
      <c r="F379" s="377"/>
      <c r="G379" s="377"/>
      <c r="H379" s="377"/>
      <c r="I379" s="377"/>
      <c r="J379" s="405"/>
      <c r="K379" s="377"/>
      <c r="L379" s="377"/>
      <c r="M379" s="377"/>
      <c r="N379" s="377"/>
      <c r="O379" s="405"/>
      <c r="P379" s="377"/>
      <c r="Q379" s="377"/>
      <c r="R379" s="377"/>
    </row>
    <row r="380" spans="1:18" ht="13.2">
      <c r="A380" s="375"/>
      <c r="B380" s="417"/>
      <c r="C380" s="405"/>
      <c r="D380" s="377"/>
      <c r="E380" s="405"/>
      <c r="F380" s="377"/>
      <c r="G380" s="377"/>
      <c r="H380" s="377"/>
      <c r="I380" s="377"/>
      <c r="J380" s="405"/>
      <c r="K380" s="377"/>
      <c r="L380" s="377"/>
      <c r="M380" s="377"/>
      <c r="N380" s="377"/>
      <c r="O380" s="405"/>
      <c r="P380" s="377"/>
      <c r="Q380" s="377"/>
      <c r="R380" s="377"/>
    </row>
    <row r="381" spans="1:18" ht="105.6">
      <c r="A381" s="1327" t="s">
        <v>285</v>
      </c>
      <c r="B381" s="453" t="s">
        <v>286</v>
      </c>
      <c r="C381" s="1328"/>
      <c r="D381" s="1329"/>
      <c r="E381" s="1328"/>
      <c r="F381" s="1329"/>
      <c r="G381" s="1329"/>
      <c r="H381" s="1329"/>
      <c r="I381" s="1329"/>
      <c r="J381" s="1328"/>
      <c r="K381" s="1329"/>
      <c r="L381" s="1329"/>
      <c r="M381" s="1329"/>
      <c r="N381" s="1329"/>
      <c r="O381" s="1328"/>
      <c r="P381" s="1329"/>
      <c r="Q381" s="1329"/>
      <c r="R381" s="1329"/>
    </row>
    <row r="382" spans="1:18" ht="13.2">
      <c r="A382" s="415"/>
      <c r="B382" s="407" t="s">
        <v>88</v>
      </c>
      <c r="C382" s="410"/>
      <c r="D382" s="371"/>
      <c r="E382" s="410">
        <f>E383</f>
        <v>738</v>
      </c>
      <c r="F382" s="371"/>
      <c r="G382" s="371"/>
      <c r="H382" s="371"/>
      <c r="I382" s="371"/>
      <c r="J382" s="410"/>
      <c r="K382" s="371"/>
      <c r="L382" s="371"/>
      <c r="M382" s="371"/>
      <c r="N382" s="371"/>
      <c r="O382" s="410"/>
      <c r="P382" s="371"/>
      <c r="Q382" s="371"/>
      <c r="R382" s="371"/>
    </row>
    <row r="383" spans="1:18" ht="13.2">
      <c r="A383" s="375"/>
      <c r="B383" s="412" t="s">
        <v>82</v>
      </c>
      <c r="C383" s="405"/>
      <c r="D383" s="377"/>
      <c r="E383" s="405">
        <f>E384</f>
        <v>738</v>
      </c>
      <c r="F383" s="377"/>
      <c r="G383" s="377"/>
      <c r="H383" s="377"/>
      <c r="I383" s="377"/>
      <c r="J383" s="405"/>
      <c r="K383" s="377"/>
      <c r="L383" s="377"/>
      <c r="M383" s="377"/>
      <c r="N383" s="377"/>
      <c r="O383" s="405"/>
      <c r="P383" s="377"/>
      <c r="Q383" s="377"/>
      <c r="R383" s="377"/>
    </row>
    <row r="384" spans="1:18" ht="26.4">
      <c r="A384" s="375"/>
      <c r="B384" s="412" t="s">
        <v>93</v>
      </c>
      <c r="C384" s="405"/>
      <c r="D384" s="377"/>
      <c r="E384" s="405">
        <v>738</v>
      </c>
      <c r="F384" s="377"/>
      <c r="G384" s="377"/>
      <c r="H384" s="377"/>
      <c r="I384" s="377"/>
      <c r="J384" s="405"/>
      <c r="K384" s="377"/>
      <c r="L384" s="377"/>
      <c r="M384" s="377"/>
      <c r="N384" s="377"/>
      <c r="O384" s="405"/>
      <c r="P384" s="377"/>
      <c r="Q384" s="377"/>
      <c r="R384" s="377"/>
    </row>
    <row r="385" spans="1:18" ht="13.2">
      <c r="A385" s="415"/>
      <c r="B385" s="407" t="s">
        <v>101</v>
      </c>
      <c r="C385" s="410"/>
      <c r="D385" s="371"/>
      <c r="E385" s="410">
        <f>E386+E390</f>
        <v>738</v>
      </c>
      <c r="F385" s="371"/>
      <c r="G385" s="371"/>
      <c r="H385" s="371"/>
      <c r="I385" s="371"/>
      <c r="J385" s="410"/>
      <c r="K385" s="371"/>
      <c r="L385" s="371"/>
      <c r="M385" s="371"/>
      <c r="N385" s="371"/>
      <c r="O385" s="410"/>
      <c r="P385" s="371"/>
      <c r="Q385" s="371"/>
      <c r="R385" s="371"/>
    </row>
    <row r="386" spans="1:18" ht="13.2">
      <c r="A386" s="375"/>
      <c r="B386" s="412" t="s">
        <v>103</v>
      </c>
      <c r="C386" s="405"/>
      <c r="D386" s="377"/>
      <c r="E386" s="405">
        <f>E387</f>
        <v>738</v>
      </c>
      <c r="F386" s="377"/>
      <c r="G386" s="377"/>
      <c r="H386" s="377"/>
      <c r="I386" s="377"/>
      <c r="J386" s="405"/>
      <c r="K386" s="377"/>
      <c r="L386" s="377"/>
      <c r="M386" s="377"/>
      <c r="N386" s="377"/>
      <c r="O386" s="405"/>
      <c r="P386" s="377"/>
      <c r="Q386" s="377"/>
      <c r="R386" s="377"/>
    </row>
    <row r="387" spans="1:18" ht="13.2">
      <c r="A387" s="375"/>
      <c r="B387" s="412" t="s">
        <v>115</v>
      </c>
      <c r="C387" s="405"/>
      <c r="D387" s="377"/>
      <c r="E387" s="405">
        <f>E388</f>
        <v>738</v>
      </c>
      <c r="F387" s="377"/>
      <c r="G387" s="377"/>
      <c r="H387" s="377"/>
      <c r="I387" s="377"/>
      <c r="J387" s="405"/>
      <c r="K387" s="377"/>
      <c r="L387" s="377"/>
      <c r="M387" s="377"/>
      <c r="N387" s="377"/>
      <c r="O387" s="405"/>
      <c r="P387" s="377"/>
      <c r="Q387" s="377"/>
      <c r="R387" s="377"/>
    </row>
    <row r="388" spans="1:18" ht="26.4">
      <c r="A388" s="375"/>
      <c r="B388" s="417" t="s">
        <v>157</v>
      </c>
      <c r="C388" s="405"/>
      <c r="D388" s="377"/>
      <c r="E388" s="405">
        <v>738</v>
      </c>
      <c r="F388" s="377"/>
      <c r="G388" s="377"/>
      <c r="H388" s="377"/>
      <c r="I388" s="377"/>
      <c r="J388" s="405"/>
      <c r="K388" s="377"/>
      <c r="L388" s="377"/>
      <c r="M388" s="377"/>
      <c r="N388" s="377"/>
      <c r="O388" s="405"/>
      <c r="P388" s="377"/>
      <c r="Q388" s="377"/>
      <c r="R388" s="377"/>
    </row>
    <row r="389" spans="1:18" ht="13.2">
      <c r="A389" s="375"/>
      <c r="B389" s="417"/>
      <c r="C389" s="405"/>
      <c r="D389" s="377"/>
      <c r="E389" s="405"/>
      <c r="F389" s="377"/>
      <c r="G389" s="377"/>
      <c r="H389" s="377"/>
      <c r="I389" s="377"/>
      <c r="J389" s="405"/>
      <c r="K389" s="377"/>
      <c r="L389" s="377"/>
      <c r="M389" s="377"/>
      <c r="N389" s="377"/>
      <c r="O389" s="405"/>
      <c r="P389" s="377"/>
      <c r="Q389" s="377"/>
      <c r="R389" s="377"/>
    </row>
    <row r="390" spans="1:18" ht="132">
      <c r="A390" s="1327" t="s">
        <v>287</v>
      </c>
      <c r="B390" s="453" t="s">
        <v>288</v>
      </c>
      <c r="C390" s="1328"/>
      <c r="D390" s="1329"/>
      <c r="E390" s="1328"/>
      <c r="F390" s="1329"/>
      <c r="G390" s="1329"/>
      <c r="H390" s="1329"/>
      <c r="I390" s="1329"/>
      <c r="J390" s="1328"/>
      <c r="K390" s="1329"/>
      <c r="L390" s="1329"/>
      <c r="M390" s="1329"/>
      <c r="N390" s="1329"/>
      <c r="O390" s="1328"/>
      <c r="P390" s="1329"/>
      <c r="Q390" s="1329"/>
      <c r="R390" s="1329"/>
    </row>
    <row r="391" spans="1:18" ht="13.2">
      <c r="A391" s="415"/>
      <c r="B391" s="407" t="s">
        <v>88</v>
      </c>
      <c r="C391" s="410"/>
      <c r="D391" s="371"/>
      <c r="E391" s="410">
        <f>E392</f>
        <v>815610</v>
      </c>
      <c r="F391" s="371"/>
      <c r="G391" s="371"/>
      <c r="H391" s="371"/>
      <c r="I391" s="371"/>
      <c r="J391" s="410">
        <f>J392</f>
        <v>9865</v>
      </c>
      <c r="K391" s="371"/>
      <c r="L391" s="371"/>
      <c r="M391" s="371"/>
      <c r="N391" s="371"/>
      <c r="O391" s="410"/>
      <c r="P391" s="371"/>
      <c r="Q391" s="371"/>
      <c r="R391" s="371"/>
    </row>
    <row r="392" spans="1:18" ht="13.2">
      <c r="A392" s="375"/>
      <c r="B392" s="412" t="s">
        <v>82</v>
      </c>
      <c r="C392" s="405"/>
      <c r="D392" s="377"/>
      <c r="E392" s="405">
        <f>E393</f>
        <v>815610</v>
      </c>
      <c r="F392" s="377"/>
      <c r="G392" s="377"/>
      <c r="H392" s="377"/>
      <c r="I392" s="377"/>
      <c r="J392" s="405">
        <f>J393</f>
        <v>9865</v>
      </c>
      <c r="K392" s="377"/>
      <c r="L392" s="377"/>
      <c r="M392" s="377"/>
      <c r="N392" s="377"/>
      <c r="O392" s="405"/>
      <c r="P392" s="377"/>
      <c r="Q392" s="377"/>
      <c r="R392" s="377"/>
    </row>
    <row r="393" spans="1:18" ht="26.4">
      <c r="A393" s="375"/>
      <c r="B393" s="412" t="s">
        <v>93</v>
      </c>
      <c r="C393" s="405"/>
      <c r="D393" s="377"/>
      <c r="E393" s="405">
        <f>356901+255914+202795</f>
        <v>815610</v>
      </c>
      <c r="F393" s="377"/>
      <c r="G393" s="377"/>
      <c r="H393" s="377"/>
      <c r="I393" s="377"/>
      <c r="J393" s="405">
        <f>442+4968+4455</f>
        <v>9865</v>
      </c>
      <c r="K393" s="377"/>
      <c r="L393" s="377"/>
      <c r="M393" s="377"/>
      <c r="N393" s="377"/>
      <c r="O393" s="405"/>
      <c r="P393" s="377"/>
      <c r="Q393" s="377"/>
      <c r="R393" s="377"/>
    </row>
    <row r="394" spans="1:18" ht="13.2">
      <c r="A394" s="415"/>
      <c r="B394" s="407" t="s">
        <v>101</v>
      </c>
      <c r="C394" s="410"/>
      <c r="D394" s="371"/>
      <c r="E394" s="410">
        <f>E395+E398</f>
        <v>815610</v>
      </c>
      <c r="F394" s="371"/>
      <c r="G394" s="371"/>
      <c r="H394" s="371"/>
      <c r="I394" s="371"/>
      <c r="J394" s="410">
        <f>J395+J398</f>
        <v>9865</v>
      </c>
      <c r="K394" s="371"/>
      <c r="L394" s="371"/>
      <c r="M394" s="371"/>
      <c r="N394" s="371"/>
      <c r="O394" s="410"/>
      <c r="P394" s="371"/>
      <c r="Q394" s="371"/>
      <c r="R394" s="371"/>
    </row>
    <row r="395" spans="1:18" ht="13.2">
      <c r="A395" s="375"/>
      <c r="B395" s="412" t="s">
        <v>103</v>
      </c>
      <c r="C395" s="405"/>
      <c r="D395" s="377"/>
      <c r="E395" s="405">
        <f>E396</f>
        <v>70204</v>
      </c>
      <c r="F395" s="377"/>
      <c r="G395" s="377"/>
      <c r="H395" s="377"/>
      <c r="I395" s="377"/>
      <c r="J395" s="405">
        <f>J396</f>
        <v>9865</v>
      </c>
      <c r="K395" s="377"/>
      <c r="L395" s="377"/>
      <c r="M395" s="377"/>
      <c r="N395" s="377"/>
      <c r="O395" s="405"/>
      <c r="P395" s="377"/>
      <c r="Q395" s="377"/>
      <c r="R395" s="377"/>
    </row>
    <row r="396" spans="1:18" ht="13.2">
      <c r="A396" s="375"/>
      <c r="B396" s="412" t="s">
        <v>115</v>
      </c>
      <c r="C396" s="405"/>
      <c r="D396" s="377"/>
      <c r="E396" s="405">
        <f>E397</f>
        <v>70204</v>
      </c>
      <c r="F396" s="377"/>
      <c r="G396" s="377"/>
      <c r="H396" s="377"/>
      <c r="I396" s="377"/>
      <c r="J396" s="405">
        <f>J397</f>
        <v>9865</v>
      </c>
      <c r="K396" s="377"/>
      <c r="L396" s="377"/>
      <c r="M396" s="377"/>
      <c r="N396" s="377"/>
      <c r="O396" s="405"/>
      <c r="P396" s="377"/>
      <c r="Q396" s="377"/>
      <c r="R396" s="377"/>
    </row>
    <row r="397" spans="1:18" ht="26.4">
      <c r="A397" s="375"/>
      <c r="B397" s="417" t="s">
        <v>157</v>
      </c>
      <c r="C397" s="405"/>
      <c r="D397" s="377"/>
      <c r="E397" s="405">
        <f>8375+38232+23597</f>
        <v>70204</v>
      </c>
      <c r="F397" s="377"/>
      <c r="G397" s="377"/>
      <c r="H397" s="377"/>
      <c r="I397" s="377"/>
      <c r="J397" s="405">
        <f>442+4968+4455</f>
        <v>9865</v>
      </c>
      <c r="K397" s="377"/>
      <c r="L397" s="377"/>
      <c r="M397" s="377"/>
      <c r="N397" s="377"/>
      <c r="O397" s="405"/>
      <c r="P397" s="377"/>
      <c r="Q397" s="377"/>
      <c r="R397" s="377"/>
    </row>
    <row r="398" spans="1:18" ht="13.2">
      <c r="A398" s="375"/>
      <c r="B398" s="412" t="s">
        <v>122</v>
      </c>
      <c r="C398" s="405"/>
      <c r="D398" s="377"/>
      <c r="E398" s="405">
        <f>E399</f>
        <v>745406</v>
      </c>
      <c r="F398" s="377"/>
      <c r="G398" s="377"/>
      <c r="H398" s="377"/>
      <c r="I398" s="377"/>
      <c r="J398" s="405"/>
      <c r="K398" s="377"/>
      <c r="L398" s="377"/>
      <c r="M398" s="377"/>
      <c r="N398" s="377"/>
      <c r="O398" s="405"/>
      <c r="P398" s="377"/>
      <c r="Q398" s="377"/>
      <c r="R398" s="377"/>
    </row>
    <row r="399" spans="1:18" ht="13.2">
      <c r="A399" s="375"/>
      <c r="B399" s="416" t="s">
        <v>164</v>
      </c>
      <c r="C399" s="405"/>
      <c r="D399" s="377"/>
      <c r="E399" s="405">
        <f>E400</f>
        <v>745406</v>
      </c>
      <c r="F399" s="377"/>
      <c r="G399" s="377"/>
      <c r="H399" s="377"/>
      <c r="I399" s="377"/>
      <c r="J399" s="405"/>
      <c r="K399" s="377"/>
      <c r="L399" s="377"/>
      <c r="M399" s="377"/>
      <c r="N399" s="377"/>
      <c r="O399" s="405"/>
      <c r="P399" s="377"/>
      <c r="Q399" s="377"/>
      <c r="R399" s="377"/>
    </row>
    <row r="400" spans="1:18" ht="26.4">
      <c r="A400" s="375"/>
      <c r="B400" s="417" t="s">
        <v>134</v>
      </c>
      <c r="C400" s="405"/>
      <c r="D400" s="377"/>
      <c r="E400" s="405">
        <f>348526+217682+179198</f>
        <v>745406</v>
      </c>
      <c r="F400" s="377"/>
      <c r="G400" s="377"/>
      <c r="H400" s="377"/>
      <c r="I400" s="377"/>
      <c r="J400" s="405"/>
      <c r="K400" s="377"/>
      <c r="L400" s="377"/>
      <c r="M400" s="377"/>
      <c r="N400" s="377"/>
      <c r="O400" s="405"/>
      <c r="P400" s="377"/>
      <c r="Q400" s="377"/>
      <c r="R400" s="377"/>
    </row>
    <row r="401" spans="1:18" ht="13.2">
      <c r="A401" s="375"/>
      <c r="B401" s="417"/>
      <c r="C401" s="405"/>
      <c r="D401" s="377"/>
      <c r="E401" s="405"/>
      <c r="F401" s="377"/>
      <c r="G401" s="377"/>
      <c r="H401" s="377"/>
      <c r="I401" s="377"/>
      <c r="J401" s="405"/>
      <c r="K401" s="377"/>
      <c r="L401" s="377"/>
      <c r="M401" s="377"/>
      <c r="N401" s="377"/>
      <c r="O401" s="405"/>
      <c r="P401" s="377"/>
      <c r="Q401" s="377"/>
      <c r="R401" s="377"/>
    </row>
    <row r="402" spans="1:18" ht="132">
      <c r="A402" s="1327" t="s">
        <v>289</v>
      </c>
      <c r="B402" s="453" t="s">
        <v>290</v>
      </c>
      <c r="C402" s="1328"/>
      <c r="D402" s="1329"/>
      <c r="E402" s="1328"/>
      <c r="F402" s="1329"/>
      <c r="G402" s="1329"/>
      <c r="H402" s="1329"/>
      <c r="I402" s="1329"/>
      <c r="J402" s="1328"/>
      <c r="K402" s="1329"/>
      <c r="L402" s="1329"/>
      <c r="M402" s="1329"/>
      <c r="N402" s="1329"/>
      <c r="O402" s="1328"/>
      <c r="P402" s="1329"/>
      <c r="Q402" s="1329"/>
      <c r="R402" s="1329"/>
    </row>
    <row r="403" spans="1:18" ht="13.2">
      <c r="A403" s="415"/>
      <c r="B403" s="407" t="s">
        <v>88</v>
      </c>
      <c r="C403" s="410"/>
      <c r="D403" s="371"/>
      <c r="E403" s="410">
        <f>E404</f>
        <v>587081</v>
      </c>
      <c r="F403" s="410"/>
      <c r="G403" s="410"/>
      <c r="H403" s="410"/>
      <c r="I403" s="410"/>
      <c r="J403" s="410">
        <f>J404</f>
        <v>520</v>
      </c>
      <c r="K403" s="371"/>
      <c r="L403" s="371"/>
      <c r="M403" s="371"/>
      <c r="N403" s="371"/>
      <c r="O403" s="410"/>
      <c r="P403" s="371"/>
      <c r="Q403" s="371"/>
      <c r="R403" s="371"/>
    </row>
    <row r="404" spans="1:18" ht="13.2">
      <c r="A404" s="375"/>
      <c r="B404" s="412" t="s">
        <v>97</v>
      </c>
      <c r="C404" s="405"/>
      <c r="D404" s="377"/>
      <c r="E404" s="405">
        <f>E405</f>
        <v>587081</v>
      </c>
      <c r="F404" s="405"/>
      <c r="G404" s="405"/>
      <c r="H404" s="405"/>
      <c r="I404" s="405"/>
      <c r="J404" s="405">
        <f>J405</f>
        <v>520</v>
      </c>
      <c r="K404" s="377"/>
      <c r="L404" s="377"/>
      <c r="M404" s="377"/>
      <c r="N404" s="377"/>
      <c r="O404" s="405"/>
      <c r="P404" s="377"/>
      <c r="Q404" s="377"/>
      <c r="R404" s="377"/>
    </row>
    <row r="405" spans="1:18" ht="26.4">
      <c r="A405" s="375"/>
      <c r="B405" s="412" t="s">
        <v>98</v>
      </c>
      <c r="C405" s="405"/>
      <c r="D405" s="377"/>
      <c r="E405" s="405">
        <f>244960+194532+147589</f>
        <v>587081</v>
      </c>
      <c r="F405" s="405"/>
      <c r="G405" s="405"/>
      <c r="H405" s="405"/>
      <c r="I405" s="405"/>
      <c r="J405" s="405">
        <f>520</f>
        <v>520</v>
      </c>
      <c r="K405" s="377"/>
      <c r="L405" s="377"/>
      <c r="M405" s="377"/>
      <c r="N405" s="377"/>
      <c r="O405" s="405"/>
      <c r="P405" s="377"/>
      <c r="Q405" s="377"/>
      <c r="R405" s="377"/>
    </row>
    <row r="406" spans="1:18" ht="13.2">
      <c r="A406" s="415"/>
      <c r="B406" s="407" t="s">
        <v>101</v>
      </c>
      <c r="C406" s="410"/>
      <c r="D406" s="371"/>
      <c r="E406" s="410">
        <f>E407+E412</f>
        <v>587081</v>
      </c>
      <c r="F406" s="410"/>
      <c r="G406" s="410"/>
      <c r="H406" s="410"/>
      <c r="I406" s="410"/>
      <c r="J406" s="410">
        <f>J407+J412</f>
        <v>520</v>
      </c>
      <c r="K406" s="371"/>
      <c r="L406" s="371"/>
      <c r="M406" s="371"/>
      <c r="N406" s="371"/>
      <c r="O406" s="410"/>
      <c r="P406" s="371"/>
      <c r="Q406" s="371"/>
      <c r="R406" s="371"/>
    </row>
    <row r="407" spans="1:18" ht="13.2">
      <c r="A407" s="375"/>
      <c r="B407" s="412" t="s">
        <v>103</v>
      </c>
      <c r="C407" s="405"/>
      <c r="D407" s="377"/>
      <c r="E407" s="405">
        <f>E408</f>
        <v>53583</v>
      </c>
      <c r="F407" s="405"/>
      <c r="G407" s="405"/>
      <c r="H407" s="405"/>
      <c r="I407" s="405"/>
      <c r="J407" s="405">
        <f>J408</f>
        <v>520</v>
      </c>
      <c r="K407" s="377"/>
      <c r="L407" s="377"/>
      <c r="M407" s="377"/>
      <c r="N407" s="377"/>
      <c r="O407" s="405"/>
      <c r="P407" s="377"/>
      <c r="Q407" s="377"/>
      <c r="R407" s="377"/>
    </row>
    <row r="408" spans="1:18" ht="13.2">
      <c r="A408" s="375"/>
      <c r="B408" s="412" t="s">
        <v>105</v>
      </c>
      <c r="C408" s="405"/>
      <c r="D408" s="377"/>
      <c r="E408" s="405">
        <f>E409+E411</f>
        <v>53583</v>
      </c>
      <c r="F408" s="405"/>
      <c r="G408" s="405"/>
      <c r="H408" s="405"/>
      <c r="I408" s="405"/>
      <c r="J408" s="405">
        <f>J409+J411</f>
        <v>520</v>
      </c>
      <c r="K408" s="377"/>
      <c r="L408" s="377"/>
      <c r="M408" s="377"/>
      <c r="N408" s="377"/>
      <c r="O408" s="405"/>
      <c r="P408" s="377"/>
      <c r="Q408" s="377"/>
      <c r="R408" s="377"/>
    </row>
    <row r="409" spans="1:18" ht="13.2">
      <c r="A409" s="375"/>
      <c r="B409" s="412" t="s">
        <v>106</v>
      </c>
      <c r="C409" s="405"/>
      <c r="D409" s="377"/>
      <c r="E409" s="405">
        <f>3502+6069+3697</f>
        <v>13268</v>
      </c>
      <c r="F409" s="405"/>
      <c r="G409" s="405"/>
      <c r="H409" s="405"/>
      <c r="I409" s="405"/>
      <c r="J409" s="405">
        <f>292</f>
        <v>292</v>
      </c>
      <c r="K409" s="377"/>
      <c r="L409" s="377"/>
      <c r="M409" s="377"/>
      <c r="N409" s="377"/>
      <c r="O409" s="405"/>
      <c r="P409" s="377"/>
      <c r="Q409" s="377"/>
      <c r="R409" s="377"/>
    </row>
    <row r="410" spans="1:18" ht="13.2">
      <c r="A410" s="375"/>
      <c r="B410" s="412" t="s">
        <v>107</v>
      </c>
      <c r="C410" s="405"/>
      <c r="D410" s="377"/>
      <c r="E410" s="405">
        <f>2822+4891+2979</f>
        <v>10692</v>
      </c>
      <c r="F410" s="405"/>
      <c r="G410" s="405"/>
      <c r="H410" s="405"/>
      <c r="I410" s="405"/>
      <c r="J410" s="405">
        <f>235</f>
        <v>235</v>
      </c>
      <c r="K410" s="377"/>
      <c r="L410" s="377"/>
      <c r="M410" s="377"/>
      <c r="N410" s="377"/>
      <c r="O410" s="405"/>
      <c r="P410" s="377"/>
      <c r="Q410" s="377"/>
      <c r="R410" s="377"/>
    </row>
    <row r="411" spans="1:18" ht="13.2">
      <c r="A411" s="375"/>
      <c r="B411" s="412" t="s">
        <v>108</v>
      </c>
      <c r="C411" s="405"/>
      <c r="D411" s="377"/>
      <c r="E411" s="405">
        <f>14793+4329+21193</f>
        <v>40315</v>
      </c>
      <c r="F411" s="405"/>
      <c r="G411" s="405"/>
      <c r="H411" s="405"/>
      <c r="I411" s="405"/>
      <c r="J411" s="405">
        <v>228</v>
      </c>
      <c r="K411" s="377"/>
      <c r="L411" s="377"/>
      <c r="M411" s="377"/>
      <c r="N411" s="377"/>
      <c r="O411" s="405"/>
      <c r="P411" s="377"/>
      <c r="Q411" s="377"/>
      <c r="R411" s="377"/>
    </row>
    <row r="412" spans="1:18" ht="13.2">
      <c r="A412" s="375"/>
      <c r="B412" s="412" t="s">
        <v>122</v>
      </c>
      <c r="C412" s="405"/>
      <c r="D412" s="377"/>
      <c r="E412" s="405">
        <f>E413</f>
        <v>533498</v>
      </c>
      <c r="F412" s="405"/>
      <c r="G412" s="405"/>
      <c r="H412" s="405"/>
      <c r="I412" s="405"/>
      <c r="J412" s="405">
        <f>J413</f>
        <v>0</v>
      </c>
      <c r="K412" s="377"/>
      <c r="L412" s="377"/>
      <c r="M412" s="377"/>
      <c r="N412" s="377"/>
      <c r="O412" s="405"/>
      <c r="P412" s="377"/>
      <c r="Q412" s="377"/>
      <c r="R412" s="377"/>
    </row>
    <row r="413" spans="1:18" ht="13.2">
      <c r="A413" s="375"/>
      <c r="B413" s="412" t="s">
        <v>123</v>
      </c>
      <c r="C413" s="405"/>
      <c r="D413" s="377"/>
      <c r="E413" s="405">
        <f>226665+184134+122699</f>
        <v>533498</v>
      </c>
      <c r="F413" s="405"/>
      <c r="G413" s="405"/>
      <c r="H413" s="405"/>
      <c r="I413" s="405"/>
      <c r="J413" s="405"/>
      <c r="K413" s="377"/>
      <c r="L413" s="377"/>
      <c r="M413" s="377"/>
      <c r="N413" s="377"/>
      <c r="O413" s="405"/>
      <c r="P413" s="377"/>
      <c r="Q413" s="377"/>
      <c r="R413" s="377"/>
    </row>
    <row r="414" spans="1:18" ht="13.2">
      <c r="A414" s="375"/>
      <c r="B414" s="412"/>
      <c r="C414" s="405"/>
      <c r="D414" s="377"/>
      <c r="E414" s="405"/>
      <c r="F414" s="405"/>
      <c r="G414" s="405"/>
      <c r="H414" s="405"/>
      <c r="I414" s="405"/>
      <c r="J414" s="405"/>
      <c r="K414" s="377"/>
      <c r="L414" s="377"/>
      <c r="M414" s="377"/>
      <c r="N414" s="377"/>
      <c r="O414" s="405"/>
      <c r="P414" s="377"/>
      <c r="Q414" s="377"/>
      <c r="R414" s="377"/>
    </row>
    <row r="415" spans="1:18" ht="118.8">
      <c r="A415" s="1327" t="s">
        <v>454</v>
      </c>
      <c r="B415" s="453" t="s">
        <v>476</v>
      </c>
      <c r="C415" s="1328"/>
      <c r="D415" s="1329"/>
      <c r="E415" s="1328"/>
      <c r="F415" s="1329"/>
      <c r="G415" s="1329"/>
      <c r="H415" s="1329"/>
      <c r="I415" s="1329"/>
      <c r="J415" s="1328"/>
      <c r="K415" s="1329"/>
      <c r="L415" s="1329"/>
      <c r="M415" s="1329"/>
      <c r="N415" s="1329"/>
      <c r="O415" s="1328"/>
      <c r="P415" s="1329"/>
      <c r="Q415" s="1329"/>
      <c r="R415" s="1329"/>
    </row>
    <row r="416" spans="1:18" ht="13.2">
      <c r="A416" s="415"/>
      <c r="B416" s="407" t="s">
        <v>88</v>
      </c>
      <c r="C416" s="410"/>
      <c r="D416" s="371"/>
      <c r="E416" s="410">
        <f>E417+E418</f>
        <v>38867</v>
      </c>
      <c r="F416" s="371"/>
      <c r="G416" s="371"/>
      <c r="H416" s="371"/>
      <c r="I416" s="371"/>
      <c r="J416" s="410"/>
      <c r="K416" s="371"/>
      <c r="L416" s="371"/>
      <c r="M416" s="371"/>
      <c r="N416" s="371"/>
      <c r="O416" s="410"/>
      <c r="P416" s="371"/>
      <c r="Q416" s="371"/>
      <c r="R416" s="371"/>
    </row>
    <row r="417" spans="1:18" ht="13.2">
      <c r="A417" s="375"/>
      <c r="B417" s="412" t="s">
        <v>92</v>
      </c>
      <c r="C417" s="405"/>
      <c r="D417" s="377"/>
      <c r="E417" s="405">
        <v>25977</v>
      </c>
      <c r="F417" s="377"/>
      <c r="G417" s="377"/>
      <c r="H417" s="377"/>
      <c r="I417" s="377"/>
      <c r="J417" s="405"/>
      <c r="K417" s="377"/>
      <c r="L417" s="377"/>
      <c r="M417" s="377"/>
      <c r="N417" s="377"/>
      <c r="O417" s="405"/>
      <c r="P417" s="377"/>
      <c r="Q417" s="377"/>
      <c r="R417" s="377"/>
    </row>
    <row r="418" spans="1:18" ht="13.2">
      <c r="A418" s="375"/>
      <c r="B418" s="412" t="s">
        <v>97</v>
      </c>
      <c r="C418" s="405"/>
      <c r="D418" s="377"/>
      <c r="E418" s="405">
        <f>E419</f>
        <v>12890</v>
      </c>
      <c r="F418" s="377"/>
      <c r="G418" s="377"/>
      <c r="H418" s="377"/>
      <c r="I418" s="377"/>
      <c r="J418" s="405"/>
      <c r="K418" s="377"/>
      <c r="L418" s="377"/>
      <c r="M418" s="377"/>
      <c r="N418" s="377"/>
      <c r="O418" s="405"/>
      <c r="P418" s="377"/>
      <c r="Q418" s="377"/>
      <c r="R418" s="377"/>
    </row>
    <row r="419" spans="1:18" ht="26.4">
      <c r="A419" s="375"/>
      <c r="B419" s="412" t="s">
        <v>98</v>
      </c>
      <c r="C419" s="405"/>
      <c r="D419" s="377"/>
      <c r="E419" s="405">
        <v>12890</v>
      </c>
      <c r="F419" s="377"/>
      <c r="G419" s="377"/>
      <c r="H419" s="377"/>
      <c r="I419" s="377"/>
      <c r="J419" s="405"/>
      <c r="K419" s="377"/>
      <c r="L419" s="377"/>
      <c r="M419" s="377"/>
      <c r="N419" s="377"/>
      <c r="O419" s="405"/>
      <c r="P419" s="377"/>
      <c r="Q419" s="377"/>
      <c r="R419" s="377"/>
    </row>
    <row r="420" spans="1:18" ht="13.2">
      <c r="A420" s="415"/>
      <c r="B420" s="407" t="s">
        <v>101</v>
      </c>
      <c r="C420" s="410"/>
      <c r="D420" s="371"/>
      <c r="E420" s="410">
        <f>E421+E426</f>
        <v>38867</v>
      </c>
      <c r="F420" s="371"/>
      <c r="G420" s="371"/>
      <c r="H420" s="371"/>
      <c r="I420" s="371"/>
      <c r="J420" s="410"/>
      <c r="K420" s="371"/>
      <c r="L420" s="371"/>
      <c r="M420" s="371"/>
      <c r="N420" s="371"/>
      <c r="O420" s="410"/>
      <c r="P420" s="371"/>
      <c r="Q420" s="371"/>
      <c r="R420" s="371"/>
    </row>
    <row r="421" spans="1:18" ht="13.2">
      <c r="A421" s="375"/>
      <c r="B421" s="412" t="s">
        <v>103</v>
      </c>
      <c r="C421" s="405"/>
      <c r="D421" s="377"/>
      <c r="E421" s="405">
        <f>E422</f>
        <v>37867</v>
      </c>
      <c r="F421" s="377"/>
      <c r="G421" s="377"/>
      <c r="H421" s="377"/>
      <c r="I421" s="377"/>
      <c r="J421" s="405"/>
      <c r="K421" s="377"/>
      <c r="L421" s="377"/>
      <c r="M421" s="377"/>
      <c r="N421" s="377"/>
      <c r="O421" s="405"/>
      <c r="P421" s="377"/>
      <c r="Q421" s="377"/>
      <c r="R421" s="377"/>
    </row>
    <row r="422" spans="1:18" ht="13.2">
      <c r="A422" s="375"/>
      <c r="B422" s="412" t="s">
        <v>105</v>
      </c>
      <c r="C422" s="405"/>
      <c r="D422" s="377"/>
      <c r="E422" s="405">
        <f>E423+E425</f>
        <v>37867</v>
      </c>
      <c r="F422" s="377"/>
      <c r="G422" s="377"/>
      <c r="H422" s="377"/>
      <c r="I422" s="377"/>
      <c r="J422" s="405"/>
      <c r="K422" s="377"/>
      <c r="L422" s="377"/>
      <c r="M422" s="377"/>
      <c r="N422" s="377"/>
      <c r="O422" s="405"/>
      <c r="P422" s="377"/>
      <c r="Q422" s="377"/>
      <c r="R422" s="377"/>
    </row>
    <row r="423" spans="1:18" ht="13.2">
      <c r="A423" s="375"/>
      <c r="B423" s="412" t="s">
        <v>106</v>
      </c>
      <c r="C423" s="405"/>
      <c r="D423" s="377"/>
      <c r="E423" s="405">
        <v>621</v>
      </c>
      <c r="F423" s="377"/>
      <c r="G423" s="377"/>
      <c r="H423" s="377"/>
      <c r="I423" s="377"/>
      <c r="J423" s="405"/>
      <c r="K423" s="377"/>
      <c r="L423" s="377"/>
      <c r="M423" s="377"/>
      <c r="N423" s="377"/>
      <c r="O423" s="405"/>
      <c r="P423" s="377"/>
      <c r="Q423" s="377"/>
      <c r="R423" s="377"/>
    </row>
    <row r="424" spans="1:18" ht="13.2">
      <c r="A424" s="375"/>
      <c r="B424" s="412" t="s">
        <v>107</v>
      </c>
      <c r="C424" s="405"/>
      <c r="D424" s="377"/>
      <c r="E424" s="405">
        <v>500</v>
      </c>
      <c r="F424" s="377"/>
      <c r="G424" s="377"/>
      <c r="H424" s="377"/>
      <c r="I424" s="377"/>
      <c r="J424" s="405"/>
      <c r="K424" s="377"/>
      <c r="L424" s="377"/>
      <c r="M424" s="377"/>
      <c r="N424" s="377"/>
      <c r="O424" s="405"/>
      <c r="P424" s="377"/>
      <c r="Q424" s="377"/>
      <c r="R424" s="377"/>
    </row>
    <row r="425" spans="1:18" ht="13.2">
      <c r="A425" s="375"/>
      <c r="B425" s="412" t="s">
        <v>108</v>
      </c>
      <c r="C425" s="405"/>
      <c r="D425" s="377"/>
      <c r="E425" s="405">
        <f>25356+11890</f>
        <v>37246</v>
      </c>
      <c r="F425" s="377"/>
      <c r="G425" s="377"/>
      <c r="H425" s="377"/>
      <c r="I425" s="377"/>
      <c r="J425" s="405"/>
      <c r="K425" s="377"/>
      <c r="L425" s="377"/>
      <c r="M425" s="377"/>
      <c r="N425" s="377"/>
      <c r="O425" s="405"/>
      <c r="P425" s="377"/>
      <c r="Q425" s="377"/>
      <c r="R425" s="377"/>
    </row>
    <row r="426" spans="1:18" ht="13.2">
      <c r="A426" s="375"/>
      <c r="B426" s="412" t="s">
        <v>122</v>
      </c>
      <c r="C426" s="405"/>
      <c r="D426" s="377"/>
      <c r="E426" s="405">
        <f>E427</f>
        <v>1000</v>
      </c>
      <c r="F426" s="405"/>
      <c r="G426" s="405"/>
      <c r="H426" s="405"/>
      <c r="I426" s="405"/>
      <c r="J426" s="405"/>
      <c r="K426" s="377"/>
      <c r="L426" s="377"/>
      <c r="M426" s="377"/>
      <c r="N426" s="377"/>
      <c r="O426" s="405"/>
      <c r="P426" s="377"/>
      <c r="Q426" s="377"/>
      <c r="R426" s="377"/>
    </row>
    <row r="427" spans="1:18" ht="13.2">
      <c r="A427" s="375"/>
      <c r="B427" s="412" t="s">
        <v>123</v>
      </c>
      <c r="C427" s="405"/>
      <c r="D427" s="377"/>
      <c r="E427" s="405">
        <f>1000</f>
        <v>1000</v>
      </c>
      <c r="F427" s="405"/>
      <c r="G427" s="405"/>
      <c r="H427" s="405"/>
      <c r="I427" s="405"/>
      <c r="J427" s="405"/>
      <c r="K427" s="377"/>
      <c r="L427" s="377"/>
      <c r="M427" s="377"/>
      <c r="N427" s="377"/>
      <c r="O427" s="405"/>
      <c r="P427" s="377"/>
      <c r="Q427" s="377"/>
      <c r="R427" s="377"/>
    </row>
    <row r="428" spans="1:18" ht="13.2">
      <c r="A428" s="375"/>
      <c r="B428" s="412"/>
      <c r="C428" s="405"/>
      <c r="D428" s="377"/>
      <c r="E428" s="405"/>
      <c r="F428" s="405"/>
      <c r="G428" s="405"/>
      <c r="H428" s="405"/>
      <c r="I428" s="405"/>
      <c r="J428" s="405"/>
      <c r="K428" s="377"/>
      <c r="L428" s="377"/>
      <c r="M428" s="377"/>
      <c r="N428" s="377"/>
      <c r="O428" s="405"/>
      <c r="P428" s="377"/>
      <c r="Q428" s="377"/>
      <c r="R428" s="377"/>
    </row>
    <row r="429" spans="1:18" ht="92.4">
      <c r="A429" s="1327" t="s">
        <v>455</v>
      </c>
      <c r="B429" s="453" t="s">
        <v>477</v>
      </c>
      <c r="C429" s="1328"/>
      <c r="D429" s="1329"/>
      <c r="E429" s="1328"/>
      <c r="F429" s="1329"/>
      <c r="G429" s="1329"/>
      <c r="H429" s="1329"/>
      <c r="I429" s="1329"/>
      <c r="J429" s="1328"/>
      <c r="K429" s="1329"/>
      <c r="L429" s="1329"/>
      <c r="M429" s="1329"/>
      <c r="N429" s="1329"/>
      <c r="O429" s="1328"/>
      <c r="P429" s="1329"/>
      <c r="Q429" s="1329"/>
      <c r="R429" s="1329"/>
    </row>
    <row r="430" spans="1:18" ht="13.2">
      <c r="A430" s="415"/>
      <c r="B430" s="407" t="s">
        <v>88</v>
      </c>
      <c r="C430" s="410"/>
      <c r="D430" s="371"/>
      <c r="E430" s="410">
        <f>E431</f>
        <v>8286</v>
      </c>
      <c r="F430" s="371"/>
      <c r="G430" s="371"/>
      <c r="H430" s="371"/>
      <c r="I430" s="371"/>
      <c r="J430" s="410"/>
      <c r="K430" s="371"/>
      <c r="L430" s="371"/>
      <c r="M430" s="371"/>
      <c r="N430" s="371"/>
      <c r="O430" s="410"/>
      <c r="P430" s="371"/>
      <c r="Q430" s="371"/>
      <c r="R430" s="371"/>
    </row>
    <row r="431" spans="1:18" ht="13.2">
      <c r="A431" s="375"/>
      <c r="B431" s="412" t="s">
        <v>82</v>
      </c>
      <c r="C431" s="405"/>
      <c r="D431" s="377"/>
      <c r="E431" s="405">
        <f>E432</f>
        <v>8286</v>
      </c>
      <c r="F431" s="377"/>
      <c r="G431" s="377"/>
      <c r="H431" s="377"/>
      <c r="I431" s="377"/>
      <c r="J431" s="405"/>
      <c r="K431" s="377"/>
      <c r="L431" s="377"/>
      <c r="M431" s="377"/>
      <c r="N431" s="377"/>
      <c r="O431" s="405"/>
      <c r="P431" s="377"/>
      <c r="Q431" s="377"/>
      <c r="R431" s="377"/>
    </row>
    <row r="432" spans="1:18" ht="26.4">
      <c r="A432" s="375"/>
      <c r="B432" s="412" t="s">
        <v>93</v>
      </c>
      <c r="C432" s="405"/>
      <c r="D432" s="377"/>
      <c r="E432" s="405">
        <v>8286</v>
      </c>
      <c r="F432" s="377"/>
      <c r="G432" s="377"/>
      <c r="H432" s="377"/>
      <c r="I432" s="377"/>
      <c r="J432" s="405"/>
      <c r="K432" s="377"/>
      <c r="L432" s="377"/>
      <c r="M432" s="377"/>
      <c r="N432" s="377"/>
      <c r="O432" s="405"/>
      <c r="P432" s="377"/>
      <c r="Q432" s="377"/>
      <c r="R432" s="377"/>
    </row>
    <row r="433" spans="1:18" ht="13.2">
      <c r="A433" s="415"/>
      <c r="B433" s="407" t="s">
        <v>101</v>
      </c>
      <c r="C433" s="410"/>
      <c r="D433" s="371"/>
      <c r="E433" s="410">
        <f>E434</f>
        <v>8286</v>
      </c>
      <c r="F433" s="371"/>
      <c r="G433" s="371"/>
      <c r="H433" s="371"/>
      <c r="I433" s="371"/>
      <c r="J433" s="410"/>
      <c r="K433" s="371"/>
      <c r="L433" s="371"/>
      <c r="M433" s="371"/>
      <c r="N433" s="371"/>
      <c r="O433" s="410"/>
      <c r="P433" s="371"/>
      <c r="Q433" s="371"/>
      <c r="R433" s="371"/>
    </row>
    <row r="434" spans="1:18" ht="13.2">
      <c r="A434" s="375"/>
      <c r="B434" s="412" t="s">
        <v>103</v>
      </c>
      <c r="C434" s="405"/>
      <c r="D434" s="377"/>
      <c r="E434" s="405">
        <f>E435</f>
        <v>8286</v>
      </c>
      <c r="F434" s="377"/>
      <c r="G434" s="377"/>
      <c r="H434" s="377"/>
      <c r="I434" s="377"/>
      <c r="J434" s="405"/>
      <c r="K434" s="377"/>
      <c r="L434" s="377"/>
      <c r="M434" s="377"/>
      <c r="N434" s="377"/>
      <c r="O434" s="405"/>
      <c r="P434" s="377"/>
      <c r="Q434" s="377"/>
      <c r="R434" s="377"/>
    </row>
    <row r="435" spans="1:18" ht="13.2">
      <c r="A435" s="375"/>
      <c r="B435" s="412" t="s">
        <v>115</v>
      </c>
      <c r="C435" s="405"/>
      <c r="D435" s="377"/>
      <c r="E435" s="405">
        <f>E436</f>
        <v>8286</v>
      </c>
      <c r="F435" s="377"/>
      <c r="G435" s="377"/>
      <c r="H435" s="377"/>
      <c r="I435" s="377"/>
      <c r="J435" s="405"/>
      <c r="K435" s="377"/>
      <c r="L435" s="377"/>
      <c r="M435" s="377"/>
      <c r="N435" s="377"/>
      <c r="O435" s="405"/>
      <c r="P435" s="377"/>
      <c r="Q435" s="377"/>
      <c r="R435" s="377"/>
    </row>
    <row r="436" spans="1:18" ht="26.4">
      <c r="A436" s="375"/>
      <c r="B436" s="417" t="s">
        <v>157</v>
      </c>
      <c r="C436" s="405"/>
      <c r="D436" s="377"/>
      <c r="E436" s="405">
        <v>8286</v>
      </c>
      <c r="F436" s="377"/>
      <c r="G436" s="377"/>
      <c r="H436" s="377"/>
      <c r="I436" s="377"/>
      <c r="J436" s="405"/>
      <c r="K436" s="377"/>
      <c r="L436" s="377"/>
      <c r="M436" s="377"/>
      <c r="N436" s="377"/>
      <c r="O436" s="405"/>
      <c r="P436" s="377"/>
      <c r="Q436" s="377"/>
      <c r="R436" s="377"/>
    </row>
    <row r="437" spans="1:18" ht="13.2">
      <c r="A437" s="375"/>
      <c r="B437" s="412"/>
      <c r="C437" s="405"/>
      <c r="D437" s="377"/>
      <c r="E437" s="405"/>
      <c r="F437" s="405"/>
      <c r="G437" s="405"/>
      <c r="H437" s="405"/>
      <c r="I437" s="405"/>
      <c r="J437" s="405"/>
      <c r="K437" s="377"/>
      <c r="L437" s="377"/>
      <c r="M437" s="377"/>
      <c r="N437" s="377"/>
      <c r="O437" s="405"/>
      <c r="P437" s="377"/>
      <c r="Q437" s="377"/>
      <c r="R437" s="377"/>
    </row>
    <row r="438" spans="1:18" ht="13.2">
      <c r="A438" s="777"/>
      <c r="B438" s="778" t="s">
        <v>237</v>
      </c>
      <c r="C438" s="405"/>
      <c r="D438" s="377"/>
      <c r="E438" s="405"/>
      <c r="F438" s="377"/>
      <c r="G438" s="377"/>
      <c r="H438" s="377"/>
      <c r="I438" s="377"/>
      <c r="J438" s="405"/>
      <c r="K438" s="377"/>
      <c r="L438" s="377"/>
      <c r="M438" s="377"/>
      <c r="N438" s="377"/>
      <c r="O438" s="405"/>
      <c r="P438" s="377"/>
      <c r="Q438" s="377"/>
      <c r="R438" s="377"/>
    </row>
    <row r="439" spans="1:18" ht="13.2">
      <c r="A439" s="777" t="s">
        <v>622</v>
      </c>
      <c r="B439" s="778" t="s">
        <v>623</v>
      </c>
      <c r="C439" s="405"/>
      <c r="D439" s="377"/>
      <c r="E439" s="405"/>
      <c r="F439" s="377"/>
      <c r="G439" s="377"/>
      <c r="H439" s="377"/>
      <c r="I439" s="377"/>
      <c r="J439" s="405"/>
      <c r="K439" s="377"/>
      <c r="L439" s="377"/>
      <c r="M439" s="377"/>
      <c r="N439" s="377"/>
      <c r="O439" s="405"/>
      <c r="P439" s="377"/>
      <c r="Q439" s="377"/>
      <c r="R439" s="377"/>
    </row>
    <row r="440" spans="1:18" ht="39.6">
      <c r="A440" s="1327">
        <v>1.1000000000000001</v>
      </c>
      <c r="B440" s="453" t="s">
        <v>624</v>
      </c>
      <c r="C440" s="1328"/>
      <c r="D440" s="1329"/>
      <c r="E440" s="1328"/>
      <c r="F440" s="1329"/>
      <c r="G440" s="1329"/>
      <c r="H440" s="1329"/>
      <c r="I440" s="1329"/>
      <c r="J440" s="1328"/>
      <c r="K440" s="1329"/>
      <c r="L440" s="1329"/>
      <c r="M440" s="1329"/>
      <c r="N440" s="1329"/>
      <c r="O440" s="1328"/>
      <c r="P440" s="1329"/>
      <c r="Q440" s="1329"/>
      <c r="R440" s="1329"/>
    </row>
    <row r="441" spans="1:18" ht="13.2">
      <c r="A441" s="406"/>
      <c r="B441" s="407" t="s">
        <v>88</v>
      </c>
      <c r="C441" s="408"/>
      <c r="D441" s="409"/>
      <c r="E441" s="410"/>
      <c r="F441" s="410"/>
      <c r="G441" s="410">
        <f>G442</f>
        <v>879412</v>
      </c>
      <c r="H441" s="371"/>
      <c r="I441" s="371"/>
      <c r="J441" s="410"/>
      <c r="K441" s="410"/>
      <c r="L441" s="410">
        <f>L442</f>
        <v>0</v>
      </c>
      <c r="M441" s="371"/>
      <c r="N441" s="371"/>
      <c r="O441" s="410"/>
      <c r="P441" s="410"/>
      <c r="Q441" s="410">
        <f>Q442</f>
        <v>0</v>
      </c>
      <c r="R441" s="371"/>
    </row>
    <row r="442" spans="1:18" ht="13.2">
      <c r="A442" s="411"/>
      <c r="B442" s="412" t="s">
        <v>97</v>
      </c>
      <c r="C442" s="413"/>
      <c r="D442" s="414"/>
      <c r="E442" s="405"/>
      <c r="F442" s="405"/>
      <c r="G442" s="405">
        <f>G443</f>
        <v>879412</v>
      </c>
      <c r="H442" s="405"/>
      <c r="I442" s="405"/>
      <c r="J442" s="405"/>
      <c r="K442" s="405"/>
      <c r="L442" s="405">
        <f>L443</f>
        <v>0</v>
      </c>
      <c r="M442" s="405"/>
      <c r="N442" s="405"/>
      <c r="O442" s="405"/>
      <c r="P442" s="405"/>
      <c r="Q442" s="405">
        <f>Q443</f>
        <v>0</v>
      </c>
      <c r="R442" s="405"/>
    </row>
    <row r="443" spans="1:18" ht="26.4">
      <c r="A443" s="411"/>
      <c r="B443" s="412" t="s">
        <v>98</v>
      </c>
      <c r="C443" s="413"/>
      <c r="D443" s="414"/>
      <c r="E443" s="405"/>
      <c r="F443" s="405"/>
      <c r="G443" s="405">
        <v>879412</v>
      </c>
      <c r="H443" s="377"/>
      <c r="I443" s="377"/>
      <c r="J443" s="405"/>
      <c r="K443" s="405"/>
      <c r="L443" s="405"/>
      <c r="M443" s="377"/>
      <c r="N443" s="377"/>
      <c r="O443" s="405"/>
      <c r="P443" s="405"/>
      <c r="Q443" s="405"/>
      <c r="R443" s="377"/>
    </row>
    <row r="444" spans="1:18" ht="13.2">
      <c r="A444" s="406"/>
      <c r="B444" s="407" t="s">
        <v>101</v>
      </c>
      <c r="C444" s="408"/>
      <c r="D444" s="409"/>
      <c r="E444" s="410"/>
      <c r="F444" s="410"/>
      <c r="G444" s="410">
        <f>G445+G448</f>
        <v>879412</v>
      </c>
      <c r="H444" s="371"/>
      <c r="I444" s="371"/>
      <c r="J444" s="410"/>
      <c r="K444" s="410"/>
      <c r="L444" s="410">
        <f>L445+L448</f>
        <v>0</v>
      </c>
      <c r="M444" s="371"/>
      <c r="N444" s="371"/>
      <c r="O444" s="410"/>
      <c r="P444" s="410"/>
      <c r="Q444" s="410">
        <f>Q445+Q448</f>
        <v>0</v>
      </c>
      <c r="R444" s="371"/>
    </row>
    <row r="445" spans="1:18" ht="13.2">
      <c r="A445" s="411"/>
      <c r="B445" s="412" t="s">
        <v>103</v>
      </c>
      <c r="C445" s="413"/>
      <c r="D445" s="414"/>
      <c r="E445" s="405"/>
      <c r="F445" s="405"/>
      <c r="G445" s="405">
        <f>G446</f>
        <v>781099</v>
      </c>
      <c r="H445" s="405"/>
      <c r="I445" s="405"/>
      <c r="J445" s="405"/>
      <c r="K445" s="405"/>
      <c r="L445" s="405">
        <f>L446</f>
        <v>0</v>
      </c>
      <c r="M445" s="405"/>
      <c r="N445" s="405"/>
      <c r="O445" s="405"/>
      <c r="P445" s="405"/>
      <c r="Q445" s="405">
        <f>Q446</f>
        <v>0</v>
      </c>
      <c r="R445" s="377"/>
    </row>
    <row r="446" spans="1:18" ht="13.2">
      <c r="A446" s="411"/>
      <c r="B446" s="412" t="s">
        <v>105</v>
      </c>
      <c r="C446" s="413"/>
      <c r="D446" s="414"/>
      <c r="E446" s="405"/>
      <c r="F446" s="405"/>
      <c r="G446" s="405">
        <f>G447</f>
        <v>781099</v>
      </c>
      <c r="H446" s="405"/>
      <c r="I446" s="405"/>
      <c r="J446" s="405"/>
      <c r="K446" s="405"/>
      <c r="L446" s="405">
        <f>L447</f>
        <v>0</v>
      </c>
      <c r="M446" s="405"/>
      <c r="N446" s="405"/>
      <c r="O446" s="405"/>
      <c r="P446" s="405"/>
      <c r="Q446" s="405">
        <f>Q447</f>
        <v>0</v>
      </c>
      <c r="R446" s="377"/>
    </row>
    <row r="447" spans="1:18" ht="13.2">
      <c r="A447" s="411"/>
      <c r="B447" s="412" t="s">
        <v>108</v>
      </c>
      <c r="C447" s="413"/>
      <c r="D447" s="414"/>
      <c r="E447" s="405"/>
      <c r="F447" s="405"/>
      <c r="G447" s="405">
        <v>781099</v>
      </c>
      <c r="H447" s="377"/>
      <c r="I447" s="377"/>
      <c r="J447" s="405"/>
      <c r="K447" s="405"/>
      <c r="L447" s="405"/>
      <c r="M447" s="377"/>
      <c r="N447" s="377"/>
      <c r="O447" s="405"/>
      <c r="P447" s="405"/>
      <c r="Q447" s="405"/>
      <c r="R447" s="377"/>
    </row>
    <row r="448" spans="1:18" ht="13.2">
      <c r="A448" s="411"/>
      <c r="B448" s="412" t="s">
        <v>122</v>
      </c>
      <c r="C448" s="413"/>
      <c r="D448" s="414"/>
      <c r="E448" s="405"/>
      <c r="F448" s="405"/>
      <c r="G448" s="405">
        <f>G449</f>
        <v>98313</v>
      </c>
      <c r="H448" s="377"/>
      <c r="I448" s="377"/>
      <c r="J448" s="405"/>
      <c r="K448" s="405"/>
      <c r="L448" s="405">
        <f>L449</f>
        <v>0</v>
      </c>
      <c r="M448" s="377"/>
      <c r="N448" s="377"/>
      <c r="O448" s="405"/>
      <c r="P448" s="405"/>
      <c r="Q448" s="405">
        <f>Q449</f>
        <v>0</v>
      </c>
      <c r="R448" s="377"/>
    </row>
    <row r="449" spans="1:18" ht="13.2">
      <c r="A449" s="419"/>
      <c r="B449" s="412" t="s">
        <v>123</v>
      </c>
      <c r="C449" s="421"/>
      <c r="D449" s="421"/>
      <c r="E449" s="405"/>
      <c r="F449" s="377"/>
      <c r="G449" s="405">
        <v>98313</v>
      </c>
      <c r="H449" s="377"/>
      <c r="I449" s="377"/>
      <c r="J449" s="405"/>
      <c r="K449" s="377"/>
      <c r="L449" s="377"/>
      <c r="M449" s="377"/>
      <c r="N449" s="377"/>
      <c r="O449" s="405"/>
      <c r="P449" s="377"/>
      <c r="Q449" s="377"/>
      <c r="R449" s="377"/>
    </row>
    <row r="450" spans="1:18" ht="13.2">
      <c r="A450" s="419"/>
      <c r="B450" s="420"/>
      <c r="C450" s="421"/>
      <c r="D450" s="421"/>
      <c r="E450" s="405"/>
      <c r="F450" s="377"/>
      <c r="G450" s="377"/>
      <c r="H450" s="377"/>
      <c r="I450" s="377"/>
      <c r="J450" s="405"/>
      <c r="K450" s="377"/>
      <c r="L450" s="377"/>
      <c r="M450" s="377"/>
      <c r="N450" s="377"/>
      <c r="O450" s="405"/>
      <c r="P450" s="377"/>
      <c r="Q450" s="377"/>
      <c r="R450" s="377"/>
    </row>
    <row r="451" spans="1:18" ht="39.6">
      <c r="A451" s="1327">
        <v>1.2</v>
      </c>
      <c r="B451" s="453" t="s">
        <v>625</v>
      </c>
      <c r="C451" s="1328"/>
      <c r="D451" s="1329"/>
      <c r="E451" s="1328"/>
      <c r="F451" s="1329"/>
      <c r="G451" s="1329"/>
      <c r="H451" s="1329"/>
      <c r="I451" s="1329"/>
      <c r="J451" s="1328"/>
      <c r="K451" s="1329"/>
      <c r="L451" s="1329"/>
      <c r="M451" s="1329"/>
      <c r="N451" s="1329"/>
      <c r="O451" s="1328"/>
      <c r="P451" s="1329"/>
      <c r="Q451" s="1329"/>
      <c r="R451" s="1329"/>
    </row>
    <row r="452" spans="1:18" ht="13.2">
      <c r="A452" s="406"/>
      <c r="B452" s="407" t="s">
        <v>88</v>
      </c>
      <c r="C452" s="408"/>
      <c r="D452" s="409"/>
      <c r="E452" s="410"/>
      <c r="F452" s="410"/>
      <c r="G452" s="410">
        <f>G453</f>
        <v>83051</v>
      </c>
      <c r="H452" s="371"/>
      <c r="I452" s="371"/>
      <c r="J452" s="410"/>
      <c r="K452" s="410"/>
      <c r="L452" s="410">
        <f>L453</f>
        <v>0</v>
      </c>
      <c r="M452" s="371"/>
      <c r="N452" s="371"/>
      <c r="O452" s="410"/>
      <c r="P452" s="410"/>
      <c r="Q452" s="410">
        <f>Q453</f>
        <v>0</v>
      </c>
      <c r="R452" s="371"/>
    </row>
    <row r="453" spans="1:18" ht="13.2">
      <c r="A453" s="411"/>
      <c r="B453" s="412" t="s">
        <v>97</v>
      </c>
      <c r="C453" s="413"/>
      <c r="D453" s="414"/>
      <c r="E453" s="405"/>
      <c r="F453" s="405"/>
      <c r="G453" s="405">
        <f>G454</f>
        <v>83051</v>
      </c>
      <c r="H453" s="405"/>
      <c r="I453" s="405"/>
      <c r="J453" s="405"/>
      <c r="K453" s="405"/>
      <c r="L453" s="405">
        <f>L454</f>
        <v>0</v>
      </c>
      <c r="M453" s="405"/>
      <c r="N453" s="405"/>
      <c r="O453" s="405"/>
      <c r="P453" s="405"/>
      <c r="Q453" s="405">
        <f>Q454</f>
        <v>0</v>
      </c>
      <c r="R453" s="405"/>
    </row>
    <row r="454" spans="1:18" ht="26.4">
      <c r="A454" s="411"/>
      <c r="B454" s="412" t="s">
        <v>98</v>
      </c>
      <c r="C454" s="413"/>
      <c r="D454" s="414"/>
      <c r="E454" s="405"/>
      <c r="F454" s="405"/>
      <c r="G454" s="405">
        <v>83051</v>
      </c>
      <c r="H454" s="377"/>
      <c r="I454" s="377"/>
      <c r="J454" s="405"/>
      <c r="K454" s="405"/>
      <c r="L454" s="405"/>
      <c r="M454" s="377"/>
      <c r="N454" s="377"/>
      <c r="O454" s="405"/>
      <c r="P454" s="405"/>
      <c r="Q454" s="405"/>
      <c r="R454" s="377"/>
    </row>
    <row r="455" spans="1:18" ht="13.2">
      <c r="A455" s="406"/>
      <c r="B455" s="407" t="s">
        <v>101</v>
      </c>
      <c r="C455" s="408"/>
      <c r="D455" s="409"/>
      <c r="E455" s="410"/>
      <c r="F455" s="410"/>
      <c r="G455" s="410">
        <f>G456+G459</f>
        <v>83051</v>
      </c>
      <c r="H455" s="371"/>
      <c r="I455" s="371"/>
      <c r="J455" s="410"/>
      <c r="K455" s="410"/>
      <c r="L455" s="410">
        <f>L456+L459</f>
        <v>0</v>
      </c>
      <c r="M455" s="371"/>
      <c r="N455" s="371"/>
      <c r="O455" s="410"/>
      <c r="P455" s="410"/>
      <c r="Q455" s="410">
        <f>Q456+Q459</f>
        <v>0</v>
      </c>
      <c r="R455" s="371"/>
    </row>
    <row r="456" spans="1:18" ht="13.2">
      <c r="A456" s="411"/>
      <c r="B456" s="412" t="s">
        <v>103</v>
      </c>
      <c r="C456" s="413"/>
      <c r="D456" s="414"/>
      <c r="E456" s="405"/>
      <c r="F456" s="405"/>
      <c r="G456" s="405">
        <f>G457</f>
        <v>83051</v>
      </c>
      <c r="H456" s="405"/>
      <c r="I456" s="405"/>
      <c r="J456" s="405"/>
      <c r="K456" s="405"/>
      <c r="L456" s="405">
        <f>L457</f>
        <v>0</v>
      </c>
      <c r="M456" s="405"/>
      <c r="N456" s="405"/>
      <c r="O456" s="405"/>
      <c r="P456" s="405"/>
      <c r="Q456" s="405">
        <f>Q457</f>
        <v>0</v>
      </c>
      <c r="R456" s="377"/>
    </row>
    <row r="457" spans="1:18" ht="13.2">
      <c r="A457" s="411"/>
      <c r="B457" s="412" t="s">
        <v>105</v>
      </c>
      <c r="C457" s="413"/>
      <c r="D457" s="414"/>
      <c r="E457" s="405"/>
      <c r="F457" s="405"/>
      <c r="G457" s="405">
        <f>G458</f>
        <v>83051</v>
      </c>
      <c r="H457" s="405"/>
      <c r="I457" s="405"/>
      <c r="J457" s="405"/>
      <c r="K457" s="405"/>
      <c r="L457" s="405">
        <f>L458</f>
        <v>0</v>
      </c>
      <c r="M457" s="405"/>
      <c r="N457" s="405"/>
      <c r="O457" s="405"/>
      <c r="P457" s="405"/>
      <c r="Q457" s="405">
        <f>Q458</f>
        <v>0</v>
      </c>
      <c r="R457" s="377"/>
    </row>
    <row r="458" spans="1:18" ht="13.2">
      <c r="A458" s="411"/>
      <c r="B458" s="412" t="s">
        <v>108</v>
      </c>
      <c r="C458" s="413"/>
      <c r="D458" s="414"/>
      <c r="E458" s="405"/>
      <c r="F458" s="405"/>
      <c r="G458" s="405">
        <v>83051</v>
      </c>
      <c r="H458" s="377"/>
      <c r="I458" s="377"/>
      <c r="J458" s="405"/>
      <c r="K458" s="405"/>
      <c r="L458" s="405"/>
      <c r="M458" s="377"/>
      <c r="N458" s="377"/>
      <c r="O458" s="405"/>
      <c r="P458" s="405"/>
      <c r="Q458" s="405"/>
      <c r="R458" s="377"/>
    </row>
    <row r="459" spans="1:18" ht="13.2">
      <c r="A459" s="411"/>
      <c r="B459" s="412" t="s">
        <v>122</v>
      </c>
      <c r="C459" s="413"/>
      <c r="D459" s="414"/>
      <c r="E459" s="405"/>
      <c r="F459" s="405"/>
      <c r="G459" s="405">
        <f>G460</f>
        <v>0</v>
      </c>
      <c r="H459" s="377"/>
      <c r="I459" s="377"/>
      <c r="J459" s="405"/>
      <c r="K459" s="405"/>
      <c r="L459" s="405">
        <f>L460</f>
        <v>0</v>
      </c>
      <c r="M459" s="377"/>
      <c r="N459" s="377"/>
      <c r="O459" s="405"/>
      <c r="P459" s="405"/>
      <c r="Q459" s="405">
        <f>Q460</f>
        <v>0</v>
      </c>
      <c r="R459" s="377"/>
    </row>
    <row r="460" spans="1:18" ht="13.2">
      <c r="A460" s="419"/>
      <c r="B460" s="412" t="s">
        <v>123</v>
      </c>
      <c r="C460" s="421"/>
      <c r="D460" s="421"/>
      <c r="E460" s="405"/>
      <c r="F460" s="377"/>
      <c r="G460" s="377"/>
      <c r="H460" s="377"/>
      <c r="I460" s="377"/>
      <c r="J460" s="405"/>
      <c r="K460" s="377"/>
      <c r="L460" s="377"/>
      <c r="M460" s="377"/>
      <c r="N460" s="377"/>
      <c r="O460" s="405"/>
      <c r="P460" s="377"/>
      <c r="Q460" s="377"/>
      <c r="R460" s="377"/>
    </row>
    <row r="461" spans="1:18" ht="13.2">
      <c r="A461" s="419"/>
      <c r="B461" s="420"/>
      <c r="C461" s="421"/>
      <c r="D461" s="421"/>
      <c r="E461" s="405"/>
      <c r="F461" s="377"/>
      <c r="G461" s="377"/>
      <c r="H461" s="377"/>
      <c r="I461" s="377"/>
      <c r="J461" s="405"/>
      <c r="K461" s="377"/>
      <c r="L461" s="377"/>
      <c r="M461" s="377"/>
      <c r="N461" s="377"/>
      <c r="O461" s="405"/>
      <c r="P461" s="377"/>
      <c r="Q461" s="377"/>
      <c r="R461" s="377"/>
    </row>
    <row r="462" spans="1:18" ht="52.8">
      <c r="A462" s="1327">
        <v>1.3</v>
      </c>
      <c r="B462" s="453" t="s">
        <v>626</v>
      </c>
      <c r="C462" s="1328"/>
      <c r="D462" s="1329"/>
      <c r="E462" s="1328"/>
      <c r="F462" s="1329"/>
      <c r="G462" s="1329"/>
      <c r="H462" s="1329"/>
      <c r="I462" s="1329"/>
      <c r="J462" s="1328"/>
      <c r="K462" s="1329"/>
      <c r="L462" s="1329"/>
      <c r="M462" s="1329"/>
      <c r="N462" s="1329"/>
      <c r="O462" s="1328"/>
      <c r="P462" s="1329"/>
      <c r="Q462" s="1329"/>
      <c r="R462" s="1329"/>
    </row>
    <row r="463" spans="1:18" ht="13.2">
      <c r="A463" s="406"/>
      <c r="B463" s="407" t="s">
        <v>88</v>
      </c>
      <c r="C463" s="408"/>
      <c r="D463" s="409"/>
      <c r="E463" s="410"/>
      <c r="F463" s="410"/>
      <c r="G463" s="410">
        <f>G464</f>
        <v>237616</v>
      </c>
      <c r="H463" s="371"/>
      <c r="I463" s="371"/>
      <c r="J463" s="410"/>
      <c r="K463" s="410"/>
      <c r="L463" s="410">
        <f>L464</f>
        <v>237616</v>
      </c>
      <c r="M463" s="371"/>
      <c r="N463" s="371"/>
      <c r="O463" s="410"/>
      <c r="P463" s="410"/>
      <c r="Q463" s="410">
        <f>Q464</f>
        <v>237616</v>
      </c>
      <c r="R463" s="371"/>
    </row>
    <row r="464" spans="1:18" ht="13.2">
      <c r="A464" s="411"/>
      <c r="B464" s="412" t="s">
        <v>97</v>
      </c>
      <c r="C464" s="413"/>
      <c r="D464" s="414"/>
      <c r="E464" s="405"/>
      <c r="F464" s="405"/>
      <c r="G464" s="405">
        <f>G465</f>
        <v>237616</v>
      </c>
      <c r="H464" s="405"/>
      <c r="I464" s="405"/>
      <c r="J464" s="405"/>
      <c r="K464" s="405"/>
      <c r="L464" s="405">
        <f>L465</f>
        <v>237616</v>
      </c>
      <c r="M464" s="405"/>
      <c r="N464" s="405"/>
      <c r="O464" s="405"/>
      <c r="P464" s="405"/>
      <c r="Q464" s="405">
        <f>Q465</f>
        <v>237616</v>
      </c>
      <c r="R464" s="405"/>
    </row>
    <row r="465" spans="1:18" ht="26.4">
      <c r="A465" s="411"/>
      <c r="B465" s="412" t="s">
        <v>98</v>
      </c>
      <c r="C465" s="413"/>
      <c r="D465" s="414"/>
      <c r="E465" s="405"/>
      <c r="F465" s="405"/>
      <c r="G465" s="405">
        <v>237616</v>
      </c>
      <c r="H465" s="377"/>
      <c r="I465" s="377"/>
      <c r="J465" s="405"/>
      <c r="K465" s="405"/>
      <c r="L465" s="405">
        <v>237616</v>
      </c>
      <c r="M465" s="377"/>
      <c r="N465" s="377"/>
      <c r="O465" s="405"/>
      <c r="P465" s="405"/>
      <c r="Q465" s="405">
        <v>237616</v>
      </c>
      <c r="R465" s="377"/>
    </row>
    <row r="466" spans="1:18" ht="13.2">
      <c r="A466" s="406"/>
      <c r="B466" s="407" t="s">
        <v>101</v>
      </c>
      <c r="C466" s="408"/>
      <c r="D466" s="409"/>
      <c r="E466" s="410"/>
      <c r="F466" s="410"/>
      <c r="G466" s="410">
        <f>G467</f>
        <v>237616</v>
      </c>
      <c r="H466" s="371"/>
      <c r="I466" s="371"/>
      <c r="J466" s="410"/>
      <c r="K466" s="410"/>
      <c r="L466" s="410">
        <f>L467</f>
        <v>237616</v>
      </c>
      <c r="M466" s="371"/>
      <c r="N466" s="371"/>
      <c r="O466" s="410"/>
      <c r="P466" s="410"/>
      <c r="Q466" s="410">
        <f>Q467</f>
        <v>237616</v>
      </c>
      <c r="R466" s="371"/>
    </row>
    <row r="467" spans="1:18" ht="13.2">
      <c r="A467" s="411"/>
      <c r="B467" s="412" t="s">
        <v>103</v>
      </c>
      <c r="C467" s="413"/>
      <c r="D467" s="414"/>
      <c r="E467" s="405"/>
      <c r="F467" s="405"/>
      <c r="G467" s="405">
        <f>G468</f>
        <v>237616</v>
      </c>
      <c r="H467" s="405"/>
      <c r="I467" s="405"/>
      <c r="J467" s="405"/>
      <c r="K467" s="405"/>
      <c r="L467" s="405">
        <f>L468</f>
        <v>237616</v>
      </c>
      <c r="M467" s="405"/>
      <c r="N467" s="405"/>
      <c r="O467" s="405"/>
      <c r="P467" s="405"/>
      <c r="Q467" s="405">
        <f>Q468</f>
        <v>237616</v>
      </c>
      <c r="R467" s="377"/>
    </row>
    <row r="468" spans="1:18" ht="13.2">
      <c r="A468" s="411"/>
      <c r="B468" s="412" t="s">
        <v>105</v>
      </c>
      <c r="C468" s="413"/>
      <c r="D468" s="414"/>
      <c r="E468" s="405"/>
      <c r="F468" s="405"/>
      <c r="G468" s="405">
        <f>G469</f>
        <v>237616</v>
      </c>
      <c r="H468" s="405"/>
      <c r="I468" s="405"/>
      <c r="J468" s="405"/>
      <c r="K468" s="405"/>
      <c r="L468" s="405">
        <f>L469</f>
        <v>237616</v>
      </c>
      <c r="M468" s="405"/>
      <c r="N468" s="405"/>
      <c r="O468" s="405"/>
      <c r="P468" s="405"/>
      <c r="Q468" s="405">
        <f>Q469</f>
        <v>237616</v>
      </c>
      <c r="R468" s="377"/>
    </row>
    <row r="469" spans="1:18" ht="13.2">
      <c r="A469" s="411"/>
      <c r="B469" s="412" t="s">
        <v>108</v>
      </c>
      <c r="C469" s="413"/>
      <c r="D469" s="414"/>
      <c r="E469" s="405"/>
      <c r="F469" s="405"/>
      <c r="G469" s="405">
        <v>237616</v>
      </c>
      <c r="H469" s="377"/>
      <c r="I469" s="377"/>
      <c r="J469" s="405"/>
      <c r="K469" s="405"/>
      <c r="L469" s="405">
        <v>237616</v>
      </c>
      <c r="M469" s="377"/>
      <c r="N469" s="377"/>
      <c r="O469" s="405"/>
      <c r="P469" s="405"/>
      <c r="Q469" s="405">
        <v>237616</v>
      </c>
      <c r="R469" s="377"/>
    </row>
    <row r="470" spans="1:18" ht="13.2">
      <c r="A470" s="419"/>
      <c r="B470" s="420"/>
      <c r="C470" s="421"/>
      <c r="D470" s="421"/>
      <c r="E470" s="405"/>
      <c r="F470" s="377"/>
      <c r="G470" s="377"/>
      <c r="H470" s="377"/>
      <c r="I470" s="377"/>
      <c r="J470" s="405"/>
      <c r="K470" s="377"/>
      <c r="L470" s="377"/>
      <c r="M470" s="377"/>
      <c r="N470" s="377"/>
      <c r="O470" s="405"/>
      <c r="P470" s="377"/>
      <c r="Q470" s="377"/>
      <c r="R470" s="377"/>
    </row>
    <row r="471" spans="1:18" ht="66">
      <c r="A471" s="1327">
        <v>1.4</v>
      </c>
      <c r="B471" s="453" t="s">
        <v>627</v>
      </c>
      <c r="C471" s="1328"/>
      <c r="D471" s="1329"/>
      <c r="E471" s="1328"/>
      <c r="F471" s="1329"/>
      <c r="G471" s="1329"/>
      <c r="H471" s="1329"/>
      <c r="I471" s="1329"/>
      <c r="J471" s="1328"/>
      <c r="K471" s="1329"/>
      <c r="L471" s="1329"/>
      <c r="M471" s="1329"/>
      <c r="N471" s="1329"/>
      <c r="O471" s="1328"/>
      <c r="P471" s="1329"/>
      <c r="Q471" s="1329"/>
      <c r="R471" s="1329"/>
    </row>
    <row r="472" spans="1:18" ht="13.2">
      <c r="A472" s="406"/>
      <c r="B472" s="407" t="s">
        <v>88</v>
      </c>
      <c r="C472" s="408"/>
      <c r="D472" s="409"/>
      <c r="E472" s="410"/>
      <c r="F472" s="410"/>
      <c r="G472" s="410">
        <f>G473</f>
        <v>648125</v>
      </c>
      <c r="H472" s="371"/>
      <c r="I472" s="371"/>
      <c r="J472" s="410"/>
      <c r="K472" s="410"/>
      <c r="L472" s="410">
        <f>L473</f>
        <v>0</v>
      </c>
      <c r="M472" s="371"/>
      <c r="N472" s="371"/>
      <c r="O472" s="410"/>
      <c r="P472" s="410"/>
      <c r="Q472" s="410">
        <f>Q473</f>
        <v>0</v>
      </c>
      <c r="R472" s="371"/>
    </row>
    <row r="473" spans="1:18" ht="13.2">
      <c r="A473" s="411"/>
      <c r="B473" s="412" t="s">
        <v>97</v>
      </c>
      <c r="C473" s="413"/>
      <c r="D473" s="414"/>
      <c r="E473" s="405"/>
      <c r="F473" s="405"/>
      <c r="G473" s="405">
        <f>G474</f>
        <v>648125</v>
      </c>
      <c r="H473" s="405"/>
      <c r="I473" s="405"/>
      <c r="J473" s="405"/>
      <c r="K473" s="405"/>
      <c r="L473" s="405">
        <f>L474</f>
        <v>0</v>
      </c>
      <c r="M473" s="405"/>
      <c r="N473" s="405"/>
      <c r="O473" s="405"/>
      <c r="P473" s="405"/>
      <c r="Q473" s="405">
        <f>Q474</f>
        <v>0</v>
      </c>
      <c r="R473" s="405"/>
    </row>
    <row r="474" spans="1:18" ht="26.4">
      <c r="A474" s="411"/>
      <c r="B474" s="412" t="s">
        <v>98</v>
      </c>
      <c r="C474" s="413"/>
      <c r="D474" s="414"/>
      <c r="E474" s="405"/>
      <c r="F474" s="405"/>
      <c r="G474" s="405">
        <v>648125</v>
      </c>
      <c r="H474" s="377"/>
      <c r="I474" s="377"/>
      <c r="J474" s="405"/>
      <c r="K474" s="405"/>
      <c r="L474" s="405"/>
      <c r="M474" s="377"/>
      <c r="N474" s="377"/>
      <c r="O474" s="405"/>
      <c r="P474" s="405"/>
      <c r="Q474" s="405"/>
      <c r="R474" s="377"/>
    </row>
    <row r="475" spans="1:18" ht="13.2">
      <c r="A475" s="406"/>
      <c r="B475" s="407" t="s">
        <v>101</v>
      </c>
      <c r="C475" s="408"/>
      <c r="D475" s="409"/>
      <c r="E475" s="410"/>
      <c r="F475" s="410"/>
      <c r="G475" s="410">
        <f>G476+G479</f>
        <v>648125</v>
      </c>
      <c r="H475" s="371"/>
      <c r="I475" s="371"/>
      <c r="J475" s="410"/>
      <c r="K475" s="410"/>
      <c r="L475" s="410">
        <f>L476+L479</f>
        <v>0</v>
      </c>
      <c r="M475" s="371"/>
      <c r="N475" s="371"/>
      <c r="O475" s="410"/>
      <c r="P475" s="410"/>
      <c r="Q475" s="410">
        <f>Q476+Q479</f>
        <v>0</v>
      </c>
      <c r="R475" s="371"/>
    </row>
    <row r="476" spans="1:18" ht="13.2">
      <c r="A476" s="411"/>
      <c r="B476" s="412" t="s">
        <v>103</v>
      </c>
      <c r="C476" s="413"/>
      <c r="D476" s="414"/>
      <c r="E476" s="405"/>
      <c r="F476" s="405"/>
      <c r="G476" s="405">
        <f>G477</f>
        <v>120045</v>
      </c>
      <c r="H476" s="405"/>
      <c r="I476" s="405"/>
      <c r="J476" s="405"/>
      <c r="K476" s="405"/>
      <c r="L476" s="405">
        <f>L477</f>
        <v>0</v>
      </c>
      <c r="M476" s="405"/>
      <c r="N476" s="405"/>
      <c r="O476" s="405"/>
      <c r="P476" s="405"/>
      <c r="Q476" s="405">
        <f>Q477</f>
        <v>0</v>
      </c>
      <c r="R476" s="377"/>
    </row>
    <row r="477" spans="1:18" ht="13.2">
      <c r="A477" s="411"/>
      <c r="B477" s="412" t="s">
        <v>105</v>
      </c>
      <c r="C477" s="413"/>
      <c r="D477" s="414"/>
      <c r="E477" s="405"/>
      <c r="F477" s="405"/>
      <c r="G477" s="405">
        <f>G478</f>
        <v>120045</v>
      </c>
      <c r="H477" s="405"/>
      <c r="I477" s="405"/>
      <c r="J477" s="405"/>
      <c r="K477" s="405"/>
      <c r="L477" s="405">
        <f>L478</f>
        <v>0</v>
      </c>
      <c r="M477" s="405"/>
      <c r="N477" s="405"/>
      <c r="O477" s="405"/>
      <c r="P477" s="405"/>
      <c r="Q477" s="405">
        <f>Q478</f>
        <v>0</v>
      </c>
      <c r="R477" s="377"/>
    </row>
    <row r="478" spans="1:18" ht="13.2">
      <c r="A478" s="411"/>
      <c r="B478" s="412" t="s">
        <v>108</v>
      </c>
      <c r="C478" s="413"/>
      <c r="D478" s="414"/>
      <c r="E478" s="405"/>
      <c r="F478" s="405"/>
      <c r="G478" s="405">
        <v>120045</v>
      </c>
      <c r="H478" s="377"/>
      <c r="I478" s="377"/>
      <c r="J478" s="405"/>
      <c r="K478" s="405"/>
      <c r="L478" s="405"/>
      <c r="M478" s="377"/>
      <c r="N478" s="377"/>
      <c r="O478" s="405"/>
      <c r="P478" s="405"/>
      <c r="Q478" s="405"/>
      <c r="R478" s="377"/>
    </row>
    <row r="479" spans="1:18" ht="13.2">
      <c r="A479" s="411"/>
      <c r="B479" s="412" t="s">
        <v>122</v>
      </c>
      <c r="C479" s="413"/>
      <c r="D479" s="414"/>
      <c r="E479" s="405"/>
      <c r="F479" s="405"/>
      <c r="G479" s="405">
        <f>G480</f>
        <v>528080</v>
      </c>
      <c r="H479" s="377"/>
      <c r="I479" s="377"/>
      <c r="J479" s="405"/>
      <c r="K479" s="405"/>
      <c r="L479" s="405">
        <f>L480</f>
        <v>0</v>
      </c>
      <c r="M479" s="377"/>
      <c r="N479" s="377"/>
      <c r="O479" s="405"/>
      <c r="P479" s="405"/>
      <c r="Q479" s="405">
        <f>Q480</f>
        <v>0</v>
      </c>
      <c r="R479" s="377"/>
    </row>
    <row r="480" spans="1:18" ht="13.2">
      <c r="A480" s="419"/>
      <c r="B480" s="412" t="s">
        <v>123</v>
      </c>
      <c r="C480" s="421"/>
      <c r="D480" s="421"/>
      <c r="E480" s="405"/>
      <c r="F480" s="377"/>
      <c r="G480" s="405">
        <v>528080</v>
      </c>
      <c r="H480" s="377"/>
      <c r="I480" s="377"/>
      <c r="J480" s="405"/>
      <c r="K480" s="377"/>
      <c r="L480" s="377"/>
      <c r="M480" s="377"/>
      <c r="N480" s="377"/>
      <c r="O480" s="405"/>
      <c r="P480" s="377"/>
      <c r="Q480" s="377"/>
      <c r="R480" s="377"/>
    </row>
    <row r="481" spans="1:18" ht="13.2">
      <c r="A481" s="419"/>
      <c r="B481" s="420"/>
      <c r="C481" s="421"/>
      <c r="D481" s="421"/>
      <c r="E481" s="405"/>
      <c r="F481" s="377"/>
      <c r="G481" s="377"/>
      <c r="H481" s="377"/>
      <c r="I481" s="377"/>
      <c r="J481" s="405"/>
      <c r="K481" s="377"/>
      <c r="L481" s="377"/>
      <c r="M481" s="377"/>
      <c r="N481" s="377"/>
      <c r="O481" s="405"/>
      <c r="P481" s="377"/>
      <c r="Q481" s="377"/>
      <c r="R481" s="377"/>
    </row>
    <row r="482" spans="1:18" ht="52.8">
      <c r="A482" s="1327">
        <v>1.5</v>
      </c>
      <c r="B482" s="453" t="s">
        <v>628</v>
      </c>
      <c r="C482" s="1328"/>
      <c r="D482" s="1329"/>
      <c r="E482" s="1328"/>
      <c r="F482" s="1329"/>
      <c r="G482" s="1329"/>
      <c r="H482" s="1329"/>
      <c r="I482" s="1329"/>
      <c r="J482" s="1328"/>
      <c r="K482" s="1329"/>
      <c r="L482" s="1329"/>
      <c r="M482" s="1329"/>
      <c r="N482" s="1329"/>
      <c r="O482" s="1328"/>
      <c r="P482" s="1329"/>
      <c r="Q482" s="1329"/>
      <c r="R482" s="1329"/>
    </row>
    <row r="483" spans="1:18" ht="13.2">
      <c r="A483" s="406"/>
      <c r="B483" s="407" t="s">
        <v>88</v>
      </c>
      <c r="C483" s="408"/>
      <c r="D483" s="409"/>
      <c r="E483" s="410"/>
      <c r="F483" s="410"/>
      <c r="G483" s="410">
        <f>G484</f>
        <v>250200</v>
      </c>
      <c r="H483" s="371"/>
      <c r="I483" s="371"/>
      <c r="J483" s="410"/>
      <c r="K483" s="410"/>
      <c r="L483" s="410">
        <f>L484</f>
        <v>68200</v>
      </c>
      <c r="M483" s="371"/>
      <c r="N483" s="371"/>
      <c r="O483" s="410"/>
      <c r="P483" s="410"/>
      <c r="Q483" s="410">
        <f>Q484</f>
        <v>10000</v>
      </c>
      <c r="R483" s="371"/>
    </row>
    <row r="484" spans="1:18" ht="13.2">
      <c r="A484" s="411"/>
      <c r="B484" s="412" t="s">
        <v>97</v>
      </c>
      <c r="C484" s="413"/>
      <c r="D484" s="414"/>
      <c r="E484" s="405"/>
      <c r="F484" s="405"/>
      <c r="G484" s="405">
        <f>G485</f>
        <v>250200</v>
      </c>
      <c r="H484" s="405"/>
      <c r="I484" s="405"/>
      <c r="J484" s="405"/>
      <c r="K484" s="405"/>
      <c r="L484" s="405">
        <f>L485</f>
        <v>68200</v>
      </c>
      <c r="M484" s="405"/>
      <c r="N484" s="405"/>
      <c r="O484" s="405"/>
      <c r="P484" s="405"/>
      <c r="Q484" s="405">
        <f>Q485</f>
        <v>10000</v>
      </c>
      <c r="R484" s="405"/>
    </row>
    <row r="485" spans="1:18" ht="26.4">
      <c r="A485" s="411"/>
      <c r="B485" s="412" t="s">
        <v>98</v>
      </c>
      <c r="C485" s="413"/>
      <c r="D485" s="414"/>
      <c r="E485" s="405"/>
      <c r="F485" s="405"/>
      <c r="G485" s="405">
        <v>250200</v>
      </c>
      <c r="H485" s="377"/>
      <c r="I485" s="377"/>
      <c r="J485" s="405"/>
      <c r="K485" s="405"/>
      <c r="L485" s="405">
        <v>68200</v>
      </c>
      <c r="M485" s="377"/>
      <c r="N485" s="377"/>
      <c r="O485" s="405"/>
      <c r="P485" s="405"/>
      <c r="Q485" s="405">
        <v>10000</v>
      </c>
      <c r="R485" s="377"/>
    </row>
    <row r="486" spans="1:18" ht="13.2">
      <c r="A486" s="406"/>
      <c r="B486" s="407" t="s">
        <v>101</v>
      </c>
      <c r="C486" s="408"/>
      <c r="D486" s="409"/>
      <c r="E486" s="410"/>
      <c r="F486" s="410"/>
      <c r="G486" s="410">
        <f>G487+G490</f>
        <v>250200</v>
      </c>
      <c r="H486" s="371"/>
      <c r="I486" s="371"/>
      <c r="J486" s="410"/>
      <c r="K486" s="410"/>
      <c r="L486" s="410">
        <f>L487+L490</f>
        <v>68200</v>
      </c>
      <c r="M486" s="371"/>
      <c r="N486" s="371"/>
      <c r="O486" s="410"/>
      <c r="P486" s="410"/>
      <c r="Q486" s="410">
        <f>Q487+Q490</f>
        <v>10000</v>
      </c>
      <c r="R486" s="371"/>
    </row>
    <row r="487" spans="1:18" ht="13.2">
      <c r="A487" s="411"/>
      <c r="B487" s="412" t="s">
        <v>103</v>
      </c>
      <c r="C487" s="413"/>
      <c r="D487" s="414"/>
      <c r="E487" s="405"/>
      <c r="F487" s="405"/>
      <c r="G487" s="405">
        <f>G488</f>
        <v>10000</v>
      </c>
      <c r="H487" s="405"/>
      <c r="I487" s="405"/>
      <c r="J487" s="405"/>
      <c r="K487" s="405"/>
      <c r="L487" s="405">
        <f>L488</f>
        <v>10000</v>
      </c>
      <c r="M487" s="405"/>
      <c r="N487" s="405"/>
      <c r="O487" s="405"/>
      <c r="P487" s="405"/>
      <c r="Q487" s="405">
        <f>Q488</f>
        <v>10000</v>
      </c>
      <c r="R487" s="377"/>
    </row>
    <row r="488" spans="1:18" ht="13.2">
      <c r="A488" s="411"/>
      <c r="B488" s="412" t="s">
        <v>105</v>
      </c>
      <c r="C488" s="413"/>
      <c r="D488" s="414"/>
      <c r="E488" s="405"/>
      <c r="F488" s="405"/>
      <c r="G488" s="405">
        <f>G489</f>
        <v>10000</v>
      </c>
      <c r="H488" s="405"/>
      <c r="I488" s="405"/>
      <c r="J488" s="405"/>
      <c r="K488" s="405"/>
      <c r="L488" s="405">
        <f>L489</f>
        <v>10000</v>
      </c>
      <c r="M488" s="405"/>
      <c r="N488" s="405"/>
      <c r="O488" s="405"/>
      <c r="P488" s="405"/>
      <c r="Q488" s="405">
        <f>Q489</f>
        <v>10000</v>
      </c>
      <c r="R488" s="377"/>
    </row>
    <row r="489" spans="1:18" ht="13.2">
      <c r="A489" s="411"/>
      <c r="B489" s="412" t="s">
        <v>108</v>
      </c>
      <c r="C489" s="413"/>
      <c r="D489" s="414"/>
      <c r="E489" s="405"/>
      <c r="F489" s="405"/>
      <c r="G489" s="405">
        <v>10000</v>
      </c>
      <c r="H489" s="377"/>
      <c r="I489" s="377"/>
      <c r="J489" s="405"/>
      <c r="K489" s="405"/>
      <c r="L489" s="405">
        <v>10000</v>
      </c>
      <c r="M489" s="377"/>
      <c r="N489" s="377"/>
      <c r="O489" s="405"/>
      <c r="P489" s="405"/>
      <c r="Q489" s="405">
        <v>10000</v>
      </c>
      <c r="R489" s="377"/>
    </row>
    <row r="490" spans="1:18" ht="13.2">
      <c r="A490" s="411"/>
      <c r="B490" s="412" t="s">
        <v>122</v>
      </c>
      <c r="C490" s="413"/>
      <c r="D490" s="414"/>
      <c r="E490" s="405"/>
      <c r="F490" s="405"/>
      <c r="G490" s="405">
        <f>G491</f>
        <v>240200</v>
      </c>
      <c r="H490" s="377"/>
      <c r="I490" s="377"/>
      <c r="J490" s="405"/>
      <c r="K490" s="405"/>
      <c r="L490" s="405">
        <f>L491</f>
        <v>58200</v>
      </c>
      <c r="M490" s="377"/>
      <c r="N490" s="377"/>
      <c r="O490" s="405"/>
      <c r="P490" s="405"/>
      <c r="Q490" s="405">
        <f>Q491</f>
        <v>0</v>
      </c>
      <c r="R490" s="377"/>
    </row>
    <row r="491" spans="1:18" ht="13.2">
      <c r="A491" s="419"/>
      <c r="B491" s="412" t="s">
        <v>123</v>
      </c>
      <c r="C491" s="421"/>
      <c r="D491" s="421"/>
      <c r="E491" s="405"/>
      <c r="F491" s="377"/>
      <c r="G491" s="405">
        <v>240200</v>
      </c>
      <c r="H491" s="377"/>
      <c r="I491" s="377"/>
      <c r="J491" s="405"/>
      <c r="K491" s="377"/>
      <c r="L491" s="405">
        <v>58200</v>
      </c>
      <c r="M491" s="377"/>
      <c r="N491" s="377"/>
      <c r="O491" s="405"/>
      <c r="P491" s="377"/>
      <c r="Q491" s="377"/>
      <c r="R491" s="377"/>
    </row>
    <row r="492" spans="1:18" ht="13.2">
      <c r="A492" s="419"/>
      <c r="B492" s="420"/>
      <c r="C492" s="421"/>
      <c r="D492" s="421"/>
      <c r="E492" s="405"/>
      <c r="F492" s="377"/>
      <c r="G492" s="377"/>
      <c r="H492" s="377"/>
      <c r="I492" s="377"/>
      <c r="J492" s="405"/>
      <c r="K492" s="377"/>
      <c r="L492" s="377"/>
      <c r="M492" s="377"/>
      <c r="N492" s="377"/>
      <c r="O492" s="405"/>
      <c r="P492" s="377"/>
      <c r="Q492" s="377"/>
      <c r="R492" s="377"/>
    </row>
    <row r="493" spans="1:18" ht="52.8">
      <c r="A493" s="1327">
        <v>1.6</v>
      </c>
      <c r="B493" s="453" t="s">
        <v>629</v>
      </c>
      <c r="C493" s="1328"/>
      <c r="D493" s="1329"/>
      <c r="E493" s="1328"/>
      <c r="F493" s="1329"/>
      <c r="G493" s="1329"/>
      <c r="H493" s="1329"/>
      <c r="I493" s="1329"/>
      <c r="J493" s="1328"/>
      <c r="K493" s="1329"/>
      <c r="L493" s="1329"/>
      <c r="M493" s="1329"/>
      <c r="N493" s="1329"/>
      <c r="O493" s="1328"/>
      <c r="P493" s="1329"/>
      <c r="Q493" s="1329"/>
      <c r="R493" s="1329"/>
    </row>
    <row r="494" spans="1:18" ht="13.2">
      <c r="A494" s="406"/>
      <c r="B494" s="407" t="s">
        <v>88</v>
      </c>
      <c r="C494" s="408"/>
      <c r="D494" s="409"/>
      <c r="E494" s="410"/>
      <c r="F494" s="410"/>
      <c r="G494" s="410">
        <f>G495</f>
        <v>204783</v>
      </c>
      <c r="H494" s="371"/>
      <c r="I494" s="371"/>
      <c r="J494" s="410"/>
      <c r="K494" s="410"/>
      <c r="L494" s="410">
        <f>L495</f>
        <v>204783</v>
      </c>
      <c r="M494" s="371"/>
      <c r="N494" s="371"/>
      <c r="O494" s="410"/>
      <c r="P494" s="410"/>
      <c r="Q494" s="410">
        <f>Q495</f>
        <v>204783</v>
      </c>
      <c r="R494" s="371"/>
    </row>
    <row r="495" spans="1:18" ht="13.2">
      <c r="A495" s="411"/>
      <c r="B495" s="412" t="s">
        <v>97</v>
      </c>
      <c r="C495" s="413"/>
      <c r="D495" s="414"/>
      <c r="E495" s="405"/>
      <c r="F495" s="405"/>
      <c r="G495" s="405">
        <f>G496</f>
        <v>204783</v>
      </c>
      <c r="H495" s="405"/>
      <c r="I495" s="405"/>
      <c r="J495" s="405"/>
      <c r="K495" s="405"/>
      <c r="L495" s="405">
        <f>L496</f>
        <v>204783</v>
      </c>
      <c r="M495" s="405"/>
      <c r="N495" s="405"/>
      <c r="O495" s="405"/>
      <c r="P495" s="405"/>
      <c r="Q495" s="405">
        <f>Q496</f>
        <v>204783</v>
      </c>
      <c r="R495" s="405"/>
    </row>
    <row r="496" spans="1:18" ht="26.4">
      <c r="A496" s="411"/>
      <c r="B496" s="412" t="s">
        <v>98</v>
      </c>
      <c r="C496" s="413"/>
      <c r="D496" s="414"/>
      <c r="E496" s="405"/>
      <c r="F496" s="405"/>
      <c r="G496" s="405">
        <v>204783</v>
      </c>
      <c r="H496" s="377"/>
      <c r="I496" s="377"/>
      <c r="J496" s="405"/>
      <c r="K496" s="405"/>
      <c r="L496" s="405">
        <v>204783</v>
      </c>
      <c r="M496" s="377"/>
      <c r="N496" s="377"/>
      <c r="O496" s="405"/>
      <c r="P496" s="405"/>
      <c r="Q496" s="405">
        <v>204783</v>
      </c>
      <c r="R496" s="377"/>
    </row>
    <row r="497" spans="1:18" ht="13.2">
      <c r="A497" s="406"/>
      <c r="B497" s="407" t="s">
        <v>101</v>
      </c>
      <c r="C497" s="408"/>
      <c r="D497" s="409"/>
      <c r="E497" s="410"/>
      <c r="F497" s="410"/>
      <c r="G497" s="410">
        <f>G498+G501</f>
        <v>204783</v>
      </c>
      <c r="H497" s="371"/>
      <c r="I497" s="371"/>
      <c r="J497" s="410"/>
      <c r="K497" s="410"/>
      <c r="L497" s="410">
        <f>L498+L501</f>
        <v>204783</v>
      </c>
      <c r="M497" s="371"/>
      <c r="N497" s="371"/>
      <c r="O497" s="410"/>
      <c r="P497" s="410"/>
      <c r="Q497" s="410">
        <f>Q498+Q501</f>
        <v>204783</v>
      </c>
      <c r="R497" s="371"/>
    </row>
    <row r="498" spans="1:18" ht="13.2">
      <c r="A498" s="411"/>
      <c r="B498" s="412" t="s">
        <v>103</v>
      </c>
      <c r="C498" s="413"/>
      <c r="D498" s="414"/>
      <c r="E498" s="405"/>
      <c r="F498" s="405"/>
      <c r="G498" s="405">
        <f>G499</f>
        <v>204783</v>
      </c>
      <c r="H498" s="405"/>
      <c r="I498" s="405"/>
      <c r="J498" s="405"/>
      <c r="K498" s="405"/>
      <c r="L498" s="405">
        <f>L499</f>
        <v>204783</v>
      </c>
      <c r="M498" s="405"/>
      <c r="N498" s="405"/>
      <c r="O498" s="405"/>
      <c r="P498" s="405"/>
      <c r="Q498" s="405">
        <f>Q499</f>
        <v>204783</v>
      </c>
      <c r="R498" s="377"/>
    </row>
    <row r="499" spans="1:18" ht="13.2">
      <c r="A499" s="411"/>
      <c r="B499" s="412" t="s">
        <v>105</v>
      </c>
      <c r="C499" s="413"/>
      <c r="D499" s="414"/>
      <c r="E499" s="405"/>
      <c r="F499" s="405"/>
      <c r="G499" s="405">
        <f>G500</f>
        <v>204783</v>
      </c>
      <c r="H499" s="405"/>
      <c r="I499" s="405"/>
      <c r="J499" s="405"/>
      <c r="K499" s="405"/>
      <c r="L499" s="405">
        <f>L500</f>
        <v>204783</v>
      </c>
      <c r="M499" s="405"/>
      <c r="N499" s="405"/>
      <c r="O499" s="405"/>
      <c r="P499" s="405"/>
      <c r="Q499" s="405">
        <f>Q500</f>
        <v>204783</v>
      </c>
      <c r="R499" s="377"/>
    </row>
    <row r="500" spans="1:18" ht="13.2">
      <c r="A500" s="411"/>
      <c r="B500" s="412" t="s">
        <v>108</v>
      </c>
      <c r="C500" s="413"/>
      <c r="D500" s="414"/>
      <c r="E500" s="405"/>
      <c r="F500" s="405"/>
      <c r="G500" s="405">
        <v>204783</v>
      </c>
      <c r="H500" s="377"/>
      <c r="I500" s="377"/>
      <c r="J500" s="405"/>
      <c r="K500" s="405"/>
      <c r="L500" s="405">
        <v>204783</v>
      </c>
      <c r="M500" s="377"/>
      <c r="N500" s="377"/>
      <c r="O500" s="405"/>
      <c r="P500" s="405"/>
      <c r="Q500" s="405">
        <v>204783</v>
      </c>
      <c r="R500" s="377"/>
    </row>
    <row r="501" spans="1:18" ht="13.2">
      <c r="A501" s="411"/>
      <c r="B501" s="412" t="s">
        <v>122</v>
      </c>
      <c r="C501" s="413"/>
      <c r="D501" s="414"/>
      <c r="E501" s="405"/>
      <c r="F501" s="405"/>
      <c r="G501" s="405">
        <f>G502</f>
        <v>0</v>
      </c>
      <c r="H501" s="377"/>
      <c r="I501" s="377"/>
      <c r="J501" s="405"/>
      <c r="K501" s="405"/>
      <c r="L501" s="405">
        <f>L502</f>
        <v>0</v>
      </c>
      <c r="M501" s="377"/>
      <c r="N501" s="377"/>
      <c r="O501" s="405"/>
      <c r="P501" s="405"/>
      <c r="Q501" s="405">
        <f>Q502</f>
        <v>0</v>
      </c>
      <c r="R501" s="377"/>
    </row>
    <row r="502" spans="1:18" ht="13.2">
      <c r="A502" s="419"/>
      <c r="B502" s="412" t="s">
        <v>123</v>
      </c>
      <c r="C502" s="421"/>
      <c r="D502" s="421"/>
      <c r="E502" s="405"/>
      <c r="F502" s="377"/>
      <c r="G502" s="377"/>
      <c r="H502" s="377"/>
      <c r="I502" s="377"/>
      <c r="J502" s="405"/>
      <c r="K502" s="377"/>
      <c r="L502" s="377"/>
      <c r="M502" s="377"/>
      <c r="N502" s="377"/>
      <c r="O502" s="405"/>
      <c r="P502" s="377"/>
      <c r="Q502" s="377"/>
      <c r="R502" s="377"/>
    </row>
    <row r="503" spans="1:18" ht="13.2">
      <c r="A503" s="419"/>
      <c r="B503" s="420"/>
      <c r="C503" s="421"/>
      <c r="D503" s="421"/>
      <c r="E503" s="405"/>
      <c r="F503" s="377"/>
      <c r="G503" s="377"/>
      <c r="H503" s="377"/>
      <c r="I503" s="377"/>
      <c r="J503" s="405"/>
      <c r="K503" s="377"/>
      <c r="L503" s="377"/>
      <c r="M503" s="377"/>
      <c r="N503" s="377"/>
      <c r="O503" s="405"/>
      <c r="P503" s="377"/>
      <c r="Q503" s="377"/>
      <c r="R503" s="377"/>
    </row>
    <row r="504" spans="1:18" ht="52.8">
      <c r="A504" s="1327">
        <v>1.7</v>
      </c>
      <c r="B504" s="453" t="s">
        <v>630</v>
      </c>
      <c r="C504" s="1328"/>
      <c r="D504" s="1329"/>
      <c r="E504" s="1328"/>
      <c r="F504" s="1329"/>
      <c r="G504" s="1329"/>
      <c r="H504" s="1329"/>
      <c r="I504" s="1329"/>
      <c r="J504" s="1328"/>
      <c r="K504" s="1329"/>
      <c r="L504" s="1329"/>
      <c r="M504" s="1329"/>
      <c r="N504" s="1329"/>
      <c r="O504" s="1328"/>
      <c r="P504" s="1329"/>
      <c r="Q504" s="1329"/>
      <c r="R504" s="1329"/>
    </row>
    <row r="505" spans="1:18" ht="13.2">
      <c r="A505" s="406"/>
      <c r="B505" s="407" t="s">
        <v>88</v>
      </c>
      <c r="C505" s="408"/>
      <c r="D505" s="409"/>
      <c r="E505" s="410"/>
      <c r="F505" s="410"/>
      <c r="G505" s="410">
        <f>G506</f>
        <v>55645</v>
      </c>
      <c r="H505" s="371"/>
      <c r="I505" s="371"/>
      <c r="J505" s="410"/>
      <c r="K505" s="410"/>
      <c r="L505" s="410">
        <f>L506</f>
        <v>55645</v>
      </c>
      <c r="M505" s="371"/>
      <c r="N505" s="371"/>
      <c r="O505" s="410"/>
      <c r="P505" s="410"/>
      <c r="Q505" s="410">
        <f>Q506</f>
        <v>55645</v>
      </c>
      <c r="R505" s="371"/>
    </row>
    <row r="506" spans="1:18" ht="13.2">
      <c r="A506" s="411"/>
      <c r="B506" s="412" t="s">
        <v>97</v>
      </c>
      <c r="C506" s="413"/>
      <c r="D506" s="414"/>
      <c r="E506" s="405"/>
      <c r="F506" s="405"/>
      <c r="G506" s="405">
        <f>G507</f>
        <v>55645</v>
      </c>
      <c r="H506" s="405"/>
      <c r="I506" s="405"/>
      <c r="J506" s="405"/>
      <c r="K506" s="405"/>
      <c r="L506" s="405">
        <f>L507</f>
        <v>55645</v>
      </c>
      <c r="M506" s="405"/>
      <c r="N506" s="405"/>
      <c r="O506" s="405"/>
      <c r="P506" s="405"/>
      <c r="Q506" s="405">
        <f>Q507</f>
        <v>55645</v>
      </c>
      <c r="R506" s="405"/>
    </row>
    <row r="507" spans="1:18" ht="26.4">
      <c r="A507" s="411"/>
      <c r="B507" s="412" t="s">
        <v>98</v>
      </c>
      <c r="C507" s="413"/>
      <c r="D507" s="414"/>
      <c r="E507" s="405"/>
      <c r="F507" s="405"/>
      <c r="G507" s="405">
        <v>55645</v>
      </c>
      <c r="H507" s="377"/>
      <c r="I507" s="377"/>
      <c r="J507" s="405"/>
      <c r="K507" s="405"/>
      <c r="L507" s="405">
        <v>55645</v>
      </c>
      <c r="M507" s="377"/>
      <c r="N507" s="377"/>
      <c r="O507" s="405"/>
      <c r="P507" s="405"/>
      <c r="Q507" s="405">
        <v>55645</v>
      </c>
      <c r="R507" s="377"/>
    </row>
    <row r="508" spans="1:18" ht="13.2">
      <c r="A508" s="406"/>
      <c r="B508" s="407" t="s">
        <v>101</v>
      </c>
      <c r="C508" s="408"/>
      <c r="D508" s="409"/>
      <c r="E508" s="410"/>
      <c r="F508" s="410"/>
      <c r="G508" s="410">
        <f>G509+G512</f>
        <v>55645</v>
      </c>
      <c r="H508" s="371"/>
      <c r="I508" s="371"/>
      <c r="J508" s="410"/>
      <c r="K508" s="410"/>
      <c r="L508" s="410">
        <f>L509+L512</f>
        <v>55645</v>
      </c>
      <c r="M508" s="371"/>
      <c r="N508" s="371"/>
      <c r="O508" s="410"/>
      <c r="P508" s="410"/>
      <c r="Q508" s="410">
        <f>Q509+Q512</f>
        <v>55645</v>
      </c>
      <c r="R508" s="371"/>
    </row>
    <row r="509" spans="1:18" ht="13.2">
      <c r="A509" s="411"/>
      <c r="B509" s="412" t="s">
        <v>103</v>
      </c>
      <c r="C509" s="413"/>
      <c r="D509" s="414"/>
      <c r="E509" s="405"/>
      <c r="F509" s="405"/>
      <c r="G509" s="405">
        <f>G510</f>
        <v>55645</v>
      </c>
      <c r="H509" s="405"/>
      <c r="I509" s="405"/>
      <c r="J509" s="405"/>
      <c r="K509" s="405"/>
      <c r="L509" s="405">
        <f>L510</f>
        <v>55645</v>
      </c>
      <c r="M509" s="405"/>
      <c r="N509" s="405"/>
      <c r="O509" s="405"/>
      <c r="P509" s="405"/>
      <c r="Q509" s="405">
        <f>Q510</f>
        <v>55645</v>
      </c>
      <c r="R509" s="377"/>
    </row>
    <row r="510" spans="1:18" ht="13.2">
      <c r="A510" s="411"/>
      <c r="B510" s="412" t="s">
        <v>105</v>
      </c>
      <c r="C510" s="413"/>
      <c r="D510" s="414"/>
      <c r="E510" s="405"/>
      <c r="F510" s="405"/>
      <c r="G510" s="405">
        <f>G511</f>
        <v>55645</v>
      </c>
      <c r="H510" s="405"/>
      <c r="I510" s="405"/>
      <c r="J510" s="405"/>
      <c r="K510" s="405"/>
      <c r="L510" s="405">
        <f>L511</f>
        <v>55645</v>
      </c>
      <c r="M510" s="405"/>
      <c r="N510" s="405"/>
      <c r="O510" s="405"/>
      <c r="P510" s="405"/>
      <c r="Q510" s="405">
        <f>Q511</f>
        <v>55645</v>
      </c>
      <c r="R510" s="377"/>
    </row>
    <row r="511" spans="1:18" ht="13.2">
      <c r="A511" s="411"/>
      <c r="B511" s="412" t="s">
        <v>108</v>
      </c>
      <c r="C511" s="413"/>
      <c r="D511" s="414"/>
      <c r="E511" s="405"/>
      <c r="F511" s="405"/>
      <c r="G511" s="405">
        <v>55645</v>
      </c>
      <c r="H511" s="377"/>
      <c r="I511" s="377"/>
      <c r="J511" s="405"/>
      <c r="K511" s="405"/>
      <c r="L511" s="405">
        <v>55645</v>
      </c>
      <c r="M511" s="377"/>
      <c r="N511" s="377"/>
      <c r="O511" s="405"/>
      <c r="P511" s="405"/>
      <c r="Q511" s="405">
        <v>55645</v>
      </c>
      <c r="R511" s="377"/>
    </row>
    <row r="512" spans="1:18" ht="13.2">
      <c r="A512" s="411"/>
      <c r="B512" s="412" t="s">
        <v>122</v>
      </c>
      <c r="C512" s="413"/>
      <c r="D512" s="414"/>
      <c r="E512" s="405"/>
      <c r="F512" s="405"/>
      <c r="G512" s="405">
        <f>G513</f>
        <v>0</v>
      </c>
      <c r="H512" s="377"/>
      <c r="I512" s="377"/>
      <c r="J512" s="405"/>
      <c r="K512" s="405"/>
      <c r="L512" s="405">
        <f>L513</f>
        <v>0</v>
      </c>
      <c r="M512" s="377"/>
      <c r="N512" s="377"/>
      <c r="O512" s="405"/>
      <c r="P512" s="405"/>
      <c r="Q512" s="405">
        <f>Q513</f>
        <v>0</v>
      </c>
      <c r="R512" s="377"/>
    </row>
    <row r="513" spans="1:18" ht="13.2">
      <c r="A513" s="419"/>
      <c r="B513" s="412" t="s">
        <v>123</v>
      </c>
      <c r="C513" s="421"/>
      <c r="D513" s="421"/>
      <c r="E513" s="405"/>
      <c r="F513" s="377"/>
      <c r="G513" s="377"/>
      <c r="H513" s="377"/>
      <c r="I513" s="377"/>
      <c r="J513" s="405"/>
      <c r="K513" s="377"/>
      <c r="L513" s="377"/>
      <c r="M513" s="377"/>
      <c r="N513" s="377"/>
      <c r="O513" s="405"/>
      <c r="P513" s="377"/>
      <c r="Q513" s="377"/>
      <c r="R513" s="377"/>
    </row>
    <row r="514" spans="1:18" ht="13.2">
      <c r="A514" s="419"/>
      <c r="B514" s="420"/>
      <c r="C514" s="421"/>
      <c r="D514" s="421"/>
      <c r="E514" s="405"/>
      <c r="F514" s="377"/>
      <c r="G514" s="377"/>
      <c r="H514" s="377"/>
      <c r="I514" s="377"/>
      <c r="J514" s="405"/>
      <c r="K514" s="377"/>
      <c r="L514" s="377"/>
      <c r="M514" s="377"/>
      <c r="N514" s="377"/>
      <c r="O514" s="405"/>
      <c r="P514" s="377"/>
      <c r="Q514" s="377"/>
      <c r="R514" s="377"/>
    </row>
    <row r="515" spans="1:18" ht="52.8">
      <c r="A515" s="1327">
        <v>1.8</v>
      </c>
      <c r="B515" s="453" t="s">
        <v>631</v>
      </c>
      <c r="C515" s="1328"/>
      <c r="D515" s="1329"/>
      <c r="E515" s="1328"/>
      <c r="F515" s="1329"/>
      <c r="G515" s="1329"/>
      <c r="H515" s="1329"/>
      <c r="I515" s="1329"/>
      <c r="J515" s="1328"/>
      <c r="K515" s="1329"/>
      <c r="L515" s="1329"/>
      <c r="M515" s="1329"/>
      <c r="N515" s="1329"/>
      <c r="O515" s="1328"/>
      <c r="P515" s="1329"/>
      <c r="Q515" s="1329"/>
      <c r="R515" s="1329"/>
    </row>
    <row r="516" spans="1:18" ht="13.2">
      <c r="A516" s="406"/>
      <c r="B516" s="407" t="s">
        <v>88</v>
      </c>
      <c r="C516" s="408"/>
      <c r="D516" s="409"/>
      <c r="E516" s="410"/>
      <c r="F516" s="410"/>
      <c r="G516" s="410">
        <f>G517</f>
        <v>461509</v>
      </c>
      <c r="H516" s="371"/>
      <c r="I516" s="371"/>
      <c r="J516" s="410"/>
      <c r="K516" s="410"/>
      <c r="L516" s="410">
        <f>L517</f>
        <v>0</v>
      </c>
      <c r="M516" s="371"/>
      <c r="N516" s="371"/>
      <c r="O516" s="410"/>
      <c r="P516" s="410"/>
      <c r="Q516" s="410">
        <f>Q517</f>
        <v>0</v>
      </c>
      <c r="R516" s="371"/>
    </row>
    <row r="517" spans="1:18" ht="13.2">
      <c r="A517" s="411"/>
      <c r="B517" s="412" t="s">
        <v>97</v>
      </c>
      <c r="C517" s="413"/>
      <c r="D517" s="414"/>
      <c r="E517" s="405"/>
      <c r="F517" s="405"/>
      <c r="G517" s="405">
        <f>G518</f>
        <v>461509</v>
      </c>
      <c r="H517" s="405"/>
      <c r="I517" s="405"/>
      <c r="J517" s="405"/>
      <c r="K517" s="405"/>
      <c r="L517" s="405">
        <f>L518</f>
        <v>0</v>
      </c>
      <c r="M517" s="405"/>
      <c r="N517" s="405"/>
      <c r="O517" s="405"/>
      <c r="P517" s="405"/>
      <c r="Q517" s="405">
        <f>Q518</f>
        <v>0</v>
      </c>
      <c r="R517" s="405"/>
    </row>
    <row r="518" spans="1:18" ht="26.4">
      <c r="A518" s="411"/>
      <c r="B518" s="412" t="s">
        <v>98</v>
      </c>
      <c r="C518" s="413"/>
      <c r="D518" s="414"/>
      <c r="E518" s="405"/>
      <c r="F518" s="405"/>
      <c r="G518" s="405">
        <v>461509</v>
      </c>
      <c r="H518" s="377"/>
      <c r="I518" s="377"/>
      <c r="J518" s="405"/>
      <c r="K518" s="405"/>
      <c r="L518" s="405"/>
      <c r="M518" s="377"/>
      <c r="N518" s="377"/>
      <c r="O518" s="405"/>
      <c r="P518" s="405"/>
      <c r="Q518" s="405"/>
      <c r="R518" s="377"/>
    </row>
    <row r="519" spans="1:18" ht="13.2">
      <c r="A519" s="406"/>
      <c r="B519" s="407" t="s">
        <v>101</v>
      </c>
      <c r="C519" s="408"/>
      <c r="D519" s="409"/>
      <c r="E519" s="410"/>
      <c r="F519" s="410"/>
      <c r="G519" s="410">
        <f>G520+G523</f>
        <v>461509</v>
      </c>
      <c r="H519" s="371"/>
      <c r="I519" s="371"/>
      <c r="J519" s="410"/>
      <c r="K519" s="410"/>
      <c r="L519" s="410">
        <f>L520+L523</f>
        <v>0</v>
      </c>
      <c r="M519" s="371"/>
      <c r="N519" s="371"/>
      <c r="O519" s="410"/>
      <c r="P519" s="410"/>
      <c r="Q519" s="410">
        <f>Q520+Q523</f>
        <v>0</v>
      </c>
      <c r="R519" s="371"/>
    </row>
    <row r="520" spans="1:18" ht="13.2">
      <c r="A520" s="411"/>
      <c r="B520" s="412" t="s">
        <v>103</v>
      </c>
      <c r="C520" s="413"/>
      <c r="D520" s="414"/>
      <c r="E520" s="405"/>
      <c r="F520" s="405"/>
      <c r="G520" s="405">
        <f>G521</f>
        <v>64735</v>
      </c>
      <c r="H520" s="405"/>
      <c r="I520" s="405"/>
      <c r="J520" s="405"/>
      <c r="K520" s="405"/>
      <c r="L520" s="405">
        <f>L521</f>
        <v>0</v>
      </c>
      <c r="M520" s="405"/>
      <c r="N520" s="405"/>
      <c r="O520" s="405"/>
      <c r="P520" s="405"/>
      <c r="Q520" s="405">
        <f>Q521</f>
        <v>0</v>
      </c>
      <c r="R520" s="377"/>
    </row>
    <row r="521" spans="1:18" ht="13.2">
      <c r="A521" s="411"/>
      <c r="B521" s="412" t="s">
        <v>105</v>
      </c>
      <c r="C521" s="413"/>
      <c r="D521" s="414"/>
      <c r="E521" s="405"/>
      <c r="F521" s="405"/>
      <c r="G521" s="405">
        <f>G522</f>
        <v>64735</v>
      </c>
      <c r="H521" s="405"/>
      <c r="I521" s="405"/>
      <c r="J521" s="405"/>
      <c r="K521" s="405"/>
      <c r="L521" s="405">
        <f>L522</f>
        <v>0</v>
      </c>
      <c r="M521" s="405"/>
      <c r="N521" s="405"/>
      <c r="O521" s="405"/>
      <c r="P521" s="405"/>
      <c r="Q521" s="405">
        <f>Q522</f>
        <v>0</v>
      </c>
      <c r="R521" s="377"/>
    </row>
    <row r="522" spans="1:18" ht="13.2">
      <c r="A522" s="411"/>
      <c r="B522" s="412" t="s">
        <v>108</v>
      </c>
      <c r="C522" s="413"/>
      <c r="D522" s="414"/>
      <c r="E522" s="405"/>
      <c r="F522" s="405"/>
      <c r="G522" s="405">
        <v>64735</v>
      </c>
      <c r="H522" s="377"/>
      <c r="I522" s="377"/>
      <c r="J522" s="405"/>
      <c r="K522" s="405"/>
      <c r="L522" s="405"/>
      <c r="M522" s="377"/>
      <c r="N522" s="377"/>
      <c r="O522" s="405"/>
      <c r="P522" s="405"/>
      <c r="Q522" s="405"/>
      <c r="R522" s="377"/>
    </row>
    <row r="523" spans="1:18" ht="13.2">
      <c r="A523" s="411"/>
      <c r="B523" s="412" t="s">
        <v>122</v>
      </c>
      <c r="C523" s="413"/>
      <c r="D523" s="414"/>
      <c r="E523" s="405"/>
      <c r="F523" s="405"/>
      <c r="G523" s="405">
        <f>G524</f>
        <v>396774</v>
      </c>
      <c r="H523" s="377"/>
      <c r="I523" s="377"/>
      <c r="J523" s="405"/>
      <c r="K523" s="405"/>
      <c r="L523" s="405">
        <f>L524</f>
        <v>0</v>
      </c>
      <c r="M523" s="377"/>
      <c r="N523" s="377"/>
      <c r="O523" s="405"/>
      <c r="P523" s="405"/>
      <c r="Q523" s="405">
        <f>Q524</f>
        <v>0</v>
      </c>
      <c r="R523" s="377"/>
    </row>
    <row r="524" spans="1:18" ht="13.2">
      <c r="A524" s="419"/>
      <c r="B524" s="412" t="s">
        <v>123</v>
      </c>
      <c r="C524" s="421"/>
      <c r="D524" s="421"/>
      <c r="E524" s="405"/>
      <c r="F524" s="377"/>
      <c r="G524" s="405">
        <v>396774</v>
      </c>
      <c r="H524" s="377"/>
      <c r="I524" s="377"/>
      <c r="J524" s="405"/>
      <c r="K524" s="377"/>
      <c r="L524" s="377"/>
      <c r="M524" s="377"/>
      <c r="N524" s="377"/>
      <c r="O524" s="405"/>
      <c r="P524" s="377"/>
      <c r="Q524" s="377"/>
      <c r="R524" s="377"/>
    </row>
    <row r="525" spans="1:18" ht="13.2">
      <c r="A525" s="419"/>
      <c r="B525" s="420"/>
      <c r="C525" s="421"/>
      <c r="D525" s="421"/>
      <c r="E525" s="405"/>
      <c r="F525" s="377"/>
      <c r="G525" s="377"/>
      <c r="H525" s="377"/>
      <c r="I525" s="377"/>
      <c r="J525" s="405"/>
      <c r="K525" s="377"/>
      <c r="L525" s="377"/>
      <c r="M525" s="377"/>
      <c r="N525" s="377"/>
      <c r="O525" s="405"/>
      <c r="P525" s="377"/>
      <c r="Q525" s="377"/>
      <c r="R525" s="377"/>
    </row>
    <row r="526" spans="1:18" ht="39.6">
      <c r="A526" s="1327">
        <v>1.9</v>
      </c>
      <c r="B526" s="453" t="s">
        <v>632</v>
      </c>
      <c r="C526" s="1328"/>
      <c r="D526" s="1329"/>
      <c r="E526" s="1328"/>
      <c r="F526" s="1329"/>
      <c r="G526" s="1329"/>
      <c r="H526" s="1329"/>
      <c r="I526" s="1329"/>
      <c r="J526" s="1328"/>
      <c r="K526" s="1329"/>
      <c r="L526" s="1329"/>
      <c r="M526" s="1329"/>
      <c r="N526" s="1329"/>
      <c r="O526" s="1328"/>
      <c r="P526" s="1329"/>
      <c r="Q526" s="1329"/>
      <c r="R526" s="1329"/>
    </row>
    <row r="527" spans="1:18" ht="13.2">
      <c r="A527" s="406"/>
      <c r="B527" s="407" t="s">
        <v>88</v>
      </c>
      <c r="C527" s="408"/>
      <c r="D527" s="409"/>
      <c r="E527" s="410"/>
      <c r="F527" s="410"/>
      <c r="G527" s="410">
        <f>G528</f>
        <v>576685</v>
      </c>
      <c r="H527" s="371"/>
      <c r="I527" s="371"/>
      <c r="J527" s="410"/>
      <c r="K527" s="410"/>
      <c r="L527" s="410">
        <f>L528</f>
        <v>576685</v>
      </c>
      <c r="M527" s="371"/>
      <c r="N527" s="371"/>
      <c r="O527" s="410"/>
      <c r="P527" s="410"/>
      <c r="Q527" s="410">
        <f>Q528</f>
        <v>576685</v>
      </c>
      <c r="R527" s="371"/>
    </row>
    <row r="528" spans="1:18" ht="13.2">
      <c r="A528" s="411"/>
      <c r="B528" s="412" t="s">
        <v>97</v>
      </c>
      <c r="C528" s="413"/>
      <c r="D528" s="414"/>
      <c r="E528" s="405"/>
      <c r="F528" s="405"/>
      <c r="G528" s="405">
        <f>G529</f>
        <v>576685</v>
      </c>
      <c r="H528" s="405"/>
      <c r="I528" s="405"/>
      <c r="J528" s="405"/>
      <c r="K528" s="405"/>
      <c r="L528" s="405">
        <f>L529</f>
        <v>576685</v>
      </c>
      <c r="M528" s="405"/>
      <c r="N528" s="405"/>
      <c r="O528" s="405"/>
      <c r="P528" s="405"/>
      <c r="Q528" s="405">
        <f>Q529</f>
        <v>576685</v>
      </c>
      <c r="R528" s="405"/>
    </row>
    <row r="529" spans="1:18" ht="26.4">
      <c r="A529" s="411"/>
      <c r="B529" s="412" t="s">
        <v>98</v>
      </c>
      <c r="C529" s="413"/>
      <c r="D529" s="414"/>
      <c r="E529" s="405"/>
      <c r="F529" s="405"/>
      <c r="G529" s="405">
        <v>576685</v>
      </c>
      <c r="H529" s="377"/>
      <c r="I529" s="377"/>
      <c r="J529" s="405"/>
      <c r="K529" s="405"/>
      <c r="L529" s="405">
        <v>576685</v>
      </c>
      <c r="M529" s="377"/>
      <c r="N529" s="377"/>
      <c r="O529" s="405"/>
      <c r="P529" s="405"/>
      <c r="Q529" s="405">
        <v>576685</v>
      </c>
      <c r="R529" s="377"/>
    </row>
    <row r="530" spans="1:18" ht="13.2">
      <c r="A530" s="406"/>
      <c r="B530" s="407" t="s">
        <v>101</v>
      </c>
      <c r="C530" s="408"/>
      <c r="D530" s="409"/>
      <c r="E530" s="410"/>
      <c r="F530" s="410"/>
      <c r="G530" s="410">
        <f>G531</f>
        <v>576685</v>
      </c>
      <c r="H530" s="371"/>
      <c r="I530" s="371"/>
      <c r="J530" s="410"/>
      <c r="K530" s="410"/>
      <c r="L530" s="410">
        <f>L531</f>
        <v>576685</v>
      </c>
      <c r="M530" s="371"/>
      <c r="N530" s="371"/>
      <c r="O530" s="410"/>
      <c r="P530" s="410"/>
      <c r="Q530" s="410">
        <f>Q531</f>
        <v>576685</v>
      </c>
      <c r="R530" s="371"/>
    </row>
    <row r="531" spans="1:18" ht="13.2">
      <c r="A531" s="411"/>
      <c r="B531" s="412" t="s">
        <v>103</v>
      </c>
      <c r="C531" s="413"/>
      <c r="D531" s="414"/>
      <c r="E531" s="405"/>
      <c r="F531" s="405"/>
      <c r="G531" s="405">
        <f>G532</f>
        <v>576685</v>
      </c>
      <c r="H531" s="405"/>
      <c r="I531" s="405"/>
      <c r="J531" s="405"/>
      <c r="K531" s="405"/>
      <c r="L531" s="405">
        <f>L532</f>
        <v>576685</v>
      </c>
      <c r="M531" s="405"/>
      <c r="N531" s="405"/>
      <c r="O531" s="405"/>
      <c r="P531" s="405"/>
      <c r="Q531" s="405">
        <f>Q532</f>
        <v>576685</v>
      </c>
      <c r="R531" s="377"/>
    </row>
    <row r="532" spans="1:18" ht="13.2">
      <c r="A532" s="411"/>
      <c r="B532" s="412" t="s">
        <v>105</v>
      </c>
      <c r="C532" s="413"/>
      <c r="D532" s="414"/>
      <c r="E532" s="405"/>
      <c r="F532" s="405"/>
      <c r="G532" s="405">
        <f>G533+G535</f>
        <v>576685</v>
      </c>
      <c r="H532" s="405"/>
      <c r="I532" s="405"/>
      <c r="J532" s="405"/>
      <c r="K532" s="405"/>
      <c r="L532" s="405">
        <f>L533+L535</f>
        <v>576685</v>
      </c>
      <c r="M532" s="405"/>
      <c r="N532" s="405"/>
      <c r="O532" s="405"/>
      <c r="P532" s="405"/>
      <c r="Q532" s="405">
        <f>Q533+Q535</f>
        <v>576685</v>
      </c>
      <c r="R532" s="377"/>
    </row>
    <row r="533" spans="1:18" ht="13.2">
      <c r="A533" s="411"/>
      <c r="B533" s="412" t="s">
        <v>106</v>
      </c>
      <c r="C533" s="413"/>
      <c r="D533" s="414"/>
      <c r="E533" s="405"/>
      <c r="F533" s="405"/>
      <c r="G533" s="405">
        <v>562625</v>
      </c>
      <c r="H533" s="377"/>
      <c r="I533" s="377"/>
      <c r="J533" s="405"/>
      <c r="K533" s="405"/>
      <c r="L533" s="405">
        <v>562625</v>
      </c>
      <c r="M533" s="377"/>
      <c r="N533" s="377"/>
      <c r="O533" s="405"/>
      <c r="P533" s="405"/>
      <c r="Q533" s="405">
        <v>562625</v>
      </c>
      <c r="R533" s="377"/>
    </row>
    <row r="534" spans="1:18" ht="13.2">
      <c r="A534" s="411"/>
      <c r="B534" s="412" t="s">
        <v>107</v>
      </c>
      <c r="C534" s="413"/>
      <c r="D534" s="414"/>
      <c r="E534" s="405"/>
      <c r="F534" s="405"/>
      <c r="G534" s="405">
        <v>453401</v>
      </c>
      <c r="H534" s="377"/>
      <c r="I534" s="377"/>
      <c r="J534" s="405"/>
      <c r="K534" s="405"/>
      <c r="L534" s="405">
        <v>453401</v>
      </c>
      <c r="M534" s="377"/>
      <c r="N534" s="377"/>
      <c r="O534" s="405"/>
      <c r="P534" s="405"/>
      <c r="Q534" s="405">
        <v>453401</v>
      </c>
      <c r="R534" s="377"/>
    </row>
    <row r="535" spans="1:18" ht="13.2">
      <c r="A535" s="411"/>
      <c r="B535" s="412" t="s">
        <v>108</v>
      </c>
      <c r="C535" s="413"/>
      <c r="D535" s="414"/>
      <c r="E535" s="405"/>
      <c r="F535" s="405"/>
      <c r="G535" s="405">
        <v>14060</v>
      </c>
      <c r="H535" s="377"/>
      <c r="I535" s="377"/>
      <c r="J535" s="405"/>
      <c r="K535" s="405"/>
      <c r="L535" s="405">
        <v>14060</v>
      </c>
      <c r="M535" s="377"/>
      <c r="N535" s="377"/>
      <c r="O535" s="405"/>
      <c r="P535" s="405"/>
      <c r="Q535" s="405">
        <v>14060</v>
      </c>
      <c r="R535" s="377"/>
    </row>
    <row r="536" spans="1:18" ht="13.2">
      <c r="A536" s="419"/>
      <c r="B536" s="420"/>
      <c r="C536" s="421"/>
      <c r="D536" s="421"/>
      <c r="E536" s="405"/>
      <c r="F536" s="377"/>
      <c r="G536" s="377"/>
      <c r="H536" s="377"/>
      <c r="I536" s="377"/>
      <c r="J536" s="405"/>
      <c r="K536" s="377"/>
      <c r="L536" s="377"/>
      <c r="M536" s="377"/>
      <c r="N536" s="377"/>
      <c r="O536" s="405"/>
      <c r="P536" s="377"/>
      <c r="Q536" s="377"/>
      <c r="R536" s="377"/>
    </row>
    <row r="537" spans="1:18" ht="52.8">
      <c r="A537" s="1331">
        <v>1.1000000000000001</v>
      </c>
      <c r="B537" s="453" t="s">
        <v>633</v>
      </c>
      <c r="C537" s="1328"/>
      <c r="D537" s="1329"/>
      <c r="E537" s="1328"/>
      <c r="F537" s="1329"/>
      <c r="G537" s="1329"/>
      <c r="H537" s="1329"/>
      <c r="I537" s="1329"/>
      <c r="J537" s="1328"/>
      <c r="K537" s="1329"/>
      <c r="L537" s="1329"/>
      <c r="M537" s="1329"/>
      <c r="N537" s="1329"/>
      <c r="O537" s="1328"/>
      <c r="P537" s="1329"/>
      <c r="Q537" s="1329"/>
      <c r="R537" s="1329"/>
    </row>
    <row r="538" spans="1:18" ht="13.2">
      <c r="A538" s="406"/>
      <c r="B538" s="407" t="s">
        <v>88</v>
      </c>
      <c r="C538" s="408"/>
      <c r="D538" s="409"/>
      <c r="E538" s="410"/>
      <c r="F538" s="410"/>
      <c r="G538" s="410">
        <f>G539</f>
        <v>12131</v>
      </c>
      <c r="H538" s="371"/>
      <c r="I538" s="371"/>
      <c r="J538" s="410"/>
      <c r="K538" s="410"/>
      <c r="L538" s="410">
        <f>L539</f>
        <v>12131</v>
      </c>
      <c r="M538" s="371"/>
      <c r="N538" s="371"/>
      <c r="O538" s="410"/>
      <c r="P538" s="410"/>
      <c r="Q538" s="410">
        <f>Q539</f>
        <v>12131</v>
      </c>
      <c r="R538" s="371"/>
    </row>
    <row r="539" spans="1:18" ht="13.2">
      <c r="A539" s="411"/>
      <c r="B539" s="412" t="s">
        <v>97</v>
      </c>
      <c r="C539" s="413"/>
      <c r="D539" s="414"/>
      <c r="E539" s="405"/>
      <c r="F539" s="405"/>
      <c r="G539" s="405">
        <f>G540</f>
        <v>12131</v>
      </c>
      <c r="H539" s="377"/>
      <c r="I539" s="377"/>
      <c r="J539" s="405"/>
      <c r="K539" s="405"/>
      <c r="L539" s="405">
        <f>L540</f>
        <v>12131</v>
      </c>
      <c r="M539" s="377"/>
      <c r="N539" s="377"/>
      <c r="O539" s="405"/>
      <c r="P539" s="405"/>
      <c r="Q539" s="405">
        <f>Q540</f>
        <v>12131</v>
      </c>
      <c r="R539" s="377"/>
    </row>
    <row r="540" spans="1:18" ht="26.4">
      <c r="A540" s="411"/>
      <c r="B540" s="412" t="s">
        <v>98</v>
      </c>
      <c r="C540" s="413"/>
      <c r="D540" s="414"/>
      <c r="E540" s="405"/>
      <c r="F540" s="405"/>
      <c r="G540" s="405">
        <v>12131</v>
      </c>
      <c r="H540" s="377"/>
      <c r="I540" s="377"/>
      <c r="J540" s="405"/>
      <c r="K540" s="405"/>
      <c r="L540" s="405">
        <v>12131</v>
      </c>
      <c r="M540" s="377"/>
      <c r="N540" s="377"/>
      <c r="O540" s="405"/>
      <c r="P540" s="405"/>
      <c r="Q540" s="405">
        <v>12131</v>
      </c>
      <c r="R540" s="377"/>
    </row>
    <row r="541" spans="1:18" ht="13.2">
      <c r="A541" s="406"/>
      <c r="B541" s="407" t="s">
        <v>101</v>
      </c>
      <c r="C541" s="408"/>
      <c r="D541" s="409"/>
      <c r="E541" s="410"/>
      <c r="F541" s="410"/>
      <c r="G541" s="410">
        <f>G542</f>
        <v>12131</v>
      </c>
      <c r="H541" s="371"/>
      <c r="I541" s="371"/>
      <c r="J541" s="410"/>
      <c r="K541" s="410"/>
      <c r="L541" s="410">
        <f>L542</f>
        <v>12131</v>
      </c>
      <c r="M541" s="371"/>
      <c r="N541" s="371"/>
      <c r="O541" s="410"/>
      <c r="P541" s="410"/>
      <c r="Q541" s="410">
        <f>Q542</f>
        <v>12131</v>
      </c>
      <c r="R541" s="371"/>
    </row>
    <row r="542" spans="1:18" ht="13.2">
      <c r="A542" s="411"/>
      <c r="B542" s="412" t="s">
        <v>103</v>
      </c>
      <c r="C542" s="413"/>
      <c r="D542" s="414"/>
      <c r="E542" s="405"/>
      <c r="F542" s="405"/>
      <c r="G542" s="405">
        <f>G543</f>
        <v>12131</v>
      </c>
      <c r="H542" s="377"/>
      <c r="I542" s="377"/>
      <c r="J542" s="405"/>
      <c r="K542" s="405"/>
      <c r="L542" s="405">
        <f>L543</f>
        <v>12131</v>
      </c>
      <c r="M542" s="377"/>
      <c r="N542" s="377"/>
      <c r="O542" s="405"/>
      <c r="P542" s="405"/>
      <c r="Q542" s="405">
        <f>Q543</f>
        <v>12131</v>
      </c>
      <c r="R542" s="377"/>
    </row>
    <row r="543" spans="1:18" ht="26.4">
      <c r="A543" s="411"/>
      <c r="B543" s="412" t="s">
        <v>183</v>
      </c>
      <c r="C543" s="413"/>
      <c r="D543" s="414"/>
      <c r="E543" s="405"/>
      <c r="F543" s="405"/>
      <c r="G543" s="405">
        <f>G544</f>
        <v>12131</v>
      </c>
      <c r="H543" s="377"/>
      <c r="I543" s="377"/>
      <c r="J543" s="405"/>
      <c r="K543" s="405"/>
      <c r="L543" s="405">
        <f>L544</f>
        <v>12131</v>
      </c>
      <c r="M543" s="377"/>
      <c r="N543" s="377"/>
      <c r="O543" s="405"/>
      <c r="P543" s="405"/>
      <c r="Q543" s="405">
        <f>Q544</f>
        <v>12131</v>
      </c>
      <c r="R543" s="377"/>
    </row>
    <row r="544" spans="1:18" ht="13.2">
      <c r="A544" s="411"/>
      <c r="B544" s="568" t="s">
        <v>114</v>
      </c>
      <c r="C544" s="413"/>
      <c r="D544" s="414"/>
      <c r="E544" s="405"/>
      <c r="F544" s="405"/>
      <c r="G544" s="405">
        <v>12131</v>
      </c>
      <c r="H544" s="377"/>
      <c r="I544" s="377"/>
      <c r="J544" s="405"/>
      <c r="K544" s="405"/>
      <c r="L544" s="405">
        <v>12131</v>
      </c>
      <c r="M544" s="377"/>
      <c r="N544" s="377"/>
      <c r="O544" s="405"/>
      <c r="P544" s="405"/>
      <c r="Q544" s="405">
        <v>12131</v>
      </c>
      <c r="R544" s="377"/>
    </row>
    <row r="545" spans="1:18" ht="13.2">
      <c r="A545" s="419"/>
      <c r="B545" s="420"/>
      <c r="C545" s="421"/>
      <c r="D545" s="421"/>
      <c r="E545" s="405"/>
      <c r="F545" s="377"/>
      <c r="G545" s="377"/>
      <c r="H545" s="377"/>
      <c r="I545" s="377"/>
      <c r="J545" s="405"/>
      <c r="K545" s="377"/>
      <c r="L545" s="377"/>
      <c r="M545" s="377"/>
      <c r="N545" s="377"/>
      <c r="O545" s="405"/>
      <c r="P545" s="377"/>
      <c r="Q545" s="377"/>
      <c r="R545" s="377"/>
    </row>
    <row r="546" spans="1:18" ht="105.6">
      <c r="A546" s="1327">
        <v>1.1100000000000001</v>
      </c>
      <c r="B546" s="453" t="s">
        <v>634</v>
      </c>
      <c r="C546" s="1328"/>
      <c r="D546" s="1329"/>
      <c r="E546" s="1328"/>
      <c r="F546" s="1329"/>
      <c r="G546" s="1329"/>
      <c r="H546" s="1329"/>
      <c r="I546" s="1329"/>
      <c r="J546" s="1328"/>
      <c r="K546" s="1329"/>
      <c r="L546" s="1329"/>
      <c r="M546" s="1329"/>
      <c r="N546" s="1329"/>
      <c r="O546" s="1328"/>
      <c r="P546" s="1329"/>
      <c r="Q546" s="1329"/>
      <c r="R546" s="1329"/>
    </row>
    <row r="547" spans="1:18" ht="13.2">
      <c r="A547" s="406"/>
      <c r="B547" s="407" t="s">
        <v>88</v>
      </c>
      <c r="C547" s="408"/>
      <c r="D547" s="409"/>
      <c r="E547" s="410"/>
      <c r="F547" s="410"/>
      <c r="G547" s="410">
        <f>G548</f>
        <v>173205</v>
      </c>
      <c r="H547" s="371"/>
      <c r="I547" s="371"/>
      <c r="J547" s="410"/>
      <c r="K547" s="410"/>
      <c r="L547" s="410">
        <f>L548</f>
        <v>0</v>
      </c>
      <c r="M547" s="371"/>
      <c r="N547" s="371"/>
      <c r="O547" s="410"/>
      <c r="P547" s="410"/>
      <c r="Q547" s="410">
        <f>Q548</f>
        <v>0</v>
      </c>
      <c r="R547" s="371"/>
    </row>
    <row r="548" spans="1:18" ht="13.2">
      <c r="A548" s="411"/>
      <c r="B548" s="412" t="s">
        <v>97</v>
      </c>
      <c r="C548" s="413"/>
      <c r="D548" s="414"/>
      <c r="E548" s="405"/>
      <c r="F548" s="405"/>
      <c r="G548" s="405">
        <f>G549</f>
        <v>173205</v>
      </c>
      <c r="H548" s="405"/>
      <c r="I548" s="405"/>
      <c r="J548" s="405"/>
      <c r="K548" s="405"/>
      <c r="L548" s="405">
        <f>L549</f>
        <v>0</v>
      </c>
      <c r="M548" s="405"/>
      <c r="N548" s="405"/>
      <c r="O548" s="405"/>
      <c r="P548" s="405"/>
      <c r="Q548" s="405">
        <f>Q549</f>
        <v>0</v>
      </c>
      <c r="R548" s="405"/>
    </row>
    <row r="549" spans="1:18" ht="26.4">
      <c r="A549" s="411"/>
      <c r="B549" s="412" t="s">
        <v>98</v>
      </c>
      <c r="C549" s="413"/>
      <c r="D549" s="414"/>
      <c r="E549" s="405"/>
      <c r="F549" s="405"/>
      <c r="G549" s="405">
        <v>173205</v>
      </c>
      <c r="H549" s="377"/>
      <c r="I549" s="377"/>
      <c r="J549" s="405"/>
      <c r="K549" s="405"/>
      <c r="L549" s="405"/>
      <c r="M549" s="377"/>
      <c r="N549" s="377"/>
      <c r="O549" s="405"/>
      <c r="P549" s="405"/>
      <c r="Q549" s="405"/>
      <c r="R549" s="377"/>
    </row>
    <row r="550" spans="1:18" ht="13.2">
      <c r="A550" s="406"/>
      <c r="B550" s="407" t="s">
        <v>101</v>
      </c>
      <c r="C550" s="408"/>
      <c r="D550" s="409"/>
      <c r="E550" s="410"/>
      <c r="F550" s="410"/>
      <c r="G550" s="410">
        <f>G551</f>
        <v>173205</v>
      </c>
      <c r="H550" s="371"/>
      <c r="I550" s="371"/>
      <c r="J550" s="410"/>
      <c r="K550" s="410"/>
      <c r="L550" s="410">
        <f>L551</f>
        <v>0</v>
      </c>
      <c r="M550" s="371"/>
      <c r="N550" s="371"/>
      <c r="O550" s="410"/>
      <c r="P550" s="410"/>
      <c r="Q550" s="410">
        <f>Q551</f>
        <v>0</v>
      </c>
      <c r="R550" s="371"/>
    </row>
    <row r="551" spans="1:18" ht="13.2">
      <c r="A551" s="411"/>
      <c r="B551" s="412" t="s">
        <v>103</v>
      </c>
      <c r="C551" s="413"/>
      <c r="D551" s="414"/>
      <c r="E551" s="405"/>
      <c r="F551" s="405"/>
      <c r="G551" s="405">
        <f>G552</f>
        <v>173205</v>
      </c>
      <c r="H551" s="405"/>
      <c r="I551" s="405"/>
      <c r="J551" s="405"/>
      <c r="K551" s="405"/>
      <c r="L551" s="405">
        <f>L552</f>
        <v>0</v>
      </c>
      <c r="M551" s="405"/>
      <c r="N551" s="405"/>
      <c r="O551" s="405"/>
      <c r="P551" s="405"/>
      <c r="Q551" s="405">
        <f>Q552</f>
        <v>0</v>
      </c>
      <c r="R551" s="377"/>
    </row>
    <row r="552" spans="1:18" ht="13.2">
      <c r="A552" s="411"/>
      <c r="B552" s="412" t="s">
        <v>105</v>
      </c>
      <c r="C552" s="413"/>
      <c r="D552" s="414"/>
      <c r="E552" s="405"/>
      <c r="F552" s="405"/>
      <c r="G552" s="405">
        <f>G553+G555</f>
        <v>173205</v>
      </c>
      <c r="H552" s="405"/>
      <c r="I552" s="405"/>
      <c r="J552" s="405"/>
      <c r="K552" s="405"/>
      <c r="L552" s="405">
        <f>L553+L555</f>
        <v>0</v>
      </c>
      <c r="M552" s="405"/>
      <c r="N552" s="405"/>
      <c r="O552" s="405"/>
      <c r="P552" s="405"/>
      <c r="Q552" s="405">
        <f>Q553+Q555</f>
        <v>0</v>
      </c>
      <c r="R552" s="377"/>
    </row>
    <row r="553" spans="1:18" ht="13.2">
      <c r="A553" s="411"/>
      <c r="B553" s="412" t="s">
        <v>106</v>
      </c>
      <c r="C553" s="413"/>
      <c r="D553" s="414"/>
      <c r="E553" s="405"/>
      <c r="F553" s="405"/>
      <c r="G553" s="405">
        <v>117231</v>
      </c>
      <c r="H553" s="377"/>
      <c r="I553" s="377"/>
      <c r="J553" s="405"/>
      <c r="K553" s="405"/>
      <c r="L553" s="405"/>
      <c r="M553" s="377"/>
      <c r="N553" s="377"/>
      <c r="O553" s="405"/>
      <c r="P553" s="405"/>
      <c r="Q553" s="405"/>
      <c r="R553" s="377"/>
    </row>
    <row r="554" spans="1:18" ht="13.2">
      <c r="A554" s="411"/>
      <c r="B554" s="412" t="s">
        <v>107</v>
      </c>
      <c r="C554" s="413"/>
      <c r="D554" s="414"/>
      <c r="E554" s="405"/>
      <c r="F554" s="405"/>
      <c r="G554" s="405">
        <v>94473</v>
      </c>
      <c r="H554" s="377"/>
      <c r="I554" s="377"/>
      <c r="J554" s="405"/>
      <c r="K554" s="405"/>
      <c r="L554" s="405"/>
      <c r="M554" s="377"/>
      <c r="N554" s="377"/>
      <c r="O554" s="405"/>
      <c r="P554" s="405"/>
      <c r="Q554" s="405"/>
      <c r="R554" s="377"/>
    </row>
    <row r="555" spans="1:18" ht="13.2">
      <c r="A555" s="411"/>
      <c r="B555" s="412" t="s">
        <v>108</v>
      </c>
      <c r="C555" s="413"/>
      <c r="D555" s="414"/>
      <c r="E555" s="405"/>
      <c r="F555" s="405"/>
      <c r="G555" s="405">
        <v>55974</v>
      </c>
      <c r="H555" s="377"/>
      <c r="I555" s="377"/>
      <c r="J555" s="405"/>
      <c r="K555" s="405"/>
      <c r="L555" s="405"/>
      <c r="M555" s="377"/>
      <c r="N555" s="377"/>
      <c r="O555" s="405"/>
      <c r="P555" s="405"/>
      <c r="Q555" s="405"/>
      <c r="R555" s="377"/>
    </row>
    <row r="556" spans="1:18" ht="13.2">
      <c r="A556" s="419"/>
      <c r="B556" s="420"/>
      <c r="C556" s="421"/>
      <c r="D556" s="421"/>
      <c r="E556" s="405"/>
      <c r="F556" s="377"/>
      <c r="G556" s="377"/>
      <c r="H556" s="377"/>
      <c r="I556" s="377"/>
      <c r="J556" s="405"/>
      <c r="K556" s="377"/>
      <c r="L556" s="377"/>
      <c r="M556" s="377"/>
      <c r="N556" s="377"/>
      <c r="O556" s="405"/>
      <c r="P556" s="377"/>
      <c r="Q556" s="377"/>
      <c r="R556" s="377"/>
    </row>
    <row r="557" spans="1:18" ht="79.2">
      <c r="A557" s="1327">
        <v>1.1200000000000001</v>
      </c>
      <c r="B557" s="453" t="s">
        <v>635</v>
      </c>
      <c r="C557" s="1328"/>
      <c r="D557" s="1329"/>
      <c r="E557" s="1328"/>
      <c r="F557" s="1329"/>
      <c r="G557" s="1329"/>
      <c r="H557" s="1329"/>
      <c r="I557" s="1329"/>
      <c r="J557" s="1328"/>
      <c r="K557" s="1329"/>
      <c r="L557" s="1329"/>
      <c r="M557" s="1329"/>
      <c r="N557" s="1329"/>
      <c r="O557" s="1328"/>
      <c r="P557" s="1329"/>
      <c r="Q557" s="1329"/>
      <c r="R557" s="1329"/>
    </row>
    <row r="558" spans="1:18" ht="13.2">
      <c r="A558" s="406"/>
      <c r="B558" s="407" t="s">
        <v>88</v>
      </c>
      <c r="C558" s="408"/>
      <c r="D558" s="409"/>
      <c r="E558" s="410"/>
      <c r="F558" s="410"/>
      <c r="G558" s="410">
        <f>G559</f>
        <v>0</v>
      </c>
      <c r="H558" s="371"/>
      <c r="I558" s="371"/>
      <c r="J558" s="410"/>
      <c r="K558" s="410"/>
      <c r="L558" s="410">
        <f>L559</f>
        <v>385408</v>
      </c>
      <c r="M558" s="371"/>
      <c r="N558" s="371"/>
      <c r="O558" s="410"/>
      <c r="P558" s="410"/>
      <c r="Q558" s="410">
        <f>Q559</f>
        <v>0</v>
      </c>
      <c r="R558" s="371"/>
    </row>
    <row r="559" spans="1:18" ht="13.2">
      <c r="A559" s="411"/>
      <c r="B559" s="412" t="s">
        <v>97</v>
      </c>
      <c r="C559" s="413"/>
      <c r="D559" s="414"/>
      <c r="E559" s="405"/>
      <c r="F559" s="405"/>
      <c r="G559" s="405">
        <f>G560</f>
        <v>0</v>
      </c>
      <c r="H559" s="405"/>
      <c r="I559" s="405"/>
      <c r="J559" s="405"/>
      <c r="K559" s="405"/>
      <c r="L559" s="405">
        <f>L560</f>
        <v>385408</v>
      </c>
      <c r="M559" s="405"/>
      <c r="N559" s="405"/>
      <c r="O559" s="405"/>
      <c r="P559" s="405"/>
      <c r="Q559" s="405">
        <f>Q560</f>
        <v>0</v>
      </c>
      <c r="R559" s="405"/>
    </row>
    <row r="560" spans="1:18" ht="26.4">
      <c r="A560" s="411"/>
      <c r="B560" s="412" t="s">
        <v>98</v>
      </c>
      <c r="C560" s="413"/>
      <c r="D560" s="414"/>
      <c r="E560" s="405"/>
      <c r="F560" s="405"/>
      <c r="G560" s="405"/>
      <c r="H560" s="377"/>
      <c r="I560" s="377"/>
      <c r="J560" s="405"/>
      <c r="K560" s="405"/>
      <c r="L560" s="405">
        <v>385408</v>
      </c>
      <c r="M560" s="377"/>
      <c r="N560" s="377"/>
      <c r="O560" s="405"/>
      <c r="P560" s="405"/>
      <c r="Q560" s="405"/>
      <c r="R560" s="377"/>
    </row>
    <row r="561" spans="1:18" ht="13.2">
      <c r="A561" s="406"/>
      <c r="B561" s="407" t="s">
        <v>101</v>
      </c>
      <c r="C561" s="408"/>
      <c r="D561" s="409"/>
      <c r="E561" s="410"/>
      <c r="F561" s="410"/>
      <c r="G561" s="410">
        <f>G562</f>
        <v>0</v>
      </c>
      <c r="H561" s="371"/>
      <c r="I561" s="371"/>
      <c r="J561" s="410"/>
      <c r="K561" s="410"/>
      <c r="L561" s="410">
        <f>L562</f>
        <v>385408</v>
      </c>
      <c r="M561" s="371"/>
      <c r="N561" s="371"/>
      <c r="O561" s="410"/>
      <c r="P561" s="410"/>
      <c r="Q561" s="410">
        <f>Q562</f>
        <v>0</v>
      </c>
      <c r="R561" s="371"/>
    </row>
    <row r="562" spans="1:18" ht="13.2">
      <c r="A562" s="411"/>
      <c r="B562" s="412" t="s">
        <v>103</v>
      </c>
      <c r="C562" s="413"/>
      <c r="D562" s="414"/>
      <c r="E562" s="405"/>
      <c r="F562" s="405"/>
      <c r="G562" s="405">
        <f>G563</f>
        <v>0</v>
      </c>
      <c r="H562" s="405"/>
      <c r="I562" s="405"/>
      <c r="J562" s="405"/>
      <c r="K562" s="405"/>
      <c r="L562" s="405">
        <f>L563</f>
        <v>385408</v>
      </c>
      <c r="M562" s="405"/>
      <c r="N562" s="405"/>
      <c r="O562" s="405"/>
      <c r="P562" s="405"/>
      <c r="Q562" s="405">
        <f>Q563</f>
        <v>0</v>
      </c>
      <c r="R562" s="377"/>
    </row>
    <row r="563" spans="1:18" ht="13.2">
      <c r="A563" s="411"/>
      <c r="B563" s="412" t="s">
        <v>105</v>
      </c>
      <c r="C563" s="413"/>
      <c r="D563" s="414"/>
      <c r="E563" s="405"/>
      <c r="F563" s="405"/>
      <c r="G563" s="405">
        <f>G564+G566</f>
        <v>0</v>
      </c>
      <c r="H563" s="405"/>
      <c r="I563" s="405"/>
      <c r="J563" s="405"/>
      <c r="K563" s="405"/>
      <c r="L563" s="405">
        <f>L564+L566</f>
        <v>385408</v>
      </c>
      <c r="M563" s="405"/>
      <c r="N563" s="405"/>
      <c r="O563" s="405"/>
      <c r="P563" s="405"/>
      <c r="Q563" s="405">
        <f>Q564+Q566</f>
        <v>0</v>
      </c>
      <c r="R563" s="377"/>
    </row>
    <row r="564" spans="1:18" ht="13.2">
      <c r="A564" s="411"/>
      <c r="B564" s="412" t="s">
        <v>106</v>
      </c>
      <c r="C564" s="413"/>
      <c r="D564" s="414"/>
      <c r="E564" s="405"/>
      <c r="F564" s="405"/>
      <c r="G564" s="405"/>
      <c r="H564" s="377"/>
      <c r="I564" s="377"/>
      <c r="J564" s="405"/>
      <c r="K564" s="405"/>
      <c r="L564" s="405">
        <v>378790</v>
      </c>
      <c r="M564" s="377"/>
      <c r="N564" s="377"/>
      <c r="O564" s="405"/>
      <c r="P564" s="405"/>
      <c r="Q564" s="405"/>
      <c r="R564" s="377"/>
    </row>
    <row r="565" spans="1:18" ht="13.2">
      <c r="A565" s="411"/>
      <c r="B565" s="412" t="s">
        <v>107</v>
      </c>
      <c r="C565" s="413"/>
      <c r="D565" s="414"/>
      <c r="E565" s="405"/>
      <c r="F565" s="405"/>
      <c r="G565" s="405"/>
      <c r="H565" s="377"/>
      <c r="I565" s="377"/>
      <c r="J565" s="405"/>
      <c r="K565" s="405"/>
      <c r="L565" s="405">
        <v>305254</v>
      </c>
      <c r="M565" s="377"/>
      <c r="N565" s="377"/>
      <c r="O565" s="405"/>
      <c r="P565" s="405"/>
      <c r="Q565" s="405"/>
      <c r="R565" s="377"/>
    </row>
    <row r="566" spans="1:18" ht="13.2">
      <c r="A566" s="411"/>
      <c r="B566" s="412" t="s">
        <v>108</v>
      </c>
      <c r="C566" s="413"/>
      <c r="D566" s="414"/>
      <c r="E566" s="405"/>
      <c r="F566" s="405"/>
      <c r="G566" s="405"/>
      <c r="H566" s="377"/>
      <c r="I566" s="377"/>
      <c r="J566" s="405"/>
      <c r="K566" s="405"/>
      <c r="L566" s="405">
        <v>6618</v>
      </c>
      <c r="M566" s="377"/>
      <c r="N566" s="377"/>
      <c r="O566" s="405"/>
      <c r="P566" s="405"/>
      <c r="Q566" s="405"/>
      <c r="R566" s="377"/>
    </row>
    <row r="567" spans="1:18" ht="13.2">
      <c r="A567" s="419"/>
      <c r="B567" s="420"/>
      <c r="C567" s="421"/>
      <c r="D567" s="421"/>
      <c r="E567" s="405"/>
      <c r="F567" s="377"/>
      <c r="G567" s="377"/>
      <c r="H567" s="377"/>
      <c r="I567" s="377"/>
      <c r="J567" s="405"/>
      <c r="K567" s="377"/>
      <c r="L567" s="377"/>
      <c r="M567" s="377"/>
      <c r="N567" s="377"/>
      <c r="O567" s="405"/>
      <c r="P567" s="377"/>
      <c r="Q567" s="377"/>
      <c r="R567" s="377"/>
    </row>
    <row r="568" spans="1:18" ht="132">
      <c r="A568" s="1327">
        <v>1.1299999999999999</v>
      </c>
      <c r="B568" s="453" t="s">
        <v>636</v>
      </c>
      <c r="C568" s="1328"/>
      <c r="D568" s="1329"/>
      <c r="E568" s="1328"/>
      <c r="F568" s="1329"/>
      <c r="G568" s="1329"/>
      <c r="H568" s="1329"/>
      <c r="I568" s="1329"/>
      <c r="J568" s="1328"/>
      <c r="K568" s="1329"/>
      <c r="L568" s="1329"/>
      <c r="M568" s="1329"/>
      <c r="N568" s="1329"/>
      <c r="O568" s="1328"/>
      <c r="P568" s="1329"/>
      <c r="Q568" s="1329"/>
      <c r="R568" s="1329"/>
    </row>
    <row r="569" spans="1:18" ht="13.2">
      <c r="A569" s="406"/>
      <c r="B569" s="407" t="s">
        <v>88</v>
      </c>
      <c r="C569" s="408"/>
      <c r="D569" s="409"/>
      <c r="E569" s="410"/>
      <c r="F569" s="410"/>
      <c r="G569" s="410">
        <f>G570</f>
        <v>0</v>
      </c>
      <c r="H569" s="371"/>
      <c r="I569" s="371"/>
      <c r="J569" s="410"/>
      <c r="K569" s="410"/>
      <c r="L569" s="410">
        <f>L570</f>
        <v>6548</v>
      </c>
      <c r="M569" s="371"/>
      <c r="N569" s="371"/>
      <c r="O569" s="410"/>
      <c r="P569" s="410"/>
      <c r="Q569" s="410">
        <f>Q570</f>
        <v>80886</v>
      </c>
      <c r="R569" s="371"/>
    </row>
    <row r="570" spans="1:18" ht="13.2">
      <c r="A570" s="411"/>
      <c r="B570" s="412" t="s">
        <v>97</v>
      </c>
      <c r="C570" s="413"/>
      <c r="D570" s="414"/>
      <c r="E570" s="405"/>
      <c r="F570" s="405"/>
      <c r="G570" s="405">
        <f>G571</f>
        <v>0</v>
      </c>
      <c r="H570" s="405"/>
      <c r="I570" s="405"/>
      <c r="J570" s="405"/>
      <c r="K570" s="405"/>
      <c r="L570" s="405">
        <f>L571</f>
        <v>6548</v>
      </c>
      <c r="M570" s="405"/>
      <c r="N570" s="405"/>
      <c r="O570" s="405"/>
      <c r="P570" s="405"/>
      <c r="Q570" s="405">
        <f>Q571</f>
        <v>80886</v>
      </c>
      <c r="R570" s="405"/>
    </row>
    <row r="571" spans="1:18" ht="26.4">
      <c r="A571" s="411"/>
      <c r="B571" s="412" t="s">
        <v>98</v>
      </c>
      <c r="C571" s="413"/>
      <c r="D571" s="414"/>
      <c r="E571" s="405"/>
      <c r="F571" s="405"/>
      <c r="G571" s="405"/>
      <c r="H571" s="377"/>
      <c r="I571" s="377"/>
      <c r="J571" s="405"/>
      <c r="K571" s="405"/>
      <c r="L571" s="405">
        <v>6548</v>
      </c>
      <c r="M571" s="377"/>
      <c r="N571" s="377"/>
      <c r="O571" s="405"/>
      <c r="P571" s="405"/>
      <c r="Q571" s="405">
        <v>80886</v>
      </c>
      <c r="R571" s="377"/>
    </row>
    <row r="572" spans="1:18" ht="13.2">
      <c r="A572" s="406"/>
      <c r="B572" s="407" t="s">
        <v>101</v>
      </c>
      <c r="C572" s="408"/>
      <c r="D572" s="409"/>
      <c r="E572" s="410"/>
      <c r="F572" s="410"/>
      <c r="G572" s="410">
        <f>G573</f>
        <v>0</v>
      </c>
      <c r="H572" s="371"/>
      <c r="I572" s="371"/>
      <c r="J572" s="410"/>
      <c r="K572" s="410"/>
      <c r="L572" s="410">
        <f>L573</f>
        <v>6548</v>
      </c>
      <c r="M572" s="371"/>
      <c r="N572" s="371"/>
      <c r="O572" s="410"/>
      <c r="P572" s="410"/>
      <c r="Q572" s="410">
        <f>Q573</f>
        <v>80886</v>
      </c>
      <c r="R572" s="371"/>
    </row>
    <row r="573" spans="1:18" ht="13.2">
      <c r="A573" s="411"/>
      <c r="B573" s="412" t="s">
        <v>103</v>
      </c>
      <c r="C573" s="413"/>
      <c r="D573" s="414"/>
      <c r="E573" s="405"/>
      <c r="F573" s="405"/>
      <c r="G573" s="405">
        <f>G574</f>
        <v>0</v>
      </c>
      <c r="H573" s="405"/>
      <c r="I573" s="405"/>
      <c r="J573" s="405"/>
      <c r="K573" s="405"/>
      <c r="L573" s="405">
        <f>L574</f>
        <v>6548</v>
      </c>
      <c r="M573" s="405"/>
      <c r="N573" s="405"/>
      <c r="O573" s="405"/>
      <c r="P573" s="405"/>
      <c r="Q573" s="405">
        <f>Q574</f>
        <v>80886</v>
      </c>
      <c r="R573" s="377"/>
    </row>
    <row r="574" spans="1:18" ht="13.2">
      <c r="A574" s="411"/>
      <c r="B574" s="412" t="s">
        <v>105</v>
      </c>
      <c r="C574" s="413"/>
      <c r="D574" s="414"/>
      <c r="E574" s="405"/>
      <c r="F574" s="405"/>
      <c r="G574" s="405">
        <f>G575+G577</f>
        <v>0</v>
      </c>
      <c r="H574" s="405"/>
      <c r="I574" s="405"/>
      <c r="J574" s="405"/>
      <c r="K574" s="405"/>
      <c r="L574" s="405">
        <f>L575+L577</f>
        <v>6548</v>
      </c>
      <c r="M574" s="405"/>
      <c r="N574" s="405"/>
      <c r="O574" s="405"/>
      <c r="P574" s="405"/>
      <c r="Q574" s="405">
        <f>Q575+Q577</f>
        <v>80886</v>
      </c>
      <c r="R574" s="377"/>
    </row>
    <row r="575" spans="1:18" ht="13.2">
      <c r="A575" s="411"/>
      <c r="B575" s="412" t="s">
        <v>106</v>
      </c>
      <c r="C575" s="413"/>
      <c r="D575" s="414"/>
      <c r="E575" s="405"/>
      <c r="F575" s="405"/>
      <c r="G575" s="405"/>
      <c r="H575" s="377"/>
      <c r="I575" s="377"/>
      <c r="J575" s="405"/>
      <c r="K575" s="405"/>
      <c r="L575" s="405">
        <v>6363</v>
      </c>
      <c r="M575" s="377"/>
      <c r="N575" s="377"/>
      <c r="O575" s="405"/>
      <c r="P575" s="405"/>
      <c r="Q575" s="405">
        <v>78170</v>
      </c>
      <c r="R575" s="377"/>
    </row>
    <row r="576" spans="1:18" ht="13.2">
      <c r="A576" s="411"/>
      <c r="B576" s="412" t="s">
        <v>107</v>
      </c>
      <c r="C576" s="413"/>
      <c r="D576" s="414"/>
      <c r="E576" s="405"/>
      <c r="F576" s="405"/>
      <c r="G576" s="405"/>
      <c r="H576" s="377"/>
      <c r="I576" s="377"/>
      <c r="J576" s="405"/>
      <c r="K576" s="405"/>
      <c r="L576" s="405">
        <v>5128</v>
      </c>
      <c r="M576" s="377"/>
      <c r="N576" s="377"/>
      <c r="O576" s="405"/>
      <c r="P576" s="405"/>
      <c r="Q576" s="405">
        <v>62995</v>
      </c>
      <c r="R576" s="377"/>
    </row>
    <row r="577" spans="1:18" ht="13.2">
      <c r="A577" s="411"/>
      <c r="B577" s="412" t="s">
        <v>108</v>
      </c>
      <c r="C577" s="413"/>
      <c r="D577" s="414"/>
      <c r="E577" s="405"/>
      <c r="F577" s="405"/>
      <c r="G577" s="405"/>
      <c r="H577" s="377"/>
      <c r="I577" s="377"/>
      <c r="J577" s="405"/>
      <c r="K577" s="405"/>
      <c r="L577" s="405">
        <v>185</v>
      </c>
      <c r="M577" s="377"/>
      <c r="N577" s="377"/>
      <c r="O577" s="405"/>
      <c r="P577" s="405"/>
      <c r="Q577" s="405">
        <v>2716</v>
      </c>
      <c r="R577" s="377"/>
    </row>
    <row r="579" spans="1:18" ht="66">
      <c r="A579" s="1327">
        <v>1.1399999999999999</v>
      </c>
      <c r="B579" s="453" t="s">
        <v>637</v>
      </c>
      <c r="C579" s="1328"/>
      <c r="D579" s="1329"/>
      <c r="E579" s="1328"/>
      <c r="F579" s="1329"/>
      <c r="G579" s="1329"/>
      <c r="H579" s="1329"/>
      <c r="I579" s="1329"/>
      <c r="J579" s="1328"/>
      <c r="K579" s="1329"/>
      <c r="L579" s="1329"/>
      <c r="M579" s="1329"/>
      <c r="N579" s="1329"/>
      <c r="O579" s="1328"/>
      <c r="P579" s="1329"/>
      <c r="Q579" s="1329"/>
      <c r="R579" s="1329"/>
    </row>
    <row r="580" spans="1:18" ht="13.2">
      <c r="A580" s="406"/>
      <c r="B580" s="407" t="s">
        <v>88</v>
      </c>
      <c r="C580" s="408"/>
      <c r="D580" s="409"/>
      <c r="E580" s="410"/>
      <c r="F580" s="410"/>
      <c r="G580" s="410">
        <f>G581</f>
        <v>20000</v>
      </c>
      <c r="H580" s="371"/>
      <c r="I580" s="371"/>
      <c r="J580" s="410"/>
      <c r="K580" s="410"/>
      <c r="L580" s="410">
        <f>L581</f>
        <v>0</v>
      </c>
      <c r="M580" s="371"/>
      <c r="N580" s="371"/>
      <c r="O580" s="410"/>
      <c r="P580" s="410"/>
      <c r="Q580" s="410">
        <f>Q581</f>
        <v>0</v>
      </c>
      <c r="R580" s="371"/>
    </row>
    <row r="581" spans="1:18" ht="13.2">
      <c r="A581" s="411"/>
      <c r="B581" s="412" t="s">
        <v>97</v>
      </c>
      <c r="C581" s="413"/>
      <c r="D581" s="414"/>
      <c r="E581" s="405"/>
      <c r="F581" s="405"/>
      <c r="G581" s="405">
        <f>G582</f>
        <v>20000</v>
      </c>
      <c r="H581" s="405"/>
      <c r="I581" s="405"/>
      <c r="J581" s="405"/>
      <c r="K581" s="405"/>
      <c r="L581" s="405">
        <f>L582</f>
        <v>0</v>
      </c>
      <c r="M581" s="405"/>
      <c r="N581" s="405"/>
      <c r="O581" s="405"/>
      <c r="P581" s="405"/>
      <c r="Q581" s="405">
        <f>Q582</f>
        <v>0</v>
      </c>
      <c r="R581" s="405"/>
    </row>
    <row r="582" spans="1:18" ht="26.4">
      <c r="A582" s="411"/>
      <c r="B582" s="412" t="s">
        <v>98</v>
      </c>
      <c r="C582" s="413"/>
      <c r="D582" s="414"/>
      <c r="E582" s="405"/>
      <c r="F582" s="405"/>
      <c r="G582" s="405">
        <v>20000</v>
      </c>
      <c r="H582" s="377"/>
      <c r="I582" s="377"/>
      <c r="J582" s="405"/>
      <c r="K582" s="405"/>
      <c r="L582" s="405"/>
      <c r="M582" s="377"/>
      <c r="N582" s="377"/>
      <c r="O582" s="405"/>
      <c r="P582" s="405"/>
      <c r="Q582" s="405"/>
      <c r="R582" s="377"/>
    </row>
    <row r="583" spans="1:18" ht="13.2">
      <c r="A583" s="406"/>
      <c r="B583" s="407" t="s">
        <v>101</v>
      </c>
      <c r="C583" s="408"/>
      <c r="D583" s="409"/>
      <c r="E583" s="410"/>
      <c r="F583" s="410"/>
      <c r="G583" s="410">
        <f>G584</f>
        <v>20000</v>
      </c>
      <c r="H583" s="371"/>
      <c r="I583" s="371"/>
      <c r="J583" s="410"/>
      <c r="K583" s="410"/>
      <c r="L583" s="410">
        <f>L584</f>
        <v>0</v>
      </c>
      <c r="M583" s="371"/>
      <c r="N583" s="371"/>
      <c r="O583" s="410"/>
      <c r="P583" s="410"/>
      <c r="Q583" s="410">
        <f>Q584</f>
        <v>0</v>
      </c>
      <c r="R583" s="371"/>
    </row>
    <row r="584" spans="1:18" ht="13.2">
      <c r="A584" s="411"/>
      <c r="B584" s="412" t="s">
        <v>122</v>
      </c>
      <c r="C584" s="413"/>
      <c r="D584" s="414"/>
      <c r="E584" s="405"/>
      <c r="F584" s="405"/>
      <c r="G584" s="405">
        <f>G585</f>
        <v>20000</v>
      </c>
      <c r="H584" s="377"/>
      <c r="I584" s="377"/>
      <c r="J584" s="405"/>
      <c r="K584" s="405"/>
      <c r="L584" s="405">
        <f>L585</f>
        <v>0</v>
      </c>
      <c r="M584" s="377"/>
      <c r="N584" s="377"/>
      <c r="O584" s="405"/>
      <c r="P584" s="405"/>
      <c r="Q584" s="405">
        <f>Q585</f>
        <v>0</v>
      </c>
      <c r="R584" s="377"/>
    </row>
    <row r="585" spans="1:18" ht="13.2">
      <c r="A585" s="419"/>
      <c r="B585" s="412" t="s">
        <v>123</v>
      </c>
      <c r="C585" s="421"/>
      <c r="D585" s="421"/>
      <c r="E585" s="405"/>
      <c r="F585" s="377"/>
      <c r="G585" s="405">
        <v>20000</v>
      </c>
      <c r="H585" s="377"/>
      <c r="I585" s="377"/>
      <c r="J585" s="405"/>
      <c r="K585" s="377"/>
      <c r="L585" s="377"/>
      <c r="M585" s="377"/>
      <c r="N585" s="377"/>
      <c r="O585" s="405"/>
      <c r="P585" s="377"/>
      <c r="Q585" s="377"/>
      <c r="R585" s="377"/>
    </row>
    <row r="586" spans="1:18" ht="13.2">
      <c r="A586" s="419"/>
      <c r="B586" s="420"/>
      <c r="C586" s="421"/>
      <c r="D586" s="421"/>
      <c r="E586" s="405"/>
      <c r="F586" s="377"/>
      <c r="G586" s="377"/>
      <c r="H586" s="377"/>
      <c r="I586" s="377"/>
      <c r="J586" s="405"/>
      <c r="K586" s="377"/>
      <c r="L586" s="377"/>
      <c r="M586" s="377"/>
      <c r="N586" s="377"/>
      <c r="O586" s="405"/>
      <c r="P586" s="377"/>
      <c r="Q586" s="377"/>
      <c r="R586" s="377"/>
    </row>
    <row r="587" spans="1:18" ht="66">
      <c r="A587" s="1327">
        <v>1.1499999999999999</v>
      </c>
      <c r="B587" s="453" t="s">
        <v>638</v>
      </c>
      <c r="C587" s="1328"/>
      <c r="D587" s="1329"/>
      <c r="E587" s="1328"/>
      <c r="F587" s="1329"/>
      <c r="G587" s="1329"/>
      <c r="H587" s="1329"/>
      <c r="I587" s="1329"/>
      <c r="J587" s="1328"/>
      <c r="K587" s="1329"/>
      <c r="L587" s="1329"/>
      <c r="M587" s="1329"/>
      <c r="N587" s="1329"/>
      <c r="O587" s="1328"/>
      <c r="P587" s="1329"/>
      <c r="Q587" s="1329"/>
      <c r="R587" s="1329"/>
    </row>
    <row r="588" spans="1:18" s="6" customFormat="1" ht="13.2">
      <c r="A588" s="820"/>
      <c r="B588" s="407" t="s">
        <v>88</v>
      </c>
      <c r="C588" s="1332"/>
      <c r="D588" s="1333"/>
      <c r="E588" s="1334"/>
      <c r="F588" s="1334"/>
      <c r="G588" s="1334">
        <f>G589</f>
        <v>16779</v>
      </c>
      <c r="H588" s="1335"/>
      <c r="I588" s="1335"/>
      <c r="J588" s="1334"/>
      <c r="K588" s="1334"/>
      <c r="L588" s="1334">
        <f>L589</f>
        <v>0</v>
      </c>
      <c r="M588" s="1335"/>
      <c r="N588" s="1335"/>
      <c r="O588" s="1334"/>
      <c r="P588" s="1334"/>
      <c r="Q588" s="1334">
        <f>Q589</f>
        <v>0</v>
      </c>
      <c r="R588" s="1335"/>
    </row>
    <row r="589" spans="1:18" ht="13.2">
      <c r="A589" s="411"/>
      <c r="B589" s="412" t="s">
        <v>97</v>
      </c>
      <c r="C589" s="413"/>
      <c r="D589" s="414"/>
      <c r="E589" s="405"/>
      <c r="F589" s="405"/>
      <c r="G589" s="405">
        <f>G590</f>
        <v>16779</v>
      </c>
      <c r="H589" s="405"/>
      <c r="I589" s="405"/>
      <c r="J589" s="405"/>
      <c r="K589" s="405"/>
      <c r="L589" s="405">
        <f>L590</f>
        <v>0</v>
      </c>
      <c r="M589" s="405"/>
      <c r="N589" s="405"/>
      <c r="O589" s="405"/>
      <c r="P589" s="405"/>
      <c r="Q589" s="405">
        <f>Q590</f>
        <v>0</v>
      </c>
      <c r="R589" s="405"/>
    </row>
    <row r="590" spans="1:18" ht="26.4">
      <c r="A590" s="411"/>
      <c r="B590" s="412" t="s">
        <v>98</v>
      </c>
      <c r="C590" s="413"/>
      <c r="D590" s="414"/>
      <c r="E590" s="405"/>
      <c r="F590" s="405"/>
      <c r="G590" s="405">
        <v>16779</v>
      </c>
      <c r="H590" s="377"/>
      <c r="I590" s="377"/>
      <c r="J590" s="405"/>
      <c r="K590" s="405"/>
      <c r="L590" s="405"/>
      <c r="M590" s="377"/>
      <c r="N590" s="377"/>
      <c r="O590" s="405"/>
      <c r="P590" s="405"/>
      <c r="Q590" s="405"/>
      <c r="R590" s="377"/>
    </row>
    <row r="591" spans="1:18" ht="13.2">
      <c r="A591" s="406"/>
      <c r="B591" s="407" t="s">
        <v>101</v>
      </c>
      <c r="C591" s="408"/>
      <c r="D591" s="409"/>
      <c r="E591" s="410"/>
      <c r="F591" s="410"/>
      <c r="G591" s="410">
        <f>G592</f>
        <v>16779</v>
      </c>
      <c r="H591" s="371"/>
      <c r="I591" s="371"/>
      <c r="J591" s="410"/>
      <c r="K591" s="410"/>
      <c r="L591" s="410">
        <f>L592</f>
        <v>0</v>
      </c>
      <c r="M591" s="371"/>
      <c r="N591" s="371"/>
      <c r="O591" s="410"/>
      <c r="P591" s="410"/>
      <c r="Q591" s="410">
        <f>Q592</f>
        <v>0</v>
      </c>
      <c r="R591" s="371"/>
    </row>
    <row r="592" spans="1:18" ht="13.2">
      <c r="A592" s="411"/>
      <c r="B592" s="412" t="s">
        <v>103</v>
      </c>
      <c r="C592" s="413"/>
      <c r="D592" s="414"/>
      <c r="E592" s="405"/>
      <c r="F592" s="405"/>
      <c r="G592" s="405">
        <f>G593</f>
        <v>16779</v>
      </c>
      <c r="H592" s="405"/>
      <c r="I592" s="405"/>
      <c r="J592" s="405"/>
      <c r="K592" s="405"/>
      <c r="L592" s="405">
        <f>L593</f>
        <v>0</v>
      </c>
      <c r="M592" s="405"/>
      <c r="N592" s="405"/>
      <c r="O592" s="405"/>
      <c r="P592" s="405"/>
      <c r="Q592" s="405">
        <f>Q593</f>
        <v>0</v>
      </c>
      <c r="R592" s="377"/>
    </row>
    <row r="593" spans="1:18" ht="13.2">
      <c r="A593" s="411"/>
      <c r="B593" s="412" t="s">
        <v>105</v>
      </c>
      <c r="C593" s="413"/>
      <c r="D593" s="414"/>
      <c r="E593" s="405"/>
      <c r="F593" s="405"/>
      <c r="G593" s="405">
        <f>G594</f>
        <v>16779</v>
      </c>
      <c r="H593" s="405"/>
      <c r="I593" s="405"/>
      <c r="J593" s="405"/>
      <c r="K593" s="405"/>
      <c r="L593" s="405">
        <f>L594</f>
        <v>0</v>
      </c>
      <c r="M593" s="405"/>
      <c r="N593" s="405"/>
      <c r="O593" s="405"/>
      <c r="P593" s="405"/>
      <c r="Q593" s="405">
        <f>Q594</f>
        <v>0</v>
      </c>
      <c r="R593" s="377"/>
    </row>
    <row r="594" spans="1:18" ht="13.2">
      <c r="A594" s="411"/>
      <c r="B594" s="412" t="s">
        <v>106</v>
      </c>
      <c r="C594" s="413"/>
      <c r="D594" s="414"/>
      <c r="E594" s="405"/>
      <c r="F594" s="405"/>
      <c r="G594" s="405">
        <v>16779</v>
      </c>
      <c r="H594" s="377"/>
      <c r="I594" s="377"/>
      <c r="J594" s="405"/>
      <c r="K594" s="405"/>
      <c r="L594" s="405"/>
      <c r="M594" s="377"/>
      <c r="N594" s="377"/>
      <c r="O594" s="405"/>
      <c r="P594" s="405"/>
      <c r="Q594" s="405"/>
      <c r="R594" s="377"/>
    </row>
    <row r="595" spans="1:18" ht="13.2">
      <c r="A595" s="411"/>
      <c r="B595" s="412" t="s">
        <v>107</v>
      </c>
      <c r="C595" s="413"/>
      <c r="D595" s="414"/>
      <c r="E595" s="405"/>
      <c r="F595" s="405"/>
      <c r="G595" s="405">
        <v>13521</v>
      </c>
      <c r="H595" s="377"/>
      <c r="I595" s="377"/>
      <c r="J595" s="405"/>
      <c r="K595" s="405"/>
      <c r="L595" s="405"/>
      <c r="M595" s="377"/>
      <c r="N595" s="377"/>
      <c r="O595" s="405"/>
      <c r="P595" s="405"/>
      <c r="Q595" s="405"/>
      <c r="R595" s="377"/>
    </row>
  </sheetData>
  <mergeCells count="23">
    <mergeCell ref="O5:Q5"/>
    <mergeCell ref="A5:A7"/>
    <mergeCell ref="B5:B7"/>
    <mergeCell ref="C5:C7"/>
    <mergeCell ref="R5:R7"/>
    <mergeCell ref="L6:L7"/>
    <mergeCell ref="O6:O7"/>
    <mergeCell ref="Q6:Q7"/>
    <mergeCell ref="J6:J7"/>
    <mergeCell ref="I5:I7"/>
    <mergeCell ref="J5:L5"/>
    <mergeCell ref="M5:M7"/>
    <mergeCell ref="N5:N7"/>
    <mergeCell ref="P6:P7"/>
    <mergeCell ref="K6:K7"/>
    <mergeCell ref="F6:F7"/>
    <mergeCell ref="B2:H2"/>
    <mergeCell ref="B3:H3"/>
    <mergeCell ref="D5:D7"/>
    <mergeCell ref="E5:G5"/>
    <mergeCell ref="H5:H7"/>
    <mergeCell ref="E6:E7"/>
    <mergeCell ref="G6:G7"/>
  </mergeCells>
  <phoneticPr fontId="27" type="noConversion"/>
  <pageMargins left="0.27559055118110237" right="0.19685039370078741" top="0.27559055118110237" bottom="0.35433070866141736" header="0.15748031496062992" footer="0.15748031496062992"/>
  <pageSetup paperSize="9" scale="60" orientation="landscape" r:id="rId1"/>
  <headerFooter alignWithMargins="0">
    <oddFooter>&amp;L&amp;F&amp;C&amp;P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C000"/>
  </sheetPr>
  <dimension ref="A1:R431"/>
  <sheetViews>
    <sheetView zoomScale="70" zoomScaleNormal="70" workbookViewId="0">
      <pane xSplit="2" ySplit="8" topLeftCell="C291" activePane="bottomRight" state="frozen"/>
      <selection activeCell="A177" activeCellId="2" sqref="A8:A9 A93 A177"/>
      <selection pane="topRight" activeCell="A177" activeCellId="2" sqref="A8:A9 A93 A177"/>
      <selection pane="bottomLeft" activeCell="A177" activeCellId="2" sqref="A8:A9 A93 A177"/>
      <selection pane="bottomRight" activeCell="F298" sqref="E298:F298"/>
    </sheetView>
  </sheetViews>
  <sheetFormatPr defaultColWidth="9.109375" defaultRowHeight="10.199999999999999"/>
  <cols>
    <col min="1" max="1" width="11.44140625" style="273" bestFit="1" customWidth="1"/>
    <col min="2" max="2" width="40.33203125" style="218" customWidth="1"/>
    <col min="3" max="3" width="13" style="274" customWidth="1"/>
    <col min="4" max="4" width="11.88671875" style="274"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955"/>
      <c r="J2" s="955"/>
      <c r="K2" s="955"/>
      <c r="L2" s="955"/>
      <c r="M2" s="220"/>
      <c r="N2" s="955"/>
      <c r="O2" s="955"/>
      <c r="P2" s="955"/>
      <c r="Q2" s="955"/>
      <c r="R2" s="220"/>
    </row>
    <row r="3" spans="1:18" s="1" customFormat="1" ht="13.2" customHeight="1">
      <c r="A3" s="221"/>
      <c r="B3" s="1400" t="s">
        <v>489</v>
      </c>
      <c r="C3" s="1400"/>
      <c r="D3" s="1400"/>
      <c r="E3" s="1400"/>
      <c r="F3" s="1400"/>
      <c r="G3" s="1400"/>
      <c r="H3" s="1400"/>
      <c r="I3" s="956"/>
      <c r="J3" s="956"/>
      <c r="K3" s="956"/>
      <c r="L3" s="956"/>
      <c r="M3" s="220"/>
      <c r="N3" s="956"/>
      <c r="O3" s="956"/>
      <c r="P3" s="956"/>
      <c r="Q3" s="956"/>
      <c r="R3" s="220"/>
    </row>
    <row r="4" spans="1:18" s="1" customFormat="1" ht="13.2">
      <c r="A4" s="221"/>
      <c r="B4" s="956"/>
      <c r="C4" s="222"/>
      <c r="D4" s="956"/>
      <c r="E4" s="956"/>
      <c r="F4" s="956"/>
      <c r="G4" s="956"/>
      <c r="H4" s="956"/>
      <c r="I4" s="956"/>
      <c r="J4" s="956"/>
      <c r="K4" s="956"/>
      <c r="L4" s="956"/>
      <c r="M4" s="956"/>
      <c r="N4" s="956"/>
      <c r="O4" s="956"/>
      <c r="P4" s="956"/>
      <c r="Q4" s="956"/>
      <c r="R4" s="956"/>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449" t="s">
        <v>235</v>
      </c>
      <c r="O5" s="1441" t="s">
        <v>232</v>
      </c>
      <c r="P5" s="1442"/>
      <c r="Q5" s="1443"/>
      <c r="R5" s="1444"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450"/>
      <c r="O6" s="1447" t="s">
        <v>233</v>
      </c>
      <c r="P6" s="1447" t="s">
        <v>496</v>
      </c>
      <c r="Q6" s="1447" t="s">
        <v>485</v>
      </c>
      <c r="R6" s="1445"/>
    </row>
    <row r="7" spans="1:18" s="1" customFormat="1" ht="25.95" customHeight="1">
      <c r="A7" s="1396"/>
      <c r="B7" s="1359"/>
      <c r="C7" s="1362"/>
      <c r="D7" s="1365"/>
      <c r="E7" s="1370"/>
      <c r="F7" s="1370"/>
      <c r="G7" s="1370"/>
      <c r="H7" s="1356"/>
      <c r="I7" s="1368"/>
      <c r="J7" s="1378"/>
      <c r="K7" s="1378"/>
      <c r="L7" s="1378"/>
      <c r="M7" s="1386"/>
      <c r="N7" s="1451"/>
      <c r="O7" s="1448"/>
      <c r="P7" s="1448"/>
      <c r="Q7" s="1448"/>
      <c r="R7" s="1446"/>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429"/>
      <c r="B9" s="392" t="s">
        <v>131</v>
      </c>
      <c r="C9" s="430"/>
      <c r="D9" s="430"/>
      <c r="E9" s="226"/>
      <c r="F9" s="226"/>
      <c r="G9" s="226"/>
      <c r="H9" s="226"/>
      <c r="I9" s="365"/>
      <c r="J9" s="226"/>
      <c r="K9" s="226"/>
      <c r="L9" s="226"/>
      <c r="M9" s="226"/>
      <c r="N9" s="365"/>
      <c r="O9" s="226"/>
      <c r="P9" s="226"/>
      <c r="Q9" s="226"/>
      <c r="R9" s="226"/>
    </row>
    <row r="10" spans="1:18" s="4" customFormat="1" ht="20.399999999999999">
      <c r="A10" s="129" t="s">
        <v>201</v>
      </c>
      <c r="B10" s="123" t="s">
        <v>88</v>
      </c>
      <c r="C10" s="432">
        <v>259223998</v>
      </c>
      <c r="D10" s="432">
        <v>231018561</v>
      </c>
      <c r="E10" s="228">
        <f>E11+E12+E14+E32</f>
        <v>-1294182</v>
      </c>
      <c r="F10" s="228">
        <f>F11+F12+F14+F32</f>
        <v>948798</v>
      </c>
      <c r="G10" s="228">
        <f>G11+G12+G14+G32</f>
        <v>4078213</v>
      </c>
      <c r="H10" s="243">
        <f t="shared" ref="H10:H73" si="0">SUM(D10:G10)</f>
        <v>234751390</v>
      </c>
      <c r="I10" s="228">
        <v>165278727</v>
      </c>
      <c r="J10" s="228">
        <f>J11+J12+J14+J32</f>
        <v>-620539</v>
      </c>
      <c r="K10" s="228">
        <f>K11+K12+K14+K32</f>
        <v>1342254</v>
      </c>
      <c r="L10" s="228">
        <f>L11+L12+L14+L32</f>
        <v>7840790</v>
      </c>
      <c r="M10" s="243">
        <f t="shared" ref="M10:M73" si="1">SUM(I10:L10)</f>
        <v>173841232</v>
      </c>
      <c r="N10" s="228">
        <v>143696236</v>
      </c>
      <c r="O10" s="228">
        <f>O11+O12+O14+O32</f>
        <v>-335022</v>
      </c>
      <c r="P10" s="228">
        <f>P11+P12+P14+P32</f>
        <v>932630</v>
      </c>
      <c r="Q10" s="228">
        <f>Q11+Q12+Q14+Q32</f>
        <v>8660075</v>
      </c>
      <c r="R10" s="243">
        <f t="shared" ref="R10:R73" si="2">SUM(N10:Q10)</f>
        <v>152953919</v>
      </c>
    </row>
    <row r="11" spans="1:18" ht="22.8">
      <c r="A11" s="130" t="s">
        <v>177</v>
      </c>
      <c r="B11" s="124" t="s">
        <v>90</v>
      </c>
      <c r="C11" s="262">
        <v>5661330</v>
      </c>
      <c r="D11" s="262">
        <v>5573054</v>
      </c>
      <c r="E11" s="231">
        <f t="shared" ref="E11:G13" si="3">E95+E179</f>
        <v>133664</v>
      </c>
      <c r="F11" s="231">
        <f t="shared" si="3"/>
        <v>0</v>
      </c>
      <c r="G11" s="231">
        <f t="shared" si="3"/>
        <v>0</v>
      </c>
      <c r="H11" s="233">
        <f t="shared" si="0"/>
        <v>5706718</v>
      </c>
      <c r="I11" s="231">
        <v>5558054</v>
      </c>
      <c r="J11" s="231">
        <f t="shared" ref="J11:L13" si="4">J95+J179</f>
        <v>0</v>
      </c>
      <c r="K11" s="231">
        <f t="shared" si="4"/>
        <v>0</v>
      </c>
      <c r="L11" s="231">
        <f t="shared" si="4"/>
        <v>0</v>
      </c>
      <c r="M11" s="233">
        <f t="shared" si="1"/>
        <v>5558054</v>
      </c>
      <c r="N11" s="231">
        <v>5558054</v>
      </c>
      <c r="O11" s="231">
        <f t="shared" ref="O11:Q13" si="5">O95+O179</f>
        <v>0</v>
      </c>
      <c r="P11" s="231">
        <f t="shared" si="5"/>
        <v>0</v>
      </c>
      <c r="Q11" s="231">
        <f t="shared" si="5"/>
        <v>0</v>
      </c>
      <c r="R11" s="233">
        <f t="shared" si="2"/>
        <v>5558054</v>
      </c>
    </row>
    <row r="12" spans="1:18" ht="12">
      <c r="A12" s="130" t="s">
        <v>91</v>
      </c>
      <c r="B12" s="124" t="s">
        <v>92</v>
      </c>
      <c r="C12" s="262">
        <v>14163807</v>
      </c>
      <c r="D12" s="262">
        <v>12516260</v>
      </c>
      <c r="E12" s="231">
        <f t="shared" si="3"/>
        <v>46440</v>
      </c>
      <c r="F12" s="231">
        <f t="shared" si="3"/>
        <v>0</v>
      </c>
      <c r="G12" s="231">
        <f t="shared" si="3"/>
        <v>0</v>
      </c>
      <c r="H12" s="233">
        <f t="shared" si="0"/>
        <v>12562700</v>
      </c>
      <c r="I12" s="231">
        <v>171270</v>
      </c>
      <c r="J12" s="231">
        <f t="shared" si="4"/>
        <v>0</v>
      </c>
      <c r="K12" s="231">
        <f t="shared" si="4"/>
        <v>0</v>
      </c>
      <c r="L12" s="231">
        <f t="shared" si="4"/>
        <v>0</v>
      </c>
      <c r="M12" s="233">
        <f t="shared" si="1"/>
        <v>171270</v>
      </c>
      <c r="N12" s="231">
        <v>181270</v>
      </c>
      <c r="O12" s="231">
        <f t="shared" si="5"/>
        <v>0</v>
      </c>
      <c r="P12" s="231">
        <f t="shared" si="5"/>
        <v>0</v>
      </c>
      <c r="Q12" s="231">
        <f t="shared" si="5"/>
        <v>0</v>
      </c>
      <c r="R12" s="233">
        <f t="shared" si="2"/>
        <v>181270</v>
      </c>
    </row>
    <row r="13" spans="1:18" ht="12" customHeight="1">
      <c r="A13" s="131">
        <v>21210</v>
      </c>
      <c r="B13" s="125" t="s">
        <v>93</v>
      </c>
      <c r="C13" s="433">
        <v>1736622</v>
      </c>
      <c r="D13" s="433">
        <v>0</v>
      </c>
      <c r="E13" s="231">
        <f t="shared" si="3"/>
        <v>0</v>
      </c>
      <c r="F13" s="231">
        <f t="shared" si="3"/>
        <v>0</v>
      </c>
      <c r="G13" s="231">
        <f t="shared" si="3"/>
        <v>0</v>
      </c>
      <c r="H13" s="233">
        <f t="shared" si="0"/>
        <v>0</v>
      </c>
      <c r="I13" s="231">
        <v>0</v>
      </c>
      <c r="J13" s="231">
        <f t="shared" si="4"/>
        <v>0</v>
      </c>
      <c r="K13" s="231">
        <f t="shared" si="4"/>
        <v>0</v>
      </c>
      <c r="L13" s="231">
        <f t="shared" si="4"/>
        <v>0</v>
      </c>
      <c r="M13" s="233">
        <f t="shared" si="1"/>
        <v>0</v>
      </c>
      <c r="N13" s="231">
        <v>0</v>
      </c>
      <c r="O13" s="231">
        <f t="shared" si="5"/>
        <v>0</v>
      </c>
      <c r="P13" s="231">
        <f t="shared" si="5"/>
        <v>0</v>
      </c>
      <c r="Q13" s="231">
        <f t="shared" si="5"/>
        <v>0</v>
      </c>
      <c r="R13" s="233">
        <f t="shared" si="2"/>
        <v>0</v>
      </c>
    </row>
    <row r="14" spans="1:18" ht="20.399999999999999">
      <c r="A14" s="130" t="s">
        <v>178</v>
      </c>
      <c r="B14" s="124" t="s">
        <v>94</v>
      </c>
      <c r="C14" s="254">
        <v>99164</v>
      </c>
      <c r="D14" s="254">
        <v>771975</v>
      </c>
      <c r="E14" s="233">
        <f>E15+E21</f>
        <v>0</v>
      </c>
      <c r="F14" s="233">
        <f>F15+F21</f>
        <v>0</v>
      </c>
      <c r="G14" s="233">
        <f>G15+G21</f>
        <v>0</v>
      </c>
      <c r="H14" s="233">
        <f t="shared" si="0"/>
        <v>771975</v>
      </c>
      <c r="I14" s="233">
        <v>146002</v>
      </c>
      <c r="J14" s="233">
        <f>J15+J21</f>
        <v>0</v>
      </c>
      <c r="K14" s="233">
        <f>K15+K21</f>
        <v>0</v>
      </c>
      <c r="L14" s="233">
        <f>L15+L21</f>
        <v>0</v>
      </c>
      <c r="M14" s="233">
        <f t="shared" si="1"/>
        <v>146002</v>
      </c>
      <c r="N14" s="233">
        <v>0</v>
      </c>
      <c r="O14" s="233">
        <f>O15+O21</f>
        <v>0</v>
      </c>
      <c r="P14" s="233">
        <f>P15+P21</f>
        <v>0</v>
      </c>
      <c r="Q14" s="233">
        <f>Q15+Q21</f>
        <v>0</v>
      </c>
      <c r="R14" s="233">
        <f t="shared" si="2"/>
        <v>0</v>
      </c>
    </row>
    <row r="15" spans="1:18" ht="12">
      <c r="A15" s="132">
        <v>18000</v>
      </c>
      <c r="B15" s="125" t="s">
        <v>95</v>
      </c>
      <c r="C15" s="404">
        <v>99164</v>
      </c>
      <c r="D15" s="404">
        <v>0</v>
      </c>
      <c r="E15" s="233">
        <f t="shared" ref="E15:L16" si="6">E16</f>
        <v>0</v>
      </c>
      <c r="F15" s="233">
        <f t="shared" si="6"/>
        <v>0</v>
      </c>
      <c r="G15" s="233">
        <f t="shared" si="6"/>
        <v>0</v>
      </c>
      <c r="H15" s="233">
        <f t="shared" si="0"/>
        <v>0</v>
      </c>
      <c r="I15" s="233">
        <v>0</v>
      </c>
      <c r="J15" s="233">
        <f t="shared" si="6"/>
        <v>0</v>
      </c>
      <c r="K15" s="233">
        <f t="shared" si="6"/>
        <v>0</v>
      </c>
      <c r="L15" s="233">
        <f t="shared" si="6"/>
        <v>0</v>
      </c>
      <c r="M15" s="233">
        <f t="shared" si="1"/>
        <v>0</v>
      </c>
      <c r="N15" s="233">
        <v>0</v>
      </c>
      <c r="O15" s="233">
        <f t="shared" ref="O15:Q16" si="7">O16</f>
        <v>0</v>
      </c>
      <c r="P15" s="233">
        <f t="shared" si="7"/>
        <v>0</v>
      </c>
      <c r="Q15" s="233">
        <f t="shared" si="7"/>
        <v>0</v>
      </c>
      <c r="R15" s="233">
        <f t="shared" si="2"/>
        <v>0</v>
      </c>
    </row>
    <row r="16" spans="1:18" ht="12">
      <c r="A16" s="132">
        <v>18100</v>
      </c>
      <c r="B16" s="125" t="s">
        <v>96</v>
      </c>
      <c r="C16" s="404">
        <v>99164</v>
      </c>
      <c r="D16" s="404">
        <v>0</v>
      </c>
      <c r="E16" s="233">
        <f>E17</f>
        <v>0</v>
      </c>
      <c r="F16" s="233">
        <f t="shared" si="6"/>
        <v>0</v>
      </c>
      <c r="G16" s="233">
        <f t="shared" si="6"/>
        <v>0</v>
      </c>
      <c r="H16" s="233">
        <f t="shared" si="0"/>
        <v>0</v>
      </c>
      <c r="I16" s="233">
        <v>0</v>
      </c>
      <c r="J16" s="233">
        <f>J17</f>
        <v>0</v>
      </c>
      <c r="K16" s="233">
        <f t="shared" si="6"/>
        <v>0</v>
      </c>
      <c r="L16" s="233">
        <f t="shared" si="6"/>
        <v>0</v>
      </c>
      <c r="M16" s="233">
        <f t="shared" si="1"/>
        <v>0</v>
      </c>
      <c r="N16" s="233">
        <v>0</v>
      </c>
      <c r="O16" s="233">
        <f>O17</f>
        <v>0</v>
      </c>
      <c r="P16" s="233">
        <f t="shared" si="7"/>
        <v>0</v>
      </c>
      <c r="Q16" s="233">
        <f t="shared" si="7"/>
        <v>0</v>
      </c>
      <c r="R16" s="233">
        <f t="shared" si="2"/>
        <v>0</v>
      </c>
    </row>
    <row r="17" spans="1:18" s="4" customFormat="1" ht="24">
      <c r="A17" s="234">
        <v>18130</v>
      </c>
      <c r="B17" s="239" t="s">
        <v>159</v>
      </c>
      <c r="C17" s="404">
        <v>99164</v>
      </c>
      <c r="D17" s="404">
        <v>0</v>
      </c>
      <c r="E17" s="233">
        <f>SUM(E18:E20)</f>
        <v>0</v>
      </c>
      <c r="F17" s="233">
        <f>SUM(F18:F20)</f>
        <v>0</v>
      </c>
      <c r="G17" s="233">
        <f>SUM(G18:G20)</f>
        <v>0</v>
      </c>
      <c r="H17" s="233">
        <f t="shared" si="0"/>
        <v>0</v>
      </c>
      <c r="I17" s="233">
        <v>0</v>
      </c>
      <c r="J17" s="233">
        <f>SUM(J18:J20)</f>
        <v>0</v>
      </c>
      <c r="K17" s="233">
        <f>SUM(K18:K20)</f>
        <v>0</v>
      </c>
      <c r="L17" s="233">
        <f>SUM(L18:L20)</f>
        <v>0</v>
      </c>
      <c r="M17" s="233">
        <f t="shared" si="1"/>
        <v>0</v>
      </c>
      <c r="N17" s="233">
        <v>0</v>
      </c>
      <c r="O17" s="233">
        <f>SUM(O18:O20)</f>
        <v>0</v>
      </c>
      <c r="P17" s="233">
        <f>SUM(P18:P20)</f>
        <v>0</v>
      </c>
      <c r="Q17" s="233">
        <f>SUM(Q18:Q20)</f>
        <v>0</v>
      </c>
      <c r="R17" s="233">
        <f t="shared" si="2"/>
        <v>0</v>
      </c>
    </row>
    <row r="18" spans="1:18" s="6" customFormat="1" ht="24">
      <c r="A18" s="236">
        <v>18131</v>
      </c>
      <c r="B18" s="239" t="s">
        <v>160</v>
      </c>
      <c r="C18" s="404">
        <v>99164</v>
      </c>
      <c r="D18" s="404">
        <v>0</v>
      </c>
      <c r="E18" s="231">
        <f>E102+E186</f>
        <v>0</v>
      </c>
      <c r="F18" s="231">
        <f>F102+F186</f>
        <v>0</v>
      </c>
      <c r="G18" s="231">
        <f>G102+G186</f>
        <v>0</v>
      </c>
      <c r="H18" s="233">
        <f t="shared" si="0"/>
        <v>0</v>
      </c>
      <c r="I18" s="233">
        <v>0</v>
      </c>
      <c r="J18" s="231">
        <f>J102+J186</f>
        <v>0</v>
      </c>
      <c r="K18" s="231">
        <f>K102+K186</f>
        <v>0</v>
      </c>
      <c r="L18" s="231">
        <f>L102+L186</f>
        <v>0</v>
      </c>
      <c r="M18" s="233">
        <f t="shared" si="1"/>
        <v>0</v>
      </c>
      <c r="N18" s="233">
        <v>0</v>
      </c>
      <c r="O18" s="231">
        <f>O102+O186</f>
        <v>0</v>
      </c>
      <c r="P18" s="231">
        <f>P102+P186</f>
        <v>0</v>
      </c>
      <c r="Q18" s="231">
        <f>Q102+Q186</f>
        <v>0</v>
      </c>
      <c r="R18" s="233">
        <f t="shared" si="2"/>
        <v>0</v>
      </c>
    </row>
    <row r="19" spans="1:18" s="6" customFormat="1" ht="24" hidden="1" customHeight="1">
      <c r="A19" s="236">
        <v>18132</v>
      </c>
      <c r="B19" s="239" t="s">
        <v>169</v>
      </c>
      <c r="C19" s="404">
        <v>0</v>
      </c>
      <c r="D19" s="404">
        <v>0</v>
      </c>
      <c r="E19" s="233"/>
      <c r="F19" s="233"/>
      <c r="G19" s="233"/>
      <c r="H19" s="233">
        <f t="shared" si="0"/>
        <v>0</v>
      </c>
      <c r="I19" s="233">
        <v>0</v>
      </c>
      <c r="J19" s="233"/>
      <c r="K19" s="233"/>
      <c r="L19" s="233"/>
      <c r="M19" s="233">
        <f t="shared" si="1"/>
        <v>0</v>
      </c>
      <c r="N19" s="233">
        <v>0</v>
      </c>
      <c r="O19" s="233"/>
      <c r="P19" s="233"/>
      <c r="Q19" s="233"/>
      <c r="R19" s="233">
        <f t="shared" si="2"/>
        <v>0</v>
      </c>
    </row>
    <row r="20" spans="1:18" s="6" customFormat="1" ht="24" hidden="1" customHeight="1">
      <c r="A20" s="236">
        <v>18139</v>
      </c>
      <c r="B20" s="239" t="s">
        <v>179</v>
      </c>
      <c r="C20" s="404">
        <v>0</v>
      </c>
      <c r="D20" s="404">
        <v>0</v>
      </c>
      <c r="E20" s="233"/>
      <c r="F20" s="233"/>
      <c r="G20" s="233"/>
      <c r="H20" s="233">
        <f t="shared" si="0"/>
        <v>0</v>
      </c>
      <c r="I20" s="233">
        <v>0</v>
      </c>
      <c r="J20" s="233"/>
      <c r="K20" s="233"/>
      <c r="L20" s="233"/>
      <c r="M20" s="233">
        <f t="shared" si="1"/>
        <v>0</v>
      </c>
      <c r="N20" s="233">
        <v>0</v>
      </c>
      <c r="O20" s="233"/>
      <c r="P20" s="233"/>
      <c r="Q20" s="233"/>
      <c r="R20" s="233">
        <f t="shared" si="2"/>
        <v>0</v>
      </c>
    </row>
    <row r="21" spans="1:18" s="6" customFormat="1" ht="12" hidden="1" customHeight="1">
      <c r="A21" s="135" t="s">
        <v>180</v>
      </c>
      <c r="B21" s="173" t="s">
        <v>173</v>
      </c>
      <c r="C21" s="436">
        <v>0</v>
      </c>
      <c r="D21" s="436">
        <v>0</v>
      </c>
      <c r="E21" s="238">
        <f t="shared" ref="E21:L21" si="8">E22</f>
        <v>0</v>
      </c>
      <c r="F21" s="238">
        <f t="shared" si="8"/>
        <v>0</v>
      </c>
      <c r="G21" s="238">
        <f t="shared" si="8"/>
        <v>0</v>
      </c>
      <c r="H21" s="233">
        <f t="shared" si="0"/>
        <v>0</v>
      </c>
      <c r="I21" s="238">
        <v>0</v>
      </c>
      <c r="J21" s="238">
        <f t="shared" si="8"/>
        <v>0</v>
      </c>
      <c r="K21" s="238">
        <f t="shared" si="8"/>
        <v>0</v>
      </c>
      <c r="L21" s="238">
        <f t="shared" si="8"/>
        <v>0</v>
      </c>
      <c r="M21" s="233">
        <f t="shared" si="1"/>
        <v>0</v>
      </c>
      <c r="N21" s="238">
        <v>0</v>
      </c>
      <c r="O21" s="238">
        <f>O22</f>
        <v>0</v>
      </c>
      <c r="P21" s="238">
        <f>P22</f>
        <v>0</v>
      </c>
      <c r="Q21" s="238">
        <f>Q22</f>
        <v>0</v>
      </c>
      <c r="R21" s="233">
        <f t="shared" si="2"/>
        <v>0</v>
      </c>
    </row>
    <row r="22" spans="1:18" s="6" customFormat="1" ht="24" hidden="1" customHeight="1">
      <c r="A22" s="135">
        <v>19500</v>
      </c>
      <c r="B22" s="239" t="s">
        <v>174</v>
      </c>
      <c r="C22" s="404">
        <v>0</v>
      </c>
      <c r="D22" s="404">
        <v>0</v>
      </c>
      <c r="E22" s="233">
        <f>SUM(E23:E25)</f>
        <v>0</v>
      </c>
      <c r="F22" s="233">
        <f>SUM(F23:F25)</f>
        <v>0</v>
      </c>
      <c r="G22" s="233">
        <f>SUM(G23:G25)</f>
        <v>0</v>
      </c>
      <c r="H22" s="233">
        <f t="shared" si="0"/>
        <v>0</v>
      </c>
      <c r="I22" s="233">
        <v>0</v>
      </c>
      <c r="J22" s="233">
        <f>SUM(J23:J25)</f>
        <v>0</v>
      </c>
      <c r="K22" s="233">
        <f>SUM(K23:K25)</f>
        <v>0</v>
      </c>
      <c r="L22" s="233">
        <f>SUM(L23:L25)</f>
        <v>0</v>
      </c>
      <c r="M22" s="233">
        <f t="shared" si="1"/>
        <v>0</v>
      </c>
      <c r="N22" s="233">
        <v>0</v>
      </c>
      <c r="O22" s="233">
        <f>SUM(O23:O25)</f>
        <v>0</v>
      </c>
      <c r="P22" s="233">
        <f>SUM(P23:P25)</f>
        <v>0</v>
      </c>
      <c r="Q22" s="233">
        <f>SUM(Q23:Q25)</f>
        <v>0</v>
      </c>
      <c r="R22" s="233">
        <f t="shared" si="2"/>
        <v>0</v>
      </c>
    </row>
    <row r="23" spans="1:18" s="6" customFormat="1" ht="24" hidden="1" customHeight="1">
      <c r="A23" s="136">
        <v>19550</v>
      </c>
      <c r="B23" s="239" t="s">
        <v>175</v>
      </c>
      <c r="C23" s="404">
        <v>0</v>
      </c>
      <c r="D23" s="404">
        <v>0</v>
      </c>
      <c r="E23" s="233"/>
      <c r="F23" s="233"/>
      <c r="G23" s="233"/>
      <c r="H23" s="233">
        <f t="shared" si="0"/>
        <v>0</v>
      </c>
      <c r="I23" s="233">
        <v>0</v>
      </c>
      <c r="J23" s="233"/>
      <c r="K23" s="233"/>
      <c r="L23" s="233"/>
      <c r="M23" s="233">
        <f t="shared" si="1"/>
        <v>0</v>
      </c>
      <c r="N23" s="233">
        <v>0</v>
      </c>
      <c r="O23" s="233"/>
      <c r="P23" s="233"/>
      <c r="Q23" s="233"/>
      <c r="R23" s="233">
        <f t="shared" si="2"/>
        <v>0</v>
      </c>
    </row>
    <row r="24" spans="1:18" s="6" customFormat="1" ht="36" hidden="1" customHeight="1">
      <c r="A24" s="136">
        <v>19560</v>
      </c>
      <c r="B24" s="239" t="s">
        <v>181</v>
      </c>
      <c r="C24" s="404">
        <v>0</v>
      </c>
      <c r="D24" s="404">
        <v>0</v>
      </c>
      <c r="E24" s="233"/>
      <c r="F24" s="233"/>
      <c r="G24" s="233"/>
      <c r="H24" s="233">
        <f t="shared" si="0"/>
        <v>0</v>
      </c>
      <c r="I24" s="233">
        <v>0</v>
      </c>
      <c r="J24" s="233"/>
      <c r="K24" s="233"/>
      <c r="L24" s="233"/>
      <c r="M24" s="233">
        <f t="shared" si="1"/>
        <v>0</v>
      </c>
      <c r="N24" s="233">
        <v>0</v>
      </c>
      <c r="O24" s="233"/>
      <c r="P24" s="233"/>
      <c r="Q24" s="233"/>
      <c r="R24" s="233">
        <f t="shared" si="2"/>
        <v>0</v>
      </c>
    </row>
    <row r="25" spans="1:18" s="6" customFormat="1" ht="72" hidden="1" customHeight="1">
      <c r="A25" s="136">
        <v>19570</v>
      </c>
      <c r="B25" s="239" t="s">
        <v>182</v>
      </c>
      <c r="C25" s="404">
        <v>0</v>
      </c>
      <c r="D25" s="404">
        <v>0</v>
      </c>
      <c r="E25" s="233"/>
      <c r="F25" s="233"/>
      <c r="G25" s="233"/>
      <c r="H25" s="233">
        <f t="shared" si="0"/>
        <v>0</v>
      </c>
      <c r="I25" s="233">
        <v>0</v>
      </c>
      <c r="J25" s="233"/>
      <c r="K25" s="233"/>
      <c r="L25" s="233"/>
      <c r="M25" s="233">
        <f t="shared" si="1"/>
        <v>0</v>
      </c>
      <c r="N25" s="233">
        <v>0</v>
      </c>
      <c r="O25" s="233"/>
      <c r="P25" s="233"/>
      <c r="Q25" s="233"/>
      <c r="R25" s="233">
        <f t="shared" si="2"/>
        <v>0</v>
      </c>
    </row>
    <row r="26" spans="1:18" s="6" customFormat="1" ht="24">
      <c r="A26" s="240" t="s">
        <v>222</v>
      </c>
      <c r="B26" s="241" t="s">
        <v>216</v>
      </c>
      <c r="C26" s="233">
        <v>0</v>
      </c>
      <c r="D26" s="233">
        <v>771975</v>
      </c>
      <c r="E26" s="233">
        <f t="shared" ref="E26:L26" si="9">E27</f>
        <v>0</v>
      </c>
      <c r="F26" s="233">
        <f t="shared" si="9"/>
        <v>0</v>
      </c>
      <c r="G26" s="233">
        <f t="shared" si="9"/>
        <v>0</v>
      </c>
      <c r="H26" s="233">
        <f t="shared" si="0"/>
        <v>771975</v>
      </c>
      <c r="I26" s="233">
        <v>146002</v>
      </c>
      <c r="J26" s="233">
        <f t="shared" si="9"/>
        <v>0</v>
      </c>
      <c r="K26" s="233">
        <f t="shared" si="9"/>
        <v>0</v>
      </c>
      <c r="L26" s="233">
        <f t="shared" si="9"/>
        <v>0</v>
      </c>
      <c r="M26" s="233">
        <f t="shared" si="1"/>
        <v>146002</v>
      </c>
      <c r="N26" s="233">
        <v>0</v>
      </c>
      <c r="O26" s="233">
        <f>O27</f>
        <v>0</v>
      </c>
      <c r="P26" s="233">
        <f>P27</f>
        <v>0</v>
      </c>
      <c r="Q26" s="233">
        <f>Q27</f>
        <v>0</v>
      </c>
      <c r="R26" s="233">
        <f t="shared" si="2"/>
        <v>0</v>
      </c>
    </row>
    <row r="27" spans="1:18" s="6" customFormat="1" ht="36">
      <c r="A27" s="240">
        <v>17100</v>
      </c>
      <c r="B27" s="241" t="s">
        <v>217</v>
      </c>
      <c r="C27" s="233">
        <v>0</v>
      </c>
      <c r="D27" s="233">
        <v>771975</v>
      </c>
      <c r="E27" s="233">
        <f>SUM(E28:E31)</f>
        <v>0</v>
      </c>
      <c r="F27" s="233">
        <f>SUM(F28:F31)</f>
        <v>0</v>
      </c>
      <c r="G27" s="233">
        <f>SUM(G28:G31)</f>
        <v>0</v>
      </c>
      <c r="H27" s="233">
        <f t="shared" si="0"/>
        <v>771975</v>
      </c>
      <c r="I27" s="233">
        <v>146002</v>
      </c>
      <c r="J27" s="233">
        <f>SUM(J28:J31)</f>
        <v>0</v>
      </c>
      <c r="K27" s="233">
        <f>SUM(K28:K31)</f>
        <v>0</v>
      </c>
      <c r="L27" s="233">
        <f>SUM(L28:L31)</f>
        <v>0</v>
      </c>
      <c r="M27" s="233">
        <f t="shared" si="1"/>
        <v>146002</v>
      </c>
      <c r="N27" s="233">
        <v>0</v>
      </c>
      <c r="O27" s="233">
        <f>SUM(O28:O31)</f>
        <v>0</v>
      </c>
      <c r="P27" s="233">
        <f>SUM(P28:P31)</f>
        <v>0</v>
      </c>
      <c r="Q27" s="233">
        <f>SUM(Q28:Q31)</f>
        <v>0</v>
      </c>
      <c r="R27" s="233">
        <f t="shared" si="2"/>
        <v>0</v>
      </c>
    </row>
    <row r="28" spans="1:18" s="6" customFormat="1" ht="48" customHeight="1">
      <c r="A28" s="242">
        <v>17110</v>
      </c>
      <c r="B28" s="241" t="s">
        <v>218</v>
      </c>
      <c r="C28" s="233">
        <v>0</v>
      </c>
      <c r="D28" s="233">
        <v>771975</v>
      </c>
      <c r="E28" s="231">
        <f>E112+E196</f>
        <v>0</v>
      </c>
      <c r="F28" s="231">
        <f>F112+F196</f>
        <v>0</v>
      </c>
      <c r="G28" s="231">
        <f>G112+G196</f>
        <v>0</v>
      </c>
      <c r="H28" s="233">
        <f t="shared" si="0"/>
        <v>771975</v>
      </c>
      <c r="I28" s="233">
        <v>146002</v>
      </c>
      <c r="J28" s="231">
        <f>J112+J196</f>
        <v>0</v>
      </c>
      <c r="K28" s="231">
        <f>K112+K196</f>
        <v>0</v>
      </c>
      <c r="L28" s="231">
        <f>L112+L196</f>
        <v>0</v>
      </c>
      <c r="M28" s="233">
        <f t="shared" si="1"/>
        <v>146002</v>
      </c>
      <c r="N28" s="233">
        <v>0</v>
      </c>
      <c r="O28" s="231">
        <f>O112+O196</f>
        <v>0</v>
      </c>
      <c r="P28" s="231">
        <f>P112+P196</f>
        <v>0</v>
      </c>
      <c r="Q28" s="231">
        <f>Q112+Q196</f>
        <v>0</v>
      </c>
      <c r="R28" s="233">
        <f t="shared" si="2"/>
        <v>0</v>
      </c>
    </row>
    <row r="29" spans="1:18" s="6" customFormat="1" ht="60" hidden="1" customHeight="1">
      <c r="A29" s="242">
        <v>17120</v>
      </c>
      <c r="B29" s="241" t="s">
        <v>219</v>
      </c>
      <c r="C29" s="233"/>
      <c r="D29" s="233">
        <v>0</v>
      </c>
      <c r="E29" s="233"/>
      <c r="F29" s="233"/>
      <c r="G29" s="233"/>
      <c r="H29" s="233">
        <f t="shared" si="0"/>
        <v>0</v>
      </c>
      <c r="I29" s="233">
        <v>0</v>
      </c>
      <c r="J29" s="233"/>
      <c r="K29" s="233"/>
      <c r="L29" s="233"/>
      <c r="M29" s="233">
        <f t="shared" si="1"/>
        <v>0</v>
      </c>
      <c r="N29" s="233">
        <v>0</v>
      </c>
      <c r="O29" s="233"/>
      <c r="P29" s="233"/>
      <c r="Q29" s="233"/>
      <c r="R29" s="233">
        <f t="shared" si="2"/>
        <v>0</v>
      </c>
    </row>
    <row r="30" spans="1:18" s="6" customFormat="1" ht="108" hidden="1" customHeight="1">
      <c r="A30" s="242">
        <v>17130</v>
      </c>
      <c r="B30" s="241" t="s">
        <v>220</v>
      </c>
      <c r="C30" s="233"/>
      <c r="D30" s="233">
        <v>0</v>
      </c>
      <c r="E30" s="233"/>
      <c r="F30" s="233"/>
      <c r="G30" s="233"/>
      <c r="H30" s="233">
        <f t="shared" si="0"/>
        <v>0</v>
      </c>
      <c r="I30" s="233">
        <v>0</v>
      </c>
      <c r="J30" s="233"/>
      <c r="K30" s="233"/>
      <c r="L30" s="233"/>
      <c r="M30" s="233">
        <f t="shared" si="1"/>
        <v>0</v>
      </c>
      <c r="N30" s="233">
        <v>0</v>
      </c>
      <c r="O30" s="233"/>
      <c r="P30" s="233"/>
      <c r="Q30" s="233"/>
      <c r="R30" s="233">
        <f t="shared" si="2"/>
        <v>0</v>
      </c>
    </row>
    <row r="31" spans="1:18" s="6" customFormat="1" ht="96" hidden="1" customHeight="1">
      <c r="A31" s="242">
        <v>17140</v>
      </c>
      <c r="B31" s="241" t="s">
        <v>221</v>
      </c>
      <c r="C31" s="233"/>
      <c r="D31" s="233">
        <v>0</v>
      </c>
      <c r="E31" s="233"/>
      <c r="F31" s="233"/>
      <c r="G31" s="233"/>
      <c r="H31" s="233">
        <f t="shared" si="0"/>
        <v>0</v>
      </c>
      <c r="I31" s="233">
        <v>0</v>
      </c>
      <c r="J31" s="233"/>
      <c r="K31" s="233"/>
      <c r="L31" s="233"/>
      <c r="M31" s="233">
        <f t="shared" si="1"/>
        <v>0</v>
      </c>
      <c r="N31" s="233">
        <v>0</v>
      </c>
      <c r="O31" s="233"/>
      <c r="P31" s="233"/>
      <c r="Q31" s="233"/>
      <c r="R31" s="233">
        <f t="shared" si="2"/>
        <v>0</v>
      </c>
    </row>
    <row r="32" spans="1:18" s="6" customFormat="1" ht="12">
      <c r="A32" s="137">
        <v>21700</v>
      </c>
      <c r="B32" s="124" t="s">
        <v>97</v>
      </c>
      <c r="C32" s="254">
        <v>239299697</v>
      </c>
      <c r="D32" s="254">
        <v>212157272</v>
      </c>
      <c r="E32" s="233">
        <f>E33+E34</f>
        <v>-1474286</v>
      </c>
      <c r="F32" s="233">
        <f>F33+F34</f>
        <v>948798</v>
      </c>
      <c r="G32" s="233">
        <f>G33+G34</f>
        <v>4078213</v>
      </c>
      <c r="H32" s="233">
        <f t="shared" si="0"/>
        <v>215709997</v>
      </c>
      <c r="I32" s="233">
        <v>159403401</v>
      </c>
      <c r="J32" s="233">
        <f>J33+J34</f>
        <v>-620539</v>
      </c>
      <c r="K32" s="233">
        <f>K33+K34</f>
        <v>1342254</v>
      </c>
      <c r="L32" s="233">
        <f>L33+L34</f>
        <v>7840790</v>
      </c>
      <c r="M32" s="233">
        <f t="shared" si="1"/>
        <v>167965906</v>
      </c>
      <c r="N32" s="233">
        <v>137956912</v>
      </c>
      <c r="O32" s="233">
        <f>O33+O34</f>
        <v>-335022</v>
      </c>
      <c r="P32" s="233">
        <f>P33+P34</f>
        <v>932630</v>
      </c>
      <c r="Q32" s="233">
        <f>Q33+Q34</f>
        <v>8660075</v>
      </c>
      <c r="R32" s="233">
        <f t="shared" si="2"/>
        <v>147214595</v>
      </c>
    </row>
    <row r="33" spans="1:18" s="6" customFormat="1" ht="24">
      <c r="A33" s="138">
        <v>21710</v>
      </c>
      <c r="B33" s="125" t="s">
        <v>98</v>
      </c>
      <c r="C33" s="404">
        <v>220752390</v>
      </c>
      <c r="D33" s="404">
        <v>196590236</v>
      </c>
      <c r="E33" s="231">
        <f>E117+E201</f>
        <v>-1474286</v>
      </c>
      <c r="F33" s="231">
        <f>F117+F201</f>
        <v>948798</v>
      </c>
      <c r="G33" s="231">
        <f>G117+G201</f>
        <v>4078213</v>
      </c>
      <c r="H33" s="233">
        <f t="shared" si="0"/>
        <v>200142961</v>
      </c>
      <c r="I33" s="233">
        <v>156109290</v>
      </c>
      <c r="J33" s="231">
        <f>J117+J201</f>
        <v>-620539</v>
      </c>
      <c r="K33" s="231">
        <f>K117+K201</f>
        <v>1342254</v>
      </c>
      <c r="L33" s="231">
        <f>L117+L201</f>
        <v>7840790</v>
      </c>
      <c r="M33" s="233">
        <f t="shared" si="1"/>
        <v>164671795</v>
      </c>
      <c r="N33" s="233">
        <v>136151632</v>
      </c>
      <c r="O33" s="231">
        <f>O117+O201</f>
        <v>-335022</v>
      </c>
      <c r="P33" s="231">
        <f>P117+P201</f>
        <v>932630</v>
      </c>
      <c r="Q33" s="231">
        <f>Q117+Q201</f>
        <v>8660075</v>
      </c>
      <c r="R33" s="233">
        <f t="shared" si="2"/>
        <v>145409315</v>
      </c>
    </row>
    <row r="34" spans="1:18" s="6" customFormat="1" ht="24">
      <c r="A34" s="138">
        <v>21720</v>
      </c>
      <c r="B34" s="125" t="s">
        <v>99</v>
      </c>
      <c r="C34" s="404">
        <v>18547307</v>
      </c>
      <c r="D34" s="404">
        <v>15567036</v>
      </c>
      <c r="E34" s="233"/>
      <c r="F34" s="233"/>
      <c r="G34" s="233"/>
      <c r="H34" s="233">
        <f t="shared" si="0"/>
        <v>15567036</v>
      </c>
      <c r="I34" s="233">
        <v>3294111</v>
      </c>
      <c r="J34" s="233"/>
      <c r="K34" s="233"/>
      <c r="L34" s="233"/>
      <c r="M34" s="233">
        <f t="shared" si="1"/>
        <v>3294111</v>
      </c>
      <c r="N34" s="233">
        <v>1805280</v>
      </c>
      <c r="O34" s="233"/>
      <c r="P34" s="233"/>
      <c r="Q34" s="233"/>
      <c r="R34" s="233">
        <f t="shared" si="2"/>
        <v>1805280</v>
      </c>
    </row>
    <row r="35" spans="1:18" s="6" customFormat="1" ht="11.4">
      <c r="A35" s="129" t="s">
        <v>100</v>
      </c>
      <c r="B35" s="123" t="s">
        <v>101</v>
      </c>
      <c r="C35" s="403">
        <v>260550834</v>
      </c>
      <c r="D35" s="403">
        <v>232147447</v>
      </c>
      <c r="E35" s="243">
        <f>E36+E63</f>
        <v>-1294182</v>
      </c>
      <c r="F35" s="243">
        <f>F36+F63</f>
        <v>948798</v>
      </c>
      <c r="G35" s="243">
        <f>G36+G63</f>
        <v>4078213</v>
      </c>
      <c r="H35" s="243">
        <f t="shared" si="0"/>
        <v>235880276</v>
      </c>
      <c r="I35" s="243">
        <v>164084359</v>
      </c>
      <c r="J35" s="243">
        <f>J36+J63</f>
        <v>-620539</v>
      </c>
      <c r="K35" s="243">
        <f>K36+K63</f>
        <v>1342254</v>
      </c>
      <c r="L35" s="243">
        <f>L36+L63</f>
        <v>7840790</v>
      </c>
      <c r="M35" s="243">
        <f t="shared" si="1"/>
        <v>172646864</v>
      </c>
      <c r="N35" s="243">
        <v>142304623</v>
      </c>
      <c r="O35" s="243">
        <f>O36+O63</f>
        <v>-335022</v>
      </c>
      <c r="P35" s="243">
        <f>P36+P63</f>
        <v>932630</v>
      </c>
      <c r="Q35" s="243">
        <f>Q36+Q63</f>
        <v>8660075</v>
      </c>
      <c r="R35" s="243">
        <f t="shared" si="2"/>
        <v>151562306</v>
      </c>
    </row>
    <row r="36" spans="1:18" s="6" customFormat="1" ht="20.399999999999999">
      <c r="A36" s="130" t="s">
        <v>102</v>
      </c>
      <c r="B36" s="124" t="s">
        <v>103</v>
      </c>
      <c r="C36" s="254">
        <v>202204906</v>
      </c>
      <c r="D36" s="254">
        <v>188146682</v>
      </c>
      <c r="E36" s="233">
        <f>E37+E41+E42+E45+E48</f>
        <v>-1306812</v>
      </c>
      <c r="F36" s="233">
        <f>F37+F41+F42+F45+F48</f>
        <v>948798</v>
      </c>
      <c r="G36" s="233">
        <f>G37+G41+G42+G45+G48</f>
        <v>2964728</v>
      </c>
      <c r="H36" s="233">
        <f t="shared" si="0"/>
        <v>190753396</v>
      </c>
      <c r="I36" s="233">
        <v>139680024</v>
      </c>
      <c r="J36" s="233">
        <f>J37+J41+J42+J45+J48</f>
        <v>-620539</v>
      </c>
      <c r="K36" s="233">
        <f>K37+K41+K42+K45+K48</f>
        <v>1342254</v>
      </c>
      <c r="L36" s="233">
        <f>L37+L41+L42+L45+L48</f>
        <v>4467915</v>
      </c>
      <c r="M36" s="233">
        <f t="shared" si="1"/>
        <v>144869654</v>
      </c>
      <c r="N36" s="233">
        <v>130418957</v>
      </c>
      <c r="O36" s="233">
        <f>O37+O41+O42+O45+O48</f>
        <v>-335022</v>
      </c>
      <c r="P36" s="233">
        <f>P37+P41+P42+P45+P48</f>
        <v>932630</v>
      </c>
      <c r="Q36" s="233">
        <f>Q37+Q41+Q42+Q45+Q48</f>
        <v>6478445</v>
      </c>
      <c r="R36" s="233">
        <f t="shared" si="2"/>
        <v>137495010</v>
      </c>
    </row>
    <row r="37" spans="1:18" s="6" customFormat="1" ht="12">
      <c r="A37" s="130" t="s">
        <v>104</v>
      </c>
      <c r="B37" s="124" t="s">
        <v>105</v>
      </c>
      <c r="C37" s="254">
        <v>65099792</v>
      </c>
      <c r="D37" s="254">
        <v>59035184</v>
      </c>
      <c r="E37" s="233">
        <f>E38+E40</f>
        <v>294577</v>
      </c>
      <c r="F37" s="233">
        <f>F38+F40</f>
        <v>73752</v>
      </c>
      <c r="G37" s="233">
        <f>G38+G40</f>
        <v>1721190</v>
      </c>
      <c r="H37" s="233">
        <f t="shared" si="0"/>
        <v>61124703</v>
      </c>
      <c r="I37" s="233">
        <v>49137672</v>
      </c>
      <c r="J37" s="233">
        <f>J38+J40</f>
        <v>0</v>
      </c>
      <c r="K37" s="233">
        <f>K38+K40</f>
        <v>80666</v>
      </c>
      <c r="L37" s="233">
        <f>L38+L40</f>
        <v>3079053</v>
      </c>
      <c r="M37" s="233">
        <f t="shared" si="1"/>
        <v>52297391</v>
      </c>
      <c r="N37" s="233">
        <v>47991719</v>
      </c>
      <c r="O37" s="233">
        <f>O38+O40</f>
        <v>0</v>
      </c>
      <c r="P37" s="233">
        <f>P38+P40</f>
        <v>57584</v>
      </c>
      <c r="Q37" s="233">
        <f>Q38+Q40</f>
        <v>5739583</v>
      </c>
      <c r="R37" s="233">
        <f t="shared" si="2"/>
        <v>53788886</v>
      </c>
    </row>
    <row r="38" spans="1:18" s="6" customFormat="1" ht="12">
      <c r="A38" s="132">
        <v>1000</v>
      </c>
      <c r="B38" s="125" t="s">
        <v>106</v>
      </c>
      <c r="C38" s="404">
        <v>39433734</v>
      </c>
      <c r="D38" s="404">
        <v>37307588</v>
      </c>
      <c r="E38" s="231">
        <f t="shared" ref="E38:G41" si="10">E122+E206</f>
        <v>49941</v>
      </c>
      <c r="F38" s="231">
        <f t="shared" si="10"/>
        <v>23302</v>
      </c>
      <c r="G38" s="231">
        <f t="shared" si="10"/>
        <v>1487492</v>
      </c>
      <c r="H38" s="233">
        <f t="shared" si="0"/>
        <v>38868323</v>
      </c>
      <c r="I38" s="233">
        <v>31989884</v>
      </c>
      <c r="J38" s="231">
        <f>J122+J206</f>
        <v>0</v>
      </c>
      <c r="K38" s="233">
        <v>53342</v>
      </c>
      <c r="L38" s="231">
        <f>L122+L206</f>
        <v>2694596</v>
      </c>
      <c r="M38" s="233">
        <f t="shared" si="1"/>
        <v>34737822</v>
      </c>
      <c r="N38" s="233">
        <v>31468379</v>
      </c>
      <c r="O38" s="231">
        <f>O122+O206</f>
        <v>0</v>
      </c>
      <c r="P38" s="233">
        <v>36040</v>
      </c>
      <c r="Q38" s="231">
        <f>Q122+Q206</f>
        <v>3159024</v>
      </c>
      <c r="R38" s="233">
        <f t="shared" si="2"/>
        <v>34663443</v>
      </c>
    </row>
    <row r="39" spans="1:18" s="6" customFormat="1" ht="12">
      <c r="A39" s="139">
        <v>1100</v>
      </c>
      <c r="B39" s="125" t="s">
        <v>107</v>
      </c>
      <c r="C39" s="404">
        <v>31648440</v>
      </c>
      <c r="D39" s="404">
        <v>29992206</v>
      </c>
      <c r="E39" s="231">
        <f t="shared" si="10"/>
        <v>47500</v>
      </c>
      <c r="F39" s="231">
        <f t="shared" si="10"/>
        <v>5553</v>
      </c>
      <c r="G39" s="231">
        <f t="shared" si="10"/>
        <v>1198720</v>
      </c>
      <c r="H39" s="233">
        <f t="shared" si="0"/>
        <v>31243979</v>
      </c>
      <c r="I39" s="233">
        <v>25734248</v>
      </c>
      <c r="J39" s="231">
        <f>J123+J207</f>
        <v>0</v>
      </c>
      <c r="K39" s="233">
        <v>17818</v>
      </c>
      <c r="L39" s="231">
        <f>L123+L207</f>
        <v>2171484</v>
      </c>
      <c r="M39" s="233">
        <f t="shared" si="1"/>
        <v>27923550</v>
      </c>
      <c r="N39" s="233">
        <v>25281198</v>
      </c>
      <c r="O39" s="231">
        <f>O123+O207</f>
        <v>0</v>
      </c>
      <c r="P39" s="233">
        <v>12265</v>
      </c>
      <c r="Q39" s="231">
        <f>Q123+Q207</f>
        <v>2545751</v>
      </c>
      <c r="R39" s="233">
        <f t="shared" si="2"/>
        <v>27839214</v>
      </c>
    </row>
    <row r="40" spans="1:18" s="6" customFormat="1" ht="12">
      <c r="A40" s="132">
        <v>2000</v>
      </c>
      <c r="B40" s="125" t="s">
        <v>108</v>
      </c>
      <c r="C40" s="404">
        <v>25666058</v>
      </c>
      <c r="D40" s="404">
        <v>21727596</v>
      </c>
      <c r="E40" s="231">
        <f t="shared" si="10"/>
        <v>244636</v>
      </c>
      <c r="F40" s="231">
        <f t="shared" si="10"/>
        <v>50450</v>
      </c>
      <c r="G40" s="231">
        <f t="shared" si="10"/>
        <v>233698</v>
      </c>
      <c r="H40" s="233">
        <f t="shared" si="0"/>
        <v>22256380</v>
      </c>
      <c r="I40" s="233">
        <v>17147788</v>
      </c>
      <c r="J40" s="231">
        <f>J124+J208</f>
        <v>0</v>
      </c>
      <c r="K40" s="233">
        <v>27324</v>
      </c>
      <c r="L40" s="231">
        <f>L124+L208</f>
        <v>384457</v>
      </c>
      <c r="M40" s="233">
        <f t="shared" si="1"/>
        <v>17559569</v>
      </c>
      <c r="N40" s="233">
        <v>16523340</v>
      </c>
      <c r="O40" s="231">
        <f>O124+O208</f>
        <v>0</v>
      </c>
      <c r="P40" s="233">
        <v>21544</v>
      </c>
      <c r="Q40" s="231">
        <f>Q124+Q208</f>
        <v>2580559</v>
      </c>
      <c r="R40" s="233">
        <f t="shared" si="2"/>
        <v>19125443</v>
      </c>
    </row>
    <row r="41" spans="1:18" s="6" customFormat="1" ht="12">
      <c r="A41" s="140">
        <v>4000</v>
      </c>
      <c r="B41" s="124" t="s">
        <v>132</v>
      </c>
      <c r="C41" s="254">
        <v>2782350</v>
      </c>
      <c r="D41" s="254">
        <v>3150095</v>
      </c>
      <c r="E41" s="231">
        <f t="shared" si="10"/>
        <v>0</v>
      </c>
      <c r="F41" s="231">
        <f t="shared" si="10"/>
        <v>0</v>
      </c>
      <c r="G41" s="231">
        <f t="shared" si="10"/>
        <v>0</v>
      </c>
      <c r="H41" s="233">
        <f t="shared" si="0"/>
        <v>3150095</v>
      </c>
      <c r="I41" s="233">
        <v>3141083</v>
      </c>
      <c r="J41" s="231">
        <f>J125+J209</f>
        <v>0</v>
      </c>
      <c r="K41" s="231">
        <f>K125+K209</f>
        <v>0</v>
      </c>
      <c r="L41" s="231">
        <f>L125+L209</f>
        <v>0</v>
      </c>
      <c r="M41" s="233">
        <f t="shared" si="1"/>
        <v>3141083</v>
      </c>
      <c r="N41" s="233">
        <v>3358636</v>
      </c>
      <c r="O41" s="231">
        <f>O125+O209</f>
        <v>0</v>
      </c>
      <c r="P41" s="233"/>
      <c r="Q41" s="231">
        <f>Q125+Q209</f>
        <v>0</v>
      </c>
      <c r="R41" s="233">
        <f t="shared" si="2"/>
        <v>3358636</v>
      </c>
    </row>
    <row r="42" spans="1:18" s="6" customFormat="1" ht="12">
      <c r="A42" s="140" t="s">
        <v>109</v>
      </c>
      <c r="B42" s="124" t="s">
        <v>110</v>
      </c>
      <c r="C42" s="254">
        <v>33784925</v>
      </c>
      <c r="D42" s="254">
        <v>28480180</v>
      </c>
      <c r="E42" s="233">
        <f>E43+E44</f>
        <v>-240046</v>
      </c>
      <c r="F42" s="233">
        <f>F43+F44</f>
        <v>17868</v>
      </c>
      <c r="G42" s="233">
        <f>G43+G44</f>
        <v>839210</v>
      </c>
      <c r="H42" s="233">
        <f t="shared" si="0"/>
        <v>29097212</v>
      </c>
      <c r="I42" s="233">
        <v>21247122</v>
      </c>
      <c r="J42" s="233">
        <f>J43+J44</f>
        <v>-40506</v>
      </c>
      <c r="K42" s="233">
        <f>K43+K44</f>
        <v>404410</v>
      </c>
      <c r="L42" s="233">
        <f>L43+L44</f>
        <v>968878</v>
      </c>
      <c r="M42" s="233">
        <f t="shared" si="1"/>
        <v>22579904</v>
      </c>
      <c r="N42" s="233">
        <v>20806872</v>
      </c>
      <c r="O42" s="233">
        <f>O43+O44</f>
        <v>-121868</v>
      </c>
      <c r="P42" s="233">
        <f>P43+P44</f>
        <v>17868</v>
      </c>
      <c r="Q42" s="233">
        <f>Q43+Q44</f>
        <v>318878</v>
      </c>
      <c r="R42" s="233">
        <f t="shared" si="2"/>
        <v>21021750</v>
      </c>
    </row>
    <row r="43" spans="1:18" s="6" customFormat="1" ht="12">
      <c r="A43" s="132">
        <v>3000</v>
      </c>
      <c r="B43" s="125" t="s">
        <v>111</v>
      </c>
      <c r="C43" s="438">
        <v>25858791</v>
      </c>
      <c r="D43" s="438">
        <v>22448035</v>
      </c>
      <c r="E43" s="231">
        <f t="shared" ref="E43:G44" si="11">E127+E211</f>
        <v>-211944</v>
      </c>
      <c r="F43" s="231">
        <f t="shared" si="11"/>
        <v>17868</v>
      </c>
      <c r="G43" s="231">
        <f t="shared" si="11"/>
        <v>839210</v>
      </c>
      <c r="H43" s="233">
        <f t="shared" si="0"/>
        <v>23093169</v>
      </c>
      <c r="I43" s="345">
        <v>18204848</v>
      </c>
      <c r="J43" s="231">
        <f>J127+J211</f>
        <v>-40506</v>
      </c>
      <c r="K43" s="345">
        <f>17868+386542</f>
        <v>404410</v>
      </c>
      <c r="L43" s="231">
        <f>L127+L211</f>
        <v>968878</v>
      </c>
      <c r="M43" s="233">
        <f t="shared" si="1"/>
        <v>19537630</v>
      </c>
      <c r="N43" s="345">
        <v>17764598</v>
      </c>
      <c r="O43" s="231">
        <f>O127+O211</f>
        <v>-121868</v>
      </c>
      <c r="P43" s="345">
        <v>17868</v>
      </c>
      <c r="Q43" s="231">
        <f>Q127+Q211</f>
        <v>318878</v>
      </c>
      <c r="R43" s="233">
        <f t="shared" si="2"/>
        <v>17979476</v>
      </c>
    </row>
    <row r="44" spans="1:18" s="6" customFormat="1" ht="12">
      <c r="A44" s="132">
        <v>6000</v>
      </c>
      <c r="B44" s="125" t="s">
        <v>112</v>
      </c>
      <c r="C44" s="523">
        <v>7926134</v>
      </c>
      <c r="D44" s="523">
        <v>6032145</v>
      </c>
      <c r="E44" s="231">
        <f t="shared" si="11"/>
        <v>-28102</v>
      </c>
      <c r="F44" s="231">
        <f t="shared" si="11"/>
        <v>0</v>
      </c>
      <c r="G44" s="231">
        <f t="shared" si="11"/>
        <v>0</v>
      </c>
      <c r="H44" s="233">
        <f t="shared" si="0"/>
        <v>6004043</v>
      </c>
      <c r="I44" s="346">
        <v>3042274</v>
      </c>
      <c r="J44" s="231">
        <f>J128+J212</f>
        <v>0</v>
      </c>
      <c r="K44" s="346"/>
      <c r="L44" s="231">
        <f>L128+L212</f>
        <v>0</v>
      </c>
      <c r="M44" s="233">
        <f t="shared" si="1"/>
        <v>3042274</v>
      </c>
      <c r="N44" s="346">
        <v>3042274</v>
      </c>
      <c r="O44" s="231">
        <f>O128+O212</f>
        <v>0</v>
      </c>
      <c r="P44" s="346"/>
      <c r="Q44" s="231">
        <f>Q128+Q212</f>
        <v>0</v>
      </c>
      <c r="R44" s="233">
        <f t="shared" si="2"/>
        <v>3042274</v>
      </c>
    </row>
    <row r="45" spans="1:18" s="6" customFormat="1" ht="22.8">
      <c r="A45" s="140" t="s">
        <v>113</v>
      </c>
      <c r="B45" s="124" t="s">
        <v>183</v>
      </c>
      <c r="C45" s="254">
        <v>233500</v>
      </c>
      <c r="D45" s="254">
        <v>233500</v>
      </c>
      <c r="E45" s="233">
        <f>E46+E47</f>
        <v>350500</v>
      </c>
      <c r="F45" s="233">
        <f>F46+F47</f>
        <v>0</v>
      </c>
      <c r="G45" s="233">
        <f>G46+G47</f>
        <v>0</v>
      </c>
      <c r="H45" s="233">
        <f t="shared" si="0"/>
        <v>584000</v>
      </c>
      <c r="I45" s="233">
        <v>153500</v>
      </c>
      <c r="J45" s="233">
        <f>J46+J47</f>
        <v>0</v>
      </c>
      <c r="K45" s="233">
        <v>0</v>
      </c>
      <c r="L45" s="233">
        <v>0</v>
      </c>
      <c r="M45" s="233">
        <f t="shared" si="1"/>
        <v>153500</v>
      </c>
      <c r="N45" s="233">
        <v>153500</v>
      </c>
      <c r="O45" s="233">
        <f>O46+O47</f>
        <v>0</v>
      </c>
      <c r="P45" s="233">
        <f>P46+P47</f>
        <v>0</v>
      </c>
      <c r="Q45" s="233">
        <f>Q46+Q47</f>
        <v>0</v>
      </c>
      <c r="R45" s="233">
        <f t="shared" si="2"/>
        <v>153500</v>
      </c>
    </row>
    <row r="46" spans="1:18" s="6" customFormat="1" ht="12">
      <c r="A46" s="132">
        <v>7600</v>
      </c>
      <c r="B46" s="441" t="s">
        <v>184</v>
      </c>
      <c r="C46" s="404">
        <v>0</v>
      </c>
      <c r="D46" s="404">
        <v>0</v>
      </c>
      <c r="E46" s="231">
        <f t="shared" ref="E46:G47" si="12">E130+E214</f>
        <v>300000</v>
      </c>
      <c r="F46" s="231">
        <f t="shared" si="12"/>
        <v>0</v>
      </c>
      <c r="G46" s="231">
        <f t="shared" si="12"/>
        <v>0</v>
      </c>
      <c r="H46" s="233">
        <f t="shared" si="0"/>
        <v>300000</v>
      </c>
      <c r="I46" s="233">
        <v>0</v>
      </c>
      <c r="J46" s="231">
        <f t="shared" ref="J46:L47" si="13">J130+J214</f>
        <v>0</v>
      </c>
      <c r="K46" s="231">
        <f t="shared" si="13"/>
        <v>0</v>
      </c>
      <c r="L46" s="231">
        <f t="shared" si="13"/>
        <v>0</v>
      </c>
      <c r="M46" s="233">
        <f t="shared" si="1"/>
        <v>0</v>
      </c>
      <c r="N46" s="233">
        <v>0</v>
      </c>
      <c r="O46" s="231">
        <f t="shared" ref="O46:Q47" si="14">O130+O214</f>
        <v>0</v>
      </c>
      <c r="P46" s="231">
        <f t="shared" si="14"/>
        <v>0</v>
      </c>
      <c r="Q46" s="231">
        <f t="shared" si="14"/>
        <v>0</v>
      </c>
      <c r="R46" s="233">
        <f t="shared" si="2"/>
        <v>0</v>
      </c>
    </row>
    <row r="47" spans="1:18" s="6" customFormat="1" ht="12">
      <c r="A47" s="132">
        <v>7700</v>
      </c>
      <c r="B47" s="442" t="s">
        <v>114</v>
      </c>
      <c r="C47" s="404">
        <v>233500</v>
      </c>
      <c r="D47" s="404">
        <v>233500</v>
      </c>
      <c r="E47" s="231">
        <f t="shared" si="12"/>
        <v>50500</v>
      </c>
      <c r="F47" s="231">
        <f t="shared" si="12"/>
        <v>0</v>
      </c>
      <c r="G47" s="231">
        <f t="shared" si="12"/>
        <v>0</v>
      </c>
      <c r="H47" s="233">
        <f t="shared" si="0"/>
        <v>284000</v>
      </c>
      <c r="I47" s="233">
        <v>153500</v>
      </c>
      <c r="J47" s="231">
        <f t="shared" si="13"/>
        <v>0</v>
      </c>
      <c r="K47" s="231">
        <f t="shared" si="13"/>
        <v>0</v>
      </c>
      <c r="L47" s="231">
        <f t="shared" si="13"/>
        <v>0</v>
      </c>
      <c r="M47" s="233">
        <f t="shared" si="1"/>
        <v>153500</v>
      </c>
      <c r="N47" s="233">
        <v>153500</v>
      </c>
      <c r="O47" s="231">
        <f t="shared" si="14"/>
        <v>0</v>
      </c>
      <c r="P47" s="231">
        <f t="shared" si="14"/>
        <v>0</v>
      </c>
      <c r="Q47" s="231">
        <f t="shared" si="14"/>
        <v>0</v>
      </c>
      <c r="R47" s="233">
        <f t="shared" si="2"/>
        <v>153500</v>
      </c>
    </row>
    <row r="48" spans="1:18" s="6" customFormat="1" ht="20.399999999999999">
      <c r="A48" s="140" t="s">
        <v>185</v>
      </c>
      <c r="B48" s="124" t="s">
        <v>115</v>
      </c>
      <c r="C48" s="254">
        <v>100304339</v>
      </c>
      <c r="D48" s="254">
        <v>97247723</v>
      </c>
      <c r="E48" s="233">
        <f>E49+E55+E59+E62</f>
        <v>-1711843</v>
      </c>
      <c r="F48" s="233">
        <f>F49+F55+F59+F62</f>
        <v>857178</v>
      </c>
      <c r="G48" s="233">
        <f>G49+G55+G59+G62</f>
        <v>404328</v>
      </c>
      <c r="H48" s="233">
        <f t="shared" si="0"/>
        <v>96797386</v>
      </c>
      <c r="I48" s="233">
        <v>66000647</v>
      </c>
      <c r="J48" s="233">
        <f>J49+J55+J59+J62</f>
        <v>-580033</v>
      </c>
      <c r="K48" s="233">
        <v>857178</v>
      </c>
      <c r="L48" s="233">
        <f>L49+L55+L59+L62</f>
        <v>419984</v>
      </c>
      <c r="M48" s="233">
        <f t="shared" si="1"/>
        <v>66697776</v>
      </c>
      <c r="N48" s="233">
        <v>58108230</v>
      </c>
      <c r="O48" s="233">
        <f>O49+O55+O59+O62</f>
        <v>-213154</v>
      </c>
      <c r="P48" s="233">
        <f>P49+P55+P59+P62</f>
        <v>857178</v>
      </c>
      <c r="Q48" s="233">
        <f>Q49+Q55+Q59+Q62</f>
        <v>419984</v>
      </c>
      <c r="R48" s="233">
        <f t="shared" si="2"/>
        <v>59172238</v>
      </c>
    </row>
    <row r="49" spans="1:18" s="6" customFormat="1" ht="12">
      <c r="A49" s="132">
        <v>7100</v>
      </c>
      <c r="B49" s="441" t="s">
        <v>116</v>
      </c>
      <c r="C49" s="404">
        <v>431509</v>
      </c>
      <c r="D49" s="404">
        <v>228056</v>
      </c>
      <c r="E49" s="233">
        <f>E50+E51</f>
        <v>-73</v>
      </c>
      <c r="F49" s="233">
        <f>F50+F51</f>
        <v>0</v>
      </c>
      <c r="G49" s="233">
        <f>G50+G51</f>
        <v>0</v>
      </c>
      <c r="H49" s="233">
        <f t="shared" si="0"/>
        <v>227983</v>
      </c>
      <c r="I49" s="233">
        <v>0</v>
      </c>
      <c r="J49" s="233">
        <f>J50+J51</f>
        <v>0</v>
      </c>
      <c r="K49" s="233">
        <v>0</v>
      </c>
      <c r="L49" s="233">
        <v>0</v>
      </c>
      <c r="M49" s="233">
        <f t="shared" si="1"/>
        <v>0</v>
      </c>
      <c r="N49" s="233">
        <v>0</v>
      </c>
      <c r="O49" s="233">
        <f>O50+O51</f>
        <v>0</v>
      </c>
      <c r="P49" s="233">
        <f>P50+P51</f>
        <v>0</v>
      </c>
      <c r="Q49" s="233">
        <f>Q50+Q51</f>
        <v>0</v>
      </c>
      <c r="R49" s="233">
        <f t="shared" si="2"/>
        <v>0</v>
      </c>
    </row>
    <row r="50" spans="1:18" s="6" customFormat="1" ht="24" hidden="1" customHeight="1">
      <c r="A50" s="234" t="s">
        <v>117</v>
      </c>
      <c r="B50" s="441" t="s">
        <v>118</v>
      </c>
      <c r="C50" s="404">
        <v>0</v>
      </c>
      <c r="D50" s="404">
        <v>0</v>
      </c>
      <c r="E50" s="233"/>
      <c r="F50" s="233"/>
      <c r="G50" s="233"/>
      <c r="H50" s="233">
        <f t="shared" si="0"/>
        <v>0</v>
      </c>
      <c r="I50" s="233">
        <v>0</v>
      </c>
      <c r="J50" s="233"/>
      <c r="K50" s="233"/>
      <c r="L50" s="233"/>
      <c r="M50" s="233">
        <f t="shared" si="1"/>
        <v>0</v>
      </c>
      <c r="N50" s="233">
        <v>0</v>
      </c>
      <c r="O50" s="233"/>
      <c r="P50" s="233"/>
      <c r="Q50" s="233"/>
      <c r="R50" s="233">
        <f t="shared" si="2"/>
        <v>0</v>
      </c>
    </row>
    <row r="51" spans="1:18" s="6" customFormat="1" ht="24">
      <c r="A51" s="234">
        <v>7130</v>
      </c>
      <c r="B51" s="441" t="s">
        <v>119</v>
      </c>
      <c r="C51" s="404">
        <v>431509</v>
      </c>
      <c r="D51" s="404">
        <v>228056</v>
      </c>
      <c r="E51" s="233">
        <f>SUM(E52:E54)</f>
        <v>-73</v>
      </c>
      <c r="F51" s="233">
        <f>SUM(F52:F54)</f>
        <v>0</v>
      </c>
      <c r="G51" s="233">
        <f>SUM(G52:G54)</f>
        <v>0</v>
      </c>
      <c r="H51" s="233">
        <f t="shared" si="0"/>
        <v>227983</v>
      </c>
      <c r="I51" s="233">
        <v>0</v>
      </c>
      <c r="J51" s="233">
        <f>SUM(J52:J54)</f>
        <v>0</v>
      </c>
      <c r="K51" s="233">
        <v>0</v>
      </c>
      <c r="L51" s="233">
        <v>0</v>
      </c>
      <c r="M51" s="233">
        <f t="shared" si="1"/>
        <v>0</v>
      </c>
      <c r="N51" s="233">
        <v>0</v>
      </c>
      <c r="O51" s="233">
        <f>SUM(O52:O54)</f>
        <v>0</v>
      </c>
      <c r="P51" s="233">
        <f>SUM(P52:P54)</f>
        <v>0</v>
      </c>
      <c r="Q51" s="233">
        <f>SUM(Q52:Q54)</f>
        <v>0</v>
      </c>
      <c r="R51" s="233">
        <f t="shared" si="2"/>
        <v>0</v>
      </c>
    </row>
    <row r="52" spans="1:18" s="6" customFormat="1" ht="36">
      <c r="A52" s="236">
        <v>7131</v>
      </c>
      <c r="B52" s="441" t="s">
        <v>120</v>
      </c>
      <c r="C52" s="404">
        <v>389753</v>
      </c>
      <c r="D52" s="404">
        <v>228056</v>
      </c>
      <c r="E52" s="231">
        <f t="shared" ref="E52:G53" si="15">E136+E220</f>
        <v>-73</v>
      </c>
      <c r="F52" s="231">
        <f t="shared" si="15"/>
        <v>0</v>
      </c>
      <c r="G52" s="231">
        <f t="shared" si="15"/>
        <v>0</v>
      </c>
      <c r="H52" s="233">
        <f t="shared" si="0"/>
        <v>227983</v>
      </c>
      <c r="I52" s="233">
        <v>0</v>
      </c>
      <c r="J52" s="231">
        <f t="shared" ref="J52:L53" si="16">J136+J220</f>
        <v>0</v>
      </c>
      <c r="K52" s="231">
        <f t="shared" si="16"/>
        <v>0</v>
      </c>
      <c r="L52" s="231">
        <f t="shared" si="16"/>
        <v>0</v>
      </c>
      <c r="M52" s="233">
        <f t="shared" si="1"/>
        <v>0</v>
      </c>
      <c r="N52" s="233">
        <v>0</v>
      </c>
      <c r="O52" s="231">
        <f t="shared" ref="O52:Q53" si="17">O136+O220</f>
        <v>0</v>
      </c>
      <c r="P52" s="231">
        <f t="shared" si="17"/>
        <v>0</v>
      </c>
      <c r="Q52" s="231">
        <f t="shared" si="17"/>
        <v>0</v>
      </c>
      <c r="R52" s="233">
        <f t="shared" si="2"/>
        <v>0</v>
      </c>
    </row>
    <row r="53" spans="1:18" s="6" customFormat="1" ht="36">
      <c r="A53" s="236">
        <v>7132</v>
      </c>
      <c r="B53" s="441" t="s">
        <v>121</v>
      </c>
      <c r="C53" s="404">
        <v>41756</v>
      </c>
      <c r="D53" s="404">
        <v>0</v>
      </c>
      <c r="E53" s="231">
        <f t="shared" si="15"/>
        <v>0</v>
      </c>
      <c r="F53" s="231">
        <f t="shared" si="15"/>
        <v>0</v>
      </c>
      <c r="G53" s="231">
        <f t="shared" si="15"/>
        <v>0</v>
      </c>
      <c r="H53" s="233">
        <f t="shared" si="0"/>
        <v>0</v>
      </c>
      <c r="I53" s="233">
        <v>0</v>
      </c>
      <c r="J53" s="231">
        <f t="shared" si="16"/>
        <v>0</v>
      </c>
      <c r="K53" s="231">
        <f t="shared" si="16"/>
        <v>0</v>
      </c>
      <c r="L53" s="231">
        <f t="shared" si="16"/>
        <v>0</v>
      </c>
      <c r="M53" s="233">
        <f t="shared" si="1"/>
        <v>0</v>
      </c>
      <c r="N53" s="233">
        <v>0</v>
      </c>
      <c r="O53" s="231">
        <f t="shared" si="17"/>
        <v>0</v>
      </c>
      <c r="P53" s="231">
        <f t="shared" si="17"/>
        <v>0</v>
      </c>
      <c r="Q53" s="231">
        <f t="shared" si="17"/>
        <v>0</v>
      </c>
      <c r="R53" s="233">
        <f t="shared" si="2"/>
        <v>0</v>
      </c>
    </row>
    <row r="54" spans="1:18" s="6" customFormat="1" ht="24" hidden="1" customHeight="1">
      <c r="A54" s="236" t="s">
        <v>186</v>
      </c>
      <c r="B54" s="441" t="s">
        <v>187</v>
      </c>
      <c r="C54" s="404">
        <v>0</v>
      </c>
      <c r="D54" s="404">
        <v>0</v>
      </c>
      <c r="E54" s="233"/>
      <c r="F54" s="233"/>
      <c r="G54" s="233"/>
      <c r="H54" s="233">
        <f t="shared" si="0"/>
        <v>0</v>
      </c>
      <c r="I54" s="233">
        <v>0</v>
      </c>
      <c r="J54" s="233"/>
      <c r="K54" s="233"/>
      <c r="L54" s="233"/>
      <c r="M54" s="233">
        <f t="shared" si="1"/>
        <v>0</v>
      </c>
      <c r="N54" s="233">
        <v>0</v>
      </c>
      <c r="O54" s="233"/>
      <c r="P54" s="233"/>
      <c r="Q54" s="233"/>
      <c r="R54" s="233">
        <f t="shared" si="2"/>
        <v>0</v>
      </c>
    </row>
    <row r="55" spans="1:18" s="6" customFormat="1" ht="24">
      <c r="A55" s="132">
        <v>7300</v>
      </c>
      <c r="B55" s="239" t="s">
        <v>155</v>
      </c>
      <c r="C55" s="404">
        <v>91529421</v>
      </c>
      <c r="D55" s="404">
        <v>85396943</v>
      </c>
      <c r="E55" s="233">
        <f>SUM(E56:E58)</f>
        <v>-1711770</v>
      </c>
      <c r="F55" s="233">
        <f>SUM(F56:F58)</f>
        <v>857178</v>
      </c>
      <c r="G55" s="233">
        <f>SUM(G56:G58)</f>
        <v>334328</v>
      </c>
      <c r="H55" s="233">
        <f t="shared" si="0"/>
        <v>84876679</v>
      </c>
      <c r="I55" s="233">
        <v>64806781</v>
      </c>
      <c r="J55" s="233">
        <f>SUM(J56:J58)</f>
        <v>-580033</v>
      </c>
      <c r="K55" s="233">
        <v>857178</v>
      </c>
      <c r="L55" s="233">
        <f>SUM(L56:L58)</f>
        <v>349984</v>
      </c>
      <c r="M55" s="233">
        <f t="shared" si="1"/>
        <v>65433910</v>
      </c>
      <c r="N55" s="233">
        <v>57859265</v>
      </c>
      <c r="O55" s="233">
        <f>SUM(O56:O58)</f>
        <v>-213154</v>
      </c>
      <c r="P55" s="233">
        <f>SUM(P56:P58)</f>
        <v>857178</v>
      </c>
      <c r="Q55" s="233">
        <f>SUM(Q56:Q58)</f>
        <v>349984</v>
      </c>
      <c r="R55" s="233">
        <f t="shared" si="2"/>
        <v>58853273</v>
      </c>
    </row>
    <row r="56" spans="1:18" s="6" customFormat="1" ht="24">
      <c r="A56" s="234" t="s">
        <v>188</v>
      </c>
      <c r="B56" s="441" t="s">
        <v>170</v>
      </c>
      <c r="C56" s="921">
        <v>6356296</v>
      </c>
      <c r="D56" s="921">
        <v>8137291</v>
      </c>
      <c r="E56" s="231">
        <f t="shared" ref="E56:G58" si="18">E140+E224</f>
        <v>0</v>
      </c>
      <c r="F56" s="231">
        <f t="shared" si="18"/>
        <v>857178</v>
      </c>
      <c r="G56" s="231">
        <f t="shared" si="18"/>
        <v>313800</v>
      </c>
      <c r="H56" s="233">
        <f t="shared" si="0"/>
        <v>9308269</v>
      </c>
      <c r="I56" s="605">
        <v>8046193</v>
      </c>
      <c r="J56" s="605"/>
      <c r="K56" s="605">
        <v>857178</v>
      </c>
      <c r="L56" s="605">
        <v>313800</v>
      </c>
      <c r="M56" s="233">
        <f t="shared" si="1"/>
        <v>9217171</v>
      </c>
      <c r="N56" s="605">
        <v>6811286</v>
      </c>
      <c r="O56" s="231">
        <f>O140+O224</f>
        <v>0</v>
      </c>
      <c r="P56" s="605">
        <f>827928+29250</f>
        <v>857178</v>
      </c>
      <c r="Q56" s="231">
        <f>Q140+Q224</f>
        <v>313800</v>
      </c>
      <c r="R56" s="233">
        <f t="shared" si="2"/>
        <v>7982264</v>
      </c>
    </row>
    <row r="57" spans="1:18" s="29" customFormat="1" ht="48">
      <c r="A57" s="234" t="s">
        <v>189</v>
      </c>
      <c r="B57" s="441" t="s">
        <v>156</v>
      </c>
      <c r="C57" s="921">
        <v>3378687</v>
      </c>
      <c r="D57" s="921">
        <v>2731823</v>
      </c>
      <c r="E57" s="231">
        <f t="shared" si="18"/>
        <v>0</v>
      </c>
      <c r="F57" s="231">
        <f t="shared" si="18"/>
        <v>0</v>
      </c>
      <c r="G57" s="231">
        <f t="shared" si="18"/>
        <v>0</v>
      </c>
      <c r="H57" s="233">
        <f t="shared" si="0"/>
        <v>2731823</v>
      </c>
      <c r="I57" s="605">
        <v>304267</v>
      </c>
      <c r="J57" s="231">
        <f t="shared" ref="J57:L58" si="19">J141+J225</f>
        <v>0</v>
      </c>
      <c r="K57" s="231">
        <f t="shared" si="19"/>
        <v>0</v>
      </c>
      <c r="L57" s="231">
        <f t="shared" si="19"/>
        <v>0</v>
      </c>
      <c r="M57" s="233">
        <f t="shared" si="1"/>
        <v>304267</v>
      </c>
      <c r="N57" s="605">
        <v>76418</v>
      </c>
      <c r="O57" s="231">
        <f>O141+O225</f>
        <v>0</v>
      </c>
      <c r="P57" s="231">
        <f>P141+P225</f>
        <v>0</v>
      </c>
      <c r="Q57" s="231">
        <f>Q141+Q225</f>
        <v>0</v>
      </c>
      <c r="R57" s="233">
        <f t="shared" si="2"/>
        <v>76418</v>
      </c>
    </row>
    <row r="58" spans="1:18" s="89" customFormat="1" ht="36">
      <c r="A58" s="234">
        <v>7350</v>
      </c>
      <c r="B58" s="441" t="s">
        <v>163</v>
      </c>
      <c r="C58" s="921">
        <v>81794438</v>
      </c>
      <c r="D58" s="921">
        <v>74527829</v>
      </c>
      <c r="E58" s="231">
        <f t="shared" si="18"/>
        <v>-1711770</v>
      </c>
      <c r="F58" s="231">
        <f t="shared" si="18"/>
        <v>0</v>
      </c>
      <c r="G58" s="231">
        <f t="shared" si="18"/>
        <v>20528</v>
      </c>
      <c r="H58" s="233">
        <f t="shared" si="0"/>
        <v>72836587</v>
      </c>
      <c r="I58" s="605">
        <v>56456321</v>
      </c>
      <c r="J58" s="231">
        <f t="shared" si="19"/>
        <v>-580033</v>
      </c>
      <c r="K58" s="231">
        <f t="shared" si="19"/>
        <v>0</v>
      </c>
      <c r="L58" s="231">
        <f t="shared" si="19"/>
        <v>36184</v>
      </c>
      <c r="M58" s="233">
        <f t="shared" si="1"/>
        <v>55912472</v>
      </c>
      <c r="N58" s="605">
        <v>50971561</v>
      </c>
      <c r="O58" s="231">
        <f>O142+O226</f>
        <v>-213154</v>
      </c>
      <c r="P58" s="231">
        <f>P142+P226</f>
        <v>0</v>
      </c>
      <c r="Q58" s="231">
        <f>Q142+Q226</f>
        <v>36184</v>
      </c>
      <c r="R58" s="233">
        <f t="shared" si="2"/>
        <v>50794591</v>
      </c>
    </row>
    <row r="59" spans="1:18" s="89" customFormat="1" ht="24">
      <c r="A59" s="132">
        <v>7400</v>
      </c>
      <c r="B59" s="239" t="s">
        <v>161</v>
      </c>
      <c r="C59" s="404">
        <v>59480</v>
      </c>
      <c r="D59" s="404">
        <v>59480</v>
      </c>
      <c r="E59" s="233">
        <f>SUM(E60:E61)</f>
        <v>0</v>
      </c>
      <c r="F59" s="233">
        <f>SUM(F60:F61)</f>
        <v>0</v>
      </c>
      <c r="G59" s="233">
        <f>SUM(G60:G61)</f>
        <v>70000</v>
      </c>
      <c r="H59" s="233">
        <f t="shared" si="0"/>
        <v>129480</v>
      </c>
      <c r="I59" s="233">
        <v>59480</v>
      </c>
      <c r="J59" s="233">
        <f>SUM(J60:J61)</f>
        <v>0</v>
      </c>
      <c r="K59" s="233">
        <f>SUM(K60:K61)</f>
        <v>0</v>
      </c>
      <c r="L59" s="233">
        <f>SUM(L60:L61)</f>
        <v>70000</v>
      </c>
      <c r="M59" s="233">
        <f t="shared" si="1"/>
        <v>129480</v>
      </c>
      <c r="N59" s="233">
        <v>59480</v>
      </c>
      <c r="O59" s="233">
        <f>SUM(O60:O61)</f>
        <v>0</v>
      </c>
      <c r="P59" s="233">
        <f>SUM(P60:P61)</f>
        <v>0</v>
      </c>
      <c r="Q59" s="233">
        <f>SUM(Q60:Q61)</f>
        <v>70000</v>
      </c>
      <c r="R59" s="233">
        <f t="shared" si="2"/>
        <v>129480</v>
      </c>
    </row>
    <row r="60" spans="1:18" s="89" customFormat="1" ht="24">
      <c r="A60" s="234">
        <v>7460</v>
      </c>
      <c r="B60" s="239" t="s">
        <v>162</v>
      </c>
      <c r="C60" s="921">
        <v>59480</v>
      </c>
      <c r="D60" s="921">
        <v>59480</v>
      </c>
      <c r="E60" s="231">
        <f t="shared" ref="E60:G62" si="20">E144+E228</f>
        <v>0</v>
      </c>
      <c r="F60" s="231">
        <f t="shared" si="20"/>
        <v>0</v>
      </c>
      <c r="G60" s="231">
        <f t="shared" si="20"/>
        <v>70000</v>
      </c>
      <c r="H60" s="233">
        <f t="shared" si="0"/>
        <v>129480</v>
      </c>
      <c r="I60" s="605">
        <v>59480</v>
      </c>
      <c r="J60" s="231">
        <f t="shared" ref="J60:L62" si="21">J144+J228</f>
        <v>0</v>
      </c>
      <c r="K60" s="231">
        <f t="shared" si="21"/>
        <v>0</v>
      </c>
      <c r="L60" s="231">
        <f t="shared" si="21"/>
        <v>70000</v>
      </c>
      <c r="M60" s="233">
        <f t="shared" si="1"/>
        <v>129480</v>
      </c>
      <c r="N60" s="605">
        <v>59480</v>
      </c>
      <c r="O60" s="231">
        <f t="shared" ref="O60:Q62" si="22">O144+O228</f>
        <v>0</v>
      </c>
      <c r="P60" s="231">
        <f t="shared" si="22"/>
        <v>0</v>
      </c>
      <c r="Q60" s="231">
        <f t="shared" si="22"/>
        <v>70000</v>
      </c>
      <c r="R60" s="233">
        <f t="shared" si="2"/>
        <v>129480</v>
      </c>
    </row>
    <row r="61" spans="1:18" s="89" customFormat="1" ht="48" hidden="1" customHeight="1">
      <c r="A61" s="234">
        <v>7470</v>
      </c>
      <c r="B61" s="441" t="s">
        <v>167</v>
      </c>
      <c r="C61" s="921">
        <v>0</v>
      </c>
      <c r="D61" s="921">
        <v>0</v>
      </c>
      <c r="E61" s="231">
        <f t="shared" si="20"/>
        <v>0</v>
      </c>
      <c r="F61" s="231">
        <f t="shared" si="20"/>
        <v>0</v>
      </c>
      <c r="G61" s="231">
        <f t="shared" si="20"/>
        <v>0</v>
      </c>
      <c r="H61" s="233">
        <f t="shared" si="0"/>
        <v>0</v>
      </c>
      <c r="I61" s="605">
        <v>0</v>
      </c>
      <c r="J61" s="231">
        <f t="shared" si="21"/>
        <v>0</v>
      </c>
      <c r="K61" s="231">
        <f t="shared" si="21"/>
        <v>0</v>
      </c>
      <c r="L61" s="231">
        <f t="shared" si="21"/>
        <v>0</v>
      </c>
      <c r="M61" s="233">
        <f t="shared" si="1"/>
        <v>0</v>
      </c>
      <c r="N61" s="605">
        <v>0</v>
      </c>
      <c r="O61" s="231">
        <f t="shared" si="22"/>
        <v>0</v>
      </c>
      <c r="P61" s="231">
        <f t="shared" si="22"/>
        <v>0</v>
      </c>
      <c r="Q61" s="231">
        <f t="shared" si="22"/>
        <v>0</v>
      </c>
      <c r="R61" s="233">
        <f t="shared" si="2"/>
        <v>0</v>
      </c>
    </row>
    <row r="62" spans="1:18" s="89" customFormat="1" ht="24">
      <c r="A62" s="132">
        <v>7500</v>
      </c>
      <c r="B62" s="441" t="s">
        <v>157</v>
      </c>
      <c r="C62" s="404">
        <v>8283929</v>
      </c>
      <c r="D62" s="404">
        <v>11563244</v>
      </c>
      <c r="E62" s="231">
        <f t="shared" si="20"/>
        <v>0</v>
      </c>
      <c r="F62" s="231">
        <f t="shared" si="20"/>
        <v>0</v>
      </c>
      <c r="G62" s="231">
        <f t="shared" si="20"/>
        <v>0</v>
      </c>
      <c r="H62" s="233">
        <f t="shared" si="0"/>
        <v>11563244</v>
      </c>
      <c r="I62" s="233">
        <v>1134386</v>
      </c>
      <c r="J62" s="231">
        <f t="shared" si="21"/>
        <v>0</v>
      </c>
      <c r="K62" s="231">
        <f t="shared" si="21"/>
        <v>0</v>
      </c>
      <c r="L62" s="231">
        <f t="shared" si="21"/>
        <v>0</v>
      </c>
      <c r="M62" s="233">
        <f t="shared" si="1"/>
        <v>1134386</v>
      </c>
      <c r="N62" s="233">
        <v>189485</v>
      </c>
      <c r="O62" s="231">
        <f t="shared" si="22"/>
        <v>0</v>
      </c>
      <c r="P62" s="231">
        <f t="shared" si="22"/>
        <v>0</v>
      </c>
      <c r="Q62" s="231">
        <f t="shared" si="22"/>
        <v>0</v>
      </c>
      <c r="R62" s="233">
        <f t="shared" si="2"/>
        <v>189485</v>
      </c>
    </row>
    <row r="63" spans="1:18" s="89" customFormat="1" ht="12">
      <c r="A63" s="140" t="s">
        <v>133</v>
      </c>
      <c r="B63" s="124" t="s">
        <v>122</v>
      </c>
      <c r="C63" s="445">
        <v>58345928</v>
      </c>
      <c r="D63" s="445">
        <v>44000765</v>
      </c>
      <c r="E63" s="254">
        <f>E64+E65</f>
        <v>12630</v>
      </c>
      <c r="F63" s="254">
        <f>F64+F65</f>
        <v>0</v>
      </c>
      <c r="G63" s="254">
        <f>G64+G65</f>
        <v>1113485</v>
      </c>
      <c r="H63" s="233">
        <f t="shared" si="0"/>
        <v>45126880</v>
      </c>
      <c r="I63" s="254">
        <v>24404335</v>
      </c>
      <c r="J63" s="254">
        <f>J64+J65</f>
        <v>0</v>
      </c>
      <c r="K63" s="254">
        <f>K64+K65</f>
        <v>0</v>
      </c>
      <c r="L63" s="254">
        <f>L64+L65</f>
        <v>3372875</v>
      </c>
      <c r="M63" s="233">
        <f t="shared" si="1"/>
        <v>27777210</v>
      </c>
      <c r="N63" s="254">
        <v>11885666</v>
      </c>
      <c r="O63" s="254">
        <f>O64+O65</f>
        <v>0</v>
      </c>
      <c r="P63" s="254">
        <f>P64+P65</f>
        <v>0</v>
      </c>
      <c r="Q63" s="254">
        <f>Q64+Q65</f>
        <v>2181630</v>
      </c>
      <c r="R63" s="233">
        <f t="shared" si="2"/>
        <v>14067296</v>
      </c>
    </row>
    <row r="64" spans="1:18" s="89" customFormat="1" ht="12">
      <c r="A64" s="140">
        <v>5000</v>
      </c>
      <c r="B64" s="124" t="s">
        <v>123</v>
      </c>
      <c r="C64" s="254">
        <v>16168315</v>
      </c>
      <c r="D64" s="254">
        <v>3587748</v>
      </c>
      <c r="E64" s="231">
        <f>E148+E232</f>
        <v>12630</v>
      </c>
      <c r="F64" s="231">
        <f>F148+F232</f>
        <v>0</v>
      </c>
      <c r="G64" s="231">
        <f>G148+G232</f>
        <v>1113485</v>
      </c>
      <c r="H64" s="233">
        <f t="shared" si="0"/>
        <v>4713863</v>
      </c>
      <c r="I64" s="233">
        <v>1382379</v>
      </c>
      <c r="J64" s="231">
        <f>J148+J232</f>
        <v>0</v>
      </c>
      <c r="K64" s="231">
        <f>K148+K232</f>
        <v>0</v>
      </c>
      <c r="L64" s="231">
        <f>L148+L232</f>
        <v>3372875</v>
      </c>
      <c r="M64" s="233">
        <f t="shared" si="1"/>
        <v>4755254</v>
      </c>
      <c r="N64" s="233">
        <v>433604</v>
      </c>
      <c r="O64" s="231">
        <f>O148+O232</f>
        <v>0</v>
      </c>
      <c r="P64" s="231">
        <f>P148+P232</f>
        <v>0</v>
      </c>
      <c r="Q64" s="231">
        <f>Q148+Q232</f>
        <v>2181630</v>
      </c>
      <c r="R64" s="233">
        <f t="shared" si="2"/>
        <v>2615234</v>
      </c>
    </row>
    <row r="65" spans="1:18" s="89" customFormat="1" ht="12">
      <c r="A65" s="140">
        <v>9000</v>
      </c>
      <c r="B65" s="446" t="s">
        <v>164</v>
      </c>
      <c r="C65" s="254">
        <v>42177613</v>
      </c>
      <c r="D65" s="254">
        <v>40413017</v>
      </c>
      <c r="E65" s="233">
        <f>E66+E72+E76+E79</f>
        <v>0</v>
      </c>
      <c r="F65" s="233">
        <f>F66+F72+F76+F79</f>
        <v>0</v>
      </c>
      <c r="G65" s="233">
        <f>G66+G72+G76+G79</f>
        <v>0</v>
      </c>
      <c r="H65" s="233">
        <f t="shared" si="0"/>
        <v>40413017</v>
      </c>
      <c r="I65" s="233">
        <v>23021956</v>
      </c>
      <c r="J65" s="233">
        <f>J66+J72+J76+J79</f>
        <v>0</v>
      </c>
      <c r="K65" s="233">
        <f>K66+K72+K76+K79</f>
        <v>0</v>
      </c>
      <c r="L65" s="233">
        <f>L66+L72+L76+L79</f>
        <v>0</v>
      </c>
      <c r="M65" s="233">
        <f t="shared" si="1"/>
        <v>23021956</v>
      </c>
      <c r="N65" s="233">
        <v>11452062</v>
      </c>
      <c r="O65" s="233">
        <f>O66+O72+O76+O79</f>
        <v>0</v>
      </c>
      <c r="P65" s="233">
        <f>P66+P72+P76+P79</f>
        <v>0</v>
      </c>
      <c r="Q65" s="233">
        <f>Q66+Q72+Q76+Q79</f>
        <v>0</v>
      </c>
      <c r="R65" s="233">
        <f t="shared" si="2"/>
        <v>11452062</v>
      </c>
    </row>
    <row r="66" spans="1:18" s="89" customFormat="1" ht="12" hidden="1" customHeight="1">
      <c r="A66" s="256">
        <v>9100</v>
      </c>
      <c r="B66" s="441" t="s">
        <v>124</v>
      </c>
      <c r="C66" s="404">
        <v>0</v>
      </c>
      <c r="D66" s="404">
        <v>0</v>
      </c>
      <c r="E66" s="233">
        <f>SUM(E67:E68)</f>
        <v>0</v>
      </c>
      <c r="F66" s="233">
        <f>SUM(F67:F68)</f>
        <v>0</v>
      </c>
      <c r="G66" s="233">
        <f>SUM(G67:G68)</f>
        <v>0</v>
      </c>
      <c r="H66" s="233">
        <f t="shared" si="0"/>
        <v>0</v>
      </c>
      <c r="I66" s="233">
        <v>0</v>
      </c>
      <c r="J66" s="233">
        <f>SUM(J67:J68)</f>
        <v>0</v>
      </c>
      <c r="K66" s="233">
        <f>SUM(K67:K68)</f>
        <v>0</v>
      </c>
      <c r="L66" s="233">
        <f>SUM(L67:L68)</f>
        <v>0</v>
      </c>
      <c r="M66" s="233">
        <f t="shared" si="1"/>
        <v>0</v>
      </c>
      <c r="N66" s="233">
        <v>0</v>
      </c>
      <c r="O66" s="233">
        <f>SUM(O67:O68)</f>
        <v>0</v>
      </c>
      <c r="P66" s="233">
        <f>SUM(P67:P68)</f>
        <v>0</v>
      </c>
      <c r="Q66" s="233">
        <f>SUM(Q67:Q68)</f>
        <v>0</v>
      </c>
      <c r="R66" s="233">
        <f t="shared" si="2"/>
        <v>0</v>
      </c>
    </row>
    <row r="67" spans="1:18" s="89" customFormat="1" ht="24" hidden="1" customHeight="1">
      <c r="A67" s="234" t="s">
        <v>125</v>
      </c>
      <c r="B67" s="441" t="s">
        <v>214</v>
      </c>
      <c r="C67" s="404">
        <v>0</v>
      </c>
      <c r="D67" s="404">
        <v>0</v>
      </c>
      <c r="E67" s="233"/>
      <c r="F67" s="233"/>
      <c r="G67" s="233"/>
      <c r="H67" s="233">
        <f t="shared" si="0"/>
        <v>0</v>
      </c>
      <c r="I67" s="233">
        <v>0</v>
      </c>
      <c r="J67" s="233"/>
      <c r="K67" s="233"/>
      <c r="L67" s="233"/>
      <c r="M67" s="233">
        <f t="shared" si="1"/>
        <v>0</v>
      </c>
      <c r="N67" s="233">
        <v>0</v>
      </c>
      <c r="O67" s="233"/>
      <c r="P67" s="233"/>
      <c r="Q67" s="233"/>
      <c r="R67" s="233">
        <f t="shared" si="2"/>
        <v>0</v>
      </c>
    </row>
    <row r="68" spans="1:18" s="89" customFormat="1" ht="24" hidden="1" customHeight="1">
      <c r="A68" s="234">
        <v>9140</v>
      </c>
      <c r="B68" s="441" t="s">
        <v>215</v>
      </c>
      <c r="C68" s="404">
        <v>0</v>
      </c>
      <c r="D68" s="404">
        <v>0</v>
      </c>
      <c r="E68" s="233">
        <f>SUM(E69:E71)</f>
        <v>0</v>
      </c>
      <c r="F68" s="233">
        <f>SUM(F69:F71)</f>
        <v>0</v>
      </c>
      <c r="G68" s="233">
        <f>SUM(G69:G71)</f>
        <v>0</v>
      </c>
      <c r="H68" s="233">
        <f t="shared" si="0"/>
        <v>0</v>
      </c>
      <c r="I68" s="233">
        <v>0</v>
      </c>
      <c r="J68" s="233">
        <f>SUM(J69:J71)</f>
        <v>0</v>
      </c>
      <c r="K68" s="233">
        <f>SUM(K69:K71)</f>
        <v>0</v>
      </c>
      <c r="L68" s="233">
        <f>SUM(L69:L71)</f>
        <v>0</v>
      </c>
      <c r="M68" s="233">
        <f t="shared" si="1"/>
        <v>0</v>
      </c>
      <c r="N68" s="233">
        <v>0</v>
      </c>
      <c r="O68" s="233">
        <f>SUM(O69:O71)</f>
        <v>0</v>
      </c>
      <c r="P68" s="233">
        <f>SUM(P69:P71)</f>
        <v>0</v>
      </c>
      <c r="Q68" s="233">
        <f>SUM(Q69:Q71)</f>
        <v>0</v>
      </c>
      <c r="R68" s="233">
        <f t="shared" si="2"/>
        <v>0</v>
      </c>
    </row>
    <row r="69" spans="1:18" s="89" customFormat="1" ht="36" hidden="1" customHeight="1">
      <c r="A69" s="236">
        <v>9141</v>
      </c>
      <c r="B69" s="239" t="s">
        <v>190</v>
      </c>
      <c r="C69" s="921">
        <v>0</v>
      </c>
      <c r="D69" s="921">
        <v>0</v>
      </c>
      <c r="E69" s="605"/>
      <c r="F69" s="605"/>
      <c r="G69" s="605"/>
      <c r="H69" s="233">
        <f t="shared" si="0"/>
        <v>0</v>
      </c>
      <c r="I69" s="605">
        <v>0</v>
      </c>
      <c r="J69" s="605"/>
      <c r="K69" s="605"/>
      <c r="L69" s="605"/>
      <c r="M69" s="233">
        <f t="shared" si="1"/>
        <v>0</v>
      </c>
      <c r="N69" s="605">
        <v>0</v>
      </c>
      <c r="O69" s="605"/>
      <c r="P69" s="605"/>
      <c r="Q69" s="605"/>
      <c r="R69" s="233">
        <f t="shared" si="2"/>
        <v>0</v>
      </c>
    </row>
    <row r="70" spans="1:18" s="89" customFormat="1" ht="36" hidden="1" customHeight="1">
      <c r="A70" s="236">
        <v>9142</v>
      </c>
      <c r="B70" s="239" t="s">
        <v>191</v>
      </c>
      <c r="C70" s="921">
        <v>0</v>
      </c>
      <c r="D70" s="921">
        <v>0</v>
      </c>
      <c r="E70" s="605"/>
      <c r="F70" s="605"/>
      <c r="G70" s="605"/>
      <c r="H70" s="233">
        <f t="shared" si="0"/>
        <v>0</v>
      </c>
      <c r="I70" s="605">
        <v>0</v>
      </c>
      <c r="J70" s="605"/>
      <c r="K70" s="605"/>
      <c r="L70" s="605"/>
      <c r="M70" s="233">
        <f t="shared" si="1"/>
        <v>0</v>
      </c>
      <c r="N70" s="605">
        <v>0</v>
      </c>
      <c r="O70" s="605"/>
      <c r="P70" s="605"/>
      <c r="Q70" s="605"/>
      <c r="R70" s="233">
        <f t="shared" si="2"/>
        <v>0</v>
      </c>
    </row>
    <row r="71" spans="1:18" s="89" customFormat="1" ht="24" hidden="1" customHeight="1">
      <c r="A71" s="236">
        <v>9149</v>
      </c>
      <c r="B71" s="239" t="s">
        <v>192</v>
      </c>
      <c r="C71" s="921">
        <v>0</v>
      </c>
      <c r="D71" s="921">
        <v>0</v>
      </c>
      <c r="E71" s="605"/>
      <c r="F71" s="605"/>
      <c r="G71" s="605"/>
      <c r="H71" s="233">
        <f t="shared" si="0"/>
        <v>0</v>
      </c>
      <c r="I71" s="605">
        <v>0</v>
      </c>
      <c r="J71" s="605"/>
      <c r="K71" s="605"/>
      <c r="L71" s="605"/>
      <c r="M71" s="233">
        <f t="shared" si="1"/>
        <v>0</v>
      </c>
      <c r="N71" s="605">
        <v>0</v>
      </c>
      <c r="O71" s="605"/>
      <c r="P71" s="605"/>
      <c r="Q71" s="605"/>
      <c r="R71" s="233">
        <f t="shared" si="2"/>
        <v>0</v>
      </c>
    </row>
    <row r="72" spans="1:18" s="29" customFormat="1" ht="24">
      <c r="A72" s="256">
        <v>9500</v>
      </c>
      <c r="B72" s="239" t="s">
        <v>165</v>
      </c>
      <c r="C72" s="404">
        <v>30177613</v>
      </c>
      <c r="D72" s="404">
        <v>36409225</v>
      </c>
      <c r="E72" s="233">
        <f>SUM(E73:E75)</f>
        <v>0</v>
      </c>
      <c r="F72" s="233">
        <f>SUM(F73:F75)</f>
        <v>0</v>
      </c>
      <c r="G72" s="233">
        <f>SUM(G73:G75)</f>
        <v>0</v>
      </c>
      <c r="H72" s="233">
        <f t="shared" si="0"/>
        <v>36409225</v>
      </c>
      <c r="I72" s="233">
        <v>20862231</v>
      </c>
      <c r="J72" s="233">
        <f>SUM(J73:J75)</f>
        <v>0</v>
      </c>
      <c r="K72" s="233">
        <f>SUM(K73:K75)</f>
        <v>0</v>
      </c>
      <c r="L72" s="233">
        <f>SUM(L73:L75)</f>
        <v>0</v>
      </c>
      <c r="M72" s="233">
        <f t="shared" si="1"/>
        <v>20862231</v>
      </c>
      <c r="N72" s="233">
        <v>9836267</v>
      </c>
      <c r="O72" s="233">
        <f>SUM(O73:O75)</f>
        <v>0</v>
      </c>
      <c r="P72" s="233">
        <f>SUM(P73:P75)</f>
        <v>0</v>
      </c>
      <c r="Q72" s="233">
        <f>SUM(Q73:Q75)</f>
        <v>0</v>
      </c>
      <c r="R72" s="233">
        <f t="shared" si="2"/>
        <v>9836267</v>
      </c>
    </row>
    <row r="73" spans="1:18" s="29" customFormat="1" ht="24">
      <c r="A73" s="234" t="s">
        <v>193</v>
      </c>
      <c r="B73" s="239" t="s">
        <v>171</v>
      </c>
      <c r="C73" s="404">
        <v>407188</v>
      </c>
      <c r="D73" s="404">
        <v>407188</v>
      </c>
      <c r="E73" s="231">
        <f t="shared" ref="E73:G79" si="23">E157+E241</f>
        <v>0</v>
      </c>
      <c r="F73" s="231">
        <f t="shared" si="23"/>
        <v>0</v>
      </c>
      <c r="G73" s="231">
        <f t="shared" si="23"/>
        <v>0</v>
      </c>
      <c r="H73" s="233">
        <f t="shared" si="0"/>
        <v>407188</v>
      </c>
      <c r="I73" s="233">
        <v>407188</v>
      </c>
      <c r="J73" s="231">
        <f t="shared" ref="J73:L79" si="24">J157+J241</f>
        <v>0</v>
      </c>
      <c r="K73" s="231">
        <f t="shared" si="24"/>
        <v>0</v>
      </c>
      <c r="L73" s="231">
        <f t="shared" si="24"/>
        <v>0</v>
      </c>
      <c r="M73" s="233">
        <f t="shared" si="1"/>
        <v>407188</v>
      </c>
      <c r="N73" s="233">
        <v>407188</v>
      </c>
      <c r="O73" s="231">
        <f t="shared" ref="O73:Q79" si="25">O157+O241</f>
        <v>0</v>
      </c>
      <c r="P73" s="231">
        <f t="shared" si="25"/>
        <v>0</v>
      </c>
      <c r="Q73" s="231">
        <f t="shared" si="25"/>
        <v>0</v>
      </c>
      <c r="R73" s="233">
        <f t="shared" si="2"/>
        <v>407188</v>
      </c>
    </row>
    <row r="74" spans="1:18" s="28" customFormat="1" ht="48">
      <c r="A74" s="234">
        <v>9580</v>
      </c>
      <c r="B74" s="239" t="s">
        <v>166</v>
      </c>
      <c r="C74" s="921">
        <v>3674295</v>
      </c>
      <c r="D74" s="921">
        <v>137177</v>
      </c>
      <c r="E74" s="231">
        <f t="shared" si="23"/>
        <v>0</v>
      </c>
      <c r="F74" s="231">
        <f t="shared" si="23"/>
        <v>0</v>
      </c>
      <c r="G74" s="231">
        <f t="shared" si="23"/>
        <v>0</v>
      </c>
      <c r="H74" s="233">
        <f t="shared" ref="H74:H137" si="26">SUM(D74:G74)</f>
        <v>137177</v>
      </c>
      <c r="I74" s="605">
        <v>0</v>
      </c>
      <c r="J74" s="231">
        <f t="shared" si="24"/>
        <v>0</v>
      </c>
      <c r="K74" s="231">
        <f t="shared" si="24"/>
        <v>0</v>
      </c>
      <c r="L74" s="231">
        <f t="shared" si="24"/>
        <v>0</v>
      </c>
      <c r="M74" s="233">
        <f t="shared" ref="M74:M137" si="27">SUM(I74:L74)</f>
        <v>0</v>
      </c>
      <c r="N74" s="605">
        <v>0</v>
      </c>
      <c r="O74" s="231">
        <f t="shared" si="25"/>
        <v>0</v>
      </c>
      <c r="P74" s="231">
        <f t="shared" si="25"/>
        <v>0</v>
      </c>
      <c r="Q74" s="231">
        <f t="shared" si="25"/>
        <v>0</v>
      </c>
      <c r="R74" s="233">
        <f t="shared" ref="R74:R137" si="28">SUM(N74:Q74)</f>
        <v>0</v>
      </c>
    </row>
    <row r="75" spans="1:18" s="4" customFormat="1" ht="36">
      <c r="A75" s="234">
        <v>9590</v>
      </c>
      <c r="B75" s="441" t="s">
        <v>172</v>
      </c>
      <c r="C75" s="921">
        <v>26096130</v>
      </c>
      <c r="D75" s="921">
        <v>35864860</v>
      </c>
      <c r="E75" s="231">
        <f t="shared" si="23"/>
        <v>0</v>
      </c>
      <c r="F75" s="231">
        <f t="shared" si="23"/>
        <v>0</v>
      </c>
      <c r="G75" s="231">
        <f t="shared" si="23"/>
        <v>0</v>
      </c>
      <c r="H75" s="233">
        <f t="shared" si="26"/>
        <v>35864860</v>
      </c>
      <c r="I75" s="605">
        <v>20455043</v>
      </c>
      <c r="J75" s="231">
        <f t="shared" si="24"/>
        <v>0</v>
      </c>
      <c r="K75" s="231">
        <f t="shared" si="24"/>
        <v>0</v>
      </c>
      <c r="L75" s="231">
        <f t="shared" si="24"/>
        <v>0</v>
      </c>
      <c r="M75" s="233">
        <f t="shared" si="27"/>
        <v>20455043</v>
      </c>
      <c r="N75" s="605">
        <v>9429079</v>
      </c>
      <c r="O75" s="231">
        <f t="shared" si="25"/>
        <v>0</v>
      </c>
      <c r="P75" s="231">
        <f t="shared" si="25"/>
        <v>0</v>
      </c>
      <c r="Q75" s="231">
        <f t="shared" si="25"/>
        <v>0</v>
      </c>
      <c r="R75" s="233">
        <f t="shared" si="28"/>
        <v>9429079</v>
      </c>
    </row>
    <row r="76" spans="1:18" ht="24" hidden="1" customHeight="1">
      <c r="A76" s="256">
        <v>9700</v>
      </c>
      <c r="B76" s="447" t="s">
        <v>194</v>
      </c>
      <c r="C76" s="404">
        <v>0</v>
      </c>
      <c r="D76" s="404">
        <v>0</v>
      </c>
      <c r="E76" s="231">
        <f t="shared" si="23"/>
        <v>0</v>
      </c>
      <c r="F76" s="231">
        <f t="shared" si="23"/>
        <v>0</v>
      </c>
      <c r="G76" s="231">
        <f t="shared" si="23"/>
        <v>0</v>
      </c>
      <c r="H76" s="233">
        <f t="shared" si="26"/>
        <v>0</v>
      </c>
      <c r="I76" s="233">
        <v>0</v>
      </c>
      <c r="J76" s="231">
        <f t="shared" si="24"/>
        <v>0</v>
      </c>
      <c r="K76" s="231">
        <f t="shared" si="24"/>
        <v>0</v>
      </c>
      <c r="L76" s="231">
        <f t="shared" si="24"/>
        <v>0</v>
      </c>
      <c r="M76" s="233">
        <f t="shared" si="27"/>
        <v>0</v>
      </c>
      <c r="N76" s="233">
        <v>0</v>
      </c>
      <c r="O76" s="231">
        <f t="shared" si="25"/>
        <v>0</v>
      </c>
      <c r="P76" s="231">
        <f t="shared" si="25"/>
        <v>0</v>
      </c>
      <c r="Q76" s="231">
        <f t="shared" si="25"/>
        <v>0</v>
      </c>
      <c r="R76" s="233">
        <f t="shared" si="28"/>
        <v>0</v>
      </c>
    </row>
    <row r="77" spans="1:18" ht="24" hidden="1" customHeight="1">
      <c r="A77" s="234">
        <v>9710</v>
      </c>
      <c r="B77" s="448" t="s">
        <v>195</v>
      </c>
      <c r="C77" s="921">
        <v>0</v>
      </c>
      <c r="D77" s="921">
        <v>0</v>
      </c>
      <c r="E77" s="231">
        <f t="shared" si="23"/>
        <v>0</v>
      </c>
      <c r="F77" s="231">
        <f t="shared" si="23"/>
        <v>0</v>
      </c>
      <c r="G77" s="231">
        <f t="shared" si="23"/>
        <v>0</v>
      </c>
      <c r="H77" s="233">
        <f t="shared" si="26"/>
        <v>0</v>
      </c>
      <c r="I77" s="605">
        <v>0</v>
      </c>
      <c r="J77" s="231">
        <f t="shared" si="24"/>
        <v>0</v>
      </c>
      <c r="K77" s="231">
        <f t="shared" si="24"/>
        <v>0</v>
      </c>
      <c r="L77" s="231">
        <f t="shared" si="24"/>
        <v>0</v>
      </c>
      <c r="M77" s="233">
        <f t="shared" si="27"/>
        <v>0</v>
      </c>
      <c r="N77" s="605">
        <v>0</v>
      </c>
      <c r="O77" s="231">
        <f t="shared" si="25"/>
        <v>0</v>
      </c>
      <c r="P77" s="231">
        <f t="shared" si="25"/>
        <v>0</v>
      </c>
      <c r="Q77" s="231">
        <f t="shared" si="25"/>
        <v>0</v>
      </c>
      <c r="R77" s="233">
        <f t="shared" si="28"/>
        <v>0</v>
      </c>
    </row>
    <row r="78" spans="1:18" ht="48" hidden="1" customHeight="1">
      <c r="A78" s="259">
        <v>9720</v>
      </c>
      <c r="B78" s="447" t="s">
        <v>196</v>
      </c>
      <c r="C78" s="921">
        <v>0</v>
      </c>
      <c r="D78" s="921">
        <v>0</v>
      </c>
      <c r="E78" s="231">
        <f t="shared" si="23"/>
        <v>0</v>
      </c>
      <c r="F78" s="231">
        <f t="shared" si="23"/>
        <v>0</v>
      </c>
      <c r="G78" s="231">
        <f t="shared" si="23"/>
        <v>0</v>
      </c>
      <c r="H78" s="233">
        <f t="shared" si="26"/>
        <v>0</v>
      </c>
      <c r="I78" s="605">
        <v>0</v>
      </c>
      <c r="J78" s="231">
        <f t="shared" si="24"/>
        <v>0</v>
      </c>
      <c r="K78" s="231">
        <f t="shared" si="24"/>
        <v>0</v>
      </c>
      <c r="L78" s="231">
        <f t="shared" si="24"/>
        <v>0</v>
      </c>
      <c r="M78" s="233">
        <f t="shared" si="27"/>
        <v>0</v>
      </c>
      <c r="N78" s="605">
        <v>0</v>
      </c>
      <c r="O78" s="231">
        <f t="shared" si="25"/>
        <v>0</v>
      </c>
      <c r="P78" s="231">
        <f t="shared" si="25"/>
        <v>0</v>
      </c>
      <c r="Q78" s="231">
        <f t="shared" si="25"/>
        <v>0</v>
      </c>
      <c r="R78" s="233">
        <f t="shared" si="28"/>
        <v>0</v>
      </c>
    </row>
    <row r="79" spans="1:18" ht="24">
      <c r="A79" s="256">
        <v>9600</v>
      </c>
      <c r="B79" s="441" t="s">
        <v>134</v>
      </c>
      <c r="C79" s="921">
        <v>12000000</v>
      </c>
      <c r="D79" s="921">
        <v>4003792</v>
      </c>
      <c r="E79" s="231">
        <f t="shared" si="23"/>
        <v>0</v>
      </c>
      <c r="F79" s="231">
        <f t="shared" si="23"/>
        <v>0</v>
      </c>
      <c r="G79" s="231">
        <f t="shared" si="23"/>
        <v>0</v>
      </c>
      <c r="H79" s="233">
        <f t="shared" si="26"/>
        <v>4003792</v>
      </c>
      <c r="I79" s="605">
        <v>2159725</v>
      </c>
      <c r="J79" s="231">
        <f t="shared" si="24"/>
        <v>0</v>
      </c>
      <c r="K79" s="231">
        <f t="shared" si="24"/>
        <v>0</v>
      </c>
      <c r="L79" s="231">
        <f t="shared" si="24"/>
        <v>0</v>
      </c>
      <c r="M79" s="233">
        <f t="shared" si="27"/>
        <v>2159725</v>
      </c>
      <c r="N79" s="605">
        <v>1615795</v>
      </c>
      <c r="O79" s="231">
        <f t="shared" si="25"/>
        <v>0</v>
      </c>
      <c r="P79" s="231">
        <f t="shared" si="25"/>
        <v>0</v>
      </c>
      <c r="Q79" s="231">
        <f t="shared" si="25"/>
        <v>0</v>
      </c>
      <c r="R79" s="233">
        <f t="shared" si="28"/>
        <v>1615795</v>
      </c>
    </row>
    <row r="80" spans="1:18" ht="30.6">
      <c r="A80" s="130" t="s">
        <v>197</v>
      </c>
      <c r="B80" s="449" t="s">
        <v>47</v>
      </c>
      <c r="C80" s="450">
        <v>-1326836</v>
      </c>
      <c r="D80" s="450">
        <v>-1128886</v>
      </c>
      <c r="E80" s="262">
        <f>E10-E35</f>
        <v>0</v>
      </c>
      <c r="F80" s="262">
        <f>F10-F35</f>
        <v>0</v>
      </c>
      <c r="G80" s="262">
        <f>G10-G35</f>
        <v>0</v>
      </c>
      <c r="H80" s="233">
        <f t="shared" si="26"/>
        <v>-1128886</v>
      </c>
      <c r="I80" s="262">
        <v>1194368</v>
      </c>
      <c r="J80" s="262">
        <f>J10-J35</f>
        <v>0</v>
      </c>
      <c r="K80" s="262">
        <f>K10-K35</f>
        <v>0</v>
      </c>
      <c r="L80" s="262">
        <f>L10-L35</f>
        <v>0</v>
      </c>
      <c r="M80" s="233">
        <f t="shared" si="27"/>
        <v>1194368</v>
      </c>
      <c r="N80" s="262">
        <v>1391613</v>
      </c>
      <c r="O80" s="262">
        <f>O10-O35</f>
        <v>0</v>
      </c>
      <c r="P80" s="262">
        <f>P10-P35</f>
        <v>0</v>
      </c>
      <c r="Q80" s="262">
        <f>Q10-Q35</f>
        <v>0</v>
      </c>
      <c r="R80" s="233">
        <f t="shared" si="28"/>
        <v>1391613</v>
      </c>
    </row>
    <row r="81" spans="1:18" ht="12">
      <c r="A81" s="263" t="s">
        <v>48</v>
      </c>
      <c r="B81" s="449" t="s">
        <v>49</v>
      </c>
      <c r="C81" s="450">
        <v>1326836</v>
      </c>
      <c r="D81" s="450">
        <v>1128886</v>
      </c>
      <c r="E81" s="262">
        <f>E82+E85+E89+E88</f>
        <v>0</v>
      </c>
      <c r="F81" s="262">
        <f>F82+F85+F89+F88</f>
        <v>0</v>
      </c>
      <c r="G81" s="262">
        <f>G82+G85+G89+G88</f>
        <v>0</v>
      </c>
      <c r="H81" s="233">
        <f t="shared" si="26"/>
        <v>1128886</v>
      </c>
      <c r="I81" s="262">
        <v>-1194368</v>
      </c>
      <c r="J81" s="262">
        <f>J82+J85+J89+J88</f>
        <v>0</v>
      </c>
      <c r="K81" s="262">
        <f>K82+K85+K89+K88</f>
        <v>0</v>
      </c>
      <c r="L81" s="262">
        <f>L82+L85+L89+L88</f>
        <v>0</v>
      </c>
      <c r="M81" s="233">
        <f t="shared" si="27"/>
        <v>-1194368</v>
      </c>
      <c r="N81" s="262">
        <v>-1391613</v>
      </c>
      <c r="O81" s="262">
        <f>O82+O85+O89+O88</f>
        <v>0</v>
      </c>
      <c r="P81" s="262">
        <f>P82+P85+P89+P88</f>
        <v>0</v>
      </c>
      <c r="Q81" s="262">
        <f>Q82+Q85+Q89+Q88</f>
        <v>0</v>
      </c>
      <c r="R81" s="233">
        <f t="shared" si="28"/>
        <v>-1391613</v>
      </c>
    </row>
    <row r="82" spans="1:18" s="4" customFormat="1" ht="12">
      <c r="A82" s="256" t="s">
        <v>50</v>
      </c>
      <c r="B82" s="441" t="s">
        <v>51</v>
      </c>
      <c r="C82" s="433">
        <v>-3999814</v>
      </c>
      <c r="D82" s="433">
        <v>-2831114</v>
      </c>
      <c r="E82" s="231">
        <f>E83+E84</f>
        <v>0</v>
      </c>
      <c r="F82" s="231">
        <f>F83+F84</f>
        <v>0</v>
      </c>
      <c r="G82" s="231">
        <f>G83+G84</f>
        <v>0</v>
      </c>
      <c r="H82" s="233">
        <f t="shared" si="26"/>
        <v>-2831114</v>
      </c>
      <c r="I82" s="231">
        <v>-3004368</v>
      </c>
      <c r="J82" s="231">
        <f>J83+J84</f>
        <v>0</v>
      </c>
      <c r="K82" s="231">
        <f>K83+K84</f>
        <v>0</v>
      </c>
      <c r="L82" s="231">
        <f>L83+L84</f>
        <v>0</v>
      </c>
      <c r="M82" s="233">
        <f t="shared" si="27"/>
        <v>-3004368</v>
      </c>
      <c r="N82" s="231">
        <v>-3201613</v>
      </c>
      <c r="O82" s="231">
        <f>O83+O84</f>
        <v>0</v>
      </c>
      <c r="P82" s="231">
        <f>P83+P84</f>
        <v>0</v>
      </c>
      <c r="Q82" s="231">
        <f>Q83+Q84</f>
        <v>0</v>
      </c>
      <c r="R82" s="233">
        <f t="shared" si="28"/>
        <v>-3201613</v>
      </c>
    </row>
    <row r="83" spans="1:18" s="6" customFormat="1" ht="12" hidden="1" customHeight="1">
      <c r="A83" s="256" t="s">
        <v>52</v>
      </c>
      <c r="B83" s="441" t="s">
        <v>53</v>
      </c>
      <c r="C83" s="433"/>
      <c r="D83" s="433">
        <v>0</v>
      </c>
      <c r="E83" s="231"/>
      <c r="F83" s="231"/>
      <c r="G83" s="231"/>
      <c r="H83" s="233">
        <f t="shared" si="26"/>
        <v>0</v>
      </c>
      <c r="I83" s="231">
        <v>0</v>
      </c>
      <c r="J83" s="231"/>
      <c r="K83" s="231"/>
      <c r="L83" s="231"/>
      <c r="M83" s="233">
        <f t="shared" si="27"/>
        <v>0</v>
      </c>
      <c r="N83" s="231">
        <v>0</v>
      </c>
      <c r="O83" s="231"/>
      <c r="P83" s="231"/>
      <c r="Q83" s="231"/>
      <c r="R83" s="233">
        <f t="shared" si="28"/>
        <v>0</v>
      </c>
    </row>
    <row r="84" spans="1:18" s="6" customFormat="1" ht="12">
      <c r="A84" s="256" t="s">
        <v>54</v>
      </c>
      <c r="B84" s="441" t="s">
        <v>55</v>
      </c>
      <c r="C84" s="433">
        <v>-3999814</v>
      </c>
      <c r="D84" s="433">
        <v>-2831114</v>
      </c>
      <c r="E84" s="231">
        <f>E168+E252</f>
        <v>0</v>
      </c>
      <c r="F84" s="231">
        <f>F168+F252</f>
        <v>0</v>
      </c>
      <c r="G84" s="231">
        <f>G168+G252</f>
        <v>0</v>
      </c>
      <c r="H84" s="233">
        <f t="shared" si="26"/>
        <v>-2831114</v>
      </c>
      <c r="I84" s="231">
        <v>-3004368</v>
      </c>
      <c r="J84" s="231">
        <f>J168+J252</f>
        <v>0</v>
      </c>
      <c r="K84" s="231">
        <f>K168+K252</f>
        <v>0</v>
      </c>
      <c r="L84" s="231">
        <f>L168+L252</f>
        <v>0</v>
      </c>
      <c r="M84" s="233">
        <f t="shared" si="27"/>
        <v>-3004368</v>
      </c>
      <c r="N84" s="231">
        <v>-3201613</v>
      </c>
      <c r="O84" s="231">
        <f>O168+O252</f>
        <v>0</v>
      </c>
      <c r="P84" s="231">
        <f>P168+P252</f>
        <v>0</v>
      </c>
      <c r="Q84" s="231">
        <f>Q168+Q252</f>
        <v>0</v>
      </c>
      <c r="R84" s="233">
        <f t="shared" si="28"/>
        <v>-3201613</v>
      </c>
    </row>
    <row r="85" spans="1:18" s="6" customFormat="1" ht="12">
      <c r="A85" s="256" t="s">
        <v>56</v>
      </c>
      <c r="B85" s="441" t="s">
        <v>57</v>
      </c>
      <c r="C85" s="433">
        <v>2603640</v>
      </c>
      <c r="D85" s="433">
        <v>1810000</v>
      </c>
      <c r="E85" s="231">
        <f>E86+E87</f>
        <v>0</v>
      </c>
      <c r="F85" s="231">
        <f>F86+F87</f>
        <v>0</v>
      </c>
      <c r="G85" s="231">
        <f>G86+G87</f>
        <v>0</v>
      </c>
      <c r="H85" s="233">
        <f t="shared" si="26"/>
        <v>1810000</v>
      </c>
      <c r="I85" s="231">
        <v>1810000</v>
      </c>
      <c r="J85" s="231">
        <f>J86+J87</f>
        <v>0</v>
      </c>
      <c r="K85" s="231">
        <f>K86+K87</f>
        <v>0</v>
      </c>
      <c r="L85" s="231">
        <f>L86+L87</f>
        <v>0</v>
      </c>
      <c r="M85" s="233">
        <f t="shared" si="27"/>
        <v>1810000</v>
      </c>
      <c r="N85" s="231">
        <v>1810000</v>
      </c>
      <c r="O85" s="231">
        <f>O86+O87</f>
        <v>0</v>
      </c>
      <c r="P85" s="231">
        <f>P86+P87</f>
        <v>0</v>
      </c>
      <c r="Q85" s="231">
        <f>Q86+Q87</f>
        <v>0</v>
      </c>
      <c r="R85" s="233">
        <f t="shared" si="28"/>
        <v>1810000</v>
      </c>
    </row>
    <row r="86" spans="1:18" s="6" customFormat="1" ht="12" hidden="1" customHeight="1">
      <c r="A86" s="256" t="s">
        <v>58</v>
      </c>
      <c r="B86" s="441" t="s">
        <v>59</v>
      </c>
      <c r="C86" s="433">
        <v>0</v>
      </c>
      <c r="D86" s="433">
        <v>0</v>
      </c>
      <c r="E86" s="231"/>
      <c r="F86" s="231"/>
      <c r="G86" s="231"/>
      <c r="H86" s="233">
        <f t="shared" si="26"/>
        <v>0</v>
      </c>
      <c r="I86" s="231">
        <v>0</v>
      </c>
      <c r="J86" s="231"/>
      <c r="K86" s="231"/>
      <c r="L86" s="231"/>
      <c r="M86" s="233">
        <f t="shared" si="27"/>
        <v>0</v>
      </c>
      <c r="N86" s="231">
        <v>0</v>
      </c>
      <c r="O86" s="231"/>
      <c r="P86" s="231"/>
      <c r="Q86" s="231"/>
      <c r="R86" s="233">
        <f t="shared" si="28"/>
        <v>0</v>
      </c>
    </row>
    <row r="87" spans="1:18" s="6" customFormat="1" ht="12">
      <c r="A87" s="256" t="s">
        <v>60</v>
      </c>
      <c r="B87" s="441" t="s">
        <v>61</v>
      </c>
      <c r="C87" s="433">
        <v>2603640</v>
      </c>
      <c r="D87" s="433">
        <v>1810000</v>
      </c>
      <c r="E87" s="231">
        <f>E171+E255</f>
        <v>0</v>
      </c>
      <c r="F87" s="231">
        <f>F171+F255</f>
        <v>0</v>
      </c>
      <c r="G87" s="231">
        <f>G171+G255</f>
        <v>0</v>
      </c>
      <c r="H87" s="233">
        <f t="shared" si="26"/>
        <v>1810000</v>
      </c>
      <c r="I87" s="231">
        <v>1810000</v>
      </c>
      <c r="J87" s="231">
        <f>J171+J255</f>
        <v>0</v>
      </c>
      <c r="K87" s="231">
        <f>K171+K255</f>
        <v>0</v>
      </c>
      <c r="L87" s="231">
        <f>L171+L255</f>
        <v>0</v>
      </c>
      <c r="M87" s="233">
        <f t="shared" si="27"/>
        <v>1810000</v>
      </c>
      <c r="N87" s="231">
        <v>1810000</v>
      </c>
      <c r="O87" s="231">
        <f>O171+O255</f>
        <v>0</v>
      </c>
      <c r="P87" s="231">
        <f>P171+P255</f>
        <v>0</v>
      </c>
      <c r="Q87" s="231">
        <f>Q171+Q255</f>
        <v>0</v>
      </c>
      <c r="R87" s="233">
        <f t="shared" si="28"/>
        <v>1810000</v>
      </c>
    </row>
    <row r="88" spans="1:18" s="6" customFormat="1" ht="12" hidden="1" customHeight="1">
      <c r="A88" s="256" t="s">
        <v>198</v>
      </c>
      <c r="B88" s="451" t="s">
        <v>168</v>
      </c>
      <c r="C88" s="433">
        <v>0</v>
      </c>
      <c r="D88" s="433">
        <v>0</v>
      </c>
      <c r="E88" s="231"/>
      <c r="F88" s="231"/>
      <c r="G88" s="231"/>
      <c r="H88" s="233">
        <f t="shared" si="26"/>
        <v>0</v>
      </c>
      <c r="I88" s="231">
        <v>0</v>
      </c>
      <c r="J88" s="231"/>
      <c r="K88" s="231"/>
      <c r="L88" s="231"/>
      <c r="M88" s="233">
        <f t="shared" si="27"/>
        <v>0</v>
      </c>
      <c r="N88" s="231">
        <v>0</v>
      </c>
      <c r="O88" s="231"/>
      <c r="P88" s="231"/>
      <c r="Q88" s="231"/>
      <c r="R88" s="233">
        <f t="shared" si="28"/>
        <v>0</v>
      </c>
    </row>
    <row r="89" spans="1:18" s="6" customFormat="1" ht="12">
      <c r="A89" s="144" t="s">
        <v>62</v>
      </c>
      <c r="B89" s="125" t="s">
        <v>63</v>
      </c>
      <c r="C89" s="404">
        <v>2723010</v>
      </c>
      <c r="D89" s="404">
        <v>2150000</v>
      </c>
      <c r="E89" s="233">
        <f>E90+E91+E92</f>
        <v>0</v>
      </c>
      <c r="F89" s="233">
        <f>F90+F91+F92</f>
        <v>0</v>
      </c>
      <c r="G89" s="233">
        <f>G90+G91+G92</f>
        <v>0</v>
      </c>
      <c r="H89" s="233">
        <f t="shared" si="26"/>
        <v>2150000</v>
      </c>
      <c r="I89" s="233">
        <v>0</v>
      </c>
      <c r="J89" s="233">
        <f>J90+J91+J92</f>
        <v>0</v>
      </c>
      <c r="K89" s="233">
        <f>K90+K91+K92</f>
        <v>0</v>
      </c>
      <c r="L89" s="233">
        <f>L90+L91+L92</f>
        <v>0</v>
      </c>
      <c r="M89" s="233">
        <f t="shared" si="27"/>
        <v>0</v>
      </c>
      <c r="N89" s="233">
        <v>0</v>
      </c>
      <c r="O89" s="233">
        <f>O90+O91+O92</f>
        <v>0</v>
      </c>
      <c r="P89" s="233">
        <f>P90+P91+P92</f>
        <v>0</v>
      </c>
      <c r="Q89" s="233">
        <f>Q90+Q91+Q92</f>
        <v>0</v>
      </c>
      <c r="R89" s="233">
        <f t="shared" si="28"/>
        <v>0</v>
      </c>
    </row>
    <row r="90" spans="1:18" s="6" customFormat="1" ht="36" hidden="1" customHeight="1">
      <c r="A90" s="144" t="s">
        <v>64</v>
      </c>
      <c r="B90" s="441" t="s">
        <v>65</v>
      </c>
      <c r="C90" s="433">
        <v>0</v>
      </c>
      <c r="D90" s="433">
        <v>0</v>
      </c>
      <c r="E90" s="231"/>
      <c r="F90" s="231"/>
      <c r="G90" s="231"/>
      <c r="H90" s="233">
        <f t="shared" si="26"/>
        <v>0</v>
      </c>
      <c r="I90" s="231">
        <v>0</v>
      </c>
      <c r="J90" s="231"/>
      <c r="K90" s="231"/>
      <c r="L90" s="231"/>
      <c r="M90" s="233">
        <f t="shared" si="27"/>
        <v>0</v>
      </c>
      <c r="N90" s="231">
        <v>0</v>
      </c>
      <c r="O90" s="231"/>
      <c r="P90" s="231"/>
      <c r="Q90" s="231"/>
      <c r="R90" s="233">
        <f t="shared" si="28"/>
        <v>0</v>
      </c>
    </row>
    <row r="91" spans="1:18" s="6" customFormat="1" ht="24">
      <c r="A91" s="144" t="s">
        <v>66</v>
      </c>
      <c r="B91" s="441" t="s">
        <v>67</v>
      </c>
      <c r="C91" s="433">
        <v>2723010</v>
      </c>
      <c r="D91" s="433">
        <v>2150000</v>
      </c>
      <c r="E91" s="231">
        <f>E175+E259</f>
        <v>0</v>
      </c>
      <c r="F91" s="231">
        <f>F175+F259</f>
        <v>0</v>
      </c>
      <c r="G91" s="231">
        <f>G175+G259</f>
        <v>0</v>
      </c>
      <c r="H91" s="233">
        <f t="shared" si="26"/>
        <v>2150000</v>
      </c>
      <c r="I91" s="231">
        <v>0</v>
      </c>
      <c r="J91" s="231">
        <f>J175+J259</f>
        <v>0</v>
      </c>
      <c r="K91" s="231">
        <f>K175+K259</f>
        <v>0</v>
      </c>
      <c r="L91" s="231">
        <f>L175+L259</f>
        <v>0</v>
      </c>
      <c r="M91" s="233">
        <f t="shared" si="27"/>
        <v>0</v>
      </c>
      <c r="N91" s="231">
        <v>0</v>
      </c>
      <c r="O91" s="231">
        <f>O175+O259</f>
        <v>0</v>
      </c>
      <c r="P91" s="231">
        <f>P175+P259</f>
        <v>0</v>
      </c>
      <c r="Q91" s="231">
        <f>Q175+Q259</f>
        <v>0</v>
      </c>
      <c r="R91" s="233">
        <f t="shared" si="28"/>
        <v>0</v>
      </c>
    </row>
    <row r="92" spans="1:18" s="6" customFormat="1" ht="24" hidden="1" customHeight="1">
      <c r="A92" s="144" t="s">
        <v>68</v>
      </c>
      <c r="B92" s="125" t="s">
        <v>69</v>
      </c>
      <c r="C92" s="433">
        <v>0</v>
      </c>
      <c r="D92" s="433">
        <v>0</v>
      </c>
      <c r="E92" s="231"/>
      <c r="F92" s="231"/>
      <c r="G92" s="231"/>
      <c r="H92" s="233">
        <f t="shared" si="26"/>
        <v>0</v>
      </c>
      <c r="I92" s="231">
        <v>0</v>
      </c>
      <c r="J92" s="231"/>
      <c r="K92" s="231"/>
      <c r="L92" s="231"/>
      <c r="M92" s="233">
        <f t="shared" si="27"/>
        <v>0</v>
      </c>
      <c r="N92" s="231">
        <v>0</v>
      </c>
      <c r="O92" s="231"/>
      <c r="P92" s="231"/>
      <c r="Q92" s="231"/>
      <c r="R92" s="233">
        <f t="shared" si="28"/>
        <v>0</v>
      </c>
    </row>
    <row r="93" spans="1:18" s="6" customFormat="1" ht="12">
      <c r="A93" s="922"/>
      <c r="B93" s="923" t="s">
        <v>199</v>
      </c>
      <c r="C93" s="938"/>
      <c r="D93" s="939">
        <v>0</v>
      </c>
      <c r="E93" s="611"/>
      <c r="F93" s="611"/>
      <c r="G93" s="611"/>
      <c r="H93" s="611">
        <f t="shared" si="26"/>
        <v>0</v>
      </c>
      <c r="I93" s="611">
        <v>0</v>
      </c>
      <c r="J93" s="611"/>
      <c r="K93" s="611"/>
      <c r="L93" s="611"/>
      <c r="M93" s="611">
        <f t="shared" si="27"/>
        <v>0</v>
      </c>
      <c r="N93" s="611">
        <v>0</v>
      </c>
      <c r="O93" s="611"/>
      <c r="P93" s="611"/>
      <c r="Q93" s="611"/>
      <c r="R93" s="611">
        <f t="shared" si="28"/>
        <v>0</v>
      </c>
    </row>
    <row r="94" spans="1:18" s="6" customFormat="1" ht="20.399999999999999">
      <c r="A94" s="129" t="s">
        <v>201</v>
      </c>
      <c r="B94" s="123" t="s">
        <v>88</v>
      </c>
      <c r="C94" s="432">
        <v>124406370</v>
      </c>
      <c r="D94" s="432">
        <v>126443401</v>
      </c>
      <c r="E94" s="228">
        <f>E95+E96+E98+E116</f>
        <v>115467</v>
      </c>
      <c r="F94" s="228">
        <f>F95+F96+F98+F116</f>
        <v>948798</v>
      </c>
      <c r="G94" s="228">
        <f>G95+G96+G98+G116</f>
        <v>4078213</v>
      </c>
      <c r="H94" s="243">
        <f t="shared" si="26"/>
        <v>131585879</v>
      </c>
      <c r="I94" s="228">
        <v>129155339</v>
      </c>
      <c r="J94" s="228">
        <f>J95+J96+J98+J116</f>
        <v>0</v>
      </c>
      <c r="K94" s="228">
        <f>K95+K96+K98+K116</f>
        <v>1342254</v>
      </c>
      <c r="L94" s="228">
        <f>L95+L96+L98+L116</f>
        <v>7840790</v>
      </c>
      <c r="M94" s="243">
        <f t="shared" si="27"/>
        <v>138338383</v>
      </c>
      <c r="N94" s="228">
        <v>128284372</v>
      </c>
      <c r="O94" s="228">
        <f>O95+O96+O98+O116</f>
        <v>0</v>
      </c>
      <c r="P94" s="228">
        <f>P95+P96+P98+P116</f>
        <v>932630</v>
      </c>
      <c r="Q94" s="228">
        <f>Q95+Q96+Q98+Q116</f>
        <v>8660075</v>
      </c>
      <c r="R94" s="243">
        <f t="shared" si="28"/>
        <v>137877077</v>
      </c>
    </row>
    <row r="95" spans="1:18" s="6" customFormat="1" ht="22.8">
      <c r="A95" s="130" t="s">
        <v>177</v>
      </c>
      <c r="B95" s="124" t="s">
        <v>90</v>
      </c>
      <c r="C95" s="262">
        <v>5656330</v>
      </c>
      <c r="D95" s="262">
        <v>5568054</v>
      </c>
      <c r="E95" s="231">
        <v>133664</v>
      </c>
      <c r="F95" s="231"/>
      <c r="G95" s="231"/>
      <c r="H95" s="233">
        <f t="shared" si="26"/>
        <v>5701718</v>
      </c>
      <c r="I95" s="231">
        <v>5558054</v>
      </c>
      <c r="J95" s="231"/>
      <c r="K95" s="231"/>
      <c r="L95" s="231"/>
      <c r="M95" s="233">
        <f t="shared" si="27"/>
        <v>5558054</v>
      </c>
      <c r="N95" s="231">
        <v>5558054</v>
      </c>
      <c r="O95" s="231"/>
      <c r="P95" s="231"/>
      <c r="Q95" s="231"/>
      <c r="R95" s="233">
        <f t="shared" si="28"/>
        <v>5558054</v>
      </c>
    </row>
    <row r="96" spans="1:18" s="6" customFormat="1" ht="12" hidden="1" customHeight="1">
      <c r="A96" s="130" t="s">
        <v>91</v>
      </c>
      <c r="B96" s="124" t="s">
        <v>92</v>
      </c>
      <c r="C96" s="262">
        <v>0</v>
      </c>
      <c r="D96" s="262">
        <v>0</v>
      </c>
      <c r="E96" s="231"/>
      <c r="F96" s="231"/>
      <c r="G96" s="231"/>
      <c r="H96" s="233">
        <f t="shared" si="26"/>
        <v>0</v>
      </c>
      <c r="I96" s="231">
        <v>0</v>
      </c>
      <c r="J96" s="231"/>
      <c r="K96" s="231"/>
      <c r="L96" s="231"/>
      <c r="M96" s="233">
        <f t="shared" si="27"/>
        <v>0</v>
      </c>
      <c r="N96" s="231">
        <v>0</v>
      </c>
      <c r="O96" s="231"/>
      <c r="P96" s="231"/>
      <c r="Q96" s="231"/>
      <c r="R96" s="233">
        <f t="shared" si="28"/>
        <v>0</v>
      </c>
    </row>
    <row r="97" spans="1:18" s="6" customFormat="1" ht="24" hidden="1" customHeight="1">
      <c r="A97" s="131">
        <v>21210</v>
      </c>
      <c r="B97" s="125" t="s">
        <v>93</v>
      </c>
      <c r="C97" s="262">
        <v>0</v>
      </c>
      <c r="D97" s="262">
        <v>0</v>
      </c>
      <c r="E97" s="231"/>
      <c r="F97" s="231"/>
      <c r="G97" s="231"/>
      <c r="H97" s="233">
        <f t="shared" si="26"/>
        <v>0</v>
      </c>
      <c r="I97" s="231">
        <v>0</v>
      </c>
      <c r="J97" s="231"/>
      <c r="K97" s="231"/>
      <c r="L97" s="231"/>
      <c r="M97" s="233">
        <f t="shared" si="27"/>
        <v>0</v>
      </c>
      <c r="N97" s="231">
        <v>0</v>
      </c>
      <c r="O97" s="231"/>
      <c r="P97" s="231"/>
      <c r="Q97" s="231"/>
      <c r="R97" s="233">
        <f t="shared" si="28"/>
        <v>0</v>
      </c>
    </row>
    <row r="98" spans="1:18" s="6" customFormat="1" ht="20.399999999999999">
      <c r="A98" s="130" t="s">
        <v>178</v>
      </c>
      <c r="B98" s="124" t="s">
        <v>94</v>
      </c>
      <c r="C98" s="254">
        <v>99164</v>
      </c>
      <c r="D98" s="254">
        <v>0</v>
      </c>
      <c r="E98" s="233">
        <f>E99+E105</f>
        <v>0</v>
      </c>
      <c r="F98" s="233">
        <f>F99+F105</f>
        <v>0</v>
      </c>
      <c r="G98" s="233">
        <f>G99+G105</f>
        <v>0</v>
      </c>
      <c r="H98" s="233">
        <f t="shared" si="26"/>
        <v>0</v>
      </c>
      <c r="I98" s="233">
        <v>0</v>
      </c>
      <c r="J98" s="233">
        <f>J99+J105</f>
        <v>0</v>
      </c>
      <c r="K98" s="233">
        <f>K99+K105</f>
        <v>0</v>
      </c>
      <c r="L98" s="233">
        <f>L99+L105</f>
        <v>0</v>
      </c>
      <c r="M98" s="233">
        <f t="shared" si="27"/>
        <v>0</v>
      </c>
      <c r="N98" s="233">
        <v>0</v>
      </c>
      <c r="O98" s="233">
        <f>O99+O105</f>
        <v>0</v>
      </c>
      <c r="P98" s="233">
        <f>P99+P105</f>
        <v>0</v>
      </c>
      <c r="Q98" s="233">
        <f>Q99+Q105</f>
        <v>0</v>
      </c>
      <c r="R98" s="233">
        <f t="shared" si="28"/>
        <v>0</v>
      </c>
    </row>
    <row r="99" spans="1:18" s="6" customFormat="1" ht="12">
      <c r="A99" s="132">
        <v>18000</v>
      </c>
      <c r="B99" s="125" t="s">
        <v>95</v>
      </c>
      <c r="C99" s="404">
        <v>99164</v>
      </c>
      <c r="D99" s="404">
        <v>0</v>
      </c>
      <c r="E99" s="233">
        <f t="shared" ref="E99:L100" si="29">E100</f>
        <v>0</v>
      </c>
      <c r="F99" s="233">
        <f t="shared" si="29"/>
        <v>0</v>
      </c>
      <c r="G99" s="233">
        <f t="shared" si="29"/>
        <v>0</v>
      </c>
      <c r="H99" s="233">
        <f t="shared" si="26"/>
        <v>0</v>
      </c>
      <c r="I99" s="233">
        <v>0</v>
      </c>
      <c r="J99" s="233">
        <f t="shared" si="29"/>
        <v>0</v>
      </c>
      <c r="K99" s="233">
        <f t="shared" si="29"/>
        <v>0</v>
      </c>
      <c r="L99" s="233">
        <f t="shared" si="29"/>
        <v>0</v>
      </c>
      <c r="M99" s="233">
        <f t="shared" si="27"/>
        <v>0</v>
      </c>
      <c r="N99" s="233">
        <v>0</v>
      </c>
      <c r="O99" s="233">
        <f t="shared" ref="O99:Q100" si="30">O100</f>
        <v>0</v>
      </c>
      <c r="P99" s="233">
        <f t="shared" si="30"/>
        <v>0</v>
      </c>
      <c r="Q99" s="233">
        <f t="shared" si="30"/>
        <v>0</v>
      </c>
      <c r="R99" s="233">
        <f t="shared" si="28"/>
        <v>0</v>
      </c>
    </row>
    <row r="100" spans="1:18" s="6" customFormat="1" ht="12">
      <c r="A100" s="132">
        <v>18100</v>
      </c>
      <c r="B100" s="125" t="s">
        <v>96</v>
      </c>
      <c r="C100" s="404">
        <v>99164</v>
      </c>
      <c r="D100" s="404">
        <v>0</v>
      </c>
      <c r="E100" s="233">
        <f t="shared" si="29"/>
        <v>0</v>
      </c>
      <c r="F100" s="233">
        <f t="shared" si="29"/>
        <v>0</v>
      </c>
      <c r="G100" s="233">
        <f t="shared" si="29"/>
        <v>0</v>
      </c>
      <c r="H100" s="233">
        <f t="shared" si="26"/>
        <v>0</v>
      </c>
      <c r="I100" s="233">
        <v>0</v>
      </c>
      <c r="J100" s="233">
        <f t="shared" si="29"/>
        <v>0</v>
      </c>
      <c r="K100" s="233">
        <f t="shared" si="29"/>
        <v>0</v>
      </c>
      <c r="L100" s="233">
        <f t="shared" si="29"/>
        <v>0</v>
      </c>
      <c r="M100" s="233">
        <f t="shared" si="27"/>
        <v>0</v>
      </c>
      <c r="N100" s="233">
        <v>0</v>
      </c>
      <c r="O100" s="233">
        <f t="shared" si="30"/>
        <v>0</v>
      </c>
      <c r="P100" s="233">
        <f t="shared" si="30"/>
        <v>0</v>
      </c>
      <c r="Q100" s="233">
        <f t="shared" si="30"/>
        <v>0</v>
      </c>
      <c r="R100" s="233">
        <f t="shared" si="28"/>
        <v>0</v>
      </c>
    </row>
    <row r="101" spans="1:18" s="6" customFormat="1" ht="24">
      <c r="A101" s="234">
        <v>18130</v>
      </c>
      <c r="B101" s="239" t="s">
        <v>159</v>
      </c>
      <c r="C101" s="404">
        <v>99164</v>
      </c>
      <c r="D101" s="404">
        <v>0</v>
      </c>
      <c r="E101" s="233">
        <f>SUM(E102:E104)</f>
        <v>0</v>
      </c>
      <c r="F101" s="233">
        <f>SUM(F102:F104)</f>
        <v>0</v>
      </c>
      <c r="G101" s="233">
        <f>SUM(G102:G104)</f>
        <v>0</v>
      </c>
      <c r="H101" s="233">
        <f t="shared" si="26"/>
        <v>0</v>
      </c>
      <c r="I101" s="233">
        <v>0</v>
      </c>
      <c r="J101" s="233">
        <f>SUM(J102:J104)</f>
        <v>0</v>
      </c>
      <c r="K101" s="233">
        <f>SUM(K102:K104)</f>
        <v>0</v>
      </c>
      <c r="L101" s="233">
        <f>SUM(L102:L104)</f>
        <v>0</v>
      </c>
      <c r="M101" s="233">
        <f t="shared" si="27"/>
        <v>0</v>
      </c>
      <c r="N101" s="233">
        <v>0</v>
      </c>
      <c r="O101" s="233">
        <f>SUM(O102:O104)</f>
        <v>0</v>
      </c>
      <c r="P101" s="233">
        <f>SUM(P102:P104)</f>
        <v>0</v>
      </c>
      <c r="Q101" s="233">
        <f>SUM(Q102:Q104)</f>
        <v>0</v>
      </c>
      <c r="R101" s="233">
        <f t="shared" si="28"/>
        <v>0</v>
      </c>
    </row>
    <row r="102" spans="1:18" s="6" customFormat="1" ht="24">
      <c r="A102" s="236">
        <v>18131</v>
      </c>
      <c r="B102" s="239" t="s">
        <v>160</v>
      </c>
      <c r="C102" s="404">
        <v>99164</v>
      </c>
      <c r="D102" s="404">
        <v>0</v>
      </c>
      <c r="E102" s="233"/>
      <c r="F102" s="233"/>
      <c r="G102" s="233"/>
      <c r="H102" s="233">
        <f t="shared" si="26"/>
        <v>0</v>
      </c>
      <c r="I102" s="233">
        <v>0</v>
      </c>
      <c r="J102" s="233"/>
      <c r="K102" s="233"/>
      <c r="L102" s="233"/>
      <c r="M102" s="233">
        <f t="shared" si="27"/>
        <v>0</v>
      </c>
      <c r="N102" s="233">
        <v>0</v>
      </c>
      <c r="O102" s="233"/>
      <c r="P102" s="233"/>
      <c r="Q102" s="233"/>
      <c r="R102" s="233">
        <f t="shared" si="28"/>
        <v>0</v>
      </c>
    </row>
    <row r="103" spans="1:18" s="6" customFormat="1" ht="24" hidden="1" customHeight="1">
      <c r="A103" s="236">
        <v>18132</v>
      </c>
      <c r="B103" s="239" t="s">
        <v>169</v>
      </c>
      <c r="C103" s="404">
        <v>0</v>
      </c>
      <c r="D103" s="404">
        <v>0</v>
      </c>
      <c r="E103" s="233"/>
      <c r="F103" s="233"/>
      <c r="G103" s="233"/>
      <c r="H103" s="233">
        <f t="shared" si="26"/>
        <v>0</v>
      </c>
      <c r="I103" s="233">
        <v>0</v>
      </c>
      <c r="J103" s="233"/>
      <c r="K103" s="233"/>
      <c r="L103" s="233"/>
      <c r="M103" s="233">
        <f t="shared" si="27"/>
        <v>0</v>
      </c>
      <c r="N103" s="233">
        <v>0</v>
      </c>
      <c r="O103" s="233"/>
      <c r="P103" s="233"/>
      <c r="Q103" s="233"/>
      <c r="R103" s="233">
        <f t="shared" si="28"/>
        <v>0</v>
      </c>
    </row>
    <row r="104" spans="1:18" s="6" customFormat="1" ht="24" hidden="1" customHeight="1">
      <c r="A104" s="236">
        <v>18139</v>
      </c>
      <c r="B104" s="239" t="s">
        <v>179</v>
      </c>
      <c r="C104" s="404">
        <v>0</v>
      </c>
      <c r="D104" s="404">
        <v>0</v>
      </c>
      <c r="E104" s="233"/>
      <c r="F104" s="233"/>
      <c r="G104" s="233"/>
      <c r="H104" s="233">
        <f t="shared" si="26"/>
        <v>0</v>
      </c>
      <c r="I104" s="233">
        <v>0</v>
      </c>
      <c r="J104" s="233"/>
      <c r="K104" s="233"/>
      <c r="L104" s="233"/>
      <c r="M104" s="233">
        <f t="shared" si="27"/>
        <v>0</v>
      </c>
      <c r="N104" s="233">
        <v>0</v>
      </c>
      <c r="O104" s="233"/>
      <c r="P104" s="233"/>
      <c r="Q104" s="233"/>
      <c r="R104" s="233">
        <f t="shared" si="28"/>
        <v>0</v>
      </c>
    </row>
    <row r="105" spans="1:18" s="6" customFormat="1" ht="12" hidden="1" customHeight="1">
      <c r="A105" s="135" t="s">
        <v>180</v>
      </c>
      <c r="B105" s="173" t="s">
        <v>173</v>
      </c>
      <c r="C105" s="436">
        <v>0</v>
      </c>
      <c r="D105" s="436">
        <v>0</v>
      </c>
      <c r="E105" s="238">
        <f t="shared" ref="E105:L105" si="31">E106</f>
        <v>0</v>
      </c>
      <c r="F105" s="238">
        <f t="shared" si="31"/>
        <v>0</v>
      </c>
      <c r="G105" s="238">
        <f t="shared" si="31"/>
        <v>0</v>
      </c>
      <c r="H105" s="233">
        <f t="shared" si="26"/>
        <v>0</v>
      </c>
      <c r="I105" s="238">
        <v>0</v>
      </c>
      <c r="J105" s="238">
        <f t="shared" si="31"/>
        <v>0</v>
      </c>
      <c r="K105" s="238">
        <f t="shared" si="31"/>
        <v>0</v>
      </c>
      <c r="L105" s="238">
        <f t="shared" si="31"/>
        <v>0</v>
      </c>
      <c r="M105" s="233">
        <f t="shared" si="27"/>
        <v>0</v>
      </c>
      <c r="N105" s="238">
        <v>0</v>
      </c>
      <c r="O105" s="238">
        <f>O106</f>
        <v>0</v>
      </c>
      <c r="P105" s="238">
        <f>P106</f>
        <v>0</v>
      </c>
      <c r="Q105" s="238">
        <f>Q106</f>
        <v>0</v>
      </c>
      <c r="R105" s="233">
        <f t="shared" si="28"/>
        <v>0</v>
      </c>
    </row>
    <row r="106" spans="1:18" s="6" customFormat="1" ht="24" hidden="1" customHeight="1">
      <c r="A106" s="135">
        <v>19500</v>
      </c>
      <c r="B106" s="239" t="s">
        <v>174</v>
      </c>
      <c r="C106" s="404">
        <v>0</v>
      </c>
      <c r="D106" s="404">
        <v>0</v>
      </c>
      <c r="E106" s="233">
        <f>SUM(E107:E109)</f>
        <v>0</v>
      </c>
      <c r="F106" s="233">
        <f>SUM(F107:F109)</f>
        <v>0</v>
      </c>
      <c r="G106" s="233">
        <f>SUM(G107:G109)</f>
        <v>0</v>
      </c>
      <c r="H106" s="233">
        <f t="shared" si="26"/>
        <v>0</v>
      </c>
      <c r="I106" s="233">
        <v>0</v>
      </c>
      <c r="J106" s="233">
        <f>SUM(J107:J109)</f>
        <v>0</v>
      </c>
      <c r="K106" s="233">
        <f>SUM(K107:K109)</f>
        <v>0</v>
      </c>
      <c r="L106" s="233">
        <f>SUM(L107:L109)</f>
        <v>0</v>
      </c>
      <c r="M106" s="233">
        <f t="shared" si="27"/>
        <v>0</v>
      </c>
      <c r="N106" s="233">
        <v>0</v>
      </c>
      <c r="O106" s="233">
        <f>SUM(O107:O109)</f>
        <v>0</v>
      </c>
      <c r="P106" s="233">
        <f>SUM(P107:P109)</f>
        <v>0</v>
      </c>
      <c r="Q106" s="233">
        <f>SUM(Q107:Q109)</f>
        <v>0</v>
      </c>
      <c r="R106" s="233">
        <f t="shared" si="28"/>
        <v>0</v>
      </c>
    </row>
    <row r="107" spans="1:18" s="6" customFormat="1" ht="24" hidden="1" customHeight="1">
      <c r="A107" s="136">
        <v>19550</v>
      </c>
      <c r="B107" s="239" t="s">
        <v>175</v>
      </c>
      <c r="C107" s="404">
        <v>0</v>
      </c>
      <c r="D107" s="404">
        <v>0</v>
      </c>
      <c r="E107" s="233"/>
      <c r="F107" s="233"/>
      <c r="G107" s="233"/>
      <c r="H107" s="233">
        <f t="shared" si="26"/>
        <v>0</v>
      </c>
      <c r="I107" s="233">
        <v>0</v>
      </c>
      <c r="J107" s="233"/>
      <c r="K107" s="233"/>
      <c r="L107" s="233"/>
      <c r="M107" s="233">
        <f t="shared" si="27"/>
        <v>0</v>
      </c>
      <c r="N107" s="233">
        <v>0</v>
      </c>
      <c r="O107" s="233"/>
      <c r="P107" s="233"/>
      <c r="Q107" s="233"/>
      <c r="R107" s="233">
        <f t="shared" si="28"/>
        <v>0</v>
      </c>
    </row>
    <row r="108" spans="1:18" s="6" customFormat="1" ht="36" hidden="1" customHeight="1">
      <c r="A108" s="136">
        <v>19560</v>
      </c>
      <c r="B108" s="239" t="s">
        <v>181</v>
      </c>
      <c r="C108" s="404">
        <v>0</v>
      </c>
      <c r="D108" s="404">
        <v>0</v>
      </c>
      <c r="E108" s="233"/>
      <c r="F108" s="233"/>
      <c r="G108" s="233"/>
      <c r="H108" s="233">
        <f t="shared" si="26"/>
        <v>0</v>
      </c>
      <c r="I108" s="233">
        <v>0</v>
      </c>
      <c r="J108" s="233"/>
      <c r="K108" s="233"/>
      <c r="L108" s="233"/>
      <c r="M108" s="233">
        <f t="shared" si="27"/>
        <v>0</v>
      </c>
      <c r="N108" s="233">
        <v>0</v>
      </c>
      <c r="O108" s="233"/>
      <c r="P108" s="233"/>
      <c r="Q108" s="233"/>
      <c r="R108" s="233">
        <f t="shared" si="28"/>
        <v>0</v>
      </c>
    </row>
    <row r="109" spans="1:18" s="6" customFormat="1" ht="72" hidden="1" customHeight="1">
      <c r="A109" s="136">
        <v>19570</v>
      </c>
      <c r="B109" s="239" t="s">
        <v>182</v>
      </c>
      <c r="C109" s="404">
        <v>0</v>
      </c>
      <c r="D109" s="404">
        <v>0</v>
      </c>
      <c r="E109" s="233"/>
      <c r="F109" s="233"/>
      <c r="G109" s="233"/>
      <c r="H109" s="233">
        <f t="shared" si="26"/>
        <v>0</v>
      </c>
      <c r="I109" s="233">
        <v>0</v>
      </c>
      <c r="J109" s="233"/>
      <c r="K109" s="233"/>
      <c r="L109" s="233"/>
      <c r="M109" s="233">
        <f t="shared" si="27"/>
        <v>0</v>
      </c>
      <c r="N109" s="233">
        <v>0</v>
      </c>
      <c r="O109" s="233"/>
      <c r="P109" s="233"/>
      <c r="Q109" s="233"/>
      <c r="R109" s="233">
        <f t="shared" si="28"/>
        <v>0</v>
      </c>
    </row>
    <row r="110" spans="1:18" s="6" customFormat="1" ht="24" hidden="1" customHeight="1">
      <c r="A110" s="240" t="s">
        <v>222</v>
      </c>
      <c r="B110" s="241" t="s">
        <v>216</v>
      </c>
      <c r="C110" s="233">
        <v>0</v>
      </c>
      <c r="D110" s="233">
        <v>0</v>
      </c>
      <c r="E110" s="233">
        <f t="shared" ref="E110:L110" si="32">E111</f>
        <v>0</v>
      </c>
      <c r="F110" s="233">
        <f t="shared" si="32"/>
        <v>0</v>
      </c>
      <c r="G110" s="233">
        <f t="shared" si="32"/>
        <v>0</v>
      </c>
      <c r="H110" s="233">
        <f t="shared" si="26"/>
        <v>0</v>
      </c>
      <c r="I110" s="233">
        <v>0</v>
      </c>
      <c r="J110" s="233">
        <f t="shared" si="32"/>
        <v>0</v>
      </c>
      <c r="K110" s="233">
        <f t="shared" si="32"/>
        <v>0</v>
      </c>
      <c r="L110" s="233">
        <f t="shared" si="32"/>
        <v>0</v>
      </c>
      <c r="M110" s="233">
        <f t="shared" si="27"/>
        <v>0</v>
      </c>
      <c r="N110" s="233">
        <v>0</v>
      </c>
      <c r="O110" s="233">
        <f>O111</f>
        <v>0</v>
      </c>
      <c r="P110" s="233">
        <f>P111</f>
        <v>0</v>
      </c>
      <c r="Q110" s="233">
        <f>Q111</f>
        <v>0</v>
      </c>
      <c r="R110" s="233">
        <f t="shared" si="28"/>
        <v>0</v>
      </c>
    </row>
    <row r="111" spans="1:18" s="6" customFormat="1" ht="36" hidden="1" customHeight="1">
      <c r="A111" s="240">
        <v>17100</v>
      </c>
      <c r="B111" s="241" t="s">
        <v>217</v>
      </c>
      <c r="C111" s="233">
        <v>0</v>
      </c>
      <c r="D111" s="233">
        <v>0</v>
      </c>
      <c r="E111" s="233">
        <f>SUM(E112:E115)</f>
        <v>0</v>
      </c>
      <c r="F111" s="233">
        <f>SUM(F112:F115)</f>
        <v>0</v>
      </c>
      <c r="G111" s="233">
        <f>SUM(G112:G115)</f>
        <v>0</v>
      </c>
      <c r="H111" s="233">
        <f t="shared" si="26"/>
        <v>0</v>
      </c>
      <c r="I111" s="233">
        <v>0</v>
      </c>
      <c r="J111" s="233">
        <f>SUM(J112:J115)</f>
        <v>0</v>
      </c>
      <c r="K111" s="233">
        <f>SUM(K112:K115)</f>
        <v>0</v>
      </c>
      <c r="L111" s="233">
        <f>SUM(L112:L115)</f>
        <v>0</v>
      </c>
      <c r="M111" s="233">
        <f t="shared" si="27"/>
        <v>0</v>
      </c>
      <c r="N111" s="233">
        <v>0</v>
      </c>
      <c r="O111" s="233">
        <f>SUM(O112:O115)</f>
        <v>0</v>
      </c>
      <c r="P111" s="233">
        <f>SUM(P112:P115)</f>
        <v>0</v>
      </c>
      <c r="Q111" s="233">
        <f>SUM(Q112:Q115)</f>
        <v>0</v>
      </c>
      <c r="R111" s="233">
        <f t="shared" si="28"/>
        <v>0</v>
      </c>
    </row>
    <row r="112" spans="1:18" s="6" customFormat="1" ht="60" hidden="1" customHeight="1">
      <c r="A112" s="242">
        <v>17110</v>
      </c>
      <c r="B112" s="241" t="s">
        <v>218</v>
      </c>
      <c r="C112" s="233"/>
      <c r="D112" s="233">
        <v>0</v>
      </c>
      <c r="E112" s="233"/>
      <c r="F112" s="233"/>
      <c r="G112" s="233"/>
      <c r="H112" s="233">
        <f t="shared" si="26"/>
        <v>0</v>
      </c>
      <c r="I112" s="233">
        <v>0</v>
      </c>
      <c r="J112" s="233"/>
      <c r="K112" s="233"/>
      <c r="L112" s="233"/>
      <c r="M112" s="233">
        <f t="shared" si="27"/>
        <v>0</v>
      </c>
      <c r="N112" s="233">
        <v>0</v>
      </c>
      <c r="O112" s="233"/>
      <c r="P112" s="233"/>
      <c r="Q112" s="233"/>
      <c r="R112" s="233">
        <f t="shared" si="28"/>
        <v>0</v>
      </c>
    </row>
    <row r="113" spans="1:18" s="6" customFormat="1" ht="60" hidden="1" customHeight="1">
      <c r="A113" s="242">
        <v>17120</v>
      </c>
      <c r="B113" s="241" t="s">
        <v>219</v>
      </c>
      <c r="C113" s="233"/>
      <c r="D113" s="233">
        <v>0</v>
      </c>
      <c r="E113" s="233"/>
      <c r="F113" s="233"/>
      <c r="G113" s="233"/>
      <c r="H113" s="233">
        <f t="shared" si="26"/>
        <v>0</v>
      </c>
      <c r="I113" s="233">
        <v>0</v>
      </c>
      <c r="J113" s="233"/>
      <c r="K113" s="233"/>
      <c r="L113" s="233"/>
      <c r="M113" s="233">
        <f t="shared" si="27"/>
        <v>0</v>
      </c>
      <c r="N113" s="233">
        <v>0</v>
      </c>
      <c r="O113" s="233"/>
      <c r="P113" s="233"/>
      <c r="Q113" s="233"/>
      <c r="R113" s="233">
        <f t="shared" si="28"/>
        <v>0</v>
      </c>
    </row>
    <row r="114" spans="1:18" s="6" customFormat="1" ht="108" hidden="1" customHeight="1">
      <c r="A114" s="242">
        <v>17130</v>
      </c>
      <c r="B114" s="241" t="s">
        <v>220</v>
      </c>
      <c r="C114" s="233"/>
      <c r="D114" s="233">
        <v>0</v>
      </c>
      <c r="E114" s="233"/>
      <c r="F114" s="233"/>
      <c r="G114" s="233"/>
      <c r="H114" s="233">
        <f t="shared" si="26"/>
        <v>0</v>
      </c>
      <c r="I114" s="233">
        <v>0</v>
      </c>
      <c r="J114" s="233"/>
      <c r="K114" s="233"/>
      <c r="L114" s="233"/>
      <c r="M114" s="233">
        <f t="shared" si="27"/>
        <v>0</v>
      </c>
      <c r="N114" s="233">
        <v>0</v>
      </c>
      <c r="O114" s="233"/>
      <c r="P114" s="233"/>
      <c r="Q114" s="233"/>
      <c r="R114" s="233">
        <f t="shared" si="28"/>
        <v>0</v>
      </c>
    </row>
    <row r="115" spans="1:18" s="6" customFormat="1" ht="96" hidden="1" customHeight="1">
      <c r="A115" s="242">
        <v>17140</v>
      </c>
      <c r="B115" s="241" t="s">
        <v>221</v>
      </c>
      <c r="C115" s="233"/>
      <c r="D115" s="233">
        <v>0</v>
      </c>
      <c r="E115" s="233"/>
      <c r="F115" s="233"/>
      <c r="G115" s="233"/>
      <c r="H115" s="233">
        <f t="shared" si="26"/>
        <v>0</v>
      </c>
      <c r="I115" s="233">
        <v>0</v>
      </c>
      <c r="J115" s="233"/>
      <c r="K115" s="233"/>
      <c r="L115" s="233"/>
      <c r="M115" s="233">
        <f t="shared" si="27"/>
        <v>0</v>
      </c>
      <c r="N115" s="233">
        <v>0</v>
      </c>
      <c r="O115" s="233"/>
      <c r="P115" s="233"/>
      <c r="Q115" s="233"/>
      <c r="R115" s="233">
        <f t="shared" si="28"/>
        <v>0</v>
      </c>
    </row>
    <row r="116" spans="1:18" s="6" customFormat="1" ht="12">
      <c r="A116" s="137">
        <v>21700</v>
      </c>
      <c r="B116" s="124" t="s">
        <v>97</v>
      </c>
      <c r="C116" s="254">
        <v>118650876</v>
      </c>
      <c r="D116" s="254">
        <v>120875347</v>
      </c>
      <c r="E116" s="233">
        <f>E117+E118</f>
        <v>-18197</v>
      </c>
      <c r="F116" s="233">
        <f>F117+F118</f>
        <v>948798</v>
      </c>
      <c r="G116" s="233">
        <f>G117+G118</f>
        <v>4078213</v>
      </c>
      <c r="H116" s="233">
        <f t="shared" si="26"/>
        <v>125884161</v>
      </c>
      <c r="I116" s="233">
        <v>123597285</v>
      </c>
      <c r="J116" s="233">
        <f>J117+J118</f>
        <v>0</v>
      </c>
      <c r="K116" s="233">
        <f>K117+K118</f>
        <v>1342254</v>
      </c>
      <c r="L116" s="233">
        <f>L117+L118</f>
        <v>7840790</v>
      </c>
      <c r="M116" s="233">
        <f t="shared" si="27"/>
        <v>132780329</v>
      </c>
      <c r="N116" s="233">
        <v>122726318</v>
      </c>
      <c r="O116" s="233">
        <f>O117+O118</f>
        <v>0</v>
      </c>
      <c r="P116" s="233">
        <f>P117+P118</f>
        <v>932630</v>
      </c>
      <c r="Q116" s="233">
        <f>Q117+Q118</f>
        <v>8660075</v>
      </c>
      <c r="R116" s="233">
        <f t="shared" si="28"/>
        <v>132319023</v>
      </c>
    </row>
    <row r="117" spans="1:18" s="6" customFormat="1" ht="24">
      <c r="A117" s="138">
        <v>21710</v>
      </c>
      <c r="B117" s="125" t="s">
        <v>98</v>
      </c>
      <c r="C117" s="404">
        <v>118650876</v>
      </c>
      <c r="D117" s="404">
        <v>120875347</v>
      </c>
      <c r="E117" s="233">
        <v>-18197</v>
      </c>
      <c r="F117" s="233">
        <f>875046+73752</f>
        <v>948798</v>
      </c>
      <c r="G117" s="233">
        <v>4078213</v>
      </c>
      <c r="H117" s="233">
        <f t="shared" si="26"/>
        <v>125884161</v>
      </c>
      <c r="I117" s="233">
        <v>123597285</v>
      </c>
      <c r="J117" s="233"/>
      <c r="K117" s="233">
        <f>875046+386542+80666</f>
        <v>1342254</v>
      </c>
      <c r="L117" s="233">
        <v>7840790</v>
      </c>
      <c r="M117" s="233">
        <f t="shared" si="27"/>
        <v>132780329</v>
      </c>
      <c r="N117" s="233">
        <v>122726318</v>
      </c>
      <c r="O117" s="233"/>
      <c r="P117" s="233">
        <f>875046+57584</f>
        <v>932630</v>
      </c>
      <c r="Q117" s="233">
        <v>8660075</v>
      </c>
      <c r="R117" s="233">
        <f t="shared" si="28"/>
        <v>132319023</v>
      </c>
    </row>
    <row r="118" spans="1:18" s="6" customFormat="1" ht="24" hidden="1" customHeight="1">
      <c r="A118" s="138">
        <v>21720</v>
      </c>
      <c r="B118" s="125" t="s">
        <v>99</v>
      </c>
      <c r="C118" s="404">
        <v>0</v>
      </c>
      <c r="D118" s="404">
        <v>0</v>
      </c>
      <c r="E118" s="233"/>
      <c r="F118" s="233"/>
      <c r="G118" s="233"/>
      <c r="H118" s="233">
        <f t="shared" si="26"/>
        <v>0</v>
      </c>
      <c r="I118" s="233">
        <v>0</v>
      </c>
      <c r="J118" s="233"/>
      <c r="K118" s="233"/>
      <c r="L118" s="233"/>
      <c r="M118" s="233">
        <f t="shared" si="27"/>
        <v>0</v>
      </c>
      <c r="N118" s="233">
        <v>0</v>
      </c>
      <c r="O118" s="233"/>
      <c r="P118" s="233"/>
      <c r="Q118" s="233"/>
      <c r="R118" s="233">
        <f t="shared" si="28"/>
        <v>0</v>
      </c>
    </row>
    <row r="119" spans="1:18" s="6" customFormat="1" ht="11.4">
      <c r="A119" s="129" t="s">
        <v>100</v>
      </c>
      <c r="B119" s="123" t="s">
        <v>101</v>
      </c>
      <c r="C119" s="403">
        <v>123010196</v>
      </c>
      <c r="D119" s="403">
        <v>125422287</v>
      </c>
      <c r="E119" s="243">
        <f>E120+E147</f>
        <v>115467</v>
      </c>
      <c r="F119" s="243">
        <f>F120+F147</f>
        <v>948798</v>
      </c>
      <c r="G119" s="243">
        <f>G120+G147</f>
        <v>4078213</v>
      </c>
      <c r="H119" s="243">
        <f t="shared" si="26"/>
        <v>130564765</v>
      </c>
      <c r="I119" s="243">
        <v>127960971</v>
      </c>
      <c r="J119" s="243">
        <f>J120+J147</f>
        <v>0</v>
      </c>
      <c r="K119" s="243">
        <f>K120+K147</f>
        <v>1342254</v>
      </c>
      <c r="L119" s="243">
        <f>L120+L147</f>
        <v>7840790</v>
      </c>
      <c r="M119" s="243">
        <f t="shared" si="27"/>
        <v>137144015</v>
      </c>
      <c r="N119" s="243">
        <v>126892759</v>
      </c>
      <c r="O119" s="243">
        <f>O120+O147</f>
        <v>0</v>
      </c>
      <c r="P119" s="243">
        <f>P120+P147</f>
        <v>932630</v>
      </c>
      <c r="Q119" s="243">
        <f>Q120+Q147</f>
        <v>8660075</v>
      </c>
      <c r="R119" s="243">
        <f t="shared" si="28"/>
        <v>136485464</v>
      </c>
    </row>
    <row r="120" spans="1:18" s="6" customFormat="1" ht="20.399999999999999">
      <c r="A120" s="130" t="s">
        <v>102</v>
      </c>
      <c r="B120" s="124" t="s">
        <v>103</v>
      </c>
      <c r="C120" s="254">
        <v>122027685</v>
      </c>
      <c r="D120" s="254">
        <v>124303295</v>
      </c>
      <c r="E120" s="233">
        <f>E121+E125+E126+E129+E132</f>
        <v>102837</v>
      </c>
      <c r="F120" s="233">
        <f>F121+F125+F126+F129+F132</f>
        <v>948798</v>
      </c>
      <c r="G120" s="233">
        <f>G121+G125+G126+G129+G132</f>
        <v>2964728</v>
      </c>
      <c r="H120" s="233">
        <f t="shared" si="26"/>
        <v>128319658</v>
      </c>
      <c r="I120" s="233">
        <v>127121979</v>
      </c>
      <c r="J120" s="233">
        <f>J121+J125+J126+J129+J132</f>
        <v>0</v>
      </c>
      <c r="K120" s="233">
        <f>K121+K125+K126+K129+K132</f>
        <v>1342254</v>
      </c>
      <c r="L120" s="233">
        <f>L121+L125+L126+L129+L132</f>
        <v>4467915</v>
      </c>
      <c r="M120" s="233">
        <f t="shared" si="27"/>
        <v>132932148</v>
      </c>
      <c r="N120" s="233">
        <v>126053767</v>
      </c>
      <c r="O120" s="233">
        <f>O121+O125+O126+O129+O132</f>
        <v>0</v>
      </c>
      <c r="P120" s="233">
        <f>P121+P125+P126+P129+P132</f>
        <v>932630</v>
      </c>
      <c r="Q120" s="233">
        <f>Q121+Q125+Q126+Q129+Q132</f>
        <v>6478445</v>
      </c>
      <c r="R120" s="233">
        <f t="shared" si="28"/>
        <v>133464842</v>
      </c>
    </row>
    <row r="121" spans="1:18" s="6" customFormat="1" ht="12">
      <c r="A121" s="130" t="s">
        <v>104</v>
      </c>
      <c r="B121" s="124" t="s">
        <v>105</v>
      </c>
      <c r="C121" s="254">
        <v>45708506</v>
      </c>
      <c r="D121" s="254">
        <v>46451682</v>
      </c>
      <c r="E121" s="233">
        <f>E122+E124</f>
        <v>130939</v>
      </c>
      <c r="F121" s="233">
        <f>F122+F124</f>
        <v>73752</v>
      </c>
      <c r="G121" s="233">
        <f>G122+G124</f>
        <v>1721190</v>
      </c>
      <c r="H121" s="233">
        <f t="shared" si="26"/>
        <v>48377563</v>
      </c>
      <c r="I121" s="233">
        <v>47473062</v>
      </c>
      <c r="J121" s="233">
        <f>J122+J124</f>
        <v>0</v>
      </c>
      <c r="K121" s="233">
        <f>K122+K124</f>
        <v>80666</v>
      </c>
      <c r="L121" s="233">
        <f>L122+L124</f>
        <v>3079053</v>
      </c>
      <c r="M121" s="233">
        <f t="shared" si="27"/>
        <v>50632781</v>
      </c>
      <c r="N121" s="233">
        <v>47382992</v>
      </c>
      <c r="O121" s="233">
        <f>O122+O124</f>
        <v>0</v>
      </c>
      <c r="P121" s="233">
        <f>P122+P124</f>
        <v>57584</v>
      </c>
      <c r="Q121" s="233">
        <f>Q122+Q124</f>
        <v>5739583</v>
      </c>
      <c r="R121" s="233">
        <f t="shared" si="28"/>
        <v>53180159</v>
      </c>
    </row>
    <row r="122" spans="1:18" s="29" customFormat="1" ht="12">
      <c r="A122" s="132">
        <v>1000</v>
      </c>
      <c r="B122" s="125" t="s">
        <v>106</v>
      </c>
      <c r="C122" s="404">
        <v>31305135</v>
      </c>
      <c r="D122" s="404">
        <v>31368942</v>
      </c>
      <c r="E122" s="233">
        <f>+-18197+10103</f>
        <v>-8094</v>
      </c>
      <c r="F122" s="233">
        <v>23302</v>
      </c>
      <c r="G122" s="233">
        <v>1487492</v>
      </c>
      <c r="H122" s="233">
        <f t="shared" si="26"/>
        <v>32871642</v>
      </c>
      <c r="I122" s="233">
        <v>31353942</v>
      </c>
      <c r="J122" s="233"/>
      <c r="K122" s="233">
        <v>53342</v>
      </c>
      <c r="L122" s="233">
        <v>2694596</v>
      </c>
      <c r="M122" s="233">
        <f t="shared" si="27"/>
        <v>34101880</v>
      </c>
      <c r="N122" s="233">
        <v>31293942</v>
      </c>
      <c r="O122" s="233"/>
      <c r="P122" s="233">
        <v>36040</v>
      </c>
      <c r="Q122" s="233">
        <v>3159024</v>
      </c>
      <c r="R122" s="233">
        <f t="shared" si="28"/>
        <v>34489006</v>
      </c>
    </row>
    <row r="123" spans="1:18" s="89" customFormat="1" ht="12">
      <c r="A123" s="139">
        <v>1100</v>
      </c>
      <c r="B123" s="125" t="s">
        <v>107</v>
      </c>
      <c r="C123" s="404">
        <v>25126625</v>
      </c>
      <c r="D123" s="404">
        <v>25201303</v>
      </c>
      <c r="E123" s="233">
        <v>732</v>
      </c>
      <c r="F123" s="233">
        <v>5553</v>
      </c>
      <c r="G123" s="233">
        <v>1198720</v>
      </c>
      <c r="H123" s="233">
        <f t="shared" si="26"/>
        <v>26406308</v>
      </c>
      <c r="I123" s="233">
        <v>25189215</v>
      </c>
      <c r="J123" s="233"/>
      <c r="K123" s="233">
        <v>17818</v>
      </c>
      <c r="L123" s="233">
        <v>2171484</v>
      </c>
      <c r="M123" s="233">
        <f t="shared" si="27"/>
        <v>27378517</v>
      </c>
      <c r="N123" s="233">
        <v>25140863</v>
      </c>
      <c r="O123" s="233"/>
      <c r="P123" s="233">
        <v>12265</v>
      </c>
      <c r="Q123" s="233">
        <v>2545751</v>
      </c>
      <c r="R123" s="233">
        <f t="shared" si="28"/>
        <v>27698879</v>
      </c>
    </row>
    <row r="124" spans="1:18" s="89" customFormat="1" ht="12">
      <c r="A124" s="132">
        <v>2000</v>
      </c>
      <c r="B124" s="125" t="s">
        <v>108</v>
      </c>
      <c r="C124" s="404">
        <v>14403371</v>
      </c>
      <c r="D124" s="404">
        <v>15082740</v>
      </c>
      <c r="E124" s="233">
        <v>139033</v>
      </c>
      <c r="F124" s="233">
        <v>50450</v>
      </c>
      <c r="G124" s="233">
        <v>233698</v>
      </c>
      <c r="H124" s="233">
        <f t="shared" si="26"/>
        <v>15505921</v>
      </c>
      <c r="I124" s="233">
        <v>16119120</v>
      </c>
      <c r="J124" s="233"/>
      <c r="K124" s="233">
        <v>27324</v>
      </c>
      <c r="L124" s="233">
        <v>384457</v>
      </c>
      <c r="M124" s="233">
        <f t="shared" si="27"/>
        <v>16530901</v>
      </c>
      <c r="N124" s="233">
        <v>16089050</v>
      </c>
      <c r="O124" s="233"/>
      <c r="P124" s="233">
        <v>21544</v>
      </c>
      <c r="Q124" s="233">
        <v>2580559</v>
      </c>
      <c r="R124" s="233">
        <f t="shared" si="28"/>
        <v>18691153</v>
      </c>
    </row>
    <row r="125" spans="1:18" s="89" customFormat="1" ht="12">
      <c r="A125" s="140">
        <v>4000</v>
      </c>
      <c r="B125" s="124" t="s">
        <v>132</v>
      </c>
      <c r="C125" s="254">
        <v>2782350</v>
      </c>
      <c r="D125" s="254">
        <v>3150095</v>
      </c>
      <c r="E125" s="233"/>
      <c r="F125" s="233"/>
      <c r="G125" s="233"/>
      <c r="H125" s="233">
        <f t="shared" si="26"/>
        <v>3150095</v>
      </c>
      <c r="I125" s="233">
        <v>3141083</v>
      </c>
      <c r="J125" s="233"/>
      <c r="K125" s="233"/>
      <c r="L125" s="233"/>
      <c r="M125" s="233">
        <f t="shared" si="27"/>
        <v>3141083</v>
      </c>
      <c r="N125" s="233">
        <v>3358636</v>
      </c>
      <c r="O125" s="233"/>
      <c r="P125" s="233"/>
      <c r="Q125" s="233"/>
      <c r="R125" s="233">
        <f t="shared" si="28"/>
        <v>3358636</v>
      </c>
    </row>
    <row r="126" spans="1:18" s="89" customFormat="1" ht="12">
      <c r="A126" s="140" t="s">
        <v>109</v>
      </c>
      <c r="B126" s="124" t="s">
        <v>110</v>
      </c>
      <c r="C126" s="254">
        <v>18585632</v>
      </c>
      <c r="D126" s="254">
        <v>18450455</v>
      </c>
      <c r="E126" s="233">
        <f>E127+E128</f>
        <v>-28102</v>
      </c>
      <c r="F126" s="233">
        <f>F127+F128</f>
        <v>17868</v>
      </c>
      <c r="G126" s="233">
        <f>G127+G128</f>
        <v>839210</v>
      </c>
      <c r="H126" s="233">
        <f t="shared" si="26"/>
        <v>19279431</v>
      </c>
      <c r="I126" s="233">
        <v>20580079</v>
      </c>
      <c r="J126" s="233">
        <f>J127+J128</f>
        <v>0</v>
      </c>
      <c r="K126" s="233">
        <f>K127+K128</f>
        <v>404410</v>
      </c>
      <c r="L126" s="233">
        <f>L127+L128</f>
        <v>968878</v>
      </c>
      <c r="M126" s="233">
        <f t="shared" si="27"/>
        <v>21953367</v>
      </c>
      <c r="N126" s="233">
        <v>20619291</v>
      </c>
      <c r="O126" s="233">
        <f>O127+O128</f>
        <v>0</v>
      </c>
      <c r="P126" s="233">
        <f>P127+P128</f>
        <v>17868</v>
      </c>
      <c r="Q126" s="233">
        <f>Q127+Q128</f>
        <v>318878</v>
      </c>
      <c r="R126" s="233">
        <f t="shared" si="28"/>
        <v>20956037</v>
      </c>
    </row>
    <row r="127" spans="1:18" s="89" customFormat="1" ht="12">
      <c r="A127" s="132">
        <v>3000</v>
      </c>
      <c r="B127" s="125" t="s">
        <v>111</v>
      </c>
      <c r="C127" s="438">
        <v>15542863</v>
      </c>
      <c r="D127" s="438">
        <v>15408181</v>
      </c>
      <c r="E127" s="345"/>
      <c r="F127" s="345">
        <v>17868</v>
      </c>
      <c r="G127" s="345">
        <v>839210</v>
      </c>
      <c r="H127" s="233">
        <f t="shared" si="26"/>
        <v>16265259</v>
      </c>
      <c r="I127" s="345">
        <v>17537805</v>
      </c>
      <c r="J127" s="345"/>
      <c r="K127" s="345">
        <f>17868+386542</f>
        <v>404410</v>
      </c>
      <c r="L127" s="345">
        <v>968878</v>
      </c>
      <c r="M127" s="233">
        <f t="shared" si="27"/>
        <v>18911093</v>
      </c>
      <c r="N127" s="345">
        <v>17577017</v>
      </c>
      <c r="O127" s="345"/>
      <c r="P127" s="345">
        <v>17868</v>
      </c>
      <c r="Q127" s="345">
        <v>318878</v>
      </c>
      <c r="R127" s="233">
        <f t="shared" si="28"/>
        <v>17913763</v>
      </c>
    </row>
    <row r="128" spans="1:18" s="89" customFormat="1" ht="12">
      <c r="A128" s="132">
        <v>6000</v>
      </c>
      <c r="B128" s="125" t="s">
        <v>112</v>
      </c>
      <c r="C128" s="523">
        <v>3042769</v>
      </c>
      <c r="D128" s="523">
        <v>3042274</v>
      </c>
      <c r="E128" s="346">
        <v>-28102</v>
      </c>
      <c r="F128" s="346"/>
      <c r="G128" s="346"/>
      <c r="H128" s="233">
        <f t="shared" si="26"/>
        <v>3014172</v>
      </c>
      <c r="I128" s="346">
        <v>3042274</v>
      </c>
      <c r="J128" s="346"/>
      <c r="K128" s="346"/>
      <c r="L128" s="346"/>
      <c r="M128" s="233">
        <f t="shared" si="27"/>
        <v>3042274</v>
      </c>
      <c r="N128" s="346">
        <v>3042274</v>
      </c>
      <c r="O128" s="346"/>
      <c r="P128" s="346"/>
      <c r="Q128" s="346"/>
      <c r="R128" s="233">
        <f t="shared" si="28"/>
        <v>3042274</v>
      </c>
    </row>
    <row r="129" spans="1:18" s="89" customFormat="1" ht="22.8">
      <c r="A129" s="140" t="s">
        <v>113</v>
      </c>
      <c r="B129" s="124" t="s">
        <v>183</v>
      </c>
      <c r="C129" s="254">
        <v>16000</v>
      </c>
      <c r="D129" s="254">
        <v>16000</v>
      </c>
      <c r="E129" s="233">
        <f>E130+E131</f>
        <v>0</v>
      </c>
      <c r="F129" s="233">
        <f>F130+F131</f>
        <v>0</v>
      </c>
      <c r="G129" s="233">
        <f>G130+G131</f>
        <v>0</v>
      </c>
      <c r="H129" s="233">
        <f t="shared" si="26"/>
        <v>16000</v>
      </c>
      <c r="I129" s="233">
        <v>16000</v>
      </c>
      <c r="J129" s="233">
        <f>J130+J131</f>
        <v>0</v>
      </c>
      <c r="K129" s="233">
        <v>0</v>
      </c>
      <c r="L129" s="233">
        <v>0</v>
      </c>
      <c r="M129" s="233">
        <f t="shared" si="27"/>
        <v>16000</v>
      </c>
      <c r="N129" s="233">
        <v>16000</v>
      </c>
      <c r="O129" s="233">
        <f>O130+O131</f>
        <v>0</v>
      </c>
      <c r="P129" s="233">
        <f>P130+P131</f>
        <v>0</v>
      </c>
      <c r="Q129" s="233">
        <f>Q130+Q131</f>
        <v>0</v>
      </c>
      <c r="R129" s="233">
        <f t="shared" si="28"/>
        <v>16000</v>
      </c>
    </row>
    <row r="130" spans="1:18" s="89" customFormat="1" ht="12" hidden="1" customHeight="1">
      <c r="A130" s="132">
        <v>7600</v>
      </c>
      <c r="B130" s="441" t="s">
        <v>184</v>
      </c>
      <c r="C130" s="404">
        <v>0</v>
      </c>
      <c r="D130" s="404">
        <v>0</v>
      </c>
      <c r="E130" s="233"/>
      <c r="F130" s="233"/>
      <c r="G130" s="233"/>
      <c r="H130" s="233">
        <f t="shared" si="26"/>
        <v>0</v>
      </c>
      <c r="I130" s="233">
        <v>0</v>
      </c>
      <c r="J130" s="233"/>
      <c r="K130" s="233"/>
      <c r="L130" s="233"/>
      <c r="M130" s="233">
        <f t="shared" si="27"/>
        <v>0</v>
      </c>
      <c r="N130" s="233">
        <v>0</v>
      </c>
      <c r="O130" s="233"/>
      <c r="P130" s="233"/>
      <c r="Q130" s="233"/>
      <c r="R130" s="233">
        <f t="shared" si="28"/>
        <v>0</v>
      </c>
    </row>
    <row r="131" spans="1:18" s="89" customFormat="1" ht="12">
      <c r="A131" s="132">
        <v>7700</v>
      </c>
      <c r="B131" s="442" t="s">
        <v>114</v>
      </c>
      <c r="C131" s="404">
        <v>16000</v>
      </c>
      <c r="D131" s="404">
        <v>16000</v>
      </c>
      <c r="E131" s="233"/>
      <c r="F131" s="233"/>
      <c r="G131" s="233"/>
      <c r="H131" s="233">
        <f t="shared" si="26"/>
        <v>16000</v>
      </c>
      <c r="I131" s="233">
        <v>16000</v>
      </c>
      <c r="J131" s="233"/>
      <c r="K131" s="233"/>
      <c r="L131" s="233"/>
      <c r="M131" s="233">
        <f t="shared" si="27"/>
        <v>16000</v>
      </c>
      <c r="N131" s="233">
        <v>16000</v>
      </c>
      <c r="O131" s="233"/>
      <c r="P131" s="233"/>
      <c r="Q131" s="233"/>
      <c r="R131" s="233">
        <f t="shared" si="28"/>
        <v>16000</v>
      </c>
    </row>
    <row r="132" spans="1:18" s="89" customFormat="1" ht="20.399999999999999">
      <c r="A132" s="140" t="s">
        <v>185</v>
      </c>
      <c r="B132" s="124" t="s">
        <v>115</v>
      </c>
      <c r="C132" s="254">
        <v>54935197</v>
      </c>
      <c r="D132" s="254">
        <v>56235063</v>
      </c>
      <c r="E132" s="233">
        <f>E133+E139+E143+E146</f>
        <v>0</v>
      </c>
      <c r="F132" s="233">
        <f>F133+F139+F143+F146</f>
        <v>857178</v>
      </c>
      <c r="G132" s="233">
        <f>G133+G139+G143+G146</f>
        <v>404328</v>
      </c>
      <c r="H132" s="233">
        <f t="shared" si="26"/>
        <v>57496569</v>
      </c>
      <c r="I132" s="233">
        <v>55911755</v>
      </c>
      <c r="J132" s="233">
        <f>J133+J139+J143+J146</f>
        <v>0</v>
      </c>
      <c r="K132" s="233">
        <v>857178</v>
      </c>
      <c r="L132" s="233">
        <f>L133+L139+L143+L146</f>
        <v>419984</v>
      </c>
      <c r="M132" s="233">
        <f t="shared" si="27"/>
        <v>57188917</v>
      </c>
      <c r="N132" s="233">
        <v>54676848</v>
      </c>
      <c r="O132" s="233">
        <f>O133+O139+O143+O146</f>
        <v>0</v>
      </c>
      <c r="P132" s="233">
        <f>P133+P139+P143+P146</f>
        <v>857178</v>
      </c>
      <c r="Q132" s="233">
        <f>Q133+Q139+Q143+Q146</f>
        <v>419984</v>
      </c>
      <c r="R132" s="233">
        <f t="shared" si="28"/>
        <v>55954010</v>
      </c>
    </row>
    <row r="133" spans="1:18" s="89" customFormat="1" ht="12">
      <c r="A133" s="132">
        <v>7100</v>
      </c>
      <c r="B133" s="441" t="s">
        <v>116</v>
      </c>
      <c r="C133" s="404">
        <v>33922</v>
      </c>
      <c r="D133" s="404">
        <v>0</v>
      </c>
      <c r="E133" s="233">
        <f>E134+E135</f>
        <v>0</v>
      </c>
      <c r="F133" s="233">
        <f>F134+F135</f>
        <v>0</v>
      </c>
      <c r="G133" s="233">
        <f>G134+G135</f>
        <v>0</v>
      </c>
      <c r="H133" s="233">
        <f t="shared" si="26"/>
        <v>0</v>
      </c>
      <c r="I133" s="233">
        <v>0</v>
      </c>
      <c r="J133" s="233">
        <f>J134+J135</f>
        <v>0</v>
      </c>
      <c r="K133" s="233">
        <v>0</v>
      </c>
      <c r="L133" s="233">
        <v>0</v>
      </c>
      <c r="M133" s="233">
        <f t="shared" si="27"/>
        <v>0</v>
      </c>
      <c r="N133" s="233">
        <v>0</v>
      </c>
      <c r="O133" s="233">
        <f>O134+O135</f>
        <v>0</v>
      </c>
      <c r="P133" s="233">
        <f>P134+P135</f>
        <v>0</v>
      </c>
      <c r="Q133" s="233">
        <f>Q134+Q135</f>
        <v>0</v>
      </c>
      <c r="R133" s="233">
        <f t="shared" si="28"/>
        <v>0</v>
      </c>
    </row>
    <row r="134" spans="1:18" s="89" customFormat="1" ht="24" hidden="1" customHeight="1">
      <c r="A134" s="234" t="s">
        <v>117</v>
      </c>
      <c r="B134" s="441" t="s">
        <v>118</v>
      </c>
      <c r="C134" s="404">
        <v>0</v>
      </c>
      <c r="D134" s="404">
        <v>0</v>
      </c>
      <c r="E134" s="233"/>
      <c r="F134" s="233"/>
      <c r="G134" s="233"/>
      <c r="H134" s="233">
        <f t="shared" si="26"/>
        <v>0</v>
      </c>
      <c r="I134" s="233">
        <v>0</v>
      </c>
      <c r="J134" s="233"/>
      <c r="K134" s="233"/>
      <c r="L134" s="233"/>
      <c r="M134" s="233">
        <f t="shared" si="27"/>
        <v>0</v>
      </c>
      <c r="N134" s="233">
        <v>0</v>
      </c>
      <c r="O134" s="233"/>
      <c r="P134" s="233"/>
      <c r="Q134" s="233"/>
      <c r="R134" s="233">
        <f t="shared" si="28"/>
        <v>0</v>
      </c>
    </row>
    <row r="135" spans="1:18" s="89" customFormat="1" ht="24">
      <c r="A135" s="234">
        <v>7130</v>
      </c>
      <c r="B135" s="441" t="s">
        <v>119</v>
      </c>
      <c r="C135" s="404">
        <v>33922</v>
      </c>
      <c r="D135" s="404">
        <v>0</v>
      </c>
      <c r="E135" s="233">
        <f>SUM(E136:E138)</f>
        <v>0</v>
      </c>
      <c r="F135" s="233">
        <f>SUM(F136:F138)</f>
        <v>0</v>
      </c>
      <c r="G135" s="233">
        <f>SUM(G136:G138)</f>
        <v>0</v>
      </c>
      <c r="H135" s="233">
        <f t="shared" si="26"/>
        <v>0</v>
      </c>
      <c r="I135" s="233">
        <v>0</v>
      </c>
      <c r="J135" s="233">
        <f>SUM(J136:J138)</f>
        <v>0</v>
      </c>
      <c r="K135" s="233">
        <v>0</v>
      </c>
      <c r="L135" s="233">
        <v>0</v>
      </c>
      <c r="M135" s="233">
        <f t="shared" si="27"/>
        <v>0</v>
      </c>
      <c r="N135" s="233">
        <v>0</v>
      </c>
      <c r="O135" s="233">
        <f>SUM(O136:O138)</f>
        <v>0</v>
      </c>
      <c r="P135" s="233">
        <f>SUM(P136:P138)</f>
        <v>0</v>
      </c>
      <c r="Q135" s="233">
        <f>SUM(Q136:Q138)</f>
        <v>0</v>
      </c>
      <c r="R135" s="233">
        <f t="shared" si="28"/>
        <v>0</v>
      </c>
    </row>
    <row r="136" spans="1:18" s="89" customFormat="1" ht="36">
      <c r="A136" s="236">
        <v>7131</v>
      </c>
      <c r="B136" s="441" t="s">
        <v>120</v>
      </c>
      <c r="C136" s="404">
        <v>33922</v>
      </c>
      <c r="D136" s="404">
        <v>0</v>
      </c>
      <c r="E136" s="233"/>
      <c r="F136" s="233"/>
      <c r="G136" s="233"/>
      <c r="H136" s="233">
        <f t="shared" si="26"/>
        <v>0</v>
      </c>
      <c r="I136" s="233">
        <v>0</v>
      </c>
      <c r="J136" s="233"/>
      <c r="K136" s="233"/>
      <c r="L136" s="233"/>
      <c r="M136" s="233">
        <f t="shared" si="27"/>
        <v>0</v>
      </c>
      <c r="N136" s="233">
        <v>0</v>
      </c>
      <c r="O136" s="233"/>
      <c r="P136" s="233"/>
      <c r="Q136" s="233"/>
      <c r="R136" s="233">
        <f t="shared" si="28"/>
        <v>0</v>
      </c>
    </row>
    <row r="137" spans="1:18" s="29" customFormat="1" ht="36" hidden="1" customHeight="1">
      <c r="A137" s="236">
        <v>7132</v>
      </c>
      <c r="B137" s="441" t="s">
        <v>121</v>
      </c>
      <c r="C137" s="404">
        <v>0</v>
      </c>
      <c r="D137" s="404">
        <v>0</v>
      </c>
      <c r="E137" s="233"/>
      <c r="F137" s="233"/>
      <c r="G137" s="233"/>
      <c r="H137" s="233">
        <f t="shared" si="26"/>
        <v>0</v>
      </c>
      <c r="I137" s="233">
        <v>0</v>
      </c>
      <c r="J137" s="233"/>
      <c r="K137" s="233"/>
      <c r="L137" s="233"/>
      <c r="M137" s="233">
        <f t="shared" si="27"/>
        <v>0</v>
      </c>
      <c r="N137" s="233">
        <v>0</v>
      </c>
      <c r="O137" s="233"/>
      <c r="P137" s="233"/>
      <c r="Q137" s="233"/>
      <c r="R137" s="233">
        <f t="shared" si="28"/>
        <v>0</v>
      </c>
    </row>
    <row r="138" spans="1:18" s="29" customFormat="1" ht="24" hidden="1" customHeight="1">
      <c r="A138" s="236" t="s">
        <v>186</v>
      </c>
      <c r="B138" s="441" t="s">
        <v>187</v>
      </c>
      <c r="C138" s="404">
        <v>0</v>
      </c>
      <c r="D138" s="404">
        <v>0</v>
      </c>
      <c r="E138" s="233"/>
      <c r="F138" s="233"/>
      <c r="G138" s="233"/>
      <c r="H138" s="233">
        <f t="shared" ref="H138:H201" si="33">SUM(D138:G138)</f>
        <v>0</v>
      </c>
      <c r="I138" s="233">
        <v>0</v>
      </c>
      <c r="J138" s="233"/>
      <c r="K138" s="233"/>
      <c r="L138" s="233"/>
      <c r="M138" s="233">
        <f t="shared" ref="M138:M201" si="34">SUM(I138:L138)</f>
        <v>0</v>
      </c>
      <c r="N138" s="233">
        <v>0</v>
      </c>
      <c r="O138" s="233"/>
      <c r="P138" s="233"/>
      <c r="Q138" s="233"/>
      <c r="R138" s="233">
        <f t="shared" ref="R138:R201" si="35">SUM(N138:Q138)</f>
        <v>0</v>
      </c>
    </row>
    <row r="139" spans="1:18" s="29" customFormat="1" ht="24">
      <c r="A139" s="132">
        <v>7300</v>
      </c>
      <c r="B139" s="239" t="s">
        <v>155</v>
      </c>
      <c r="C139" s="404">
        <v>54841795</v>
      </c>
      <c r="D139" s="404">
        <v>56175583</v>
      </c>
      <c r="E139" s="233">
        <f>SUM(E140:E142)</f>
        <v>0</v>
      </c>
      <c r="F139" s="233">
        <f>SUM(F140:F142)</f>
        <v>857178</v>
      </c>
      <c r="G139" s="233">
        <f>SUM(G140:G142)</f>
        <v>334328</v>
      </c>
      <c r="H139" s="233">
        <f t="shared" si="33"/>
        <v>57367089</v>
      </c>
      <c r="I139" s="233">
        <v>55852275</v>
      </c>
      <c r="J139" s="233">
        <f>SUM(J140:J142)</f>
        <v>0</v>
      </c>
      <c r="K139" s="233">
        <v>857178</v>
      </c>
      <c r="L139" s="233">
        <f>SUM(L140:L142)</f>
        <v>349984</v>
      </c>
      <c r="M139" s="233">
        <f t="shared" si="34"/>
        <v>57059437</v>
      </c>
      <c r="N139" s="233">
        <v>54617368</v>
      </c>
      <c r="O139" s="233">
        <f>SUM(O140:O142)</f>
        <v>0</v>
      </c>
      <c r="P139" s="233">
        <f>SUM(P140:P142)</f>
        <v>857178</v>
      </c>
      <c r="Q139" s="233">
        <f>SUM(Q140:Q142)</f>
        <v>349984</v>
      </c>
      <c r="R139" s="233">
        <f t="shared" si="35"/>
        <v>55824530</v>
      </c>
    </row>
    <row r="140" spans="1:18" s="4" customFormat="1" ht="24">
      <c r="A140" s="234" t="s">
        <v>188</v>
      </c>
      <c r="B140" s="441" t="s">
        <v>170</v>
      </c>
      <c r="C140" s="921">
        <v>6356296</v>
      </c>
      <c r="D140" s="921">
        <v>8137291</v>
      </c>
      <c r="E140" s="605"/>
      <c r="F140" s="605">
        <f>827928+29250</f>
        <v>857178</v>
      </c>
      <c r="G140" s="605">
        <v>313800</v>
      </c>
      <c r="H140" s="233">
        <f t="shared" si="33"/>
        <v>9308269</v>
      </c>
      <c r="I140" s="605">
        <v>8046193</v>
      </c>
      <c r="J140" s="605"/>
      <c r="K140" s="605">
        <v>857178</v>
      </c>
      <c r="L140" s="605">
        <v>313800</v>
      </c>
      <c r="M140" s="233">
        <f t="shared" si="34"/>
        <v>9217171</v>
      </c>
      <c r="N140" s="605">
        <v>6811286</v>
      </c>
      <c r="O140" s="605"/>
      <c r="P140" s="605">
        <f>827928+29250</f>
        <v>857178</v>
      </c>
      <c r="Q140" s="605">
        <v>313800</v>
      </c>
      <c r="R140" s="233">
        <f t="shared" si="35"/>
        <v>7982264</v>
      </c>
    </row>
    <row r="141" spans="1:18" ht="48" hidden="1" customHeight="1">
      <c r="A141" s="234" t="s">
        <v>189</v>
      </c>
      <c r="B141" s="441" t="s">
        <v>156</v>
      </c>
      <c r="C141" s="921">
        <v>0</v>
      </c>
      <c r="D141" s="921">
        <v>0</v>
      </c>
      <c r="E141" s="605"/>
      <c r="F141" s="605"/>
      <c r="G141" s="605"/>
      <c r="H141" s="233">
        <f t="shared" si="33"/>
        <v>0</v>
      </c>
      <c r="I141" s="605">
        <v>0</v>
      </c>
      <c r="J141" s="605"/>
      <c r="K141" s="605"/>
      <c r="L141" s="605"/>
      <c r="M141" s="233">
        <f t="shared" si="34"/>
        <v>0</v>
      </c>
      <c r="N141" s="605">
        <v>0</v>
      </c>
      <c r="O141" s="605"/>
      <c r="P141" s="605"/>
      <c r="Q141" s="605"/>
      <c r="R141" s="233">
        <f t="shared" si="35"/>
        <v>0</v>
      </c>
    </row>
    <row r="142" spans="1:18" ht="36">
      <c r="A142" s="234">
        <v>7350</v>
      </c>
      <c r="B142" s="441" t="s">
        <v>163</v>
      </c>
      <c r="C142" s="921">
        <v>48485499</v>
      </c>
      <c r="D142" s="921">
        <v>48038292</v>
      </c>
      <c r="E142" s="605"/>
      <c r="F142" s="605"/>
      <c r="G142" s="605">
        <v>20528</v>
      </c>
      <c r="H142" s="233">
        <f t="shared" si="33"/>
        <v>48058820</v>
      </c>
      <c r="I142" s="605">
        <v>47806082</v>
      </c>
      <c r="J142" s="605"/>
      <c r="K142" s="605"/>
      <c r="L142" s="605">
        <v>36184</v>
      </c>
      <c r="M142" s="233">
        <f t="shared" si="34"/>
        <v>47842266</v>
      </c>
      <c r="N142" s="605">
        <v>47806082</v>
      </c>
      <c r="O142" s="605"/>
      <c r="P142" s="605"/>
      <c r="Q142" s="605">
        <v>36184</v>
      </c>
      <c r="R142" s="233">
        <f t="shared" si="35"/>
        <v>47842266</v>
      </c>
    </row>
    <row r="143" spans="1:18" ht="24">
      <c r="A143" s="132">
        <v>7400</v>
      </c>
      <c r="B143" s="239" t="s">
        <v>161</v>
      </c>
      <c r="C143" s="404">
        <v>59480</v>
      </c>
      <c r="D143" s="404">
        <v>59480</v>
      </c>
      <c r="E143" s="233">
        <f>SUM(E144:E145)</f>
        <v>0</v>
      </c>
      <c r="F143" s="233">
        <f>SUM(F144:F145)</f>
        <v>0</v>
      </c>
      <c r="G143" s="233">
        <f>SUM(G144:G145)</f>
        <v>70000</v>
      </c>
      <c r="H143" s="233">
        <f t="shared" si="33"/>
        <v>129480</v>
      </c>
      <c r="I143" s="233">
        <v>59480</v>
      </c>
      <c r="J143" s="233">
        <f>SUM(J144:J145)</f>
        <v>0</v>
      </c>
      <c r="K143" s="233">
        <f>SUM(K144:K145)</f>
        <v>0</v>
      </c>
      <c r="L143" s="233">
        <f>SUM(L144:L145)</f>
        <v>70000</v>
      </c>
      <c r="M143" s="233">
        <f t="shared" si="34"/>
        <v>129480</v>
      </c>
      <c r="N143" s="233">
        <v>59480</v>
      </c>
      <c r="O143" s="233">
        <f>SUM(O144:O145)</f>
        <v>0</v>
      </c>
      <c r="P143" s="233">
        <f>SUM(P144:P145)</f>
        <v>0</v>
      </c>
      <c r="Q143" s="233">
        <f>SUM(Q144:Q145)</f>
        <v>70000</v>
      </c>
      <c r="R143" s="233">
        <f t="shared" si="35"/>
        <v>129480</v>
      </c>
    </row>
    <row r="144" spans="1:18" ht="24">
      <c r="A144" s="234">
        <v>7460</v>
      </c>
      <c r="B144" s="239" t="s">
        <v>162</v>
      </c>
      <c r="C144" s="921">
        <v>59480</v>
      </c>
      <c r="D144" s="921">
        <v>59480</v>
      </c>
      <c r="E144" s="605"/>
      <c r="F144" s="605"/>
      <c r="G144" s="605">
        <v>70000</v>
      </c>
      <c r="H144" s="233">
        <f t="shared" si="33"/>
        <v>129480</v>
      </c>
      <c r="I144" s="605">
        <v>59480</v>
      </c>
      <c r="J144" s="605"/>
      <c r="K144" s="605"/>
      <c r="L144" s="605">
        <v>70000</v>
      </c>
      <c r="M144" s="233">
        <f t="shared" si="34"/>
        <v>129480</v>
      </c>
      <c r="N144" s="605">
        <v>59480</v>
      </c>
      <c r="O144" s="605"/>
      <c r="P144" s="605"/>
      <c r="Q144" s="605">
        <v>70000</v>
      </c>
      <c r="R144" s="233">
        <f t="shared" si="35"/>
        <v>129480</v>
      </c>
    </row>
    <row r="145" spans="1:18" ht="48" hidden="1" customHeight="1">
      <c r="A145" s="234">
        <v>7470</v>
      </c>
      <c r="B145" s="441" t="s">
        <v>167</v>
      </c>
      <c r="C145" s="921">
        <v>0</v>
      </c>
      <c r="D145" s="921">
        <v>0</v>
      </c>
      <c r="E145" s="605"/>
      <c r="F145" s="605"/>
      <c r="G145" s="605"/>
      <c r="H145" s="233">
        <f t="shared" si="33"/>
        <v>0</v>
      </c>
      <c r="I145" s="605">
        <v>0</v>
      </c>
      <c r="J145" s="605"/>
      <c r="K145" s="605"/>
      <c r="L145" s="605"/>
      <c r="M145" s="233">
        <f t="shared" si="34"/>
        <v>0</v>
      </c>
      <c r="N145" s="605">
        <v>0</v>
      </c>
      <c r="O145" s="605"/>
      <c r="P145" s="605"/>
      <c r="Q145" s="605"/>
      <c r="R145" s="233">
        <f t="shared" si="35"/>
        <v>0</v>
      </c>
    </row>
    <row r="146" spans="1:18" ht="24" hidden="1" customHeight="1">
      <c r="A146" s="132">
        <v>7500</v>
      </c>
      <c r="B146" s="441" t="s">
        <v>157</v>
      </c>
      <c r="C146" s="404">
        <v>0</v>
      </c>
      <c r="D146" s="404">
        <v>0</v>
      </c>
      <c r="E146" s="233"/>
      <c r="F146" s="233"/>
      <c r="G146" s="233"/>
      <c r="H146" s="233">
        <f t="shared" si="33"/>
        <v>0</v>
      </c>
      <c r="I146" s="233">
        <v>0</v>
      </c>
      <c r="J146" s="233"/>
      <c r="K146" s="233"/>
      <c r="L146" s="233"/>
      <c r="M146" s="233">
        <f t="shared" si="34"/>
        <v>0</v>
      </c>
      <c r="N146" s="233">
        <v>0</v>
      </c>
      <c r="O146" s="233"/>
      <c r="P146" s="233"/>
      <c r="Q146" s="233"/>
      <c r="R146" s="233">
        <f t="shared" si="35"/>
        <v>0</v>
      </c>
    </row>
    <row r="147" spans="1:18" s="4" customFormat="1" ht="12">
      <c r="A147" s="140" t="s">
        <v>133</v>
      </c>
      <c r="B147" s="124" t="s">
        <v>122</v>
      </c>
      <c r="C147" s="445">
        <v>982511</v>
      </c>
      <c r="D147" s="445">
        <v>1118992</v>
      </c>
      <c r="E147" s="254">
        <f>E148+E149</f>
        <v>12630</v>
      </c>
      <c r="F147" s="254">
        <f>F148+F149</f>
        <v>0</v>
      </c>
      <c r="G147" s="254">
        <f>G148+G149</f>
        <v>1113485</v>
      </c>
      <c r="H147" s="254">
        <f t="shared" si="33"/>
        <v>2245107</v>
      </c>
      <c r="I147" s="254">
        <v>838992</v>
      </c>
      <c r="J147" s="254">
        <f>J148+J149</f>
        <v>0</v>
      </c>
      <c r="K147" s="254">
        <f>K148+K149</f>
        <v>0</v>
      </c>
      <c r="L147" s="254">
        <f>L148+L149</f>
        <v>3372875</v>
      </c>
      <c r="M147" s="233">
        <f t="shared" si="34"/>
        <v>4211867</v>
      </c>
      <c r="N147" s="254">
        <v>838992</v>
      </c>
      <c r="O147" s="254">
        <f>O148+O149</f>
        <v>0</v>
      </c>
      <c r="P147" s="254">
        <f>P148+P149</f>
        <v>0</v>
      </c>
      <c r="Q147" s="254">
        <f>Q148+Q149</f>
        <v>2181630</v>
      </c>
      <c r="R147" s="233">
        <f t="shared" si="35"/>
        <v>3020622</v>
      </c>
    </row>
    <row r="148" spans="1:18" s="6" customFormat="1" ht="12">
      <c r="A148" s="140">
        <v>5000</v>
      </c>
      <c r="B148" s="124" t="s">
        <v>123</v>
      </c>
      <c r="C148" s="254">
        <v>575323</v>
      </c>
      <c r="D148" s="254">
        <v>711804</v>
      </c>
      <c r="E148" s="233">
        <v>12630</v>
      </c>
      <c r="F148" s="233"/>
      <c r="G148" s="233">
        <v>1113485</v>
      </c>
      <c r="H148" s="233">
        <f t="shared" si="33"/>
        <v>1837919</v>
      </c>
      <c r="I148" s="233">
        <v>431804</v>
      </c>
      <c r="J148" s="233"/>
      <c r="K148" s="233"/>
      <c r="L148" s="233">
        <v>3372875</v>
      </c>
      <c r="M148" s="233">
        <f t="shared" si="34"/>
        <v>3804679</v>
      </c>
      <c r="N148" s="233">
        <v>431804</v>
      </c>
      <c r="O148" s="233"/>
      <c r="P148" s="233"/>
      <c r="Q148" s="233">
        <v>2181630</v>
      </c>
      <c r="R148" s="233">
        <f t="shared" si="35"/>
        <v>2613434</v>
      </c>
    </row>
    <row r="149" spans="1:18" s="6" customFormat="1" ht="12">
      <c r="A149" s="140">
        <v>9000</v>
      </c>
      <c r="B149" s="446" t="s">
        <v>164</v>
      </c>
      <c r="C149" s="254">
        <v>407188</v>
      </c>
      <c r="D149" s="254">
        <v>407188</v>
      </c>
      <c r="E149" s="233">
        <f>E150+E156+E160+E163</f>
        <v>0</v>
      </c>
      <c r="F149" s="233">
        <f>F150+F156+F160+F163</f>
        <v>0</v>
      </c>
      <c r="G149" s="233">
        <f>G150+G156+G160+G163</f>
        <v>0</v>
      </c>
      <c r="H149" s="233">
        <f t="shared" si="33"/>
        <v>407188</v>
      </c>
      <c r="I149" s="233">
        <v>407188</v>
      </c>
      <c r="J149" s="233">
        <f>J150+J156+J160+J163</f>
        <v>0</v>
      </c>
      <c r="K149" s="233">
        <f>K150+K156+K160+K163</f>
        <v>0</v>
      </c>
      <c r="L149" s="233">
        <f>L150+L156+L160+L163</f>
        <v>0</v>
      </c>
      <c r="M149" s="233">
        <f t="shared" si="34"/>
        <v>407188</v>
      </c>
      <c r="N149" s="233">
        <v>407188</v>
      </c>
      <c r="O149" s="233">
        <f>O150+O156+O160+O163</f>
        <v>0</v>
      </c>
      <c r="P149" s="233">
        <f>P150+P156+P160+P163</f>
        <v>0</v>
      </c>
      <c r="Q149" s="233">
        <f>Q150+Q156+Q160+Q163</f>
        <v>0</v>
      </c>
      <c r="R149" s="233">
        <f t="shared" si="35"/>
        <v>407188</v>
      </c>
    </row>
    <row r="150" spans="1:18" s="6" customFormat="1" ht="12" hidden="1" customHeight="1">
      <c r="A150" s="256">
        <v>9100</v>
      </c>
      <c r="B150" s="441" t="s">
        <v>124</v>
      </c>
      <c r="C150" s="404">
        <v>0</v>
      </c>
      <c r="D150" s="404">
        <v>0</v>
      </c>
      <c r="E150" s="233">
        <f>SUM(E151:E152)</f>
        <v>0</v>
      </c>
      <c r="F150" s="233">
        <f>SUM(F151:F152)</f>
        <v>0</v>
      </c>
      <c r="G150" s="233">
        <f>SUM(G151:G152)</f>
        <v>0</v>
      </c>
      <c r="H150" s="233">
        <f t="shared" si="33"/>
        <v>0</v>
      </c>
      <c r="I150" s="233">
        <v>0</v>
      </c>
      <c r="J150" s="233">
        <f>SUM(J151:J152)</f>
        <v>0</v>
      </c>
      <c r="K150" s="233">
        <f>SUM(K151:K152)</f>
        <v>0</v>
      </c>
      <c r="L150" s="233">
        <f>SUM(L151:L152)</f>
        <v>0</v>
      </c>
      <c r="M150" s="233">
        <f t="shared" si="34"/>
        <v>0</v>
      </c>
      <c r="N150" s="233">
        <v>0</v>
      </c>
      <c r="O150" s="233">
        <f>SUM(O151:O152)</f>
        <v>0</v>
      </c>
      <c r="P150" s="233">
        <f>SUM(P151:P152)</f>
        <v>0</v>
      </c>
      <c r="Q150" s="233">
        <f>SUM(Q151:Q152)</f>
        <v>0</v>
      </c>
      <c r="R150" s="233">
        <f t="shared" si="35"/>
        <v>0</v>
      </c>
    </row>
    <row r="151" spans="1:18" s="6" customFormat="1" ht="24" hidden="1" customHeight="1">
      <c r="A151" s="234" t="s">
        <v>125</v>
      </c>
      <c r="B151" s="441" t="s">
        <v>214</v>
      </c>
      <c r="C151" s="404">
        <v>0</v>
      </c>
      <c r="D151" s="404">
        <v>0</v>
      </c>
      <c r="E151" s="233"/>
      <c r="F151" s="233"/>
      <c r="G151" s="233"/>
      <c r="H151" s="233">
        <f t="shared" si="33"/>
        <v>0</v>
      </c>
      <c r="I151" s="233">
        <v>0</v>
      </c>
      <c r="J151" s="233"/>
      <c r="K151" s="233"/>
      <c r="L151" s="233"/>
      <c r="M151" s="233">
        <f t="shared" si="34"/>
        <v>0</v>
      </c>
      <c r="N151" s="233">
        <v>0</v>
      </c>
      <c r="O151" s="233"/>
      <c r="P151" s="233"/>
      <c r="Q151" s="233"/>
      <c r="R151" s="233">
        <f t="shared" si="35"/>
        <v>0</v>
      </c>
    </row>
    <row r="152" spans="1:18" s="6" customFormat="1" ht="24" hidden="1" customHeight="1">
      <c r="A152" s="234">
        <v>9140</v>
      </c>
      <c r="B152" s="441" t="s">
        <v>215</v>
      </c>
      <c r="C152" s="404">
        <v>0</v>
      </c>
      <c r="D152" s="404">
        <v>0</v>
      </c>
      <c r="E152" s="233">
        <f>SUM(E153:E155)</f>
        <v>0</v>
      </c>
      <c r="F152" s="233">
        <f>SUM(F153:F155)</f>
        <v>0</v>
      </c>
      <c r="G152" s="233">
        <f>SUM(G153:G155)</f>
        <v>0</v>
      </c>
      <c r="H152" s="233">
        <f t="shared" si="33"/>
        <v>0</v>
      </c>
      <c r="I152" s="233">
        <v>0</v>
      </c>
      <c r="J152" s="233">
        <f>SUM(J153:J155)</f>
        <v>0</v>
      </c>
      <c r="K152" s="233">
        <f>SUM(K153:K155)</f>
        <v>0</v>
      </c>
      <c r="L152" s="233">
        <f>SUM(L153:L155)</f>
        <v>0</v>
      </c>
      <c r="M152" s="233">
        <f t="shared" si="34"/>
        <v>0</v>
      </c>
      <c r="N152" s="233">
        <v>0</v>
      </c>
      <c r="O152" s="233">
        <f>SUM(O153:O155)</f>
        <v>0</v>
      </c>
      <c r="P152" s="233">
        <f>SUM(P153:P155)</f>
        <v>0</v>
      </c>
      <c r="Q152" s="233">
        <f>SUM(Q153:Q155)</f>
        <v>0</v>
      </c>
      <c r="R152" s="233">
        <f t="shared" si="35"/>
        <v>0</v>
      </c>
    </row>
    <row r="153" spans="1:18" s="6" customFormat="1" ht="36" hidden="1" customHeight="1">
      <c r="A153" s="236">
        <v>9141</v>
      </c>
      <c r="B153" s="239" t="s">
        <v>190</v>
      </c>
      <c r="C153" s="921">
        <v>0</v>
      </c>
      <c r="D153" s="921">
        <v>0</v>
      </c>
      <c r="E153" s="605"/>
      <c r="F153" s="605"/>
      <c r="G153" s="605"/>
      <c r="H153" s="233">
        <f t="shared" si="33"/>
        <v>0</v>
      </c>
      <c r="I153" s="605">
        <v>0</v>
      </c>
      <c r="J153" s="605"/>
      <c r="K153" s="605"/>
      <c r="L153" s="605"/>
      <c r="M153" s="233">
        <f t="shared" si="34"/>
        <v>0</v>
      </c>
      <c r="N153" s="605">
        <v>0</v>
      </c>
      <c r="O153" s="605"/>
      <c r="P153" s="605"/>
      <c r="Q153" s="605"/>
      <c r="R153" s="233">
        <f t="shared" si="35"/>
        <v>0</v>
      </c>
    </row>
    <row r="154" spans="1:18" s="6" customFormat="1" ht="36" hidden="1" customHeight="1">
      <c r="A154" s="236">
        <v>9142</v>
      </c>
      <c r="B154" s="239" t="s">
        <v>191</v>
      </c>
      <c r="C154" s="921">
        <v>0</v>
      </c>
      <c r="D154" s="921">
        <v>0</v>
      </c>
      <c r="E154" s="605"/>
      <c r="F154" s="605"/>
      <c r="G154" s="605"/>
      <c r="H154" s="233">
        <f t="shared" si="33"/>
        <v>0</v>
      </c>
      <c r="I154" s="605">
        <v>0</v>
      </c>
      <c r="J154" s="605"/>
      <c r="K154" s="605"/>
      <c r="L154" s="605"/>
      <c r="M154" s="233">
        <f t="shared" si="34"/>
        <v>0</v>
      </c>
      <c r="N154" s="605">
        <v>0</v>
      </c>
      <c r="O154" s="605"/>
      <c r="P154" s="605"/>
      <c r="Q154" s="605"/>
      <c r="R154" s="233">
        <f t="shared" si="35"/>
        <v>0</v>
      </c>
    </row>
    <row r="155" spans="1:18" s="6" customFormat="1" ht="24" hidden="1" customHeight="1">
      <c r="A155" s="236">
        <v>9149</v>
      </c>
      <c r="B155" s="239" t="s">
        <v>192</v>
      </c>
      <c r="C155" s="921">
        <v>0</v>
      </c>
      <c r="D155" s="921">
        <v>0</v>
      </c>
      <c r="E155" s="605"/>
      <c r="F155" s="605"/>
      <c r="G155" s="605"/>
      <c r="H155" s="233">
        <f t="shared" si="33"/>
        <v>0</v>
      </c>
      <c r="I155" s="605">
        <v>0</v>
      </c>
      <c r="J155" s="605"/>
      <c r="K155" s="605"/>
      <c r="L155" s="605"/>
      <c r="M155" s="233">
        <f t="shared" si="34"/>
        <v>0</v>
      </c>
      <c r="N155" s="605">
        <v>0</v>
      </c>
      <c r="O155" s="605"/>
      <c r="P155" s="605"/>
      <c r="Q155" s="605"/>
      <c r="R155" s="233">
        <f t="shared" si="35"/>
        <v>0</v>
      </c>
    </row>
    <row r="156" spans="1:18" s="6" customFormat="1" ht="24">
      <c r="A156" s="256">
        <v>9500</v>
      </c>
      <c r="B156" s="239" t="s">
        <v>165</v>
      </c>
      <c r="C156" s="404">
        <v>407188</v>
      </c>
      <c r="D156" s="404">
        <v>407188</v>
      </c>
      <c r="E156" s="233">
        <f>SUM(E157:E159)</f>
        <v>0</v>
      </c>
      <c r="F156" s="233">
        <f>SUM(F157:F159)</f>
        <v>0</v>
      </c>
      <c r="G156" s="233">
        <f>SUM(G157:G159)</f>
        <v>0</v>
      </c>
      <c r="H156" s="233">
        <f t="shared" si="33"/>
        <v>407188</v>
      </c>
      <c r="I156" s="233">
        <v>407188</v>
      </c>
      <c r="J156" s="233">
        <f>SUM(J157:J159)</f>
        <v>0</v>
      </c>
      <c r="K156" s="233">
        <f>SUM(K157:K159)</f>
        <v>0</v>
      </c>
      <c r="L156" s="233">
        <f>SUM(L157:L159)</f>
        <v>0</v>
      </c>
      <c r="M156" s="233">
        <f t="shared" si="34"/>
        <v>407188</v>
      </c>
      <c r="N156" s="233">
        <v>407188</v>
      </c>
      <c r="O156" s="233">
        <f>SUM(O157:O159)</f>
        <v>0</v>
      </c>
      <c r="P156" s="233">
        <f>SUM(P157:P159)</f>
        <v>0</v>
      </c>
      <c r="Q156" s="233">
        <f>SUM(Q157:Q159)</f>
        <v>0</v>
      </c>
      <c r="R156" s="233">
        <f t="shared" si="35"/>
        <v>407188</v>
      </c>
    </row>
    <row r="157" spans="1:18" s="6" customFormat="1" ht="24">
      <c r="A157" s="234" t="s">
        <v>193</v>
      </c>
      <c r="B157" s="239" t="s">
        <v>171</v>
      </c>
      <c r="C157" s="404">
        <v>407188</v>
      </c>
      <c r="D157" s="404">
        <v>407188</v>
      </c>
      <c r="E157" s="233"/>
      <c r="F157" s="233"/>
      <c r="G157" s="233"/>
      <c r="H157" s="233">
        <f t="shared" si="33"/>
        <v>407188</v>
      </c>
      <c r="I157" s="233">
        <v>407188</v>
      </c>
      <c r="J157" s="233"/>
      <c r="K157" s="233"/>
      <c r="L157" s="233"/>
      <c r="M157" s="233">
        <f t="shared" si="34"/>
        <v>407188</v>
      </c>
      <c r="N157" s="233">
        <v>407188</v>
      </c>
      <c r="O157" s="233"/>
      <c r="P157" s="233"/>
      <c r="Q157" s="233"/>
      <c r="R157" s="233">
        <f t="shared" si="35"/>
        <v>407188</v>
      </c>
    </row>
    <row r="158" spans="1:18" s="6" customFormat="1" ht="48" hidden="1" customHeight="1">
      <c r="A158" s="234">
        <v>9580</v>
      </c>
      <c r="B158" s="239" t="s">
        <v>166</v>
      </c>
      <c r="C158" s="921">
        <v>0</v>
      </c>
      <c r="D158" s="921">
        <v>0</v>
      </c>
      <c r="E158" s="605"/>
      <c r="F158" s="605"/>
      <c r="G158" s="605"/>
      <c r="H158" s="233">
        <f t="shared" si="33"/>
        <v>0</v>
      </c>
      <c r="I158" s="605">
        <v>0</v>
      </c>
      <c r="J158" s="605"/>
      <c r="K158" s="605"/>
      <c r="L158" s="605"/>
      <c r="M158" s="233">
        <f t="shared" si="34"/>
        <v>0</v>
      </c>
      <c r="N158" s="605">
        <v>0</v>
      </c>
      <c r="O158" s="605"/>
      <c r="P158" s="605"/>
      <c r="Q158" s="605"/>
      <c r="R158" s="233">
        <f t="shared" si="35"/>
        <v>0</v>
      </c>
    </row>
    <row r="159" spans="1:18" s="6" customFormat="1" ht="48" hidden="1" customHeight="1">
      <c r="A159" s="234">
        <v>9590</v>
      </c>
      <c r="B159" s="441" t="s">
        <v>172</v>
      </c>
      <c r="C159" s="921">
        <v>0</v>
      </c>
      <c r="D159" s="921">
        <v>0</v>
      </c>
      <c r="E159" s="605"/>
      <c r="F159" s="605"/>
      <c r="G159" s="605"/>
      <c r="H159" s="233">
        <f t="shared" si="33"/>
        <v>0</v>
      </c>
      <c r="I159" s="605">
        <v>0</v>
      </c>
      <c r="J159" s="605"/>
      <c r="K159" s="605"/>
      <c r="L159" s="605"/>
      <c r="M159" s="233">
        <f t="shared" si="34"/>
        <v>0</v>
      </c>
      <c r="N159" s="605">
        <v>0</v>
      </c>
      <c r="O159" s="605"/>
      <c r="P159" s="605"/>
      <c r="Q159" s="605"/>
      <c r="R159" s="233">
        <f t="shared" si="35"/>
        <v>0</v>
      </c>
    </row>
    <row r="160" spans="1:18" s="6" customFormat="1" ht="24" hidden="1" customHeight="1">
      <c r="A160" s="256">
        <v>9700</v>
      </c>
      <c r="B160" s="447" t="s">
        <v>194</v>
      </c>
      <c r="C160" s="404">
        <v>0</v>
      </c>
      <c r="D160" s="404">
        <v>0</v>
      </c>
      <c r="E160" s="233">
        <f>SUM(E161:E162)</f>
        <v>0</v>
      </c>
      <c r="F160" s="233">
        <f>SUM(F161:F162)</f>
        <v>0</v>
      </c>
      <c r="G160" s="233">
        <f>SUM(G161:G162)</f>
        <v>0</v>
      </c>
      <c r="H160" s="233">
        <f t="shared" si="33"/>
        <v>0</v>
      </c>
      <c r="I160" s="233">
        <v>0</v>
      </c>
      <c r="J160" s="233">
        <f>SUM(J161:J162)</f>
        <v>0</v>
      </c>
      <c r="K160" s="233">
        <f>SUM(K161:K162)</f>
        <v>0</v>
      </c>
      <c r="L160" s="233">
        <f>SUM(L161:L162)</f>
        <v>0</v>
      </c>
      <c r="M160" s="233">
        <f t="shared" si="34"/>
        <v>0</v>
      </c>
      <c r="N160" s="233">
        <v>0</v>
      </c>
      <c r="O160" s="233">
        <f>SUM(O161:O162)</f>
        <v>0</v>
      </c>
      <c r="P160" s="233">
        <f>SUM(P161:P162)</f>
        <v>0</v>
      </c>
      <c r="Q160" s="233">
        <f>SUM(Q161:Q162)</f>
        <v>0</v>
      </c>
      <c r="R160" s="233">
        <f t="shared" si="35"/>
        <v>0</v>
      </c>
    </row>
    <row r="161" spans="1:18" s="6" customFormat="1" ht="24" hidden="1" customHeight="1">
      <c r="A161" s="234">
        <v>9710</v>
      </c>
      <c r="B161" s="448" t="s">
        <v>195</v>
      </c>
      <c r="C161" s="921">
        <v>0</v>
      </c>
      <c r="D161" s="921">
        <v>0</v>
      </c>
      <c r="E161" s="605"/>
      <c r="F161" s="605"/>
      <c r="G161" s="605"/>
      <c r="H161" s="233">
        <f t="shared" si="33"/>
        <v>0</v>
      </c>
      <c r="I161" s="605">
        <v>0</v>
      </c>
      <c r="J161" s="605"/>
      <c r="K161" s="605"/>
      <c r="L161" s="605"/>
      <c r="M161" s="233">
        <f t="shared" si="34"/>
        <v>0</v>
      </c>
      <c r="N161" s="605">
        <v>0</v>
      </c>
      <c r="O161" s="605"/>
      <c r="P161" s="605"/>
      <c r="Q161" s="605"/>
      <c r="R161" s="233">
        <f t="shared" si="35"/>
        <v>0</v>
      </c>
    </row>
    <row r="162" spans="1:18" s="6" customFormat="1" ht="48" hidden="1" customHeight="1">
      <c r="A162" s="259">
        <v>9720</v>
      </c>
      <c r="B162" s="447" t="s">
        <v>196</v>
      </c>
      <c r="C162" s="921">
        <v>0</v>
      </c>
      <c r="D162" s="921">
        <v>0</v>
      </c>
      <c r="E162" s="605"/>
      <c r="F162" s="605"/>
      <c r="G162" s="605"/>
      <c r="H162" s="233">
        <f t="shared" si="33"/>
        <v>0</v>
      </c>
      <c r="I162" s="605">
        <v>0</v>
      </c>
      <c r="J162" s="605"/>
      <c r="K162" s="605"/>
      <c r="L162" s="605"/>
      <c r="M162" s="233">
        <f t="shared" si="34"/>
        <v>0</v>
      </c>
      <c r="N162" s="605">
        <v>0</v>
      </c>
      <c r="O162" s="605"/>
      <c r="P162" s="605"/>
      <c r="Q162" s="605"/>
      <c r="R162" s="233">
        <f t="shared" si="35"/>
        <v>0</v>
      </c>
    </row>
    <row r="163" spans="1:18" s="6" customFormat="1" ht="24" hidden="1" customHeight="1">
      <c r="A163" s="256">
        <v>9600</v>
      </c>
      <c r="B163" s="441" t="s">
        <v>134</v>
      </c>
      <c r="C163" s="921">
        <v>0</v>
      </c>
      <c r="D163" s="921">
        <v>0</v>
      </c>
      <c r="E163" s="605"/>
      <c r="F163" s="605"/>
      <c r="G163" s="605"/>
      <c r="H163" s="233">
        <f t="shared" si="33"/>
        <v>0</v>
      </c>
      <c r="I163" s="605">
        <v>0</v>
      </c>
      <c r="J163" s="605"/>
      <c r="K163" s="605"/>
      <c r="L163" s="605"/>
      <c r="M163" s="233">
        <f t="shared" si="34"/>
        <v>0</v>
      </c>
      <c r="N163" s="605">
        <v>0</v>
      </c>
      <c r="O163" s="605"/>
      <c r="P163" s="605"/>
      <c r="Q163" s="605"/>
      <c r="R163" s="233">
        <f t="shared" si="35"/>
        <v>0</v>
      </c>
    </row>
    <row r="164" spans="1:18" s="6" customFormat="1" ht="30.6">
      <c r="A164" s="130" t="s">
        <v>197</v>
      </c>
      <c r="B164" s="449" t="s">
        <v>47</v>
      </c>
      <c r="C164" s="450">
        <v>1396174</v>
      </c>
      <c r="D164" s="450">
        <v>1021114</v>
      </c>
      <c r="E164" s="262">
        <f>E94-E119</f>
        <v>0</v>
      </c>
      <c r="F164" s="262">
        <f>F94-F119</f>
        <v>0</v>
      </c>
      <c r="G164" s="262">
        <f>G94-G119</f>
        <v>0</v>
      </c>
      <c r="H164" s="233">
        <f t="shared" si="33"/>
        <v>1021114</v>
      </c>
      <c r="I164" s="262">
        <v>1194368</v>
      </c>
      <c r="J164" s="262">
        <f>J94-J119</f>
        <v>0</v>
      </c>
      <c r="K164" s="262">
        <f>K94-K119</f>
        <v>0</v>
      </c>
      <c r="L164" s="262">
        <f>L94-L119</f>
        <v>0</v>
      </c>
      <c r="M164" s="233">
        <f t="shared" si="34"/>
        <v>1194368</v>
      </c>
      <c r="N164" s="262">
        <v>1391613</v>
      </c>
      <c r="O164" s="262">
        <f>O94-O119</f>
        <v>0</v>
      </c>
      <c r="P164" s="262">
        <f>P94-P119</f>
        <v>0</v>
      </c>
      <c r="Q164" s="262">
        <f>Q94-Q119</f>
        <v>0</v>
      </c>
      <c r="R164" s="233">
        <f t="shared" si="35"/>
        <v>1391613</v>
      </c>
    </row>
    <row r="165" spans="1:18" s="6" customFormat="1" ht="12">
      <c r="A165" s="263" t="s">
        <v>48</v>
      </c>
      <c r="B165" s="449" t="s">
        <v>49</v>
      </c>
      <c r="C165" s="450">
        <v>-1396174</v>
      </c>
      <c r="D165" s="450">
        <v>-1021114</v>
      </c>
      <c r="E165" s="262">
        <f>E166+E169+E173+E172</f>
        <v>0</v>
      </c>
      <c r="F165" s="262">
        <f>F166+F169+F173+F172</f>
        <v>0</v>
      </c>
      <c r="G165" s="262">
        <f>G166+G169+G173+G172</f>
        <v>0</v>
      </c>
      <c r="H165" s="233">
        <f t="shared" si="33"/>
        <v>-1021114</v>
      </c>
      <c r="I165" s="262">
        <v>-1194368</v>
      </c>
      <c r="J165" s="262">
        <f>J166+J169+J173+J172</f>
        <v>0</v>
      </c>
      <c r="K165" s="262">
        <f>K166+K169+K173+K172</f>
        <v>0</v>
      </c>
      <c r="L165" s="262">
        <f>L166+L169+L173+L172</f>
        <v>0</v>
      </c>
      <c r="M165" s="233">
        <f t="shared" si="34"/>
        <v>-1194368</v>
      </c>
      <c r="N165" s="262">
        <v>-1391613</v>
      </c>
      <c r="O165" s="262">
        <f>O166+O169+O173+O172</f>
        <v>0</v>
      </c>
      <c r="P165" s="262">
        <f>P166+P169+P173+P172</f>
        <v>0</v>
      </c>
      <c r="Q165" s="262">
        <f>Q166+Q169+Q173+Q172</f>
        <v>0</v>
      </c>
      <c r="R165" s="233">
        <f t="shared" si="35"/>
        <v>-1391613</v>
      </c>
    </row>
    <row r="166" spans="1:18" s="6" customFormat="1" ht="12">
      <c r="A166" s="256" t="s">
        <v>50</v>
      </c>
      <c r="B166" s="441" t="s">
        <v>51</v>
      </c>
      <c r="C166" s="433">
        <v>-3999814</v>
      </c>
      <c r="D166" s="433">
        <v>-2831114</v>
      </c>
      <c r="E166" s="231">
        <f>E167+E168</f>
        <v>0</v>
      </c>
      <c r="F166" s="231">
        <f>F167+F168</f>
        <v>0</v>
      </c>
      <c r="G166" s="231">
        <f>G167+G168</f>
        <v>0</v>
      </c>
      <c r="H166" s="233">
        <f t="shared" si="33"/>
        <v>-2831114</v>
      </c>
      <c r="I166" s="231">
        <v>-3004368</v>
      </c>
      <c r="J166" s="231">
        <f>J167+J168</f>
        <v>0</v>
      </c>
      <c r="K166" s="231">
        <f>K167+K168</f>
        <v>0</v>
      </c>
      <c r="L166" s="231">
        <f>L167+L168</f>
        <v>0</v>
      </c>
      <c r="M166" s="233">
        <f t="shared" si="34"/>
        <v>-3004368</v>
      </c>
      <c r="N166" s="231">
        <v>-3201613</v>
      </c>
      <c r="O166" s="231">
        <f>O167+O168</f>
        <v>0</v>
      </c>
      <c r="P166" s="231">
        <f>P167+P168</f>
        <v>0</v>
      </c>
      <c r="Q166" s="231">
        <f>Q167+Q168</f>
        <v>0</v>
      </c>
      <c r="R166" s="233">
        <f t="shared" si="35"/>
        <v>-3201613</v>
      </c>
    </row>
    <row r="167" spans="1:18" s="6" customFormat="1" ht="12" hidden="1" customHeight="1">
      <c r="A167" s="256" t="s">
        <v>52</v>
      </c>
      <c r="B167" s="441" t="s">
        <v>53</v>
      </c>
      <c r="C167" s="433"/>
      <c r="D167" s="433">
        <v>0</v>
      </c>
      <c r="E167" s="231"/>
      <c r="F167" s="231"/>
      <c r="G167" s="231"/>
      <c r="H167" s="233">
        <f t="shared" si="33"/>
        <v>0</v>
      </c>
      <c r="I167" s="231">
        <v>0</v>
      </c>
      <c r="J167" s="231"/>
      <c r="K167" s="231"/>
      <c r="L167" s="231"/>
      <c r="M167" s="233">
        <f t="shared" si="34"/>
        <v>0</v>
      </c>
      <c r="N167" s="231">
        <v>0</v>
      </c>
      <c r="O167" s="231"/>
      <c r="P167" s="231"/>
      <c r="Q167" s="231"/>
      <c r="R167" s="233">
        <f t="shared" si="35"/>
        <v>0</v>
      </c>
    </row>
    <row r="168" spans="1:18" s="6" customFormat="1" ht="12">
      <c r="A168" s="256" t="s">
        <v>54</v>
      </c>
      <c r="B168" s="441" t="s">
        <v>55</v>
      </c>
      <c r="C168" s="433">
        <v>-3999814</v>
      </c>
      <c r="D168" s="433">
        <v>-2831114</v>
      </c>
      <c r="E168" s="231"/>
      <c r="F168" s="231"/>
      <c r="G168" s="231"/>
      <c r="H168" s="233">
        <f t="shared" si="33"/>
        <v>-2831114</v>
      </c>
      <c r="I168" s="231">
        <v>-3004368</v>
      </c>
      <c r="J168" s="231"/>
      <c r="K168" s="231"/>
      <c r="L168" s="231"/>
      <c r="M168" s="233">
        <f t="shared" si="34"/>
        <v>-3004368</v>
      </c>
      <c r="N168" s="231">
        <v>-3201613</v>
      </c>
      <c r="O168" s="231"/>
      <c r="P168" s="231"/>
      <c r="Q168" s="231"/>
      <c r="R168" s="233">
        <f t="shared" si="35"/>
        <v>-3201613</v>
      </c>
    </row>
    <row r="169" spans="1:18" s="6" customFormat="1" ht="12">
      <c r="A169" s="256" t="s">
        <v>56</v>
      </c>
      <c r="B169" s="441" t="s">
        <v>57</v>
      </c>
      <c r="C169" s="433">
        <v>2603640</v>
      </c>
      <c r="D169" s="433">
        <v>1810000</v>
      </c>
      <c r="E169" s="231">
        <f>E170+E171</f>
        <v>0</v>
      </c>
      <c r="F169" s="231">
        <f>F170+F171</f>
        <v>0</v>
      </c>
      <c r="G169" s="231">
        <f>G170+G171</f>
        <v>0</v>
      </c>
      <c r="H169" s="233">
        <f t="shared" si="33"/>
        <v>1810000</v>
      </c>
      <c r="I169" s="231">
        <v>1810000</v>
      </c>
      <c r="J169" s="231">
        <f>J170+J171</f>
        <v>0</v>
      </c>
      <c r="K169" s="231">
        <f>K170+K171</f>
        <v>0</v>
      </c>
      <c r="L169" s="231">
        <f>L170+L171</f>
        <v>0</v>
      </c>
      <c r="M169" s="233">
        <f t="shared" si="34"/>
        <v>1810000</v>
      </c>
      <c r="N169" s="231">
        <v>1810000</v>
      </c>
      <c r="O169" s="231">
        <f>O170+O171</f>
        <v>0</v>
      </c>
      <c r="P169" s="231">
        <f>P170+P171</f>
        <v>0</v>
      </c>
      <c r="Q169" s="231">
        <f>Q170+Q171</f>
        <v>0</v>
      </c>
      <c r="R169" s="233">
        <f t="shared" si="35"/>
        <v>1810000</v>
      </c>
    </row>
    <row r="170" spans="1:18" s="6" customFormat="1" ht="12" hidden="1" customHeight="1">
      <c r="A170" s="256" t="s">
        <v>58</v>
      </c>
      <c r="B170" s="441" t="s">
        <v>59</v>
      </c>
      <c r="C170" s="433">
        <v>0</v>
      </c>
      <c r="D170" s="433">
        <v>0</v>
      </c>
      <c r="E170" s="231"/>
      <c r="F170" s="231"/>
      <c r="G170" s="231"/>
      <c r="H170" s="233">
        <f t="shared" si="33"/>
        <v>0</v>
      </c>
      <c r="I170" s="231">
        <v>0</v>
      </c>
      <c r="J170" s="231"/>
      <c r="K170" s="231"/>
      <c r="L170" s="231"/>
      <c r="M170" s="233">
        <f t="shared" si="34"/>
        <v>0</v>
      </c>
      <c r="N170" s="231">
        <v>0</v>
      </c>
      <c r="O170" s="231"/>
      <c r="P170" s="231"/>
      <c r="Q170" s="231"/>
      <c r="R170" s="233">
        <f t="shared" si="35"/>
        <v>0</v>
      </c>
    </row>
    <row r="171" spans="1:18" s="6" customFormat="1" ht="12">
      <c r="A171" s="256" t="s">
        <v>60</v>
      </c>
      <c r="B171" s="441" t="s">
        <v>61</v>
      </c>
      <c r="C171" s="433">
        <v>2603640</v>
      </c>
      <c r="D171" s="433">
        <v>1810000</v>
      </c>
      <c r="E171" s="231"/>
      <c r="F171" s="231"/>
      <c r="G171" s="231"/>
      <c r="H171" s="233">
        <f t="shared" si="33"/>
        <v>1810000</v>
      </c>
      <c r="I171" s="231">
        <v>1810000</v>
      </c>
      <c r="J171" s="231"/>
      <c r="K171" s="231"/>
      <c r="L171" s="231"/>
      <c r="M171" s="233">
        <f t="shared" si="34"/>
        <v>1810000</v>
      </c>
      <c r="N171" s="231">
        <v>1810000</v>
      </c>
      <c r="O171" s="231"/>
      <c r="P171" s="231"/>
      <c r="Q171" s="231"/>
      <c r="R171" s="233">
        <f t="shared" si="35"/>
        <v>1810000</v>
      </c>
    </row>
    <row r="172" spans="1:18" s="6" customFormat="1" ht="12" hidden="1" customHeight="1">
      <c r="A172" s="256" t="s">
        <v>198</v>
      </c>
      <c r="B172" s="451" t="s">
        <v>168</v>
      </c>
      <c r="C172" s="433">
        <v>0</v>
      </c>
      <c r="D172" s="433">
        <v>0</v>
      </c>
      <c r="E172" s="231"/>
      <c r="F172" s="231"/>
      <c r="G172" s="231"/>
      <c r="H172" s="233">
        <f t="shared" si="33"/>
        <v>0</v>
      </c>
      <c r="I172" s="231">
        <v>0</v>
      </c>
      <c r="J172" s="231"/>
      <c r="K172" s="231"/>
      <c r="L172" s="231"/>
      <c r="M172" s="233">
        <f t="shared" si="34"/>
        <v>0</v>
      </c>
      <c r="N172" s="231">
        <v>0</v>
      </c>
      <c r="O172" s="231"/>
      <c r="P172" s="231"/>
      <c r="Q172" s="231"/>
      <c r="R172" s="233">
        <f t="shared" si="35"/>
        <v>0</v>
      </c>
    </row>
    <row r="173" spans="1:18" s="6" customFormat="1" ht="12" hidden="1" customHeight="1">
      <c r="A173" s="144" t="s">
        <v>62</v>
      </c>
      <c r="B173" s="125" t="s">
        <v>63</v>
      </c>
      <c r="C173" s="404">
        <v>0</v>
      </c>
      <c r="D173" s="404">
        <v>0</v>
      </c>
      <c r="E173" s="233">
        <f>E174+E175+E176</f>
        <v>0</v>
      </c>
      <c r="F173" s="233">
        <f>F174+F175+F176</f>
        <v>0</v>
      </c>
      <c r="G173" s="233">
        <f>G174+G175+G176</f>
        <v>0</v>
      </c>
      <c r="H173" s="233">
        <f t="shared" si="33"/>
        <v>0</v>
      </c>
      <c r="I173" s="233">
        <v>0</v>
      </c>
      <c r="J173" s="233">
        <f>J174+J175+J176</f>
        <v>0</v>
      </c>
      <c r="K173" s="233">
        <f>K174+K175+K176</f>
        <v>0</v>
      </c>
      <c r="L173" s="233">
        <f>L174+L175+L176</f>
        <v>0</v>
      </c>
      <c r="M173" s="233">
        <f t="shared" si="34"/>
        <v>0</v>
      </c>
      <c r="N173" s="233">
        <v>0</v>
      </c>
      <c r="O173" s="233">
        <f>O174+O175+O176</f>
        <v>0</v>
      </c>
      <c r="P173" s="233">
        <f>P174+P175+P176</f>
        <v>0</v>
      </c>
      <c r="Q173" s="233">
        <f>Q174+Q175+Q176</f>
        <v>0</v>
      </c>
      <c r="R173" s="233">
        <f t="shared" si="35"/>
        <v>0</v>
      </c>
    </row>
    <row r="174" spans="1:18" s="6" customFormat="1" ht="36" hidden="1" customHeight="1">
      <c r="A174" s="144" t="s">
        <v>64</v>
      </c>
      <c r="B174" s="441" t="s">
        <v>65</v>
      </c>
      <c r="C174" s="433">
        <v>0</v>
      </c>
      <c r="D174" s="433">
        <v>0</v>
      </c>
      <c r="E174" s="231"/>
      <c r="F174" s="231"/>
      <c r="G174" s="231"/>
      <c r="H174" s="233">
        <f t="shared" si="33"/>
        <v>0</v>
      </c>
      <c r="I174" s="231">
        <v>0</v>
      </c>
      <c r="J174" s="231"/>
      <c r="K174" s="231"/>
      <c r="L174" s="231"/>
      <c r="M174" s="233">
        <f t="shared" si="34"/>
        <v>0</v>
      </c>
      <c r="N174" s="231">
        <v>0</v>
      </c>
      <c r="O174" s="231"/>
      <c r="P174" s="231"/>
      <c r="Q174" s="231"/>
      <c r="R174" s="233">
        <f t="shared" si="35"/>
        <v>0</v>
      </c>
    </row>
    <row r="175" spans="1:18" s="6" customFormat="1" ht="24" hidden="1" customHeight="1">
      <c r="A175" s="144" t="s">
        <v>66</v>
      </c>
      <c r="B175" s="441" t="s">
        <v>67</v>
      </c>
      <c r="C175" s="433">
        <v>0</v>
      </c>
      <c r="D175" s="433">
        <v>0</v>
      </c>
      <c r="E175" s="231"/>
      <c r="F175" s="231"/>
      <c r="G175" s="231"/>
      <c r="H175" s="233">
        <f t="shared" si="33"/>
        <v>0</v>
      </c>
      <c r="I175" s="231">
        <v>0</v>
      </c>
      <c r="J175" s="231"/>
      <c r="K175" s="231"/>
      <c r="L175" s="231"/>
      <c r="M175" s="233">
        <f t="shared" si="34"/>
        <v>0</v>
      </c>
      <c r="N175" s="231">
        <v>0</v>
      </c>
      <c r="O175" s="231"/>
      <c r="P175" s="231"/>
      <c r="Q175" s="231"/>
      <c r="R175" s="233">
        <f t="shared" si="35"/>
        <v>0</v>
      </c>
    </row>
    <row r="176" spans="1:18" s="6" customFormat="1" ht="24" hidden="1" customHeight="1">
      <c r="A176" s="144" t="s">
        <v>68</v>
      </c>
      <c r="B176" s="125" t="s">
        <v>69</v>
      </c>
      <c r="C176" s="433">
        <v>0</v>
      </c>
      <c r="D176" s="433">
        <v>0</v>
      </c>
      <c r="E176" s="231"/>
      <c r="F176" s="231"/>
      <c r="G176" s="231"/>
      <c r="H176" s="233">
        <f t="shared" si="33"/>
        <v>0</v>
      </c>
      <c r="I176" s="231">
        <v>0</v>
      </c>
      <c r="J176" s="231"/>
      <c r="K176" s="231"/>
      <c r="L176" s="231"/>
      <c r="M176" s="233">
        <f t="shared" si="34"/>
        <v>0</v>
      </c>
      <c r="N176" s="231">
        <v>0</v>
      </c>
      <c r="O176" s="231"/>
      <c r="P176" s="231"/>
      <c r="Q176" s="231"/>
      <c r="R176" s="233">
        <f t="shared" si="35"/>
        <v>0</v>
      </c>
    </row>
    <row r="177" spans="1:18" s="6" customFormat="1" ht="34.200000000000003">
      <c r="A177" s="922"/>
      <c r="B177" s="923" t="s">
        <v>200</v>
      </c>
      <c r="C177" s="938"/>
      <c r="D177" s="939">
        <v>0</v>
      </c>
      <c r="E177" s="611"/>
      <c r="F177" s="611"/>
      <c r="G177" s="611"/>
      <c r="H177" s="611">
        <f t="shared" si="33"/>
        <v>0</v>
      </c>
      <c r="I177" s="611">
        <v>0</v>
      </c>
      <c r="J177" s="611"/>
      <c r="K177" s="611"/>
      <c r="L177" s="611"/>
      <c r="M177" s="611">
        <f t="shared" si="34"/>
        <v>0</v>
      </c>
      <c r="N177" s="611">
        <v>0</v>
      </c>
      <c r="O177" s="611"/>
      <c r="P177" s="611"/>
      <c r="Q177" s="611"/>
      <c r="R177" s="611">
        <f t="shared" si="35"/>
        <v>0</v>
      </c>
    </row>
    <row r="178" spans="1:18" s="6" customFormat="1" ht="20.399999999999999">
      <c r="A178" s="129" t="s">
        <v>201</v>
      </c>
      <c r="B178" s="123" t="s">
        <v>88</v>
      </c>
      <c r="C178" s="432">
        <v>134817628</v>
      </c>
      <c r="D178" s="432">
        <v>104575160</v>
      </c>
      <c r="E178" s="228">
        <f>E179+E180+E182+E200</f>
        <v>-1409649</v>
      </c>
      <c r="F178" s="228">
        <f>F179+F180+F182+F200</f>
        <v>0</v>
      </c>
      <c r="G178" s="228">
        <f>G179+G180+G182+G200</f>
        <v>0</v>
      </c>
      <c r="H178" s="243">
        <f t="shared" si="33"/>
        <v>103165511</v>
      </c>
      <c r="I178" s="228">
        <v>36123388</v>
      </c>
      <c r="J178" s="228">
        <f>J179+J180+J182+J200</f>
        <v>-620539</v>
      </c>
      <c r="K178" s="228">
        <f>K179+K180+K182+K200</f>
        <v>0</v>
      </c>
      <c r="L178" s="228">
        <f>L179+L180+L182+L200</f>
        <v>0</v>
      </c>
      <c r="M178" s="243">
        <f t="shared" si="34"/>
        <v>35502849</v>
      </c>
      <c r="N178" s="228">
        <v>15411864</v>
      </c>
      <c r="O178" s="228">
        <f>O179+O180+O182+O200</f>
        <v>-335022</v>
      </c>
      <c r="P178" s="228">
        <f>P179+P180+P182+P200</f>
        <v>0</v>
      </c>
      <c r="Q178" s="228">
        <f>Q179+Q180+Q182+Q200</f>
        <v>0</v>
      </c>
      <c r="R178" s="243">
        <f t="shared" si="35"/>
        <v>15076842</v>
      </c>
    </row>
    <row r="179" spans="1:18" s="6" customFormat="1" ht="22.8">
      <c r="A179" s="130" t="s">
        <v>177</v>
      </c>
      <c r="B179" s="124" t="s">
        <v>90</v>
      </c>
      <c r="C179" s="262">
        <v>5000</v>
      </c>
      <c r="D179" s="262">
        <v>5000</v>
      </c>
      <c r="E179" s="231"/>
      <c r="F179" s="231"/>
      <c r="G179" s="231"/>
      <c r="H179" s="233">
        <f t="shared" si="33"/>
        <v>5000</v>
      </c>
      <c r="I179" s="231">
        <v>0</v>
      </c>
      <c r="J179" s="231"/>
      <c r="K179" s="231"/>
      <c r="L179" s="231"/>
      <c r="M179" s="233">
        <f t="shared" si="34"/>
        <v>0</v>
      </c>
      <c r="N179" s="231">
        <v>0</v>
      </c>
      <c r="O179" s="231"/>
      <c r="P179" s="231"/>
      <c r="Q179" s="231"/>
      <c r="R179" s="233">
        <f t="shared" si="35"/>
        <v>0</v>
      </c>
    </row>
    <row r="180" spans="1:18" s="6" customFormat="1" ht="12">
      <c r="A180" s="130" t="s">
        <v>91</v>
      </c>
      <c r="B180" s="124" t="s">
        <v>92</v>
      </c>
      <c r="C180" s="262">
        <v>14163807</v>
      </c>
      <c r="D180" s="262">
        <v>12516260</v>
      </c>
      <c r="E180" s="231">
        <v>46440</v>
      </c>
      <c r="F180" s="231"/>
      <c r="G180" s="231"/>
      <c r="H180" s="233">
        <f t="shared" si="33"/>
        <v>12562700</v>
      </c>
      <c r="I180" s="231">
        <v>171270</v>
      </c>
      <c r="J180" s="231"/>
      <c r="K180" s="231"/>
      <c r="L180" s="231"/>
      <c r="M180" s="233">
        <f t="shared" si="34"/>
        <v>171270</v>
      </c>
      <c r="N180" s="231">
        <v>181270</v>
      </c>
      <c r="O180" s="231"/>
      <c r="P180" s="231"/>
      <c r="Q180" s="231"/>
      <c r="R180" s="233">
        <f t="shared" si="35"/>
        <v>181270</v>
      </c>
    </row>
    <row r="181" spans="1:18" s="29" customFormat="1" ht="12">
      <c r="A181" s="131">
        <v>21210</v>
      </c>
      <c r="B181" s="125" t="s">
        <v>93</v>
      </c>
      <c r="C181" s="433">
        <v>1736622</v>
      </c>
      <c r="D181" s="433">
        <v>0</v>
      </c>
      <c r="E181" s="231"/>
      <c r="F181" s="231"/>
      <c r="G181" s="231"/>
      <c r="H181" s="233">
        <f t="shared" si="33"/>
        <v>0</v>
      </c>
      <c r="I181" s="231">
        <v>0</v>
      </c>
      <c r="J181" s="231"/>
      <c r="K181" s="231"/>
      <c r="L181" s="231"/>
      <c r="M181" s="233">
        <f t="shared" si="34"/>
        <v>0</v>
      </c>
      <c r="N181" s="231">
        <v>0</v>
      </c>
      <c r="O181" s="231"/>
      <c r="P181" s="231"/>
      <c r="Q181" s="231"/>
      <c r="R181" s="233">
        <f t="shared" si="35"/>
        <v>0</v>
      </c>
    </row>
    <row r="182" spans="1:18" s="89" customFormat="1" ht="20.399999999999999">
      <c r="A182" s="344" t="s">
        <v>178</v>
      </c>
      <c r="B182" s="924" t="s">
        <v>94</v>
      </c>
      <c r="C182" s="254">
        <v>0</v>
      </c>
      <c r="D182" s="254">
        <v>771975</v>
      </c>
      <c r="E182" s="233">
        <f>E183+E189</f>
        <v>0</v>
      </c>
      <c r="F182" s="233">
        <f>F183+F189</f>
        <v>0</v>
      </c>
      <c r="G182" s="233">
        <f>G183+G189</f>
        <v>0</v>
      </c>
      <c r="H182" s="233">
        <f t="shared" si="33"/>
        <v>771975</v>
      </c>
      <c r="I182" s="233">
        <v>146002</v>
      </c>
      <c r="J182" s="233">
        <f>J183+J189</f>
        <v>0</v>
      </c>
      <c r="K182" s="233">
        <f>K183+K189</f>
        <v>0</v>
      </c>
      <c r="L182" s="233">
        <f>L183+L189</f>
        <v>0</v>
      </c>
      <c r="M182" s="233">
        <f t="shared" si="34"/>
        <v>146002</v>
      </c>
      <c r="N182" s="233">
        <v>0</v>
      </c>
      <c r="O182" s="233">
        <f>O183+O189</f>
        <v>0</v>
      </c>
      <c r="P182" s="233">
        <f>P183+P189</f>
        <v>0</v>
      </c>
      <c r="Q182" s="233">
        <f>Q183+Q189</f>
        <v>0</v>
      </c>
      <c r="R182" s="233">
        <f t="shared" si="35"/>
        <v>0</v>
      </c>
    </row>
    <row r="183" spans="1:18" s="89" customFormat="1" ht="12" hidden="1" customHeight="1">
      <c r="A183" s="132">
        <v>18000</v>
      </c>
      <c r="B183" s="925" t="s">
        <v>95</v>
      </c>
      <c r="C183" s="404">
        <v>0</v>
      </c>
      <c r="D183" s="404">
        <v>0</v>
      </c>
      <c r="E183" s="233">
        <f t="shared" ref="E183:L184" si="36">E184</f>
        <v>0</v>
      </c>
      <c r="F183" s="233">
        <f t="shared" si="36"/>
        <v>0</v>
      </c>
      <c r="G183" s="233">
        <f t="shared" si="36"/>
        <v>0</v>
      </c>
      <c r="H183" s="233">
        <f t="shared" si="33"/>
        <v>0</v>
      </c>
      <c r="I183" s="233">
        <v>0</v>
      </c>
      <c r="J183" s="233">
        <f t="shared" si="36"/>
        <v>0</v>
      </c>
      <c r="K183" s="233">
        <f t="shared" si="36"/>
        <v>0</v>
      </c>
      <c r="L183" s="233">
        <f t="shared" si="36"/>
        <v>0</v>
      </c>
      <c r="M183" s="233">
        <f t="shared" si="34"/>
        <v>0</v>
      </c>
      <c r="N183" s="233">
        <v>0</v>
      </c>
      <c r="O183" s="233">
        <f t="shared" ref="O183:Q184" si="37">O184</f>
        <v>0</v>
      </c>
      <c r="P183" s="233">
        <f t="shared" si="37"/>
        <v>0</v>
      </c>
      <c r="Q183" s="233">
        <f t="shared" si="37"/>
        <v>0</v>
      </c>
      <c r="R183" s="233">
        <f t="shared" si="35"/>
        <v>0</v>
      </c>
    </row>
    <row r="184" spans="1:18" s="89" customFormat="1" ht="12" hidden="1" customHeight="1">
      <c r="A184" s="132">
        <v>18100</v>
      </c>
      <c r="B184" s="925" t="s">
        <v>96</v>
      </c>
      <c r="C184" s="404">
        <v>0</v>
      </c>
      <c r="D184" s="404">
        <v>0</v>
      </c>
      <c r="E184" s="233">
        <f t="shared" si="36"/>
        <v>0</v>
      </c>
      <c r="F184" s="233">
        <f t="shared" si="36"/>
        <v>0</v>
      </c>
      <c r="G184" s="233">
        <f t="shared" si="36"/>
        <v>0</v>
      </c>
      <c r="H184" s="233">
        <f t="shared" si="33"/>
        <v>0</v>
      </c>
      <c r="I184" s="233">
        <v>0</v>
      </c>
      <c r="J184" s="233">
        <f t="shared" si="36"/>
        <v>0</v>
      </c>
      <c r="K184" s="233">
        <f t="shared" si="36"/>
        <v>0</v>
      </c>
      <c r="L184" s="233">
        <f t="shared" si="36"/>
        <v>0</v>
      </c>
      <c r="M184" s="233">
        <f t="shared" si="34"/>
        <v>0</v>
      </c>
      <c r="N184" s="233">
        <v>0</v>
      </c>
      <c r="O184" s="233">
        <f t="shared" si="37"/>
        <v>0</v>
      </c>
      <c r="P184" s="233">
        <f t="shared" si="37"/>
        <v>0</v>
      </c>
      <c r="Q184" s="233">
        <f t="shared" si="37"/>
        <v>0</v>
      </c>
      <c r="R184" s="233">
        <f t="shared" si="35"/>
        <v>0</v>
      </c>
    </row>
    <row r="185" spans="1:18" s="89" customFormat="1" ht="24" hidden="1" customHeight="1">
      <c r="A185" s="234">
        <v>18130</v>
      </c>
      <c r="B185" s="926" t="s">
        <v>159</v>
      </c>
      <c r="C185" s="404">
        <v>0</v>
      </c>
      <c r="D185" s="404">
        <v>0</v>
      </c>
      <c r="E185" s="233">
        <f>SUM(E186:E188)</f>
        <v>0</v>
      </c>
      <c r="F185" s="233">
        <f>SUM(F186:F188)</f>
        <v>0</v>
      </c>
      <c r="G185" s="233">
        <f>SUM(G186:G188)</f>
        <v>0</v>
      </c>
      <c r="H185" s="233">
        <f t="shared" si="33"/>
        <v>0</v>
      </c>
      <c r="I185" s="233">
        <v>0</v>
      </c>
      <c r="J185" s="233">
        <f>SUM(J186:J188)</f>
        <v>0</v>
      </c>
      <c r="K185" s="233">
        <f>SUM(K186:K188)</f>
        <v>0</v>
      </c>
      <c r="L185" s="233">
        <f>SUM(L186:L188)</f>
        <v>0</v>
      </c>
      <c r="M185" s="233">
        <f t="shared" si="34"/>
        <v>0</v>
      </c>
      <c r="N185" s="233">
        <v>0</v>
      </c>
      <c r="O185" s="233">
        <f>SUM(O186:O188)</f>
        <v>0</v>
      </c>
      <c r="P185" s="233">
        <f>SUM(P186:P188)</f>
        <v>0</v>
      </c>
      <c r="Q185" s="233">
        <f>SUM(Q186:Q188)</f>
        <v>0</v>
      </c>
      <c r="R185" s="233">
        <f t="shared" si="35"/>
        <v>0</v>
      </c>
    </row>
    <row r="186" spans="1:18" s="89" customFormat="1" ht="36" hidden="1" customHeight="1">
      <c r="A186" s="236">
        <v>18131</v>
      </c>
      <c r="B186" s="926" t="s">
        <v>160</v>
      </c>
      <c r="C186" s="404">
        <v>0</v>
      </c>
      <c r="D186" s="404">
        <v>0</v>
      </c>
      <c r="E186" s="233"/>
      <c r="F186" s="233"/>
      <c r="G186" s="233"/>
      <c r="H186" s="233">
        <f t="shared" si="33"/>
        <v>0</v>
      </c>
      <c r="I186" s="233">
        <v>0</v>
      </c>
      <c r="J186" s="233"/>
      <c r="K186" s="233"/>
      <c r="L186" s="233"/>
      <c r="M186" s="233">
        <f t="shared" si="34"/>
        <v>0</v>
      </c>
      <c r="N186" s="233">
        <v>0</v>
      </c>
      <c r="O186" s="233"/>
      <c r="P186" s="233"/>
      <c r="Q186" s="233"/>
      <c r="R186" s="233">
        <f t="shared" si="35"/>
        <v>0</v>
      </c>
    </row>
    <row r="187" spans="1:18" s="89" customFormat="1" ht="24" hidden="1" customHeight="1">
      <c r="A187" s="236">
        <v>18132</v>
      </c>
      <c r="B187" s="926" t="s">
        <v>169</v>
      </c>
      <c r="C187" s="404">
        <v>0</v>
      </c>
      <c r="D187" s="404">
        <v>0</v>
      </c>
      <c r="E187" s="233"/>
      <c r="F187" s="233"/>
      <c r="G187" s="233"/>
      <c r="H187" s="233">
        <f t="shared" si="33"/>
        <v>0</v>
      </c>
      <c r="I187" s="233">
        <v>0</v>
      </c>
      <c r="J187" s="233"/>
      <c r="K187" s="233"/>
      <c r="L187" s="233"/>
      <c r="M187" s="233">
        <f t="shared" si="34"/>
        <v>0</v>
      </c>
      <c r="N187" s="233">
        <v>0</v>
      </c>
      <c r="O187" s="233"/>
      <c r="P187" s="233"/>
      <c r="Q187" s="233"/>
      <c r="R187" s="233">
        <f t="shared" si="35"/>
        <v>0</v>
      </c>
    </row>
    <row r="188" spans="1:18" s="89" customFormat="1" ht="24" hidden="1" customHeight="1">
      <c r="A188" s="236">
        <v>18139</v>
      </c>
      <c r="B188" s="926" t="s">
        <v>179</v>
      </c>
      <c r="C188" s="404">
        <v>0</v>
      </c>
      <c r="D188" s="404">
        <v>0</v>
      </c>
      <c r="E188" s="233"/>
      <c r="F188" s="233"/>
      <c r="G188" s="233"/>
      <c r="H188" s="233">
        <f t="shared" si="33"/>
        <v>0</v>
      </c>
      <c r="I188" s="233">
        <v>0</v>
      </c>
      <c r="J188" s="233"/>
      <c r="K188" s="233"/>
      <c r="L188" s="233"/>
      <c r="M188" s="233">
        <f t="shared" si="34"/>
        <v>0</v>
      </c>
      <c r="N188" s="233">
        <v>0</v>
      </c>
      <c r="O188" s="233"/>
      <c r="P188" s="233"/>
      <c r="Q188" s="233"/>
      <c r="R188" s="233">
        <f t="shared" si="35"/>
        <v>0</v>
      </c>
    </row>
    <row r="189" spans="1:18" s="89" customFormat="1" ht="12" hidden="1" customHeight="1">
      <c r="A189" s="135" t="s">
        <v>180</v>
      </c>
      <c r="B189" s="927" t="s">
        <v>173</v>
      </c>
      <c r="C189" s="436">
        <v>0</v>
      </c>
      <c r="D189" s="436">
        <v>0</v>
      </c>
      <c r="E189" s="238">
        <f t="shared" ref="E189:L189" si="38">E190</f>
        <v>0</v>
      </c>
      <c r="F189" s="238">
        <f t="shared" si="38"/>
        <v>0</v>
      </c>
      <c r="G189" s="238">
        <f t="shared" si="38"/>
        <v>0</v>
      </c>
      <c r="H189" s="233">
        <f t="shared" si="33"/>
        <v>0</v>
      </c>
      <c r="I189" s="238">
        <v>0</v>
      </c>
      <c r="J189" s="238">
        <f t="shared" si="38"/>
        <v>0</v>
      </c>
      <c r="K189" s="238">
        <f t="shared" si="38"/>
        <v>0</v>
      </c>
      <c r="L189" s="238">
        <f t="shared" si="38"/>
        <v>0</v>
      </c>
      <c r="M189" s="233">
        <f t="shared" si="34"/>
        <v>0</v>
      </c>
      <c r="N189" s="238">
        <v>0</v>
      </c>
      <c r="O189" s="238">
        <f>O190</f>
        <v>0</v>
      </c>
      <c r="P189" s="238">
        <f>P190</f>
        <v>0</v>
      </c>
      <c r="Q189" s="238">
        <f>Q190</f>
        <v>0</v>
      </c>
      <c r="R189" s="233">
        <f t="shared" si="35"/>
        <v>0</v>
      </c>
    </row>
    <row r="190" spans="1:18" s="89" customFormat="1" ht="24" hidden="1" customHeight="1">
      <c r="A190" s="135">
        <v>19500</v>
      </c>
      <c r="B190" s="926" t="s">
        <v>174</v>
      </c>
      <c r="C190" s="404">
        <v>0</v>
      </c>
      <c r="D190" s="404">
        <v>0</v>
      </c>
      <c r="E190" s="233">
        <f>SUM(E191:E193)</f>
        <v>0</v>
      </c>
      <c r="F190" s="233">
        <f>SUM(F191:F193)</f>
        <v>0</v>
      </c>
      <c r="G190" s="233">
        <f>SUM(G191:G193)</f>
        <v>0</v>
      </c>
      <c r="H190" s="233">
        <f t="shared" si="33"/>
        <v>0</v>
      </c>
      <c r="I190" s="233">
        <v>0</v>
      </c>
      <c r="J190" s="233">
        <f>SUM(J191:J193)</f>
        <v>0</v>
      </c>
      <c r="K190" s="233">
        <f>SUM(K191:K193)</f>
        <v>0</v>
      </c>
      <c r="L190" s="233">
        <f>SUM(L191:L193)</f>
        <v>0</v>
      </c>
      <c r="M190" s="233">
        <f t="shared" si="34"/>
        <v>0</v>
      </c>
      <c r="N190" s="233">
        <v>0</v>
      </c>
      <c r="O190" s="233">
        <f>SUM(O191:O193)</f>
        <v>0</v>
      </c>
      <c r="P190" s="233">
        <f>SUM(P191:P193)</f>
        <v>0</v>
      </c>
      <c r="Q190" s="233">
        <f>SUM(Q191:Q193)</f>
        <v>0</v>
      </c>
      <c r="R190" s="233">
        <f t="shared" si="35"/>
        <v>0</v>
      </c>
    </row>
    <row r="191" spans="1:18" s="89" customFormat="1" ht="24" hidden="1" customHeight="1">
      <c r="A191" s="136">
        <v>19550</v>
      </c>
      <c r="B191" s="926" t="s">
        <v>175</v>
      </c>
      <c r="C191" s="404">
        <v>0</v>
      </c>
      <c r="D191" s="404">
        <v>0</v>
      </c>
      <c r="E191" s="233"/>
      <c r="F191" s="233"/>
      <c r="G191" s="233"/>
      <c r="H191" s="233">
        <f t="shared" si="33"/>
        <v>0</v>
      </c>
      <c r="I191" s="233">
        <v>0</v>
      </c>
      <c r="J191" s="233"/>
      <c r="K191" s="233"/>
      <c r="L191" s="233"/>
      <c r="M191" s="233">
        <f t="shared" si="34"/>
        <v>0</v>
      </c>
      <c r="N191" s="233">
        <v>0</v>
      </c>
      <c r="O191" s="233"/>
      <c r="P191" s="233"/>
      <c r="Q191" s="233"/>
      <c r="R191" s="233">
        <f t="shared" si="35"/>
        <v>0</v>
      </c>
    </row>
    <row r="192" spans="1:18" s="89" customFormat="1" ht="36" hidden="1" customHeight="1">
      <c r="A192" s="136">
        <v>19560</v>
      </c>
      <c r="B192" s="926" t="s">
        <v>181</v>
      </c>
      <c r="C192" s="404">
        <v>0</v>
      </c>
      <c r="D192" s="404">
        <v>0</v>
      </c>
      <c r="E192" s="233"/>
      <c r="F192" s="233"/>
      <c r="G192" s="233"/>
      <c r="H192" s="233">
        <f t="shared" si="33"/>
        <v>0</v>
      </c>
      <c r="I192" s="233">
        <v>0</v>
      </c>
      <c r="J192" s="233"/>
      <c r="K192" s="233"/>
      <c r="L192" s="233"/>
      <c r="M192" s="233">
        <f t="shared" si="34"/>
        <v>0</v>
      </c>
      <c r="N192" s="233">
        <v>0</v>
      </c>
      <c r="O192" s="233"/>
      <c r="P192" s="233"/>
      <c r="Q192" s="233"/>
      <c r="R192" s="233">
        <f t="shared" si="35"/>
        <v>0</v>
      </c>
    </row>
    <row r="193" spans="1:18" s="89" customFormat="1" ht="72" hidden="1" customHeight="1">
      <c r="A193" s="136">
        <v>19570</v>
      </c>
      <c r="B193" s="926" t="s">
        <v>182</v>
      </c>
      <c r="C193" s="404">
        <v>0</v>
      </c>
      <c r="D193" s="404">
        <v>0</v>
      </c>
      <c r="E193" s="233"/>
      <c r="F193" s="233"/>
      <c r="G193" s="233"/>
      <c r="H193" s="233">
        <f t="shared" si="33"/>
        <v>0</v>
      </c>
      <c r="I193" s="233">
        <v>0</v>
      </c>
      <c r="J193" s="233"/>
      <c r="K193" s="233"/>
      <c r="L193" s="233"/>
      <c r="M193" s="233">
        <f t="shared" si="34"/>
        <v>0</v>
      </c>
      <c r="N193" s="233">
        <v>0</v>
      </c>
      <c r="O193" s="233"/>
      <c r="P193" s="233"/>
      <c r="Q193" s="233"/>
      <c r="R193" s="233">
        <f t="shared" si="35"/>
        <v>0</v>
      </c>
    </row>
    <row r="194" spans="1:18" s="6" customFormat="1" ht="24">
      <c r="A194" s="240" t="s">
        <v>222</v>
      </c>
      <c r="B194" s="928" t="s">
        <v>216</v>
      </c>
      <c r="C194" s="233">
        <v>0</v>
      </c>
      <c r="D194" s="233">
        <v>771975</v>
      </c>
      <c r="E194" s="233">
        <f t="shared" ref="E194:L194" si="39">E195</f>
        <v>0</v>
      </c>
      <c r="F194" s="233">
        <f t="shared" si="39"/>
        <v>0</v>
      </c>
      <c r="G194" s="233">
        <f t="shared" si="39"/>
        <v>0</v>
      </c>
      <c r="H194" s="233">
        <f t="shared" si="33"/>
        <v>771975</v>
      </c>
      <c r="I194" s="233">
        <v>146002</v>
      </c>
      <c r="J194" s="233">
        <f t="shared" si="39"/>
        <v>0</v>
      </c>
      <c r="K194" s="233">
        <f t="shared" si="39"/>
        <v>0</v>
      </c>
      <c r="L194" s="233">
        <f t="shared" si="39"/>
        <v>0</v>
      </c>
      <c r="M194" s="233">
        <f t="shared" si="34"/>
        <v>146002</v>
      </c>
      <c r="N194" s="233">
        <v>0</v>
      </c>
      <c r="O194" s="233">
        <f>O195</f>
        <v>0</v>
      </c>
      <c r="P194" s="233">
        <f>P195</f>
        <v>0</v>
      </c>
      <c r="Q194" s="233">
        <f>Q195</f>
        <v>0</v>
      </c>
      <c r="R194" s="233">
        <f t="shared" si="35"/>
        <v>0</v>
      </c>
    </row>
    <row r="195" spans="1:18" s="6" customFormat="1" ht="36">
      <c r="A195" s="240">
        <v>17100</v>
      </c>
      <c r="B195" s="928" t="s">
        <v>217</v>
      </c>
      <c r="C195" s="233">
        <v>0</v>
      </c>
      <c r="D195" s="233">
        <v>771975</v>
      </c>
      <c r="E195" s="233">
        <f>SUM(E196:E199)</f>
        <v>0</v>
      </c>
      <c r="F195" s="233">
        <f>SUM(F196:F199)</f>
        <v>0</v>
      </c>
      <c r="G195" s="233">
        <f>SUM(G196:G199)</f>
        <v>0</v>
      </c>
      <c r="H195" s="233">
        <f t="shared" si="33"/>
        <v>771975</v>
      </c>
      <c r="I195" s="233">
        <v>146002</v>
      </c>
      <c r="J195" s="233">
        <f>SUM(J196:J199)</f>
        <v>0</v>
      </c>
      <c r="K195" s="233">
        <f>SUM(K196:K199)</f>
        <v>0</v>
      </c>
      <c r="L195" s="233">
        <f>SUM(L196:L199)</f>
        <v>0</v>
      </c>
      <c r="M195" s="233">
        <f t="shared" si="34"/>
        <v>146002</v>
      </c>
      <c r="N195" s="233">
        <v>0</v>
      </c>
      <c r="O195" s="233">
        <f>SUM(O196:O199)</f>
        <v>0</v>
      </c>
      <c r="P195" s="233">
        <f>SUM(P196:P199)</f>
        <v>0</v>
      </c>
      <c r="Q195" s="233">
        <f>SUM(Q196:Q199)</f>
        <v>0</v>
      </c>
      <c r="R195" s="233">
        <f t="shared" si="35"/>
        <v>0</v>
      </c>
    </row>
    <row r="196" spans="1:18" s="6" customFormat="1" ht="48">
      <c r="A196" s="929">
        <v>17110</v>
      </c>
      <c r="B196" s="928" t="s">
        <v>218</v>
      </c>
      <c r="C196" s="605">
        <v>0</v>
      </c>
      <c r="D196" s="605">
        <v>771975</v>
      </c>
      <c r="E196" s="233"/>
      <c r="F196" s="233"/>
      <c r="G196" s="233"/>
      <c r="H196" s="233">
        <f t="shared" si="33"/>
        <v>771975</v>
      </c>
      <c r="I196" s="233">
        <v>146002</v>
      </c>
      <c r="J196" s="233"/>
      <c r="K196" s="233"/>
      <c r="L196" s="233"/>
      <c r="M196" s="233">
        <f t="shared" si="34"/>
        <v>146002</v>
      </c>
      <c r="N196" s="233">
        <v>0</v>
      </c>
      <c r="O196" s="233"/>
      <c r="P196" s="233"/>
      <c r="Q196" s="233"/>
      <c r="R196" s="233">
        <f t="shared" si="35"/>
        <v>0</v>
      </c>
    </row>
    <row r="197" spans="1:18" s="6" customFormat="1" ht="60" hidden="1" customHeight="1">
      <c r="A197" s="242">
        <v>17120</v>
      </c>
      <c r="B197" s="241" t="s">
        <v>219</v>
      </c>
      <c r="C197" s="233"/>
      <c r="D197" s="233">
        <v>0</v>
      </c>
      <c r="E197" s="233"/>
      <c r="F197" s="233"/>
      <c r="G197" s="233"/>
      <c r="H197" s="233">
        <f t="shared" si="33"/>
        <v>0</v>
      </c>
      <c r="I197" s="233">
        <v>0</v>
      </c>
      <c r="J197" s="233"/>
      <c r="K197" s="233"/>
      <c r="L197" s="233"/>
      <c r="M197" s="233">
        <f t="shared" si="34"/>
        <v>0</v>
      </c>
      <c r="N197" s="233">
        <v>0</v>
      </c>
      <c r="O197" s="233"/>
      <c r="P197" s="233"/>
      <c r="Q197" s="233"/>
      <c r="R197" s="233">
        <f t="shared" si="35"/>
        <v>0</v>
      </c>
    </row>
    <row r="198" spans="1:18" s="6" customFormat="1" ht="108" hidden="1" customHeight="1">
      <c r="A198" s="242">
        <v>17130</v>
      </c>
      <c r="B198" s="241" t="s">
        <v>220</v>
      </c>
      <c r="C198" s="233"/>
      <c r="D198" s="233">
        <v>0</v>
      </c>
      <c r="E198" s="233"/>
      <c r="F198" s="233"/>
      <c r="G198" s="233"/>
      <c r="H198" s="233">
        <f t="shared" si="33"/>
        <v>0</v>
      </c>
      <c r="I198" s="233">
        <v>0</v>
      </c>
      <c r="J198" s="233"/>
      <c r="K198" s="233"/>
      <c r="L198" s="233"/>
      <c r="M198" s="233">
        <f t="shared" si="34"/>
        <v>0</v>
      </c>
      <c r="N198" s="233">
        <v>0</v>
      </c>
      <c r="O198" s="233"/>
      <c r="P198" s="233"/>
      <c r="Q198" s="233"/>
      <c r="R198" s="233">
        <f t="shared" si="35"/>
        <v>0</v>
      </c>
    </row>
    <row r="199" spans="1:18" s="6" customFormat="1" ht="96" hidden="1" customHeight="1">
      <c r="A199" s="242">
        <v>17140</v>
      </c>
      <c r="B199" s="241" t="s">
        <v>221</v>
      </c>
      <c r="C199" s="233"/>
      <c r="D199" s="233">
        <v>0</v>
      </c>
      <c r="E199" s="233"/>
      <c r="F199" s="233"/>
      <c r="G199" s="233"/>
      <c r="H199" s="233">
        <f t="shared" si="33"/>
        <v>0</v>
      </c>
      <c r="I199" s="233">
        <v>0</v>
      </c>
      <c r="J199" s="233"/>
      <c r="K199" s="233"/>
      <c r="L199" s="233"/>
      <c r="M199" s="233">
        <f t="shared" si="34"/>
        <v>0</v>
      </c>
      <c r="N199" s="233">
        <v>0</v>
      </c>
      <c r="O199" s="233"/>
      <c r="P199" s="233"/>
      <c r="Q199" s="233"/>
      <c r="R199" s="233">
        <f t="shared" si="35"/>
        <v>0</v>
      </c>
    </row>
    <row r="200" spans="1:18" s="89" customFormat="1" ht="12">
      <c r="A200" s="137">
        <v>21700</v>
      </c>
      <c r="B200" s="124" t="s">
        <v>97</v>
      </c>
      <c r="C200" s="254">
        <v>120648821</v>
      </c>
      <c r="D200" s="254">
        <v>91281925</v>
      </c>
      <c r="E200" s="233">
        <f>E201+E202</f>
        <v>-1456089</v>
      </c>
      <c r="F200" s="233">
        <f>F201+F202</f>
        <v>0</v>
      </c>
      <c r="G200" s="233">
        <f>G201+G202</f>
        <v>0</v>
      </c>
      <c r="H200" s="233">
        <f t="shared" si="33"/>
        <v>89825836</v>
      </c>
      <c r="I200" s="233">
        <v>35806116</v>
      </c>
      <c r="J200" s="233">
        <f>J201+J202</f>
        <v>-620539</v>
      </c>
      <c r="K200" s="233">
        <f>K201+K202</f>
        <v>0</v>
      </c>
      <c r="L200" s="233">
        <f>L201+L202</f>
        <v>0</v>
      </c>
      <c r="M200" s="233">
        <f t="shared" si="34"/>
        <v>35185577</v>
      </c>
      <c r="N200" s="233">
        <v>15230594</v>
      </c>
      <c r="O200" s="233">
        <f>O201+O202</f>
        <v>-335022</v>
      </c>
      <c r="P200" s="233">
        <f>P201+P202</f>
        <v>0</v>
      </c>
      <c r="Q200" s="233">
        <f>Q201+Q202</f>
        <v>0</v>
      </c>
      <c r="R200" s="233">
        <f t="shared" si="35"/>
        <v>14895572</v>
      </c>
    </row>
    <row r="201" spans="1:18" s="89" customFormat="1" ht="24">
      <c r="A201" s="138">
        <v>21710</v>
      </c>
      <c r="B201" s="125" t="s">
        <v>98</v>
      </c>
      <c r="C201" s="404">
        <v>102101514</v>
      </c>
      <c r="D201" s="404">
        <v>75714889</v>
      </c>
      <c r="E201" s="233">
        <f>18197-1474286</f>
        <v>-1456089</v>
      </c>
      <c r="F201" s="233"/>
      <c r="G201" s="233"/>
      <c r="H201" s="233">
        <f t="shared" si="33"/>
        <v>74258800</v>
      </c>
      <c r="I201" s="233">
        <v>32512005</v>
      </c>
      <c r="J201" s="233">
        <v>-620539</v>
      </c>
      <c r="K201" s="233"/>
      <c r="L201" s="233"/>
      <c r="M201" s="233">
        <f t="shared" si="34"/>
        <v>31891466</v>
      </c>
      <c r="N201" s="233">
        <v>13425314</v>
      </c>
      <c r="O201" s="233">
        <v>-335022</v>
      </c>
      <c r="P201" s="233"/>
      <c r="Q201" s="233"/>
      <c r="R201" s="233">
        <f t="shared" si="35"/>
        <v>13090292</v>
      </c>
    </row>
    <row r="202" spans="1:18" s="29" customFormat="1" ht="24">
      <c r="A202" s="138">
        <v>21720</v>
      </c>
      <c r="B202" s="125" t="s">
        <v>99</v>
      </c>
      <c r="C202" s="404">
        <v>18547307</v>
      </c>
      <c r="D202" s="404">
        <v>15567036</v>
      </c>
      <c r="E202" s="233"/>
      <c r="F202" s="233"/>
      <c r="G202" s="233"/>
      <c r="H202" s="233">
        <f t="shared" ref="H202:H260" si="40">SUM(D202:G202)</f>
        <v>15567036</v>
      </c>
      <c r="I202" s="233">
        <v>3294111</v>
      </c>
      <c r="J202" s="233"/>
      <c r="K202" s="233"/>
      <c r="L202" s="233"/>
      <c r="M202" s="233">
        <f t="shared" ref="M202:M260" si="41">SUM(I202:L202)</f>
        <v>3294111</v>
      </c>
      <c r="N202" s="233">
        <v>1805280</v>
      </c>
      <c r="O202" s="233"/>
      <c r="P202" s="233"/>
      <c r="Q202" s="233"/>
      <c r="R202" s="233">
        <f t="shared" ref="R202:R260" si="42">SUM(N202:Q202)</f>
        <v>1805280</v>
      </c>
    </row>
    <row r="203" spans="1:18" s="29" customFormat="1" ht="11.4">
      <c r="A203" s="129" t="s">
        <v>100</v>
      </c>
      <c r="B203" s="123" t="s">
        <v>101</v>
      </c>
      <c r="C203" s="403">
        <v>137540638</v>
      </c>
      <c r="D203" s="403">
        <v>106725160</v>
      </c>
      <c r="E203" s="243">
        <f>E204+E231</f>
        <v>-1409649</v>
      </c>
      <c r="F203" s="243">
        <f>F204+F231</f>
        <v>0</v>
      </c>
      <c r="G203" s="243">
        <f>G204+G231</f>
        <v>0</v>
      </c>
      <c r="H203" s="403">
        <f t="shared" si="40"/>
        <v>105315511</v>
      </c>
      <c r="I203" s="243">
        <v>36123388</v>
      </c>
      <c r="J203" s="243">
        <f>J204+J231</f>
        <v>-620539</v>
      </c>
      <c r="K203" s="243">
        <f>K204+K231</f>
        <v>0</v>
      </c>
      <c r="L203" s="243">
        <f>L204+L231</f>
        <v>0</v>
      </c>
      <c r="M203" s="403">
        <f t="shared" si="41"/>
        <v>35502849</v>
      </c>
      <c r="N203" s="243">
        <v>15411864</v>
      </c>
      <c r="O203" s="243">
        <f>O204+O231</f>
        <v>-335022</v>
      </c>
      <c r="P203" s="243">
        <f>P204+P231</f>
        <v>0</v>
      </c>
      <c r="Q203" s="243">
        <f>Q204+Q231</f>
        <v>0</v>
      </c>
      <c r="R203" s="403">
        <f t="shared" si="42"/>
        <v>15076842</v>
      </c>
    </row>
    <row r="204" spans="1:18" s="29" customFormat="1" ht="20.399999999999999">
      <c r="A204" s="130" t="s">
        <v>102</v>
      </c>
      <c r="B204" s="124" t="s">
        <v>103</v>
      </c>
      <c r="C204" s="254">
        <v>80177221</v>
      </c>
      <c r="D204" s="254">
        <v>63843387</v>
      </c>
      <c r="E204" s="233">
        <f>E205+E209+E210+E213+E216</f>
        <v>-1409649</v>
      </c>
      <c r="F204" s="233">
        <f>F205+F209+F210+F213+F216</f>
        <v>0</v>
      </c>
      <c r="G204" s="233">
        <f>G205+G209+G210+G213+G216</f>
        <v>0</v>
      </c>
      <c r="H204" s="233">
        <f t="shared" si="40"/>
        <v>62433738</v>
      </c>
      <c r="I204" s="233">
        <v>12558045</v>
      </c>
      <c r="J204" s="233">
        <f>J205+J209+J210+J213+J216</f>
        <v>-620539</v>
      </c>
      <c r="K204" s="233">
        <f>K205+K209+K210+K213+K216</f>
        <v>0</v>
      </c>
      <c r="L204" s="233">
        <f>L205+L209+L210+L213+L216</f>
        <v>0</v>
      </c>
      <c r="M204" s="233">
        <f t="shared" si="41"/>
        <v>11937506</v>
      </c>
      <c r="N204" s="233">
        <v>4365190</v>
      </c>
      <c r="O204" s="233">
        <f>O205+O209+O210+O213+O216</f>
        <v>-335022</v>
      </c>
      <c r="P204" s="233">
        <f>P205+P209+P210+P213+P216</f>
        <v>0</v>
      </c>
      <c r="Q204" s="233">
        <f>Q205+Q209+Q210+Q213+Q216</f>
        <v>0</v>
      </c>
      <c r="R204" s="233">
        <f t="shared" si="42"/>
        <v>4030168</v>
      </c>
    </row>
    <row r="205" spans="1:18" s="29" customFormat="1" ht="12">
      <c r="A205" s="130" t="s">
        <v>104</v>
      </c>
      <c r="B205" s="124" t="s">
        <v>105</v>
      </c>
      <c r="C205" s="254">
        <v>19391286</v>
      </c>
      <c r="D205" s="254">
        <v>12583502</v>
      </c>
      <c r="E205" s="233">
        <f>E206+E208</f>
        <v>163638</v>
      </c>
      <c r="F205" s="233">
        <f>F206+F208</f>
        <v>0</v>
      </c>
      <c r="G205" s="233">
        <f>G206+G208</f>
        <v>0</v>
      </c>
      <c r="H205" s="233">
        <f t="shared" si="40"/>
        <v>12747140</v>
      </c>
      <c r="I205" s="233">
        <v>1664610</v>
      </c>
      <c r="J205" s="233">
        <f>J206+J208</f>
        <v>0</v>
      </c>
      <c r="K205" s="233">
        <f>K206+K208</f>
        <v>0</v>
      </c>
      <c r="L205" s="233">
        <f>L206+L208</f>
        <v>0</v>
      </c>
      <c r="M205" s="233">
        <f t="shared" si="41"/>
        <v>1664610</v>
      </c>
      <c r="N205" s="233">
        <v>608727</v>
      </c>
      <c r="O205" s="233">
        <f>O206+O208</f>
        <v>0</v>
      </c>
      <c r="P205" s="233">
        <f>P206+P208</f>
        <v>0</v>
      </c>
      <c r="Q205" s="233">
        <f>Q206+Q208</f>
        <v>0</v>
      </c>
      <c r="R205" s="233">
        <f t="shared" si="42"/>
        <v>608727</v>
      </c>
    </row>
    <row r="206" spans="1:18" s="29" customFormat="1" ht="12">
      <c r="A206" s="132">
        <v>1000</v>
      </c>
      <c r="B206" s="125" t="s">
        <v>106</v>
      </c>
      <c r="C206" s="404">
        <v>8128599</v>
      </c>
      <c r="D206" s="404">
        <v>5938646</v>
      </c>
      <c r="E206" s="233">
        <v>58035</v>
      </c>
      <c r="F206" s="233"/>
      <c r="G206" s="233"/>
      <c r="H206" s="233">
        <f t="shared" si="40"/>
        <v>5996681</v>
      </c>
      <c r="I206" s="233">
        <v>635942</v>
      </c>
      <c r="J206" s="233"/>
      <c r="K206" s="233"/>
      <c r="L206" s="233"/>
      <c r="M206" s="233">
        <f t="shared" si="41"/>
        <v>635942</v>
      </c>
      <c r="N206" s="233">
        <v>174437</v>
      </c>
      <c r="O206" s="233"/>
      <c r="P206" s="233"/>
      <c r="Q206" s="233"/>
      <c r="R206" s="233">
        <f t="shared" si="42"/>
        <v>174437</v>
      </c>
    </row>
    <row r="207" spans="1:18" s="29" customFormat="1" ht="12">
      <c r="A207" s="139">
        <v>1100</v>
      </c>
      <c r="B207" s="125" t="s">
        <v>107</v>
      </c>
      <c r="C207" s="404">
        <v>6521815</v>
      </c>
      <c r="D207" s="404">
        <v>4790903</v>
      </c>
      <c r="E207" s="233">
        <v>46768</v>
      </c>
      <c r="F207" s="233"/>
      <c r="G207" s="233"/>
      <c r="H207" s="233">
        <f t="shared" si="40"/>
        <v>4837671</v>
      </c>
      <c r="I207" s="233">
        <v>545033</v>
      </c>
      <c r="J207" s="233"/>
      <c r="K207" s="233"/>
      <c r="L207" s="233"/>
      <c r="M207" s="233">
        <f t="shared" si="41"/>
        <v>545033</v>
      </c>
      <c r="N207" s="233">
        <v>140335</v>
      </c>
      <c r="O207" s="233"/>
      <c r="P207" s="233"/>
      <c r="Q207" s="233"/>
      <c r="R207" s="233">
        <f t="shared" si="42"/>
        <v>140335</v>
      </c>
    </row>
    <row r="208" spans="1:18" s="29" customFormat="1" ht="12">
      <c r="A208" s="132">
        <v>2000</v>
      </c>
      <c r="B208" s="125" t="s">
        <v>108</v>
      </c>
      <c r="C208" s="404">
        <v>11262687</v>
      </c>
      <c r="D208" s="404">
        <v>6644856</v>
      </c>
      <c r="E208" s="233">
        <v>105603</v>
      </c>
      <c r="F208" s="233"/>
      <c r="G208" s="233"/>
      <c r="H208" s="233">
        <f t="shared" si="40"/>
        <v>6750459</v>
      </c>
      <c r="I208" s="233">
        <v>1028668</v>
      </c>
      <c r="J208" s="233"/>
      <c r="K208" s="233"/>
      <c r="L208" s="233"/>
      <c r="M208" s="233">
        <f t="shared" si="41"/>
        <v>1028668</v>
      </c>
      <c r="N208" s="233">
        <v>434290</v>
      </c>
      <c r="O208" s="233"/>
      <c r="P208" s="233"/>
      <c r="Q208" s="233"/>
      <c r="R208" s="233">
        <f t="shared" si="42"/>
        <v>434290</v>
      </c>
    </row>
    <row r="209" spans="1:18" s="29" customFormat="1" ht="12" hidden="1" customHeight="1">
      <c r="A209" s="140">
        <v>4000</v>
      </c>
      <c r="B209" s="124" t="s">
        <v>132</v>
      </c>
      <c r="C209" s="404">
        <v>0</v>
      </c>
      <c r="D209" s="404">
        <v>0</v>
      </c>
      <c r="E209" s="233"/>
      <c r="F209" s="233"/>
      <c r="G209" s="233"/>
      <c r="H209" s="233">
        <f t="shared" si="40"/>
        <v>0</v>
      </c>
      <c r="I209" s="233">
        <v>0</v>
      </c>
      <c r="J209" s="233"/>
      <c r="K209" s="233"/>
      <c r="L209" s="233"/>
      <c r="M209" s="233">
        <f t="shared" si="41"/>
        <v>0</v>
      </c>
      <c r="N209" s="233">
        <v>0</v>
      </c>
      <c r="O209" s="233"/>
      <c r="P209" s="233"/>
      <c r="Q209" s="233"/>
      <c r="R209" s="233">
        <f t="shared" si="42"/>
        <v>0</v>
      </c>
    </row>
    <row r="210" spans="1:18" s="29" customFormat="1" ht="12">
      <c r="A210" s="140" t="s">
        <v>109</v>
      </c>
      <c r="B210" s="124" t="s">
        <v>110</v>
      </c>
      <c r="C210" s="254">
        <v>15199293</v>
      </c>
      <c r="D210" s="254">
        <v>10029725</v>
      </c>
      <c r="E210" s="233">
        <f>E211+E212</f>
        <v>-211944</v>
      </c>
      <c r="F210" s="233">
        <f>F211+F212</f>
        <v>0</v>
      </c>
      <c r="G210" s="233">
        <f>G211+G212</f>
        <v>0</v>
      </c>
      <c r="H210" s="233">
        <f t="shared" si="40"/>
        <v>9817781</v>
      </c>
      <c r="I210" s="233">
        <v>667043</v>
      </c>
      <c r="J210" s="233">
        <f>J211+J212</f>
        <v>-40506</v>
      </c>
      <c r="K210" s="233">
        <f>K211+K212</f>
        <v>0</v>
      </c>
      <c r="L210" s="233">
        <f>L211+L212</f>
        <v>0</v>
      </c>
      <c r="M210" s="233">
        <f t="shared" si="41"/>
        <v>626537</v>
      </c>
      <c r="N210" s="233">
        <v>187581</v>
      </c>
      <c r="O210" s="233">
        <f>O211+O212</f>
        <v>-121868</v>
      </c>
      <c r="P210" s="233">
        <f>P211+P212</f>
        <v>0</v>
      </c>
      <c r="Q210" s="233">
        <f>Q211+Q212</f>
        <v>0</v>
      </c>
      <c r="R210" s="233">
        <f t="shared" si="42"/>
        <v>65713</v>
      </c>
    </row>
    <row r="211" spans="1:18" s="29" customFormat="1" ht="12">
      <c r="A211" s="132">
        <v>3000</v>
      </c>
      <c r="B211" s="125" t="s">
        <v>111</v>
      </c>
      <c r="C211" s="438">
        <v>10315928</v>
      </c>
      <c r="D211" s="438">
        <v>7039854</v>
      </c>
      <c r="E211" s="345">
        <f>107504-319448</f>
        <v>-211944</v>
      </c>
      <c r="F211" s="345"/>
      <c r="G211" s="345"/>
      <c r="H211" s="233">
        <f t="shared" si="40"/>
        <v>6827910</v>
      </c>
      <c r="I211" s="345">
        <v>667043</v>
      </c>
      <c r="J211" s="345">
        <v>-40506</v>
      </c>
      <c r="K211" s="345"/>
      <c r="L211" s="345"/>
      <c r="M211" s="233">
        <f t="shared" si="41"/>
        <v>626537</v>
      </c>
      <c r="N211" s="345">
        <v>187581</v>
      </c>
      <c r="O211" s="345">
        <v>-121868</v>
      </c>
      <c r="P211" s="345"/>
      <c r="Q211" s="345"/>
      <c r="R211" s="233">
        <f t="shared" si="42"/>
        <v>65713</v>
      </c>
    </row>
    <row r="212" spans="1:18" s="29" customFormat="1" ht="12">
      <c r="A212" s="132">
        <v>6000</v>
      </c>
      <c r="B212" s="125" t="s">
        <v>112</v>
      </c>
      <c r="C212" s="523">
        <v>4883365</v>
      </c>
      <c r="D212" s="523">
        <v>2989871</v>
      </c>
      <c r="E212" s="346"/>
      <c r="F212" s="346"/>
      <c r="G212" s="346"/>
      <c r="H212" s="233">
        <f t="shared" si="40"/>
        <v>2989871</v>
      </c>
      <c r="I212" s="346">
        <v>0</v>
      </c>
      <c r="J212" s="346"/>
      <c r="K212" s="346"/>
      <c r="L212" s="346"/>
      <c r="M212" s="233">
        <f t="shared" si="41"/>
        <v>0</v>
      </c>
      <c r="N212" s="346">
        <v>0</v>
      </c>
      <c r="O212" s="346"/>
      <c r="P212" s="346"/>
      <c r="Q212" s="346"/>
      <c r="R212" s="233">
        <f t="shared" si="42"/>
        <v>0</v>
      </c>
    </row>
    <row r="213" spans="1:18" s="29" customFormat="1" ht="22.8">
      <c r="A213" s="140" t="s">
        <v>113</v>
      </c>
      <c r="B213" s="124" t="s">
        <v>183</v>
      </c>
      <c r="C213" s="254">
        <v>217500</v>
      </c>
      <c r="D213" s="254">
        <v>217500</v>
      </c>
      <c r="E213" s="233">
        <f>E214+E215</f>
        <v>350500</v>
      </c>
      <c r="F213" s="233">
        <f>F214+F215</f>
        <v>0</v>
      </c>
      <c r="G213" s="233">
        <f>G214+G215</f>
        <v>0</v>
      </c>
      <c r="H213" s="233">
        <f t="shared" si="40"/>
        <v>568000</v>
      </c>
      <c r="I213" s="233">
        <v>137500</v>
      </c>
      <c r="J213" s="233">
        <f>J214+J215</f>
        <v>0</v>
      </c>
      <c r="K213" s="233">
        <f>K214+K215</f>
        <v>0</v>
      </c>
      <c r="L213" s="233">
        <f>L214+L215</f>
        <v>0</v>
      </c>
      <c r="M213" s="233">
        <f t="shared" si="41"/>
        <v>137500</v>
      </c>
      <c r="N213" s="233">
        <v>137500</v>
      </c>
      <c r="O213" s="233">
        <f>O214+O215</f>
        <v>0</v>
      </c>
      <c r="P213" s="233">
        <f>P214+P215</f>
        <v>0</v>
      </c>
      <c r="Q213" s="233">
        <f>Q214+Q215</f>
        <v>0</v>
      </c>
      <c r="R213" s="233">
        <f t="shared" si="42"/>
        <v>137500</v>
      </c>
    </row>
    <row r="214" spans="1:18" s="29" customFormat="1" ht="12">
      <c r="A214" s="132">
        <v>7600</v>
      </c>
      <c r="B214" s="441" t="s">
        <v>184</v>
      </c>
      <c r="C214" s="404">
        <v>0</v>
      </c>
      <c r="D214" s="404">
        <v>0</v>
      </c>
      <c r="E214" s="233">
        <v>300000</v>
      </c>
      <c r="F214" s="233"/>
      <c r="G214" s="233"/>
      <c r="H214" s="233">
        <f t="shared" si="40"/>
        <v>300000</v>
      </c>
      <c r="I214" s="233">
        <v>0</v>
      </c>
      <c r="J214" s="233"/>
      <c r="K214" s="233"/>
      <c r="L214" s="233"/>
      <c r="M214" s="233">
        <f t="shared" si="41"/>
        <v>0</v>
      </c>
      <c r="N214" s="233">
        <v>0</v>
      </c>
      <c r="O214" s="233"/>
      <c r="P214" s="233"/>
      <c r="Q214" s="233"/>
      <c r="R214" s="233">
        <f t="shared" si="42"/>
        <v>0</v>
      </c>
    </row>
    <row r="215" spans="1:18" s="29" customFormat="1" ht="12">
      <c r="A215" s="132">
        <v>7700</v>
      </c>
      <c r="B215" s="442" t="s">
        <v>114</v>
      </c>
      <c r="C215" s="404">
        <v>217500</v>
      </c>
      <c r="D215" s="404">
        <v>217500</v>
      </c>
      <c r="E215" s="233">
        <v>50500</v>
      </c>
      <c r="F215" s="233"/>
      <c r="G215" s="233"/>
      <c r="H215" s="233">
        <f t="shared" si="40"/>
        <v>268000</v>
      </c>
      <c r="I215" s="233">
        <v>137500</v>
      </c>
      <c r="J215" s="233"/>
      <c r="K215" s="233"/>
      <c r="L215" s="233"/>
      <c r="M215" s="233">
        <f t="shared" si="41"/>
        <v>137500</v>
      </c>
      <c r="N215" s="233">
        <v>137500</v>
      </c>
      <c r="O215" s="233"/>
      <c r="P215" s="233"/>
      <c r="Q215" s="233"/>
      <c r="R215" s="233">
        <f t="shared" si="42"/>
        <v>137500</v>
      </c>
    </row>
    <row r="216" spans="1:18" s="29" customFormat="1" ht="20.399999999999999">
      <c r="A216" s="140" t="s">
        <v>185</v>
      </c>
      <c r="B216" s="124" t="s">
        <v>115</v>
      </c>
      <c r="C216" s="254">
        <v>45369142</v>
      </c>
      <c r="D216" s="254">
        <v>41012660</v>
      </c>
      <c r="E216" s="233">
        <f>E217+E223+E227+E230</f>
        <v>-1711843</v>
      </c>
      <c r="F216" s="233">
        <f>F217+F223+F227+F230</f>
        <v>0</v>
      </c>
      <c r="G216" s="233">
        <f>G217+G223+G227+G230</f>
        <v>0</v>
      </c>
      <c r="H216" s="233">
        <f t="shared" si="40"/>
        <v>39300817</v>
      </c>
      <c r="I216" s="233">
        <v>10088892</v>
      </c>
      <c r="J216" s="233">
        <f>J217+J223+J227+J230</f>
        <v>-580033</v>
      </c>
      <c r="K216" s="233">
        <f>K217+K223+K227+K230</f>
        <v>0</v>
      </c>
      <c r="L216" s="233">
        <f>L217+L223+L227+L230</f>
        <v>0</v>
      </c>
      <c r="M216" s="233">
        <f t="shared" si="41"/>
        <v>9508859</v>
      </c>
      <c r="N216" s="233">
        <v>3431382</v>
      </c>
      <c r="O216" s="233">
        <f>O217+O223+O227+O230</f>
        <v>-213154</v>
      </c>
      <c r="P216" s="233">
        <f>P217+P223+P227+P230</f>
        <v>0</v>
      </c>
      <c r="Q216" s="233">
        <f>Q217+Q223+Q227+Q230</f>
        <v>0</v>
      </c>
      <c r="R216" s="233">
        <f t="shared" si="42"/>
        <v>3218228</v>
      </c>
    </row>
    <row r="217" spans="1:18" s="29" customFormat="1" ht="12">
      <c r="A217" s="132">
        <v>7100</v>
      </c>
      <c r="B217" s="441" t="s">
        <v>116</v>
      </c>
      <c r="C217" s="404">
        <v>397587</v>
      </c>
      <c r="D217" s="404">
        <v>228056</v>
      </c>
      <c r="E217" s="233">
        <f>E218+E219</f>
        <v>-73</v>
      </c>
      <c r="F217" s="233">
        <f>F218+F219</f>
        <v>0</v>
      </c>
      <c r="G217" s="233">
        <f>G218+G219</f>
        <v>0</v>
      </c>
      <c r="H217" s="233">
        <f t="shared" si="40"/>
        <v>227983</v>
      </c>
      <c r="I217" s="233">
        <v>0</v>
      </c>
      <c r="J217" s="233">
        <f>J218+J219</f>
        <v>0</v>
      </c>
      <c r="K217" s="233">
        <f>K218+K219</f>
        <v>0</v>
      </c>
      <c r="L217" s="233">
        <f>L218+L219</f>
        <v>0</v>
      </c>
      <c r="M217" s="233">
        <f t="shared" si="41"/>
        <v>0</v>
      </c>
      <c r="N217" s="233">
        <v>0</v>
      </c>
      <c r="O217" s="233">
        <f>O218+O219</f>
        <v>0</v>
      </c>
      <c r="P217" s="233">
        <f>P218+P219</f>
        <v>0</v>
      </c>
      <c r="Q217" s="233">
        <f>Q218+Q219</f>
        <v>0</v>
      </c>
      <c r="R217" s="233">
        <f t="shared" si="42"/>
        <v>0</v>
      </c>
    </row>
    <row r="218" spans="1:18" s="29" customFormat="1" ht="24" hidden="1" customHeight="1">
      <c r="A218" s="234" t="s">
        <v>117</v>
      </c>
      <c r="B218" s="441" t="s">
        <v>118</v>
      </c>
      <c r="C218" s="404">
        <v>0</v>
      </c>
      <c r="D218" s="404">
        <v>0</v>
      </c>
      <c r="E218" s="233"/>
      <c r="F218" s="233"/>
      <c r="G218" s="233"/>
      <c r="H218" s="233">
        <f t="shared" si="40"/>
        <v>0</v>
      </c>
      <c r="I218" s="233">
        <v>0</v>
      </c>
      <c r="J218" s="233"/>
      <c r="K218" s="233"/>
      <c r="L218" s="233"/>
      <c r="M218" s="233">
        <f t="shared" si="41"/>
        <v>0</v>
      </c>
      <c r="N218" s="233">
        <v>0</v>
      </c>
      <c r="O218" s="233"/>
      <c r="P218" s="233"/>
      <c r="Q218" s="233"/>
      <c r="R218" s="233">
        <f t="shared" si="42"/>
        <v>0</v>
      </c>
    </row>
    <row r="219" spans="1:18" s="29" customFormat="1" ht="24">
      <c r="A219" s="234">
        <v>7130</v>
      </c>
      <c r="B219" s="441" t="s">
        <v>119</v>
      </c>
      <c r="C219" s="404">
        <v>397587</v>
      </c>
      <c r="D219" s="404">
        <v>228056</v>
      </c>
      <c r="E219" s="233">
        <f>SUM(E220:E222)</f>
        <v>-73</v>
      </c>
      <c r="F219" s="233">
        <f>SUM(F220:F222)</f>
        <v>0</v>
      </c>
      <c r="G219" s="233">
        <f>SUM(G220:G222)</f>
        <v>0</v>
      </c>
      <c r="H219" s="233">
        <f t="shared" si="40"/>
        <v>227983</v>
      </c>
      <c r="I219" s="233">
        <v>0</v>
      </c>
      <c r="J219" s="233">
        <f>SUM(J220:J222)</f>
        <v>0</v>
      </c>
      <c r="K219" s="233">
        <f>SUM(K220:K222)</f>
        <v>0</v>
      </c>
      <c r="L219" s="233">
        <f>SUM(L220:L222)</f>
        <v>0</v>
      </c>
      <c r="M219" s="233">
        <f t="shared" si="41"/>
        <v>0</v>
      </c>
      <c r="N219" s="233">
        <v>0</v>
      </c>
      <c r="O219" s="233">
        <f>SUM(O220:O222)</f>
        <v>0</v>
      </c>
      <c r="P219" s="233">
        <f>SUM(P220:P222)</f>
        <v>0</v>
      </c>
      <c r="Q219" s="233">
        <f>SUM(Q220:Q222)</f>
        <v>0</v>
      </c>
      <c r="R219" s="233">
        <f t="shared" si="42"/>
        <v>0</v>
      </c>
    </row>
    <row r="220" spans="1:18" s="29" customFormat="1" ht="36">
      <c r="A220" s="236">
        <v>7131</v>
      </c>
      <c r="B220" s="441" t="s">
        <v>120</v>
      </c>
      <c r="C220" s="404">
        <v>355831</v>
      </c>
      <c r="D220" s="404">
        <v>228056</v>
      </c>
      <c r="E220" s="233">
        <v>-73</v>
      </c>
      <c r="F220" s="233"/>
      <c r="G220" s="233"/>
      <c r="H220" s="233">
        <f t="shared" si="40"/>
        <v>227983</v>
      </c>
      <c r="I220" s="233">
        <v>0</v>
      </c>
      <c r="J220" s="233"/>
      <c r="K220" s="233"/>
      <c r="L220" s="233"/>
      <c r="M220" s="233">
        <f t="shared" si="41"/>
        <v>0</v>
      </c>
      <c r="N220" s="233">
        <v>0</v>
      </c>
      <c r="O220" s="233"/>
      <c r="P220" s="233"/>
      <c r="Q220" s="233"/>
      <c r="R220" s="233">
        <f t="shared" si="42"/>
        <v>0</v>
      </c>
    </row>
    <row r="221" spans="1:18" s="29" customFormat="1" ht="36">
      <c r="A221" s="236">
        <v>7132</v>
      </c>
      <c r="B221" s="441" t="s">
        <v>121</v>
      </c>
      <c r="C221" s="404">
        <v>41756</v>
      </c>
      <c r="D221" s="404">
        <v>0</v>
      </c>
      <c r="E221" s="233"/>
      <c r="F221" s="233"/>
      <c r="G221" s="233"/>
      <c r="H221" s="233">
        <f t="shared" si="40"/>
        <v>0</v>
      </c>
      <c r="I221" s="233">
        <v>0</v>
      </c>
      <c r="J221" s="233"/>
      <c r="K221" s="233"/>
      <c r="L221" s="233"/>
      <c r="M221" s="233">
        <f t="shared" si="41"/>
        <v>0</v>
      </c>
      <c r="N221" s="233">
        <v>0</v>
      </c>
      <c r="O221" s="233"/>
      <c r="P221" s="233"/>
      <c r="Q221" s="233"/>
      <c r="R221" s="233">
        <f t="shared" si="42"/>
        <v>0</v>
      </c>
    </row>
    <row r="222" spans="1:18" s="29" customFormat="1" ht="24" hidden="1" customHeight="1">
      <c r="A222" s="236" t="s">
        <v>186</v>
      </c>
      <c r="B222" s="441" t="s">
        <v>187</v>
      </c>
      <c r="C222" s="404">
        <v>0</v>
      </c>
      <c r="D222" s="404">
        <v>0</v>
      </c>
      <c r="E222" s="233"/>
      <c r="F222" s="233"/>
      <c r="G222" s="233"/>
      <c r="H222" s="233">
        <f t="shared" si="40"/>
        <v>0</v>
      </c>
      <c r="I222" s="233">
        <v>0</v>
      </c>
      <c r="J222" s="233"/>
      <c r="K222" s="233"/>
      <c r="L222" s="233"/>
      <c r="M222" s="233">
        <f t="shared" si="41"/>
        <v>0</v>
      </c>
      <c r="N222" s="233">
        <v>0</v>
      </c>
      <c r="O222" s="233"/>
      <c r="P222" s="233"/>
      <c r="Q222" s="233"/>
      <c r="R222" s="233">
        <f t="shared" si="42"/>
        <v>0</v>
      </c>
    </row>
    <row r="223" spans="1:18" s="29" customFormat="1" ht="24">
      <c r="A223" s="132">
        <v>7300</v>
      </c>
      <c r="B223" s="239" t="s">
        <v>155</v>
      </c>
      <c r="C223" s="404">
        <v>36687626</v>
      </c>
      <c r="D223" s="404">
        <v>29221360</v>
      </c>
      <c r="E223" s="233">
        <f>SUM(E224:E226)</f>
        <v>-1711770</v>
      </c>
      <c r="F223" s="233">
        <f>SUM(F224:F226)</f>
        <v>0</v>
      </c>
      <c r="G223" s="233">
        <f>SUM(G224:G226)</f>
        <v>0</v>
      </c>
      <c r="H223" s="233">
        <f t="shared" si="40"/>
        <v>27509590</v>
      </c>
      <c r="I223" s="233">
        <v>8954506</v>
      </c>
      <c r="J223" s="233">
        <f>SUM(J224:J226)</f>
        <v>-580033</v>
      </c>
      <c r="K223" s="233">
        <f>SUM(K224:K226)</f>
        <v>0</v>
      </c>
      <c r="L223" s="233">
        <f>SUM(L224:L226)</f>
        <v>0</v>
      </c>
      <c r="M223" s="233">
        <f t="shared" si="41"/>
        <v>8374473</v>
      </c>
      <c r="N223" s="233">
        <v>3241897</v>
      </c>
      <c r="O223" s="233">
        <f>SUM(O224:O226)</f>
        <v>-213154</v>
      </c>
      <c r="P223" s="233">
        <f>SUM(P224:P226)</f>
        <v>0</v>
      </c>
      <c r="Q223" s="233">
        <f>SUM(Q224:Q226)</f>
        <v>0</v>
      </c>
      <c r="R223" s="233">
        <f t="shared" si="42"/>
        <v>3028743</v>
      </c>
    </row>
    <row r="224" spans="1:18" s="29" customFormat="1" ht="24" hidden="1" customHeight="1">
      <c r="A224" s="234" t="s">
        <v>188</v>
      </c>
      <c r="B224" s="441" t="s">
        <v>170</v>
      </c>
      <c r="C224" s="921">
        <v>0</v>
      </c>
      <c r="D224" s="921">
        <v>0</v>
      </c>
      <c r="E224" s="233"/>
      <c r="F224" s="605"/>
      <c r="G224" s="605"/>
      <c r="H224" s="233">
        <f t="shared" si="40"/>
        <v>0</v>
      </c>
      <c r="I224" s="605">
        <v>0</v>
      </c>
      <c r="J224" s="605"/>
      <c r="K224" s="605"/>
      <c r="L224" s="605"/>
      <c r="M224" s="233">
        <f t="shared" si="41"/>
        <v>0</v>
      </c>
      <c r="N224" s="605">
        <v>0</v>
      </c>
      <c r="O224" s="605"/>
      <c r="P224" s="605"/>
      <c r="Q224" s="605"/>
      <c r="R224" s="233">
        <f t="shared" si="42"/>
        <v>0</v>
      </c>
    </row>
    <row r="225" spans="1:18" s="29" customFormat="1" ht="48">
      <c r="A225" s="234" t="s">
        <v>189</v>
      </c>
      <c r="B225" s="441" t="s">
        <v>156</v>
      </c>
      <c r="C225" s="921">
        <v>3378687</v>
      </c>
      <c r="D225" s="921">
        <v>2731823</v>
      </c>
      <c r="E225" s="233"/>
      <c r="F225" s="605"/>
      <c r="G225" s="605"/>
      <c r="H225" s="233">
        <f t="shared" si="40"/>
        <v>2731823</v>
      </c>
      <c r="I225" s="605">
        <v>304267</v>
      </c>
      <c r="J225" s="605"/>
      <c r="K225" s="605"/>
      <c r="L225" s="605"/>
      <c r="M225" s="233">
        <f t="shared" si="41"/>
        <v>304267</v>
      </c>
      <c r="N225" s="605">
        <v>76418</v>
      </c>
      <c r="O225" s="605"/>
      <c r="P225" s="605"/>
      <c r="Q225" s="605"/>
      <c r="R225" s="233">
        <f t="shared" si="42"/>
        <v>76418</v>
      </c>
    </row>
    <row r="226" spans="1:18" s="29" customFormat="1" ht="36">
      <c r="A226" s="234">
        <v>7350</v>
      </c>
      <c r="B226" s="441" t="s">
        <v>163</v>
      </c>
      <c r="C226" s="921">
        <v>33308939</v>
      </c>
      <c r="D226" s="921">
        <v>26489537</v>
      </c>
      <c r="E226" s="605">
        <f>+-1581790-129980</f>
        <v>-1711770</v>
      </c>
      <c r="F226" s="605"/>
      <c r="G226" s="605"/>
      <c r="H226" s="233">
        <f t="shared" si="40"/>
        <v>24777767</v>
      </c>
      <c r="I226" s="605">
        <v>8650239</v>
      </c>
      <c r="J226" s="605">
        <v>-580033</v>
      </c>
      <c r="K226" s="605"/>
      <c r="L226" s="605"/>
      <c r="M226" s="233">
        <f t="shared" si="41"/>
        <v>8070206</v>
      </c>
      <c r="N226" s="605">
        <v>3165479</v>
      </c>
      <c r="O226" s="605">
        <v>-213154</v>
      </c>
      <c r="P226" s="605"/>
      <c r="Q226" s="605"/>
      <c r="R226" s="233">
        <f t="shared" si="42"/>
        <v>2952325</v>
      </c>
    </row>
    <row r="227" spans="1:18" s="29" customFormat="1" ht="24" hidden="1" customHeight="1">
      <c r="A227" s="132">
        <v>7400</v>
      </c>
      <c r="B227" s="239" t="s">
        <v>161</v>
      </c>
      <c r="C227" s="404">
        <v>0</v>
      </c>
      <c r="D227" s="404">
        <v>0</v>
      </c>
      <c r="E227" s="233">
        <f>SUM(E228:E229)</f>
        <v>0</v>
      </c>
      <c r="F227" s="233">
        <f>SUM(F228:F229)</f>
        <v>0</v>
      </c>
      <c r="G227" s="233">
        <f>SUM(G228:G229)</f>
        <v>0</v>
      </c>
      <c r="H227" s="233">
        <f t="shared" si="40"/>
        <v>0</v>
      </c>
      <c r="I227" s="233">
        <v>0</v>
      </c>
      <c r="J227" s="233">
        <f>SUM(J228:J229)</f>
        <v>0</v>
      </c>
      <c r="K227" s="233">
        <f>SUM(K228:K229)</f>
        <v>0</v>
      </c>
      <c r="L227" s="233">
        <f>SUM(L228:L229)</f>
        <v>0</v>
      </c>
      <c r="M227" s="233">
        <f t="shared" si="41"/>
        <v>0</v>
      </c>
      <c r="N227" s="233">
        <v>0</v>
      </c>
      <c r="O227" s="233">
        <f>SUM(O228:O229)</f>
        <v>0</v>
      </c>
      <c r="P227" s="233">
        <f>SUM(P228:P229)</f>
        <v>0</v>
      </c>
      <c r="Q227" s="233">
        <f>SUM(Q228:Q229)</f>
        <v>0</v>
      </c>
      <c r="R227" s="233">
        <f t="shared" si="42"/>
        <v>0</v>
      </c>
    </row>
    <row r="228" spans="1:18" s="29" customFormat="1" ht="24" hidden="1" customHeight="1">
      <c r="A228" s="234">
        <v>7460</v>
      </c>
      <c r="B228" s="239" t="s">
        <v>162</v>
      </c>
      <c r="C228" s="921">
        <v>0</v>
      </c>
      <c r="D228" s="921">
        <v>0</v>
      </c>
      <c r="E228" s="605"/>
      <c r="F228" s="605"/>
      <c r="G228" s="605"/>
      <c r="H228" s="233">
        <f t="shared" si="40"/>
        <v>0</v>
      </c>
      <c r="I228" s="605">
        <v>0</v>
      </c>
      <c r="J228" s="605"/>
      <c r="K228" s="605"/>
      <c r="L228" s="605"/>
      <c r="M228" s="233">
        <f t="shared" si="41"/>
        <v>0</v>
      </c>
      <c r="N228" s="605">
        <v>0</v>
      </c>
      <c r="O228" s="605"/>
      <c r="P228" s="605"/>
      <c r="Q228" s="605"/>
      <c r="R228" s="233">
        <f t="shared" si="42"/>
        <v>0</v>
      </c>
    </row>
    <row r="229" spans="1:18" s="29" customFormat="1" ht="48" hidden="1" customHeight="1">
      <c r="A229" s="234">
        <v>7470</v>
      </c>
      <c r="B229" s="930" t="s">
        <v>167</v>
      </c>
      <c r="C229" s="921">
        <v>0</v>
      </c>
      <c r="D229" s="921">
        <v>0</v>
      </c>
      <c r="E229" s="605"/>
      <c r="F229" s="605"/>
      <c r="G229" s="605"/>
      <c r="H229" s="233">
        <f t="shared" si="40"/>
        <v>0</v>
      </c>
      <c r="I229" s="605">
        <v>0</v>
      </c>
      <c r="J229" s="605"/>
      <c r="K229" s="605"/>
      <c r="L229" s="605"/>
      <c r="M229" s="233">
        <f t="shared" si="41"/>
        <v>0</v>
      </c>
      <c r="N229" s="605">
        <v>0</v>
      </c>
      <c r="O229" s="605"/>
      <c r="P229" s="605"/>
      <c r="Q229" s="605"/>
      <c r="R229" s="233">
        <f t="shared" si="42"/>
        <v>0</v>
      </c>
    </row>
    <row r="230" spans="1:18" s="29" customFormat="1" ht="24">
      <c r="A230" s="132">
        <v>7500</v>
      </c>
      <c r="B230" s="441" t="s">
        <v>157</v>
      </c>
      <c r="C230" s="404">
        <v>8283929</v>
      </c>
      <c r="D230" s="404">
        <v>11563244</v>
      </c>
      <c r="E230" s="233"/>
      <c r="F230" s="233"/>
      <c r="G230" s="233"/>
      <c r="H230" s="233">
        <f t="shared" si="40"/>
        <v>11563244</v>
      </c>
      <c r="I230" s="233">
        <v>1134386</v>
      </c>
      <c r="J230" s="233"/>
      <c r="K230" s="233"/>
      <c r="L230" s="233"/>
      <c r="M230" s="233">
        <f t="shared" si="41"/>
        <v>1134386</v>
      </c>
      <c r="N230" s="233">
        <v>189485</v>
      </c>
      <c r="O230" s="233"/>
      <c r="P230" s="233"/>
      <c r="Q230" s="233"/>
      <c r="R230" s="233">
        <f t="shared" si="42"/>
        <v>189485</v>
      </c>
    </row>
    <row r="231" spans="1:18" s="29" customFormat="1" ht="12">
      <c r="A231" s="140" t="s">
        <v>133</v>
      </c>
      <c r="B231" s="124" t="s">
        <v>122</v>
      </c>
      <c r="C231" s="254">
        <v>57363417</v>
      </c>
      <c r="D231" s="254">
        <v>42881773</v>
      </c>
      <c r="E231" s="254">
        <f>E232+E233</f>
        <v>0</v>
      </c>
      <c r="F231" s="254">
        <f>F232+F233</f>
        <v>0</v>
      </c>
      <c r="G231" s="254">
        <f>G232+G233</f>
        <v>0</v>
      </c>
      <c r="H231" s="233">
        <f t="shared" si="40"/>
        <v>42881773</v>
      </c>
      <c r="I231" s="254">
        <v>23565343</v>
      </c>
      <c r="J231" s="254">
        <f>J232+J233</f>
        <v>0</v>
      </c>
      <c r="K231" s="254">
        <f>K232+K233</f>
        <v>0</v>
      </c>
      <c r="L231" s="254">
        <f>L232+L233</f>
        <v>0</v>
      </c>
      <c r="M231" s="233">
        <f t="shared" si="41"/>
        <v>23565343</v>
      </c>
      <c r="N231" s="254">
        <v>11046674</v>
      </c>
      <c r="O231" s="254">
        <f>O232+O233</f>
        <v>0</v>
      </c>
      <c r="P231" s="254">
        <f>P232+P233</f>
        <v>0</v>
      </c>
      <c r="Q231" s="254">
        <f>Q232+Q233</f>
        <v>0</v>
      </c>
      <c r="R231" s="233">
        <f t="shared" si="42"/>
        <v>11046674</v>
      </c>
    </row>
    <row r="232" spans="1:18" s="29" customFormat="1" ht="12">
      <c r="A232" s="140">
        <v>5000</v>
      </c>
      <c r="B232" s="124" t="s">
        <v>123</v>
      </c>
      <c r="C232" s="254">
        <v>15592992</v>
      </c>
      <c r="D232" s="254">
        <v>2875944</v>
      </c>
      <c r="E232" s="233"/>
      <c r="F232" s="233"/>
      <c r="G232" s="233"/>
      <c r="H232" s="233">
        <f t="shared" si="40"/>
        <v>2875944</v>
      </c>
      <c r="I232" s="233">
        <v>950575</v>
      </c>
      <c r="J232" s="233"/>
      <c r="K232" s="233"/>
      <c r="L232" s="233"/>
      <c r="M232" s="233">
        <f t="shared" si="41"/>
        <v>950575</v>
      </c>
      <c r="N232" s="233">
        <v>1800</v>
      </c>
      <c r="O232" s="233"/>
      <c r="P232" s="233"/>
      <c r="Q232" s="233"/>
      <c r="R232" s="233">
        <f t="shared" si="42"/>
        <v>1800</v>
      </c>
    </row>
    <row r="233" spans="1:18" s="29" customFormat="1" ht="12">
      <c r="A233" s="140">
        <v>9000</v>
      </c>
      <c r="B233" s="446" t="s">
        <v>164</v>
      </c>
      <c r="C233" s="254">
        <v>41770425</v>
      </c>
      <c r="D233" s="254">
        <v>40005829</v>
      </c>
      <c r="E233" s="233">
        <f>E234+E240+E244+E247</f>
        <v>0</v>
      </c>
      <c r="F233" s="233">
        <f>F234+F240+F244+F247</f>
        <v>0</v>
      </c>
      <c r="G233" s="233">
        <f>G234+G240+G244+G247</f>
        <v>0</v>
      </c>
      <c r="H233" s="233">
        <f t="shared" si="40"/>
        <v>40005829</v>
      </c>
      <c r="I233" s="233">
        <v>22614768</v>
      </c>
      <c r="J233" s="233">
        <f>J234+J240+J244+J247</f>
        <v>0</v>
      </c>
      <c r="K233" s="233">
        <f>K234+K240+K244+K247</f>
        <v>0</v>
      </c>
      <c r="L233" s="233">
        <f>L234+L240+L244+L247</f>
        <v>0</v>
      </c>
      <c r="M233" s="233">
        <f t="shared" si="41"/>
        <v>22614768</v>
      </c>
      <c r="N233" s="233">
        <v>11044874</v>
      </c>
      <c r="O233" s="233">
        <f>O234+O240+O244+O247</f>
        <v>0</v>
      </c>
      <c r="P233" s="233">
        <f>P234+P240+P244+P247</f>
        <v>0</v>
      </c>
      <c r="Q233" s="233">
        <f>Q234+Q240+Q244+Q247</f>
        <v>0</v>
      </c>
      <c r="R233" s="233">
        <f t="shared" si="42"/>
        <v>11044874</v>
      </c>
    </row>
    <row r="234" spans="1:18" s="29" customFormat="1" ht="12" hidden="1" customHeight="1">
      <c r="A234" s="256">
        <v>9100</v>
      </c>
      <c r="B234" s="441" t="s">
        <v>124</v>
      </c>
      <c r="C234" s="404">
        <v>0</v>
      </c>
      <c r="D234" s="404">
        <v>0</v>
      </c>
      <c r="E234" s="233">
        <f>SUM(E235:E236)</f>
        <v>0</v>
      </c>
      <c r="F234" s="233">
        <f>SUM(F235:F236)</f>
        <v>0</v>
      </c>
      <c r="G234" s="233">
        <f>SUM(G235:G236)</f>
        <v>0</v>
      </c>
      <c r="H234" s="233">
        <f t="shared" si="40"/>
        <v>0</v>
      </c>
      <c r="I234" s="233">
        <v>0</v>
      </c>
      <c r="J234" s="233">
        <f>SUM(J235:J236)</f>
        <v>0</v>
      </c>
      <c r="K234" s="233">
        <f>SUM(K235:K236)</f>
        <v>0</v>
      </c>
      <c r="L234" s="233">
        <f>SUM(L235:L236)</f>
        <v>0</v>
      </c>
      <c r="M234" s="233">
        <f t="shared" si="41"/>
        <v>0</v>
      </c>
      <c r="N234" s="233">
        <v>0</v>
      </c>
      <c r="O234" s="233">
        <f>SUM(O235:O236)</f>
        <v>0</v>
      </c>
      <c r="P234" s="233">
        <f>SUM(P235:P236)</f>
        <v>0</v>
      </c>
      <c r="Q234" s="233">
        <f>SUM(Q235:Q236)</f>
        <v>0</v>
      </c>
      <c r="R234" s="233">
        <f t="shared" si="42"/>
        <v>0</v>
      </c>
    </row>
    <row r="235" spans="1:18" s="29" customFormat="1" ht="24" hidden="1" customHeight="1">
      <c r="A235" s="234" t="s">
        <v>125</v>
      </c>
      <c r="B235" s="441" t="s">
        <v>214</v>
      </c>
      <c r="C235" s="404">
        <v>0</v>
      </c>
      <c r="D235" s="404">
        <v>0</v>
      </c>
      <c r="E235" s="233"/>
      <c r="F235" s="233"/>
      <c r="G235" s="233"/>
      <c r="H235" s="233">
        <f t="shared" si="40"/>
        <v>0</v>
      </c>
      <c r="I235" s="233">
        <v>0</v>
      </c>
      <c r="J235" s="233"/>
      <c r="K235" s="233"/>
      <c r="L235" s="233"/>
      <c r="M235" s="233">
        <f t="shared" si="41"/>
        <v>0</v>
      </c>
      <c r="N235" s="233">
        <v>0</v>
      </c>
      <c r="O235" s="233"/>
      <c r="P235" s="233"/>
      <c r="Q235" s="233"/>
      <c r="R235" s="233">
        <f t="shared" si="42"/>
        <v>0</v>
      </c>
    </row>
    <row r="236" spans="1:18" s="29" customFormat="1" ht="24" hidden="1" customHeight="1">
      <c r="A236" s="234">
        <v>9140</v>
      </c>
      <c r="B236" s="441" t="s">
        <v>215</v>
      </c>
      <c r="C236" s="404">
        <v>0</v>
      </c>
      <c r="D236" s="404">
        <v>0</v>
      </c>
      <c r="E236" s="233">
        <f>SUM(E237:E239)</f>
        <v>0</v>
      </c>
      <c r="F236" s="233">
        <f>SUM(F237:F239)</f>
        <v>0</v>
      </c>
      <c r="G236" s="233">
        <f>SUM(G237:G239)</f>
        <v>0</v>
      </c>
      <c r="H236" s="233">
        <f t="shared" si="40"/>
        <v>0</v>
      </c>
      <c r="I236" s="233">
        <v>0</v>
      </c>
      <c r="J236" s="233">
        <f>SUM(J237:J239)</f>
        <v>0</v>
      </c>
      <c r="K236" s="233">
        <f>SUM(K237:K239)</f>
        <v>0</v>
      </c>
      <c r="L236" s="233">
        <f>SUM(L237:L239)</f>
        <v>0</v>
      </c>
      <c r="M236" s="233">
        <f t="shared" si="41"/>
        <v>0</v>
      </c>
      <c r="N236" s="233">
        <v>0</v>
      </c>
      <c r="O236" s="233">
        <f>SUM(O237:O239)</f>
        <v>0</v>
      </c>
      <c r="P236" s="233">
        <f>SUM(P237:P239)</f>
        <v>0</v>
      </c>
      <c r="Q236" s="233">
        <f>SUM(Q237:Q239)</f>
        <v>0</v>
      </c>
      <c r="R236" s="233">
        <f t="shared" si="42"/>
        <v>0</v>
      </c>
    </row>
    <row r="237" spans="1:18" s="29" customFormat="1" ht="36" hidden="1" customHeight="1">
      <c r="A237" s="236">
        <v>9141</v>
      </c>
      <c r="B237" s="239" t="s">
        <v>190</v>
      </c>
      <c r="C237" s="921">
        <v>0</v>
      </c>
      <c r="D237" s="921">
        <v>0</v>
      </c>
      <c r="E237" s="605"/>
      <c r="F237" s="605"/>
      <c r="G237" s="605"/>
      <c r="H237" s="233">
        <f t="shared" si="40"/>
        <v>0</v>
      </c>
      <c r="I237" s="605">
        <v>0</v>
      </c>
      <c r="J237" s="605"/>
      <c r="K237" s="605"/>
      <c r="L237" s="605"/>
      <c r="M237" s="233">
        <f t="shared" si="41"/>
        <v>0</v>
      </c>
      <c r="N237" s="605">
        <v>0</v>
      </c>
      <c r="O237" s="605"/>
      <c r="P237" s="605"/>
      <c r="Q237" s="605"/>
      <c r="R237" s="233">
        <f t="shared" si="42"/>
        <v>0</v>
      </c>
    </row>
    <row r="238" spans="1:18" s="29" customFormat="1" ht="36" hidden="1" customHeight="1">
      <c r="A238" s="236">
        <v>9142</v>
      </c>
      <c r="B238" s="239" t="s">
        <v>191</v>
      </c>
      <c r="C238" s="921">
        <v>0</v>
      </c>
      <c r="D238" s="921">
        <v>0</v>
      </c>
      <c r="E238" s="605"/>
      <c r="F238" s="605"/>
      <c r="G238" s="605"/>
      <c r="H238" s="233">
        <f t="shared" si="40"/>
        <v>0</v>
      </c>
      <c r="I238" s="605">
        <v>0</v>
      </c>
      <c r="J238" s="605"/>
      <c r="K238" s="605"/>
      <c r="L238" s="605"/>
      <c r="M238" s="233">
        <f t="shared" si="41"/>
        <v>0</v>
      </c>
      <c r="N238" s="605">
        <v>0</v>
      </c>
      <c r="O238" s="605"/>
      <c r="P238" s="605"/>
      <c r="Q238" s="605"/>
      <c r="R238" s="233">
        <f t="shared" si="42"/>
        <v>0</v>
      </c>
    </row>
    <row r="239" spans="1:18" s="29" customFormat="1" ht="24" hidden="1" customHeight="1">
      <c r="A239" s="236">
        <v>9149</v>
      </c>
      <c r="B239" s="239" t="s">
        <v>192</v>
      </c>
      <c r="C239" s="921">
        <v>0</v>
      </c>
      <c r="D239" s="921">
        <v>0</v>
      </c>
      <c r="E239" s="605"/>
      <c r="F239" s="605"/>
      <c r="G239" s="605"/>
      <c r="H239" s="233">
        <f t="shared" si="40"/>
        <v>0</v>
      </c>
      <c r="I239" s="605">
        <v>0</v>
      </c>
      <c r="J239" s="605"/>
      <c r="K239" s="605"/>
      <c r="L239" s="605"/>
      <c r="M239" s="233">
        <f t="shared" si="41"/>
        <v>0</v>
      </c>
      <c r="N239" s="605">
        <v>0</v>
      </c>
      <c r="O239" s="605"/>
      <c r="P239" s="605"/>
      <c r="Q239" s="605"/>
      <c r="R239" s="233">
        <f t="shared" si="42"/>
        <v>0</v>
      </c>
    </row>
    <row r="240" spans="1:18" s="29" customFormat="1" ht="24">
      <c r="A240" s="256">
        <v>9500</v>
      </c>
      <c r="B240" s="239" t="s">
        <v>165</v>
      </c>
      <c r="C240" s="404">
        <v>29770425</v>
      </c>
      <c r="D240" s="404">
        <v>36002037</v>
      </c>
      <c r="E240" s="233">
        <f>SUM(E241:E243)</f>
        <v>0</v>
      </c>
      <c r="F240" s="233">
        <f>SUM(F241:F243)</f>
        <v>0</v>
      </c>
      <c r="G240" s="233">
        <f>SUM(G241:G243)</f>
        <v>0</v>
      </c>
      <c r="H240" s="233">
        <f t="shared" si="40"/>
        <v>36002037</v>
      </c>
      <c r="I240" s="233">
        <v>20455043</v>
      </c>
      <c r="J240" s="233">
        <f>SUM(J241:J243)</f>
        <v>0</v>
      </c>
      <c r="K240" s="233">
        <f>SUM(K241:K243)</f>
        <v>0</v>
      </c>
      <c r="L240" s="233">
        <f>SUM(L241:L243)</f>
        <v>0</v>
      </c>
      <c r="M240" s="233">
        <f t="shared" si="41"/>
        <v>20455043</v>
      </c>
      <c r="N240" s="233">
        <v>9429079</v>
      </c>
      <c r="O240" s="233">
        <f>SUM(O241:O243)</f>
        <v>0</v>
      </c>
      <c r="P240" s="233">
        <f>SUM(P241:P243)</f>
        <v>0</v>
      </c>
      <c r="Q240" s="233">
        <f>SUM(Q241:Q243)</f>
        <v>0</v>
      </c>
      <c r="R240" s="233">
        <f t="shared" si="42"/>
        <v>9429079</v>
      </c>
    </row>
    <row r="241" spans="1:18" s="29" customFormat="1" ht="24" hidden="1" customHeight="1">
      <c r="A241" s="234" t="s">
        <v>193</v>
      </c>
      <c r="B241" s="239" t="s">
        <v>171</v>
      </c>
      <c r="C241" s="404">
        <v>0</v>
      </c>
      <c r="D241" s="404">
        <v>0</v>
      </c>
      <c r="E241" s="233"/>
      <c r="F241" s="233"/>
      <c r="G241" s="233"/>
      <c r="H241" s="233">
        <f t="shared" si="40"/>
        <v>0</v>
      </c>
      <c r="I241" s="233">
        <v>0</v>
      </c>
      <c r="J241" s="233"/>
      <c r="K241" s="233"/>
      <c r="L241" s="233"/>
      <c r="M241" s="233">
        <f t="shared" si="41"/>
        <v>0</v>
      </c>
      <c r="N241" s="233">
        <v>0</v>
      </c>
      <c r="O241" s="233"/>
      <c r="P241" s="233"/>
      <c r="Q241" s="233"/>
      <c r="R241" s="233">
        <f t="shared" si="42"/>
        <v>0</v>
      </c>
    </row>
    <row r="242" spans="1:18" s="29" customFormat="1" ht="48">
      <c r="A242" s="234">
        <v>9580</v>
      </c>
      <c r="B242" s="239" t="s">
        <v>166</v>
      </c>
      <c r="C242" s="921">
        <v>3674295</v>
      </c>
      <c r="D242" s="921">
        <v>137177</v>
      </c>
      <c r="E242" s="605"/>
      <c r="F242" s="605"/>
      <c r="G242" s="605"/>
      <c r="H242" s="233">
        <f t="shared" si="40"/>
        <v>137177</v>
      </c>
      <c r="I242" s="605">
        <v>0</v>
      </c>
      <c r="J242" s="605"/>
      <c r="K242" s="605"/>
      <c r="L242" s="605"/>
      <c r="M242" s="233">
        <f t="shared" si="41"/>
        <v>0</v>
      </c>
      <c r="N242" s="605">
        <v>0</v>
      </c>
      <c r="O242" s="605"/>
      <c r="P242" s="605"/>
      <c r="Q242" s="605"/>
      <c r="R242" s="233">
        <f t="shared" si="42"/>
        <v>0</v>
      </c>
    </row>
    <row r="243" spans="1:18" s="29" customFormat="1" ht="36">
      <c r="A243" s="234">
        <v>9590</v>
      </c>
      <c r="B243" s="441" t="s">
        <v>172</v>
      </c>
      <c r="C243" s="921">
        <v>26096130</v>
      </c>
      <c r="D243" s="921">
        <v>35864860</v>
      </c>
      <c r="E243" s="605"/>
      <c r="F243" s="605"/>
      <c r="G243" s="605"/>
      <c r="H243" s="233">
        <f t="shared" si="40"/>
        <v>35864860</v>
      </c>
      <c r="I243" s="605">
        <v>20455043</v>
      </c>
      <c r="J243" s="605"/>
      <c r="K243" s="605"/>
      <c r="L243" s="605"/>
      <c r="M243" s="233">
        <f t="shared" si="41"/>
        <v>20455043</v>
      </c>
      <c r="N243" s="605">
        <v>9429079</v>
      </c>
      <c r="O243" s="605"/>
      <c r="P243" s="605"/>
      <c r="Q243" s="605"/>
      <c r="R243" s="233">
        <f t="shared" si="42"/>
        <v>9429079</v>
      </c>
    </row>
    <row r="244" spans="1:18" s="29" customFormat="1" ht="24" hidden="1" customHeight="1">
      <c r="A244" s="256">
        <v>9700</v>
      </c>
      <c r="B244" s="447" t="s">
        <v>194</v>
      </c>
      <c r="C244" s="404">
        <v>0</v>
      </c>
      <c r="D244" s="404">
        <v>0</v>
      </c>
      <c r="E244" s="233">
        <f>SUM(E245:E246)</f>
        <v>0</v>
      </c>
      <c r="F244" s="233">
        <f>SUM(F245:F246)</f>
        <v>0</v>
      </c>
      <c r="G244" s="233">
        <f>SUM(G245:G246)</f>
        <v>0</v>
      </c>
      <c r="H244" s="233">
        <f t="shared" si="40"/>
        <v>0</v>
      </c>
      <c r="I244" s="233">
        <v>0</v>
      </c>
      <c r="J244" s="233">
        <f>SUM(J245:J246)</f>
        <v>0</v>
      </c>
      <c r="K244" s="233">
        <f>SUM(K245:K246)</f>
        <v>0</v>
      </c>
      <c r="L244" s="233">
        <f>SUM(L245:L246)</f>
        <v>0</v>
      </c>
      <c r="M244" s="233">
        <f t="shared" si="41"/>
        <v>0</v>
      </c>
      <c r="N244" s="233">
        <v>0</v>
      </c>
      <c r="O244" s="233">
        <f>SUM(O245:O246)</f>
        <v>0</v>
      </c>
      <c r="P244" s="233">
        <f>SUM(P245:P246)</f>
        <v>0</v>
      </c>
      <c r="Q244" s="233">
        <f>SUM(Q245:Q246)</f>
        <v>0</v>
      </c>
      <c r="R244" s="233">
        <f t="shared" si="42"/>
        <v>0</v>
      </c>
    </row>
    <row r="245" spans="1:18" s="29" customFormat="1" ht="24" hidden="1" customHeight="1">
      <c r="A245" s="234">
        <v>9710</v>
      </c>
      <c r="B245" s="448" t="s">
        <v>195</v>
      </c>
      <c r="C245" s="921">
        <v>0</v>
      </c>
      <c r="D245" s="921">
        <v>0</v>
      </c>
      <c r="E245" s="605"/>
      <c r="F245" s="605"/>
      <c r="G245" s="605"/>
      <c r="H245" s="233">
        <f t="shared" si="40"/>
        <v>0</v>
      </c>
      <c r="I245" s="605">
        <v>0</v>
      </c>
      <c r="J245" s="605"/>
      <c r="K245" s="605"/>
      <c r="L245" s="605"/>
      <c r="M245" s="233">
        <f t="shared" si="41"/>
        <v>0</v>
      </c>
      <c r="N245" s="605">
        <v>0</v>
      </c>
      <c r="O245" s="605"/>
      <c r="P245" s="605"/>
      <c r="Q245" s="605"/>
      <c r="R245" s="233">
        <f t="shared" si="42"/>
        <v>0</v>
      </c>
    </row>
    <row r="246" spans="1:18" s="29" customFormat="1" ht="48" hidden="1" customHeight="1">
      <c r="A246" s="259">
        <v>9720</v>
      </c>
      <c r="B246" s="447" t="s">
        <v>196</v>
      </c>
      <c r="C246" s="921">
        <v>0</v>
      </c>
      <c r="D246" s="921">
        <v>0</v>
      </c>
      <c r="E246" s="605"/>
      <c r="F246" s="605"/>
      <c r="G246" s="605"/>
      <c r="H246" s="233">
        <f t="shared" si="40"/>
        <v>0</v>
      </c>
      <c r="I246" s="605">
        <v>0</v>
      </c>
      <c r="J246" s="605"/>
      <c r="K246" s="605"/>
      <c r="L246" s="605"/>
      <c r="M246" s="233">
        <f t="shared" si="41"/>
        <v>0</v>
      </c>
      <c r="N246" s="605">
        <v>0</v>
      </c>
      <c r="O246" s="605"/>
      <c r="P246" s="605"/>
      <c r="Q246" s="605"/>
      <c r="R246" s="233">
        <f t="shared" si="42"/>
        <v>0</v>
      </c>
    </row>
    <row r="247" spans="1:18" s="29" customFormat="1" ht="24">
      <c r="A247" s="256">
        <v>9600</v>
      </c>
      <c r="B247" s="441" t="s">
        <v>134</v>
      </c>
      <c r="C247" s="921">
        <v>12000000</v>
      </c>
      <c r="D247" s="921">
        <v>4003792</v>
      </c>
      <c r="E247" s="605"/>
      <c r="F247" s="605"/>
      <c r="G247" s="605"/>
      <c r="H247" s="233">
        <f t="shared" si="40"/>
        <v>4003792</v>
      </c>
      <c r="I247" s="605">
        <v>2159725</v>
      </c>
      <c r="J247" s="605"/>
      <c r="K247" s="605"/>
      <c r="L247" s="605"/>
      <c r="M247" s="233">
        <f t="shared" si="41"/>
        <v>2159725</v>
      </c>
      <c r="N247" s="605">
        <v>1615795</v>
      </c>
      <c r="O247" s="605"/>
      <c r="P247" s="605"/>
      <c r="Q247" s="605"/>
      <c r="R247" s="233">
        <f t="shared" si="42"/>
        <v>1615795</v>
      </c>
    </row>
    <row r="248" spans="1:18" s="29" customFormat="1" ht="30.6">
      <c r="A248" s="130" t="s">
        <v>197</v>
      </c>
      <c r="B248" s="449" t="s">
        <v>47</v>
      </c>
      <c r="C248" s="450">
        <v>-2723010</v>
      </c>
      <c r="D248" s="450">
        <v>-2150000</v>
      </c>
      <c r="E248" s="262">
        <f>E178-E203</f>
        <v>0</v>
      </c>
      <c r="F248" s="262">
        <f>F178-F203</f>
        <v>0</v>
      </c>
      <c r="G248" s="262">
        <f>G178-G203</f>
        <v>0</v>
      </c>
      <c r="H248" s="233">
        <f t="shared" si="40"/>
        <v>-2150000</v>
      </c>
      <c r="I248" s="262">
        <v>0</v>
      </c>
      <c r="J248" s="262">
        <f>J178-J203</f>
        <v>0</v>
      </c>
      <c r="K248" s="262">
        <f>K178-K203</f>
        <v>0</v>
      </c>
      <c r="L248" s="262">
        <f>L178-L203</f>
        <v>0</v>
      </c>
      <c r="M248" s="233">
        <f t="shared" si="41"/>
        <v>0</v>
      </c>
      <c r="N248" s="262">
        <v>0</v>
      </c>
      <c r="O248" s="262">
        <f>O178-O203</f>
        <v>0</v>
      </c>
      <c r="P248" s="262">
        <f>P178-P203</f>
        <v>0</v>
      </c>
      <c r="Q248" s="262">
        <f>Q178-Q203</f>
        <v>0</v>
      </c>
      <c r="R248" s="233">
        <f t="shared" si="42"/>
        <v>0</v>
      </c>
    </row>
    <row r="249" spans="1:18" s="29" customFormat="1" ht="12">
      <c r="A249" s="263" t="s">
        <v>48</v>
      </c>
      <c r="B249" s="449" t="s">
        <v>49</v>
      </c>
      <c r="C249" s="450">
        <v>2723010</v>
      </c>
      <c r="D249" s="450">
        <v>2150000</v>
      </c>
      <c r="E249" s="262">
        <f>E250+E253+E257+E256</f>
        <v>0</v>
      </c>
      <c r="F249" s="262">
        <f>F250+F253+F257+F256</f>
        <v>0</v>
      </c>
      <c r="G249" s="262">
        <f>G250+G253+G257+G256</f>
        <v>0</v>
      </c>
      <c r="H249" s="233">
        <f t="shared" si="40"/>
        <v>2150000</v>
      </c>
      <c r="I249" s="262">
        <v>0</v>
      </c>
      <c r="J249" s="262">
        <f>J250+J253+J257+J256</f>
        <v>0</v>
      </c>
      <c r="K249" s="262">
        <f>K250+K253+K257+K256</f>
        <v>0</v>
      </c>
      <c r="L249" s="262">
        <f>L250+L253+L257+L256</f>
        <v>0</v>
      </c>
      <c r="M249" s="233">
        <f t="shared" si="41"/>
        <v>0</v>
      </c>
      <c r="N249" s="262">
        <v>0</v>
      </c>
      <c r="O249" s="262">
        <f>O250+O253+O257+O256</f>
        <v>0</v>
      </c>
      <c r="P249" s="262">
        <f>P250+P253+P257+P256</f>
        <v>0</v>
      </c>
      <c r="Q249" s="262">
        <f>Q250+Q253+Q257+Q256</f>
        <v>0</v>
      </c>
      <c r="R249" s="233">
        <f t="shared" si="42"/>
        <v>0</v>
      </c>
    </row>
    <row r="250" spans="1:18" s="29" customFormat="1" ht="12" hidden="1" customHeight="1">
      <c r="A250" s="256" t="s">
        <v>50</v>
      </c>
      <c r="B250" s="441" t="s">
        <v>51</v>
      </c>
      <c r="C250" s="433">
        <v>0</v>
      </c>
      <c r="D250" s="433">
        <v>0</v>
      </c>
      <c r="E250" s="231">
        <f>E251+E252</f>
        <v>0</v>
      </c>
      <c r="F250" s="231">
        <f>F251+F252</f>
        <v>0</v>
      </c>
      <c r="G250" s="231">
        <f>G251+G252</f>
        <v>0</v>
      </c>
      <c r="H250" s="233">
        <f t="shared" si="40"/>
        <v>0</v>
      </c>
      <c r="I250" s="231">
        <v>0</v>
      </c>
      <c r="J250" s="231">
        <f>J251+J252</f>
        <v>0</v>
      </c>
      <c r="K250" s="231">
        <f>K251+K252</f>
        <v>0</v>
      </c>
      <c r="L250" s="231">
        <f>L251+L252</f>
        <v>0</v>
      </c>
      <c r="M250" s="233">
        <f t="shared" si="41"/>
        <v>0</v>
      </c>
      <c r="N250" s="231">
        <v>0</v>
      </c>
      <c r="O250" s="231">
        <f>O251+O252</f>
        <v>0</v>
      </c>
      <c r="P250" s="231">
        <f>P251+P252</f>
        <v>0</v>
      </c>
      <c r="Q250" s="231">
        <f>Q251+Q252</f>
        <v>0</v>
      </c>
      <c r="R250" s="233">
        <f t="shared" si="42"/>
        <v>0</v>
      </c>
    </row>
    <row r="251" spans="1:18" s="29" customFormat="1" ht="12" hidden="1" customHeight="1">
      <c r="A251" s="256" t="s">
        <v>52</v>
      </c>
      <c r="B251" s="441" t="s">
        <v>53</v>
      </c>
      <c r="C251" s="433">
        <v>0</v>
      </c>
      <c r="D251" s="433">
        <v>0</v>
      </c>
      <c r="E251" s="231"/>
      <c r="F251" s="231"/>
      <c r="G251" s="231"/>
      <c r="H251" s="233">
        <f t="shared" si="40"/>
        <v>0</v>
      </c>
      <c r="I251" s="231">
        <v>0</v>
      </c>
      <c r="J251" s="231"/>
      <c r="K251" s="231"/>
      <c r="L251" s="231"/>
      <c r="M251" s="233">
        <f t="shared" si="41"/>
        <v>0</v>
      </c>
      <c r="N251" s="231">
        <v>0</v>
      </c>
      <c r="O251" s="231"/>
      <c r="P251" s="231"/>
      <c r="Q251" s="231"/>
      <c r="R251" s="233">
        <f t="shared" si="42"/>
        <v>0</v>
      </c>
    </row>
    <row r="252" spans="1:18" s="29" customFormat="1" ht="12" hidden="1" customHeight="1">
      <c r="A252" s="256" t="s">
        <v>54</v>
      </c>
      <c r="B252" s="441" t="s">
        <v>55</v>
      </c>
      <c r="C252" s="433">
        <v>0</v>
      </c>
      <c r="D252" s="433">
        <v>0</v>
      </c>
      <c r="E252" s="231"/>
      <c r="F252" s="231"/>
      <c r="G252" s="231"/>
      <c r="H252" s="233">
        <f t="shared" si="40"/>
        <v>0</v>
      </c>
      <c r="I252" s="231">
        <v>0</v>
      </c>
      <c r="J252" s="231"/>
      <c r="K252" s="231"/>
      <c r="L252" s="231"/>
      <c r="M252" s="233">
        <f t="shared" si="41"/>
        <v>0</v>
      </c>
      <c r="N252" s="231">
        <v>0</v>
      </c>
      <c r="O252" s="231"/>
      <c r="P252" s="231"/>
      <c r="Q252" s="231"/>
      <c r="R252" s="233">
        <f t="shared" si="42"/>
        <v>0</v>
      </c>
    </row>
    <row r="253" spans="1:18" s="29" customFormat="1" ht="12" hidden="1" customHeight="1">
      <c r="A253" s="256" t="s">
        <v>56</v>
      </c>
      <c r="B253" s="441" t="s">
        <v>57</v>
      </c>
      <c r="C253" s="433">
        <v>0</v>
      </c>
      <c r="D253" s="433">
        <v>0</v>
      </c>
      <c r="E253" s="231">
        <f>E254+E255</f>
        <v>0</v>
      </c>
      <c r="F253" s="231">
        <f>F254+F255</f>
        <v>0</v>
      </c>
      <c r="G253" s="231">
        <f>G254+G255</f>
        <v>0</v>
      </c>
      <c r="H253" s="233">
        <f t="shared" si="40"/>
        <v>0</v>
      </c>
      <c r="I253" s="231">
        <v>0</v>
      </c>
      <c r="J253" s="231">
        <f>J254+J255</f>
        <v>0</v>
      </c>
      <c r="K253" s="231">
        <f>K254+K255</f>
        <v>0</v>
      </c>
      <c r="L253" s="231">
        <f>L254+L255</f>
        <v>0</v>
      </c>
      <c r="M253" s="233">
        <f t="shared" si="41"/>
        <v>0</v>
      </c>
      <c r="N253" s="231">
        <v>0</v>
      </c>
      <c r="O253" s="231">
        <f>O254+O255</f>
        <v>0</v>
      </c>
      <c r="P253" s="231">
        <f>P254+P255</f>
        <v>0</v>
      </c>
      <c r="Q253" s="231">
        <f>Q254+Q255</f>
        <v>0</v>
      </c>
      <c r="R253" s="233">
        <f t="shared" si="42"/>
        <v>0</v>
      </c>
    </row>
    <row r="254" spans="1:18" s="29" customFormat="1" ht="12" hidden="1" customHeight="1">
      <c r="A254" s="256" t="s">
        <v>58</v>
      </c>
      <c r="B254" s="441" t="s">
        <v>59</v>
      </c>
      <c r="C254" s="433">
        <v>0</v>
      </c>
      <c r="D254" s="433">
        <v>0</v>
      </c>
      <c r="E254" s="231"/>
      <c r="F254" s="231"/>
      <c r="G254" s="231"/>
      <c r="H254" s="233">
        <f t="shared" si="40"/>
        <v>0</v>
      </c>
      <c r="I254" s="231">
        <v>0</v>
      </c>
      <c r="J254" s="231"/>
      <c r="K254" s="231"/>
      <c r="L254" s="231"/>
      <c r="M254" s="233">
        <f t="shared" si="41"/>
        <v>0</v>
      </c>
      <c r="N254" s="231">
        <v>0</v>
      </c>
      <c r="O254" s="231"/>
      <c r="P254" s="231"/>
      <c r="Q254" s="231"/>
      <c r="R254" s="233">
        <f t="shared" si="42"/>
        <v>0</v>
      </c>
    </row>
    <row r="255" spans="1:18" s="29" customFormat="1" ht="12" hidden="1" customHeight="1">
      <c r="A255" s="256" t="s">
        <v>60</v>
      </c>
      <c r="B255" s="441" t="s">
        <v>61</v>
      </c>
      <c r="C255" s="433">
        <v>0</v>
      </c>
      <c r="D255" s="433">
        <v>0</v>
      </c>
      <c r="E255" s="231"/>
      <c r="F255" s="231"/>
      <c r="G255" s="231"/>
      <c r="H255" s="233">
        <f t="shared" si="40"/>
        <v>0</v>
      </c>
      <c r="I255" s="231">
        <v>0</v>
      </c>
      <c r="J255" s="231"/>
      <c r="K255" s="231"/>
      <c r="L255" s="231"/>
      <c r="M255" s="233">
        <f t="shared" si="41"/>
        <v>0</v>
      </c>
      <c r="N255" s="231">
        <v>0</v>
      </c>
      <c r="O255" s="231"/>
      <c r="P255" s="231"/>
      <c r="Q255" s="231"/>
      <c r="R255" s="233">
        <f t="shared" si="42"/>
        <v>0</v>
      </c>
    </row>
    <row r="256" spans="1:18" s="29" customFormat="1" ht="12" hidden="1" customHeight="1">
      <c r="A256" s="256" t="s">
        <v>198</v>
      </c>
      <c r="B256" s="451" t="s">
        <v>168</v>
      </c>
      <c r="C256" s="433">
        <v>0</v>
      </c>
      <c r="D256" s="433">
        <v>0</v>
      </c>
      <c r="E256" s="231"/>
      <c r="F256" s="231"/>
      <c r="G256" s="231"/>
      <c r="H256" s="233">
        <f t="shared" si="40"/>
        <v>0</v>
      </c>
      <c r="I256" s="231">
        <v>0</v>
      </c>
      <c r="J256" s="231"/>
      <c r="K256" s="231"/>
      <c r="L256" s="231"/>
      <c r="M256" s="233">
        <f t="shared" si="41"/>
        <v>0</v>
      </c>
      <c r="N256" s="231">
        <v>0</v>
      </c>
      <c r="O256" s="231"/>
      <c r="P256" s="231"/>
      <c r="Q256" s="231"/>
      <c r="R256" s="233">
        <f t="shared" si="42"/>
        <v>0</v>
      </c>
    </row>
    <row r="257" spans="1:18" s="29" customFormat="1" ht="12">
      <c r="A257" s="144" t="s">
        <v>62</v>
      </c>
      <c r="B257" s="125" t="s">
        <v>63</v>
      </c>
      <c r="C257" s="404">
        <v>2723010</v>
      </c>
      <c r="D257" s="404">
        <v>2150000</v>
      </c>
      <c r="E257" s="233">
        <f>E258+E259+E260</f>
        <v>0</v>
      </c>
      <c r="F257" s="233">
        <f>F258+F259+F260</f>
        <v>0</v>
      </c>
      <c r="G257" s="233">
        <f>G258+G259+G260</f>
        <v>0</v>
      </c>
      <c r="H257" s="233">
        <f t="shared" si="40"/>
        <v>2150000</v>
      </c>
      <c r="I257" s="233">
        <v>0</v>
      </c>
      <c r="J257" s="233">
        <f>J258+J259+J260</f>
        <v>0</v>
      </c>
      <c r="K257" s="233">
        <f>K258+K259+K260</f>
        <v>0</v>
      </c>
      <c r="L257" s="233">
        <f>L258+L259+L260</f>
        <v>0</v>
      </c>
      <c r="M257" s="233">
        <f t="shared" si="41"/>
        <v>0</v>
      </c>
      <c r="N257" s="233">
        <v>0</v>
      </c>
      <c r="O257" s="233">
        <f>O258+O259+O260</f>
        <v>0</v>
      </c>
      <c r="P257" s="233">
        <f>P258+P259+P260</f>
        <v>0</v>
      </c>
      <c r="Q257" s="233">
        <f>Q258+Q259+Q260</f>
        <v>0</v>
      </c>
      <c r="R257" s="233">
        <f t="shared" si="42"/>
        <v>0</v>
      </c>
    </row>
    <row r="258" spans="1:18" s="29" customFormat="1" ht="36" hidden="1" customHeight="1">
      <c r="A258" s="144" t="s">
        <v>64</v>
      </c>
      <c r="B258" s="441" t="s">
        <v>65</v>
      </c>
      <c r="C258" s="433">
        <v>0</v>
      </c>
      <c r="D258" s="433">
        <v>0</v>
      </c>
      <c r="E258" s="231"/>
      <c r="F258" s="231"/>
      <c r="G258" s="231"/>
      <c r="H258" s="233">
        <f t="shared" si="40"/>
        <v>0</v>
      </c>
      <c r="I258" s="231">
        <v>0</v>
      </c>
      <c r="J258" s="231"/>
      <c r="K258" s="231"/>
      <c r="L258" s="231"/>
      <c r="M258" s="233">
        <f t="shared" si="41"/>
        <v>0</v>
      </c>
      <c r="N258" s="231">
        <v>0</v>
      </c>
      <c r="O258" s="231"/>
      <c r="P258" s="231"/>
      <c r="Q258" s="231"/>
      <c r="R258" s="233">
        <f t="shared" si="42"/>
        <v>0</v>
      </c>
    </row>
    <row r="259" spans="1:18" s="29" customFormat="1" ht="24">
      <c r="A259" s="144" t="s">
        <v>66</v>
      </c>
      <c r="B259" s="441" t="s">
        <v>67</v>
      </c>
      <c r="C259" s="433">
        <v>2723010</v>
      </c>
      <c r="D259" s="433">
        <v>2150000</v>
      </c>
      <c r="E259" s="231"/>
      <c r="F259" s="231"/>
      <c r="G259" s="231"/>
      <c r="H259" s="233">
        <f t="shared" si="40"/>
        <v>2150000</v>
      </c>
      <c r="I259" s="231">
        <v>0</v>
      </c>
      <c r="J259" s="231"/>
      <c r="K259" s="231"/>
      <c r="L259" s="231"/>
      <c r="M259" s="233">
        <f t="shared" si="41"/>
        <v>0</v>
      </c>
      <c r="N259" s="231">
        <v>0</v>
      </c>
      <c r="O259" s="231"/>
      <c r="P259" s="231"/>
      <c r="Q259" s="231"/>
      <c r="R259" s="233">
        <f t="shared" si="42"/>
        <v>0</v>
      </c>
    </row>
    <row r="260" spans="1:18" s="29" customFormat="1" ht="24" hidden="1" customHeight="1">
      <c r="A260" s="144" t="s">
        <v>68</v>
      </c>
      <c r="B260" s="125" t="s">
        <v>69</v>
      </c>
      <c r="C260" s="433">
        <v>0</v>
      </c>
      <c r="D260" s="433">
        <v>0</v>
      </c>
      <c r="E260" s="231"/>
      <c r="F260" s="231"/>
      <c r="G260" s="231"/>
      <c r="H260" s="233">
        <f t="shared" si="40"/>
        <v>0</v>
      </c>
      <c r="I260" s="231">
        <v>0</v>
      </c>
      <c r="J260" s="231"/>
      <c r="K260" s="231"/>
      <c r="L260" s="231"/>
      <c r="M260" s="233">
        <f t="shared" si="41"/>
        <v>0</v>
      </c>
      <c r="N260" s="231">
        <v>0</v>
      </c>
      <c r="O260" s="231"/>
      <c r="P260" s="231"/>
      <c r="Q260" s="231"/>
      <c r="R260" s="233">
        <f t="shared" si="42"/>
        <v>0</v>
      </c>
    </row>
    <row r="261" spans="1:18" s="29" customFormat="1" ht="12">
      <c r="A261" s="271"/>
      <c r="B261" s="272"/>
      <c r="C261" s="254"/>
      <c r="D261" s="254"/>
      <c r="E261" s="254"/>
      <c r="F261" s="254"/>
      <c r="G261" s="254"/>
      <c r="H261" s="233"/>
      <c r="I261" s="254"/>
      <c r="J261" s="254"/>
      <c r="K261" s="254"/>
      <c r="L261" s="254"/>
      <c r="M261" s="233"/>
      <c r="N261" s="254"/>
      <c r="O261" s="254"/>
      <c r="P261" s="254"/>
      <c r="Q261" s="254"/>
      <c r="R261" s="233"/>
    </row>
    <row r="262" spans="1:18" ht="12">
      <c r="A262" s="33"/>
      <c r="B262" s="164"/>
      <c r="C262" s="540"/>
      <c r="D262" s="876"/>
      <c r="E262" s="540"/>
      <c r="F262" s="876"/>
      <c r="G262" s="876"/>
      <c r="H262" s="876"/>
      <c r="I262" s="876"/>
      <c r="J262" s="540"/>
      <c r="K262" s="876"/>
      <c r="L262" s="876"/>
      <c r="M262" s="876"/>
      <c r="N262" s="876"/>
      <c r="O262" s="540"/>
      <c r="P262" s="876"/>
      <c r="Q262" s="876"/>
      <c r="R262" s="876"/>
    </row>
    <row r="263" spans="1:18" ht="12">
      <c r="A263" s="33"/>
      <c r="B263" s="164"/>
      <c r="C263" s="540"/>
      <c r="D263" s="876"/>
      <c r="E263" s="540"/>
      <c r="F263" s="876"/>
      <c r="G263" s="876"/>
      <c r="H263" s="876"/>
      <c r="I263" s="876"/>
      <c r="J263" s="540"/>
      <c r="K263" s="876"/>
      <c r="L263" s="876"/>
      <c r="M263" s="876"/>
      <c r="N263" s="876"/>
      <c r="O263" s="540"/>
      <c r="P263" s="876"/>
      <c r="Q263" s="876"/>
      <c r="R263" s="876"/>
    </row>
    <row r="264" spans="1:18" ht="13.2">
      <c r="A264" s="615" t="s">
        <v>236</v>
      </c>
      <c r="B264" s="616" t="s">
        <v>237</v>
      </c>
      <c r="C264" s="540"/>
      <c r="D264" s="540"/>
      <c r="E264" s="907">
        <f>E267+E268</f>
        <v>115467</v>
      </c>
      <c r="F264" s="907">
        <f>F274</f>
        <v>948798</v>
      </c>
      <c r="G264" s="540"/>
      <c r="H264" s="540"/>
      <c r="I264" s="540"/>
      <c r="J264" s="540"/>
      <c r="K264" s="907">
        <f>K274</f>
        <v>1342254</v>
      </c>
      <c r="L264" s="540"/>
      <c r="M264" s="540"/>
      <c r="N264" s="540"/>
      <c r="O264" s="540"/>
      <c r="P264" s="907">
        <f>P274</f>
        <v>932630</v>
      </c>
      <c r="Q264" s="540"/>
      <c r="R264" s="540"/>
    </row>
    <row r="265" spans="1:18" ht="13.2">
      <c r="A265" s="371"/>
      <c r="B265" s="372" t="s">
        <v>238</v>
      </c>
      <c r="C265" s="540"/>
      <c r="D265" s="540"/>
      <c r="E265" s="540"/>
      <c r="F265" s="907"/>
      <c r="G265" s="540"/>
      <c r="H265" s="540"/>
      <c r="I265" s="540"/>
      <c r="J265" s="540"/>
      <c r="K265" s="540"/>
      <c r="L265" s="540"/>
      <c r="M265" s="540"/>
      <c r="N265" s="540"/>
      <c r="O265" s="540"/>
      <c r="P265" s="540"/>
      <c r="Q265" s="540"/>
      <c r="R265" s="540"/>
    </row>
    <row r="266" spans="1:18" ht="13.2">
      <c r="A266" s="373" t="s">
        <v>223</v>
      </c>
      <c r="B266" s="374" t="s">
        <v>239</v>
      </c>
      <c r="C266" s="540"/>
      <c r="D266" s="540"/>
      <c r="E266" s="540"/>
      <c r="F266" s="540"/>
      <c r="G266" s="540"/>
      <c r="H266" s="540"/>
      <c r="I266" s="540"/>
      <c r="J266" s="540"/>
      <c r="K266" s="540"/>
      <c r="L266" s="540"/>
      <c r="M266" s="540"/>
      <c r="N266" s="540"/>
      <c r="O266" s="540"/>
      <c r="P266" s="540"/>
      <c r="Q266" s="540"/>
      <c r="R266" s="540"/>
    </row>
    <row r="267" spans="1:18" ht="158.4">
      <c r="A267" s="375" t="s">
        <v>240</v>
      </c>
      <c r="B267" s="376" t="s">
        <v>962</v>
      </c>
      <c r="C267" s="540"/>
      <c r="D267" s="540"/>
      <c r="E267" s="540">
        <v>-18197</v>
      </c>
      <c r="F267" s="540"/>
      <c r="G267" s="540"/>
      <c r="H267" s="540"/>
      <c r="I267" s="540"/>
      <c r="J267" s="540"/>
      <c r="K267" s="540"/>
      <c r="L267" s="540"/>
      <c r="M267" s="540"/>
      <c r="N267" s="540"/>
      <c r="O267" s="540"/>
      <c r="P267" s="540"/>
      <c r="Q267" s="540"/>
      <c r="R267" s="540"/>
    </row>
    <row r="268" spans="1:18" ht="26.4">
      <c r="A268" s="375" t="s">
        <v>253</v>
      </c>
      <c r="B268" s="376" t="s">
        <v>963</v>
      </c>
      <c r="C268" s="540"/>
      <c r="D268" s="540"/>
      <c r="E268" s="540">
        <v>133664</v>
      </c>
      <c r="F268" s="540"/>
      <c r="G268" s="540"/>
      <c r="H268" s="540"/>
      <c r="I268" s="540"/>
      <c r="J268" s="540"/>
      <c r="K268" s="540"/>
      <c r="L268" s="540"/>
      <c r="M268" s="540"/>
      <c r="N268" s="540"/>
      <c r="O268" s="540"/>
      <c r="P268" s="540"/>
      <c r="Q268" s="540"/>
      <c r="R268" s="540"/>
    </row>
    <row r="269" spans="1:18" ht="13.2">
      <c r="A269" s="377"/>
      <c r="B269" s="376" t="s">
        <v>964</v>
      </c>
      <c r="C269" s="540"/>
      <c r="D269" s="540"/>
      <c r="E269" s="540"/>
      <c r="F269" s="540"/>
      <c r="G269" s="540"/>
      <c r="H269" s="540"/>
      <c r="I269" s="540"/>
      <c r="J269" s="540"/>
      <c r="K269" s="540"/>
      <c r="L269" s="540"/>
      <c r="M269" s="540"/>
      <c r="N269" s="540"/>
      <c r="O269" s="540"/>
      <c r="P269" s="540"/>
      <c r="Q269" s="540"/>
      <c r="R269" s="540"/>
    </row>
    <row r="270" spans="1:18" ht="52.8">
      <c r="A270" s="414"/>
      <c r="B270" s="475" t="s">
        <v>965</v>
      </c>
      <c r="C270" s="540"/>
      <c r="D270" s="540"/>
      <c r="E270" s="540"/>
      <c r="F270" s="540"/>
      <c r="G270" s="540"/>
      <c r="H270" s="540"/>
      <c r="I270" s="540"/>
      <c r="J270" s="540"/>
      <c r="K270" s="540"/>
      <c r="L270" s="540"/>
      <c r="M270" s="540"/>
      <c r="N270" s="540"/>
      <c r="O270" s="540"/>
      <c r="P270" s="540"/>
      <c r="Q270" s="540"/>
      <c r="R270" s="540"/>
    </row>
    <row r="271" spans="1:18" ht="13.2">
      <c r="A271" s="414"/>
      <c r="B271" s="475"/>
      <c r="C271" s="540"/>
      <c r="D271" s="540"/>
      <c r="E271" s="540"/>
      <c r="F271" s="540"/>
      <c r="G271" s="540"/>
      <c r="H271" s="540"/>
      <c r="I271" s="540"/>
      <c r="J271" s="540"/>
      <c r="K271" s="540"/>
      <c r="L271" s="540"/>
      <c r="M271" s="540"/>
      <c r="N271" s="540"/>
      <c r="O271" s="540"/>
      <c r="P271" s="540"/>
      <c r="Q271" s="540"/>
      <c r="R271" s="540"/>
    </row>
    <row r="272" spans="1:18" ht="13.2">
      <c r="A272" s="414"/>
      <c r="B272" s="475"/>
      <c r="C272" s="540"/>
      <c r="D272" s="540"/>
      <c r="E272" s="540"/>
      <c r="F272" s="540"/>
      <c r="G272" s="540"/>
      <c r="H272" s="540"/>
      <c r="I272" s="540"/>
      <c r="J272" s="540"/>
      <c r="K272" s="540"/>
      <c r="L272" s="540"/>
      <c r="M272" s="540"/>
      <c r="N272" s="540"/>
      <c r="O272" s="540"/>
      <c r="P272" s="540"/>
      <c r="Q272" s="540"/>
      <c r="R272" s="540"/>
    </row>
    <row r="273" spans="1:18" ht="13.2">
      <c r="A273" s="414"/>
      <c r="B273" s="475"/>
      <c r="C273" s="540"/>
      <c r="D273" s="540"/>
      <c r="E273" s="540"/>
      <c r="F273" s="540"/>
      <c r="G273" s="540"/>
      <c r="H273" s="540"/>
      <c r="I273" s="540"/>
      <c r="J273" s="540"/>
      <c r="K273" s="540"/>
      <c r="L273" s="540"/>
      <c r="M273" s="540"/>
      <c r="N273" s="540"/>
      <c r="O273" s="540"/>
      <c r="P273" s="540"/>
      <c r="Q273" s="540"/>
      <c r="R273" s="540"/>
    </row>
    <row r="274" spans="1:18" ht="13.2">
      <c r="A274" s="931" t="s">
        <v>224</v>
      </c>
      <c r="B274" s="932" t="s">
        <v>242</v>
      </c>
      <c r="C274" s="540"/>
      <c r="D274" s="540"/>
      <c r="E274" s="540"/>
      <c r="F274" s="907">
        <f>F276+F277+F278+F275+F279</f>
        <v>948798</v>
      </c>
      <c r="G274" s="540"/>
      <c r="H274" s="540">
        <f t="shared" ref="H274:O274" si="43">H276+H277+H278+H275+H279</f>
        <v>0</v>
      </c>
      <c r="I274" s="540">
        <f t="shared" si="43"/>
        <v>0</v>
      </c>
      <c r="J274" s="540">
        <f t="shared" si="43"/>
        <v>0</v>
      </c>
      <c r="K274" s="907">
        <f>K276+K277+K278+K275+K279</f>
        <v>1342254</v>
      </c>
      <c r="L274" s="540"/>
      <c r="M274" s="540">
        <f t="shared" si="43"/>
        <v>0</v>
      </c>
      <c r="N274" s="540">
        <f t="shared" si="43"/>
        <v>0</v>
      </c>
      <c r="O274" s="540">
        <f t="shared" si="43"/>
        <v>0</v>
      </c>
      <c r="P274" s="907">
        <f>P276+P277+P278+P275+P279</f>
        <v>932630</v>
      </c>
      <c r="Q274" s="540"/>
      <c r="R274" s="540"/>
    </row>
    <row r="275" spans="1:18" ht="39.6">
      <c r="A275" s="411" t="s">
        <v>243</v>
      </c>
      <c r="B275" s="475" t="s">
        <v>369</v>
      </c>
      <c r="C275" s="540"/>
      <c r="D275" s="540"/>
      <c r="E275" s="540"/>
      <c r="F275" s="540"/>
      <c r="G275" s="540"/>
      <c r="H275" s="540"/>
      <c r="I275" s="540"/>
      <c r="J275" s="540"/>
      <c r="K275" s="540">
        <v>386542</v>
      </c>
      <c r="L275" s="540"/>
      <c r="M275" s="540"/>
      <c r="N275" s="540"/>
      <c r="O275" s="540"/>
      <c r="P275" s="540"/>
      <c r="Q275" s="540"/>
      <c r="R275" s="540"/>
    </row>
    <row r="276" spans="1:18" ht="39.6">
      <c r="A276" s="411" t="s">
        <v>250</v>
      </c>
      <c r="B276" s="475" t="s">
        <v>370</v>
      </c>
      <c r="C276" s="540"/>
      <c r="D276" s="540"/>
      <c r="E276" s="540"/>
      <c r="F276" s="540">
        <v>29250</v>
      </c>
      <c r="G276" s="540"/>
      <c r="H276" s="540"/>
      <c r="I276" s="540"/>
      <c r="J276" s="540"/>
      <c r="K276" s="540">
        <v>29250</v>
      </c>
      <c r="L276" s="540"/>
      <c r="M276" s="540"/>
      <c r="N276" s="540"/>
      <c r="O276" s="540"/>
      <c r="P276" s="540">
        <v>29250</v>
      </c>
      <c r="Q276" s="540"/>
      <c r="R276" s="540"/>
    </row>
    <row r="277" spans="1:18" ht="39.6">
      <c r="A277" s="411" t="s">
        <v>257</v>
      </c>
      <c r="B277" s="475" t="s">
        <v>371</v>
      </c>
      <c r="C277" s="540"/>
      <c r="D277" s="540"/>
      <c r="E277" s="540"/>
      <c r="F277" s="540">
        <v>827928</v>
      </c>
      <c r="G277" s="540"/>
      <c r="H277" s="540"/>
      <c r="I277" s="540"/>
      <c r="J277" s="540"/>
      <c r="K277" s="540">
        <v>827928</v>
      </c>
      <c r="L277" s="540"/>
      <c r="M277" s="540"/>
      <c r="N277" s="540"/>
      <c r="O277" s="540"/>
      <c r="P277" s="540">
        <v>827928</v>
      </c>
      <c r="Q277" s="540"/>
      <c r="R277" s="540"/>
    </row>
    <row r="278" spans="1:18" ht="39.6">
      <c r="A278" s="411" t="s">
        <v>324</v>
      </c>
      <c r="B278" s="475" t="s">
        <v>371</v>
      </c>
      <c r="C278" s="540"/>
      <c r="D278" s="540"/>
      <c r="E278" s="540"/>
      <c r="F278" s="540">
        <v>17868</v>
      </c>
      <c r="G278" s="540"/>
      <c r="H278" s="540"/>
      <c r="I278" s="540"/>
      <c r="J278" s="540"/>
      <c r="K278" s="540">
        <v>17868</v>
      </c>
      <c r="L278" s="540"/>
      <c r="M278" s="540"/>
      <c r="N278" s="540"/>
      <c r="O278" s="540"/>
      <c r="P278" s="540">
        <v>17868</v>
      </c>
      <c r="Q278" s="540"/>
      <c r="R278" s="540"/>
    </row>
    <row r="279" spans="1:18" ht="13.2">
      <c r="A279" s="411" t="s">
        <v>326</v>
      </c>
      <c r="B279" s="475" t="s">
        <v>362</v>
      </c>
      <c r="C279" s="540"/>
      <c r="D279" s="540"/>
      <c r="E279" s="540"/>
      <c r="F279" s="540">
        <v>73752</v>
      </c>
      <c r="G279" s="540"/>
      <c r="H279" s="540"/>
      <c r="I279" s="540"/>
      <c r="J279" s="540"/>
      <c r="K279" s="540">
        <v>80666</v>
      </c>
      <c r="L279" s="540"/>
      <c r="M279" s="540"/>
      <c r="N279" s="540"/>
      <c r="O279" s="540"/>
      <c r="P279" s="540">
        <v>57584</v>
      </c>
      <c r="Q279" s="540"/>
      <c r="R279" s="540"/>
    </row>
    <row r="280" spans="1:18" ht="39.6">
      <c r="A280" s="411" t="s">
        <v>327</v>
      </c>
      <c r="B280" s="933" t="s">
        <v>966</v>
      </c>
      <c r="C280" s="540"/>
      <c r="D280" s="540"/>
      <c r="E280" s="540"/>
      <c r="F280" s="540"/>
      <c r="G280" s="540">
        <v>1821894</v>
      </c>
      <c r="H280" s="540"/>
      <c r="I280" s="540"/>
      <c r="J280" s="540"/>
      <c r="K280" s="540"/>
      <c r="L280" s="540">
        <v>3160964</v>
      </c>
      <c r="M280" s="540"/>
      <c r="N280" s="540"/>
      <c r="O280" s="540"/>
      <c r="P280" s="540"/>
      <c r="Q280" s="540">
        <v>3160964</v>
      </c>
      <c r="R280" s="540"/>
    </row>
    <row r="281" spans="1:18" ht="13.2">
      <c r="A281" s="414"/>
      <c r="B281" s="475" t="s">
        <v>967</v>
      </c>
      <c r="C281" s="540"/>
      <c r="D281" s="540"/>
      <c r="E281" s="540"/>
      <c r="F281" s="540"/>
      <c r="G281" s="540"/>
      <c r="H281" s="540"/>
      <c r="I281" s="540"/>
      <c r="J281" s="540"/>
      <c r="K281" s="540"/>
      <c r="L281" s="540"/>
      <c r="M281" s="540"/>
      <c r="N281" s="540"/>
      <c r="O281" s="540"/>
      <c r="P281" s="540"/>
      <c r="Q281" s="540"/>
      <c r="R281" s="540"/>
    </row>
    <row r="282" spans="1:18" ht="26.4">
      <c r="A282" s="414"/>
      <c r="B282" s="475" t="s">
        <v>968</v>
      </c>
      <c r="C282" s="540"/>
      <c r="D282" s="540"/>
      <c r="E282" s="540"/>
      <c r="F282" s="540"/>
      <c r="G282" s="540">
        <v>50376</v>
      </c>
      <c r="H282" s="540"/>
      <c r="I282" s="540"/>
      <c r="J282" s="540"/>
      <c r="K282" s="540"/>
      <c r="L282" s="540">
        <v>50376</v>
      </c>
      <c r="M282" s="540"/>
      <c r="N282" s="540"/>
      <c r="O282" s="540"/>
      <c r="P282" s="540"/>
      <c r="Q282" s="540">
        <v>50376</v>
      </c>
      <c r="R282" s="540"/>
    </row>
    <row r="283" spans="1:18" ht="132">
      <c r="A283" s="414"/>
      <c r="B283" s="475" t="s">
        <v>969</v>
      </c>
      <c r="C283" s="540"/>
      <c r="D283" s="540"/>
      <c r="E283" s="540"/>
      <c r="F283" s="540"/>
      <c r="G283" s="540">
        <v>751700</v>
      </c>
      <c r="H283" s="540"/>
      <c r="I283" s="540"/>
      <c r="J283" s="540"/>
      <c r="K283" s="540"/>
      <c r="L283" s="540">
        <v>751700</v>
      </c>
      <c r="M283" s="540"/>
      <c r="N283" s="540"/>
      <c r="O283" s="540"/>
      <c r="P283" s="540"/>
      <c r="Q283" s="540">
        <v>751700</v>
      </c>
      <c r="R283" s="540"/>
    </row>
    <row r="284" spans="1:18" ht="26.4">
      <c r="A284" s="414"/>
      <c r="B284" s="475" t="s">
        <v>970</v>
      </c>
      <c r="C284" s="540"/>
      <c r="D284" s="540"/>
      <c r="E284" s="540"/>
      <c r="F284" s="540"/>
      <c r="G284" s="540">
        <v>36483</v>
      </c>
      <c r="H284" s="540"/>
      <c r="I284" s="540"/>
      <c r="J284" s="540"/>
      <c r="K284" s="540"/>
      <c r="L284" s="540">
        <v>36483</v>
      </c>
      <c r="M284" s="540"/>
      <c r="N284" s="540"/>
      <c r="O284" s="540"/>
      <c r="P284" s="540"/>
      <c r="Q284" s="540">
        <v>36483</v>
      </c>
      <c r="R284" s="540"/>
    </row>
    <row r="285" spans="1:18" ht="66">
      <c r="A285" s="414"/>
      <c r="B285" s="934" t="s">
        <v>971</v>
      </c>
      <c r="C285" s="540"/>
      <c r="D285" s="540"/>
      <c r="E285" s="540"/>
      <c r="F285" s="540"/>
      <c r="G285" s="540">
        <v>313800</v>
      </c>
      <c r="H285" s="540"/>
      <c r="I285" s="540"/>
      <c r="J285" s="540"/>
      <c r="K285" s="540"/>
      <c r="L285" s="540">
        <v>313800</v>
      </c>
      <c r="M285" s="540"/>
      <c r="N285" s="540"/>
      <c r="O285" s="540"/>
      <c r="P285" s="540"/>
      <c r="Q285" s="540">
        <v>313800</v>
      </c>
      <c r="R285" s="540"/>
    </row>
    <row r="286" spans="1:18" ht="52.8">
      <c r="A286" s="414"/>
      <c r="B286" s="933" t="s">
        <v>972</v>
      </c>
      <c r="C286" s="540"/>
      <c r="D286" s="540"/>
      <c r="E286" s="540"/>
      <c r="F286" s="540"/>
      <c r="G286" s="540">
        <v>669535</v>
      </c>
      <c r="H286" s="540"/>
      <c r="I286" s="540"/>
      <c r="J286" s="540"/>
      <c r="K286" s="540"/>
      <c r="L286" s="540">
        <v>2008605</v>
      </c>
      <c r="M286" s="540"/>
      <c r="N286" s="540"/>
      <c r="O286" s="540"/>
      <c r="P286" s="540"/>
      <c r="Q286" s="540">
        <v>2008605</v>
      </c>
      <c r="R286" s="540"/>
    </row>
    <row r="287" spans="1:18" ht="39.6">
      <c r="A287" s="411" t="s">
        <v>328</v>
      </c>
      <c r="B287" s="475" t="s">
        <v>973</v>
      </c>
      <c r="C287" s="540"/>
      <c r="D287" s="540"/>
      <c r="E287" s="540"/>
      <c r="F287" s="540"/>
      <c r="G287" s="963">
        <v>650000</v>
      </c>
      <c r="H287" s="963"/>
      <c r="I287" s="963"/>
      <c r="J287" s="963"/>
      <c r="K287" s="963"/>
      <c r="L287" s="963">
        <v>650000</v>
      </c>
      <c r="M287" s="540"/>
      <c r="N287" s="540"/>
      <c r="O287" s="540"/>
      <c r="P287" s="540"/>
      <c r="Q287" s="540"/>
      <c r="R287" s="540"/>
    </row>
    <row r="288" spans="1:18" ht="79.2">
      <c r="A288" s="411" t="s">
        <v>329</v>
      </c>
      <c r="B288" s="935" t="s">
        <v>974</v>
      </c>
      <c r="C288" s="540"/>
      <c r="D288" s="540"/>
      <c r="E288" s="540"/>
      <c r="F288" s="540"/>
      <c r="G288" s="540">
        <v>70000</v>
      </c>
      <c r="H288" s="540"/>
      <c r="I288" s="540"/>
      <c r="J288" s="540"/>
      <c r="K288" s="540"/>
      <c r="L288" s="540">
        <v>70000</v>
      </c>
      <c r="M288" s="540"/>
      <c r="N288" s="540"/>
      <c r="O288" s="540"/>
      <c r="P288" s="540"/>
      <c r="Q288" s="540">
        <v>70000</v>
      </c>
      <c r="R288" s="540"/>
    </row>
    <row r="289" spans="1:18" ht="79.2">
      <c r="A289" s="411" t="s">
        <v>330</v>
      </c>
      <c r="B289" s="933" t="s">
        <v>975</v>
      </c>
      <c r="C289" s="540"/>
      <c r="D289" s="540"/>
      <c r="E289" s="540"/>
      <c r="F289" s="540"/>
      <c r="G289" s="540">
        <v>63563</v>
      </c>
      <c r="H289" s="540"/>
      <c r="I289" s="540"/>
      <c r="J289" s="540"/>
      <c r="K289" s="540"/>
      <c r="L289" s="540">
        <v>63563</v>
      </c>
      <c r="M289" s="540"/>
      <c r="N289" s="540"/>
      <c r="O289" s="540"/>
      <c r="P289" s="540"/>
      <c r="Q289" s="540">
        <v>63563</v>
      </c>
      <c r="R289" s="540"/>
    </row>
    <row r="290" spans="1:18" ht="92.4">
      <c r="A290" s="411"/>
      <c r="B290" s="475" t="s">
        <v>976</v>
      </c>
      <c r="C290" s="540"/>
      <c r="D290" s="540"/>
      <c r="E290" s="540"/>
      <c r="F290" s="540"/>
      <c r="G290" s="540">
        <v>232000</v>
      </c>
      <c r="H290" s="540"/>
      <c r="I290" s="540"/>
      <c r="J290" s="540"/>
      <c r="K290" s="540"/>
      <c r="L290" s="540">
        <v>232000</v>
      </c>
      <c r="M290" s="540"/>
      <c r="N290" s="540"/>
      <c r="O290" s="540"/>
      <c r="P290" s="540"/>
      <c r="Q290" s="540">
        <v>232000</v>
      </c>
      <c r="R290" s="540"/>
    </row>
    <row r="291" spans="1:18" ht="105.6">
      <c r="A291" s="411" t="s">
        <v>331</v>
      </c>
      <c r="B291" s="475" t="s">
        <v>977</v>
      </c>
      <c r="C291" s="540"/>
      <c r="D291" s="540"/>
      <c r="E291" s="540"/>
      <c r="F291" s="540"/>
      <c r="G291" s="540">
        <v>107220</v>
      </c>
      <c r="H291" s="540"/>
      <c r="I291" s="540"/>
      <c r="J291" s="540"/>
      <c r="K291" s="540"/>
      <c r="L291" s="540">
        <v>274650</v>
      </c>
      <c r="M291" s="540"/>
      <c r="N291" s="540"/>
      <c r="O291" s="540"/>
      <c r="P291" s="540"/>
      <c r="Q291" s="540">
        <v>2940000</v>
      </c>
      <c r="R291" s="540"/>
    </row>
    <row r="292" spans="1:18" ht="52.8">
      <c r="A292" s="411" t="s">
        <v>356</v>
      </c>
      <c r="B292" s="475" t="s">
        <v>978</v>
      </c>
      <c r="C292" s="540"/>
      <c r="D292" s="540"/>
      <c r="E292" s="540"/>
      <c r="F292" s="540"/>
      <c r="G292" s="540">
        <v>20941</v>
      </c>
      <c r="H292" s="540"/>
      <c r="I292" s="540"/>
      <c r="J292" s="540"/>
      <c r="K292" s="540"/>
      <c r="L292" s="540">
        <v>16738</v>
      </c>
      <c r="M292" s="540"/>
      <c r="N292" s="540"/>
      <c r="O292" s="540"/>
      <c r="P292" s="540"/>
      <c r="Q292" s="540">
        <v>11918</v>
      </c>
      <c r="R292" s="540"/>
    </row>
    <row r="293" spans="1:18" ht="39.6">
      <c r="A293" s="411" t="s">
        <v>358</v>
      </c>
      <c r="B293" s="475" t="s">
        <v>979</v>
      </c>
      <c r="C293" s="540"/>
      <c r="D293" s="540"/>
      <c r="E293" s="540"/>
      <c r="F293" s="540"/>
      <c r="G293" s="963">
        <v>1112595</v>
      </c>
      <c r="H293" s="963"/>
      <c r="I293" s="963"/>
      <c r="J293" s="963"/>
      <c r="K293" s="963"/>
      <c r="L293" s="963">
        <v>3372875</v>
      </c>
      <c r="M293" s="963"/>
      <c r="N293" s="963"/>
      <c r="O293" s="963"/>
      <c r="P293" s="963"/>
      <c r="Q293" s="963">
        <v>2181630</v>
      </c>
      <c r="R293" s="963"/>
    </row>
    <row r="294" spans="1:18" ht="13.2">
      <c r="A294" s="615" t="s">
        <v>245</v>
      </c>
      <c r="B294" s="616" t="s">
        <v>140</v>
      </c>
      <c r="C294" s="540"/>
      <c r="D294" s="540"/>
      <c r="E294" s="540"/>
      <c r="F294" s="540"/>
      <c r="G294" s="540"/>
      <c r="H294" s="540"/>
      <c r="I294" s="540"/>
      <c r="J294" s="540"/>
      <c r="K294" s="540"/>
      <c r="L294" s="540"/>
      <c r="M294" s="540"/>
      <c r="N294" s="540"/>
      <c r="O294" s="540"/>
      <c r="P294" s="540"/>
      <c r="Q294" s="540"/>
      <c r="R294" s="540"/>
    </row>
    <row r="295" spans="1:18" ht="13.2">
      <c r="A295" s="409"/>
      <c r="B295" s="477" t="s">
        <v>238</v>
      </c>
      <c r="C295" s="540"/>
      <c r="D295" s="540"/>
      <c r="E295" s="540"/>
      <c r="F295" s="540"/>
      <c r="G295" s="540"/>
      <c r="H295" s="540"/>
      <c r="I295" s="540"/>
      <c r="J295" s="540"/>
      <c r="K295" s="540"/>
      <c r="L295" s="540"/>
      <c r="M295" s="540"/>
      <c r="N295" s="540"/>
      <c r="O295" s="540"/>
      <c r="P295" s="540"/>
      <c r="Q295" s="540"/>
      <c r="R295" s="540"/>
    </row>
    <row r="296" spans="1:18" ht="13.2">
      <c r="A296" s="959" t="s">
        <v>223</v>
      </c>
      <c r="B296" s="932" t="s">
        <v>239</v>
      </c>
      <c r="C296" s="540"/>
      <c r="D296" s="540"/>
      <c r="E296" s="907">
        <f>E297+E300+E301</f>
        <v>-1409649</v>
      </c>
      <c r="F296" s="540"/>
      <c r="G296" s="540"/>
      <c r="H296" s="540"/>
      <c r="I296" s="540"/>
      <c r="J296" s="907">
        <f>J297+J300+J301</f>
        <v>-620539</v>
      </c>
      <c r="K296" s="540"/>
      <c r="L296" s="540"/>
      <c r="M296" s="907"/>
      <c r="N296" s="540"/>
      <c r="O296" s="907">
        <f>O297+O300+O301</f>
        <v>-335022</v>
      </c>
      <c r="P296" s="540"/>
      <c r="Q296" s="540"/>
      <c r="R296" s="907"/>
    </row>
    <row r="297" spans="1:18" ht="105.6">
      <c r="A297" s="411" t="s">
        <v>240</v>
      </c>
      <c r="B297" s="475" t="s">
        <v>980</v>
      </c>
      <c r="C297" s="540"/>
      <c r="D297" s="540"/>
      <c r="E297" s="540">
        <v>18197</v>
      </c>
      <c r="F297" s="540"/>
      <c r="G297" s="540"/>
      <c r="H297" s="540"/>
      <c r="I297" s="540"/>
      <c r="J297" s="540"/>
      <c r="K297" s="540"/>
      <c r="L297" s="540"/>
      <c r="M297" s="540"/>
      <c r="N297" s="540"/>
      <c r="O297" s="540"/>
      <c r="P297" s="540"/>
      <c r="Q297" s="540"/>
      <c r="R297" s="540"/>
    </row>
    <row r="298" spans="1:18" ht="42.6" customHeight="1">
      <c r="A298" s="411" t="s">
        <v>253</v>
      </c>
      <c r="B298" s="475" t="s">
        <v>981</v>
      </c>
      <c r="C298" s="540"/>
      <c r="D298" s="540"/>
      <c r="E298" s="540"/>
      <c r="F298" s="540"/>
      <c r="G298" s="540"/>
      <c r="H298" s="540"/>
      <c r="I298" s="540"/>
      <c r="J298" s="540"/>
      <c r="K298" s="540"/>
      <c r="L298" s="540"/>
      <c r="M298" s="540"/>
      <c r="N298" s="540"/>
      <c r="O298" s="540"/>
      <c r="P298" s="540"/>
      <c r="Q298" s="540"/>
      <c r="R298" s="540"/>
    </row>
    <row r="299" spans="1:18" ht="39.6">
      <c r="A299" s="411" t="s">
        <v>255</v>
      </c>
      <c r="B299" s="475" t="s">
        <v>982</v>
      </c>
      <c r="C299" s="540"/>
      <c r="D299" s="876"/>
      <c r="E299" s="540"/>
      <c r="F299" s="876"/>
      <c r="G299" s="876"/>
      <c r="H299" s="876"/>
      <c r="I299" s="876"/>
      <c r="J299" s="540"/>
      <c r="K299" s="876"/>
      <c r="L299" s="876"/>
      <c r="M299" s="876"/>
      <c r="N299" s="876"/>
      <c r="O299" s="540"/>
      <c r="P299" s="876"/>
      <c r="Q299" s="876"/>
      <c r="R299" s="876"/>
    </row>
    <row r="300" spans="1:18" ht="51.6" customHeight="1">
      <c r="A300" s="411" t="s">
        <v>281</v>
      </c>
      <c r="B300" s="475" t="s">
        <v>1073</v>
      </c>
      <c r="C300" s="540"/>
      <c r="D300" s="876"/>
      <c r="E300" s="540">
        <v>-1474286</v>
      </c>
      <c r="F300" s="540"/>
      <c r="G300" s="540"/>
      <c r="H300" s="540"/>
      <c r="I300" s="540"/>
      <c r="J300" s="540">
        <v>-620539</v>
      </c>
      <c r="K300" s="540"/>
      <c r="L300" s="540"/>
      <c r="M300" s="540"/>
      <c r="N300" s="540"/>
      <c r="O300" s="540">
        <v>-335022</v>
      </c>
      <c r="P300" s="540"/>
      <c r="Q300" s="540"/>
      <c r="R300" s="540"/>
    </row>
    <row r="301" spans="1:18" ht="118.8">
      <c r="A301" s="960" t="s">
        <v>283</v>
      </c>
      <c r="B301" s="475" t="s">
        <v>1009</v>
      </c>
      <c r="C301" s="540"/>
      <c r="D301" s="876"/>
      <c r="E301" s="540">
        <v>46440</v>
      </c>
      <c r="F301" s="876"/>
      <c r="G301" s="876"/>
      <c r="H301" s="876"/>
      <c r="I301" s="876"/>
      <c r="J301" s="540"/>
      <c r="K301" s="876"/>
      <c r="L301" s="876"/>
      <c r="M301" s="876"/>
      <c r="N301" s="876"/>
      <c r="O301" s="540"/>
      <c r="P301" s="876"/>
      <c r="Q301" s="876"/>
      <c r="R301" s="876"/>
    </row>
    <row r="302" spans="1:18" ht="12">
      <c r="A302" s="962"/>
      <c r="B302" s="961"/>
      <c r="C302" s="540"/>
      <c r="D302" s="876"/>
      <c r="E302" s="540"/>
      <c r="F302" s="876"/>
      <c r="G302" s="876"/>
      <c r="H302" s="876"/>
      <c r="I302" s="876"/>
      <c r="J302" s="540"/>
      <c r="K302" s="876"/>
      <c r="L302" s="876"/>
      <c r="M302" s="876"/>
      <c r="N302" s="876"/>
      <c r="O302" s="540"/>
      <c r="P302" s="876"/>
      <c r="Q302" s="876"/>
      <c r="R302" s="876"/>
    </row>
    <row r="303" spans="1:18" ht="12">
      <c r="A303" s="33"/>
      <c r="B303" s="31"/>
      <c r="C303" s="540"/>
      <c r="D303" s="876"/>
      <c r="E303" s="540"/>
      <c r="F303" s="876"/>
      <c r="G303" s="876"/>
      <c r="H303" s="876"/>
      <c r="I303" s="876"/>
      <c r="J303" s="540"/>
      <c r="K303" s="876"/>
      <c r="L303" s="876"/>
      <c r="M303" s="876"/>
      <c r="N303" s="876"/>
      <c r="O303" s="540"/>
      <c r="P303" s="876"/>
      <c r="Q303" s="876"/>
      <c r="R303" s="876"/>
    </row>
    <row r="304" spans="1:18" ht="12">
      <c r="C304" s="544"/>
      <c r="D304" s="544"/>
      <c r="E304" s="540"/>
      <c r="F304" s="876"/>
      <c r="G304" s="876"/>
      <c r="H304" s="876"/>
      <c r="I304" s="876"/>
      <c r="J304" s="540"/>
      <c r="K304" s="876"/>
      <c r="L304" s="876"/>
      <c r="M304" s="876"/>
      <c r="N304" s="876"/>
      <c r="O304" s="540"/>
      <c r="P304" s="876"/>
      <c r="Q304" s="876"/>
      <c r="R304" s="876"/>
    </row>
    <row r="305" spans="3:18" ht="12">
      <c r="C305" s="544"/>
      <c r="D305" s="544"/>
      <c r="E305" s="540"/>
      <c r="F305" s="876"/>
      <c r="G305" s="876"/>
      <c r="H305" s="876"/>
      <c r="I305" s="876"/>
      <c r="J305" s="540"/>
      <c r="K305" s="876"/>
      <c r="L305" s="876"/>
      <c r="M305" s="876"/>
      <c r="N305" s="876"/>
      <c r="O305" s="540"/>
      <c r="P305" s="876"/>
      <c r="Q305" s="876"/>
      <c r="R305" s="876"/>
    </row>
    <row r="306" spans="3:18" ht="12">
      <c r="C306" s="544"/>
      <c r="D306" s="544"/>
      <c r="E306" s="540"/>
      <c r="F306" s="876"/>
      <c r="G306" s="876"/>
      <c r="H306" s="876"/>
      <c r="I306" s="876"/>
      <c r="J306" s="540"/>
      <c r="K306" s="876"/>
      <c r="L306" s="876"/>
      <c r="M306" s="876"/>
      <c r="N306" s="876"/>
      <c r="O306" s="540"/>
      <c r="P306" s="876"/>
      <c r="Q306" s="876"/>
      <c r="R306" s="876"/>
    </row>
    <row r="307" spans="3:18" ht="12">
      <c r="C307" s="544"/>
      <c r="D307" s="544"/>
      <c r="E307" s="540"/>
      <c r="F307" s="876"/>
      <c r="G307" s="876"/>
      <c r="H307" s="876"/>
      <c r="I307" s="876"/>
      <c r="J307" s="540"/>
      <c r="K307" s="876"/>
      <c r="L307" s="876"/>
      <c r="M307" s="876"/>
      <c r="N307" s="876"/>
      <c r="O307" s="540"/>
      <c r="P307" s="876"/>
      <c r="Q307" s="876"/>
      <c r="R307" s="876"/>
    </row>
    <row r="308" spans="3:18" ht="12">
      <c r="C308" s="544"/>
      <c r="D308" s="544"/>
      <c r="E308" s="540"/>
      <c r="F308" s="876"/>
      <c r="G308" s="876"/>
      <c r="H308" s="876"/>
      <c r="I308" s="876"/>
      <c r="J308" s="540"/>
      <c r="K308" s="876"/>
      <c r="L308" s="876"/>
      <c r="M308" s="876"/>
      <c r="N308" s="876"/>
      <c r="O308" s="540"/>
      <c r="P308" s="876"/>
      <c r="Q308" s="876"/>
      <c r="R308" s="876"/>
    </row>
    <row r="309" spans="3:18" ht="12">
      <c r="C309" s="544"/>
      <c r="D309" s="544"/>
      <c r="E309" s="540"/>
      <c r="F309" s="876"/>
      <c r="G309" s="876"/>
      <c r="H309" s="876"/>
      <c r="I309" s="876"/>
      <c r="J309" s="540"/>
      <c r="K309" s="876"/>
      <c r="L309" s="876"/>
      <c r="M309" s="876"/>
      <c r="N309" s="876"/>
      <c r="O309" s="540"/>
      <c r="P309" s="876"/>
      <c r="Q309" s="876"/>
      <c r="R309" s="876"/>
    </row>
    <row r="310" spans="3:18" ht="12">
      <c r="C310" s="544"/>
      <c r="D310" s="544"/>
      <c r="E310" s="540"/>
      <c r="F310" s="876"/>
      <c r="G310" s="876"/>
      <c r="H310" s="876"/>
      <c r="I310" s="876"/>
      <c r="J310" s="540"/>
      <c r="K310" s="876"/>
      <c r="L310" s="876"/>
      <c r="M310" s="876"/>
      <c r="N310" s="876"/>
      <c r="O310" s="540"/>
      <c r="P310" s="876"/>
      <c r="Q310" s="876"/>
      <c r="R310" s="876"/>
    </row>
    <row r="311" spans="3:18" ht="12">
      <c r="C311" s="544"/>
      <c r="D311" s="544"/>
      <c r="E311" s="540"/>
      <c r="F311" s="876"/>
      <c r="G311" s="876"/>
      <c r="H311" s="876"/>
      <c r="I311" s="876"/>
      <c r="J311" s="540"/>
      <c r="K311" s="876"/>
      <c r="L311" s="876"/>
      <c r="M311" s="876"/>
      <c r="N311" s="876"/>
      <c r="O311" s="540"/>
      <c r="P311" s="876"/>
      <c r="Q311" s="876"/>
      <c r="R311" s="876"/>
    </row>
    <row r="312" spans="3:18" ht="12">
      <c r="C312" s="544"/>
      <c r="D312" s="544"/>
      <c r="E312" s="540"/>
      <c r="F312" s="876"/>
      <c r="G312" s="876"/>
      <c r="H312" s="876"/>
      <c r="I312" s="876"/>
      <c r="J312" s="540"/>
      <c r="K312" s="876"/>
      <c r="L312" s="876"/>
      <c r="M312" s="876"/>
      <c r="N312" s="876"/>
      <c r="O312" s="540"/>
      <c r="P312" s="876"/>
      <c r="Q312" s="876"/>
      <c r="R312" s="876"/>
    </row>
    <row r="313" spans="3:18" ht="12">
      <c r="C313" s="544"/>
      <c r="D313" s="544"/>
      <c r="E313" s="540"/>
      <c r="F313" s="876"/>
      <c r="G313" s="876"/>
      <c r="H313" s="876"/>
      <c r="I313" s="876"/>
      <c r="J313" s="540"/>
      <c r="K313" s="876"/>
      <c r="L313" s="876"/>
      <c r="M313" s="876"/>
      <c r="N313" s="876"/>
      <c r="O313" s="540"/>
      <c r="P313" s="876"/>
      <c r="Q313" s="876"/>
      <c r="R313" s="876"/>
    </row>
    <row r="314" spans="3:18" ht="12">
      <c r="C314" s="544"/>
      <c r="D314" s="544"/>
      <c r="E314" s="540"/>
      <c r="F314" s="876"/>
      <c r="G314" s="876"/>
      <c r="H314" s="876"/>
      <c r="I314" s="876"/>
      <c r="J314" s="540"/>
      <c r="K314" s="876"/>
      <c r="L314" s="876"/>
      <c r="M314" s="876"/>
      <c r="N314" s="876"/>
      <c r="O314" s="540"/>
      <c r="P314" s="876"/>
      <c r="Q314" s="876"/>
      <c r="R314" s="876"/>
    </row>
    <row r="315" spans="3:18" ht="12">
      <c r="C315" s="544"/>
      <c r="D315" s="544"/>
      <c r="E315" s="540"/>
      <c r="F315" s="876"/>
      <c r="G315" s="876"/>
      <c r="H315" s="876"/>
      <c r="I315" s="876"/>
      <c r="J315" s="540"/>
      <c r="K315" s="876"/>
      <c r="L315" s="876"/>
      <c r="M315" s="876"/>
      <c r="N315" s="876"/>
      <c r="O315" s="540"/>
      <c r="P315" s="876"/>
      <c r="Q315" s="876"/>
      <c r="R315" s="876"/>
    </row>
    <row r="316" spans="3:18" ht="12">
      <c r="C316" s="544"/>
      <c r="D316" s="544"/>
      <c r="E316" s="540"/>
      <c r="F316" s="876"/>
      <c r="G316" s="876"/>
      <c r="H316" s="876"/>
      <c r="I316" s="876"/>
      <c r="J316" s="540"/>
      <c r="K316" s="876"/>
      <c r="L316" s="876"/>
      <c r="M316" s="876"/>
      <c r="N316" s="876"/>
      <c r="O316" s="540"/>
      <c r="P316" s="876"/>
      <c r="Q316" s="876"/>
      <c r="R316" s="876"/>
    </row>
    <row r="317" spans="3:18" ht="12">
      <c r="C317" s="544"/>
      <c r="D317" s="544"/>
      <c r="E317" s="540"/>
      <c r="F317" s="876"/>
      <c r="G317" s="876"/>
      <c r="H317" s="876"/>
      <c r="I317" s="876"/>
      <c r="J317" s="540"/>
      <c r="K317" s="876"/>
      <c r="L317" s="876"/>
      <c r="M317" s="876"/>
      <c r="N317" s="876"/>
      <c r="O317" s="540"/>
      <c r="P317" s="876"/>
      <c r="Q317" s="876"/>
      <c r="R317" s="876"/>
    </row>
    <row r="318" spans="3:18" ht="12">
      <c r="C318" s="544"/>
      <c r="D318" s="544"/>
      <c r="E318" s="540"/>
      <c r="F318" s="876"/>
      <c r="G318" s="876"/>
      <c r="H318" s="876"/>
      <c r="I318" s="876"/>
      <c r="J318" s="540"/>
      <c r="K318" s="876"/>
      <c r="L318" s="876"/>
      <c r="M318" s="876"/>
      <c r="N318" s="876"/>
      <c r="O318" s="540"/>
      <c r="P318" s="876"/>
      <c r="Q318" s="876"/>
      <c r="R318" s="876"/>
    </row>
    <row r="319" spans="3:18" ht="12">
      <c r="C319" s="544"/>
      <c r="D319" s="544"/>
      <c r="E319" s="540"/>
      <c r="F319" s="876"/>
      <c r="G319" s="876"/>
      <c r="H319" s="876"/>
      <c r="I319" s="876"/>
      <c r="J319" s="540"/>
      <c r="K319" s="876"/>
      <c r="L319" s="876"/>
      <c r="M319" s="876"/>
      <c r="N319" s="876"/>
      <c r="O319" s="540"/>
      <c r="P319" s="876"/>
      <c r="Q319" s="876"/>
      <c r="R319" s="876"/>
    </row>
    <row r="320" spans="3:18" ht="12">
      <c r="C320" s="544"/>
      <c r="D320" s="544"/>
      <c r="E320" s="540"/>
      <c r="F320" s="876"/>
      <c r="G320" s="876"/>
      <c r="H320" s="876"/>
      <c r="I320" s="876"/>
      <c r="J320" s="540"/>
      <c r="K320" s="876"/>
      <c r="L320" s="876"/>
      <c r="M320" s="876"/>
      <c r="N320" s="876"/>
      <c r="O320" s="540"/>
      <c r="P320" s="876"/>
      <c r="Q320" s="876"/>
      <c r="R320" s="876"/>
    </row>
    <row r="321" spans="3:18" ht="12">
      <c r="C321" s="544"/>
      <c r="D321" s="544"/>
      <c r="E321" s="540"/>
      <c r="F321" s="876"/>
      <c r="G321" s="876"/>
      <c r="H321" s="876"/>
      <c r="I321" s="876"/>
      <c r="J321" s="540"/>
      <c r="K321" s="876"/>
      <c r="L321" s="876"/>
      <c r="M321" s="876"/>
      <c r="N321" s="876"/>
      <c r="O321" s="540"/>
      <c r="P321" s="876"/>
      <c r="Q321" s="876"/>
      <c r="R321" s="876"/>
    </row>
    <row r="322" spans="3:18" ht="12">
      <c r="C322" s="544"/>
      <c r="D322" s="544"/>
      <c r="E322" s="540"/>
      <c r="F322" s="876"/>
      <c r="G322" s="876"/>
      <c r="H322" s="876"/>
      <c r="I322" s="876"/>
      <c r="J322" s="540"/>
      <c r="K322" s="876"/>
      <c r="L322" s="876"/>
      <c r="M322" s="876"/>
      <c r="N322" s="876"/>
      <c r="O322" s="540"/>
      <c r="P322" s="876"/>
      <c r="Q322" s="876"/>
      <c r="R322" s="876"/>
    </row>
    <row r="323" spans="3:18" ht="12">
      <c r="C323" s="544"/>
      <c r="D323" s="544"/>
      <c r="E323" s="540"/>
      <c r="F323" s="876"/>
      <c r="G323" s="876"/>
      <c r="H323" s="876"/>
      <c r="I323" s="876"/>
      <c r="J323" s="540"/>
      <c r="K323" s="876"/>
      <c r="L323" s="876"/>
      <c r="M323" s="876"/>
      <c r="N323" s="876"/>
      <c r="O323" s="540"/>
      <c r="P323" s="876"/>
      <c r="Q323" s="876"/>
      <c r="R323" s="876"/>
    </row>
    <row r="324" spans="3:18" ht="12">
      <c r="C324" s="544"/>
      <c r="D324" s="544"/>
      <c r="E324" s="540"/>
      <c r="F324" s="876"/>
      <c r="G324" s="876"/>
      <c r="H324" s="876"/>
      <c r="I324" s="876"/>
      <c r="J324" s="540"/>
      <c r="K324" s="876"/>
      <c r="L324" s="876"/>
      <c r="M324" s="876"/>
      <c r="N324" s="876"/>
      <c r="O324" s="540"/>
      <c r="P324" s="876"/>
      <c r="Q324" s="876"/>
      <c r="R324" s="876"/>
    </row>
    <row r="325" spans="3:18" ht="12">
      <c r="C325" s="544"/>
      <c r="D325" s="544"/>
      <c r="E325" s="540"/>
      <c r="F325" s="876"/>
      <c r="G325" s="876"/>
      <c r="H325" s="876"/>
      <c r="I325" s="876"/>
      <c r="J325" s="540"/>
      <c r="K325" s="876"/>
      <c r="L325" s="876"/>
      <c r="M325" s="876"/>
      <c r="N325" s="876"/>
      <c r="O325" s="540"/>
      <c r="P325" s="876"/>
      <c r="Q325" s="876"/>
      <c r="R325" s="876"/>
    </row>
    <row r="326" spans="3:18" ht="12">
      <c r="C326" s="544"/>
      <c r="D326" s="544"/>
      <c r="E326" s="540"/>
      <c r="F326" s="876"/>
      <c r="G326" s="876"/>
      <c r="H326" s="876"/>
      <c r="I326" s="876"/>
      <c r="J326" s="540"/>
      <c r="K326" s="876"/>
      <c r="L326" s="876"/>
      <c r="M326" s="876"/>
      <c r="N326" s="876"/>
      <c r="O326" s="540"/>
      <c r="P326" s="876"/>
      <c r="Q326" s="876"/>
      <c r="R326" s="876"/>
    </row>
    <row r="327" spans="3:18" ht="12">
      <c r="C327" s="544"/>
      <c r="D327" s="544"/>
      <c r="E327" s="540"/>
      <c r="F327" s="876"/>
      <c r="G327" s="876"/>
      <c r="H327" s="876"/>
      <c r="I327" s="876"/>
      <c r="J327" s="540"/>
      <c r="K327" s="876"/>
      <c r="L327" s="876"/>
      <c r="M327" s="876"/>
      <c r="N327" s="876"/>
      <c r="O327" s="540"/>
      <c r="P327" s="876"/>
      <c r="Q327" s="876"/>
      <c r="R327" s="876"/>
    </row>
    <row r="328" spans="3:18" ht="12">
      <c r="C328" s="544"/>
      <c r="D328" s="544"/>
      <c r="E328" s="540"/>
      <c r="F328" s="876"/>
      <c r="G328" s="876"/>
      <c r="H328" s="876"/>
      <c r="I328" s="876"/>
      <c r="J328" s="540"/>
      <c r="K328" s="876"/>
      <c r="L328" s="876"/>
      <c r="M328" s="876"/>
      <c r="N328" s="876"/>
      <c r="O328" s="540"/>
      <c r="P328" s="876"/>
      <c r="Q328" s="876"/>
      <c r="R328" s="876"/>
    </row>
    <row r="329" spans="3:18" ht="12">
      <c r="C329" s="544"/>
      <c r="D329" s="544"/>
      <c r="E329" s="540"/>
      <c r="F329" s="876"/>
      <c r="G329" s="876"/>
      <c r="H329" s="876"/>
      <c r="I329" s="876"/>
      <c r="J329" s="540"/>
      <c r="K329" s="876"/>
      <c r="L329" s="876"/>
      <c r="M329" s="876"/>
      <c r="N329" s="876"/>
      <c r="O329" s="540"/>
      <c r="P329" s="876"/>
      <c r="Q329" s="876"/>
      <c r="R329" s="876"/>
    </row>
    <row r="330" spans="3:18" ht="12">
      <c r="C330" s="544"/>
      <c r="D330" s="544"/>
      <c r="E330" s="540"/>
      <c r="F330" s="876"/>
      <c r="G330" s="876"/>
      <c r="H330" s="876"/>
      <c r="I330" s="876"/>
      <c r="J330" s="540"/>
      <c r="K330" s="876"/>
      <c r="L330" s="876"/>
      <c r="M330" s="876"/>
      <c r="N330" s="876"/>
      <c r="O330" s="540"/>
      <c r="P330" s="876"/>
      <c r="Q330" s="876"/>
      <c r="R330" s="876"/>
    </row>
    <row r="331" spans="3:18" ht="12">
      <c r="C331" s="544"/>
      <c r="D331" s="544"/>
      <c r="E331" s="540"/>
      <c r="F331" s="876"/>
      <c r="G331" s="876"/>
      <c r="H331" s="876"/>
      <c r="I331" s="876"/>
      <c r="J331" s="540"/>
      <c r="K331" s="876"/>
      <c r="L331" s="876"/>
      <c r="M331" s="876"/>
      <c r="N331" s="876"/>
      <c r="O331" s="540"/>
      <c r="P331" s="876"/>
      <c r="Q331" s="876"/>
      <c r="R331" s="876"/>
    </row>
    <row r="332" spans="3:18" ht="12">
      <c r="C332" s="544"/>
      <c r="D332" s="544"/>
      <c r="E332" s="540"/>
      <c r="F332" s="876"/>
      <c r="G332" s="876"/>
      <c r="H332" s="876"/>
      <c r="I332" s="876"/>
      <c r="J332" s="540"/>
      <c r="K332" s="876"/>
      <c r="L332" s="876"/>
      <c r="M332" s="876"/>
      <c r="N332" s="876"/>
      <c r="O332" s="540"/>
      <c r="P332" s="876"/>
      <c r="Q332" s="876"/>
      <c r="R332" s="876"/>
    </row>
    <row r="333" spans="3:18" ht="12">
      <c r="C333" s="544"/>
      <c r="D333" s="544"/>
      <c r="E333" s="540"/>
      <c r="F333" s="876"/>
      <c r="G333" s="876"/>
      <c r="H333" s="876"/>
      <c r="I333" s="876"/>
      <c r="J333" s="540"/>
      <c r="K333" s="876"/>
      <c r="L333" s="876"/>
      <c r="M333" s="876"/>
      <c r="N333" s="876"/>
      <c r="O333" s="540"/>
      <c r="P333" s="876"/>
      <c r="Q333" s="876"/>
      <c r="R333" s="876"/>
    </row>
    <row r="334" spans="3:18" ht="12">
      <c r="C334" s="544"/>
      <c r="D334" s="544"/>
      <c r="E334" s="540"/>
      <c r="F334" s="876"/>
      <c r="G334" s="876"/>
      <c r="H334" s="876"/>
      <c r="I334" s="876"/>
      <c r="J334" s="540"/>
      <c r="K334" s="876"/>
      <c r="L334" s="876"/>
      <c r="M334" s="876"/>
      <c r="N334" s="876"/>
      <c r="O334" s="540"/>
      <c r="P334" s="876"/>
      <c r="Q334" s="876"/>
      <c r="R334" s="876"/>
    </row>
    <row r="335" spans="3:18" ht="12">
      <c r="C335" s="544"/>
      <c r="D335" s="544"/>
      <c r="E335" s="540"/>
      <c r="F335" s="876"/>
      <c r="G335" s="876"/>
      <c r="H335" s="876"/>
      <c r="I335" s="876"/>
      <c r="J335" s="540"/>
      <c r="K335" s="876"/>
      <c r="L335" s="876"/>
      <c r="M335" s="876"/>
      <c r="N335" s="876"/>
      <c r="O335" s="540"/>
      <c r="P335" s="876"/>
      <c r="Q335" s="876"/>
      <c r="R335" s="876"/>
    </row>
    <row r="336" spans="3:18" ht="12">
      <c r="C336" s="544"/>
      <c r="D336" s="544"/>
      <c r="E336" s="540"/>
      <c r="F336" s="876"/>
      <c r="G336" s="876"/>
      <c r="H336" s="876"/>
      <c r="I336" s="876"/>
      <c r="J336" s="540"/>
      <c r="K336" s="876"/>
      <c r="L336" s="876"/>
      <c r="M336" s="876"/>
      <c r="N336" s="876"/>
      <c r="O336" s="540"/>
      <c r="P336" s="876"/>
      <c r="Q336" s="876"/>
      <c r="R336" s="876"/>
    </row>
    <row r="337" spans="3:18" ht="12">
      <c r="C337" s="544"/>
      <c r="D337" s="544"/>
      <c r="E337" s="540"/>
      <c r="F337" s="876"/>
      <c r="G337" s="876"/>
      <c r="H337" s="876"/>
      <c r="I337" s="876"/>
      <c r="J337" s="540"/>
      <c r="K337" s="876"/>
      <c r="L337" s="876"/>
      <c r="M337" s="876"/>
      <c r="N337" s="876"/>
      <c r="O337" s="540"/>
      <c r="P337" s="876"/>
      <c r="Q337" s="876"/>
      <c r="R337" s="876"/>
    </row>
    <row r="338" spans="3:18" ht="12">
      <c r="C338" s="544"/>
      <c r="D338" s="544"/>
      <c r="E338" s="540"/>
      <c r="F338" s="876"/>
      <c r="G338" s="876"/>
      <c r="H338" s="876"/>
      <c r="I338" s="876"/>
      <c r="J338" s="540"/>
      <c r="K338" s="876"/>
      <c r="L338" s="876"/>
      <c r="M338" s="876"/>
      <c r="N338" s="876"/>
      <c r="O338" s="540"/>
      <c r="P338" s="876"/>
      <c r="Q338" s="876"/>
      <c r="R338" s="876"/>
    </row>
    <row r="339" spans="3:18" ht="12">
      <c r="C339" s="544"/>
      <c r="D339" s="544"/>
      <c r="E339" s="540"/>
      <c r="F339" s="876"/>
      <c r="G339" s="876"/>
      <c r="H339" s="876"/>
      <c r="I339" s="876"/>
      <c r="J339" s="540"/>
      <c r="K339" s="876"/>
      <c r="L339" s="876"/>
      <c r="M339" s="876"/>
      <c r="N339" s="876"/>
      <c r="O339" s="540"/>
      <c r="P339" s="876"/>
      <c r="Q339" s="876"/>
      <c r="R339" s="876"/>
    </row>
    <row r="340" spans="3:18" ht="12">
      <c r="C340" s="544"/>
      <c r="D340" s="544"/>
      <c r="E340" s="540"/>
      <c r="F340" s="876"/>
      <c r="G340" s="876"/>
      <c r="H340" s="876"/>
      <c r="I340" s="876"/>
      <c r="J340" s="540"/>
      <c r="K340" s="876"/>
      <c r="L340" s="876"/>
      <c r="M340" s="876"/>
      <c r="N340" s="876"/>
      <c r="O340" s="540"/>
      <c r="P340" s="876"/>
      <c r="Q340" s="876"/>
      <c r="R340" s="876"/>
    </row>
    <row r="341" spans="3:18" ht="12">
      <c r="C341" s="544"/>
      <c r="D341" s="544"/>
      <c r="E341" s="540"/>
      <c r="F341" s="876"/>
      <c r="G341" s="876"/>
      <c r="H341" s="876"/>
      <c r="I341" s="876"/>
      <c r="J341" s="540"/>
      <c r="K341" s="876"/>
      <c r="L341" s="876"/>
      <c r="M341" s="876"/>
      <c r="N341" s="876"/>
      <c r="O341" s="540"/>
      <c r="P341" s="876"/>
      <c r="Q341" s="876"/>
      <c r="R341" s="876"/>
    </row>
    <row r="342" spans="3:18" ht="12">
      <c r="C342" s="544"/>
      <c r="D342" s="544"/>
      <c r="E342" s="540"/>
      <c r="F342" s="876"/>
      <c r="G342" s="876"/>
      <c r="H342" s="876"/>
      <c r="I342" s="876"/>
      <c r="J342" s="540"/>
      <c r="K342" s="876"/>
      <c r="L342" s="876"/>
      <c r="M342" s="876"/>
      <c r="N342" s="876"/>
      <c r="O342" s="540"/>
      <c r="P342" s="876"/>
      <c r="Q342" s="876"/>
      <c r="R342" s="876"/>
    </row>
    <row r="343" spans="3:18" ht="12">
      <c r="C343" s="544"/>
      <c r="D343" s="544"/>
      <c r="E343" s="540"/>
      <c r="F343" s="876"/>
      <c r="G343" s="876"/>
      <c r="H343" s="876"/>
      <c r="I343" s="876"/>
      <c r="J343" s="540"/>
      <c r="K343" s="876"/>
      <c r="L343" s="876"/>
      <c r="M343" s="876"/>
      <c r="N343" s="876"/>
      <c r="O343" s="540"/>
      <c r="P343" s="876"/>
      <c r="Q343" s="876"/>
      <c r="R343" s="876"/>
    </row>
    <row r="344" spans="3:18" ht="12">
      <c r="C344" s="544"/>
      <c r="D344" s="544"/>
      <c r="E344" s="540"/>
      <c r="F344" s="876"/>
      <c r="G344" s="876"/>
      <c r="H344" s="876"/>
      <c r="I344" s="876"/>
      <c r="J344" s="540"/>
      <c r="K344" s="876"/>
      <c r="L344" s="876"/>
      <c r="M344" s="876"/>
      <c r="N344" s="876"/>
      <c r="O344" s="540"/>
      <c r="P344" s="876"/>
      <c r="Q344" s="876"/>
      <c r="R344" s="876"/>
    </row>
    <row r="345" spans="3:18" ht="12">
      <c r="C345" s="544"/>
      <c r="D345" s="544"/>
      <c r="E345" s="540"/>
      <c r="F345" s="876"/>
      <c r="G345" s="876"/>
      <c r="H345" s="876"/>
      <c r="I345" s="876"/>
      <c r="J345" s="540"/>
      <c r="K345" s="876"/>
      <c r="L345" s="876"/>
      <c r="M345" s="876"/>
      <c r="N345" s="876"/>
      <c r="O345" s="540"/>
      <c r="P345" s="876"/>
      <c r="Q345" s="876"/>
      <c r="R345" s="876"/>
    </row>
    <row r="346" spans="3:18" ht="12">
      <c r="C346" s="544"/>
      <c r="D346" s="544"/>
      <c r="E346" s="540"/>
      <c r="F346" s="876"/>
      <c r="G346" s="876"/>
      <c r="H346" s="876"/>
      <c r="I346" s="876"/>
      <c r="J346" s="540"/>
      <c r="K346" s="876"/>
      <c r="L346" s="876"/>
      <c r="M346" s="876"/>
      <c r="N346" s="876"/>
      <c r="O346" s="540"/>
      <c r="P346" s="876"/>
      <c r="Q346" s="876"/>
      <c r="R346" s="876"/>
    </row>
    <row r="347" spans="3:18" ht="12">
      <c r="C347" s="544"/>
      <c r="D347" s="544"/>
      <c r="E347" s="540"/>
      <c r="F347" s="876"/>
      <c r="G347" s="876"/>
      <c r="H347" s="876"/>
      <c r="I347" s="876"/>
      <c r="J347" s="540"/>
      <c r="K347" s="876"/>
      <c r="L347" s="876"/>
      <c r="M347" s="876"/>
      <c r="N347" s="876"/>
      <c r="O347" s="540"/>
      <c r="P347" s="876"/>
      <c r="Q347" s="876"/>
      <c r="R347" s="876"/>
    </row>
    <row r="348" spans="3:18" ht="12">
      <c r="C348" s="544"/>
      <c r="D348" s="544"/>
      <c r="E348" s="540"/>
      <c r="F348" s="876"/>
      <c r="G348" s="876"/>
      <c r="H348" s="876"/>
      <c r="I348" s="876"/>
      <c r="J348" s="540"/>
      <c r="K348" s="876"/>
      <c r="L348" s="876"/>
      <c r="M348" s="876"/>
      <c r="N348" s="876"/>
      <c r="O348" s="540"/>
      <c r="P348" s="876"/>
      <c r="Q348" s="876"/>
      <c r="R348" s="876"/>
    </row>
    <row r="349" spans="3:18" ht="12">
      <c r="C349" s="544"/>
      <c r="D349" s="544"/>
      <c r="E349" s="540"/>
      <c r="F349" s="876"/>
      <c r="G349" s="876"/>
      <c r="H349" s="876"/>
      <c r="I349" s="876"/>
      <c r="J349" s="540"/>
      <c r="K349" s="876"/>
      <c r="L349" s="876"/>
      <c r="M349" s="876"/>
      <c r="N349" s="876"/>
      <c r="O349" s="540"/>
      <c r="P349" s="876"/>
      <c r="Q349" s="876"/>
      <c r="R349" s="876"/>
    </row>
    <row r="350" spans="3:18" ht="12">
      <c r="C350" s="544"/>
      <c r="D350" s="544"/>
      <c r="E350" s="540"/>
      <c r="F350" s="876"/>
      <c r="G350" s="876"/>
      <c r="H350" s="876"/>
      <c r="I350" s="876"/>
      <c r="J350" s="540"/>
      <c r="K350" s="876"/>
      <c r="L350" s="876"/>
      <c r="M350" s="876"/>
      <c r="N350" s="876"/>
      <c r="O350" s="540"/>
      <c r="P350" s="876"/>
      <c r="Q350" s="876"/>
      <c r="R350" s="876"/>
    </row>
    <row r="351" spans="3:18" ht="12">
      <c r="C351" s="544"/>
      <c r="D351" s="544"/>
      <c r="E351" s="540"/>
      <c r="F351" s="876"/>
      <c r="G351" s="876"/>
      <c r="H351" s="876"/>
      <c r="I351" s="876"/>
      <c r="J351" s="540"/>
      <c r="K351" s="876"/>
      <c r="L351" s="876"/>
      <c r="M351" s="876"/>
      <c r="N351" s="876"/>
      <c r="O351" s="540"/>
      <c r="P351" s="876"/>
      <c r="Q351" s="876"/>
      <c r="R351" s="876"/>
    </row>
    <row r="352" spans="3:18" ht="12">
      <c r="C352" s="544"/>
      <c r="D352" s="544"/>
      <c r="E352" s="540"/>
      <c r="F352" s="876"/>
      <c r="G352" s="876"/>
      <c r="H352" s="876"/>
      <c r="I352" s="876"/>
      <c r="J352" s="540"/>
      <c r="K352" s="876"/>
      <c r="L352" s="876"/>
      <c r="M352" s="876"/>
      <c r="N352" s="876"/>
      <c r="O352" s="540"/>
      <c r="P352" s="876"/>
      <c r="Q352" s="876"/>
      <c r="R352" s="876"/>
    </row>
    <row r="353" spans="3:18" ht="12">
      <c r="C353" s="544"/>
      <c r="D353" s="544"/>
      <c r="E353" s="540"/>
      <c r="F353" s="876"/>
      <c r="G353" s="876"/>
      <c r="H353" s="876"/>
      <c r="I353" s="876"/>
      <c r="J353" s="540"/>
      <c r="K353" s="876"/>
      <c r="L353" s="876"/>
      <c r="M353" s="876"/>
      <c r="N353" s="876"/>
      <c r="O353" s="540"/>
      <c r="P353" s="876"/>
      <c r="Q353" s="876"/>
      <c r="R353" s="876"/>
    </row>
    <row r="354" spans="3:18" ht="12">
      <c r="C354" s="544"/>
      <c r="D354" s="544"/>
      <c r="E354" s="540"/>
      <c r="F354" s="876"/>
      <c r="G354" s="876"/>
      <c r="H354" s="876"/>
      <c r="I354" s="876"/>
      <c r="J354" s="540"/>
      <c r="K354" s="876"/>
      <c r="L354" s="876"/>
      <c r="M354" s="876"/>
      <c r="N354" s="876"/>
      <c r="O354" s="540"/>
      <c r="P354" s="876"/>
      <c r="Q354" s="876"/>
      <c r="R354" s="876"/>
    </row>
    <row r="355" spans="3:18" ht="12">
      <c r="C355" s="544"/>
      <c r="D355" s="544"/>
      <c r="E355" s="540"/>
      <c r="F355" s="876"/>
      <c r="G355" s="876"/>
      <c r="H355" s="876"/>
      <c r="I355" s="876"/>
      <c r="J355" s="540"/>
      <c r="K355" s="876"/>
      <c r="L355" s="876"/>
      <c r="M355" s="876"/>
      <c r="N355" s="876"/>
      <c r="O355" s="540"/>
      <c r="P355" s="876"/>
      <c r="Q355" s="876"/>
      <c r="R355" s="876"/>
    </row>
    <row r="356" spans="3:18" ht="12">
      <c r="C356" s="544"/>
      <c r="D356" s="544"/>
      <c r="E356" s="540"/>
      <c r="F356" s="876"/>
      <c r="G356" s="876"/>
      <c r="H356" s="876"/>
      <c r="I356" s="876"/>
      <c r="J356" s="540"/>
      <c r="K356" s="876"/>
      <c r="L356" s="876"/>
      <c r="M356" s="876"/>
      <c r="N356" s="876"/>
      <c r="O356" s="540"/>
      <c r="P356" s="876"/>
      <c r="Q356" s="876"/>
      <c r="R356" s="876"/>
    </row>
    <row r="357" spans="3:18" ht="12">
      <c r="C357" s="544"/>
      <c r="D357" s="544"/>
      <c r="E357" s="540"/>
      <c r="F357" s="876"/>
      <c r="G357" s="876"/>
      <c r="H357" s="876"/>
      <c r="I357" s="876"/>
      <c r="J357" s="540"/>
      <c r="K357" s="876"/>
      <c r="L357" s="876"/>
      <c r="M357" s="876"/>
      <c r="N357" s="876"/>
      <c r="O357" s="540"/>
      <c r="P357" s="876"/>
      <c r="Q357" s="876"/>
      <c r="R357" s="876"/>
    </row>
    <row r="358" spans="3:18" ht="12">
      <c r="C358" s="544"/>
      <c r="D358" s="544"/>
      <c r="E358" s="540"/>
      <c r="F358" s="876"/>
      <c r="G358" s="876"/>
      <c r="H358" s="876"/>
      <c r="I358" s="876"/>
      <c r="J358" s="540"/>
      <c r="K358" s="876"/>
      <c r="L358" s="876"/>
      <c r="M358" s="876"/>
      <c r="N358" s="876"/>
      <c r="O358" s="540"/>
      <c r="P358" s="876"/>
      <c r="Q358" s="876"/>
      <c r="R358" s="876"/>
    </row>
    <row r="359" spans="3:18" ht="12">
      <c r="C359" s="544"/>
      <c r="D359" s="544"/>
      <c r="E359" s="540"/>
      <c r="F359" s="876"/>
      <c r="G359" s="876"/>
      <c r="H359" s="876"/>
      <c r="I359" s="876"/>
      <c r="J359" s="540"/>
      <c r="K359" s="876"/>
      <c r="L359" s="876"/>
      <c r="M359" s="876"/>
      <c r="N359" s="876"/>
      <c r="O359" s="540"/>
      <c r="P359" s="876"/>
      <c r="Q359" s="876"/>
      <c r="R359" s="876"/>
    </row>
    <row r="360" spans="3:18" ht="12">
      <c r="C360" s="544"/>
      <c r="D360" s="544"/>
      <c r="E360" s="540"/>
      <c r="F360" s="876"/>
      <c r="G360" s="876"/>
      <c r="H360" s="876"/>
      <c r="I360" s="876"/>
      <c r="J360" s="540"/>
      <c r="K360" s="876"/>
      <c r="L360" s="876"/>
      <c r="M360" s="876"/>
      <c r="N360" s="876"/>
      <c r="O360" s="540"/>
      <c r="P360" s="876"/>
      <c r="Q360" s="876"/>
      <c r="R360" s="876"/>
    </row>
    <row r="361" spans="3:18" ht="12">
      <c r="C361" s="544"/>
      <c r="D361" s="544"/>
      <c r="E361" s="540"/>
      <c r="F361" s="876"/>
      <c r="G361" s="876"/>
      <c r="H361" s="876"/>
      <c r="I361" s="876"/>
      <c r="J361" s="540"/>
      <c r="K361" s="876"/>
      <c r="L361" s="876"/>
      <c r="M361" s="876"/>
      <c r="N361" s="876"/>
      <c r="O361" s="540"/>
      <c r="P361" s="876"/>
      <c r="Q361" s="876"/>
      <c r="R361" s="876"/>
    </row>
    <row r="362" spans="3:18" ht="12">
      <c r="C362" s="544"/>
      <c r="D362" s="544"/>
      <c r="E362" s="540"/>
      <c r="F362" s="876"/>
      <c r="G362" s="876"/>
      <c r="H362" s="876"/>
      <c r="I362" s="876"/>
      <c r="J362" s="540"/>
      <c r="K362" s="876"/>
      <c r="L362" s="876"/>
      <c r="M362" s="876"/>
      <c r="N362" s="876"/>
      <c r="O362" s="540"/>
      <c r="P362" s="876"/>
      <c r="Q362" s="876"/>
      <c r="R362" s="876"/>
    </row>
    <row r="363" spans="3:18" ht="12">
      <c r="C363" s="544"/>
      <c r="D363" s="544"/>
      <c r="E363" s="540"/>
      <c r="F363" s="876"/>
      <c r="G363" s="876"/>
      <c r="H363" s="876"/>
      <c r="I363" s="876"/>
      <c r="J363" s="540"/>
      <c r="K363" s="876"/>
      <c r="L363" s="876"/>
      <c r="M363" s="876"/>
      <c r="N363" s="876"/>
      <c r="O363" s="540"/>
      <c r="P363" s="876"/>
      <c r="Q363" s="876"/>
      <c r="R363" s="876"/>
    </row>
    <row r="364" spans="3:18" ht="12">
      <c r="C364" s="544"/>
      <c r="D364" s="544"/>
      <c r="E364" s="540"/>
      <c r="F364" s="876"/>
      <c r="G364" s="876"/>
      <c r="H364" s="876"/>
      <c r="I364" s="876"/>
      <c r="J364" s="540"/>
      <c r="K364" s="876"/>
      <c r="L364" s="876"/>
      <c r="M364" s="876"/>
      <c r="N364" s="876"/>
      <c r="O364" s="540"/>
      <c r="P364" s="876"/>
      <c r="Q364" s="876"/>
      <c r="R364" s="876"/>
    </row>
    <row r="365" spans="3:18" ht="12">
      <c r="C365" s="544"/>
      <c r="D365" s="544"/>
      <c r="E365" s="540"/>
      <c r="F365" s="876"/>
      <c r="G365" s="876"/>
      <c r="H365" s="876"/>
      <c r="I365" s="876"/>
      <c r="J365" s="540"/>
      <c r="K365" s="876"/>
      <c r="L365" s="876"/>
      <c r="M365" s="876"/>
      <c r="N365" s="876"/>
      <c r="O365" s="540"/>
      <c r="P365" s="876"/>
      <c r="Q365" s="876"/>
      <c r="R365" s="876"/>
    </row>
    <row r="366" spans="3:18" ht="12">
      <c r="C366" s="544"/>
      <c r="D366" s="544"/>
      <c r="E366" s="540"/>
      <c r="F366" s="876"/>
      <c r="G366" s="876"/>
      <c r="H366" s="876"/>
      <c r="I366" s="876"/>
      <c r="J366" s="540"/>
      <c r="K366" s="876"/>
      <c r="L366" s="876"/>
      <c r="M366" s="876"/>
      <c r="N366" s="876"/>
      <c r="O366" s="540"/>
      <c r="P366" s="876"/>
      <c r="Q366" s="876"/>
      <c r="R366" s="876"/>
    </row>
    <row r="367" spans="3:18" ht="12">
      <c r="C367" s="544"/>
      <c r="D367" s="544"/>
      <c r="E367" s="540"/>
      <c r="F367" s="876"/>
      <c r="G367" s="876"/>
      <c r="H367" s="876"/>
      <c r="I367" s="876"/>
      <c r="J367" s="540"/>
      <c r="K367" s="876"/>
      <c r="L367" s="876"/>
      <c r="M367" s="876"/>
      <c r="N367" s="876"/>
      <c r="O367" s="540"/>
      <c r="P367" s="876"/>
      <c r="Q367" s="876"/>
      <c r="R367" s="876"/>
    </row>
    <row r="368" spans="3:18" ht="12">
      <c r="C368" s="544"/>
      <c r="D368" s="544"/>
      <c r="E368" s="540"/>
      <c r="F368" s="876"/>
      <c r="G368" s="876"/>
      <c r="H368" s="876"/>
      <c r="I368" s="876"/>
      <c r="J368" s="540"/>
      <c r="K368" s="876"/>
      <c r="L368" s="876"/>
      <c r="M368" s="876"/>
      <c r="N368" s="876"/>
      <c r="O368" s="540"/>
      <c r="P368" s="876"/>
      <c r="Q368" s="876"/>
      <c r="R368" s="876"/>
    </row>
    <row r="369" spans="3:18" ht="12">
      <c r="C369" s="544"/>
      <c r="D369" s="544"/>
      <c r="E369" s="540"/>
      <c r="F369" s="876"/>
      <c r="G369" s="876"/>
      <c r="H369" s="876"/>
      <c r="I369" s="876"/>
      <c r="J369" s="540"/>
      <c r="K369" s="876"/>
      <c r="L369" s="876"/>
      <c r="M369" s="876"/>
      <c r="N369" s="876"/>
      <c r="O369" s="540"/>
      <c r="P369" s="876"/>
      <c r="Q369" s="876"/>
      <c r="R369" s="876"/>
    </row>
    <row r="370" spans="3:18" ht="12">
      <c r="C370" s="544"/>
      <c r="D370" s="544"/>
      <c r="E370" s="540"/>
      <c r="F370" s="876"/>
      <c r="G370" s="876"/>
      <c r="H370" s="876"/>
      <c r="I370" s="876"/>
      <c r="J370" s="540"/>
      <c r="K370" s="876"/>
      <c r="L370" s="876"/>
      <c r="M370" s="876"/>
      <c r="N370" s="876"/>
      <c r="O370" s="540"/>
      <c r="P370" s="876"/>
      <c r="Q370" s="876"/>
      <c r="R370" s="876"/>
    </row>
    <row r="371" spans="3:18" ht="12">
      <c r="C371" s="544"/>
      <c r="D371" s="544"/>
      <c r="E371" s="540"/>
      <c r="F371" s="876"/>
      <c r="G371" s="876"/>
      <c r="H371" s="876"/>
      <c r="I371" s="876"/>
      <c r="J371" s="540"/>
      <c r="K371" s="876"/>
      <c r="L371" s="876"/>
      <c r="M371" s="876"/>
      <c r="N371" s="876"/>
      <c r="O371" s="540"/>
      <c r="P371" s="876"/>
      <c r="Q371" s="876"/>
      <c r="R371" s="876"/>
    </row>
    <row r="372" spans="3:18" ht="12">
      <c r="C372" s="544"/>
      <c r="D372" s="544"/>
      <c r="E372" s="540"/>
      <c r="F372" s="876"/>
      <c r="G372" s="876"/>
      <c r="H372" s="876"/>
      <c r="I372" s="876"/>
      <c r="J372" s="540"/>
      <c r="K372" s="876"/>
      <c r="L372" s="876"/>
      <c r="M372" s="876"/>
      <c r="N372" s="876"/>
      <c r="O372" s="540"/>
      <c r="P372" s="876"/>
      <c r="Q372" s="876"/>
      <c r="R372" s="876"/>
    </row>
    <row r="373" spans="3:18" ht="12">
      <c r="C373" s="544"/>
      <c r="D373" s="544"/>
      <c r="E373" s="540"/>
      <c r="F373" s="876"/>
      <c r="G373" s="876"/>
      <c r="H373" s="876"/>
      <c r="I373" s="876"/>
      <c r="J373" s="540"/>
      <c r="K373" s="876"/>
      <c r="L373" s="876"/>
      <c r="M373" s="876"/>
      <c r="N373" s="876"/>
      <c r="O373" s="540"/>
      <c r="P373" s="876"/>
      <c r="Q373" s="876"/>
      <c r="R373" s="876"/>
    </row>
    <row r="374" spans="3:18" ht="12">
      <c r="C374" s="544"/>
      <c r="D374" s="544"/>
      <c r="E374" s="540"/>
      <c r="F374" s="876"/>
      <c r="G374" s="876"/>
      <c r="H374" s="876"/>
      <c r="I374" s="876"/>
      <c r="J374" s="540"/>
      <c r="K374" s="876"/>
      <c r="L374" s="876"/>
      <c r="M374" s="876"/>
      <c r="N374" s="876"/>
      <c r="O374" s="540"/>
      <c r="P374" s="876"/>
      <c r="Q374" s="876"/>
      <c r="R374" s="876"/>
    </row>
    <row r="375" spans="3:18" ht="12">
      <c r="C375" s="544"/>
      <c r="D375" s="544"/>
      <c r="E375" s="540"/>
      <c r="F375" s="876"/>
      <c r="G375" s="876"/>
      <c r="H375" s="876"/>
      <c r="I375" s="876"/>
      <c r="J375" s="540"/>
      <c r="K375" s="876"/>
      <c r="L375" s="876"/>
      <c r="M375" s="876"/>
      <c r="N375" s="876"/>
      <c r="O375" s="540"/>
      <c r="P375" s="876"/>
      <c r="Q375" s="876"/>
      <c r="R375" s="876"/>
    </row>
    <row r="376" spans="3:18" ht="12">
      <c r="C376" s="544"/>
      <c r="D376" s="544"/>
      <c r="E376" s="540"/>
      <c r="F376" s="876"/>
      <c r="G376" s="876"/>
      <c r="H376" s="876"/>
      <c r="I376" s="876"/>
      <c r="J376" s="540"/>
      <c r="K376" s="876"/>
      <c r="L376" s="876"/>
      <c r="M376" s="876"/>
      <c r="N376" s="876"/>
      <c r="O376" s="540"/>
      <c r="P376" s="876"/>
      <c r="Q376" s="876"/>
      <c r="R376" s="876"/>
    </row>
    <row r="377" spans="3:18" ht="12">
      <c r="C377" s="544"/>
      <c r="D377" s="544"/>
      <c r="E377" s="540"/>
      <c r="F377" s="876"/>
      <c r="G377" s="876"/>
      <c r="H377" s="876"/>
      <c r="I377" s="876"/>
      <c r="J377" s="540"/>
      <c r="K377" s="876"/>
      <c r="L377" s="876"/>
      <c r="M377" s="876"/>
      <c r="N377" s="876"/>
      <c r="O377" s="540"/>
      <c r="P377" s="876"/>
      <c r="Q377" s="876"/>
      <c r="R377" s="876"/>
    </row>
    <row r="378" spans="3:18">
      <c r="C378" s="544"/>
      <c r="D378" s="544"/>
      <c r="E378" s="542"/>
      <c r="F378" s="918"/>
      <c r="G378" s="918"/>
      <c r="H378" s="919"/>
      <c r="I378" s="918"/>
      <c r="J378" s="542"/>
      <c r="K378" s="918"/>
      <c r="L378" s="918"/>
      <c r="M378" s="919"/>
      <c r="N378" s="918"/>
      <c r="O378" s="542"/>
      <c r="P378" s="918"/>
      <c r="Q378" s="918"/>
      <c r="R378" s="919"/>
    </row>
    <row r="379" spans="3:18">
      <c r="C379" s="544"/>
      <c r="D379" s="544"/>
      <c r="E379" s="542"/>
      <c r="F379" s="918"/>
      <c r="G379" s="918"/>
      <c r="H379" s="919"/>
      <c r="I379" s="918"/>
      <c r="J379" s="542"/>
      <c r="K379" s="918"/>
      <c r="L379" s="918"/>
      <c r="M379" s="919"/>
      <c r="N379" s="918"/>
      <c r="O379" s="542"/>
      <c r="P379" s="918"/>
      <c r="Q379" s="918"/>
      <c r="R379" s="919"/>
    </row>
    <row r="380" spans="3:18">
      <c r="C380" s="544"/>
      <c r="D380" s="544"/>
      <c r="E380" s="542"/>
      <c r="F380" s="918"/>
      <c r="G380" s="918"/>
      <c r="H380" s="919"/>
      <c r="I380" s="918"/>
      <c r="J380" s="542"/>
      <c r="K380" s="918"/>
      <c r="L380" s="918"/>
      <c r="M380" s="919"/>
      <c r="N380" s="918"/>
      <c r="O380" s="542"/>
      <c r="P380" s="918"/>
      <c r="Q380" s="918"/>
      <c r="R380" s="919"/>
    </row>
    <row r="381" spans="3:18">
      <c r="C381" s="544"/>
      <c r="D381" s="544"/>
      <c r="E381" s="542"/>
      <c r="F381" s="918"/>
      <c r="G381" s="918"/>
      <c r="H381" s="919"/>
      <c r="I381" s="918"/>
      <c r="J381" s="542"/>
      <c r="K381" s="918"/>
      <c r="L381" s="918"/>
      <c r="M381" s="919"/>
      <c r="N381" s="918"/>
      <c r="O381" s="542"/>
      <c r="P381" s="918"/>
      <c r="Q381" s="918"/>
      <c r="R381" s="919"/>
    </row>
    <row r="382" spans="3:18">
      <c r="C382" s="544"/>
      <c r="D382" s="544"/>
      <c r="E382" s="542"/>
      <c r="F382" s="918"/>
      <c r="G382" s="918"/>
      <c r="H382" s="919"/>
      <c r="I382" s="918"/>
      <c r="J382" s="542"/>
      <c r="K382" s="918"/>
      <c r="L382" s="918"/>
      <c r="M382" s="919"/>
      <c r="N382" s="918"/>
      <c r="O382" s="542"/>
      <c r="P382" s="918"/>
      <c r="Q382" s="918"/>
      <c r="R382" s="919"/>
    </row>
    <row r="383" spans="3:18">
      <c r="C383" s="544"/>
      <c r="D383" s="544"/>
      <c r="E383" s="542"/>
      <c r="F383" s="918"/>
      <c r="G383" s="918"/>
      <c r="H383" s="919"/>
      <c r="I383" s="918"/>
      <c r="J383" s="542"/>
      <c r="K383" s="918"/>
      <c r="L383" s="918"/>
      <c r="M383" s="919"/>
      <c r="N383" s="918"/>
      <c r="O383" s="542"/>
      <c r="P383" s="918"/>
      <c r="Q383" s="918"/>
      <c r="R383" s="919"/>
    </row>
    <row r="384" spans="3:18">
      <c r="C384" s="544"/>
      <c r="D384" s="544"/>
      <c r="E384" s="542"/>
      <c r="F384" s="918"/>
      <c r="G384" s="918"/>
      <c r="H384" s="919"/>
      <c r="I384" s="918"/>
      <c r="J384" s="542"/>
      <c r="K384" s="918"/>
      <c r="L384" s="918"/>
      <c r="M384" s="919"/>
      <c r="N384" s="918"/>
      <c r="O384" s="542"/>
      <c r="P384" s="918"/>
      <c r="Q384" s="918"/>
      <c r="R384" s="919"/>
    </row>
    <row r="385" spans="3:18">
      <c r="C385" s="544"/>
      <c r="D385" s="544"/>
      <c r="E385" s="542"/>
      <c r="F385" s="918"/>
      <c r="G385" s="918"/>
      <c r="H385" s="919"/>
      <c r="I385" s="918"/>
      <c r="J385" s="542"/>
      <c r="K385" s="918"/>
      <c r="L385" s="918"/>
      <c r="M385" s="919"/>
      <c r="N385" s="918"/>
      <c r="O385" s="542"/>
      <c r="P385" s="918"/>
      <c r="Q385" s="918"/>
      <c r="R385" s="919"/>
    </row>
    <row r="386" spans="3:18">
      <c r="C386" s="544"/>
      <c r="D386" s="544"/>
      <c r="E386" s="542"/>
      <c r="F386" s="918"/>
      <c r="G386" s="918"/>
      <c r="H386" s="919"/>
      <c r="I386" s="918"/>
      <c r="J386" s="542"/>
      <c r="K386" s="918"/>
      <c r="L386" s="918"/>
      <c r="M386" s="919"/>
      <c r="N386" s="918"/>
      <c r="O386" s="542"/>
      <c r="P386" s="918"/>
      <c r="Q386" s="918"/>
      <c r="R386" s="919"/>
    </row>
    <row r="387" spans="3:18">
      <c r="C387" s="544"/>
      <c r="D387" s="544"/>
      <c r="E387" s="542"/>
      <c r="F387" s="918"/>
      <c r="G387" s="918"/>
      <c r="H387" s="919"/>
      <c r="I387" s="918"/>
      <c r="J387" s="542"/>
      <c r="K387" s="918"/>
      <c r="L387" s="918"/>
      <c r="M387" s="919"/>
      <c r="N387" s="918"/>
      <c r="O387" s="542"/>
      <c r="P387" s="918"/>
      <c r="Q387" s="918"/>
      <c r="R387" s="919"/>
    </row>
    <row r="388" spans="3:18">
      <c r="C388" s="544"/>
      <c r="D388" s="544"/>
      <c r="E388" s="542"/>
      <c r="F388" s="918"/>
      <c r="G388" s="918"/>
      <c r="H388" s="919"/>
      <c r="I388" s="918"/>
      <c r="J388" s="542"/>
      <c r="K388" s="918"/>
      <c r="L388" s="918"/>
      <c r="M388" s="919"/>
      <c r="N388" s="918"/>
      <c r="O388" s="542"/>
      <c r="P388" s="918"/>
      <c r="Q388" s="918"/>
      <c r="R388" s="919"/>
    </row>
    <row r="389" spans="3:18">
      <c r="C389" s="544"/>
      <c r="D389" s="544"/>
      <c r="E389" s="542"/>
      <c r="F389" s="918"/>
      <c r="G389" s="918"/>
      <c r="H389" s="919"/>
      <c r="I389" s="918"/>
      <c r="J389" s="542"/>
      <c r="K389" s="918"/>
      <c r="L389" s="918"/>
      <c r="M389" s="919"/>
      <c r="N389" s="918"/>
      <c r="O389" s="542"/>
      <c r="P389" s="918"/>
      <c r="Q389" s="918"/>
      <c r="R389" s="919"/>
    </row>
    <row r="390" spans="3:18">
      <c r="C390" s="544"/>
      <c r="D390" s="544"/>
      <c r="E390" s="542"/>
      <c r="F390" s="918"/>
      <c r="G390" s="918"/>
      <c r="H390" s="919"/>
      <c r="I390" s="918"/>
      <c r="J390" s="542"/>
      <c r="K390" s="918"/>
      <c r="L390" s="918"/>
      <c r="M390" s="919"/>
      <c r="N390" s="918"/>
      <c r="O390" s="542"/>
      <c r="P390" s="918"/>
      <c r="Q390" s="918"/>
      <c r="R390" s="919"/>
    </row>
    <row r="391" spans="3:18">
      <c r="C391" s="544"/>
      <c r="D391" s="544"/>
      <c r="E391" s="542"/>
      <c r="F391" s="918"/>
      <c r="G391" s="918"/>
      <c r="H391" s="919"/>
      <c r="I391" s="918"/>
      <c r="J391" s="542"/>
      <c r="K391" s="918"/>
      <c r="L391" s="918"/>
      <c r="M391" s="919"/>
      <c r="N391" s="918"/>
      <c r="O391" s="542"/>
      <c r="P391" s="918"/>
      <c r="Q391" s="918"/>
      <c r="R391" s="919"/>
    </row>
    <row r="392" spans="3:18">
      <c r="C392" s="544"/>
      <c r="D392" s="544"/>
      <c r="E392" s="542"/>
      <c r="F392" s="918"/>
      <c r="G392" s="918"/>
      <c r="H392" s="919"/>
      <c r="I392" s="918"/>
      <c r="J392" s="542"/>
      <c r="K392" s="918"/>
      <c r="L392" s="918"/>
      <c r="M392" s="919"/>
      <c r="N392" s="918"/>
      <c r="O392" s="542"/>
      <c r="P392" s="918"/>
      <c r="Q392" s="918"/>
      <c r="R392" s="919"/>
    </row>
    <row r="393" spans="3:18">
      <c r="C393" s="544"/>
      <c r="D393" s="544"/>
      <c r="E393" s="542"/>
      <c r="F393" s="918"/>
      <c r="G393" s="918"/>
      <c r="H393" s="919"/>
      <c r="I393" s="918"/>
      <c r="J393" s="542"/>
      <c r="K393" s="918"/>
      <c r="L393" s="918"/>
      <c r="M393" s="919"/>
      <c r="N393" s="918"/>
      <c r="O393" s="542"/>
      <c r="P393" s="918"/>
      <c r="Q393" s="918"/>
      <c r="R393" s="919"/>
    </row>
    <row r="394" spans="3:18">
      <c r="C394" s="544"/>
      <c r="D394" s="544"/>
      <c r="E394" s="542"/>
      <c r="F394" s="918"/>
      <c r="G394" s="918"/>
      <c r="H394" s="919"/>
      <c r="I394" s="918"/>
      <c r="J394" s="542"/>
      <c r="K394" s="918"/>
      <c r="L394" s="918"/>
      <c r="M394" s="919"/>
      <c r="N394" s="918"/>
      <c r="O394" s="542"/>
      <c r="P394" s="918"/>
      <c r="Q394" s="918"/>
      <c r="R394" s="919"/>
    </row>
    <row r="395" spans="3:18">
      <c r="C395" s="544"/>
      <c r="D395" s="544"/>
      <c r="E395" s="542"/>
      <c r="F395" s="918"/>
      <c r="G395" s="918"/>
      <c r="H395" s="919"/>
      <c r="I395" s="918"/>
      <c r="J395" s="542"/>
      <c r="K395" s="918"/>
      <c r="L395" s="918"/>
      <c r="M395" s="919"/>
      <c r="N395" s="918"/>
      <c r="O395" s="542"/>
      <c r="P395" s="918"/>
      <c r="Q395" s="918"/>
      <c r="R395" s="919"/>
    </row>
    <row r="396" spans="3:18">
      <c r="C396" s="544"/>
      <c r="D396" s="544"/>
      <c r="E396" s="542"/>
      <c r="F396" s="918"/>
      <c r="G396" s="918"/>
      <c r="H396" s="919"/>
      <c r="I396" s="918"/>
      <c r="J396" s="542"/>
      <c r="K396" s="918"/>
      <c r="L396" s="918"/>
      <c r="M396" s="919"/>
      <c r="N396" s="918"/>
      <c r="O396" s="542"/>
      <c r="P396" s="918"/>
      <c r="Q396" s="918"/>
      <c r="R396" s="919"/>
    </row>
    <row r="397" spans="3:18">
      <c r="C397" s="544"/>
      <c r="D397" s="544"/>
      <c r="E397" s="542"/>
      <c r="F397" s="918"/>
      <c r="G397" s="918"/>
      <c r="H397" s="919"/>
      <c r="I397" s="918"/>
      <c r="J397" s="542"/>
      <c r="K397" s="918"/>
      <c r="L397" s="918"/>
      <c r="M397" s="919"/>
      <c r="N397" s="918"/>
      <c r="O397" s="542"/>
      <c r="P397" s="918"/>
      <c r="Q397" s="918"/>
      <c r="R397" s="919"/>
    </row>
    <row r="398" spans="3:18">
      <c r="C398" s="544"/>
      <c r="D398" s="544"/>
      <c r="E398" s="542"/>
      <c r="F398" s="918"/>
      <c r="G398" s="918"/>
      <c r="H398" s="919"/>
      <c r="I398" s="918"/>
      <c r="J398" s="542"/>
      <c r="K398" s="918"/>
      <c r="L398" s="918"/>
      <c r="M398" s="919"/>
      <c r="N398" s="918"/>
      <c r="O398" s="542"/>
      <c r="P398" s="918"/>
      <c r="Q398" s="918"/>
      <c r="R398" s="919"/>
    </row>
    <row r="399" spans="3:18">
      <c r="C399" s="544"/>
      <c r="D399" s="544"/>
      <c r="E399" s="542"/>
      <c r="F399" s="918"/>
      <c r="G399" s="918"/>
      <c r="H399" s="919"/>
      <c r="I399" s="918"/>
      <c r="J399" s="542"/>
      <c r="K399" s="918"/>
      <c r="L399" s="918"/>
      <c r="M399" s="919"/>
      <c r="N399" s="918"/>
      <c r="O399" s="542"/>
      <c r="P399" s="918"/>
      <c r="Q399" s="918"/>
      <c r="R399" s="919"/>
    </row>
    <row r="400" spans="3:18">
      <c r="C400" s="544"/>
      <c r="D400" s="544"/>
      <c r="E400" s="542"/>
      <c r="F400" s="918"/>
      <c r="G400" s="918"/>
      <c r="H400" s="919"/>
      <c r="I400" s="918"/>
      <c r="J400" s="542"/>
      <c r="K400" s="918"/>
      <c r="L400" s="918"/>
      <c r="M400" s="919"/>
      <c r="N400" s="918"/>
      <c r="O400" s="542"/>
      <c r="P400" s="918"/>
      <c r="Q400" s="918"/>
      <c r="R400" s="919"/>
    </row>
    <row r="401" spans="3:18">
      <c r="C401" s="544"/>
      <c r="D401" s="544"/>
      <c r="E401" s="542"/>
      <c r="F401" s="918"/>
      <c r="G401" s="918"/>
      <c r="H401" s="919"/>
      <c r="I401" s="918"/>
      <c r="J401" s="542"/>
      <c r="K401" s="918"/>
      <c r="L401" s="918"/>
      <c r="M401" s="919"/>
      <c r="N401" s="918"/>
      <c r="O401" s="542"/>
      <c r="P401" s="918"/>
      <c r="Q401" s="918"/>
      <c r="R401" s="919"/>
    </row>
    <row r="402" spans="3:18">
      <c r="C402" s="544"/>
      <c r="D402" s="544"/>
      <c r="E402" s="542"/>
      <c r="F402" s="918"/>
      <c r="G402" s="918"/>
      <c r="H402" s="919"/>
      <c r="I402" s="918"/>
      <c r="J402" s="542"/>
      <c r="K402" s="918"/>
      <c r="L402" s="918"/>
      <c r="M402" s="919"/>
      <c r="N402" s="918"/>
      <c r="O402" s="542"/>
      <c r="P402" s="918"/>
      <c r="Q402" s="918"/>
      <c r="R402" s="919"/>
    </row>
    <row r="403" spans="3:18">
      <c r="C403" s="544"/>
      <c r="D403" s="544"/>
      <c r="E403" s="542"/>
      <c r="F403" s="918"/>
      <c r="G403" s="918"/>
      <c r="H403" s="919"/>
      <c r="I403" s="918"/>
      <c r="J403" s="542"/>
      <c r="K403" s="918"/>
      <c r="L403" s="918"/>
      <c r="M403" s="919"/>
      <c r="N403" s="918"/>
      <c r="O403" s="542"/>
      <c r="P403" s="918"/>
      <c r="Q403" s="918"/>
      <c r="R403" s="919"/>
    </row>
    <row r="404" spans="3:18">
      <c r="C404" s="544"/>
      <c r="D404" s="544"/>
      <c r="E404" s="542"/>
      <c r="F404" s="918"/>
      <c r="G404" s="918"/>
      <c r="H404" s="919"/>
      <c r="I404" s="918"/>
      <c r="J404" s="542"/>
      <c r="K404" s="918"/>
      <c r="L404" s="918"/>
      <c r="M404" s="919"/>
      <c r="N404" s="918"/>
      <c r="O404" s="542"/>
      <c r="P404" s="918"/>
      <c r="Q404" s="918"/>
      <c r="R404" s="919"/>
    </row>
    <row r="405" spans="3:18">
      <c r="C405" s="544"/>
      <c r="D405" s="544"/>
      <c r="E405" s="542"/>
      <c r="F405" s="918"/>
      <c r="G405" s="918"/>
      <c r="H405" s="919"/>
      <c r="I405" s="918"/>
      <c r="J405" s="542"/>
      <c r="K405" s="918"/>
      <c r="L405" s="918"/>
      <c r="M405" s="919"/>
      <c r="N405" s="918"/>
      <c r="O405" s="542"/>
      <c r="P405" s="918"/>
      <c r="Q405" s="918"/>
      <c r="R405" s="919"/>
    </row>
    <row r="406" spans="3:18">
      <c r="C406" s="544"/>
      <c r="D406" s="544"/>
      <c r="E406" s="542"/>
      <c r="F406" s="918"/>
      <c r="G406" s="918"/>
      <c r="H406" s="919"/>
      <c r="I406" s="918"/>
      <c r="J406" s="542"/>
      <c r="K406" s="918"/>
      <c r="L406" s="918"/>
      <c r="M406" s="919"/>
      <c r="N406" s="918"/>
      <c r="O406" s="542"/>
      <c r="P406" s="918"/>
      <c r="Q406" s="918"/>
      <c r="R406" s="919"/>
    </row>
    <row r="407" spans="3:18">
      <c r="C407" s="544"/>
      <c r="D407" s="544"/>
      <c r="E407" s="542"/>
      <c r="F407" s="918"/>
      <c r="G407" s="918"/>
      <c r="H407" s="919"/>
      <c r="I407" s="918"/>
      <c r="J407" s="542"/>
      <c r="K407" s="918"/>
      <c r="L407" s="918"/>
      <c r="M407" s="919"/>
      <c r="N407" s="918"/>
      <c r="O407" s="542"/>
      <c r="P407" s="918"/>
      <c r="Q407" s="918"/>
      <c r="R407" s="919"/>
    </row>
    <row r="408" spans="3:18">
      <c r="C408" s="544"/>
      <c r="D408" s="544"/>
      <c r="E408" s="542"/>
      <c r="F408" s="918"/>
      <c r="G408" s="918"/>
      <c r="H408" s="919"/>
      <c r="I408" s="918"/>
      <c r="J408" s="542"/>
      <c r="K408" s="918"/>
      <c r="L408" s="918"/>
      <c r="M408" s="919"/>
      <c r="N408" s="918"/>
      <c r="O408" s="542"/>
      <c r="P408" s="918"/>
      <c r="Q408" s="918"/>
      <c r="R408" s="919"/>
    </row>
    <row r="409" spans="3:18">
      <c r="C409" s="544"/>
      <c r="D409" s="544"/>
      <c r="E409" s="542"/>
      <c r="F409" s="918"/>
      <c r="G409" s="918"/>
      <c r="H409" s="919"/>
      <c r="I409" s="918"/>
      <c r="J409" s="542"/>
      <c r="K409" s="918"/>
      <c r="L409" s="918"/>
      <c r="M409" s="919"/>
      <c r="N409" s="918"/>
      <c r="O409" s="542"/>
      <c r="P409" s="918"/>
      <c r="Q409" s="918"/>
      <c r="R409" s="919"/>
    </row>
    <row r="410" spans="3:18">
      <c r="C410" s="544"/>
      <c r="D410" s="544"/>
      <c r="E410" s="542"/>
      <c r="F410" s="918"/>
      <c r="G410" s="918"/>
      <c r="H410" s="919"/>
      <c r="I410" s="918"/>
      <c r="J410" s="542"/>
      <c r="K410" s="918"/>
      <c r="L410" s="918"/>
      <c r="M410" s="919"/>
      <c r="N410" s="918"/>
      <c r="O410" s="542"/>
      <c r="P410" s="918"/>
      <c r="Q410" s="918"/>
      <c r="R410" s="919"/>
    </row>
    <row r="411" spans="3:18">
      <c r="C411" s="544"/>
      <c r="D411" s="544"/>
      <c r="E411" s="542"/>
      <c r="F411" s="918"/>
      <c r="G411" s="918"/>
      <c r="H411" s="919"/>
      <c r="I411" s="918"/>
      <c r="J411" s="542"/>
      <c r="K411" s="918"/>
      <c r="L411" s="918"/>
      <c r="M411" s="919"/>
      <c r="N411" s="918"/>
      <c r="O411" s="542"/>
      <c r="P411" s="918"/>
      <c r="Q411" s="918"/>
      <c r="R411" s="919"/>
    </row>
    <row r="412" spans="3:18">
      <c r="C412" s="544"/>
      <c r="D412" s="544"/>
      <c r="E412" s="542"/>
      <c r="F412" s="918"/>
      <c r="G412" s="918"/>
      <c r="H412" s="919"/>
      <c r="I412" s="918"/>
      <c r="J412" s="542"/>
      <c r="K412" s="918"/>
      <c r="L412" s="918"/>
      <c r="M412" s="919"/>
      <c r="N412" s="918"/>
      <c r="O412" s="542"/>
      <c r="P412" s="918"/>
      <c r="Q412" s="918"/>
      <c r="R412" s="919"/>
    </row>
    <row r="413" spans="3:18">
      <c r="C413" s="544"/>
      <c r="D413" s="544"/>
      <c r="E413" s="542"/>
      <c r="F413" s="918"/>
      <c r="G413" s="918"/>
      <c r="H413" s="919"/>
      <c r="I413" s="918"/>
      <c r="J413" s="542"/>
      <c r="K413" s="918"/>
      <c r="L413" s="918"/>
      <c r="M413" s="919"/>
      <c r="N413" s="918"/>
      <c r="O413" s="542"/>
      <c r="P413" s="918"/>
      <c r="Q413" s="918"/>
      <c r="R413" s="919"/>
    </row>
    <row r="414" spans="3:18">
      <c r="C414" s="544"/>
      <c r="D414" s="544"/>
      <c r="E414" s="542"/>
      <c r="F414" s="918"/>
      <c r="G414" s="918"/>
      <c r="H414" s="919"/>
      <c r="I414" s="918"/>
      <c r="J414" s="542"/>
      <c r="K414" s="918"/>
      <c r="L414" s="918"/>
      <c r="M414" s="919"/>
      <c r="N414" s="918"/>
      <c r="O414" s="542"/>
      <c r="P414" s="918"/>
      <c r="Q414" s="918"/>
      <c r="R414" s="919"/>
    </row>
    <row r="415" spans="3:18">
      <c r="C415" s="544"/>
      <c r="D415" s="544"/>
      <c r="E415" s="542"/>
      <c r="F415" s="918"/>
      <c r="G415" s="918"/>
      <c r="H415" s="919"/>
      <c r="I415" s="918"/>
      <c r="J415" s="542"/>
      <c r="K415" s="918"/>
      <c r="L415" s="918"/>
      <c r="M415" s="919"/>
      <c r="N415" s="918"/>
      <c r="O415" s="542"/>
      <c r="P415" s="918"/>
      <c r="Q415" s="918"/>
      <c r="R415" s="919"/>
    </row>
    <row r="416" spans="3:18">
      <c r="C416" s="544"/>
      <c r="D416" s="544"/>
      <c r="E416" s="542"/>
      <c r="F416" s="918"/>
      <c r="G416" s="918"/>
      <c r="H416" s="919"/>
      <c r="I416" s="918"/>
      <c r="J416" s="542"/>
      <c r="K416" s="918"/>
      <c r="L416" s="918"/>
      <c r="M416" s="919"/>
      <c r="N416" s="918"/>
      <c r="O416" s="542"/>
      <c r="P416" s="918"/>
      <c r="Q416" s="918"/>
      <c r="R416" s="919"/>
    </row>
    <row r="417" spans="3:18">
      <c r="C417" s="544"/>
      <c r="D417" s="544"/>
      <c r="E417" s="542"/>
      <c r="F417" s="918"/>
      <c r="G417" s="918"/>
      <c r="H417" s="919"/>
      <c r="I417" s="918"/>
      <c r="J417" s="542"/>
      <c r="K417" s="918"/>
      <c r="L417" s="918"/>
      <c r="M417" s="919"/>
      <c r="N417" s="918"/>
      <c r="O417" s="542"/>
      <c r="P417" s="918"/>
      <c r="Q417" s="918"/>
      <c r="R417" s="919"/>
    </row>
    <row r="418" spans="3:18">
      <c r="C418" s="544"/>
      <c r="D418" s="544"/>
      <c r="E418" s="542"/>
      <c r="F418" s="918"/>
      <c r="G418" s="918"/>
      <c r="H418" s="919"/>
      <c r="I418" s="918"/>
      <c r="J418" s="542"/>
      <c r="K418" s="918"/>
      <c r="L418" s="918"/>
      <c r="M418" s="919"/>
      <c r="N418" s="918"/>
      <c r="O418" s="542"/>
      <c r="P418" s="918"/>
      <c r="Q418" s="918"/>
      <c r="R418" s="919"/>
    </row>
    <row r="419" spans="3:18">
      <c r="C419" s="544"/>
      <c r="D419" s="544"/>
      <c r="E419" s="542"/>
      <c r="F419" s="918"/>
      <c r="G419" s="918"/>
      <c r="H419" s="919"/>
      <c r="I419" s="918"/>
      <c r="J419" s="542"/>
      <c r="K419" s="918"/>
      <c r="L419" s="918"/>
      <c r="M419" s="919"/>
      <c r="N419" s="918"/>
      <c r="O419" s="542"/>
      <c r="P419" s="918"/>
      <c r="Q419" s="918"/>
      <c r="R419" s="919"/>
    </row>
    <row r="420" spans="3:18">
      <c r="C420" s="544"/>
      <c r="D420" s="544"/>
      <c r="E420" s="542"/>
      <c r="F420" s="918"/>
      <c r="G420" s="918"/>
      <c r="H420" s="919"/>
      <c r="I420" s="918"/>
      <c r="J420" s="542"/>
      <c r="K420" s="918"/>
      <c r="L420" s="918"/>
      <c r="M420" s="919"/>
      <c r="N420" s="918"/>
      <c r="O420" s="542"/>
      <c r="P420" s="918"/>
      <c r="Q420" s="918"/>
      <c r="R420" s="919"/>
    </row>
    <row r="421" spans="3:18">
      <c r="C421" s="544"/>
      <c r="D421" s="544"/>
      <c r="E421" s="542"/>
      <c r="F421" s="918"/>
      <c r="G421" s="918"/>
      <c r="H421" s="919"/>
      <c r="I421" s="918"/>
      <c r="J421" s="542"/>
      <c r="K421" s="918"/>
      <c r="L421" s="918"/>
      <c r="M421" s="919"/>
      <c r="N421" s="918"/>
      <c r="O421" s="542"/>
      <c r="P421" s="918"/>
      <c r="Q421" s="918"/>
      <c r="R421" s="919"/>
    </row>
    <row r="422" spans="3:18">
      <c r="C422" s="544"/>
      <c r="D422" s="544"/>
      <c r="E422" s="542"/>
      <c r="F422" s="918"/>
      <c r="G422" s="918"/>
      <c r="H422" s="919"/>
      <c r="I422" s="918"/>
      <c r="J422" s="542"/>
      <c r="K422" s="918"/>
      <c r="L422" s="918"/>
      <c r="M422" s="919"/>
      <c r="N422" s="918"/>
      <c r="O422" s="542"/>
      <c r="P422" s="918"/>
      <c r="Q422" s="918"/>
      <c r="R422" s="919"/>
    </row>
    <row r="423" spans="3:18">
      <c r="C423" s="544"/>
      <c r="D423" s="544"/>
      <c r="E423" s="542"/>
      <c r="F423" s="918"/>
      <c r="G423" s="918"/>
      <c r="H423" s="919"/>
      <c r="I423" s="918"/>
      <c r="J423" s="542"/>
      <c r="K423" s="918"/>
      <c r="L423" s="918"/>
      <c r="M423" s="919"/>
      <c r="N423" s="918"/>
      <c r="O423" s="542"/>
      <c r="P423" s="918"/>
      <c r="Q423" s="918"/>
      <c r="R423" s="919"/>
    </row>
    <row r="424" spans="3:18">
      <c r="E424" s="35"/>
      <c r="F424" s="33"/>
      <c r="G424" s="33"/>
      <c r="H424" s="36"/>
      <c r="I424" s="33"/>
      <c r="J424" s="35"/>
      <c r="K424" s="33"/>
      <c r="L424" s="33"/>
      <c r="M424" s="36"/>
      <c r="N424" s="33"/>
      <c r="O424" s="35"/>
      <c r="P424" s="33"/>
      <c r="Q424" s="33"/>
      <c r="R424" s="36"/>
    </row>
    <row r="425" spans="3:18">
      <c r="E425" s="35"/>
      <c r="F425" s="33"/>
      <c r="G425" s="33"/>
      <c r="H425" s="36"/>
      <c r="I425" s="33"/>
      <c r="J425" s="35"/>
      <c r="K425" s="33"/>
      <c r="L425" s="33"/>
      <c r="M425" s="36"/>
      <c r="N425" s="33"/>
      <c r="O425" s="35"/>
      <c r="P425" s="33"/>
      <c r="Q425" s="33"/>
      <c r="R425" s="36"/>
    </row>
    <row r="426" spans="3:18">
      <c r="E426" s="35"/>
      <c r="F426" s="33"/>
      <c r="G426" s="33"/>
      <c r="H426" s="36"/>
      <c r="I426" s="33"/>
      <c r="J426" s="35"/>
      <c r="K426" s="33"/>
      <c r="L426" s="33"/>
      <c r="M426" s="36"/>
      <c r="N426" s="33"/>
      <c r="O426" s="35"/>
      <c r="P426" s="33"/>
      <c r="Q426" s="33"/>
      <c r="R426" s="36"/>
    </row>
    <row r="427" spans="3:18">
      <c r="E427" s="35"/>
      <c r="F427" s="33"/>
      <c r="G427" s="33"/>
      <c r="H427" s="36"/>
      <c r="I427" s="33"/>
      <c r="J427" s="35"/>
      <c r="K427" s="33"/>
      <c r="L427" s="33"/>
      <c r="M427" s="36"/>
      <c r="N427" s="33"/>
      <c r="O427" s="35"/>
      <c r="P427" s="33"/>
      <c r="Q427" s="33"/>
      <c r="R427" s="36"/>
    </row>
    <row r="428" spans="3:18">
      <c r="E428" s="35"/>
      <c r="F428" s="33"/>
      <c r="G428" s="33"/>
      <c r="H428" s="36"/>
      <c r="I428" s="33"/>
      <c r="J428" s="35"/>
      <c r="K428" s="33"/>
      <c r="L428" s="33"/>
      <c r="M428" s="36"/>
      <c r="N428" s="33"/>
      <c r="O428" s="35"/>
      <c r="P428" s="33"/>
      <c r="Q428" s="33"/>
      <c r="R428" s="36"/>
    </row>
    <row r="429" spans="3:18">
      <c r="E429" s="35"/>
      <c r="F429" s="33"/>
      <c r="G429" s="33"/>
      <c r="H429" s="36"/>
      <c r="I429" s="33"/>
      <c r="J429" s="35"/>
      <c r="K429" s="33"/>
      <c r="L429" s="33"/>
      <c r="M429" s="36"/>
      <c r="N429" s="33"/>
      <c r="O429" s="35"/>
      <c r="P429" s="33"/>
      <c r="Q429" s="33"/>
      <c r="R429" s="36"/>
    </row>
    <row r="430" spans="3:18">
      <c r="E430" s="35"/>
      <c r="F430" s="33"/>
      <c r="G430" s="33"/>
      <c r="H430" s="36"/>
      <c r="I430" s="33"/>
      <c r="J430" s="35"/>
      <c r="K430" s="33"/>
      <c r="L430" s="33"/>
      <c r="M430" s="36"/>
      <c r="N430" s="33"/>
      <c r="O430" s="35"/>
      <c r="P430" s="33"/>
      <c r="Q430" s="33"/>
      <c r="R430" s="36"/>
    </row>
    <row r="431" spans="3:18">
      <c r="E431" s="35"/>
      <c r="F431" s="33"/>
      <c r="G431" s="33"/>
      <c r="H431" s="36"/>
      <c r="I431" s="33"/>
      <c r="J431" s="35"/>
      <c r="K431" s="33"/>
      <c r="L431" s="33"/>
      <c r="M431" s="36"/>
      <c r="N431" s="33"/>
      <c r="O431" s="35"/>
      <c r="P431" s="33"/>
      <c r="Q431" s="33"/>
      <c r="R431" s="36"/>
    </row>
  </sheetData>
  <mergeCells count="23">
    <mergeCell ref="B2:H2"/>
    <mergeCell ref="B3:H3"/>
    <mergeCell ref="D5:D7"/>
    <mergeCell ref="E5:G5"/>
    <mergeCell ref="H5:H7"/>
    <mergeCell ref="E6:E7"/>
    <mergeCell ref="G6:G7"/>
    <mergeCell ref="F6:F7"/>
    <mergeCell ref="J6:J7"/>
    <mergeCell ref="J5:L5"/>
    <mergeCell ref="M5:M7"/>
    <mergeCell ref="N5:N7"/>
    <mergeCell ref="A5:A7"/>
    <mergeCell ref="B5:B7"/>
    <mergeCell ref="C5:C7"/>
    <mergeCell ref="I5:I7"/>
    <mergeCell ref="K6:K7"/>
    <mergeCell ref="O5:Q5"/>
    <mergeCell ref="R5:R7"/>
    <mergeCell ref="L6:L7"/>
    <mergeCell ref="O6:O7"/>
    <mergeCell ref="Q6:Q7"/>
    <mergeCell ref="P6:P7"/>
  </mergeCells>
  <phoneticPr fontId="27" type="noConversion"/>
  <pageMargins left="0.27559055118110237" right="0.27559055118110237" top="0.39370078740157483" bottom="0.43307086614173229" header="0.23622047244094491" footer="0.23622047244094491"/>
  <pageSetup paperSize="9" scale="60" orientation="landscape" r:id="rId1"/>
  <headerFooter alignWithMargins="0">
    <oddFooter>&amp;L&amp;F&amp;C&amp;P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C000"/>
  </sheetPr>
  <dimension ref="A1:T459"/>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C9" sqref="C9"/>
    </sheetView>
  </sheetViews>
  <sheetFormatPr defaultColWidth="9.109375" defaultRowHeight="10.199999999999999"/>
  <cols>
    <col min="1" max="1" width="10.5546875" style="21" customWidth="1"/>
    <col min="2" max="2" width="34.109375" style="1" customWidth="1"/>
    <col min="3" max="3" width="12.109375" style="22" customWidth="1"/>
    <col min="4" max="4" width="12.109375" style="21"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2.88671875" style="275" customWidth="1"/>
    <col min="14" max="14" width="12" style="273" customWidth="1"/>
    <col min="15" max="15" width="12" style="274" customWidth="1"/>
    <col min="16" max="17" width="12.5546875" style="273" customWidth="1"/>
    <col min="18" max="18" width="12.8867187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577"/>
      <c r="J2" s="577"/>
      <c r="K2" s="577"/>
      <c r="L2" s="577"/>
      <c r="M2" s="220"/>
      <c r="N2" s="577"/>
      <c r="O2" s="577"/>
      <c r="P2" s="577"/>
      <c r="Q2" s="577"/>
      <c r="R2" s="220"/>
    </row>
    <row r="3" spans="1:18" s="1" customFormat="1" ht="12.75" customHeight="1">
      <c r="A3" s="588"/>
      <c r="B3" s="1452" t="s">
        <v>522</v>
      </c>
      <c r="C3" s="1452"/>
      <c r="D3" s="1452"/>
      <c r="E3" s="1452"/>
      <c r="F3" s="1452"/>
      <c r="G3" s="1452"/>
      <c r="H3" s="1452"/>
      <c r="I3" s="589"/>
      <c r="J3" s="589"/>
      <c r="K3" s="589"/>
      <c r="L3" s="589"/>
      <c r="M3" s="590"/>
      <c r="N3" s="589"/>
      <c r="O3" s="589"/>
      <c r="P3" s="589"/>
      <c r="Q3" s="589"/>
      <c r="R3" s="590"/>
    </row>
    <row r="4" spans="1:18" s="1" customFormat="1" ht="13.2">
      <c r="A4" s="221"/>
      <c r="B4" s="578"/>
      <c r="C4" s="222"/>
      <c r="D4" s="578"/>
      <c r="E4" s="578"/>
      <c r="F4" s="578"/>
      <c r="G4" s="578"/>
      <c r="H4" s="578"/>
      <c r="I4" s="578"/>
      <c r="J4" s="578"/>
      <c r="K4" s="578"/>
      <c r="L4" s="578"/>
      <c r="M4" s="578"/>
      <c r="N4" s="578"/>
      <c r="O4" s="578"/>
      <c r="P4" s="578"/>
      <c r="Q4" s="578"/>
      <c r="R4" s="578"/>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8"/>
      <c r="B9" s="396" t="s">
        <v>72</v>
      </c>
      <c r="C9" s="387"/>
      <c r="D9" s="387"/>
      <c r="E9" s="226"/>
      <c r="F9" s="226"/>
      <c r="G9" s="226"/>
      <c r="H9" s="226"/>
      <c r="I9" s="365"/>
      <c r="J9" s="226"/>
      <c r="K9" s="226"/>
      <c r="L9" s="226"/>
      <c r="M9" s="226"/>
      <c r="N9" s="365"/>
      <c r="O9" s="226"/>
      <c r="P9" s="226"/>
      <c r="Q9" s="226"/>
      <c r="R9" s="226"/>
    </row>
    <row r="10" spans="1:18" s="4" customFormat="1" ht="20.399999999999999">
      <c r="A10" s="129" t="s">
        <v>201</v>
      </c>
      <c r="B10" s="123" t="s">
        <v>88</v>
      </c>
      <c r="C10" s="167">
        <v>322809298</v>
      </c>
      <c r="D10" s="167">
        <v>345829215</v>
      </c>
      <c r="E10" s="228">
        <f>E11+E12+E14+E32</f>
        <v>0</v>
      </c>
      <c r="F10" s="228">
        <f t="shared" ref="F10:G10" si="0">F11+F12+F14+F32</f>
        <v>509109</v>
      </c>
      <c r="G10" s="228">
        <f t="shared" si="0"/>
        <v>2583147</v>
      </c>
      <c r="H10" s="243">
        <f>SUM(D10:G10)</f>
        <v>348921471</v>
      </c>
      <c r="I10" s="228">
        <v>152158186</v>
      </c>
      <c r="J10" s="228">
        <f>J11+J12+J14+J32</f>
        <v>0</v>
      </c>
      <c r="K10" s="228">
        <f t="shared" ref="K10:L10" si="1">K11+K12+K14+K32</f>
        <v>407757</v>
      </c>
      <c r="L10" s="228">
        <f t="shared" si="1"/>
        <v>572884</v>
      </c>
      <c r="M10" s="243">
        <f>SUM(I10:L10)</f>
        <v>153138827</v>
      </c>
      <c r="N10" s="228">
        <v>49053717</v>
      </c>
      <c r="O10" s="228">
        <f>O11+O12+O14+O32</f>
        <v>0</v>
      </c>
      <c r="P10" s="228">
        <f t="shared" ref="P10:Q10" si="2">P11+P12+P14+P32</f>
        <v>320735</v>
      </c>
      <c r="Q10" s="228">
        <f t="shared" si="2"/>
        <v>572884</v>
      </c>
      <c r="R10" s="243">
        <f t="shared" ref="R10:R73" si="3">SUM(N10:Q10)</f>
        <v>49947336</v>
      </c>
    </row>
    <row r="11" spans="1:18" ht="22.8">
      <c r="A11" s="130" t="s">
        <v>177</v>
      </c>
      <c r="B11" s="124" t="s">
        <v>90</v>
      </c>
      <c r="C11" s="171">
        <v>6001058</v>
      </c>
      <c r="D11" s="171">
        <v>5999058</v>
      </c>
      <c r="E11" s="231"/>
      <c r="F11" s="231"/>
      <c r="G11" s="231"/>
      <c r="H11" s="233">
        <f t="shared" ref="H11:H74" si="4">SUM(D11:G11)</f>
        <v>5999058</v>
      </c>
      <c r="I11" s="231">
        <v>5999058</v>
      </c>
      <c r="J11" s="231"/>
      <c r="K11" s="231"/>
      <c r="L11" s="231"/>
      <c r="M11" s="233">
        <f t="shared" ref="M11:M74" si="5">SUM(I11:L11)</f>
        <v>5999058</v>
      </c>
      <c r="N11" s="231">
        <v>5999058</v>
      </c>
      <c r="O11" s="231"/>
      <c r="P11" s="231"/>
      <c r="Q11" s="231"/>
      <c r="R11" s="233">
        <f t="shared" si="3"/>
        <v>5999058</v>
      </c>
    </row>
    <row r="12" spans="1:18" ht="22.8">
      <c r="A12" s="130" t="s">
        <v>91</v>
      </c>
      <c r="B12" s="124" t="s">
        <v>92</v>
      </c>
      <c r="C12" s="171">
        <v>61729</v>
      </c>
      <c r="D12" s="171">
        <v>0</v>
      </c>
      <c r="E12" s="231"/>
      <c r="F12" s="231"/>
      <c r="G12" s="231"/>
      <c r="H12" s="233">
        <f t="shared" si="4"/>
        <v>0</v>
      </c>
      <c r="I12" s="231">
        <v>0</v>
      </c>
      <c r="J12" s="231"/>
      <c r="K12" s="231"/>
      <c r="L12" s="231"/>
      <c r="M12" s="233">
        <f t="shared" si="5"/>
        <v>0</v>
      </c>
      <c r="N12" s="231">
        <v>0</v>
      </c>
      <c r="O12" s="231"/>
      <c r="P12" s="231"/>
      <c r="Q12" s="231"/>
      <c r="R12" s="233">
        <f t="shared" si="3"/>
        <v>0</v>
      </c>
    </row>
    <row r="13" spans="1:18" ht="24">
      <c r="A13" s="131">
        <v>21210</v>
      </c>
      <c r="B13" s="125" t="s">
        <v>93</v>
      </c>
      <c r="C13" s="171">
        <v>59258</v>
      </c>
      <c r="D13" s="171">
        <v>0</v>
      </c>
      <c r="E13" s="231"/>
      <c r="F13" s="231"/>
      <c r="G13" s="231"/>
      <c r="H13" s="233">
        <f t="shared" si="4"/>
        <v>0</v>
      </c>
      <c r="I13" s="231">
        <v>0</v>
      </c>
      <c r="J13" s="231"/>
      <c r="K13" s="231"/>
      <c r="L13" s="231"/>
      <c r="M13" s="233">
        <f t="shared" si="5"/>
        <v>0</v>
      </c>
      <c r="N13" s="231">
        <v>0</v>
      </c>
      <c r="O13" s="231"/>
      <c r="P13" s="231"/>
      <c r="Q13" s="231"/>
      <c r="R13" s="233">
        <f t="shared" si="3"/>
        <v>0</v>
      </c>
    </row>
    <row r="14" spans="1:18" ht="20.399999999999999">
      <c r="A14" s="130" t="s">
        <v>178</v>
      </c>
      <c r="B14" s="124" t="s">
        <v>94</v>
      </c>
      <c r="C14" s="171">
        <v>0</v>
      </c>
      <c r="D14" s="171">
        <v>271057</v>
      </c>
      <c r="E14" s="233">
        <f>E15+E21</f>
        <v>0</v>
      </c>
      <c r="F14" s="233">
        <f t="shared" ref="F14:G14" si="6">F15+F21</f>
        <v>0</v>
      </c>
      <c r="G14" s="233">
        <f t="shared" si="6"/>
        <v>0</v>
      </c>
      <c r="H14" s="233">
        <f t="shared" si="4"/>
        <v>271057</v>
      </c>
      <c r="I14" s="233">
        <v>183593</v>
      </c>
      <c r="J14" s="233">
        <f>J15+J21</f>
        <v>0</v>
      </c>
      <c r="K14" s="233">
        <f t="shared" ref="K14:L14" si="7">K15+K21</f>
        <v>0</v>
      </c>
      <c r="L14" s="233">
        <f t="shared" si="7"/>
        <v>0</v>
      </c>
      <c r="M14" s="233">
        <f t="shared" si="5"/>
        <v>183593</v>
      </c>
      <c r="N14" s="233">
        <v>0</v>
      </c>
      <c r="O14" s="233">
        <f>O15+O21</f>
        <v>0</v>
      </c>
      <c r="P14" s="233">
        <f t="shared" ref="P14:Q14" si="8">P15+P21</f>
        <v>0</v>
      </c>
      <c r="Q14" s="233">
        <f t="shared" si="8"/>
        <v>0</v>
      </c>
      <c r="R14" s="233">
        <f t="shared" si="3"/>
        <v>0</v>
      </c>
    </row>
    <row r="15" spans="1:18" ht="12" hidden="1" customHeight="1">
      <c r="A15" s="132">
        <v>18000</v>
      </c>
      <c r="B15" s="125" t="s">
        <v>95</v>
      </c>
      <c r="C15" s="171">
        <v>0</v>
      </c>
      <c r="D15" s="171">
        <v>0</v>
      </c>
      <c r="E15" s="233">
        <f t="shared" ref="E15:L16" si="9">E16</f>
        <v>0</v>
      </c>
      <c r="F15" s="233">
        <f t="shared" si="9"/>
        <v>0</v>
      </c>
      <c r="G15" s="233">
        <f t="shared" si="9"/>
        <v>0</v>
      </c>
      <c r="H15" s="233">
        <f t="shared" si="4"/>
        <v>0</v>
      </c>
      <c r="I15" s="233">
        <v>0</v>
      </c>
      <c r="J15" s="233">
        <f t="shared" si="9"/>
        <v>0</v>
      </c>
      <c r="K15" s="233">
        <f t="shared" si="9"/>
        <v>0</v>
      </c>
      <c r="L15" s="233">
        <f t="shared" si="9"/>
        <v>0</v>
      </c>
      <c r="M15" s="233">
        <f t="shared" si="5"/>
        <v>0</v>
      </c>
      <c r="N15" s="233">
        <v>0</v>
      </c>
      <c r="O15" s="233">
        <f t="shared" ref="O15:Q16" si="10">O16</f>
        <v>0</v>
      </c>
      <c r="P15" s="233">
        <f t="shared" si="10"/>
        <v>0</v>
      </c>
      <c r="Q15" s="233">
        <f t="shared" si="10"/>
        <v>0</v>
      </c>
      <c r="R15" s="233">
        <f t="shared" si="3"/>
        <v>0</v>
      </c>
    </row>
    <row r="16" spans="1:18" ht="12" hidden="1" customHeight="1">
      <c r="A16" s="132">
        <v>18100</v>
      </c>
      <c r="B16" s="125" t="s">
        <v>96</v>
      </c>
      <c r="C16" s="171">
        <v>0</v>
      </c>
      <c r="D16" s="171">
        <v>0</v>
      </c>
      <c r="E16" s="233">
        <f>E17</f>
        <v>0</v>
      </c>
      <c r="F16" s="233">
        <f t="shared" si="9"/>
        <v>0</v>
      </c>
      <c r="G16" s="233">
        <f t="shared" si="9"/>
        <v>0</v>
      </c>
      <c r="H16" s="233">
        <f t="shared" si="4"/>
        <v>0</v>
      </c>
      <c r="I16" s="233">
        <v>0</v>
      </c>
      <c r="J16" s="233">
        <f>J17</f>
        <v>0</v>
      </c>
      <c r="K16" s="233">
        <f t="shared" si="9"/>
        <v>0</v>
      </c>
      <c r="L16" s="233">
        <f t="shared" si="9"/>
        <v>0</v>
      </c>
      <c r="M16" s="233">
        <f t="shared" si="5"/>
        <v>0</v>
      </c>
      <c r="N16" s="233">
        <v>0</v>
      </c>
      <c r="O16" s="233">
        <f>O17</f>
        <v>0</v>
      </c>
      <c r="P16" s="233">
        <f t="shared" si="10"/>
        <v>0</v>
      </c>
      <c r="Q16" s="233">
        <f t="shared" si="10"/>
        <v>0</v>
      </c>
      <c r="R16" s="233">
        <f t="shared" si="3"/>
        <v>0</v>
      </c>
    </row>
    <row r="17" spans="1:18" s="4" customFormat="1" ht="24" hidden="1" customHeight="1">
      <c r="A17" s="133">
        <v>18130</v>
      </c>
      <c r="B17" s="172" t="s">
        <v>159</v>
      </c>
      <c r="C17" s="171">
        <v>0</v>
      </c>
      <c r="D17" s="171">
        <v>0</v>
      </c>
      <c r="E17" s="233">
        <f>SUM(E18:E20)</f>
        <v>0</v>
      </c>
      <c r="F17" s="233">
        <f t="shared" ref="F17:G17" si="11">SUM(F18:F20)</f>
        <v>0</v>
      </c>
      <c r="G17" s="233">
        <f t="shared" si="11"/>
        <v>0</v>
      </c>
      <c r="H17" s="233">
        <f t="shared" si="4"/>
        <v>0</v>
      </c>
      <c r="I17" s="233">
        <v>0</v>
      </c>
      <c r="J17" s="233">
        <f>SUM(J18:J20)</f>
        <v>0</v>
      </c>
      <c r="K17" s="233">
        <f t="shared" ref="K17:L17" si="12">SUM(K18:K20)</f>
        <v>0</v>
      </c>
      <c r="L17" s="233">
        <f t="shared" si="12"/>
        <v>0</v>
      </c>
      <c r="M17" s="233">
        <f t="shared" si="5"/>
        <v>0</v>
      </c>
      <c r="N17" s="233">
        <v>0</v>
      </c>
      <c r="O17" s="233">
        <f>SUM(O18:O20)</f>
        <v>0</v>
      </c>
      <c r="P17" s="233">
        <f t="shared" ref="P17:Q17" si="13">SUM(P18:P20)</f>
        <v>0</v>
      </c>
      <c r="Q17" s="233">
        <f t="shared" si="13"/>
        <v>0</v>
      </c>
      <c r="R17" s="233">
        <f t="shared" si="3"/>
        <v>0</v>
      </c>
    </row>
    <row r="18" spans="1:18" s="6" customFormat="1" ht="36" hidden="1" customHeight="1">
      <c r="A18" s="134">
        <v>18131</v>
      </c>
      <c r="B18" s="172" t="s">
        <v>160</v>
      </c>
      <c r="C18" s="171">
        <v>0</v>
      </c>
      <c r="D18" s="171">
        <v>0</v>
      </c>
      <c r="E18" s="233"/>
      <c r="F18" s="233"/>
      <c r="G18" s="233"/>
      <c r="H18" s="233">
        <f t="shared" si="4"/>
        <v>0</v>
      </c>
      <c r="I18" s="233">
        <v>0</v>
      </c>
      <c r="J18" s="233"/>
      <c r="K18" s="233"/>
      <c r="L18" s="233"/>
      <c r="M18" s="233">
        <f t="shared" si="5"/>
        <v>0</v>
      </c>
      <c r="N18" s="233">
        <v>0</v>
      </c>
      <c r="O18" s="233"/>
      <c r="P18" s="233"/>
      <c r="Q18" s="233"/>
      <c r="R18" s="233">
        <f t="shared" si="3"/>
        <v>0</v>
      </c>
    </row>
    <row r="19" spans="1:18" s="6" customFormat="1" ht="36" hidden="1" customHeight="1">
      <c r="A19" s="134">
        <v>18132</v>
      </c>
      <c r="B19" s="172" t="s">
        <v>169</v>
      </c>
      <c r="C19" s="171">
        <v>0</v>
      </c>
      <c r="D19" s="171">
        <v>0</v>
      </c>
      <c r="E19" s="233"/>
      <c r="F19" s="233"/>
      <c r="G19" s="233"/>
      <c r="H19" s="233">
        <f t="shared" si="4"/>
        <v>0</v>
      </c>
      <c r="I19" s="233">
        <v>0</v>
      </c>
      <c r="J19" s="233"/>
      <c r="K19" s="233"/>
      <c r="L19" s="233"/>
      <c r="M19" s="233">
        <f t="shared" si="5"/>
        <v>0</v>
      </c>
      <c r="N19" s="233">
        <v>0</v>
      </c>
      <c r="O19" s="233"/>
      <c r="P19" s="233"/>
      <c r="Q19" s="233"/>
      <c r="R19" s="233">
        <f t="shared" si="3"/>
        <v>0</v>
      </c>
    </row>
    <row r="20" spans="1:18" s="6" customFormat="1" ht="24" hidden="1" customHeight="1">
      <c r="A20" s="134">
        <v>18139</v>
      </c>
      <c r="B20" s="172" t="s">
        <v>179</v>
      </c>
      <c r="C20" s="171">
        <v>0</v>
      </c>
      <c r="D20" s="171">
        <v>0</v>
      </c>
      <c r="E20" s="233"/>
      <c r="F20" s="233"/>
      <c r="G20" s="233"/>
      <c r="H20" s="233">
        <f t="shared" si="4"/>
        <v>0</v>
      </c>
      <c r="I20" s="233">
        <v>0</v>
      </c>
      <c r="J20" s="233"/>
      <c r="K20" s="233"/>
      <c r="L20" s="233"/>
      <c r="M20" s="233">
        <f t="shared" si="5"/>
        <v>0</v>
      </c>
      <c r="N20" s="233">
        <v>0</v>
      </c>
      <c r="O20" s="233"/>
      <c r="P20" s="233"/>
      <c r="Q20" s="233"/>
      <c r="R20" s="233">
        <f t="shared" si="3"/>
        <v>0</v>
      </c>
    </row>
    <row r="21" spans="1:18" s="6" customFormat="1" ht="12" hidden="1" customHeight="1">
      <c r="A21" s="135" t="s">
        <v>180</v>
      </c>
      <c r="B21" s="173" t="s">
        <v>173</v>
      </c>
      <c r="C21" s="287">
        <v>0</v>
      </c>
      <c r="D21" s="287">
        <v>0</v>
      </c>
      <c r="E21" s="238">
        <f t="shared" ref="E21:L21" si="14">E22</f>
        <v>0</v>
      </c>
      <c r="F21" s="238">
        <f t="shared" si="14"/>
        <v>0</v>
      </c>
      <c r="G21" s="238">
        <f t="shared" si="14"/>
        <v>0</v>
      </c>
      <c r="H21" s="233">
        <f t="shared" si="4"/>
        <v>0</v>
      </c>
      <c r="I21" s="238">
        <v>0</v>
      </c>
      <c r="J21" s="238">
        <f t="shared" si="14"/>
        <v>0</v>
      </c>
      <c r="K21" s="238">
        <f t="shared" si="14"/>
        <v>0</v>
      </c>
      <c r="L21" s="238">
        <f t="shared" si="14"/>
        <v>0</v>
      </c>
      <c r="M21" s="233">
        <f t="shared" si="5"/>
        <v>0</v>
      </c>
      <c r="N21" s="238">
        <v>0</v>
      </c>
      <c r="O21" s="238">
        <f t="shared" ref="O21:Q21" si="15">O22</f>
        <v>0</v>
      </c>
      <c r="P21" s="238">
        <f t="shared" si="15"/>
        <v>0</v>
      </c>
      <c r="Q21" s="238">
        <f t="shared" si="15"/>
        <v>0</v>
      </c>
      <c r="R21" s="233">
        <f t="shared" si="3"/>
        <v>0</v>
      </c>
    </row>
    <row r="22" spans="1:18" s="6" customFormat="1" ht="24" hidden="1" customHeight="1">
      <c r="A22" s="135">
        <v>19500</v>
      </c>
      <c r="B22" s="172" t="s">
        <v>174</v>
      </c>
      <c r="C22" s="171">
        <v>0</v>
      </c>
      <c r="D22" s="171">
        <v>0</v>
      </c>
      <c r="E22" s="233">
        <f>SUM(E23:E25)</f>
        <v>0</v>
      </c>
      <c r="F22" s="233">
        <f t="shared" ref="F22:G22" si="16">SUM(F23:F25)</f>
        <v>0</v>
      </c>
      <c r="G22" s="233">
        <f t="shared" si="16"/>
        <v>0</v>
      </c>
      <c r="H22" s="233">
        <f t="shared" si="4"/>
        <v>0</v>
      </c>
      <c r="I22" s="233">
        <v>0</v>
      </c>
      <c r="J22" s="233">
        <f>SUM(J23:J25)</f>
        <v>0</v>
      </c>
      <c r="K22" s="233">
        <f t="shared" ref="K22:L22" si="17">SUM(K23:K25)</f>
        <v>0</v>
      </c>
      <c r="L22" s="233">
        <f t="shared" si="17"/>
        <v>0</v>
      </c>
      <c r="M22" s="233">
        <f t="shared" si="5"/>
        <v>0</v>
      </c>
      <c r="N22" s="233">
        <v>0</v>
      </c>
      <c r="O22" s="233">
        <f>SUM(O23:O25)</f>
        <v>0</v>
      </c>
      <c r="P22" s="233">
        <f t="shared" ref="P22:Q22" si="18">SUM(P23:P25)</f>
        <v>0</v>
      </c>
      <c r="Q22" s="233">
        <f t="shared" si="18"/>
        <v>0</v>
      </c>
      <c r="R22" s="233">
        <f t="shared" si="3"/>
        <v>0</v>
      </c>
    </row>
    <row r="23" spans="1:18" s="6" customFormat="1" ht="24" hidden="1" customHeight="1">
      <c r="A23" s="136">
        <v>19550</v>
      </c>
      <c r="B23" s="172" t="s">
        <v>175</v>
      </c>
      <c r="C23" s="171">
        <v>0</v>
      </c>
      <c r="D23" s="171">
        <v>0</v>
      </c>
      <c r="E23" s="233"/>
      <c r="F23" s="233"/>
      <c r="G23" s="233"/>
      <c r="H23" s="233">
        <f t="shared" si="4"/>
        <v>0</v>
      </c>
      <c r="I23" s="233">
        <v>0</v>
      </c>
      <c r="J23" s="233"/>
      <c r="K23" s="233"/>
      <c r="L23" s="233"/>
      <c r="M23" s="233">
        <f t="shared" si="5"/>
        <v>0</v>
      </c>
      <c r="N23" s="233">
        <v>0</v>
      </c>
      <c r="O23" s="233"/>
      <c r="P23" s="233"/>
      <c r="Q23" s="233"/>
      <c r="R23" s="233">
        <f t="shared" si="3"/>
        <v>0</v>
      </c>
    </row>
    <row r="24" spans="1:18" s="6" customFormat="1" ht="48" hidden="1" customHeight="1">
      <c r="A24" s="136">
        <v>19560</v>
      </c>
      <c r="B24" s="172" t="s">
        <v>181</v>
      </c>
      <c r="C24" s="171">
        <v>0</v>
      </c>
      <c r="D24" s="171">
        <v>0</v>
      </c>
      <c r="E24" s="233"/>
      <c r="F24" s="233"/>
      <c r="G24" s="233"/>
      <c r="H24" s="233">
        <f t="shared" si="4"/>
        <v>0</v>
      </c>
      <c r="I24" s="233">
        <v>0</v>
      </c>
      <c r="J24" s="233"/>
      <c r="K24" s="233"/>
      <c r="L24" s="233"/>
      <c r="M24" s="233">
        <f t="shared" si="5"/>
        <v>0</v>
      </c>
      <c r="N24" s="233">
        <v>0</v>
      </c>
      <c r="O24" s="233"/>
      <c r="P24" s="233"/>
      <c r="Q24" s="233"/>
      <c r="R24" s="233">
        <f t="shared" si="3"/>
        <v>0</v>
      </c>
    </row>
    <row r="25" spans="1:18" s="6" customFormat="1" ht="84" hidden="1" customHeight="1">
      <c r="A25" s="136">
        <v>19570</v>
      </c>
      <c r="B25" s="172" t="s">
        <v>182</v>
      </c>
      <c r="C25" s="171">
        <v>0</v>
      </c>
      <c r="D25" s="171">
        <v>0</v>
      </c>
      <c r="E25" s="233"/>
      <c r="F25" s="233"/>
      <c r="G25" s="233"/>
      <c r="H25" s="233">
        <f t="shared" si="4"/>
        <v>0</v>
      </c>
      <c r="I25" s="233">
        <v>0</v>
      </c>
      <c r="J25" s="233"/>
      <c r="K25" s="233"/>
      <c r="L25" s="233"/>
      <c r="M25" s="233">
        <f t="shared" si="5"/>
        <v>0</v>
      </c>
      <c r="N25" s="233">
        <v>0</v>
      </c>
      <c r="O25" s="233"/>
      <c r="P25" s="233"/>
      <c r="Q25" s="233"/>
      <c r="R25" s="233">
        <f t="shared" si="3"/>
        <v>0</v>
      </c>
    </row>
    <row r="26" spans="1:18" s="6" customFormat="1" ht="36">
      <c r="A26" s="209" t="s">
        <v>222</v>
      </c>
      <c r="B26" s="208" t="s">
        <v>216</v>
      </c>
      <c r="C26" s="107">
        <v>0</v>
      </c>
      <c r="D26" s="107">
        <v>271057</v>
      </c>
      <c r="E26" s="233">
        <f t="shared" ref="E26:L26" si="19">E27</f>
        <v>0</v>
      </c>
      <c r="F26" s="233">
        <f t="shared" si="19"/>
        <v>0</v>
      </c>
      <c r="G26" s="233">
        <f t="shared" si="19"/>
        <v>0</v>
      </c>
      <c r="H26" s="233">
        <f t="shared" si="4"/>
        <v>271057</v>
      </c>
      <c r="I26" s="233">
        <v>183593</v>
      </c>
      <c r="J26" s="233">
        <f t="shared" si="19"/>
        <v>0</v>
      </c>
      <c r="K26" s="233">
        <f t="shared" si="19"/>
        <v>0</v>
      </c>
      <c r="L26" s="233">
        <f t="shared" si="19"/>
        <v>0</v>
      </c>
      <c r="M26" s="233">
        <f t="shared" si="5"/>
        <v>183593</v>
      </c>
      <c r="N26" s="233">
        <v>0</v>
      </c>
      <c r="O26" s="233">
        <f t="shared" ref="O26:Q26" si="20">O27</f>
        <v>0</v>
      </c>
      <c r="P26" s="233">
        <f t="shared" si="20"/>
        <v>0</v>
      </c>
      <c r="Q26" s="233">
        <f t="shared" si="20"/>
        <v>0</v>
      </c>
      <c r="R26" s="233">
        <f t="shared" si="3"/>
        <v>0</v>
      </c>
    </row>
    <row r="27" spans="1:18" s="6" customFormat="1" ht="48">
      <c r="A27" s="209">
        <v>17100</v>
      </c>
      <c r="B27" s="208" t="s">
        <v>217</v>
      </c>
      <c r="C27" s="107">
        <v>0</v>
      </c>
      <c r="D27" s="107">
        <v>271057</v>
      </c>
      <c r="E27" s="233">
        <f t="shared" ref="E27:G27" si="21">SUM(E28:E31)</f>
        <v>0</v>
      </c>
      <c r="F27" s="233">
        <f t="shared" si="21"/>
        <v>0</v>
      </c>
      <c r="G27" s="233">
        <f t="shared" si="21"/>
        <v>0</v>
      </c>
      <c r="H27" s="233">
        <f t="shared" si="4"/>
        <v>271057</v>
      </c>
      <c r="I27" s="233">
        <v>183593</v>
      </c>
      <c r="J27" s="233">
        <f t="shared" ref="J27:L27" si="22">SUM(J28:J31)</f>
        <v>0</v>
      </c>
      <c r="K27" s="233">
        <f t="shared" si="22"/>
        <v>0</v>
      </c>
      <c r="L27" s="233">
        <f t="shared" si="22"/>
        <v>0</v>
      </c>
      <c r="M27" s="233">
        <f t="shared" si="5"/>
        <v>183593</v>
      </c>
      <c r="N27" s="233">
        <v>0</v>
      </c>
      <c r="O27" s="233">
        <f t="shared" ref="O27:Q27" si="23">SUM(O28:O31)</f>
        <v>0</v>
      </c>
      <c r="P27" s="233">
        <f t="shared" si="23"/>
        <v>0</v>
      </c>
      <c r="Q27" s="233">
        <f t="shared" si="23"/>
        <v>0</v>
      </c>
      <c r="R27" s="233">
        <f t="shared" si="3"/>
        <v>0</v>
      </c>
    </row>
    <row r="28" spans="1:18" s="6" customFormat="1" ht="60">
      <c r="A28" s="149">
        <v>17110</v>
      </c>
      <c r="B28" s="208" t="s">
        <v>218</v>
      </c>
      <c r="C28" s="107">
        <v>0</v>
      </c>
      <c r="D28" s="107">
        <v>271057</v>
      </c>
      <c r="E28" s="233"/>
      <c r="F28" s="233"/>
      <c r="G28" s="233"/>
      <c r="H28" s="233">
        <f t="shared" si="4"/>
        <v>271057</v>
      </c>
      <c r="I28" s="233">
        <v>183593</v>
      </c>
      <c r="J28" s="233"/>
      <c r="K28" s="233"/>
      <c r="L28" s="233"/>
      <c r="M28" s="233">
        <f t="shared" si="5"/>
        <v>183593</v>
      </c>
      <c r="N28" s="233">
        <v>0</v>
      </c>
      <c r="O28" s="233"/>
      <c r="P28" s="233"/>
      <c r="Q28" s="233"/>
      <c r="R28" s="233">
        <f t="shared" si="3"/>
        <v>0</v>
      </c>
    </row>
    <row r="29" spans="1:18" s="6" customFormat="1" ht="60" hidden="1" customHeight="1">
      <c r="A29" s="149">
        <v>17120</v>
      </c>
      <c r="B29" s="208" t="s">
        <v>219</v>
      </c>
      <c r="C29" s="107"/>
      <c r="D29" s="107">
        <v>0</v>
      </c>
      <c r="E29" s="233"/>
      <c r="F29" s="233"/>
      <c r="G29" s="233"/>
      <c r="H29" s="233">
        <f t="shared" si="4"/>
        <v>0</v>
      </c>
      <c r="I29" s="233">
        <v>0</v>
      </c>
      <c r="J29" s="233"/>
      <c r="K29" s="233"/>
      <c r="L29" s="233"/>
      <c r="M29" s="233">
        <f t="shared" si="5"/>
        <v>0</v>
      </c>
      <c r="N29" s="233">
        <v>0</v>
      </c>
      <c r="O29" s="233"/>
      <c r="P29" s="233"/>
      <c r="Q29" s="233"/>
      <c r="R29" s="233">
        <f t="shared" si="3"/>
        <v>0</v>
      </c>
    </row>
    <row r="30" spans="1:18" s="6" customFormat="1" ht="120" hidden="1" customHeight="1">
      <c r="A30" s="149">
        <v>17130</v>
      </c>
      <c r="B30" s="208" t="s">
        <v>220</v>
      </c>
      <c r="C30" s="107"/>
      <c r="D30" s="107">
        <v>0</v>
      </c>
      <c r="E30" s="233"/>
      <c r="F30" s="233"/>
      <c r="G30" s="233"/>
      <c r="H30" s="233">
        <f t="shared" si="4"/>
        <v>0</v>
      </c>
      <c r="I30" s="233">
        <v>0</v>
      </c>
      <c r="J30" s="233"/>
      <c r="K30" s="233"/>
      <c r="L30" s="233"/>
      <c r="M30" s="233">
        <f t="shared" si="5"/>
        <v>0</v>
      </c>
      <c r="N30" s="233">
        <v>0</v>
      </c>
      <c r="O30" s="233"/>
      <c r="P30" s="233"/>
      <c r="Q30" s="233"/>
      <c r="R30" s="233">
        <f t="shared" si="3"/>
        <v>0</v>
      </c>
    </row>
    <row r="31" spans="1:18" s="6" customFormat="1" ht="120" hidden="1" customHeight="1">
      <c r="A31" s="149">
        <v>17140</v>
      </c>
      <c r="B31" s="208" t="s">
        <v>221</v>
      </c>
      <c r="C31" s="107"/>
      <c r="D31" s="107">
        <v>0</v>
      </c>
      <c r="E31" s="233"/>
      <c r="F31" s="233"/>
      <c r="G31" s="233"/>
      <c r="H31" s="233">
        <f t="shared" si="4"/>
        <v>0</v>
      </c>
      <c r="I31" s="233">
        <v>0</v>
      </c>
      <c r="J31" s="233"/>
      <c r="K31" s="233"/>
      <c r="L31" s="233"/>
      <c r="M31" s="233">
        <f t="shared" si="5"/>
        <v>0</v>
      </c>
      <c r="N31" s="233">
        <v>0</v>
      </c>
      <c r="O31" s="233"/>
      <c r="P31" s="233"/>
      <c r="Q31" s="233"/>
      <c r="R31" s="233">
        <f t="shared" si="3"/>
        <v>0</v>
      </c>
    </row>
    <row r="32" spans="1:18" s="6" customFormat="1" ht="12">
      <c r="A32" s="137">
        <v>21700</v>
      </c>
      <c r="B32" s="124" t="s">
        <v>97</v>
      </c>
      <c r="C32" s="171">
        <v>316746511</v>
      </c>
      <c r="D32" s="171">
        <v>339559100</v>
      </c>
      <c r="E32" s="233">
        <f>E33+E34</f>
        <v>0</v>
      </c>
      <c r="F32" s="233">
        <f t="shared" ref="F32:G32" si="24">F33+F34</f>
        <v>509109</v>
      </c>
      <c r="G32" s="233">
        <f t="shared" si="24"/>
        <v>2583147</v>
      </c>
      <c r="H32" s="233">
        <f t="shared" si="4"/>
        <v>342651356</v>
      </c>
      <c r="I32" s="233">
        <v>145975535</v>
      </c>
      <c r="J32" s="233">
        <f>J33+J34</f>
        <v>0</v>
      </c>
      <c r="K32" s="233">
        <f t="shared" ref="K32:L32" si="25">K33+K34</f>
        <v>407757</v>
      </c>
      <c r="L32" s="233">
        <f t="shared" si="25"/>
        <v>572884</v>
      </c>
      <c r="M32" s="233">
        <f t="shared" si="5"/>
        <v>146956176</v>
      </c>
      <c r="N32" s="233">
        <v>43054659</v>
      </c>
      <c r="O32" s="233">
        <f>O33+O34</f>
        <v>0</v>
      </c>
      <c r="P32" s="233">
        <f t="shared" ref="P32:Q32" si="26">P33+P34</f>
        <v>320735</v>
      </c>
      <c r="Q32" s="233">
        <f t="shared" si="26"/>
        <v>572884</v>
      </c>
      <c r="R32" s="233">
        <f t="shared" si="3"/>
        <v>43948278</v>
      </c>
    </row>
    <row r="33" spans="1:18" s="6" customFormat="1" ht="24">
      <c r="A33" s="138">
        <v>21710</v>
      </c>
      <c r="B33" s="125" t="s">
        <v>98</v>
      </c>
      <c r="C33" s="171">
        <v>307013511</v>
      </c>
      <c r="D33" s="171">
        <v>331288033</v>
      </c>
      <c r="E33" s="233"/>
      <c r="F33" s="233">
        <f>F117</f>
        <v>509109</v>
      </c>
      <c r="G33" s="233">
        <f>G117</f>
        <v>2583147</v>
      </c>
      <c r="H33" s="233">
        <f t="shared" si="4"/>
        <v>334380289</v>
      </c>
      <c r="I33" s="233">
        <v>142102148</v>
      </c>
      <c r="J33" s="233"/>
      <c r="K33" s="233">
        <f>K117</f>
        <v>407757</v>
      </c>
      <c r="L33" s="233">
        <f>L117</f>
        <v>572884</v>
      </c>
      <c r="M33" s="233">
        <f t="shared" si="5"/>
        <v>143082789</v>
      </c>
      <c r="N33" s="233">
        <v>43054659</v>
      </c>
      <c r="O33" s="233"/>
      <c r="P33" s="345">
        <f>P117</f>
        <v>320735</v>
      </c>
      <c r="Q33" s="345">
        <f>Q117</f>
        <v>572884</v>
      </c>
      <c r="R33" s="233">
        <f t="shared" si="3"/>
        <v>43948278</v>
      </c>
    </row>
    <row r="34" spans="1:18" s="6" customFormat="1" ht="24">
      <c r="A34" s="138">
        <v>21720</v>
      </c>
      <c r="B34" s="125" t="s">
        <v>99</v>
      </c>
      <c r="C34" s="171">
        <v>9733000</v>
      </c>
      <c r="D34" s="171">
        <v>8271067</v>
      </c>
      <c r="E34" s="233"/>
      <c r="F34" s="233"/>
      <c r="G34" s="233"/>
      <c r="H34" s="233">
        <f t="shared" si="4"/>
        <v>8271067</v>
      </c>
      <c r="I34" s="233">
        <v>3873387</v>
      </c>
      <c r="J34" s="233"/>
      <c r="K34" s="233"/>
      <c r="L34" s="233"/>
      <c r="M34" s="233">
        <f t="shared" si="5"/>
        <v>3873387</v>
      </c>
      <c r="N34" s="233">
        <v>0</v>
      </c>
      <c r="O34" s="233"/>
      <c r="P34" s="233"/>
      <c r="Q34" s="233"/>
      <c r="R34" s="233">
        <f t="shared" si="3"/>
        <v>0</v>
      </c>
    </row>
    <row r="35" spans="1:18" s="6" customFormat="1" ht="11.4">
      <c r="A35" s="129" t="s">
        <v>100</v>
      </c>
      <c r="B35" s="123" t="s">
        <v>101</v>
      </c>
      <c r="C35" s="175">
        <v>323117223</v>
      </c>
      <c r="D35" s="175">
        <v>346137140</v>
      </c>
      <c r="E35" s="243">
        <f t="shared" ref="E35:G35" si="27">E36+E63</f>
        <v>0</v>
      </c>
      <c r="F35" s="243">
        <f t="shared" si="27"/>
        <v>509109</v>
      </c>
      <c r="G35" s="243">
        <f t="shared" si="27"/>
        <v>2583147</v>
      </c>
      <c r="H35" s="243">
        <f t="shared" si="4"/>
        <v>349229396</v>
      </c>
      <c r="I35" s="243">
        <v>152466111</v>
      </c>
      <c r="J35" s="243">
        <f t="shared" ref="J35:L35" si="28">J36+J63</f>
        <v>0</v>
      </c>
      <c r="K35" s="243">
        <f t="shared" si="28"/>
        <v>407757</v>
      </c>
      <c r="L35" s="243">
        <f t="shared" si="28"/>
        <v>572884</v>
      </c>
      <c r="M35" s="243">
        <f t="shared" si="5"/>
        <v>153446752</v>
      </c>
      <c r="N35" s="243">
        <v>49361642</v>
      </c>
      <c r="O35" s="243">
        <f t="shared" ref="O35:Q35" si="29">O36+O63</f>
        <v>0</v>
      </c>
      <c r="P35" s="243">
        <f t="shared" si="29"/>
        <v>320735</v>
      </c>
      <c r="Q35" s="243">
        <f t="shared" si="29"/>
        <v>572884</v>
      </c>
      <c r="R35" s="243">
        <f t="shared" si="3"/>
        <v>50255261</v>
      </c>
    </row>
    <row r="36" spans="1:18" s="6" customFormat="1" ht="20.399999999999999">
      <c r="A36" s="130" t="s">
        <v>102</v>
      </c>
      <c r="B36" s="124" t="s">
        <v>103</v>
      </c>
      <c r="C36" s="171">
        <v>304872718</v>
      </c>
      <c r="D36" s="171">
        <v>335391961</v>
      </c>
      <c r="E36" s="233">
        <f>E37+E41+E42+E45+E48</f>
        <v>0</v>
      </c>
      <c r="F36" s="233">
        <f t="shared" ref="F36:G36" si="30">F37+F41+F42+F45+F48</f>
        <v>494109</v>
      </c>
      <c r="G36" s="233">
        <f t="shared" si="30"/>
        <v>1773147</v>
      </c>
      <c r="H36" s="233">
        <f t="shared" si="4"/>
        <v>337659217</v>
      </c>
      <c r="I36" s="233">
        <v>147453962</v>
      </c>
      <c r="J36" s="233">
        <f>J37+J41+J42+J45+J48</f>
        <v>0</v>
      </c>
      <c r="K36" s="233">
        <f t="shared" ref="K36:L36" si="31">K37+K41+K42+K45+K48</f>
        <v>407757</v>
      </c>
      <c r="L36" s="233">
        <f t="shared" si="31"/>
        <v>572884</v>
      </c>
      <c r="M36" s="233">
        <f t="shared" si="5"/>
        <v>148434603</v>
      </c>
      <c r="N36" s="233">
        <v>47991211</v>
      </c>
      <c r="O36" s="233">
        <f>O37+O41+O42+O45+O48</f>
        <v>0</v>
      </c>
      <c r="P36" s="233">
        <f t="shared" ref="P36:Q36" si="32">P37+P41+P42+P45+P48</f>
        <v>320735</v>
      </c>
      <c r="Q36" s="233">
        <f t="shared" si="32"/>
        <v>572884</v>
      </c>
      <c r="R36" s="233">
        <f t="shared" si="3"/>
        <v>48884830</v>
      </c>
    </row>
    <row r="37" spans="1:18" s="6" customFormat="1" ht="12">
      <c r="A37" s="130" t="s">
        <v>104</v>
      </c>
      <c r="B37" s="124" t="s">
        <v>105</v>
      </c>
      <c r="C37" s="171">
        <v>37924559</v>
      </c>
      <c r="D37" s="171">
        <v>37812374</v>
      </c>
      <c r="E37" s="233">
        <f>E38+E40</f>
        <v>0</v>
      </c>
      <c r="F37" s="233">
        <f t="shared" ref="F37:G37" si="33">F38+F40</f>
        <v>459109</v>
      </c>
      <c r="G37" s="233">
        <f t="shared" si="33"/>
        <v>399363</v>
      </c>
      <c r="H37" s="233">
        <f t="shared" si="4"/>
        <v>38670846</v>
      </c>
      <c r="I37" s="233">
        <v>37425538</v>
      </c>
      <c r="J37" s="233">
        <f>J38+J40</f>
        <v>0</v>
      </c>
      <c r="K37" s="233">
        <f t="shared" ref="K37:L37" si="34">K38+K40</f>
        <v>360823</v>
      </c>
      <c r="L37" s="233">
        <f t="shared" si="34"/>
        <v>0</v>
      </c>
      <c r="M37" s="233">
        <f t="shared" si="5"/>
        <v>37786361</v>
      </c>
      <c r="N37" s="233">
        <v>30641658</v>
      </c>
      <c r="O37" s="233">
        <f>O38+O40</f>
        <v>0</v>
      </c>
      <c r="P37" s="233">
        <f t="shared" ref="P37:Q37" si="35">P38+P40</f>
        <v>278021</v>
      </c>
      <c r="Q37" s="233">
        <f t="shared" si="35"/>
        <v>0</v>
      </c>
      <c r="R37" s="233">
        <f t="shared" si="3"/>
        <v>30919679</v>
      </c>
    </row>
    <row r="38" spans="1:18" s="6" customFormat="1" ht="12">
      <c r="A38" s="132">
        <v>1000</v>
      </c>
      <c r="B38" s="125" t="s">
        <v>106</v>
      </c>
      <c r="C38" s="171">
        <v>26019463</v>
      </c>
      <c r="D38" s="171">
        <v>26040729.595743839</v>
      </c>
      <c r="E38" s="233"/>
      <c r="F38" s="233">
        <f t="shared" ref="F38:G40" si="36">F122+F206</f>
        <v>166627</v>
      </c>
      <c r="G38" s="233">
        <f t="shared" si="36"/>
        <v>10263</v>
      </c>
      <c r="H38" s="233">
        <f t="shared" si="4"/>
        <v>26217619.595743839</v>
      </c>
      <c r="I38" s="233">
        <v>26040729.595743839</v>
      </c>
      <c r="J38" s="233"/>
      <c r="K38" s="233">
        <f t="shared" ref="K38:L40" si="37">K122</f>
        <v>237079</v>
      </c>
      <c r="L38" s="233">
        <f t="shared" si="37"/>
        <v>0</v>
      </c>
      <c r="M38" s="233">
        <f t="shared" si="5"/>
        <v>26277808.595743839</v>
      </c>
      <c r="N38" s="233">
        <v>23480621.595743839</v>
      </c>
      <c r="O38" s="233"/>
      <c r="P38" s="233">
        <f t="shared" ref="P38:Q40" si="38">P122</f>
        <v>178369</v>
      </c>
      <c r="Q38" s="233">
        <f t="shared" si="38"/>
        <v>0</v>
      </c>
      <c r="R38" s="233">
        <f t="shared" si="3"/>
        <v>23658990.595743839</v>
      </c>
    </row>
    <row r="39" spans="1:18" s="6" customFormat="1" ht="12">
      <c r="A39" s="139">
        <v>1100</v>
      </c>
      <c r="B39" s="125" t="s">
        <v>107</v>
      </c>
      <c r="C39" s="171">
        <v>20471791</v>
      </c>
      <c r="D39" s="171">
        <v>20488987.316561844</v>
      </c>
      <c r="E39" s="233"/>
      <c r="F39" s="233">
        <f t="shared" si="36"/>
        <v>135133</v>
      </c>
      <c r="G39" s="233">
        <f t="shared" si="36"/>
        <v>8271</v>
      </c>
      <c r="H39" s="233">
        <f t="shared" si="4"/>
        <v>20632391.316561844</v>
      </c>
      <c r="I39" s="233">
        <v>20488987.316561844</v>
      </c>
      <c r="J39" s="233"/>
      <c r="K39" s="233">
        <f t="shared" si="37"/>
        <v>194812</v>
      </c>
      <c r="L39" s="233">
        <f t="shared" si="37"/>
        <v>0</v>
      </c>
      <c r="M39" s="233">
        <f t="shared" si="5"/>
        <v>20683799.316561844</v>
      </c>
      <c r="N39" s="233">
        <v>18425881.316561844</v>
      </c>
      <c r="O39" s="233"/>
      <c r="P39" s="233">
        <f t="shared" si="38"/>
        <v>145080</v>
      </c>
      <c r="Q39" s="233">
        <f t="shared" si="38"/>
        <v>0</v>
      </c>
      <c r="R39" s="233">
        <f t="shared" si="3"/>
        <v>18570961.316561844</v>
      </c>
    </row>
    <row r="40" spans="1:18" s="6" customFormat="1" ht="12">
      <c r="A40" s="132">
        <v>2000</v>
      </c>
      <c r="B40" s="125" t="s">
        <v>108</v>
      </c>
      <c r="C40" s="171">
        <v>11905096</v>
      </c>
      <c r="D40" s="171">
        <v>11771644.404256161</v>
      </c>
      <c r="E40" s="233"/>
      <c r="F40" s="233">
        <f t="shared" si="36"/>
        <v>292482</v>
      </c>
      <c r="G40" s="233">
        <f t="shared" si="36"/>
        <v>389100</v>
      </c>
      <c r="H40" s="233">
        <f t="shared" si="4"/>
        <v>12453226.404256161</v>
      </c>
      <c r="I40" s="233">
        <v>11384808.404256161</v>
      </c>
      <c r="J40" s="233"/>
      <c r="K40" s="233">
        <f t="shared" si="37"/>
        <v>123744</v>
      </c>
      <c r="L40" s="233">
        <f t="shared" si="37"/>
        <v>0</v>
      </c>
      <c r="M40" s="233">
        <f t="shared" si="5"/>
        <v>11508552.404256161</v>
      </c>
      <c r="N40" s="233">
        <v>7161036.4042561604</v>
      </c>
      <c r="O40" s="233"/>
      <c r="P40" s="233">
        <f t="shared" si="38"/>
        <v>99652</v>
      </c>
      <c r="Q40" s="233">
        <f t="shared" si="38"/>
        <v>0</v>
      </c>
      <c r="R40" s="233">
        <f t="shared" si="3"/>
        <v>7260688.4042561604</v>
      </c>
    </row>
    <row r="41" spans="1:18" s="6" customFormat="1" ht="12" hidden="1" customHeight="1">
      <c r="A41" s="140">
        <v>4000</v>
      </c>
      <c r="B41" s="124" t="s">
        <v>132</v>
      </c>
      <c r="C41" s="171">
        <v>0</v>
      </c>
      <c r="D41" s="171">
        <v>0</v>
      </c>
      <c r="E41" s="233"/>
      <c r="F41" s="233"/>
      <c r="G41" s="233"/>
      <c r="H41" s="233">
        <f t="shared" si="4"/>
        <v>0</v>
      </c>
      <c r="I41" s="233">
        <v>0</v>
      </c>
      <c r="J41" s="233"/>
      <c r="K41" s="233"/>
      <c r="L41" s="233"/>
      <c r="M41" s="233">
        <f t="shared" si="5"/>
        <v>0</v>
      </c>
      <c r="N41" s="233">
        <v>0</v>
      </c>
      <c r="O41" s="233"/>
      <c r="P41" s="233"/>
      <c r="Q41" s="233"/>
      <c r="R41" s="233">
        <f t="shared" si="3"/>
        <v>0</v>
      </c>
    </row>
    <row r="42" spans="1:18" s="6" customFormat="1" ht="12">
      <c r="A42" s="140" t="s">
        <v>109</v>
      </c>
      <c r="B42" s="124" t="s">
        <v>110</v>
      </c>
      <c r="C42" s="171">
        <v>246010796</v>
      </c>
      <c r="D42" s="171">
        <v>279982123</v>
      </c>
      <c r="E42" s="233">
        <f>E43+E44</f>
        <v>0</v>
      </c>
      <c r="F42" s="233">
        <f t="shared" ref="F42:G42" si="39">F43+F44</f>
        <v>35000</v>
      </c>
      <c r="G42" s="233">
        <f t="shared" si="39"/>
        <v>1373784</v>
      </c>
      <c r="H42" s="233">
        <f t="shared" si="4"/>
        <v>281390907</v>
      </c>
      <c r="I42" s="233">
        <v>97293025</v>
      </c>
      <c r="J42" s="233">
        <f>J43+J44</f>
        <v>0</v>
      </c>
      <c r="K42" s="233">
        <f t="shared" ref="K42:L42" si="40">K43+K44</f>
        <v>46934</v>
      </c>
      <c r="L42" s="233">
        <f t="shared" si="40"/>
        <v>572884</v>
      </c>
      <c r="M42" s="233">
        <f t="shared" si="5"/>
        <v>97912843</v>
      </c>
      <c r="N42" s="233">
        <v>10607199</v>
      </c>
      <c r="O42" s="233">
        <f>O43+O44</f>
        <v>0</v>
      </c>
      <c r="P42" s="233">
        <f t="shared" ref="P42:Q42" si="41">P43+P44</f>
        <v>42714</v>
      </c>
      <c r="Q42" s="233">
        <f t="shared" si="41"/>
        <v>572884</v>
      </c>
      <c r="R42" s="233">
        <f t="shared" si="3"/>
        <v>11222797</v>
      </c>
    </row>
    <row r="43" spans="1:18" s="6" customFormat="1" ht="12">
      <c r="A43" s="132">
        <v>3000</v>
      </c>
      <c r="B43" s="125" t="s">
        <v>111</v>
      </c>
      <c r="C43" s="213">
        <v>246010796</v>
      </c>
      <c r="D43" s="213">
        <v>279982123</v>
      </c>
      <c r="E43" s="345"/>
      <c r="F43" s="345">
        <f>F127</f>
        <v>35000</v>
      </c>
      <c r="G43" s="345">
        <f>G127</f>
        <v>1373784</v>
      </c>
      <c r="H43" s="233">
        <f t="shared" si="4"/>
        <v>281390907</v>
      </c>
      <c r="I43" s="345">
        <v>97293025</v>
      </c>
      <c r="J43" s="345"/>
      <c r="K43" s="345">
        <f>K127</f>
        <v>46934</v>
      </c>
      <c r="L43" s="345">
        <f>L127</f>
        <v>572884</v>
      </c>
      <c r="M43" s="233">
        <f t="shared" si="5"/>
        <v>97912843</v>
      </c>
      <c r="N43" s="345">
        <v>10607199</v>
      </c>
      <c r="O43" s="345"/>
      <c r="P43" s="345">
        <f>P127</f>
        <v>42714</v>
      </c>
      <c r="Q43" s="345">
        <f>Q127</f>
        <v>572884</v>
      </c>
      <c r="R43" s="233">
        <f t="shared" si="3"/>
        <v>11222797</v>
      </c>
    </row>
    <row r="44" spans="1:18" s="6" customFormat="1" ht="12" hidden="1" customHeight="1">
      <c r="A44" s="132">
        <v>6000</v>
      </c>
      <c r="B44" s="125" t="s">
        <v>112</v>
      </c>
      <c r="C44" s="287">
        <v>0</v>
      </c>
      <c r="D44" s="287">
        <v>0</v>
      </c>
      <c r="E44" s="346"/>
      <c r="F44" s="346"/>
      <c r="G44" s="346"/>
      <c r="H44" s="233">
        <f t="shared" si="4"/>
        <v>0</v>
      </c>
      <c r="I44" s="346">
        <v>0</v>
      </c>
      <c r="J44" s="346"/>
      <c r="K44" s="346"/>
      <c r="L44" s="346"/>
      <c r="M44" s="233">
        <f t="shared" si="5"/>
        <v>0</v>
      </c>
      <c r="N44" s="346">
        <v>0</v>
      </c>
      <c r="O44" s="346"/>
      <c r="P44" s="346"/>
      <c r="Q44" s="346"/>
      <c r="R44" s="233">
        <f t="shared" si="3"/>
        <v>0</v>
      </c>
    </row>
    <row r="45" spans="1:18" s="6" customFormat="1" ht="22.8">
      <c r="A45" s="140" t="s">
        <v>113</v>
      </c>
      <c r="B45" s="124" t="s">
        <v>183</v>
      </c>
      <c r="C45" s="171">
        <v>172510</v>
      </c>
      <c r="D45" s="171">
        <v>172510</v>
      </c>
      <c r="E45" s="233">
        <f>E46+E47</f>
        <v>0</v>
      </c>
      <c r="F45" s="233">
        <f t="shared" ref="F45:G45" si="42">F46+F47</f>
        <v>0</v>
      </c>
      <c r="G45" s="233">
        <f t="shared" si="42"/>
        <v>0</v>
      </c>
      <c r="H45" s="233">
        <f t="shared" si="4"/>
        <v>172510</v>
      </c>
      <c r="I45" s="233">
        <v>172510</v>
      </c>
      <c r="J45" s="233">
        <f>J46+J47</f>
        <v>0</v>
      </c>
      <c r="K45" s="233">
        <f t="shared" ref="K45:L45" si="43">K46+K47</f>
        <v>0</v>
      </c>
      <c r="L45" s="233">
        <f t="shared" si="43"/>
        <v>0</v>
      </c>
      <c r="M45" s="233">
        <f t="shared" si="5"/>
        <v>172510</v>
      </c>
      <c r="N45" s="233">
        <v>172510</v>
      </c>
      <c r="O45" s="233">
        <f>O46+O47</f>
        <v>0</v>
      </c>
      <c r="P45" s="233">
        <f t="shared" ref="P45:Q45" si="44">P46+P47</f>
        <v>0</v>
      </c>
      <c r="Q45" s="233">
        <f t="shared" si="44"/>
        <v>0</v>
      </c>
      <c r="R45" s="233">
        <f t="shared" si="3"/>
        <v>172510</v>
      </c>
    </row>
    <row r="46" spans="1:18" s="6" customFormat="1" ht="24" hidden="1" customHeight="1">
      <c r="A46" s="132">
        <v>7600</v>
      </c>
      <c r="B46" s="179" t="s">
        <v>184</v>
      </c>
      <c r="C46" s="171">
        <v>0</v>
      </c>
      <c r="D46" s="171">
        <v>0</v>
      </c>
      <c r="E46" s="233"/>
      <c r="F46" s="233"/>
      <c r="G46" s="233"/>
      <c r="H46" s="233">
        <f t="shared" si="4"/>
        <v>0</v>
      </c>
      <c r="I46" s="233">
        <v>0</v>
      </c>
      <c r="J46" s="233"/>
      <c r="K46" s="233"/>
      <c r="L46" s="233"/>
      <c r="M46" s="233">
        <f t="shared" si="5"/>
        <v>0</v>
      </c>
      <c r="N46" s="233">
        <v>0</v>
      </c>
      <c r="O46" s="233"/>
      <c r="P46" s="233"/>
      <c r="Q46" s="233"/>
      <c r="R46" s="233">
        <f t="shared" si="3"/>
        <v>0</v>
      </c>
    </row>
    <row r="47" spans="1:18" s="6" customFormat="1" ht="12">
      <c r="A47" s="132">
        <v>7700</v>
      </c>
      <c r="B47" s="126" t="s">
        <v>114</v>
      </c>
      <c r="C47" s="171">
        <v>172510</v>
      </c>
      <c r="D47" s="171">
        <v>172510</v>
      </c>
      <c r="E47" s="233"/>
      <c r="F47" s="233"/>
      <c r="G47" s="233"/>
      <c r="H47" s="233">
        <f t="shared" si="4"/>
        <v>172510</v>
      </c>
      <c r="I47" s="233">
        <v>172510</v>
      </c>
      <c r="J47" s="233"/>
      <c r="K47" s="233"/>
      <c r="L47" s="233"/>
      <c r="M47" s="233">
        <f t="shared" si="5"/>
        <v>172510</v>
      </c>
      <c r="N47" s="233">
        <v>172510</v>
      </c>
      <c r="O47" s="233"/>
      <c r="P47" s="233"/>
      <c r="Q47" s="233"/>
      <c r="R47" s="233">
        <f t="shared" si="3"/>
        <v>172510</v>
      </c>
    </row>
    <row r="48" spans="1:18" s="6" customFormat="1" ht="20.399999999999999">
      <c r="A48" s="140" t="s">
        <v>185</v>
      </c>
      <c r="B48" s="124" t="s">
        <v>115</v>
      </c>
      <c r="C48" s="171">
        <v>20764853</v>
      </c>
      <c r="D48" s="171">
        <v>17424954</v>
      </c>
      <c r="E48" s="233">
        <f t="shared" ref="E48:G48" si="45">E49+E55+E59+E62</f>
        <v>0</v>
      </c>
      <c r="F48" s="233">
        <f t="shared" si="45"/>
        <v>0</v>
      </c>
      <c r="G48" s="233">
        <f t="shared" si="45"/>
        <v>0</v>
      </c>
      <c r="H48" s="233">
        <f t="shared" si="4"/>
        <v>17424954</v>
      </c>
      <c r="I48" s="233">
        <v>12562889</v>
      </c>
      <c r="J48" s="233">
        <f t="shared" ref="J48:L48" si="46">J49+J55+J59+J62</f>
        <v>0</v>
      </c>
      <c r="K48" s="233">
        <f t="shared" si="46"/>
        <v>0</v>
      </c>
      <c r="L48" s="233">
        <f t="shared" si="46"/>
        <v>0</v>
      </c>
      <c r="M48" s="233">
        <f t="shared" si="5"/>
        <v>12562889</v>
      </c>
      <c r="N48" s="233">
        <v>6569844</v>
      </c>
      <c r="O48" s="233">
        <f t="shared" ref="O48:Q48" si="47">O49+O55+O59+O62</f>
        <v>0</v>
      </c>
      <c r="P48" s="233">
        <f t="shared" si="47"/>
        <v>0</v>
      </c>
      <c r="Q48" s="233">
        <f t="shared" si="47"/>
        <v>0</v>
      </c>
      <c r="R48" s="233">
        <f t="shared" si="3"/>
        <v>6569844</v>
      </c>
    </row>
    <row r="49" spans="1:18" s="6" customFormat="1" ht="24" hidden="1" customHeight="1">
      <c r="A49" s="132">
        <v>7100</v>
      </c>
      <c r="B49" s="179" t="s">
        <v>116</v>
      </c>
      <c r="C49" s="171">
        <v>0</v>
      </c>
      <c r="D49" s="171">
        <v>0</v>
      </c>
      <c r="E49" s="233">
        <f>E50+E51</f>
        <v>0</v>
      </c>
      <c r="F49" s="233">
        <f t="shared" ref="F49:G49" si="48">F50+F51</f>
        <v>0</v>
      </c>
      <c r="G49" s="233">
        <f t="shared" si="48"/>
        <v>0</v>
      </c>
      <c r="H49" s="233">
        <f t="shared" si="4"/>
        <v>0</v>
      </c>
      <c r="I49" s="233">
        <v>0</v>
      </c>
      <c r="J49" s="233">
        <f>J50+J51</f>
        <v>0</v>
      </c>
      <c r="K49" s="233">
        <f t="shared" ref="K49:L49" si="49">K50+K51</f>
        <v>0</v>
      </c>
      <c r="L49" s="233">
        <f t="shared" si="49"/>
        <v>0</v>
      </c>
      <c r="M49" s="233">
        <f t="shared" si="5"/>
        <v>0</v>
      </c>
      <c r="N49" s="233">
        <v>0</v>
      </c>
      <c r="O49" s="233">
        <f>O50+O51</f>
        <v>0</v>
      </c>
      <c r="P49" s="233">
        <f t="shared" ref="P49:Q49" si="50">P50+P51</f>
        <v>0</v>
      </c>
      <c r="Q49" s="233">
        <f t="shared" si="50"/>
        <v>0</v>
      </c>
      <c r="R49" s="233">
        <f t="shared" si="3"/>
        <v>0</v>
      </c>
    </row>
    <row r="50" spans="1:18" s="6" customFormat="1" ht="36" hidden="1" customHeight="1">
      <c r="A50" s="133" t="s">
        <v>117</v>
      </c>
      <c r="B50" s="179" t="s">
        <v>118</v>
      </c>
      <c r="C50" s="171">
        <v>0</v>
      </c>
      <c r="D50" s="171">
        <v>0</v>
      </c>
      <c r="E50" s="233"/>
      <c r="F50" s="233"/>
      <c r="G50" s="233"/>
      <c r="H50" s="233">
        <f t="shared" si="4"/>
        <v>0</v>
      </c>
      <c r="I50" s="233">
        <v>0</v>
      </c>
      <c r="J50" s="233"/>
      <c r="K50" s="233"/>
      <c r="L50" s="233"/>
      <c r="M50" s="233">
        <f t="shared" si="5"/>
        <v>0</v>
      </c>
      <c r="N50" s="233">
        <v>0</v>
      </c>
      <c r="O50" s="233"/>
      <c r="P50" s="233"/>
      <c r="Q50" s="233"/>
      <c r="R50" s="233">
        <f t="shared" si="3"/>
        <v>0</v>
      </c>
    </row>
    <row r="51" spans="1:18" s="6" customFormat="1" ht="36" hidden="1" customHeight="1">
      <c r="A51" s="133">
        <v>7130</v>
      </c>
      <c r="B51" s="179" t="s">
        <v>119</v>
      </c>
      <c r="C51" s="171">
        <v>0</v>
      </c>
      <c r="D51" s="171">
        <v>0</v>
      </c>
      <c r="E51" s="233">
        <f>SUM(E52:E54)</f>
        <v>0</v>
      </c>
      <c r="F51" s="233">
        <f t="shared" ref="F51:G51" si="51">SUM(F52:F54)</f>
        <v>0</v>
      </c>
      <c r="G51" s="233">
        <f t="shared" si="51"/>
        <v>0</v>
      </c>
      <c r="H51" s="233">
        <f t="shared" si="4"/>
        <v>0</v>
      </c>
      <c r="I51" s="233">
        <v>0</v>
      </c>
      <c r="J51" s="233">
        <f>SUM(J52:J54)</f>
        <v>0</v>
      </c>
      <c r="K51" s="233">
        <f t="shared" ref="K51:L51" si="52">SUM(K52:K54)</f>
        <v>0</v>
      </c>
      <c r="L51" s="233">
        <f t="shared" si="52"/>
        <v>0</v>
      </c>
      <c r="M51" s="233">
        <f t="shared" si="5"/>
        <v>0</v>
      </c>
      <c r="N51" s="233">
        <v>0</v>
      </c>
      <c r="O51" s="233">
        <f>SUM(O52:O54)</f>
        <v>0</v>
      </c>
      <c r="P51" s="233">
        <f t="shared" ref="P51:Q51" si="53">SUM(P52:P54)</f>
        <v>0</v>
      </c>
      <c r="Q51" s="233">
        <f t="shared" si="53"/>
        <v>0</v>
      </c>
      <c r="R51" s="233">
        <f t="shared" si="3"/>
        <v>0</v>
      </c>
    </row>
    <row r="52" spans="1:18" s="6" customFormat="1" ht="48" hidden="1" customHeight="1">
      <c r="A52" s="134">
        <v>7131</v>
      </c>
      <c r="B52" s="179" t="s">
        <v>120</v>
      </c>
      <c r="C52" s="171">
        <v>0</v>
      </c>
      <c r="D52" s="171">
        <v>0</v>
      </c>
      <c r="E52" s="233"/>
      <c r="F52" s="233"/>
      <c r="G52" s="233"/>
      <c r="H52" s="233">
        <f t="shared" si="4"/>
        <v>0</v>
      </c>
      <c r="I52" s="233">
        <v>0</v>
      </c>
      <c r="J52" s="233"/>
      <c r="K52" s="233"/>
      <c r="L52" s="233"/>
      <c r="M52" s="233">
        <f t="shared" si="5"/>
        <v>0</v>
      </c>
      <c r="N52" s="233">
        <v>0</v>
      </c>
      <c r="O52" s="233"/>
      <c r="P52" s="233"/>
      <c r="Q52" s="233"/>
      <c r="R52" s="233">
        <f t="shared" si="3"/>
        <v>0</v>
      </c>
    </row>
    <row r="53" spans="1:18" s="6" customFormat="1" ht="48" hidden="1" customHeight="1">
      <c r="A53" s="134">
        <v>7132</v>
      </c>
      <c r="B53" s="179" t="s">
        <v>121</v>
      </c>
      <c r="C53" s="171">
        <v>0</v>
      </c>
      <c r="D53" s="171">
        <v>0</v>
      </c>
      <c r="E53" s="233"/>
      <c r="F53" s="233"/>
      <c r="G53" s="233"/>
      <c r="H53" s="233">
        <f t="shared" si="4"/>
        <v>0</v>
      </c>
      <c r="I53" s="233">
        <v>0</v>
      </c>
      <c r="J53" s="233"/>
      <c r="K53" s="233"/>
      <c r="L53" s="233"/>
      <c r="M53" s="233">
        <f t="shared" si="5"/>
        <v>0</v>
      </c>
      <c r="N53" s="233">
        <v>0</v>
      </c>
      <c r="O53" s="233"/>
      <c r="P53" s="233"/>
      <c r="Q53" s="233"/>
      <c r="R53" s="233">
        <f t="shared" si="3"/>
        <v>0</v>
      </c>
    </row>
    <row r="54" spans="1:18" s="6" customFormat="1" ht="36" hidden="1" customHeight="1">
      <c r="A54" s="134" t="s">
        <v>186</v>
      </c>
      <c r="B54" s="179" t="s">
        <v>187</v>
      </c>
      <c r="C54" s="171">
        <v>0</v>
      </c>
      <c r="D54" s="171">
        <v>0</v>
      </c>
      <c r="E54" s="233"/>
      <c r="F54" s="233"/>
      <c r="G54" s="233"/>
      <c r="H54" s="233">
        <f t="shared" si="4"/>
        <v>0</v>
      </c>
      <c r="I54" s="233">
        <v>0</v>
      </c>
      <c r="J54" s="233"/>
      <c r="K54" s="233"/>
      <c r="L54" s="233"/>
      <c r="M54" s="233">
        <f t="shared" si="5"/>
        <v>0</v>
      </c>
      <c r="N54" s="233">
        <v>0</v>
      </c>
      <c r="O54" s="233"/>
      <c r="P54" s="233"/>
      <c r="Q54" s="233"/>
      <c r="R54" s="233">
        <f t="shared" si="3"/>
        <v>0</v>
      </c>
    </row>
    <row r="55" spans="1:18" s="6" customFormat="1" ht="24">
      <c r="A55" s="132">
        <v>7300</v>
      </c>
      <c r="B55" s="172" t="s">
        <v>155</v>
      </c>
      <c r="C55" s="171">
        <v>11885413</v>
      </c>
      <c r="D55" s="171">
        <v>9790090</v>
      </c>
      <c r="E55" s="233">
        <f>SUM(E56:E58)</f>
        <v>0</v>
      </c>
      <c r="F55" s="233">
        <f t="shared" ref="F55:G55" si="54">SUM(F56:F58)</f>
        <v>0</v>
      </c>
      <c r="G55" s="233">
        <f t="shared" si="54"/>
        <v>0</v>
      </c>
      <c r="H55" s="233">
        <f t="shared" si="4"/>
        <v>9790090</v>
      </c>
      <c r="I55" s="233">
        <v>8689502</v>
      </c>
      <c r="J55" s="233">
        <f>SUM(J56:J58)</f>
        <v>0</v>
      </c>
      <c r="K55" s="233">
        <f t="shared" ref="K55:L55" si="55">SUM(K56:K58)</f>
        <v>0</v>
      </c>
      <c r="L55" s="233">
        <f t="shared" si="55"/>
        <v>0</v>
      </c>
      <c r="M55" s="233">
        <f t="shared" si="5"/>
        <v>8689502</v>
      </c>
      <c r="N55" s="233">
        <v>6569844</v>
      </c>
      <c r="O55" s="233">
        <f>SUM(O56:O58)</f>
        <v>0</v>
      </c>
      <c r="P55" s="233">
        <f t="shared" ref="P55:Q55" si="56">SUM(P56:P58)</f>
        <v>0</v>
      </c>
      <c r="Q55" s="233">
        <f t="shared" si="56"/>
        <v>0</v>
      </c>
      <c r="R55" s="233">
        <f t="shared" si="3"/>
        <v>6569844</v>
      </c>
    </row>
    <row r="56" spans="1:18" s="6" customFormat="1" ht="24" hidden="1" customHeight="1">
      <c r="A56" s="133" t="s">
        <v>188</v>
      </c>
      <c r="B56" s="179" t="s">
        <v>170</v>
      </c>
      <c r="C56" s="171">
        <v>0</v>
      </c>
      <c r="D56" s="171">
        <v>0</v>
      </c>
      <c r="E56" s="252"/>
      <c r="F56" s="252"/>
      <c r="G56" s="252"/>
      <c r="H56" s="233">
        <f t="shared" si="4"/>
        <v>0</v>
      </c>
      <c r="I56" s="252">
        <v>0</v>
      </c>
      <c r="J56" s="252"/>
      <c r="K56" s="252"/>
      <c r="L56" s="252"/>
      <c r="M56" s="233">
        <f t="shared" si="5"/>
        <v>0</v>
      </c>
      <c r="N56" s="252">
        <v>0</v>
      </c>
      <c r="O56" s="252"/>
      <c r="P56" s="252"/>
      <c r="Q56" s="252"/>
      <c r="R56" s="233">
        <f t="shared" si="3"/>
        <v>0</v>
      </c>
    </row>
    <row r="57" spans="1:18" s="29" customFormat="1" ht="48">
      <c r="A57" s="133" t="s">
        <v>189</v>
      </c>
      <c r="B57" s="179" t="s">
        <v>156</v>
      </c>
      <c r="C57" s="171">
        <v>3652354</v>
      </c>
      <c r="D57" s="171">
        <v>1418310</v>
      </c>
      <c r="E57" s="252"/>
      <c r="F57" s="252"/>
      <c r="G57" s="252"/>
      <c r="H57" s="233">
        <f t="shared" si="4"/>
        <v>1418310</v>
      </c>
      <c r="I57" s="252">
        <v>1085055</v>
      </c>
      <c r="J57" s="252"/>
      <c r="K57" s="252"/>
      <c r="L57" s="252"/>
      <c r="M57" s="233">
        <f t="shared" si="5"/>
        <v>1085055</v>
      </c>
      <c r="N57" s="252">
        <v>0</v>
      </c>
      <c r="O57" s="252"/>
      <c r="P57" s="252"/>
      <c r="Q57" s="252"/>
      <c r="R57" s="233">
        <f t="shared" si="3"/>
        <v>0</v>
      </c>
    </row>
    <row r="58" spans="1:18" s="89" customFormat="1" ht="48">
      <c r="A58" s="133">
        <v>7350</v>
      </c>
      <c r="B58" s="179" t="s">
        <v>163</v>
      </c>
      <c r="C58" s="171">
        <v>8233059</v>
      </c>
      <c r="D58" s="171">
        <v>8371780</v>
      </c>
      <c r="E58" s="252"/>
      <c r="F58" s="252"/>
      <c r="G58" s="252"/>
      <c r="H58" s="233">
        <f t="shared" si="4"/>
        <v>8371780</v>
      </c>
      <c r="I58" s="252">
        <v>7604447</v>
      </c>
      <c r="J58" s="252"/>
      <c r="K58" s="252"/>
      <c r="L58" s="252"/>
      <c r="M58" s="233">
        <f t="shared" si="5"/>
        <v>7604447</v>
      </c>
      <c r="N58" s="252">
        <v>6569844</v>
      </c>
      <c r="O58" s="252"/>
      <c r="P58" s="252"/>
      <c r="Q58" s="252"/>
      <c r="R58" s="233">
        <f t="shared" si="3"/>
        <v>6569844</v>
      </c>
    </row>
    <row r="59" spans="1:18" s="89" customFormat="1" ht="24" hidden="1" customHeight="1">
      <c r="A59" s="132">
        <v>7400</v>
      </c>
      <c r="B59" s="172" t="s">
        <v>161</v>
      </c>
      <c r="C59" s="171">
        <v>0</v>
      </c>
      <c r="D59" s="171">
        <v>0</v>
      </c>
      <c r="E59" s="233">
        <f>SUM(E60:E61)</f>
        <v>0</v>
      </c>
      <c r="F59" s="233">
        <f t="shared" ref="F59:G59" si="57">SUM(F60:F61)</f>
        <v>0</v>
      </c>
      <c r="G59" s="233">
        <f t="shared" si="57"/>
        <v>0</v>
      </c>
      <c r="H59" s="233">
        <f t="shared" si="4"/>
        <v>0</v>
      </c>
      <c r="I59" s="233">
        <v>0</v>
      </c>
      <c r="J59" s="233">
        <f>SUM(J60:J61)</f>
        <v>0</v>
      </c>
      <c r="K59" s="233">
        <f t="shared" ref="K59:L59" si="58">SUM(K60:K61)</f>
        <v>0</v>
      </c>
      <c r="L59" s="233">
        <f t="shared" si="58"/>
        <v>0</v>
      </c>
      <c r="M59" s="233">
        <f t="shared" si="5"/>
        <v>0</v>
      </c>
      <c r="N59" s="233">
        <v>0</v>
      </c>
      <c r="O59" s="233">
        <f>SUM(O60:O61)</f>
        <v>0</v>
      </c>
      <c r="P59" s="233">
        <f t="shared" ref="P59:Q59" si="59">SUM(P60:P61)</f>
        <v>0</v>
      </c>
      <c r="Q59" s="233">
        <f t="shared" si="59"/>
        <v>0</v>
      </c>
      <c r="R59" s="233">
        <f t="shared" si="3"/>
        <v>0</v>
      </c>
    </row>
    <row r="60" spans="1:18" s="89" customFormat="1" ht="24" hidden="1" customHeight="1">
      <c r="A60" s="133">
        <v>7460</v>
      </c>
      <c r="B60" s="172" t="s">
        <v>162</v>
      </c>
      <c r="C60" s="171">
        <v>0</v>
      </c>
      <c r="D60" s="171">
        <v>0</v>
      </c>
      <c r="E60" s="252"/>
      <c r="F60" s="252"/>
      <c r="G60" s="252"/>
      <c r="H60" s="233">
        <f t="shared" si="4"/>
        <v>0</v>
      </c>
      <c r="I60" s="252">
        <v>0</v>
      </c>
      <c r="J60" s="252"/>
      <c r="K60" s="252"/>
      <c r="L60" s="252"/>
      <c r="M60" s="233">
        <f t="shared" si="5"/>
        <v>0</v>
      </c>
      <c r="N60" s="252">
        <v>0</v>
      </c>
      <c r="O60" s="252"/>
      <c r="P60" s="252"/>
      <c r="Q60" s="252"/>
      <c r="R60" s="233">
        <f t="shared" si="3"/>
        <v>0</v>
      </c>
    </row>
    <row r="61" spans="1:18" s="89" customFormat="1" ht="48" hidden="1" customHeight="1">
      <c r="A61" s="133">
        <v>7470</v>
      </c>
      <c r="B61" s="179" t="s">
        <v>167</v>
      </c>
      <c r="C61" s="171">
        <v>0</v>
      </c>
      <c r="D61" s="171">
        <v>0</v>
      </c>
      <c r="E61" s="252"/>
      <c r="F61" s="252"/>
      <c r="G61" s="252"/>
      <c r="H61" s="233">
        <f t="shared" si="4"/>
        <v>0</v>
      </c>
      <c r="I61" s="252">
        <v>0</v>
      </c>
      <c r="J61" s="252"/>
      <c r="K61" s="252"/>
      <c r="L61" s="252"/>
      <c r="M61" s="233">
        <f t="shared" si="5"/>
        <v>0</v>
      </c>
      <c r="N61" s="252">
        <v>0</v>
      </c>
      <c r="O61" s="252"/>
      <c r="P61" s="252"/>
      <c r="Q61" s="252"/>
      <c r="R61" s="233">
        <f t="shared" si="3"/>
        <v>0</v>
      </c>
    </row>
    <row r="62" spans="1:18" s="89" customFormat="1" ht="24">
      <c r="A62" s="132">
        <v>7500</v>
      </c>
      <c r="B62" s="179" t="s">
        <v>157</v>
      </c>
      <c r="C62" s="171">
        <v>8879440</v>
      </c>
      <c r="D62" s="171">
        <v>7634864</v>
      </c>
      <c r="E62" s="233"/>
      <c r="F62" s="233"/>
      <c r="G62" s="233"/>
      <c r="H62" s="233">
        <f t="shared" si="4"/>
        <v>7634864</v>
      </c>
      <c r="I62" s="233">
        <v>3873387</v>
      </c>
      <c r="J62" s="233"/>
      <c r="K62" s="233"/>
      <c r="L62" s="233"/>
      <c r="M62" s="233">
        <f t="shared" si="5"/>
        <v>3873387</v>
      </c>
      <c r="N62" s="233">
        <v>0</v>
      </c>
      <c r="O62" s="233"/>
      <c r="P62" s="233"/>
      <c r="Q62" s="233"/>
      <c r="R62" s="233">
        <f t="shared" si="3"/>
        <v>0</v>
      </c>
    </row>
    <row r="63" spans="1:18" s="89" customFormat="1" ht="12">
      <c r="A63" s="140" t="s">
        <v>133</v>
      </c>
      <c r="B63" s="124" t="s">
        <v>122</v>
      </c>
      <c r="C63" s="181">
        <v>18244505</v>
      </c>
      <c r="D63" s="181">
        <v>10745179</v>
      </c>
      <c r="E63" s="254">
        <f>E64+E65</f>
        <v>0</v>
      </c>
      <c r="F63" s="254">
        <f t="shared" ref="F63:G63" si="60">F64+F65</f>
        <v>15000</v>
      </c>
      <c r="G63" s="254">
        <f t="shared" si="60"/>
        <v>810000</v>
      </c>
      <c r="H63" s="233">
        <f t="shared" si="4"/>
        <v>11570179</v>
      </c>
      <c r="I63" s="254">
        <v>5012149</v>
      </c>
      <c r="J63" s="254">
        <f>J64+J65</f>
        <v>0</v>
      </c>
      <c r="K63" s="254">
        <f t="shared" ref="K63:L63" si="61">K64+K65</f>
        <v>0</v>
      </c>
      <c r="L63" s="254">
        <f t="shared" si="61"/>
        <v>0</v>
      </c>
      <c r="M63" s="233">
        <f t="shared" si="5"/>
        <v>5012149</v>
      </c>
      <c r="N63" s="254">
        <v>1370431</v>
      </c>
      <c r="O63" s="254">
        <f>O64+O65</f>
        <v>0</v>
      </c>
      <c r="P63" s="254">
        <f t="shared" ref="P63:Q63" si="62">P64+P65</f>
        <v>0</v>
      </c>
      <c r="Q63" s="254">
        <f t="shared" si="62"/>
        <v>0</v>
      </c>
      <c r="R63" s="233">
        <f t="shared" si="3"/>
        <v>1370431</v>
      </c>
    </row>
    <row r="64" spans="1:18" s="89" customFormat="1" ht="12">
      <c r="A64" s="140">
        <v>5000</v>
      </c>
      <c r="B64" s="124" t="s">
        <v>123</v>
      </c>
      <c r="C64" s="171">
        <v>4523869</v>
      </c>
      <c r="D64" s="171">
        <v>1815811</v>
      </c>
      <c r="E64" s="233"/>
      <c r="F64" s="233">
        <f>F148+F232</f>
        <v>15000</v>
      </c>
      <c r="G64" s="233">
        <f>G148+G232</f>
        <v>810000</v>
      </c>
      <c r="H64" s="233">
        <f t="shared" si="4"/>
        <v>2640811</v>
      </c>
      <c r="I64" s="233">
        <v>1760431</v>
      </c>
      <c r="J64" s="233"/>
      <c r="K64" s="233"/>
      <c r="L64" s="233"/>
      <c r="M64" s="233">
        <f t="shared" si="5"/>
        <v>1760431</v>
      </c>
      <c r="N64" s="233">
        <v>1370431</v>
      </c>
      <c r="O64" s="233"/>
      <c r="P64" s="233"/>
      <c r="Q64" s="233"/>
      <c r="R64" s="233">
        <f t="shared" si="3"/>
        <v>1370431</v>
      </c>
    </row>
    <row r="65" spans="1:18" s="89" customFormat="1" ht="12">
      <c r="A65" s="140">
        <v>9000</v>
      </c>
      <c r="B65" s="182" t="s">
        <v>164</v>
      </c>
      <c r="C65" s="171">
        <v>13720636</v>
      </c>
      <c r="D65" s="171">
        <v>8929368</v>
      </c>
      <c r="E65" s="233">
        <f t="shared" ref="E65:G65" si="63">E66+E72+E76+E79</f>
        <v>0</v>
      </c>
      <c r="F65" s="233">
        <f t="shared" si="63"/>
        <v>0</v>
      </c>
      <c r="G65" s="233">
        <f t="shared" si="63"/>
        <v>0</v>
      </c>
      <c r="H65" s="233">
        <f t="shared" si="4"/>
        <v>8929368</v>
      </c>
      <c r="I65" s="233">
        <v>3251718</v>
      </c>
      <c r="J65" s="233">
        <f t="shared" ref="J65:L65" si="64">J66+J72+J76+J79</f>
        <v>0</v>
      </c>
      <c r="K65" s="233">
        <f t="shared" si="64"/>
        <v>0</v>
      </c>
      <c r="L65" s="233">
        <f t="shared" si="64"/>
        <v>0</v>
      </c>
      <c r="M65" s="233">
        <f t="shared" si="5"/>
        <v>3251718</v>
      </c>
      <c r="N65" s="233">
        <v>0</v>
      </c>
      <c r="O65" s="233">
        <f t="shared" ref="O65:Q65" si="65">O66+O72+O76+O79</f>
        <v>0</v>
      </c>
      <c r="P65" s="233">
        <f t="shared" si="65"/>
        <v>0</v>
      </c>
      <c r="Q65" s="233">
        <f t="shared" si="65"/>
        <v>0</v>
      </c>
      <c r="R65" s="233">
        <f t="shared" si="3"/>
        <v>0</v>
      </c>
    </row>
    <row r="66" spans="1:18" s="89" customFormat="1" ht="12" hidden="1" customHeight="1">
      <c r="A66" s="141">
        <v>9100</v>
      </c>
      <c r="B66" s="179" t="s">
        <v>124</v>
      </c>
      <c r="C66" s="171">
        <v>0</v>
      </c>
      <c r="D66" s="171">
        <v>0</v>
      </c>
      <c r="E66" s="233">
        <f t="shared" ref="E66:G66" si="66">SUM(E67:E68)</f>
        <v>0</v>
      </c>
      <c r="F66" s="233">
        <f t="shared" ref="F66" si="67">SUM(F67:F68)</f>
        <v>0</v>
      </c>
      <c r="G66" s="233">
        <f t="shared" si="66"/>
        <v>0</v>
      </c>
      <c r="H66" s="233">
        <f t="shared" si="4"/>
        <v>0</v>
      </c>
      <c r="I66" s="233">
        <v>0</v>
      </c>
      <c r="J66" s="233">
        <f t="shared" ref="J66:L66" si="68">SUM(J67:J68)</f>
        <v>0</v>
      </c>
      <c r="K66" s="233">
        <f t="shared" si="68"/>
        <v>0</v>
      </c>
      <c r="L66" s="233">
        <f t="shared" si="68"/>
        <v>0</v>
      </c>
      <c r="M66" s="233">
        <f t="shared" si="5"/>
        <v>0</v>
      </c>
      <c r="N66" s="233">
        <v>0</v>
      </c>
      <c r="O66" s="233">
        <f t="shared" ref="O66:Q66" si="69">SUM(O67:O68)</f>
        <v>0</v>
      </c>
      <c r="P66" s="233">
        <f t="shared" si="69"/>
        <v>0</v>
      </c>
      <c r="Q66" s="233">
        <f t="shared" si="69"/>
        <v>0</v>
      </c>
      <c r="R66" s="233">
        <f t="shared" si="3"/>
        <v>0</v>
      </c>
    </row>
    <row r="67" spans="1:18" s="89" customFormat="1" ht="36" hidden="1" customHeight="1">
      <c r="A67" s="133" t="s">
        <v>125</v>
      </c>
      <c r="B67" s="179" t="s">
        <v>214</v>
      </c>
      <c r="C67" s="171">
        <v>0</v>
      </c>
      <c r="D67" s="171">
        <v>0</v>
      </c>
      <c r="E67" s="233"/>
      <c r="F67" s="233"/>
      <c r="G67" s="233"/>
      <c r="H67" s="233">
        <f t="shared" si="4"/>
        <v>0</v>
      </c>
      <c r="I67" s="233">
        <v>0</v>
      </c>
      <c r="J67" s="233"/>
      <c r="K67" s="233"/>
      <c r="L67" s="233"/>
      <c r="M67" s="233">
        <f t="shared" si="5"/>
        <v>0</v>
      </c>
      <c r="N67" s="233">
        <v>0</v>
      </c>
      <c r="O67" s="233"/>
      <c r="P67" s="233"/>
      <c r="Q67" s="233"/>
      <c r="R67" s="233">
        <f t="shared" si="3"/>
        <v>0</v>
      </c>
    </row>
    <row r="68" spans="1:18" s="89" customFormat="1" ht="36" hidden="1" customHeight="1">
      <c r="A68" s="133">
        <v>9140</v>
      </c>
      <c r="B68" s="179" t="s">
        <v>215</v>
      </c>
      <c r="C68" s="171">
        <v>0</v>
      </c>
      <c r="D68" s="171">
        <v>0</v>
      </c>
      <c r="E68" s="233">
        <f>SUM(E69:E71)</f>
        <v>0</v>
      </c>
      <c r="F68" s="233">
        <f t="shared" ref="F68:G68" si="70">SUM(F69:F71)</f>
        <v>0</v>
      </c>
      <c r="G68" s="233">
        <f t="shared" si="70"/>
        <v>0</v>
      </c>
      <c r="H68" s="233">
        <f t="shared" si="4"/>
        <v>0</v>
      </c>
      <c r="I68" s="233">
        <v>0</v>
      </c>
      <c r="J68" s="233">
        <f>SUM(J69:J71)</f>
        <v>0</v>
      </c>
      <c r="K68" s="233">
        <f t="shared" ref="K68:L68" si="71">SUM(K69:K71)</f>
        <v>0</v>
      </c>
      <c r="L68" s="233">
        <f t="shared" si="71"/>
        <v>0</v>
      </c>
      <c r="M68" s="233">
        <f t="shared" si="5"/>
        <v>0</v>
      </c>
      <c r="N68" s="233">
        <v>0</v>
      </c>
      <c r="O68" s="233">
        <f>SUM(O69:O71)</f>
        <v>0</v>
      </c>
      <c r="P68" s="233">
        <f t="shared" ref="P68:Q68" si="72">SUM(P69:P71)</f>
        <v>0</v>
      </c>
      <c r="Q68" s="233">
        <f t="shared" si="72"/>
        <v>0</v>
      </c>
      <c r="R68" s="233">
        <f t="shared" si="3"/>
        <v>0</v>
      </c>
    </row>
    <row r="69" spans="1:18" s="89" customFormat="1" ht="36" hidden="1" customHeight="1">
      <c r="A69" s="134">
        <v>9141</v>
      </c>
      <c r="B69" s="172" t="s">
        <v>190</v>
      </c>
      <c r="C69" s="171">
        <v>0</v>
      </c>
      <c r="D69" s="171">
        <v>0</v>
      </c>
      <c r="E69" s="252"/>
      <c r="F69" s="252"/>
      <c r="G69" s="252"/>
      <c r="H69" s="233">
        <f t="shared" si="4"/>
        <v>0</v>
      </c>
      <c r="I69" s="252">
        <v>0</v>
      </c>
      <c r="J69" s="252"/>
      <c r="K69" s="252"/>
      <c r="L69" s="252"/>
      <c r="M69" s="233">
        <f t="shared" si="5"/>
        <v>0</v>
      </c>
      <c r="N69" s="252">
        <v>0</v>
      </c>
      <c r="O69" s="252"/>
      <c r="P69" s="252"/>
      <c r="Q69" s="252"/>
      <c r="R69" s="233">
        <f t="shared" si="3"/>
        <v>0</v>
      </c>
    </row>
    <row r="70" spans="1:18" s="89" customFormat="1" ht="36" hidden="1" customHeight="1">
      <c r="A70" s="134">
        <v>9142</v>
      </c>
      <c r="B70" s="172" t="s">
        <v>191</v>
      </c>
      <c r="C70" s="171">
        <v>0</v>
      </c>
      <c r="D70" s="171">
        <v>0</v>
      </c>
      <c r="E70" s="252"/>
      <c r="F70" s="252"/>
      <c r="G70" s="252"/>
      <c r="H70" s="233">
        <f t="shared" si="4"/>
        <v>0</v>
      </c>
      <c r="I70" s="252">
        <v>0</v>
      </c>
      <c r="J70" s="252"/>
      <c r="K70" s="252"/>
      <c r="L70" s="252"/>
      <c r="M70" s="233">
        <f t="shared" si="5"/>
        <v>0</v>
      </c>
      <c r="N70" s="252">
        <v>0</v>
      </c>
      <c r="O70" s="252"/>
      <c r="P70" s="252"/>
      <c r="Q70" s="252"/>
      <c r="R70" s="233">
        <f t="shared" si="3"/>
        <v>0</v>
      </c>
    </row>
    <row r="71" spans="1:18" s="89" customFormat="1" ht="36" hidden="1" customHeight="1">
      <c r="A71" s="134">
        <v>9149</v>
      </c>
      <c r="B71" s="172" t="s">
        <v>192</v>
      </c>
      <c r="C71" s="171">
        <v>0</v>
      </c>
      <c r="D71" s="171">
        <v>0</v>
      </c>
      <c r="E71" s="252"/>
      <c r="F71" s="252"/>
      <c r="G71" s="252"/>
      <c r="H71" s="233">
        <f t="shared" si="4"/>
        <v>0</v>
      </c>
      <c r="I71" s="252">
        <v>0</v>
      </c>
      <c r="J71" s="252"/>
      <c r="K71" s="252"/>
      <c r="L71" s="252"/>
      <c r="M71" s="233">
        <f t="shared" si="5"/>
        <v>0</v>
      </c>
      <c r="N71" s="252">
        <v>0</v>
      </c>
      <c r="O71" s="252"/>
      <c r="P71" s="252"/>
      <c r="Q71" s="252"/>
      <c r="R71" s="233">
        <f t="shared" si="3"/>
        <v>0</v>
      </c>
    </row>
    <row r="72" spans="1:18" s="29" customFormat="1" ht="24">
      <c r="A72" s="141">
        <v>9500</v>
      </c>
      <c r="B72" s="172" t="s">
        <v>165</v>
      </c>
      <c r="C72" s="171">
        <v>12807818</v>
      </c>
      <c r="D72" s="171">
        <v>8293165</v>
      </c>
      <c r="E72" s="233">
        <f>SUM(E73:E75)</f>
        <v>0</v>
      </c>
      <c r="F72" s="233">
        <f t="shared" ref="F72:G72" si="73">SUM(F73:F75)</f>
        <v>0</v>
      </c>
      <c r="G72" s="233">
        <f t="shared" si="73"/>
        <v>0</v>
      </c>
      <c r="H72" s="233">
        <f t="shared" si="4"/>
        <v>8293165</v>
      </c>
      <c r="I72" s="233">
        <v>3251718</v>
      </c>
      <c r="J72" s="233">
        <f>SUM(J73:J75)</f>
        <v>0</v>
      </c>
      <c r="K72" s="233">
        <f t="shared" ref="K72:L72" si="74">SUM(K73:K75)</f>
        <v>0</v>
      </c>
      <c r="L72" s="233">
        <f t="shared" si="74"/>
        <v>0</v>
      </c>
      <c r="M72" s="233">
        <f t="shared" si="5"/>
        <v>3251718</v>
      </c>
      <c r="N72" s="233">
        <v>0</v>
      </c>
      <c r="O72" s="233">
        <f>SUM(O73:O75)</f>
        <v>0</v>
      </c>
      <c r="P72" s="233">
        <f t="shared" ref="P72:Q72" si="75">SUM(P73:P75)</f>
        <v>0</v>
      </c>
      <c r="Q72" s="233">
        <f t="shared" si="75"/>
        <v>0</v>
      </c>
      <c r="R72" s="233">
        <f t="shared" si="3"/>
        <v>0</v>
      </c>
    </row>
    <row r="73" spans="1:18" s="29" customFormat="1" ht="24" hidden="1" customHeight="1">
      <c r="A73" s="133" t="s">
        <v>193</v>
      </c>
      <c r="B73" s="172" t="s">
        <v>171</v>
      </c>
      <c r="C73" s="171">
        <v>0</v>
      </c>
      <c r="D73" s="171">
        <v>0</v>
      </c>
      <c r="E73" s="233"/>
      <c r="F73" s="233"/>
      <c r="G73" s="233"/>
      <c r="H73" s="233">
        <f t="shared" si="4"/>
        <v>0</v>
      </c>
      <c r="I73" s="233">
        <v>0</v>
      </c>
      <c r="J73" s="233"/>
      <c r="K73" s="233"/>
      <c r="L73" s="233"/>
      <c r="M73" s="233">
        <f t="shared" si="5"/>
        <v>0</v>
      </c>
      <c r="N73" s="233">
        <v>0</v>
      </c>
      <c r="O73" s="233"/>
      <c r="P73" s="233"/>
      <c r="Q73" s="233"/>
      <c r="R73" s="233">
        <f t="shared" si="3"/>
        <v>0</v>
      </c>
    </row>
    <row r="74" spans="1:18" s="28" customFormat="1" ht="48">
      <c r="A74" s="133">
        <v>9580</v>
      </c>
      <c r="B74" s="172" t="s">
        <v>166</v>
      </c>
      <c r="C74" s="171">
        <v>12102818</v>
      </c>
      <c r="D74" s="171">
        <v>6346937</v>
      </c>
      <c r="E74" s="252"/>
      <c r="F74" s="252"/>
      <c r="G74" s="252"/>
      <c r="H74" s="233">
        <f t="shared" si="4"/>
        <v>6346937</v>
      </c>
      <c r="I74" s="252">
        <v>3251718</v>
      </c>
      <c r="J74" s="252"/>
      <c r="K74" s="252"/>
      <c r="L74" s="252"/>
      <c r="M74" s="233">
        <f t="shared" si="5"/>
        <v>3251718</v>
      </c>
      <c r="N74" s="252">
        <v>0</v>
      </c>
      <c r="O74" s="252"/>
      <c r="P74" s="252"/>
      <c r="Q74" s="252"/>
      <c r="R74" s="233">
        <f t="shared" ref="R74:R137" si="76">SUM(N74:Q74)</f>
        <v>0</v>
      </c>
    </row>
    <row r="75" spans="1:18" s="4" customFormat="1" ht="48">
      <c r="A75" s="133">
        <v>9590</v>
      </c>
      <c r="B75" s="179" t="s">
        <v>172</v>
      </c>
      <c r="C75" s="171">
        <v>705000</v>
      </c>
      <c r="D75" s="171">
        <v>1946228</v>
      </c>
      <c r="E75" s="252"/>
      <c r="F75" s="252"/>
      <c r="G75" s="252"/>
      <c r="H75" s="233">
        <f t="shared" ref="H75:H138" si="77">SUM(D75:G75)</f>
        <v>1946228</v>
      </c>
      <c r="I75" s="252">
        <v>0</v>
      </c>
      <c r="J75" s="252"/>
      <c r="K75" s="252"/>
      <c r="L75" s="252"/>
      <c r="M75" s="233">
        <f t="shared" ref="M75:M138" si="78">SUM(I75:L75)</f>
        <v>0</v>
      </c>
      <c r="N75" s="252">
        <v>0</v>
      </c>
      <c r="O75" s="252"/>
      <c r="P75" s="252"/>
      <c r="Q75" s="252"/>
      <c r="R75" s="233">
        <f t="shared" si="76"/>
        <v>0</v>
      </c>
    </row>
    <row r="76" spans="1:18" ht="24" hidden="1" customHeight="1">
      <c r="A76" s="141">
        <v>9700</v>
      </c>
      <c r="B76" s="183" t="s">
        <v>194</v>
      </c>
      <c r="C76" s="171">
        <v>0</v>
      </c>
      <c r="D76" s="171">
        <v>0</v>
      </c>
      <c r="E76" s="233">
        <f>SUM(E77:E78)</f>
        <v>0</v>
      </c>
      <c r="F76" s="233">
        <f t="shared" ref="F76:G76" si="79">SUM(F77:F78)</f>
        <v>0</v>
      </c>
      <c r="G76" s="233">
        <f t="shared" si="79"/>
        <v>0</v>
      </c>
      <c r="H76" s="233">
        <f t="shared" si="77"/>
        <v>0</v>
      </c>
      <c r="I76" s="233">
        <v>0</v>
      </c>
      <c r="J76" s="233">
        <f>SUM(J77:J78)</f>
        <v>0</v>
      </c>
      <c r="K76" s="233">
        <f t="shared" ref="K76:L76" si="80">SUM(K77:K78)</f>
        <v>0</v>
      </c>
      <c r="L76" s="233">
        <f t="shared" si="80"/>
        <v>0</v>
      </c>
      <c r="M76" s="233">
        <f t="shared" si="78"/>
        <v>0</v>
      </c>
      <c r="N76" s="233">
        <v>0</v>
      </c>
      <c r="O76" s="233">
        <f>SUM(O77:O78)</f>
        <v>0</v>
      </c>
      <c r="P76" s="233">
        <f t="shared" ref="P76:Q76" si="81">SUM(P77:P78)</f>
        <v>0</v>
      </c>
      <c r="Q76" s="233">
        <f t="shared" si="81"/>
        <v>0</v>
      </c>
      <c r="R76" s="233">
        <f t="shared" si="76"/>
        <v>0</v>
      </c>
    </row>
    <row r="77" spans="1:18" ht="24" hidden="1" customHeight="1">
      <c r="A77" s="133">
        <v>9710</v>
      </c>
      <c r="B77" s="184" t="s">
        <v>195</v>
      </c>
      <c r="C77" s="171">
        <v>0</v>
      </c>
      <c r="D77" s="171">
        <v>0</v>
      </c>
      <c r="E77" s="252"/>
      <c r="F77" s="252"/>
      <c r="G77" s="252"/>
      <c r="H77" s="233">
        <f t="shared" si="77"/>
        <v>0</v>
      </c>
      <c r="I77" s="252">
        <v>0</v>
      </c>
      <c r="J77" s="252"/>
      <c r="K77" s="252"/>
      <c r="L77" s="252"/>
      <c r="M77" s="233">
        <f t="shared" si="78"/>
        <v>0</v>
      </c>
      <c r="N77" s="252">
        <v>0</v>
      </c>
      <c r="O77" s="252"/>
      <c r="P77" s="252"/>
      <c r="Q77" s="252"/>
      <c r="R77" s="233">
        <f t="shared" si="76"/>
        <v>0</v>
      </c>
    </row>
    <row r="78" spans="1:18" ht="48" hidden="1" customHeight="1">
      <c r="A78" s="142">
        <v>9720</v>
      </c>
      <c r="B78" s="183" t="s">
        <v>196</v>
      </c>
      <c r="C78" s="171">
        <v>0</v>
      </c>
      <c r="D78" s="171">
        <v>0</v>
      </c>
      <c r="E78" s="252"/>
      <c r="F78" s="252"/>
      <c r="G78" s="252"/>
      <c r="H78" s="233">
        <f t="shared" si="77"/>
        <v>0</v>
      </c>
      <c r="I78" s="252">
        <v>0</v>
      </c>
      <c r="J78" s="252"/>
      <c r="K78" s="252"/>
      <c r="L78" s="252"/>
      <c r="M78" s="233">
        <f t="shared" si="78"/>
        <v>0</v>
      </c>
      <c r="N78" s="252">
        <v>0</v>
      </c>
      <c r="O78" s="252"/>
      <c r="P78" s="252"/>
      <c r="Q78" s="252"/>
      <c r="R78" s="233">
        <f t="shared" si="76"/>
        <v>0</v>
      </c>
    </row>
    <row r="79" spans="1:18" ht="24">
      <c r="A79" s="141">
        <v>9600</v>
      </c>
      <c r="B79" s="179" t="s">
        <v>134</v>
      </c>
      <c r="C79" s="171">
        <v>912818</v>
      </c>
      <c r="D79" s="171">
        <v>636203</v>
      </c>
      <c r="E79" s="252"/>
      <c r="F79" s="252"/>
      <c r="G79" s="252"/>
      <c r="H79" s="233">
        <f t="shared" si="77"/>
        <v>636203</v>
      </c>
      <c r="I79" s="252">
        <v>0</v>
      </c>
      <c r="J79" s="252"/>
      <c r="K79" s="252"/>
      <c r="L79" s="252"/>
      <c r="M79" s="233">
        <f t="shared" si="78"/>
        <v>0</v>
      </c>
      <c r="N79" s="252">
        <v>0</v>
      </c>
      <c r="O79" s="252"/>
      <c r="P79" s="252"/>
      <c r="Q79" s="252"/>
      <c r="R79" s="233">
        <f t="shared" si="76"/>
        <v>0</v>
      </c>
    </row>
    <row r="80" spans="1:18" ht="40.799999999999997">
      <c r="A80" s="130" t="s">
        <v>197</v>
      </c>
      <c r="B80" s="185" t="s">
        <v>47</v>
      </c>
      <c r="C80" s="181">
        <v>-307925</v>
      </c>
      <c r="D80" s="181">
        <v>-307925</v>
      </c>
      <c r="E80" s="262">
        <f>E10-E35</f>
        <v>0</v>
      </c>
      <c r="F80" s="262">
        <f t="shared" ref="F80:G80" si="82">F10-F35</f>
        <v>0</v>
      </c>
      <c r="G80" s="262">
        <f t="shared" si="82"/>
        <v>0</v>
      </c>
      <c r="H80" s="233">
        <f t="shared" si="77"/>
        <v>-307925</v>
      </c>
      <c r="I80" s="262">
        <v>-307925</v>
      </c>
      <c r="J80" s="262">
        <f>J10-J35</f>
        <v>0</v>
      </c>
      <c r="K80" s="262">
        <f t="shared" ref="K80:L80" si="83">K10-K35</f>
        <v>0</v>
      </c>
      <c r="L80" s="262">
        <f t="shared" si="83"/>
        <v>0</v>
      </c>
      <c r="M80" s="233">
        <f t="shared" si="78"/>
        <v>-307925</v>
      </c>
      <c r="N80" s="262">
        <v>-307925</v>
      </c>
      <c r="O80" s="262">
        <f>O10-O35</f>
        <v>0</v>
      </c>
      <c r="P80" s="262">
        <f t="shared" ref="P80:Q80" si="84">P10-P35</f>
        <v>0</v>
      </c>
      <c r="Q80" s="262">
        <f t="shared" si="84"/>
        <v>0</v>
      </c>
      <c r="R80" s="233">
        <f t="shared" si="76"/>
        <v>-307925</v>
      </c>
    </row>
    <row r="81" spans="1:18" ht="12">
      <c r="A81" s="143" t="s">
        <v>48</v>
      </c>
      <c r="B81" s="185" t="s">
        <v>49</v>
      </c>
      <c r="C81" s="186">
        <v>307925</v>
      </c>
      <c r="D81" s="186">
        <v>307925</v>
      </c>
      <c r="E81" s="262">
        <f>E82+E85+E89+E88</f>
        <v>0</v>
      </c>
      <c r="F81" s="262">
        <f t="shared" ref="F81:G81" si="85">F82+F85+F89+F88</f>
        <v>0</v>
      </c>
      <c r="G81" s="262">
        <f t="shared" si="85"/>
        <v>0</v>
      </c>
      <c r="H81" s="233">
        <f t="shared" si="77"/>
        <v>307925</v>
      </c>
      <c r="I81" s="262">
        <v>307925</v>
      </c>
      <c r="J81" s="262">
        <f>J82+J85+J89+J88</f>
        <v>0</v>
      </c>
      <c r="K81" s="262">
        <f t="shared" ref="K81:L81" si="86">K82+K85+K89+K88</f>
        <v>0</v>
      </c>
      <c r="L81" s="262">
        <f t="shared" si="86"/>
        <v>0</v>
      </c>
      <c r="M81" s="233">
        <f t="shared" si="78"/>
        <v>307925</v>
      </c>
      <c r="N81" s="262">
        <v>307925</v>
      </c>
      <c r="O81" s="262">
        <f>O82+O85+O89+O88</f>
        <v>0</v>
      </c>
      <c r="P81" s="262">
        <f t="shared" ref="P81:Q81" si="87">P82+P85+P89+P88</f>
        <v>0</v>
      </c>
      <c r="Q81" s="262">
        <f t="shared" si="87"/>
        <v>0</v>
      </c>
      <c r="R81" s="233">
        <f t="shared" si="76"/>
        <v>307925</v>
      </c>
    </row>
    <row r="82" spans="1:18" s="4" customFormat="1" ht="12" hidden="1" customHeight="1">
      <c r="A82" s="141" t="s">
        <v>50</v>
      </c>
      <c r="B82" s="179" t="s">
        <v>51</v>
      </c>
      <c r="C82" s="169">
        <v>0</v>
      </c>
      <c r="D82" s="169">
        <v>0</v>
      </c>
      <c r="E82" s="231">
        <f>E83+E84</f>
        <v>0</v>
      </c>
      <c r="F82" s="231">
        <f t="shared" ref="F82:G82" si="88">F83+F84</f>
        <v>0</v>
      </c>
      <c r="G82" s="231">
        <f t="shared" si="88"/>
        <v>0</v>
      </c>
      <c r="H82" s="233">
        <f t="shared" si="77"/>
        <v>0</v>
      </c>
      <c r="I82" s="231">
        <v>0</v>
      </c>
      <c r="J82" s="231">
        <f>J83+J84</f>
        <v>0</v>
      </c>
      <c r="K82" s="231">
        <f t="shared" ref="K82:L82" si="89">K83+K84</f>
        <v>0</v>
      </c>
      <c r="L82" s="231">
        <f t="shared" si="89"/>
        <v>0</v>
      </c>
      <c r="M82" s="233">
        <f t="shared" si="78"/>
        <v>0</v>
      </c>
      <c r="N82" s="231">
        <v>0</v>
      </c>
      <c r="O82" s="231">
        <f>O83+O84</f>
        <v>0</v>
      </c>
      <c r="P82" s="231">
        <f t="shared" ref="P82:Q82" si="90">P83+P84</f>
        <v>0</v>
      </c>
      <c r="Q82" s="231">
        <f t="shared" si="90"/>
        <v>0</v>
      </c>
      <c r="R82" s="233">
        <f t="shared" si="76"/>
        <v>0</v>
      </c>
    </row>
    <row r="83" spans="1:18" s="6" customFormat="1" ht="12" hidden="1" customHeight="1">
      <c r="A83" s="141" t="s">
        <v>52</v>
      </c>
      <c r="B83" s="179" t="s">
        <v>53</v>
      </c>
      <c r="C83" s="169">
        <v>0</v>
      </c>
      <c r="D83" s="169">
        <v>0</v>
      </c>
      <c r="E83" s="231"/>
      <c r="F83" s="231"/>
      <c r="G83" s="231"/>
      <c r="H83" s="233">
        <f t="shared" si="77"/>
        <v>0</v>
      </c>
      <c r="I83" s="231">
        <v>0</v>
      </c>
      <c r="J83" s="231"/>
      <c r="K83" s="231"/>
      <c r="L83" s="231"/>
      <c r="M83" s="233">
        <f t="shared" si="78"/>
        <v>0</v>
      </c>
      <c r="N83" s="231">
        <v>0</v>
      </c>
      <c r="O83" s="231"/>
      <c r="P83" s="231"/>
      <c r="Q83" s="231"/>
      <c r="R83" s="233">
        <f t="shared" si="76"/>
        <v>0</v>
      </c>
    </row>
    <row r="84" spans="1:18" s="6" customFormat="1" ht="12" hidden="1" customHeight="1">
      <c r="A84" s="141" t="s">
        <v>54</v>
      </c>
      <c r="B84" s="179" t="s">
        <v>55</v>
      </c>
      <c r="C84" s="169">
        <v>0</v>
      </c>
      <c r="D84" s="169">
        <v>0</v>
      </c>
      <c r="E84" s="231"/>
      <c r="F84" s="231"/>
      <c r="G84" s="231"/>
      <c r="H84" s="233">
        <f t="shared" si="77"/>
        <v>0</v>
      </c>
      <c r="I84" s="231">
        <v>0</v>
      </c>
      <c r="J84" s="231"/>
      <c r="K84" s="231"/>
      <c r="L84" s="231"/>
      <c r="M84" s="233">
        <f t="shared" si="78"/>
        <v>0</v>
      </c>
      <c r="N84" s="231">
        <v>0</v>
      </c>
      <c r="O84" s="231"/>
      <c r="P84" s="231"/>
      <c r="Q84" s="231"/>
      <c r="R84" s="233">
        <f t="shared" si="76"/>
        <v>0</v>
      </c>
    </row>
    <row r="85" spans="1:18" s="6" customFormat="1" ht="12" hidden="1" customHeight="1">
      <c r="A85" s="141" t="s">
        <v>56</v>
      </c>
      <c r="B85" s="179" t="s">
        <v>57</v>
      </c>
      <c r="C85" s="169">
        <v>0</v>
      </c>
      <c r="D85" s="169">
        <v>0</v>
      </c>
      <c r="E85" s="231">
        <f>E86+E87</f>
        <v>0</v>
      </c>
      <c r="F85" s="231">
        <f t="shared" ref="F85:G85" si="91">F86+F87</f>
        <v>0</v>
      </c>
      <c r="G85" s="231">
        <f t="shared" si="91"/>
        <v>0</v>
      </c>
      <c r="H85" s="233">
        <f t="shared" si="77"/>
        <v>0</v>
      </c>
      <c r="I85" s="231">
        <v>0</v>
      </c>
      <c r="J85" s="231">
        <f>J86+J87</f>
        <v>0</v>
      </c>
      <c r="K85" s="231">
        <f t="shared" ref="K85:L85" si="92">K86+K87</f>
        <v>0</v>
      </c>
      <c r="L85" s="231">
        <f t="shared" si="92"/>
        <v>0</v>
      </c>
      <c r="M85" s="233">
        <f t="shared" si="78"/>
        <v>0</v>
      </c>
      <c r="N85" s="231">
        <v>0</v>
      </c>
      <c r="O85" s="231">
        <f>O86+O87</f>
        <v>0</v>
      </c>
      <c r="P85" s="231">
        <f t="shared" ref="P85:Q85" si="93">P86+P87</f>
        <v>0</v>
      </c>
      <c r="Q85" s="231">
        <f t="shared" si="93"/>
        <v>0</v>
      </c>
      <c r="R85" s="233">
        <f t="shared" si="76"/>
        <v>0</v>
      </c>
    </row>
    <row r="86" spans="1:18" s="6" customFormat="1" ht="12" hidden="1" customHeight="1">
      <c r="A86" s="141" t="s">
        <v>58</v>
      </c>
      <c r="B86" s="179" t="s">
        <v>59</v>
      </c>
      <c r="C86" s="169">
        <v>0</v>
      </c>
      <c r="D86" s="169">
        <v>0</v>
      </c>
      <c r="E86" s="231"/>
      <c r="F86" s="231"/>
      <c r="G86" s="231"/>
      <c r="H86" s="233">
        <f t="shared" si="77"/>
        <v>0</v>
      </c>
      <c r="I86" s="231">
        <v>0</v>
      </c>
      <c r="J86" s="231"/>
      <c r="K86" s="231"/>
      <c r="L86" s="231"/>
      <c r="M86" s="233">
        <f t="shared" si="78"/>
        <v>0</v>
      </c>
      <c r="N86" s="231">
        <v>0</v>
      </c>
      <c r="O86" s="231"/>
      <c r="P86" s="231"/>
      <c r="Q86" s="231"/>
      <c r="R86" s="233">
        <f t="shared" si="76"/>
        <v>0</v>
      </c>
    </row>
    <row r="87" spans="1:18" s="6" customFormat="1" ht="12" hidden="1" customHeight="1">
      <c r="A87" s="141" t="s">
        <v>60</v>
      </c>
      <c r="B87" s="179" t="s">
        <v>61</v>
      </c>
      <c r="C87" s="169">
        <v>0</v>
      </c>
      <c r="D87" s="169">
        <v>0</v>
      </c>
      <c r="E87" s="231"/>
      <c r="F87" s="231"/>
      <c r="G87" s="231"/>
      <c r="H87" s="233">
        <f t="shared" si="77"/>
        <v>0</v>
      </c>
      <c r="I87" s="231">
        <v>0</v>
      </c>
      <c r="J87" s="231"/>
      <c r="K87" s="231"/>
      <c r="L87" s="231"/>
      <c r="M87" s="233">
        <f t="shared" si="78"/>
        <v>0</v>
      </c>
      <c r="N87" s="231">
        <v>0</v>
      </c>
      <c r="O87" s="231"/>
      <c r="P87" s="231"/>
      <c r="Q87" s="231"/>
      <c r="R87" s="233">
        <f t="shared" si="76"/>
        <v>0</v>
      </c>
    </row>
    <row r="88" spans="1:18" s="6" customFormat="1" ht="24" hidden="1" customHeight="1">
      <c r="A88" s="141" t="s">
        <v>198</v>
      </c>
      <c r="B88" s="187" t="s">
        <v>168</v>
      </c>
      <c r="C88" s="169">
        <v>0</v>
      </c>
      <c r="D88" s="169">
        <v>0</v>
      </c>
      <c r="E88" s="231"/>
      <c r="F88" s="231"/>
      <c r="G88" s="231"/>
      <c r="H88" s="233">
        <f t="shared" si="77"/>
        <v>0</v>
      </c>
      <c r="I88" s="231">
        <v>0</v>
      </c>
      <c r="J88" s="231"/>
      <c r="K88" s="231"/>
      <c r="L88" s="231"/>
      <c r="M88" s="233">
        <f t="shared" si="78"/>
        <v>0</v>
      </c>
      <c r="N88" s="231">
        <v>0</v>
      </c>
      <c r="O88" s="231"/>
      <c r="P88" s="231"/>
      <c r="Q88" s="231"/>
      <c r="R88" s="233">
        <f t="shared" si="76"/>
        <v>0</v>
      </c>
    </row>
    <row r="89" spans="1:18" s="6" customFormat="1" ht="12">
      <c r="A89" s="144" t="s">
        <v>62</v>
      </c>
      <c r="B89" s="125" t="s">
        <v>63</v>
      </c>
      <c r="C89" s="171">
        <v>307925</v>
      </c>
      <c r="D89" s="171">
        <v>307925</v>
      </c>
      <c r="E89" s="233">
        <f t="shared" ref="E89:G89" si="94">E90+E91+E92</f>
        <v>0</v>
      </c>
      <c r="F89" s="233">
        <f t="shared" si="94"/>
        <v>0</v>
      </c>
      <c r="G89" s="233">
        <f t="shared" si="94"/>
        <v>0</v>
      </c>
      <c r="H89" s="233">
        <f t="shared" si="77"/>
        <v>307925</v>
      </c>
      <c r="I89" s="233">
        <v>307925</v>
      </c>
      <c r="J89" s="233">
        <f t="shared" ref="J89:L89" si="95">J90+J91+J92</f>
        <v>0</v>
      </c>
      <c r="K89" s="233">
        <f t="shared" si="95"/>
        <v>0</v>
      </c>
      <c r="L89" s="233">
        <f t="shared" si="95"/>
        <v>0</v>
      </c>
      <c r="M89" s="233">
        <f t="shared" si="78"/>
        <v>307925</v>
      </c>
      <c r="N89" s="233">
        <v>307925</v>
      </c>
      <c r="O89" s="233">
        <f t="shared" ref="O89:Q89" si="96">O90+O91+O92</f>
        <v>0</v>
      </c>
      <c r="P89" s="233">
        <f t="shared" si="96"/>
        <v>0</v>
      </c>
      <c r="Q89" s="233">
        <f t="shared" si="96"/>
        <v>0</v>
      </c>
      <c r="R89" s="233">
        <f t="shared" si="76"/>
        <v>307925</v>
      </c>
    </row>
    <row r="90" spans="1:18" s="6" customFormat="1" ht="36">
      <c r="A90" s="144" t="s">
        <v>64</v>
      </c>
      <c r="B90" s="179" t="s">
        <v>65</v>
      </c>
      <c r="C90" s="171">
        <v>307925</v>
      </c>
      <c r="D90" s="171">
        <v>307925</v>
      </c>
      <c r="E90" s="231"/>
      <c r="F90" s="231"/>
      <c r="G90" s="231"/>
      <c r="H90" s="233">
        <f t="shared" si="77"/>
        <v>307925</v>
      </c>
      <c r="I90" s="231">
        <v>307925</v>
      </c>
      <c r="J90" s="231"/>
      <c r="K90" s="231"/>
      <c r="L90" s="231"/>
      <c r="M90" s="233">
        <f t="shared" si="78"/>
        <v>307925</v>
      </c>
      <c r="N90" s="231">
        <v>307925</v>
      </c>
      <c r="O90" s="231"/>
      <c r="P90" s="231"/>
      <c r="Q90" s="231"/>
      <c r="R90" s="233">
        <f t="shared" si="76"/>
        <v>307925</v>
      </c>
    </row>
    <row r="91" spans="1:18" s="6" customFormat="1" ht="36" hidden="1" customHeight="1">
      <c r="A91" s="144" t="s">
        <v>66</v>
      </c>
      <c r="B91" s="179" t="s">
        <v>67</v>
      </c>
      <c r="C91" s="169">
        <v>0</v>
      </c>
      <c r="D91" s="169">
        <v>0</v>
      </c>
      <c r="E91" s="231"/>
      <c r="F91" s="231"/>
      <c r="G91" s="231"/>
      <c r="H91" s="233">
        <f t="shared" si="77"/>
        <v>0</v>
      </c>
      <c r="I91" s="231">
        <v>0</v>
      </c>
      <c r="J91" s="231"/>
      <c r="K91" s="231"/>
      <c r="L91" s="231"/>
      <c r="M91" s="233">
        <f t="shared" si="78"/>
        <v>0</v>
      </c>
      <c r="N91" s="231">
        <v>0</v>
      </c>
      <c r="O91" s="231"/>
      <c r="P91" s="231"/>
      <c r="Q91" s="231"/>
      <c r="R91" s="233">
        <f t="shared" si="76"/>
        <v>0</v>
      </c>
    </row>
    <row r="92" spans="1:18" s="6" customFormat="1" ht="36" hidden="1" customHeight="1">
      <c r="A92" s="144" t="s">
        <v>68</v>
      </c>
      <c r="B92" s="125" t="s">
        <v>69</v>
      </c>
      <c r="C92" s="169">
        <v>0</v>
      </c>
      <c r="D92" s="169">
        <v>0</v>
      </c>
      <c r="E92" s="231"/>
      <c r="F92" s="231"/>
      <c r="G92" s="231"/>
      <c r="H92" s="233">
        <f t="shared" si="77"/>
        <v>0</v>
      </c>
      <c r="I92" s="231">
        <v>0</v>
      </c>
      <c r="J92" s="231"/>
      <c r="K92" s="231"/>
      <c r="L92" s="231"/>
      <c r="M92" s="233">
        <f t="shared" si="78"/>
        <v>0</v>
      </c>
      <c r="N92" s="231">
        <v>0</v>
      </c>
      <c r="O92" s="231"/>
      <c r="P92" s="231"/>
      <c r="Q92" s="231"/>
      <c r="R92" s="233">
        <f t="shared" si="76"/>
        <v>0</v>
      </c>
    </row>
    <row r="93" spans="1:18" s="6" customFormat="1" ht="12">
      <c r="A93" s="145"/>
      <c r="B93" s="188" t="s">
        <v>199</v>
      </c>
      <c r="C93" s="293"/>
      <c r="D93" s="294"/>
      <c r="E93" s="347"/>
      <c r="F93" s="347"/>
      <c r="G93" s="347"/>
      <c r="H93" s="347">
        <f t="shared" si="77"/>
        <v>0</v>
      </c>
      <c r="I93" s="347"/>
      <c r="J93" s="347"/>
      <c r="K93" s="347"/>
      <c r="L93" s="347"/>
      <c r="M93" s="347">
        <f t="shared" si="78"/>
        <v>0</v>
      </c>
      <c r="N93" s="347"/>
      <c r="O93" s="347"/>
      <c r="P93" s="347"/>
      <c r="Q93" s="347"/>
      <c r="R93" s="347">
        <f t="shared" si="76"/>
        <v>0</v>
      </c>
    </row>
    <row r="94" spans="1:18" s="6" customFormat="1" ht="20.399999999999999">
      <c r="A94" s="129" t="s">
        <v>201</v>
      </c>
      <c r="B94" s="123" t="s">
        <v>88</v>
      </c>
      <c r="C94" s="167">
        <v>48009001</v>
      </c>
      <c r="D94" s="167">
        <v>46227434</v>
      </c>
      <c r="E94" s="228">
        <f t="shared" ref="E94:G94" si="97">E95+E96+E98+E116</f>
        <v>0</v>
      </c>
      <c r="F94" s="228">
        <f t="shared" si="97"/>
        <v>509109</v>
      </c>
      <c r="G94" s="228">
        <f t="shared" si="97"/>
        <v>2583147</v>
      </c>
      <c r="H94" s="243">
        <f t="shared" si="77"/>
        <v>49319690</v>
      </c>
      <c r="I94" s="228">
        <v>46227434</v>
      </c>
      <c r="J94" s="228">
        <f t="shared" ref="J94:L94" si="98">J95+J96+J98+J116</f>
        <v>0</v>
      </c>
      <c r="K94" s="228">
        <f t="shared" si="98"/>
        <v>407757</v>
      </c>
      <c r="L94" s="228">
        <f t="shared" si="98"/>
        <v>572884</v>
      </c>
      <c r="M94" s="243">
        <f t="shared" si="78"/>
        <v>47208075</v>
      </c>
      <c r="N94" s="228">
        <v>46227434</v>
      </c>
      <c r="O94" s="228">
        <f t="shared" ref="O94:Q94" si="99">O95+O96+O98+O116</f>
        <v>0</v>
      </c>
      <c r="P94" s="228">
        <f t="shared" si="99"/>
        <v>320735</v>
      </c>
      <c r="Q94" s="228">
        <f t="shared" si="99"/>
        <v>572884</v>
      </c>
      <c r="R94" s="243">
        <f t="shared" si="76"/>
        <v>47121053</v>
      </c>
    </row>
    <row r="95" spans="1:18" s="6" customFormat="1" ht="22.8">
      <c r="A95" s="130" t="s">
        <v>177</v>
      </c>
      <c r="B95" s="124" t="s">
        <v>90</v>
      </c>
      <c r="C95" s="171">
        <v>6001058</v>
      </c>
      <c r="D95" s="171">
        <v>5999058</v>
      </c>
      <c r="E95" s="231"/>
      <c r="F95" s="231"/>
      <c r="G95" s="231"/>
      <c r="H95" s="233">
        <f t="shared" si="77"/>
        <v>5999058</v>
      </c>
      <c r="I95" s="231">
        <v>5999058</v>
      </c>
      <c r="J95" s="231"/>
      <c r="K95" s="231"/>
      <c r="L95" s="231"/>
      <c r="M95" s="233">
        <f t="shared" si="78"/>
        <v>5999058</v>
      </c>
      <c r="N95" s="231">
        <v>5999058</v>
      </c>
      <c r="O95" s="231"/>
      <c r="P95" s="231"/>
      <c r="Q95" s="231"/>
      <c r="R95" s="233">
        <f t="shared" si="76"/>
        <v>5999058</v>
      </c>
    </row>
    <row r="96" spans="1:18" s="6" customFormat="1" ht="24" hidden="1" customHeight="1">
      <c r="A96" s="130" t="s">
        <v>91</v>
      </c>
      <c r="B96" s="124" t="s">
        <v>92</v>
      </c>
      <c r="C96" s="171">
        <v>0</v>
      </c>
      <c r="D96" s="171">
        <v>0</v>
      </c>
      <c r="E96" s="231"/>
      <c r="F96" s="231"/>
      <c r="G96" s="231"/>
      <c r="H96" s="233">
        <f t="shared" si="77"/>
        <v>0</v>
      </c>
      <c r="I96" s="231">
        <v>0</v>
      </c>
      <c r="J96" s="231"/>
      <c r="K96" s="231"/>
      <c r="L96" s="231"/>
      <c r="M96" s="233">
        <f t="shared" si="78"/>
        <v>0</v>
      </c>
      <c r="N96" s="231">
        <v>0</v>
      </c>
      <c r="O96" s="231"/>
      <c r="P96" s="231"/>
      <c r="Q96" s="231"/>
      <c r="R96" s="233">
        <f t="shared" si="76"/>
        <v>0</v>
      </c>
    </row>
    <row r="97" spans="1:18" s="6" customFormat="1" ht="24" hidden="1" customHeight="1">
      <c r="A97" s="131">
        <v>21210</v>
      </c>
      <c r="B97" s="125" t="s">
        <v>93</v>
      </c>
      <c r="C97" s="171">
        <v>0</v>
      </c>
      <c r="D97" s="171">
        <v>0</v>
      </c>
      <c r="E97" s="231"/>
      <c r="F97" s="231"/>
      <c r="G97" s="231"/>
      <c r="H97" s="233">
        <f t="shared" si="77"/>
        <v>0</v>
      </c>
      <c r="I97" s="231">
        <v>0</v>
      </c>
      <c r="J97" s="231"/>
      <c r="K97" s="231"/>
      <c r="L97" s="231"/>
      <c r="M97" s="233">
        <f t="shared" si="78"/>
        <v>0</v>
      </c>
      <c r="N97" s="231">
        <v>0</v>
      </c>
      <c r="O97" s="231"/>
      <c r="P97" s="231"/>
      <c r="Q97" s="231"/>
      <c r="R97" s="233">
        <f t="shared" si="76"/>
        <v>0</v>
      </c>
    </row>
    <row r="98" spans="1:18" s="6" customFormat="1" ht="21" hidden="1" customHeight="1">
      <c r="A98" s="130" t="s">
        <v>178</v>
      </c>
      <c r="B98" s="124" t="s">
        <v>94</v>
      </c>
      <c r="C98" s="171">
        <v>0</v>
      </c>
      <c r="D98" s="171">
        <v>0</v>
      </c>
      <c r="E98" s="233">
        <f t="shared" ref="E98:G98" si="100">E99+E105</f>
        <v>0</v>
      </c>
      <c r="F98" s="233">
        <f t="shared" si="100"/>
        <v>0</v>
      </c>
      <c r="G98" s="233">
        <f t="shared" si="100"/>
        <v>0</v>
      </c>
      <c r="H98" s="233">
        <f t="shared" si="77"/>
        <v>0</v>
      </c>
      <c r="I98" s="233">
        <v>0</v>
      </c>
      <c r="J98" s="233">
        <f t="shared" ref="J98:L98" si="101">J99+J105</f>
        <v>0</v>
      </c>
      <c r="K98" s="233">
        <f t="shared" si="101"/>
        <v>0</v>
      </c>
      <c r="L98" s="233">
        <f t="shared" si="101"/>
        <v>0</v>
      </c>
      <c r="M98" s="233">
        <f t="shared" si="78"/>
        <v>0</v>
      </c>
      <c r="N98" s="233">
        <v>0</v>
      </c>
      <c r="O98" s="233">
        <f t="shared" ref="O98:Q98" si="102">O99+O105</f>
        <v>0</v>
      </c>
      <c r="P98" s="233">
        <f t="shared" si="102"/>
        <v>0</v>
      </c>
      <c r="Q98" s="233">
        <f t="shared" si="102"/>
        <v>0</v>
      </c>
      <c r="R98" s="233">
        <f t="shared" si="76"/>
        <v>0</v>
      </c>
    </row>
    <row r="99" spans="1:18" s="6" customFormat="1" ht="12" hidden="1" customHeight="1">
      <c r="A99" s="132">
        <v>18000</v>
      </c>
      <c r="B99" s="125" t="s">
        <v>95</v>
      </c>
      <c r="C99" s="171">
        <v>0</v>
      </c>
      <c r="D99" s="171">
        <v>0</v>
      </c>
      <c r="E99" s="233">
        <f t="shared" ref="E99:L100" si="103">E100</f>
        <v>0</v>
      </c>
      <c r="F99" s="233">
        <f t="shared" si="103"/>
        <v>0</v>
      </c>
      <c r="G99" s="233">
        <f t="shared" si="103"/>
        <v>0</v>
      </c>
      <c r="H99" s="233">
        <f t="shared" si="77"/>
        <v>0</v>
      </c>
      <c r="I99" s="233">
        <v>0</v>
      </c>
      <c r="J99" s="233">
        <f t="shared" si="103"/>
        <v>0</v>
      </c>
      <c r="K99" s="233">
        <f t="shared" si="103"/>
        <v>0</v>
      </c>
      <c r="L99" s="233">
        <f t="shared" si="103"/>
        <v>0</v>
      </c>
      <c r="M99" s="233">
        <f t="shared" si="78"/>
        <v>0</v>
      </c>
      <c r="N99" s="233">
        <v>0</v>
      </c>
      <c r="O99" s="233">
        <f t="shared" ref="O99:Q100" si="104">O100</f>
        <v>0</v>
      </c>
      <c r="P99" s="233">
        <f t="shared" si="104"/>
        <v>0</v>
      </c>
      <c r="Q99" s="233">
        <f t="shared" si="104"/>
        <v>0</v>
      </c>
      <c r="R99" s="233">
        <f t="shared" si="76"/>
        <v>0</v>
      </c>
    </row>
    <row r="100" spans="1:18" s="6" customFormat="1" ht="12" hidden="1" customHeight="1">
      <c r="A100" s="132">
        <v>18100</v>
      </c>
      <c r="B100" s="125" t="s">
        <v>96</v>
      </c>
      <c r="C100" s="171">
        <v>0</v>
      </c>
      <c r="D100" s="171">
        <v>0</v>
      </c>
      <c r="E100" s="233">
        <f t="shared" si="103"/>
        <v>0</v>
      </c>
      <c r="F100" s="233">
        <f t="shared" si="103"/>
        <v>0</v>
      </c>
      <c r="G100" s="233">
        <f t="shared" si="103"/>
        <v>0</v>
      </c>
      <c r="H100" s="233">
        <f t="shared" si="77"/>
        <v>0</v>
      </c>
      <c r="I100" s="233">
        <v>0</v>
      </c>
      <c r="J100" s="233">
        <f t="shared" si="103"/>
        <v>0</v>
      </c>
      <c r="K100" s="233">
        <f t="shared" si="103"/>
        <v>0</v>
      </c>
      <c r="L100" s="233">
        <f t="shared" si="103"/>
        <v>0</v>
      </c>
      <c r="M100" s="233">
        <f t="shared" si="78"/>
        <v>0</v>
      </c>
      <c r="N100" s="233">
        <v>0</v>
      </c>
      <c r="O100" s="233">
        <f t="shared" si="104"/>
        <v>0</v>
      </c>
      <c r="P100" s="233">
        <f t="shared" si="104"/>
        <v>0</v>
      </c>
      <c r="Q100" s="233">
        <f t="shared" si="104"/>
        <v>0</v>
      </c>
      <c r="R100" s="233">
        <f t="shared" si="76"/>
        <v>0</v>
      </c>
    </row>
    <row r="101" spans="1:18" s="6" customFormat="1" ht="24" hidden="1" customHeight="1">
      <c r="A101" s="133">
        <v>18130</v>
      </c>
      <c r="B101" s="172" t="s">
        <v>159</v>
      </c>
      <c r="C101" s="171">
        <v>0</v>
      </c>
      <c r="D101" s="171">
        <v>0</v>
      </c>
      <c r="E101" s="233">
        <f t="shared" ref="E101:G101" si="105">SUM(E102:E104)</f>
        <v>0</v>
      </c>
      <c r="F101" s="233">
        <f t="shared" ref="F101" si="106">SUM(F102:F104)</f>
        <v>0</v>
      </c>
      <c r="G101" s="233">
        <f t="shared" si="105"/>
        <v>0</v>
      </c>
      <c r="H101" s="233">
        <f t="shared" si="77"/>
        <v>0</v>
      </c>
      <c r="I101" s="233">
        <v>0</v>
      </c>
      <c r="J101" s="233">
        <f t="shared" ref="J101:L101" si="107">SUM(J102:J104)</f>
        <v>0</v>
      </c>
      <c r="K101" s="233">
        <f t="shared" si="107"/>
        <v>0</v>
      </c>
      <c r="L101" s="233">
        <f t="shared" si="107"/>
        <v>0</v>
      </c>
      <c r="M101" s="233">
        <f t="shared" si="78"/>
        <v>0</v>
      </c>
      <c r="N101" s="233">
        <v>0</v>
      </c>
      <c r="O101" s="233">
        <f t="shared" ref="O101:Q101" si="108">SUM(O102:O104)</f>
        <v>0</v>
      </c>
      <c r="P101" s="233">
        <f t="shared" si="108"/>
        <v>0</v>
      </c>
      <c r="Q101" s="233">
        <f t="shared" si="108"/>
        <v>0</v>
      </c>
      <c r="R101" s="233">
        <f t="shared" si="76"/>
        <v>0</v>
      </c>
    </row>
    <row r="102" spans="1:18" s="6" customFormat="1" ht="36" hidden="1" customHeight="1">
      <c r="A102" s="134">
        <v>18131</v>
      </c>
      <c r="B102" s="172" t="s">
        <v>160</v>
      </c>
      <c r="C102" s="171">
        <v>0</v>
      </c>
      <c r="D102" s="171">
        <v>0</v>
      </c>
      <c r="E102" s="233"/>
      <c r="F102" s="233"/>
      <c r="G102" s="233"/>
      <c r="H102" s="233">
        <f t="shared" si="77"/>
        <v>0</v>
      </c>
      <c r="I102" s="233">
        <v>0</v>
      </c>
      <c r="J102" s="233"/>
      <c r="K102" s="233"/>
      <c r="L102" s="233"/>
      <c r="M102" s="233">
        <f t="shared" si="78"/>
        <v>0</v>
      </c>
      <c r="N102" s="233">
        <v>0</v>
      </c>
      <c r="O102" s="233"/>
      <c r="P102" s="233"/>
      <c r="Q102" s="233"/>
      <c r="R102" s="233">
        <f t="shared" si="76"/>
        <v>0</v>
      </c>
    </row>
    <row r="103" spans="1:18" s="6" customFormat="1" ht="36" hidden="1" customHeight="1">
      <c r="A103" s="134">
        <v>18132</v>
      </c>
      <c r="B103" s="172" t="s">
        <v>169</v>
      </c>
      <c r="C103" s="171">
        <v>0</v>
      </c>
      <c r="D103" s="171">
        <v>0</v>
      </c>
      <c r="E103" s="233"/>
      <c r="F103" s="233"/>
      <c r="G103" s="233"/>
      <c r="H103" s="233">
        <f t="shared" si="77"/>
        <v>0</v>
      </c>
      <c r="I103" s="233">
        <v>0</v>
      </c>
      <c r="J103" s="233"/>
      <c r="K103" s="233"/>
      <c r="L103" s="233"/>
      <c r="M103" s="233">
        <f t="shared" si="78"/>
        <v>0</v>
      </c>
      <c r="N103" s="233">
        <v>0</v>
      </c>
      <c r="O103" s="233"/>
      <c r="P103" s="233"/>
      <c r="Q103" s="233"/>
      <c r="R103" s="233">
        <f t="shared" si="76"/>
        <v>0</v>
      </c>
    </row>
    <row r="104" spans="1:18" s="6" customFormat="1" ht="24" hidden="1" customHeight="1">
      <c r="A104" s="134">
        <v>18139</v>
      </c>
      <c r="B104" s="172" t="s">
        <v>179</v>
      </c>
      <c r="C104" s="171">
        <v>0</v>
      </c>
      <c r="D104" s="171">
        <v>0</v>
      </c>
      <c r="E104" s="233"/>
      <c r="F104" s="233"/>
      <c r="G104" s="233"/>
      <c r="H104" s="233">
        <f t="shared" si="77"/>
        <v>0</v>
      </c>
      <c r="I104" s="233">
        <v>0</v>
      </c>
      <c r="J104" s="233"/>
      <c r="K104" s="233"/>
      <c r="L104" s="233"/>
      <c r="M104" s="233">
        <f t="shared" si="78"/>
        <v>0</v>
      </c>
      <c r="N104" s="233">
        <v>0</v>
      </c>
      <c r="O104" s="233"/>
      <c r="P104" s="233"/>
      <c r="Q104" s="233"/>
      <c r="R104" s="233">
        <f t="shared" si="76"/>
        <v>0</v>
      </c>
    </row>
    <row r="105" spans="1:18" s="6" customFormat="1" ht="12" hidden="1" customHeight="1">
      <c r="A105" s="135" t="s">
        <v>180</v>
      </c>
      <c r="B105" s="173" t="s">
        <v>173</v>
      </c>
      <c r="C105" s="287">
        <v>0</v>
      </c>
      <c r="D105" s="287">
        <v>0</v>
      </c>
      <c r="E105" s="238">
        <f t="shared" ref="E105:L105" si="109">E106</f>
        <v>0</v>
      </c>
      <c r="F105" s="238">
        <f t="shared" si="109"/>
        <v>0</v>
      </c>
      <c r="G105" s="238">
        <f t="shared" si="109"/>
        <v>0</v>
      </c>
      <c r="H105" s="233">
        <f t="shared" si="77"/>
        <v>0</v>
      </c>
      <c r="I105" s="238">
        <v>0</v>
      </c>
      <c r="J105" s="238">
        <f t="shared" si="109"/>
        <v>0</v>
      </c>
      <c r="K105" s="238">
        <f t="shared" si="109"/>
        <v>0</v>
      </c>
      <c r="L105" s="238">
        <f t="shared" si="109"/>
        <v>0</v>
      </c>
      <c r="M105" s="233">
        <f t="shared" si="78"/>
        <v>0</v>
      </c>
      <c r="N105" s="238">
        <v>0</v>
      </c>
      <c r="O105" s="238">
        <f t="shared" ref="O105:Q105" si="110">O106</f>
        <v>0</v>
      </c>
      <c r="P105" s="238">
        <f t="shared" si="110"/>
        <v>0</v>
      </c>
      <c r="Q105" s="238">
        <f t="shared" si="110"/>
        <v>0</v>
      </c>
      <c r="R105" s="233">
        <f t="shared" si="76"/>
        <v>0</v>
      </c>
    </row>
    <row r="106" spans="1:18" s="6" customFormat="1" ht="24" hidden="1" customHeight="1">
      <c r="A106" s="135">
        <v>19500</v>
      </c>
      <c r="B106" s="172" t="s">
        <v>174</v>
      </c>
      <c r="C106" s="171">
        <v>0</v>
      </c>
      <c r="D106" s="171">
        <v>0</v>
      </c>
      <c r="E106" s="233">
        <f t="shared" ref="E106:G106" si="111">SUM(E107:E109)</f>
        <v>0</v>
      </c>
      <c r="F106" s="233">
        <f t="shared" si="111"/>
        <v>0</v>
      </c>
      <c r="G106" s="233">
        <f t="shared" si="111"/>
        <v>0</v>
      </c>
      <c r="H106" s="233">
        <f t="shared" si="77"/>
        <v>0</v>
      </c>
      <c r="I106" s="233">
        <v>0</v>
      </c>
      <c r="J106" s="233">
        <f t="shared" ref="J106:L106" si="112">SUM(J107:J109)</f>
        <v>0</v>
      </c>
      <c r="K106" s="233">
        <f t="shared" si="112"/>
        <v>0</v>
      </c>
      <c r="L106" s="233">
        <f t="shared" si="112"/>
        <v>0</v>
      </c>
      <c r="M106" s="233">
        <f t="shared" si="78"/>
        <v>0</v>
      </c>
      <c r="N106" s="233">
        <v>0</v>
      </c>
      <c r="O106" s="233">
        <f t="shared" ref="O106:Q106" si="113">SUM(O107:O109)</f>
        <v>0</v>
      </c>
      <c r="P106" s="233">
        <f t="shared" si="113"/>
        <v>0</v>
      </c>
      <c r="Q106" s="233">
        <f t="shared" si="113"/>
        <v>0</v>
      </c>
      <c r="R106" s="233">
        <f t="shared" si="76"/>
        <v>0</v>
      </c>
    </row>
    <row r="107" spans="1:18" s="6" customFormat="1" ht="24" hidden="1" customHeight="1">
      <c r="A107" s="136">
        <v>19550</v>
      </c>
      <c r="B107" s="172" t="s">
        <v>175</v>
      </c>
      <c r="C107" s="171">
        <v>0</v>
      </c>
      <c r="D107" s="171">
        <v>0</v>
      </c>
      <c r="E107" s="233"/>
      <c r="F107" s="233"/>
      <c r="G107" s="233"/>
      <c r="H107" s="233">
        <f t="shared" si="77"/>
        <v>0</v>
      </c>
      <c r="I107" s="233">
        <v>0</v>
      </c>
      <c r="J107" s="233"/>
      <c r="K107" s="233"/>
      <c r="L107" s="233"/>
      <c r="M107" s="233">
        <f t="shared" si="78"/>
        <v>0</v>
      </c>
      <c r="N107" s="233">
        <v>0</v>
      </c>
      <c r="O107" s="233"/>
      <c r="P107" s="233"/>
      <c r="Q107" s="233"/>
      <c r="R107" s="233">
        <f t="shared" si="76"/>
        <v>0</v>
      </c>
    </row>
    <row r="108" spans="1:18" s="6" customFormat="1" ht="48" hidden="1" customHeight="1">
      <c r="A108" s="136">
        <v>19560</v>
      </c>
      <c r="B108" s="172" t="s">
        <v>181</v>
      </c>
      <c r="C108" s="171">
        <v>0</v>
      </c>
      <c r="D108" s="171">
        <v>0</v>
      </c>
      <c r="E108" s="233"/>
      <c r="F108" s="233"/>
      <c r="G108" s="233"/>
      <c r="H108" s="233">
        <f t="shared" si="77"/>
        <v>0</v>
      </c>
      <c r="I108" s="233">
        <v>0</v>
      </c>
      <c r="J108" s="233"/>
      <c r="K108" s="233"/>
      <c r="L108" s="233"/>
      <c r="M108" s="233">
        <f t="shared" si="78"/>
        <v>0</v>
      </c>
      <c r="N108" s="233">
        <v>0</v>
      </c>
      <c r="O108" s="233"/>
      <c r="P108" s="233"/>
      <c r="Q108" s="233"/>
      <c r="R108" s="233">
        <f t="shared" si="76"/>
        <v>0</v>
      </c>
    </row>
    <row r="109" spans="1:18" s="6" customFormat="1" ht="84" hidden="1" customHeight="1">
      <c r="A109" s="136">
        <v>19570</v>
      </c>
      <c r="B109" s="172" t="s">
        <v>182</v>
      </c>
      <c r="C109" s="171">
        <v>0</v>
      </c>
      <c r="D109" s="171">
        <v>0</v>
      </c>
      <c r="E109" s="233"/>
      <c r="F109" s="233"/>
      <c r="G109" s="233"/>
      <c r="H109" s="233">
        <f t="shared" si="77"/>
        <v>0</v>
      </c>
      <c r="I109" s="233">
        <v>0</v>
      </c>
      <c r="J109" s="233"/>
      <c r="K109" s="233"/>
      <c r="L109" s="233"/>
      <c r="M109" s="233">
        <f t="shared" si="78"/>
        <v>0</v>
      </c>
      <c r="N109" s="233">
        <v>0</v>
      </c>
      <c r="O109" s="233"/>
      <c r="P109" s="233"/>
      <c r="Q109" s="233"/>
      <c r="R109" s="233">
        <f t="shared" si="76"/>
        <v>0</v>
      </c>
    </row>
    <row r="110" spans="1:18" s="6" customFormat="1" ht="36" hidden="1" customHeight="1">
      <c r="A110" s="209" t="s">
        <v>222</v>
      </c>
      <c r="B110" s="208" t="s">
        <v>216</v>
      </c>
      <c r="C110" s="107">
        <v>0</v>
      </c>
      <c r="D110" s="107">
        <v>0</v>
      </c>
      <c r="E110" s="233">
        <f t="shared" ref="E110:L110" si="114">E111</f>
        <v>0</v>
      </c>
      <c r="F110" s="233">
        <f t="shared" si="114"/>
        <v>0</v>
      </c>
      <c r="G110" s="233">
        <f t="shared" si="114"/>
        <v>0</v>
      </c>
      <c r="H110" s="233">
        <f t="shared" si="77"/>
        <v>0</v>
      </c>
      <c r="I110" s="233">
        <v>0</v>
      </c>
      <c r="J110" s="233">
        <f t="shared" si="114"/>
        <v>0</v>
      </c>
      <c r="K110" s="233">
        <f t="shared" si="114"/>
        <v>0</v>
      </c>
      <c r="L110" s="233">
        <f t="shared" si="114"/>
        <v>0</v>
      </c>
      <c r="M110" s="233">
        <f t="shared" si="78"/>
        <v>0</v>
      </c>
      <c r="N110" s="233">
        <v>0</v>
      </c>
      <c r="O110" s="233">
        <f t="shared" ref="O110:Q110" si="115">O111</f>
        <v>0</v>
      </c>
      <c r="P110" s="233">
        <f t="shared" si="115"/>
        <v>0</v>
      </c>
      <c r="Q110" s="233">
        <f t="shared" si="115"/>
        <v>0</v>
      </c>
      <c r="R110" s="233">
        <f t="shared" si="76"/>
        <v>0</v>
      </c>
    </row>
    <row r="111" spans="1:18" s="6" customFormat="1" ht="48" hidden="1" customHeight="1">
      <c r="A111" s="209">
        <v>17100</v>
      </c>
      <c r="B111" s="208" t="s">
        <v>217</v>
      </c>
      <c r="C111" s="107">
        <v>0</v>
      </c>
      <c r="D111" s="107">
        <v>0</v>
      </c>
      <c r="E111" s="233">
        <f t="shared" ref="E111:G111" si="116">SUM(E112:E115)</f>
        <v>0</v>
      </c>
      <c r="F111" s="233">
        <f t="shared" si="116"/>
        <v>0</v>
      </c>
      <c r="G111" s="233">
        <f t="shared" si="116"/>
        <v>0</v>
      </c>
      <c r="H111" s="233">
        <f t="shared" si="77"/>
        <v>0</v>
      </c>
      <c r="I111" s="233">
        <v>0</v>
      </c>
      <c r="J111" s="233">
        <f t="shared" ref="J111:L111" si="117">SUM(J112:J115)</f>
        <v>0</v>
      </c>
      <c r="K111" s="233">
        <f t="shared" si="117"/>
        <v>0</v>
      </c>
      <c r="L111" s="233">
        <f t="shared" si="117"/>
        <v>0</v>
      </c>
      <c r="M111" s="233">
        <f t="shared" si="78"/>
        <v>0</v>
      </c>
      <c r="N111" s="233">
        <v>0</v>
      </c>
      <c r="O111" s="233">
        <f t="shared" ref="O111:Q111" si="118">SUM(O112:O115)</f>
        <v>0</v>
      </c>
      <c r="P111" s="233">
        <f t="shared" si="118"/>
        <v>0</v>
      </c>
      <c r="Q111" s="233">
        <f t="shared" si="118"/>
        <v>0</v>
      </c>
      <c r="R111" s="233">
        <f t="shared" si="76"/>
        <v>0</v>
      </c>
    </row>
    <row r="112" spans="1:18" s="6" customFormat="1" ht="60" hidden="1" customHeight="1">
      <c r="A112" s="149">
        <v>17110</v>
      </c>
      <c r="B112" s="208" t="s">
        <v>218</v>
      </c>
      <c r="C112" s="107"/>
      <c r="D112" s="107">
        <v>0</v>
      </c>
      <c r="E112" s="233"/>
      <c r="F112" s="233"/>
      <c r="G112" s="233"/>
      <c r="H112" s="233">
        <f t="shared" si="77"/>
        <v>0</v>
      </c>
      <c r="I112" s="233">
        <v>0</v>
      </c>
      <c r="J112" s="233"/>
      <c r="K112" s="233"/>
      <c r="L112" s="233"/>
      <c r="M112" s="233">
        <f t="shared" si="78"/>
        <v>0</v>
      </c>
      <c r="N112" s="233">
        <v>0</v>
      </c>
      <c r="O112" s="233"/>
      <c r="P112" s="233"/>
      <c r="Q112" s="233"/>
      <c r="R112" s="233">
        <f t="shared" si="76"/>
        <v>0</v>
      </c>
    </row>
    <row r="113" spans="1:18" s="6" customFormat="1" ht="60" hidden="1" customHeight="1">
      <c r="A113" s="149">
        <v>17120</v>
      </c>
      <c r="B113" s="208" t="s">
        <v>219</v>
      </c>
      <c r="C113" s="107"/>
      <c r="D113" s="107">
        <v>0</v>
      </c>
      <c r="E113" s="233"/>
      <c r="F113" s="233"/>
      <c r="G113" s="233"/>
      <c r="H113" s="233">
        <f t="shared" si="77"/>
        <v>0</v>
      </c>
      <c r="I113" s="233">
        <v>0</v>
      </c>
      <c r="J113" s="233"/>
      <c r="K113" s="233"/>
      <c r="L113" s="233"/>
      <c r="M113" s="233">
        <f t="shared" si="78"/>
        <v>0</v>
      </c>
      <c r="N113" s="233">
        <v>0</v>
      </c>
      <c r="O113" s="233"/>
      <c r="P113" s="233"/>
      <c r="Q113" s="233"/>
      <c r="R113" s="233">
        <f t="shared" si="76"/>
        <v>0</v>
      </c>
    </row>
    <row r="114" spans="1:18" s="6" customFormat="1" ht="120" hidden="1" customHeight="1">
      <c r="A114" s="149">
        <v>17130</v>
      </c>
      <c r="B114" s="208" t="s">
        <v>220</v>
      </c>
      <c r="C114" s="107"/>
      <c r="D114" s="107">
        <v>0</v>
      </c>
      <c r="E114" s="233"/>
      <c r="F114" s="233"/>
      <c r="G114" s="233"/>
      <c r="H114" s="233">
        <f t="shared" si="77"/>
        <v>0</v>
      </c>
      <c r="I114" s="233">
        <v>0</v>
      </c>
      <c r="J114" s="233"/>
      <c r="K114" s="233"/>
      <c r="L114" s="233"/>
      <c r="M114" s="233">
        <f t="shared" si="78"/>
        <v>0</v>
      </c>
      <c r="N114" s="233">
        <v>0</v>
      </c>
      <c r="O114" s="233"/>
      <c r="P114" s="233"/>
      <c r="Q114" s="233"/>
      <c r="R114" s="233">
        <f t="shared" si="76"/>
        <v>0</v>
      </c>
    </row>
    <row r="115" spans="1:18" s="6" customFormat="1" ht="120" hidden="1" customHeight="1">
      <c r="A115" s="149">
        <v>17140</v>
      </c>
      <c r="B115" s="208" t="s">
        <v>221</v>
      </c>
      <c r="C115" s="107"/>
      <c r="D115" s="107">
        <v>0</v>
      </c>
      <c r="E115" s="233"/>
      <c r="F115" s="233"/>
      <c r="G115" s="233"/>
      <c r="H115" s="233">
        <f t="shared" si="77"/>
        <v>0</v>
      </c>
      <c r="I115" s="233">
        <v>0</v>
      </c>
      <c r="J115" s="233"/>
      <c r="K115" s="233"/>
      <c r="L115" s="233"/>
      <c r="M115" s="233">
        <f t="shared" si="78"/>
        <v>0</v>
      </c>
      <c r="N115" s="233">
        <v>0</v>
      </c>
      <c r="O115" s="233"/>
      <c r="P115" s="233"/>
      <c r="Q115" s="233"/>
      <c r="R115" s="233">
        <f t="shared" si="76"/>
        <v>0</v>
      </c>
    </row>
    <row r="116" spans="1:18" s="6" customFormat="1" ht="12">
      <c r="A116" s="137">
        <v>21700</v>
      </c>
      <c r="B116" s="124" t="s">
        <v>97</v>
      </c>
      <c r="C116" s="171">
        <v>42007943</v>
      </c>
      <c r="D116" s="171">
        <v>40228376</v>
      </c>
      <c r="E116" s="233">
        <f t="shared" ref="E116:G116" si="119">E117+E118</f>
        <v>0</v>
      </c>
      <c r="F116" s="233">
        <f t="shared" si="119"/>
        <v>509109</v>
      </c>
      <c r="G116" s="233">
        <f t="shared" si="119"/>
        <v>2583147</v>
      </c>
      <c r="H116" s="233">
        <f t="shared" si="77"/>
        <v>43320632</v>
      </c>
      <c r="I116" s="233">
        <v>40228376</v>
      </c>
      <c r="J116" s="233">
        <f t="shared" ref="J116:L116" si="120">J117+J118</f>
        <v>0</v>
      </c>
      <c r="K116" s="233">
        <f t="shared" si="120"/>
        <v>407757</v>
      </c>
      <c r="L116" s="233">
        <f t="shared" si="120"/>
        <v>572884</v>
      </c>
      <c r="M116" s="233">
        <f t="shared" si="78"/>
        <v>41209017</v>
      </c>
      <c r="N116" s="233">
        <v>40228376</v>
      </c>
      <c r="O116" s="233">
        <f t="shared" ref="O116:Q116" si="121">O117+O118</f>
        <v>0</v>
      </c>
      <c r="P116" s="233">
        <f t="shared" si="121"/>
        <v>320735</v>
      </c>
      <c r="Q116" s="233">
        <f t="shared" si="121"/>
        <v>572884</v>
      </c>
      <c r="R116" s="233">
        <f t="shared" si="76"/>
        <v>41121995</v>
      </c>
    </row>
    <row r="117" spans="1:18" s="6" customFormat="1" ht="24">
      <c r="A117" s="138">
        <v>21710</v>
      </c>
      <c r="B117" s="125" t="s">
        <v>98</v>
      </c>
      <c r="C117" s="171">
        <v>42007943</v>
      </c>
      <c r="D117" s="171">
        <v>40228376</v>
      </c>
      <c r="E117" s="233"/>
      <c r="F117" s="345">
        <f>35000+F282+F295</f>
        <v>509109</v>
      </c>
      <c r="G117" s="345">
        <f>G307+G322+G337+G352+G367</f>
        <v>2583147</v>
      </c>
      <c r="H117" s="233">
        <f t="shared" si="77"/>
        <v>43320632</v>
      </c>
      <c r="I117" s="233">
        <v>40228376</v>
      </c>
      <c r="J117" s="233"/>
      <c r="K117" s="345">
        <f>46934+K282+K295</f>
        <v>407757</v>
      </c>
      <c r="L117" s="345">
        <f>L307+L322+L337+L352+L367</f>
        <v>572884</v>
      </c>
      <c r="M117" s="233">
        <f t="shared" si="78"/>
        <v>41209017</v>
      </c>
      <c r="N117" s="233">
        <v>40228376</v>
      </c>
      <c r="O117" s="233"/>
      <c r="P117" s="345">
        <f>42714+P282+P295</f>
        <v>320735</v>
      </c>
      <c r="Q117" s="345">
        <f>Q307+Q322+Q337+Q352+Q367</f>
        <v>572884</v>
      </c>
      <c r="R117" s="233">
        <f t="shared" si="76"/>
        <v>41121995</v>
      </c>
    </row>
    <row r="118" spans="1:18" s="6" customFormat="1" ht="24" hidden="1" customHeight="1">
      <c r="A118" s="138">
        <v>21720</v>
      </c>
      <c r="B118" s="125" t="s">
        <v>99</v>
      </c>
      <c r="C118" s="171">
        <v>0</v>
      </c>
      <c r="D118" s="171">
        <v>0</v>
      </c>
      <c r="E118" s="233"/>
      <c r="F118" s="233"/>
      <c r="G118" s="233"/>
      <c r="H118" s="233">
        <f t="shared" si="77"/>
        <v>0</v>
      </c>
      <c r="I118" s="233">
        <v>0</v>
      </c>
      <c r="J118" s="233"/>
      <c r="K118" s="233"/>
      <c r="L118" s="233"/>
      <c r="M118" s="233">
        <f t="shared" si="78"/>
        <v>0</v>
      </c>
      <c r="N118" s="233">
        <v>0</v>
      </c>
      <c r="O118" s="233"/>
      <c r="P118" s="233"/>
      <c r="Q118" s="233"/>
      <c r="R118" s="233">
        <f t="shared" si="76"/>
        <v>0</v>
      </c>
    </row>
    <row r="119" spans="1:18" s="6" customFormat="1" ht="11.4">
      <c r="A119" s="129" t="s">
        <v>100</v>
      </c>
      <c r="B119" s="123" t="s">
        <v>101</v>
      </c>
      <c r="C119" s="175">
        <v>48316926</v>
      </c>
      <c r="D119" s="175">
        <v>46535359</v>
      </c>
      <c r="E119" s="243">
        <f t="shared" ref="E119:G119" si="122">E120+E147</f>
        <v>0</v>
      </c>
      <c r="F119" s="243">
        <f t="shared" si="122"/>
        <v>509109</v>
      </c>
      <c r="G119" s="243">
        <f t="shared" si="122"/>
        <v>2583147</v>
      </c>
      <c r="H119" s="243">
        <f t="shared" si="77"/>
        <v>49627615</v>
      </c>
      <c r="I119" s="243">
        <v>46535359</v>
      </c>
      <c r="J119" s="243">
        <f t="shared" ref="J119:L119" si="123">J120+J147</f>
        <v>0</v>
      </c>
      <c r="K119" s="243">
        <f t="shared" si="123"/>
        <v>407757</v>
      </c>
      <c r="L119" s="243">
        <f t="shared" si="123"/>
        <v>572884</v>
      </c>
      <c r="M119" s="243">
        <f t="shared" si="78"/>
        <v>47516000</v>
      </c>
      <c r="N119" s="243">
        <v>46535359</v>
      </c>
      <c r="O119" s="243">
        <f t="shared" ref="O119:Q119" si="124">O120+O147</f>
        <v>0</v>
      </c>
      <c r="P119" s="243">
        <f t="shared" si="124"/>
        <v>320735</v>
      </c>
      <c r="Q119" s="243">
        <f t="shared" si="124"/>
        <v>572884</v>
      </c>
      <c r="R119" s="243">
        <f t="shared" si="76"/>
        <v>47428978</v>
      </c>
    </row>
    <row r="120" spans="1:18" s="6" customFormat="1" ht="20.399999999999999">
      <c r="A120" s="130" t="s">
        <v>102</v>
      </c>
      <c r="B120" s="124" t="s">
        <v>103</v>
      </c>
      <c r="C120" s="171">
        <v>45002395</v>
      </c>
      <c r="D120" s="171">
        <v>45150828</v>
      </c>
      <c r="E120" s="233">
        <f t="shared" ref="E120:F120" si="125">E121+E125+E126+E129+E132</f>
        <v>0</v>
      </c>
      <c r="F120" s="233">
        <f t="shared" si="125"/>
        <v>494109</v>
      </c>
      <c r="G120" s="233">
        <f>G121+G125+G126+G129+G132</f>
        <v>1773147</v>
      </c>
      <c r="H120" s="233">
        <f t="shared" si="77"/>
        <v>47418084</v>
      </c>
      <c r="I120" s="233">
        <v>45164928</v>
      </c>
      <c r="J120" s="233">
        <f t="shared" ref="J120:L120" si="126">J121+J125+J126+J129+J132</f>
        <v>0</v>
      </c>
      <c r="K120" s="233">
        <f t="shared" si="126"/>
        <v>407757</v>
      </c>
      <c r="L120" s="233">
        <f t="shared" si="126"/>
        <v>572884</v>
      </c>
      <c r="M120" s="233">
        <f t="shared" si="78"/>
        <v>46145569</v>
      </c>
      <c r="N120" s="233">
        <v>45164928</v>
      </c>
      <c r="O120" s="233">
        <f t="shared" ref="O120:Q120" si="127">O121+O125+O126+O129+O132</f>
        <v>0</v>
      </c>
      <c r="P120" s="233">
        <f t="shared" si="127"/>
        <v>320735</v>
      </c>
      <c r="Q120" s="233">
        <f t="shared" si="127"/>
        <v>572884</v>
      </c>
      <c r="R120" s="233">
        <f t="shared" si="76"/>
        <v>46058547</v>
      </c>
    </row>
    <row r="121" spans="1:18" s="6" customFormat="1" ht="12">
      <c r="A121" s="130" t="s">
        <v>104</v>
      </c>
      <c r="B121" s="124" t="s">
        <v>105</v>
      </c>
      <c r="C121" s="171">
        <v>30616425</v>
      </c>
      <c r="D121" s="171">
        <v>30627558</v>
      </c>
      <c r="E121" s="233">
        <f t="shared" ref="E121:F121" si="128">E122+E124</f>
        <v>0</v>
      </c>
      <c r="F121" s="233">
        <f t="shared" si="128"/>
        <v>459109</v>
      </c>
      <c r="G121" s="233">
        <f>G122+G124</f>
        <v>399363</v>
      </c>
      <c r="H121" s="233">
        <f t="shared" si="77"/>
        <v>31486030</v>
      </c>
      <c r="I121" s="233">
        <v>30641658</v>
      </c>
      <c r="J121" s="233">
        <f t="shared" ref="J121:L121" si="129">J122+J124</f>
        <v>0</v>
      </c>
      <c r="K121" s="233">
        <f t="shared" si="129"/>
        <v>360823</v>
      </c>
      <c r="L121" s="233">
        <f t="shared" si="129"/>
        <v>0</v>
      </c>
      <c r="M121" s="233">
        <f t="shared" si="78"/>
        <v>31002481</v>
      </c>
      <c r="N121" s="233">
        <v>30641658</v>
      </c>
      <c r="O121" s="233">
        <f t="shared" ref="O121:Q121" si="130">O122+O124</f>
        <v>0</v>
      </c>
      <c r="P121" s="233">
        <f t="shared" si="130"/>
        <v>278021</v>
      </c>
      <c r="Q121" s="233">
        <f t="shared" si="130"/>
        <v>0</v>
      </c>
      <c r="R121" s="233">
        <f t="shared" si="76"/>
        <v>30919679</v>
      </c>
    </row>
    <row r="122" spans="1:18" s="29" customFormat="1" ht="12">
      <c r="A122" s="132">
        <v>1000</v>
      </c>
      <c r="B122" s="125" t="s">
        <v>106</v>
      </c>
      <c r="C122" s="171">
        <v>23464600</v>
      </c>
      <c r="D122" s="171">
        <v>23480621.595743839</v>
      </c>
      <c r="E122" s="233"/>
      <c r="F122" s="233">
        <f t="shared" ref="F122:F124" si="131">F286+F299</f>
        <v>166627</v>
      </c>
      <c r="G122" s="233">
        <f>G312+G327+G342+G357+G372</f>
        <v>10263</v>
      </c>
      <c r="H122" s="233">
        <f t="shared" si="77"/>
        <v>23657511.595743839</v>
      </c>
      <c r="I122" s="233">
        <v>23480621.595743839</v>
      </c>
      <c r="J122" s="233"/>
      <c r="K122" s="233">
        <f t="shared" ref="K122:K124" si="132">K286+K299</f>
        <v>237079</v>
      </c>
      <c r="L122" s="233">
        <f>L312+L327+L342+L357+L372</f>
        <v>0</v>
      </c>
      <c r="M122" s="233">
        <f t="shared" si="78"/>
        <v>23717700.595743839</v>
      </c>
      <c r="N122" s="233">
        <v>23480621.595743839</v>
      </c>
      <c r="O122" s="233"/>
      <c r="P122" s="233">
        <f>P286+P299</f>
        <v>178369</v>
      </c>
      <c r="Q122" s="233">
        <f>Q312+Q327+Q342+Q357+Q372</f>
        <v>0</v>
      </c>
      <c r="R122" s="233">
        <f t="shared" si="76"/>
        <v>23658990.595743839</v>
      </c>
    </row>
    <row r="123" spans="1:18" s="89" customFormat="1" ht="12">
      <c r="A123" s="139">
        <v>1100</v>
      </c>
      <c r="B123" s="125" t="s">
        <v>107</v>
      </c>
      <c r="C123" s="171">
        <v>18412970</v>
      </c>
      <c r="D123" s="171">
        <v>18425881.316561844</v>
      </c>
      <c r="E123" s="233"/>
      <c r="F123" s="233">
        <f t="shared" si="131"/>
        <v>135133</v>
      </c>
      <c r="G123" s="233">
        <f t="shared" ref="G123:G124" si="133">G313+G328+G343+G358+G373</f>
        <v>8271</v>
      </c>
      <c r="H123" s="233">
        <f t="shared" si="77"/>
        <v>18569285.316561844</v>
      </c>
      <c r="I123" s="233">
        <v>18425881.316561844</v>
      </c>
      <c r="J123" s="233"/>
      <c r="K123" s="233">
        <f t="shared" si="132"/>
        <v>194812</v>
      </c>
      <c r="L123" s="233">
        <f t="shared" ref="L123:L124" si="134">L313+L328+L343+L358+L373</f>
        <v>0</v>
      </c>
      <c r="M123" s="233">
        <f t="shared" si="78"/>
        <v>18620693.316561844</v>
      </c>
      <c r="N123" s="233">
        <v>18425881.316561844</v>
      </c>
      <c r="O123" s="233"/>
      <c r="P123" s="233">
        <f t="shared" ref="P123:P124" si="135">P287+P300</f>
        <v>145080</v>
      </c>
      <c r="Q123" s="233">
        <f t="shared" ref="Q123:Q124" si="136">Q313+Q328+Q343+Q358+Q373</f>
        <v>0</v>
      </c>
      <c r="R123" s="233">
        <f t="shared" si="76"/>
        <v>18570961.316561844</v>
      </c>
    </row>
    <row r="124" spans="1:18" s="89" customFormat="1" ht="12">
      <c r="A124" s="132">
        <v>2000</v>
      </c>
      <c r="B124" s="125" t="s">
        <v>108</v>
      </c>
      <c r="C124" s="171">
        <v>7151825</v>
      </c>
      <c r="D124" s="171">
        <v>7146936.4042561604</v>
      </c>
      <c r="E124" s="233"/>
      <c r="F124" s="233">
        <f t="shared" si="131"/>
        <v>292482</v>
      </c>
      <c r="G124" s="233">
        <f t="shared" si="133"/>
        <v>389100</v>
      </c>
      <c r="H124" s="233">
        <f t="shared" si="77"/>
        <v>7828518.4042561604</v>
      </c>
      <c r="I124" s="233">
        <v>7161036.4042561604</v>
      </c>
      <c r="J124" s="233"/>
      <c r="K124" s="233">
        <f t="shared" si="132"/>
        <v>123744</v>
      </c>
      <c r="L124" s="233">
        <f t="shared" si="134"/>
        <v>0</v>
      </c>
      <c r="M124" s="233">
        <f t="shared" si="78"/>
        <v>7284780.4042561604</v>
      </c>
      <c r="N124" s="233">
        <v>7161036.4042561604</v>
      </c>
      <c r="O124" s="233"/>
      <c r="P124" s="233">
        <f t="shared" si="135"/>
        <v>99652</v>
      </c>
      <c r="Q124" s="233">
        <f t="shared" si="136"/>
        <v>0</v>
      </c>
      <c r="R124" s="233">
        <f t="shared" si="76"/>
        <v>7260688.4042561604</v>
      </c>
    </row>
    <row r="125" spans="1:18" s="89" customFormat="1" ht="12" hidden="1" customHeight="1">
      <c r="A125" s="140">
        <v>4000</v>
      </c>
      <c r="B125" s="124" t="s">
        <v>132</v>
      </c>
      <c r="C125" s="171">
        <v>0</v>
      </c>
      <c r="D125" s="171">
        <v>0</v>
      </c>
      <c r="E125" s="233"/>
      <c r="F125" s="233"/>
      <c r="G125" s="233"/>
      <c r="H125" s="233">
        <f t="shared" si="77"/>
        <v>0</v>
      </c>
      <c r="I125" s="233">
        <v>0</v>
      </c>
      <c r="J125" s="233"/>
      <c r="K125" s="233"/>
      <c r="L125" s="233"/>
      <c r="M125" s="233">
        <f t="shared" si="78"/>
        <v>0</v>
      </c>
      <c r="N125" s="233">
        <v>0</v>
      </c>
      <c r="O125" s="233"/>
      <c r="P125" s="233"/>
      <c r="Q125" s="233"/>
      <c r="R125" s="233">
        <f t="shared" si="76"/>
        <v>0</v>
      </c>
    </row>
    <row r="126" spans="1:18" s="89" customFormat="1" ht="12">
      <c r="A126" s="140" t="s">
        <v>109</v>
      </c>
      <c r="B126" s="124" t="s">
        <v>110</v>
      </c>
      <c r="C126" s="171">
        <v>7643616</v>
      </c>
      <c r="D126" s="171">
        <v>7780916</v>
      </c>
      <c r="E126" s="233">
        <f t="shared" ref="E126:F126" si="137">E127+E128</f>
        <v>0</v>
      </c>
      <c r="F126" s="233">
        <f t="shared" si="137"/>
        <v>35000</v>
      </c>
      <c r="G126" s="233">
        <f>G127+G128</f>
        <v>1373784</v>
      </c>
      <c r="H126" s="233">
        <f t="shared" si="77"/>
        <v>9189700</v>
      </c>
      <c r="I126" s="233">
        <v>7780916</v>
      </c>
      <c r="J126" s="233">
        <f t="shared" ref="J126:L126" si="138">J127+J128</f>
        <v>0</v>
      </c>
      <c r="K126" s="233">
        <f t="shared" si="138"/>
        <v>46934</v>
      </c>
      <c r="L126" s="233">
        <f t="shared" si="138"/>
        <v>572884</v>
      </c>
      <c r="M126" s="233">
        <f t="shared" si="78"/>
        <v>8400734</v>
      </c>
      <c r="N126" s="233">
        <v>7780916</v>
      </c>
      <c r="O126" s="233">
        <f t="shared" ref="O126:Q126" si="139">O127+O128</f>
        <v>0</v>
      </c>
      <c r="P126" s="233">
        <f t="shared" si="139"/>
        <v>42714</v>
      </c>
      <c r="Q126" s="233">
        <f t="shared" si="139"/>
        <v>572884</v>
      </c>
      <c r="R126" s="233">
        <f t="shared" si="76"/>
        <v>8396514</v>
      </c>
    </row>
    <row r="127" spans="1:18" s="89" customFormat="1" ht="12">
      <c r="A127" s="132">
        <v>3000</v>
      </c>
      <c r="B127" s="125" t="s">
        <v>111</v>
      </c>
      <c r="C127" s="213">
        <v>7643616</v>
      </c>
      <c r="D127" s="213">
        <v>7780916</v>
      </c>
      <c r="E127" s="345"/>
      <c r="F127" s="345">
        <v>35000</v>
      </c>
      <c r="G127" s="345">
        <f>G316+G331+G346+G361+G376</f>
        <v>1373784</v>
      </c>
      <c r="H127" s="233">
        <f t="shared" si="77"/>
        <v>9189700</v>
      </c>
      <c r="I127" s="345">
        <v>7780916</v>
      </c>
      <c r="J127" s="345"/>
      <c r="K127" s="345">
        <v>46934</v>
      </c>
      <c r="L127" s="345">
        <f>L316+L331+L346+L361+L376</f>
        <v>572884</v>
      </c>
      <c r="M127" s="233">
        <f t="shared" si="78"/>
        <v>8400734</v>
      </c>
      <c r="N127" s="345">
        <v>7780916</v>
      </c>
      <c r="O127" s="345"/>
      <c r="P127" s="345">
        <v>42714</v>
      </c>
      <c r="Q127" s="345">
        <f>Q316+Q331+Q346+Q361+Q376</f>
        <v>572884</v>
      </c>
      <c r="R127" s="233">
        <f t="shared" si="76"/>
        <v>8396514</v>
      </c>
    </row>
    <row r="128" spans="1:18" s="89" customFormat="1" ht="12" hidden="1" customHeight="1">
      <c r="A128" s="132">
        <v>6000</v>
      </c>
      <c r="B128" s="125" t="s">
        <v>112</v>
      </c>
      <c r="C128" s="287">
        <v>0</v>
      </c>
      <c r="D128" s="287">
        <v>0</v>
      </c>
      <c r="E128" s="346"/>
      <c r="F128" s="346"/>
      <c r="G128" s="346"/>
      <c r="H128" s="233">
        <f t="shared" si="77"/>
        <v>0</v>
      </c>
      <c r="I128" s="346">
        <v>0</v>
      </c>
      <c r="J128" s="346"/>
      <c r="K128" s="346"/>
      <c r="L128" s="346"/>
      <c r="M128" s="233">
        <f t="shared" si="78"/>
        <v>0</v>
      </c>
      <c r="N128" s="346">
        <v>0</v>
      </c>
      <c r="O128" s="346"/>
      <c r="P128" s="346"/>
      <c r="Q128" s="346"/>
      <c r="R128" s="233">
        <f t="shared" si="76"/>
        <v>0</v>
      </c>
    </row>
    <row r="129" spans="1:18" s="89" customFormat="1" ht="22.8">
      <c r="A129" s="140" t="s">
        <v>113</v>
      </c>
      <c r="B129" s="124" t="s">
        <v>183</v>
      </c>
      <c r="C129" s="171">
        <v>172510</v>
      </c>
      <c r="D129" s="171">
        <v>172510</v>
      </c>
      <c r="E129" s="233">
        <f t="shared" ref="E129:G129" si="140">E130+E131</f>
        <v>0</v>
      </c>
      <c r="F129" s="233">
        <f t="shared" si="140"/>
        <v>0</v>
      </c>
      <c r="G129" s="233">
        <f t="shared" si="140"/>
        <v>0</v>
      </c>
      <c r="H129" s="233">
        <f t="shared" si="77"/>
        <v>172510</v>
      </c>
      <c r="I129" s="233">
        <v>172510</v>
      </c>
      <c r="J129" s="233">
        <f t="shared" ref="J129:L129" si="141">J130+J131</f>
        <v>0</v>
      </c>
      <c r="K129" s="233">
        <f t="shared" si="141"/>
        <v>0</v>
      </c>
      <c r="L129" s="233">
        <f t="shared" si="141"/>
        <v>0</v>
      </c>
      <c r="M129" s="233">
        <f t="shared" si="78"/>
        <v>172510</v>
      </c>
      <c r="N129" s="233">
        <v>172510</v>
      </c>
      <c r="O129" s="233">
        <f t="shared" ref="O129:Q129" si="142">O130+O131</f>
        <v>0</v>
      </c>
      <c r="P129" s="233">
        <f t="shared" si="142"/>
        <v>0</v>
      </c>
      <c r="Q129" s="233">
        <f t="shared" si="142"/>
        <v>0</v>
      </c>
      <c r="R129" s="233">
        <f t="shared" si="76"/>
        <v>172510</v>
      </c>
    </row>
    <row r="130" spans="1:18" s="89" customFormat="1" ht="24" hidden="1" customHeight="1">
      <c r="A130" s="132">
        <v>7600</v>
      </c>
      <c r="B130" s="179" t="s">
        <v>184</v>
      </c>
      <c r="C130" s="171">
        <v>0</v>
      </c>
      <c r="D130" s="171">
        <v>0</v>
      </c>
      <c r="E130" s="233"/>
      <c r="F130" s="233"/>
      <c r="G130" s="233"/>
      <c r="H130" s="233">
        <f t="shared" si="77"/>
        <v>0</v>
      </c>
      <c r="I130" s="233">
        <v>0</v>
      </c>
      <c r="J130" s="233"/>
      <c r="K130" s="233"/>
      <c r="L130" s="233"/>
      <c r="M130" s="233">
        <f t="shared" si="78"/>
        <v>0</v>
      </c>
      <c r="N130" s="233">
        <v>0</v>
      </c>
      <c r="O130" s="233"/>
      <c r="P130" s="233"/>
      <c r="Q130" s="233"/>
      <c r="R130" s="233">
        <f t="shared" si="76"/>
        <v>0</v>
      </c>
    </row>
    <row r="131" spans="1:18" s="89" customFormat="1" ht="12">
      <c r="A131" s="132">
        <v>7700</v>
      </c>
      <c r="B131" s="126" t="s">
        <v>114</v>
      </c>
      <c r="C131" s="171">
        <v>172510</v>
      </c>
      <c r="D131" s="171">
        <v>172510</v>
      </c>
      <c r="E131" s="233"/>
      <c r="F131" s="233"/>
      <c r="G131" s="233"/>
      <c r="H131" s="233">
        <f t="shared" si="77"/>
        <v>172510</v>
      </c>
      <c r="I131" s="233">
        <v>172510</v>
      </c>
      <c r="J131" s="233"/>
      <c r="K131" s="233"/>
      <c r="L131" s="233"/>
      <c r="M131" s="233">
        <f t="shared" si="78"/>
        <v>172510</v>
      </c>
      <c r="N131" s="233">
        <v>172510</v>
      </c>
      <c r="O131" s="233"/>
      <c r="P131" s="233"/>
      <c r="Q131" s="233"/>
      <c r="R131" s="233">
        <f t="shared" si="76"/>
        <v>172510</v>
      </c>
    </row>
    <row r="132" spans="1:18" s="89" customFormat="1" ht="20.399999999999999">
      <c r="A132" s="140" t="s">
        <v>185</v>
      </c>
      <c r="B132" s="124" t="s">
        <v>115</v>
      </c>
      <c r="C132" s="171">
        <v>6569844</v>
      </c>
      <c r="D132" s="171">
        <v>6569844</v>
      </c>
      <c r="E132" s="233">
        <f t="shared" ref="E132:G132" si="143">E133+E139+E143+E146</f>
        <v>0</v>
      </c>
      <c r="F132" s="233">
        <f t="shared" si="143"/>
        <v>0</v>
      </c>
      <c r="G132" s="233">
        <f t="shared" si="143"/>
        <v>0</v>
      </c>
      <c r="H132" s="233">
        <f t="shared" si="77"/>
        <v>6569844</v>
      </c>
      <c r="I132" s="233">
        <v>6569844</v>
      </c>
      <c r="J132" s="233">
        <f t="shared" ref="J132:L132" si="144">J133+J139+J143+J146</f>
        <v>0</v>
      </c>
      <c r="K132" s="233">
        <f t="shared" si="144"/>
        <v>0</v>
      </c>
      <c r="L132" s="233">
        <f t="shared" si="144"/>
        <v>0</v>
      </c>
      <c r="M132" s="233">
        <f t="shared" si="78"/>
        <v>6569844</v>
      </c>
      <c r="N132" s="233">
        <v>6569844</v>
      </c>
      <c r="O132" s="233">
        <f t="shared" ref="O132:Q132" si="145">O133+O139+O143+O146</f>
        <v>0</v>
      </c>
      <c r="P132" s="233">
        <f t="shared" si="145"/>
        <v>0</v>
      </c>
      <c r="Q132" s="233">
        <f t="shared" si="145"/>
        <v>0</v>
      </c>
      <c r="R132" s="233">
        <f t="shared" si="76"/>
        <v>6569844</v>
      </c>
    </row>
    <row r="133" spans="1:18" s="89" customFormat="1" ht="24" hidden="1" customHeight="1">
      <c r="A133" s="132">
        <v>7100</v>
      </c>
      <c r="B133" s="179" t="s">
        <v>116</v>
      </c>
      <c r="C133" s="171">
        <v>0</v>
      </c>
      <c r="D133" s="171">
        <v>0</v>
      </c>
      <c r="E133" s="233">
        <f t="shared" ref="E133:G133" si="146">E134+E135</f>
        <v>0</v>
      </c>
      <c r="F133" s="233">
        <f t="shared" si="146"/>
        <v>0</v>
      </c>
      <c r="G133" s="233">
        <f t="shared" si="146"/>
        <v>0</v>
      </c>
      <c r="H133" s="233">
        <f t="shared" si="77"/>
        <v>0</v>
      </c>
      <c r="I133" s="233">
        <v>0</v>
      </c>
      <c r="J133" s="233">
        <f t="shared" ref="J133:L133" si="147">J134+J135</f>
        <v>0</v>
      </c>
      <c r="K133" s="233">
        <f t="shared" si="147"/>
        <v>0</v>
      </c>
      <c r="L133" s="233">
        <f t="shared" si="147"/>
        <v>0</v>
      </c>
      <c r="M133" s="233">
        <f t="shared" si="78"/>
        <v>0</v>
      </c>
      <c r="N133" s="233">
        <v>0</v>
      </c>
      <c r="O133" s="233">
        <f t="shared" ref="O133:Q133" si="148">O134+O135</f>
        <v>0</v>
      </c>
      <c r="P133" s="233">
        <f t="shared" si="148"/>
        <v>0</v>
      </c>
      <c r="Q133" s="233">
        <f t="shared" si="148"/>
        <v>0</v>
      </c>
      <c r="R133" s="233">
        <f t="shared" si="76"/>
        <v>0</v>
      </c>
    </row>
    <row r="134" spans="1:18" s="89" customFormat="1" ht="36" hidden="1" customHeight="1">
      <c r="A134" s="133" t="s">
        <v>117</v>
      </c>
      <c r="B134" s="179" t="s">
        <v>118</v>
      </c>
      <c r="C134" s="171">
        <v>0</v>
      </c>
      <c r="D134" s="171">
        <v>0</v>
      </c>
      <c r="E134" s="233"/>
      <c r="F134" s="233"/>
      <c r="G134" s="233"/>
      <c r="H134" s="233">
        <f t="shared" si="77"/>
        <v>0</v>
      </c>
      <c r="I134" s="233">
        <v>0</v>
      </c>
      <c r="J134" s="233"/>
      <c r="K134" s="233"/>
      <c r="L134" s="233"/>
      <c r="M134" s="233">
        <f t="shared" si="78"/>
        <v>0</v>
      </c>
      <c r="N134" s="233">
        <v>0</v>
      </c>
      <c r="O134" s="233"/>
      <c r="P134" s="233"/>
      <c r="Q134" s="233"/>
      <c r="R134" s="233">
        <f t="shared" si="76"/>
        <v>0</v>
      </c>
    </row>
    <row r="135" spans="1:18" s="89" customFormat="1" ht="36" hidden="1" customHeight="1">
      <c r="A135" s="133">
        <v>7130</v>
      </c>
      <c r="B135" s="179" t="s">
        <v>119</v>
      </c>
      <c r="C135" s="171">
        <v>0</v>
      </c>
      <c r="D135" s="171">
        <v>0</v>
      </c>
      <c r="E135" s="233">
        <f t="shared" ref="E135:G135" si="149">SUM(E136:E138)</f>
        <v>0</v>
      </c>
      <c r="F135" s="233">
        <f t="shared" ref="F135" si="150">SUM(F136:F138)</f>
        <v>0</v>
      </c>
      <c r="G135" s="233">
        <f t="shared" si="149"/>
        <v>0</v>
      </c>
      <c r="H135" s="233">
        <f t="shared" si="77"/>
        <v>0</v>
      </c>
      <c r="I135" s="233">
        <v>0</v>
      </c>
      <c r="J135" s="233">
        <f t="shared" ref="J135:L135" si="151">SUM(J136:J138)</f>
        <v>0</v>
      </c>
      <c r="K135" s="233">
        <f t="shared" si="151"/>
        <v>0</v>
      </c>
      <c r="L135" s="233">
        <f t="shared" si="151"/>
        <v>0</v>
      </c>
      <c r="M135" s="233">
        <f t="shared" si="78"/>
        <v>0</v>
      </c>
      <c r="N135" s="233">
        <v>0</v>
      </c>
      <c r="O135" s="233">
        <f t="shared" ref="O135:Q135" si="152">SUM(O136:O138)</f>
        <v>0</v>
      </c>
      <c r="P135" s="233">
        <f t="shared" si="152"/>
        <v>0</v>
      </c>
      <c r="Q135" s="233">
        <f t="shared" si="152"/>
        <v>0</v>
      </c>
      <c r="R135" s="233">
        <f t="shared" si="76"/>
        <v>0</v>
      </c>
    </row>
    <row r="136" spans="1:18" s="89" customFormat="1" ht="48" hidden="1" customHeight="1">
      <c r="A136" s="134">
        <v>7131</v>
      </c>
      <c r="B136" s="179" t="s">
        <v>120</v>
      </c>
      <c r="C136" s="171">
        <v>0</v>
      </c>
      <c r="D136" s="171">
        <v>0</v>
      </c>
      <c r="E136" s="233"/>
      <c r="F136" s="233"/>
      <c r="G136" s="233"/>
      <c r="H136" s="233">
        <f t="shared" si="77"/>
        <v>0</v>
      </c>
      <c r="I136" s="233">
        <v>0</v>
      </c>
      <c r="J136" s="233"/>
      <c r="K136" s="233"/>
      <c r="L136" s="233"/>
      <c r="M136" s="233">
        <f t="shared" si="78"/>
        <v>0</v>
      </c>
      <c r="N136" s="233">
        <v>0</v>
      </c>
      <c r="O136" s="233"/>
      <c r="P136" s="233"/>
      <c r="Q136" s="233"/>
      <c r="R136" s="233">
        <f t="shared" si="76"/>
        <v>0</v>
      </c>
    </row>
    <row r="137" spans="1:18" s="29" customFormat="1" ht="48" hidden="1" customHeight="1">
      <c r="A137" s="134">
        <v>7132</v>
      </c>
      <c r="B137" s="179" t="s">
        <v>121</v>
      </c>
      <c r="C137" s="171">
        <v>0</v>
      </c>
      <c r="D137" s="171">
        <v>0</v>
      </c>
      <c r="E137" s="233"/>
      <c r="F137" s="233"/>
      <c r="G137" s="233"/>
      <c r="H137" s="233">
        <f t="shared" si="77"/>
        <v>0</v>
      </c>
      <c r="I137" s="233">
        <v>0</v>
      </c>
      <c r="J137" s="233"/>
      <c r="K137" s="233"/>
      <c r="L137" s="233"/>
      <c r="M137" s="233">
        <f t="shared" si="78"/>
        <v>0</v>
      </c>
      <c r="N137" s="233">
        <v>0</v>
      </c>
      <c r="O137" s="233"/>
      <c r="P137" s="233"/>
      <c r="Q137" s="233"/>
      <c r="R137" s="233">
        <f t="shared" si="76"/>
        <v>0</v>
      </c>
    </row>
    <row r="138" spans="1:18" s="29" customFormat="1" ht="36" hidden="1" customHeight="1">
      <c r="A138" s="134" t="s">
        <v>186</v>
      </c>
      <c r="B138" s="179" t="s">
        <v>187</v>
      </c>
      <c r="C138" s="171">
        <v>0</v>
      </c>
      <c r="D138" s="171">
        <v>0</v>
      </c>
      <c r="E138" s="233"/>
      <c r="F138" s="233"/>
      <c r="G138" s="233"/>
      <c r="H138" s="233">
        <f t="shared" si="77"/>
        <v>0</v>
      </c>
      <c r="I138" s="233">
        <v>0</v>
      </c>
      <c r="J138" s="233"/>
      <c r="K138" s="233"/>
      <c r="L138" s="233"/>
      <c r="M138" s="233">
        <f t="shared" si="78"/>
        <v>0</v>
      </c>
      <c r="N138" s="233">
        <v>0</v>
      </c>
      <c r="O138" s="233"/>
      <c r="P138" s="233"/>
      <c r="Q138" s="233"/>
      <c r="R138" s="233">
        <f t="shared" ref="R138:R201" si="153">SUM(N138:Q138)</f>
        <v>0</v>
      </c>
    </row>
    <row r="139" spans="1:18" s="29" customFormat="1" ht="24">
      <c r="A139" s="132">
        <v>7300</v>
      </c>
      <c r="B139" s="172" t="s">
        <v>155</v>
      </c>
      <c r="C139" s="171">
        <v>6569844</v>
      </c>
      <c r="D139" s="171">
        <v>6569844</v>
      </c>
      <c r="E139" s="233">
        <f t="shared" ref="E139:G139" si="154">SUM(E140:E142)</f>
        <v>0</v>
      </c>
      <c r="F139" s="233">
        <f t="shared" si="154"/>
        <v>0</v>
      </c>
      <c r="G139" s="233">
        <f t="shared" si="154"/>
        <v>0</v>
      </c>
      <c r="H139" s="233">
        <f t="shared" ref="H139:H202" si="155">SUM(D139:G139)</f>
        <v>6569844</v>
      </c>
      <c r="I139" s="233">
        <v>6569844</v>
      </c>
      <c r="J139" s="233">
        <f t="shared" ref="J139:L139" si="156">SUM(J140:J142)</f>
        <v>0</v>
      </c>
      <c r="K139" s="233">
        <f t="shared" si="156"/>
        <v>0</v>
      </c>
      <c r="L139" s="233">
        <f t="shared" si="156"/>
        <v>0</v>
      </c>
      <c r="M139" s="233">
        <f t="shared" ref="M139:M202" si="157">SUM(I139:L139)</f>
        <v>6569844</v>
      </c>
      <c r="N139" s="233">
        <v>6569844</v>
      </c>
      <c r="O139" s="233">
        <f t="shared" ref="O139:Q139" si="158">SUM(O140:O142)</f>
        <v>0</v>
      </c>
      <c r="P139" s="233">
        <f t="shared" si="158"/>
        <v>0</v>
      </c>
      <c r="Q139" s="233">
        <f t="shared" si="158"/>
        <v>0</v>
      </c>
      <c r="R139" s="233">
        <f t="shared" si="153"/>
        <v>6569844</v>
      </c>
    </row>
    <row r="140" spans="1:18" s="4" customFormat="1" ht="24" hidden="1" customHeight="1">
      <c r="A140" s="133" t="s">
        <v>188</v>
      </c>
      <c r="B140" s="179" t="s">
        <v>170</v>
      </c>
      <c r="C140" s="171">
        <v>0</v>
      </c>
      <c r="D140" s="171">
        <v>0</v>
      </c>
      <c r="E140" s="252"/>
      <c r="F140" s="252"/>
      <c r="G140" s="252"/>
      <c r="H140" s="233">
        <f t="shared" si="155"/>
        <v>0</v>
      </c>
      <c r="I140" s="252"/>
      <c r="J140" s="252"/>
      <c r="K140" s="252"/>
      <c r="L140" s="252"/>
      <c r="M140" s="233">
        <f t="shared" si="157"/>
        <v>0</v>
      </c>
      <c r="N140" s="252">
        <v>0</v>
      </c>
      <c r="O140" s="252"/>
      <c r="P140" s="252"/>
      <c r="Q140" s="252"/>
      <c r="R140" s="233">
        <f t="shared" si="153"/>
        <v>0</v>
      </c>
    </row>
    <row r="141" spans="1:18" ht="60" hidden="1" customHeight="1">
      <c r="A141" s="133" t="s">
        <v>189</v>
      </c>
      <c r="B141" s="179" t="s">
        <v>156</v>
      </c>
      <c r="C141" s="171">
        <v>0</v>
      </c>
      <c r="D141" s="171">
        <v>0</v>
      </c>
      <c r="E141" s="252"/>
      <c r="F141" s="252"/>
      <c r="G141" s="252"/>
      <c r="H141" s="233">
        <f t="shared" si="155"/>
        <v>0</v>
      </c>
      <c r="I141" s="252"/>
      <c r="J141" s="252"/>
      <c r="K141" s="252"/>
      <c r="L141" s="252"/>
      <c r="M141" s="233">
        <f t="shared" si="157"/>
        <v>0</v>
      </c>
      <c r="N141" s="252">
        <v>0</v>
      </c>
      <c r="O141" s="252"/>
      <c r="P141" s="252"/>
      <c r="Q141" s="252"/>
      <c r="R141" s="233">
        <f t="shared" si="153"/>
        <v>0</v>
      </c>
    </row>
    <row r="142" spans="1:18" ht="48">
      <c r="A142" s="133">
        <v>7350</v>
      </c>
      <c r="B142" s="179" t="s">
        <v>163</v>
      </c>
      <c r="C142" s="171">
        <v>6569844</v>
      </c>
      <c r="D142" s="171">
        <v>6569844</v>
      </c>
      <c r="E142" s="252"/>
      <c r="F142" s="252"/>
      <c r="G142" s="252"/>
      <c r="H142" s="233">
        <f t="shared" si="155"/>
        <v>6569844</v>
      </c>
      <c r="I142" s="252">
        <v>6569844</v>
      </c>
      <c r="J142" s="252"/>
      <c r="K142" s="252"/>
      <c r="L142" s="252"/>
      <c r="M142" s="233">
        <f t="shared" si="157"/>
        <v>6569844</v>
      </c>
      <c r="N142" s="252">
        <v>6569844</v>
      </c>
      <c r="O142" s="252"/>
      <c r="P142" s="252"/>
      <c r="Q142" s="252"/>
      <c r="R142" s="233">
        <f t="shared" si="153"/>
        <v>6569844</v>
      </c>
    </row>
    <row r="143" spans="1:18" ht="24" hidden="1" customHeight="1">
      <c r="A143" s="132">
        <v>7400</v>
      </c>
      <c r="B143" s="172" t="s">
        <v>161</v>
      </c>
      <c r="C143" s="171">
        <v>0</v>
      </c>
      <c r="D143" s="171">
        <v>0</v>
      </c>
      <c r="E143" s="233">
        <f t="shared" ref="E143:G143" si="159">SUM(E144:E145)</f>
        <v>0</v>
      </c>
      <c r="F143" s="233">
        <f t="shared" si="159"/>
        <v>0</v>
      </c>
      <c r="G143" s="233">
        <f t="shared" si="159"/>
        <v>0</v>
      </c>
      <c r="H143" s="233">
        <f t="shared" si="155"/>
        <v>0</v>
      </c>
      <c r="I143" s="233">
        <v>0</v>
      </c>
      <c r="J143" s="233">
        <f t="shared" ref="J143:L143" si="160">SUM(J144:J145)</f>
        <v>0</v>
      </c>
      <c r="K143" s="233">
        <f t="shared" si="160"/>
        <v>0</v>
      </c>
      <c r="L143" s="233">
        <f t="shared" si="160"/>
        <v>0</v>
      </c>
      <c r="M143" s="233">
        <f t="shared" si="157"/>
        <v>0</v>
      </c>
      <c r="N143" s="233">
        <v>0</v>
      </c>
      <c r="O143" s="233">
        <f t="shared" ref="O143:Q143" si="161">SUM(O144:O145)</f>
        <v>0</v>
      </c>
      <c r="P143" s="233">
        <f t="shared" si="161"/>
        <v>0</v>
      </c>
      <c r="Q143" s="233">
        <f t="shared" si="161"/>
        <v>0</v>
      </c>
      <c r="R143" s="233">
        <f t="shared" si="153"/>
        <v>0</v>
      </c>
    </row>
    <row r="144" spans="1:18" ht="24" hidden="1" customHeight="1">
      <c r="A144" s="133">
        <v>7460</v>
      </c>
      <c r="B144" s="172" t="s">
        <v>162</v>
      </c>
      <c r="C144" s="171">
        <v>0</v>
      </c>
      <c r="D144" s="171">
        <v>0</v>
      </c>
      <c r="E144" s="252"/>
      <c r="F144" s="252"/>
      <c r="G144" s="252"/>
      <c r="H144" s="233">
        <f t="shared" si="155"/>
        <v>0</v>
      </c>
      <c r="I144" s="252">
        <v>0</v>
      </c>
      <c r="J144" s="252"/>
      <c r="K144" s="252"/>
      <c r="L144" s="252"/>
      <c r="M144" s="233">
        <f t="shared" si="157"/>
        <v>0</v>
      </c>
      <c r="N144" s="252">
        <v>0</v>
      </c>
      <c r="O144" s="252"/>
      <c r="P144" s="252"/>
      <c r="Q144" s="252"/>
      <c r="R144" s="233">
        <f t="shared" si="153"/>
        <v>0</v>
      </c>
    </row>
    <row r="145" spans="1:18" ht="48" hidden="1" customHeight="1">
      <c r="A145" s="133">
        <v>7470</v>
      </c>
      <c r="B145" s="179" t="s">
        <v>167</v>
      </c>
      <c r="C145" s="171">
        <v>0</v>
      </c>
      <c r="D145" s="171">
        <v>0</v>
      </c>
      <c r="E145" s="252"/>
      <c r="F145" s="252"/>
      <c r="G145" s="252"/>
      <c r="H145" s="233">
        <f t="shared" si="155"/>
        <v>0</v>
      </c>
      <c r="I145" s="252">
        <v>0</v>
      </c>
      <c r="J145" s="252"/>
      <c r="K145" s="252"/>
      <c r="L145" s="252"/>
      <c r="M145" s="233">
        <f t="shared" si="157"/>
        <v>0</v>
      </c>
      <c r="N145" s="252">
        <v>0</v>
      </c>
      <c r="O145" s="252"/>
      <c r="P145" s="252"/>
      <c r="Q145" s="252"/>
      <c r="R145" s="233">
        <f t="shared" si="153"/>
        <v>0</v>
      </c>
    </row>
    <row r="146" spans="1:18" ht="24" hidden="1" customHeight="1">
      <c r="A146" s="132">
        <v>7500</v>
      </c>
      <c r="B146" s="179" t="s">
        <v>157</v>
      </c>
      <c r="C146" s="171">
        <v>0</v>
      </c>
      <c r="D146" s="171">
        <v>0</v>
      </c>
      <c r="E146" s="233"/>
      <c r="F146" s="233"/>
      <c r="G146" s="233"/>
      <c r="H146" s="233">
        <f t="shared" si="155"/>
        <v>0</v>
      </c>
      <c r="I146" s="233">
        <v>0</v>
      </c>
      <c r="J146" s="233"/>
      <c r="K146" s="233"/>
      <c r="L146" s="233"/>
      <c r="M146" s="233">
        <f t="shared" si="157"/>
        <v>0</v>
      </c>
      <c r="N146" s="233">
        <v>0</v>
      </c>
      <c r="O146" s="233"/>
      <c r="P146" s="233"/>
      <c r="Q146" s="233"/>
      <c r="R146" s="233">
        <f t="shared" si="153"/>
        <v>0</v>
      </c>
    </row>
    <row r="147" spans="1:18" s="4" customFormat="1" ht="12">
      <c r="A147" s="140" t="s">
        <v>133</v>
      </c>
      <c r="B147" s="124" t="s">
        <v>122</v>
      </c>
      <c r="C147" s="181">
        <v>3314531</v>
      </c>
      <c r="D147" s="181">
        <v>1384531</v>
      </c>
      <c r="E147" s="254">
        <f t="shared" ref="E147:G147" si="162">E148+E149</f>
        <v>0</v>
      </c>
      <c r="F147" s="254">
        <f t="shared" si="162"/>
        <v>15000</v>
      </c>
      <c r="G147" s="254">
        <f t="shared" si="162"/>
        <v>810000</v>
      </c>
      <c r="H147" s="233">
        <f t="shared" si="155"/>
        <v>2209531</v>
      </c>
      <c r="I147" s="254">
        <v>1370431</v>
      </c>
      <c r="J147" s="254">
        <f t="shared" ref="J147:L147" si="163">J148+J149</f>
        <v>0</v>
      </c>
      <c r="K147" s="254">
        <f t="shared" si="163"/>
        <v>0</v>
      </c>
      <c r="L147" s="254">
        <f t="shared" si="163"/>
        <v>0</v>
      </c>
      <c r="M147" s="233">
        <f t="shared" si="157"/>
        <v>1370431</v>
      </c>
      <c r="N147" s="254">
        <v>1370431</v>
      </c>
      <c r="O147" s="254">
        <f t="shared" ref="O147:Q147" si="164">O148+O149</f>
        <v>0</v>
      </c>
      <c r="P147" s="254">
        <f t="shared" si="164"/>
        <v>0</v>
      </c>
      <c r="Q147" s="254">
        <f t="shared" si="164"/>
        <v>0</v>
      </c>
      <c r="R147" s="233">
        <f t="shared" si="153"/>
        <v>1370431</v>
      </c>
    </row>
    <row r="148" spans="1:18" s="6" customFormat="1" ht="12">
      <c r="A148" s="140">
        <v>5000</v>
      </c>
      <c r="B148" s="124" t="s">
        <v>123</v>
      </c>
      <c r="C148" s="171">
        <v>3314531</v>
      </c>
      <c r="D148" s="171">
        <v>1384531</v>
      </c>
      <c r="E148" s="233"/>
      <c r="F148" s="233">
        <f>F290+F303</f>
        <v>15000</v>
      </c>
      <c r="G148" s="233">
        <f>G318+G333+G348+G363+G378</f>
        <v>810000</v>
      </c>
      <c r="H148" s="233">
        <f t="shared" si="155"/>
        <v>2209531</v>
      </c>
      <c r="I148" s="233">
        <v>1370431</v>
      </c>
      <c r="J148" s="233"/>
      <c r="K148" s="233">
        <f>K303</f>
        <v>0</v>
      </c>
      <c r="L148" s="233">
        <f>L303</f>
        <v>0</v>
      </c>
      <c r="M148" s="233">
        <f t="shared" si="157"/>
        <v>1370431</v>
      </c>
      <c r="N148" s="233">
        <v>1370431</v>
      </c>
      <c r="O148" s="233"/>
      <c r="P148" s="233">
        <f>P303</f>
        <v>0</v>
      </c>
      <c r="Q148" s="233">
        <f>Q303</f>
        <v>0</v>
      </c>
      <c r="R148" s="233">
        <f t="shared" si="153"/>
        <v>1370431</v>
      </c>
    </row>
    <row r="149" spans="1:18" s="6" customFormat="1" ht="12" hidden="1" customHeight="1">
      <c r="A149" s="140">
        <v>9000</v>
      </c>
      <c r="B149" s="182" t="s">
        <v>164</v>
      </c>
      <c r="C149" s="171">
        <v>0</v>
      </c>
      <c r="D149" s="171">
        <v>0</v>
      </c>
      <c r="E149" s="233">
        <f t="shared" ref="E149:G149" si="165">E150+E156+E160+E163</f>
        <v>0</v>
      </c>
      <c r="F149" s="233">
        <f t="shared" si="165"/>
        <v>0</v>
      </c>
      <c r="G149" s="233">
        <f t="shared" si="165"/>
        <v>0</v>
      </c>
      <c r="H149" s="233">
        <f t="shared" si="155"/>
        <v>0</v>
      </c>
      <c r="I149" s="233">
        <v>0</v>
      </c>
      <c r="J149" s="233">
        <f t="shared" ref="J149:L149" si="166">J150+J156+J160+J163</f>
        <v>0</v>
      </c>
      <c r="K149" s="233">
        <f t="shared" si="166"/>
        <v>0</v>
      </c>
      <c r="L149" s="233">
        <f t="shared" si="166"/>
        <v>0</v>
      </c>
      <c r="M149" s="233">
        <f t="shared" si="157"/>
        <v>0</v>
      </c>
      <c r="N149" s="233">
        <v>0</v>
      </c>
      <c r="O149" s="233">
        <f t="shared" ref="O149:Q149" si="167">O150+O156+O160+O163</f>
        <v>0</v>
      </c>
      <c r="P149" s="233">
        <f t="shared" si="167"/>
        <v>0</v>
      </c>
      <c r="Q149" s="233">
        <f t="shared" si="167"/>
        <v>0</v>
      </c>
      <c r="R149" s="233">
        <f t="shared" si="153"/>
        <v>0</v>
      </c>
    </row>
    <row r="150" spans="1:18" s="6" customFormat="1" ht="12" hidden="1" customHeight="1">
      <c r="A150" s="141">
        <v>9100</v>
      </c>
      <c r="B150" s="179" t="s">
        <v>124</v>
      </c>
      <c r="C150" s="171">
        <v>0</v>
      </c>
      <c r="D150" s="171">
        <v>0</v>
      </c>
      <c r="E150" s="233">
        <f t="shared" ref="E150:G150" si="168">SUM(E151:E152)</f>
        <v>0</v>
      </c>
      <c r="F150" s="233">
        <f t="shared" ref="F150" si="169">SUM(F151:F152)</f>
        <v>0</v>
      </c>
      <c r="G150" s="233">
        <f t="shared" si="168"/>
        <v>0</v>
      </c>
      <c r="H150" s="233">
        <f t="shared" si="155"/>
        <v>0</v>
      </c>
      <c r="I150" s="233">
        <v>0</v>
      </c>
      <c r="J150" s="233">
        <f t="shared" ref="J150:L150" si="170">SUM(J151:J152)</f>
        <v>0</v>
      </c>
      <c r="K150" s="233">
        <f t="shared" si="170"/>
        <v>0</v>
      </c>
      <c r="L150" s="233">
        <f t="shared" si="170"/>
        <v>0</v>
      </c>
      <c r="M150" s="233">
        <f t="shared" si="157"/>
        <v>0</v>
      </c>
      <c r="N150" s="233">
        <v>0</v>
      </c>
      <c r="O150" s="233">
        <f t="shared" ref="O150:Q150" si="171">SUM(O151:O152)</f>
        <v>0</v>
      </c>
      <c r="P150" s="233">
        <f t="shared" si="171"/>
        <v>0</v>
      </c>
      <c r="Q150" s="233">
        <f t="shared" si="171"/>
        <v>0</v>
      </c>
      <c r="R150" s="233">
        <f t="shared" si="153"/>
        <v>0</v>
      </c>
    </row>
    <row r="151" spans="1:18" s="6" customFormat="1" ht="36" hidden="1" customHeight="1">
      <c r="A151" s="133" t="s">
        <v>125</v>
      </c>
      <c r="B151" s="179" t="s">
        <v>214</v>
      </c>
      <c r="C151" s="171">
        <v>0</v>
      </c>
      <c r="D151" s="171">
        <v>0</v>
      </c>
      <c r="E151" s="233"/>
      <c r="F151" s="233"/>
      <c r="G151" s="233"/>
      <c r="H151" s="233">
        <f t="shared" si="155"/>
        <v>0</v>
      </c>
      <c r="I151" s="233">
        <v>0</v>
      </c>
      <c r="J151" s="233"/>
      <c r="K151" s="233"/>
      <c r="L151" s="233"/>
      <c r="M151" s="233">
        <f t="shared" si="157"/>
        <v>0</v>
      </c>
      <c r="N151" s="233">
        <v>0</v>
      </c>
      <c r="O151" s="233"/>
      <c r="P151" s="233"/>
      <c r="Q151" s="233"/>
      <c r="R151" s="233">
        <f t="shared" si="153"/>
        <v>0</v>
      </c>
    </row>
    <row r="152" spans="1:18" s="6" customFormat="1" ht="36" hidden="1" customHeight="1">
      <c r="A152" s="133">
        <v>9140</v>
      </c>
      <c r="B152" s="179" t="s">
        <v>215</v>
      </c>
      <c r="C152" s="171">
        <v>0</v>
      </c>
      <c r="D152" s="171">
        <v>0</v>
      </c>
      <c r="E152" s="233">
        <f t="shared" ref="E152:G152" si="172">SUM(E153:E155)</f>
        <v>0</v>
      </c>
      <c r="F152" s="233">
        <f t="shared" si="172"/>
        <v>0</v>
      </c>
      <c r="G152" s="233">
        <f t="shared" si="172"/>
        <v>0</v>
      </c>
      <c r="H152" s="233">
        <f t="shared" si="155"/>
        <v>0</v>
      </c>
      <c r="I152" s="233">
        <v>0</v>
      </c>
      <c r="J152" s="233">
        <f t="shared" ref="J152:L152" si="173">SUM(J153:J155)</f>
        <v>0</v>
      </c>
      <c r="K152" s="233">
        <f t="shared" si="173"/>
        <v>0</v>
      </c>
      <c r="L152" s="233">
        <f t="shared" si="173"/>
        <v>0</v>
      </c>
      <c r="M152" s="233">
        <f t="shared" si="157"/>
        <v>0</v>
      </c>
      <c r="N152" s="233">
        <v>0</v>
      </c>
      <c r="O152" s="233">
        <f t="shared" ref="O152:Q152" si="174">SUM(O153:O155)</f>
        <v>0</v>
      </c>
      <c r="P152" s="233">
        <f t="shared" si="174"/>
        <v>0</v>
      </c>
      <c r="Q152" s="233">
        <f t="shared" si="174"/>
        <v>0</v>
      </c>
      <c r="R152" s="233">
        <f t="shared" si="153"/>
        <v>0</v>
      </c>
    </row>
    <row r="153" spans="1:18" s="6" customFormat="1" ht="36" hidden="1" customHeight="1">
      <c r="A153" s="134">
        <v>9141</v>
      </c>
      <c r="B153" s="172" t="s">
        <v>190</v>
      </c>
      <c r="C153" s="171">
        <v>0</v>
      </c>
      <c r="D153" s="171">
        <v>0</v>
      </c>
      <c r="E153" s="252"/>
      <c r="F153" s="252"/>
      <c r="G153" s="252"/>
      <c r="H153" s="233">
        <f t="shared" si="155"/>
        <v>0</v>
      </c>
      <c r="I153" s="252">
        <v>0</v>
      </c>
      <c r="J153" s="252"/>
      <c r="K153" s="252"/>
      <c r="L153" s="252"/>
      <c r="M153" s="233">
        <f t="shared" si="157"/>
        <v>0</v>
      </c>
      <c r="N153" s="252">
        <v>0</v>
      </c>
      <c r="O153" s="252"/>
      <c r="P153" s="252"/>
      <c r="Q153" s="252"/>
      <c r="R153" s="233">
        <f t="shared" si="153"/>
        <v>0</v>
      </c>
    </row>
    <row r="154" spans="1:18" s="6" customFormat="1" ht="36" hidden="1" customHeight="1">
      <c r="A154" s="134">
        <v>9142</v>
      </c>
      <c r="B154" s="172" t="s">
        <v>191</v>
      </c>
      <c r="C154" s="171">
        <v>0</v>
      </c>
      <c r="D154" s="171">
        <v>0</v>
      </c>
      <c r="E154" s="252"/>
      <c r="F154" s="252"/>
      <c r="G154" s="252"/>
      <c r="H154" s="233">
        <f t="shared" si="155"/>
        <v>0</v>
      </c>
      <c r="I154" s="252">
        <v>0</v>
      </c>
      <c r="J154" s="252"/>
      <c r="K154" s="252"/>
      <c r="L154" s="252"/>
      <c r="M154" s="233">
        <f t="shared" si="157"/>
        <v>0</v>
      </c>
      <c r="N154" s="252">
        <v>0</v>
      </c>
      <c r="O154" s="252"/>
      <c r="P154" s="252"/>
      <c r="Q154" s="252"/>
      <c r="R154" s="233">
        <f t="shared" si="153"/>
        <v>0</v>
      </c>
    </row>
    <row r="155" spans="1:18" s="6" customFormat="1" ht="36" hidden="1" customHeight="1">
      <c r="A155" s="134">
        <v>9149</v>
      </c>
      <c r="B155" s="172" t="s">
        <v>192</v>
      </c>
      <c r="C155" s="171">
        <v>0</v>
      </c>
      <c r="D155" s="171">
        <v>0</v>
      </c>
      <c r="E155" s="252"/>
      <c r="F155" s="252"/>
      <c r="G155" s="252"/>
      <c r="H155" s="233">
        <f t="shared" si="155"/>
        <v>0</v>
      </c>
      <c r="I155" s="252">
        <v>0</v>
      </c>
      <c r="J155" s="252"/>
      <c r="K155" s="252"/>
      <c r="L155" s="252"/>
      <c r="M155" s="233">
        <f t="shared" si="157"/>
        <v>0</v>
      </c>
      <c r="N155" s="252">
        <v>0</v>
      </c>
      <c r="O155" s="252"/>
      <c r="P155" s="252"/>
      <c r="Q155" s="252"/>
      <c r="R155" s="233">
        <f t="shared" si="153"/>
        <v>0</v>
      </c>
    </row>
    <row r="156" spans="1:18" s="6" customFormat="1" ht="36" hidden="1" customHeight="1">
      <c r="A156" s="141">
        <v>9500</v>
      </c>
      <c r="B156" s="172" t="s">
        <v>165</v>
      </c>
      <c r="C156" s="171">
        <v>0</v>
      </c>
      <c r="D156" s="171">
        <v>0</v>
      </c>
      <c r="E156" s="233">
        <f t="shared" ref="E156:G156" si="175">SUM(E157:E159)</f>
        <v>0</v>
      </c>
      <c r="F156" s="233">
        <f t="shared" si="175"/>
        <v>0</v>
      </c>
      <c r="G156" s="233">
        <f t="shared" si="175"/>
        <v>0</v>
      </c>
      <c r="H156" s="233">
        <f t="shared" si="155"/>
        <v>0</v>
      </c>
      <c r="I156" s="233">
        <v>0</v>
      </c>
      <c r="J156" s="233">
        <f t="shared" ref="J156:L156" si="176">SUM(J157:J159)</f>
        <v>0</v>
      </c>
      <c r="K156" s="233">
        <f t="shared" si="176"/>
        <v>0</v>
      </c>
      <c r="L156" s="233">
        <f t="shared" si="176"/>
        <v>0</v>
      </c>
      <c r="M156" s="233">
        <f t="shared" si="157"/>
        <v>0</v>
      </c>
      <c r="N156" s="233">
        <v>0</v>
      </c>
      <c r="O156" s="233">
        <f t="shared" ref="O156:Q156" si="177">SUM(O157:O159)</f>
        <v>0</v>
      </c>
      <c r="P156" s="233">
        <f t="shared" si="177"/>
        <v>0</v>
      </c>
      <c r="Q156" s="233">
        <f t="shared" si="177"/>
        <v>0</v>
      </c>
      <c r="R156" s="233">
        <f t="shared" si="153"/>
        <v>0</v>
      </c>
    </row>
    <row r="157" spans="1:18" s="6" customFormat="1" ht="24" hidden="1" customHeight="1">
      <c r="A157" s="133" t="s">
        <v>193</v>
      </c>
      <c r="B157" s="172" t="s">
        <v>171</v>
      </c>
      <c r="C157" s="171">
        <v>0</v>
      </c>
      <c r="D157" s="171">
        <v>0</v>
      </c>
      <c r="E157" s="233"/>
      <c r="F157" s="233"/>
      <c r="G157" s="233"/>
      <c r="H157" s="233">
        <f t="shared" si="155"/>
        <v>0</v>
      </c>
      <c r="I157" s="233">
        <v>0</v>
      </c>
      <c r="J157" s="233"/>
      <c r="K157" s="233"/>
      <c r="L157" s="233"/>
      <c r="M157" s="233">
        <f t="shared" si="157"/>
        <v>0</v>
      </c>
      <c r="N157" s="233">
        <v>0</v>
      </c>
      <c r="O157" s="233"/>
      <c r="P157" s="233"/>
      <c r="Q157" s="233"/>
      <c r="R157" s="233">
        <f t="shared" si="153"/>
        <v>0</v>
      </c>
    </row>
    <row r="158" spans="1:18" s="6" customFormat="1" ht="60" hidden="1" customHeight="1">
      <c r="A158" s="133">
        <v>9580</v>
      </c>
      <c r="B158" s="172" t="s">
        <v>166</v>
      </c>
      <c r="C158" s="171">
        <v>0</v>
      </c>
      <c r="D158" s="171">
        <v>0</v>
      </c>
      <c r="E158" s="252"/>
      <c r="F158" s="252"/>
      <c r="G158" s="252"/>
      <c r="H158" s="233">
        <f t="shared" si="155"/>
        <v>0</v>
      </c>
      <c r="I158" s="252">
        <v>0</v>
      </c>
      <c r="J158" s="252"/>
      <c r="K158" s="252"/>
      <c r="L158" s="252"/>
      <c r="M158" s="233">
        <f t="shared" si="157"/>
        <v>0</v>
      </c>
      <c r="N158" s="252">
        <v>0</v>
      </c>
      <c r="O158" s="252"/>
      <c r="P158" s="252"/>
      <c r="Q158" s="252"/>
      <c r="R158" s="233">
        <f t="shared" si="153"/>
        <v>0</v>
      </c>
    </row>
    <row r="159" spans="1:18" s="6" customFormat="1" ht="48" hidden="1" customHeight="1">
      <c r="A159" s="133">
        <v>9590</v>
      </c>
      <c r="B159" s="179" t="s">
        <v>172</v>
      </c>
      <c r="C159" s="171">
        <v>0</v>
      </c>
      <c r="D159" s="171">
        <v>0</v>
      </c>
      <c r="E159" s="252"/>
      <c r="F159" s="252"/>
      <c r="G159" s="252"/>
      <c r="H159" s="233">
        <f t="shared" si="155"/>
        <v>0</v>
      </c>
      <c r="I159" s="252">
        <v>0</v>
      </c>
      <c r="J159" s="252"/>
      <c r="K159" s="252"/>
      <c r="L159" s="252"/>
      <c r="M159" s="233">
        <f t="shared" si="157"/>
        <v>0</v>
      </c>
      <c r="N159" s="252">
        <v>0</v>
      </c>
      <c r="O159" s="252"/>
      <c r="P159" s="252"/>
      <c r="Q159" s="252"/>
      <c r="R159" s="233">
        <f t="shared" si="153"/>
        <v>0</v>
      </c>
    </row>
    <row r="160" spans="1:18" s="6" customFormat="1" ht="24" hidden="1" customHeight="1">
      <c r="A160" s="141">
        <v>9700</v>
      </c>
      <c r="B160" s="183" t="s">
        <v>194</v>
      </c>
      <c r="C160" s="171">
        <v>0</v>
      </c>
      <c r="D160" s="171">
        <v>0</v>
      </c>
      <c r="E160" s="233">
        <f t="shared" ref="E160:G160" si="178">SUM(E161:E162)</f>
        <v>0</v>
      </c>
      <c r="F160" s="233">
        <f t="shared" si="178"/>
        <v>0</v>
      </c>
      <c r="G160" s="233">
        <f t="shared" si="178"/>
        <v>0</v>
      </c>
      <c r="H160" s="233">
        <f t="shared" si="155"/>
        <v>0</v>
      </c>
      <c r="I160" s="233">
        <v>0</v>
      </c>
      <c r="J160" s="233">
        <f t="shared" ref="J160:L160" si="179">SUM(J161:J162)</f>
        <v>0</v>
      </c>
      <c r="K160" s="233">
        <f t="shared" si="179"/>
        <v>0</v>
      </c>
      <c r="L160" s="233">
        <f t="shared" si="179"/>
        <v>0</v>
      </c>
      <c r="M160" s="233">
        <f t="shared" si="157"/>
        <v>0</v>
      </c>
      <c r="N160" s="233">
        <v>0</v>
      </c>
      <c r="O160" s="233">
        <f t="shared" ref="O160:Q160" si="180">SUM(O161:O162)</f>
        <v>0</v>
      </c>
      <c r="P160" s="233">
        <f t="shared" si="180"/>
        <v>0</v>
      </c>
      <c r="Q160" s="233">
        <f t="shared" si="180"/>
        <v>0</v>
      </c>
      <c r="R160" s="233">
        <f t="shared" si="153"/>
        <v>0</v>
      </c>
    </row>
    <row r="161" spans="1:18" s="6" customFormat="1" ht="24" hidden="1" customHeight="1">
      <c r="A161" s="133">
        <v>9710</v>
      </c>
      <c r="B161" s="184" t="s">
        <v>195</v>
      </c>
      <c r="C161" s="171">
        <v>0</v>
      </c>
      <c r="D161" s="171">
        <v>0</v>
      </c>
      <c r="E161" s="252"/>
      <c r="F161" s="252"/>
      <c r="G161" s="252"/>
      <c r="H161" s="233">
        <f t="shared" si="155"/>
        <v>0</v>
      </c>
      <c r="I161" s="252">
        <v>0</v>
      </c>
      <c r="J161" s="252"/>
      <c r="K161" s="252"/>
      <c r="L161" s="252"/>
      <c r="M161" s="233">
        <f t="shared" si="157"/>
        <v>0</v>
      </c>
      <c r="N161" s="252">
        <v>0</v>
      </c>
      <c r="O161" s="252"/>
      <c r="P161" s="252"/>
      <c r="Q161" s="252"/>
      <c r="R161" s="233">
        <f t="shared" si="153"/>
        <v>0</v>
      </c>
    </row>
    <row r="162" spans="1:18" s="6" customFormat="1" ht="48" hidden="1" customHeight="1">
      <c r="A162" s="142">
        <v>9720</v>
      </c>
      <c r="B162" s="183" t="s">
        <v>196</v>
      </c>
      <c r="C162" s="171">
        <v>0</v>
      </c>
      <c r="D162" s="171">
        <v>0</v>
      </c>
      <c r="E162" s="252"/>
      <c r="F162" s="252"/>
      <c r="G162" s="252"/>
      <c r="H162" s="233">
        <f t="shared" si="155"/>
        <v>0</v>
      </c>
      <c r="I162" s="252">
        <v>0</v>
      </c>
      <c r="J162" s="252"/>
      <c r="K162" s="252"/>
      <c r="L162" s="252"/>
      <c r="M162" s="233">
        <f t="shared" si="157"/>
        <v>0</v>
      </c>
      <c r="N162" s="252">
        <v>0</v>
      </c>
      <c r="O162" s="252"/>
      <c r="P162" s="252"/>
      <c r="Q162" s="252"/>
      <c r="R162" s="233">
        <f t="shared" si="153"/>
        <v>0</v>
      </c>
    </row>
    <row r="163" spans="1:18" s="6" customFormat="1" ht="24" hidden="1" customHeight="1">
      <c r="A163" s="141">
        <v>9600</v>
      </c>
      <c r="B163" s="179" t="s">
        <v>134</v>
      </c>
      <c r="C163" s="171">
        <v>0</v>
      </c>
      <c r="D163" s="171">
        <v>0</v>
      </c>
      <c r="E163" s="252"/>
      <c r="F163" s="252"/>
      <c r="G163" s="252"/>
      <c r="H163" s="233">
        <f t="shared" si="155"/>
        <v>0</v>
      </c>
      <c r="I163" s="252">
        <v>0</v>
      </c>
      <c r="J163" s="252"/>
      <c r="K163" s="252"/>
      <c r="L163" s="252"/>
      <c r="M163" s="233">
        <f t="shared" si="157"/>
        <v>0</v>
      </c>
      <c r="N163" s="252">
        <v>0</v>
      </c>
      <c r="O163" s="252"/>
      <c r="P163" s="252"/>
      <c r="Q163" s="252"/>
      <c r="R163" s="233">
        <f t="shared" si="153"/>
        <v>0</v>
      </c>
    </row>
    <row r="164" spans="1:18" s="6" customFormat="1" ht="40.799999999999997">
      <c r="A164" s="130" t="s">
        <v>197</v>
      </c>
      <c r="B164" s="185" t="s">
        <v>47</v>
      </c>
      <c r="C164" s="181">
        <v>-307925</v>
      </c>
      <c r="D164" s="181">
        <v>-307925</v>
      </c>
      <c r="E164" s="262">
        <f t="shared" ref="E164:G164" si="181">E94-E119</f>
        <v>0</v>
      </c>
      <c r="F164" s="262">
        <f t="shared" si="181"/>
        <v>0</v>
      </c>
      <c r="G164" s="262">
        <f t="shared" si="181"/>
        <v>0</v>
      </c>
      <c r="H164" s="233">
        <f t="shared" si="155"/>
        <v>-307925</v>
      </c>
      <c r="I164" s="262">
        <v>-307925</v>
      </c>
      <c r="J164" s="262">
        <f t="shared" ref="J164:L164" si="182">J94-J119</f>
        <v>0</v>
      </c>
      <c r="K164" s="262">
        <f t="shared" si="182"/>
        <v>0</v>
      </c>
      <c r="L164" s="262">
        <f t="shared" si="182"/>
        <v>0</v>
      </c>
      <c r="M164" s="233">
        <f t="shared" si="157"/>
        <v>-307925</v>
      </c>
      <c r="N164" s="262">
        <v>-307925</v>
      </c>
      <c r="O164" s="262">
        <f t="shared" ref="O164:Q164" si="183">O94-O119</f>
        <v>0</v>
      </c>
      <c r="P164" s="262">
        <f t="shared" si="183"/>
        <v>0</v>
      </c>
      <c r="Q164" s="262">
        <f t="shared" si="183"/>
        <v>0</v>
      </c>
      <c r="R164" s="233">
        <f t="shared" si="153"/>
        <v>-307925</v>
      </c>
    </row>
    <row r="165" spans="1:18" s="6" customFormat="1" ht="12">
      <c r="A165" s="143" t="s">
        <v>48</v>
      </c>
      <c r="B165" s="185" t="s">
        <v>49</v>
      </c>
      <c r="C165" s="181">
        <v>307925</v>
      </c>
      <c r="D165" s="181">
        <v>307925</v>
      </c>
      <c r="E165" s="262">
        <f t="shared" ref="E165:G165" si="184">E166+E169+E173+E172</f>
        <v>0</v>
      </c>
      <c r="F165" s="262">
        <f t="shared" si="184"/>
        <v>0</v>
      </c>
      <c r="G165" s="262">
        <f t="shared" si="184"/>
        <v>0</v>
      </c>
      <c r="H165" s="233">
        <f t="shared" si="155"/>
        <v>307925</v>
      </c>
      <c r="I165" s="262">
        <v>307925</v>
      </c>
      <c r="J165" s="262">
        <f t="shared" ref="J165:L165" si="185">J166+J169+J173+J172</f>
        <v>0</v>
      </c>
      <c r="K165" s="262">
        <f t="shared" si="185"/>
        <v>0</v>
      </c>
      <c r="L165" s="262">
        <f t="shared" si="185"/>
        <v>0</v>
      </c>
      <c r="M165" s="233">
        <f t="shared" si="157"/>
        <v>307925</v>
      </c>
      <c r="N165" s="262">
        <v>307925</v>
      </c>
      <c r="O165" s="262">
        <f t="shared" ref="O165:Q165" si="186">O166+O169+O173+O172</f>
        <v>0</v>
      </c>
      <c r="P165" s="262">
        <f t="shared" si="186"/>
        <v>0</v>
      </c>
      <c r="Q165" s="262">
        <f t="shared" si="186"/>
        <v>0</v>
      </c>
      <c r="R165" s="233">
        <f t="shared" si="153"/>
        <v>307925</v>
      </c>
    </row>
    <row r="166" spans="1:18" s="6" customFormat="1" ht="12" hidden="1" customHeight="1">
      <c r="A166" s="141" t="s">
        <v>50</v>
      </c>
      <c r="B166" s="179" t="s">
        <v>51</v>
      </c>
      <c r="C166" s="171">
        <v>0</v>
      </c>
      <c r="D166" s="171">
        <v>0</v>
      </c>
      <c r="E166" s="231">
        <f t="shared" ref="E166:G166" si="187">E167+E168</f>
        <v>0</v>
      </c>
      <c r="F166" s="231">
        <f t="shared" si="187"/>
        <v>0</v>
      </c>
      <c r="G166" s="231">
        <f t="shared" si="187"/>
        <v>0</v>
      </c>
      <c r="H166" s="233">
        <f t="shared" si="155"/>
        <v>0</v>
      </c>
      <c r="I166" s="231">
        <v>0</v>
      </c>
      <c r="J166" s="231">
        <f t="shared" ref="J166:L166" si="188">J167+J168</f>
        <v>0</v>
      </c>
      <c r="K166" s="231">
        <f t="shared" si="188"/>
        <v>0</v>
      </c>
      <c r="L166" s="231">
        <f t="shared" si="188"/>
        <v>0</v>
      </c>
      <c r="M166" s="233">
        <f t="shared" si="157"/>
        <v>0</v>
      </c>
      <c r="N166" s="231">
        <v>0</v>
      </c>
      <c r="O166" s="231">
        <f t="shared" ref="O166:Q166" si="189">O167+O168</f>
        <v>0</v>
      </c>
      <c r="P166" s="231">
        <f t="shared" si="189"/>
        <v>0</v>
      </c>
      <c r="Q166" s="231">
        <f t="shared" si="189"/>
        <v>0</v>
      </c>
      <c r="R166" s="233">
        <f t="shared" si="153"/>
        <v>0</v>
      </c>
    </row>
    <row r="167" spans="1:18" s="6" customFormat="1" ht="12" hidden="1" customHeight="1">
      <c r="A167" s="141" t="s">
        <v>52</v>
      </c>
      <c r="B167" s="179" t="s">
        <v>53</v>
      </c>
      <c r="C167" s="171">
        <v>0</v>
      </c>
      <c r="D167" s="171">
        <v>0</v>
      </c>
      <c r="E167" s="231"/>
      <c r="F167" s="231"/>
      <c r="G167" s="231"/>
      <c r="H167" s="233">
        <f t="shared" si="155"/>
        <v>0</v>
      </c>
      <c r="I167" s="231">
        <v>0</v>
      </c>
      <c r="J167" s="231"/>
      <c r="K167" s="231"/>
      <c r="L167" s="231"/>
      <c r="M167" s="233">
        <f t="shared" si="157"/>
        <v>0</v>
      </c>
      <c r="N167" s="231">
        <v>0</v>
      </c>
      <c r="O167" s="231"/>
      <c r="P167" s="231"/>
      <c r="Q167" s="231"/>
      <c r="R167" s="233">
        <f t="shared" si="153"/>
        <v>0</v>
      </c>
    </row>
    <row r="168" spans="1:18" s="6" customFormat="1" ht="12" hidden="1" customHeight="1">
      <c r="A168" s="141" t="s">
        <v>54</v>
      </c>
      <c r="B168" s="179" t="s">
        <v>55</v>
      </c>
      <c r="C168" s="171">
        <v>0</v>
      </c>
      <c r="D168" s="171">
        <v>0</v>
      </c>
      <c r="E168" s="231"/>
      <c r="F168" s="231"/>
      <c r="G168" s="231"/>
      <c r="H168" s="233">
        <f t="shared" si="155"/>
        <v>0</v>
      </c>
      <c r="I168" s="231">
        <v>0</v>
      </c>
      <c r="J168" s="231"/>
      <c r="K168" s="231"/>
      <c r="L168" s="231"/>
      <c r="M168" s="233">
        <f t="shared" si="157"/>
        <v>0</v>
      </c>
      <c r="N168" s="231">
        <v>0</v>
      </c>
      <c r="O168" s="231"/>
      <c r="P168" s="231"/>
      <c r="Q168" s="231"/>
      <c r="R168" s="233">
        <f t="shared" si="153"/>
        <v>0</v>
      </c>
    </row>
    <row r="169" spans="1:18" s="6" customFormat="1" ht="12" hidden="1" customHeight="1">
      <c r="A169" s="141" t="s">
        <v>56</v>
      </c>
      <c r="B169" s="179" t="s">
        <v>57</v>
      </c>
      <c r="C169" s="171">
        <v>0</v>
      </c>
      <c r="D169" s="171">
        <v>0</v>
      </c>
      <c r="E169" s="231">
        <f t="shared" ref="E169:G169" si="190">E170+E171</f>
        <v>0</v>
      </c>
      <c r="F169" s="231">
        <f t="shared" si="190"/>
        <v>0</v>
      </c>
      <c r="G169" s="231">
        <f t="shared" si="190"/>
        <v>0</v>
      </c>
      <c r="H169" s="233">
        <f t="shared" si="155"/>
        <v>0</v>
      </c>
      <c r="I169" s="231">
        <v>0</v>
      </c>
      <c r="J169" s="231">
        <f t="shared" ref="J169:L169" si="191">J170+J171</f>
        <v>0</v>
      </c>
      <c r="K169" s="231">
        <f t="shared" si="191"/>
        <v>0</v>
      </c>
      <c r="L169" s="231">
        <f t="shared" si="191"/>
        <v>0</v>
      </c>
      <c r="M169" s="233">
        <f t="shared" si="157"/>
        <v>0</v>
      </c>
      <c r="N169" s="231">
        <v>0</v>
      </c>
      <c r="O169" s="231">
        <f t="shared" ref="O169:Q169" si="192">O170+O171</f>
        <v>0</v>
      </c>
      <c r="P169" s="231">
        <f t="shared" si="192"/>
        <v>0</v>
      </c>
      <c r="Q169" s="231">
        <f t="shared" si="192"/>
        <v>0</v>
      </c>
      <c r="R169" s="233">
        <f t="shared" si="153"/>
        <v>0</v>
      </c>
    </row>
    <row r="170" spans="1:18" s="6" customFormat="1" ht="12" hidden="1" customHeight="1">
      <c r="A170" s="141" t="s">
        <v>58</v>
      </c>
      <c r="B170" s="179" t="s">
        <v>59</v>
      </c>
      <c r="C170" s="171">
        <v>0</v>
      </c>
      <c r="D170" s="171">
        <v>0</v>
      </c>
      <c r="E170" s="231"/>
      <c r="F170" s="231"/>
      <c r="G170" s="231"/>
      <c r="H170" s="233">
        <f t="shared" si="155"/>
        <v>0</v>
      </c>
      <c r="I170" s="231">
        <v>0</v>
      </c>
      <c r="J170" s="231"/>
      <c r="K170" s="231"/>
      <c r="L170" s="231"/>
      <c r="M170" s="233">
        <f t="shared" si="157"/>
        <v>0</v>
      </c>
      <c r="N170" s="231">
        <v>0</v>
      </c>
      <c r="O170" s="231"/>
      <c r="P170" s="231"/>
      <c r="Q170" s="231"/>
      <c r="R170" s="233">
        <f t="shared" si="153"/>
        <v>0</v>
      </c>
    </row>
    <row r="171" spans="1:18" s="6" customFormat="1" ht="12" hidden="1" customHeight="1">
      <c r="A171" s="141" t="s">
        <v>60</v>
      </c>
      <c r="B171" s="179" t="s">
        <v>61</v>
      </c>
      <c r="C171" s="171">
        <v>0</v>
      </c>
      <c r="D171" s="171">
        <v>0</v>
      </c>
      <c r="E171" s="231"/>
      <c r="F171" s="231"/>
      <c r="G171" s="231"/>
      <c r="H171" s="233">
        <f t="shared" si="155"/>
        <v>0</v>
      </c>
      <c r="I171" s="231">
        <v>0</v>
      </c>
      <c r="J171" s="231"/>
      <c r="K171" s="231"/>
      <c r="L171" s="231"/>
      <c r="M171" s="233">
        <f t="shared" si="157"/>
        <v>0</v>
      </c>
      <c r="N171" s="231">
        <v>0</v>
      </c>
      <c r="O171" s="231"/>
      <c r="P171" s="231"/>
      <c r="Q171" s="231"/>
      <c r="R171" s="233">
        <f t="shared" si="153"/>
        <v>0</v>
      </c>
    </row>
    <row r="172" spans="1:18" s="6" customFormat="1" ht="24" hidden="1" customHeight="1">
      <c r="A172" s="141" t="s">
        <v>198</v>
      </c>
      <c r="B172" s="187" t="s">
        <v>168</v>
      </c>
      <c r="C172" s="171">
        <v>0</v>
      </c>
      <c r="D172" s="171">
        <v>0</v>
      </c>
      <c r="E172" s="231"/>
      <c r="F172" s="231"/>
      <c r="G172" s="231"/>
      <c r="H172" s="233">
        <f t="shared" si="155"/>
        <v>0</v>
      </c>
      <c r="I172" s="231">
        <v>0</v>
      </c>
      <c r="J172" s="231"/>
      <c r="K172" s="231"/>
      <c r="L172" s="231"/>
      <c r="M172" s="233">
        <f t="shared" si="157"/>
        <v>0</v>
      </c>
      <c r="N172" s="231">
        <v>0</v>
      </c>
      <c r="O172" s="231"/>
      <c r="P172" s="231"/>
      <c r="Q172" s="231"/>
      <c r="R172" s="233">
        <f t="shared" si="153"/>
        <v>0</v>
      </c>
    </row>
    <row r="173" spans="1:18" s="6" customFormat="1" ht="12">
      <c r="A173" s="144" t="s">
        <v>62</v>
      </c>
      <c r="B173" s="125" t="s">
        <v>63</v>
      </c>
      <c r="C173" s="171">
        <v>307925</v>
      </c>
      <c r="D173" s="171">
        <v>307925</v>
      </c>
      <c r="E173" s="233">
        <f t="shared" ref="E173:G173" si="193">E174+E175+E176</f>
        <v>0</v>
      </c>
      <c r="F173" s="233">
        <f t="shared" si="193"/>
        <v>0</v>
      </c>
      <c r="G173" s="233">
        <f t="shared" si="193"/>
        <v>0</v>
      </c>
      <c r="H173" s="233">
        <f t="shared" si="155"/>
        <v>307925</v>
      </c>
      <c r="I173" s="233">
        <v>307925</v>
      </c>
      <c r="J173" s="233">
        <f t="shared" ref="J173:L173" si="194">J174+J175+J176</f>
        <v>0</v>
      </c>
      <c r="K173" s="233">
        <f t="shared" si="194"/>
        <v>0</v>
      </c>
      <c r="L173" s="233">
        <f t="shared" si="194"/>
        <v>0</v>
      </c>
      <c r="M173" s="233">
        <f t="shared" si="157"/>
        <v>307925</v>
      </c>
      <c r="N173" s="233">
        <v>307925</v>
      </c>
      <c r="O173" s="233">
        <f t="shared" ref="O173:Q173" si="195">O174+O175+O176</f>
        <v>0</v>
      </c>
      <c r="P173" s="233">
        <f t="shared" si="195"/>
        <v>0</v>
      </c>
      <c r="Q173" s="233">
        <f t="shared" si="195"/>
        <v>0</v>
      </c>
      <c r="R173" s="233">
        <f t="shared" si="153"/>
        <v>307925</v>
      </c>
    </row>
    <row r="174" spans="1:18" s="6" customFormat="1" ht="36">
      <c r="A174" s="144" t="s">
        <v>64</v>
      </c>
      <c r="B174" s="179" t="s">
        <v>65</v>
      </c>
      <c r="C174" s="171">
        <v>307925</v>
      </c>
      <c r="D174" s="171">
        <v>307925</v>
      </c>
      <c r="E174" s="231"/>
      <c r="F174" s="231"/>
      <c r="G174" s="231"/>
      <c r="H174" s="233">
        <f t="shared" si="155"/>
        <v>307925</v>
      </c>
      <c r="I174" s="231">
        <v>307925</v>
      </c>
      <c r="J174" s="231"/>
      <c r="K174" s="231"/>
      <c r="L174" s="231"/>
      <c r="M174" s="233">
        <f t="shared" si="157"/>
        <v>307925</v>
      </c>
      <c r="N174" s="231">
        <v>307925</v>
      </c>
      <c r="O174" s="231"/>
      <c r="P174" s="231"/>
      <c r="Q174" s="231"/>
      <c r="R174" s="233">
        <f t="shared" si="153"/>
        <v>307925</v>
      </c>
    </row>
    <row r="175" spans="1:18" s="6" customFormat="1" ht="36" hidden="1" customHeight="1">
      <c r="A175" s="144" t="s">
        <v>66</v>
      </c>
      <c r="B175" s="179" t="s">
        <v>67</v>
      </c>
      <c r="C175" s="169">
        <v>0</v>
      </c>
      <c r="D175" s="169">
        <v>0</v>
      </c>
      <c r="E175" s="231"/>
      <c r="F175" s="231"/>
      <c r="G175" s="231"/>
      <c r="H175" s="233">
        <f t="shared" si="155"/>
        <v>0</v>
      </c>
      <c r="I175" s="231">
        <v>0</v>
      </c>
      <c r="J175" s="231"/>
      <c r="K175" s="231"/>
      <c r="L175" s="231"/>
      <c r="M175" s="233">
        <f t="shared" si="157"/>
        <v>0</v>
      </c>
      <c r="N175" s="231">
        <v>0</v>
      </c>
      <c r="O175" s="231"/>
      <c r="P175" s="231"/>
      <c r="Q175" s="231"/>
      <c r="R175" s="233">
        <f t="shared" si="153"/>
        <v>0</v>
      </c>
    </row>
    <row r="176" spans="1:18" s="6" customFormat="1" ht="36" hidden="1" customHeight="1">
      <c r="A176" s="144" t="s">
        <v>68</v>
      </c>
      <c r="B176" s="125" t="s">
        <v>69</v>
      </c>
      <c r="C176" s="169">
        <v>0</v>
      </c>
      <c r="D176" s="169">
        <v>0</v>
      </c>
      <c r="E176" s="231"/>
      <c r="F176" s="231"/>
      <c r="G176" s="231"/>
      <c r="H176" s="233">
        <f t="shared" si="155"/>
        <v>0</v>
      </c>
      <c r="I176" s="231">
        <v>0</v>
      </c>
      <c r="J176" s="231"/>
      <c r="K176" s="231"/>
      <c r="L176" s="231"/>
      <c r="M176" s="233">
        <f t="shared" si="157"/>
        <v>0</v>
      </c>
      <c r="N176" s="231">
        <v>0</v>
      </c>
      <c r="O176" s="231"/>
      <c r="P176" s="231"/>
      <c r="Q176" s="231"/>
      <c r="R176" s="233">
        <f t="shared" si="153"/>
        <v>0</v>
      </c>
    </row>
    <row r="177" spans="1:18" s="6" customFormat="1" ht="34.200000000000003">
      <c r="A177" s="145"/>
      <c r="B177" s="188" t="s">
        <v>200</v>
      </c>
      <c r="C177" s="293"/>
      <c r="D177" s="294"/>
      <c r="E177" s="347"/>
      <c r="F177" s="347"/>
      <c r="G177" s="347"/>
      <c r="H177" s="347">
        <f t="shared" si="155"/>
        <v>0</v>
      </c>
      <c r="I177" s="347"/>
      <c r="J177" s="347"/>
      <c r="K177" s="347"/>
      <c r="L177" s="347"/>
      <c r="M177" s="347">
        <f t="shared" si="157"/>
        <v>0</v>
      </c>
      <c r="N177" s="347"/>
      <c r="O177" s="347"/>
      <c r="P177" s="347"/>
      <c r="Q177" s="347"/>
      <c r="R177" s="347">
        <f t="shared" si="153"/>
        <v>0</v>
      </c>
    </row>
    <row r="178" spans="1:18" s="6" customFormat="1" ht="20.399999999999999">
      <c r="A178" s="129" t="s">
        <v>201</v>
      </c>
      <c r="B178" s="123" t="s">
        <v>88</v>
      </c>
      <c r="C178" s="167">
        <v>274800297</v>
      </c>
      <c r="D178" s="167">
        <v>299601781</v>
      </c>
      <c r="E178" s="228">
        <f t="shared" ref="E178:G178" si="196">E179+E180+E182+E200</f>
        <v>0</v>
      </c>
      <c r="F178" s="228">
        <f t="shared" si="196"/>
        <v>0</v>
      </c>
      <c r="G178" s="228">
        <f t="shared" si="196"/>
        <v>0</v>
      </c>
      <c r="H178" s="243">
        <f t="shared" si="155"/>
        <v>299601781</v>
      </c>
      <c r="I178" s="228">
        <v>105930752</v>
      </c>
      <c r="J178" s="228">
        <f t="shared" ref="J178:L178" si="197">J179+J180+J182+J200</f>
        <v>0</v>
      </c>
      <c r="K178" s="228">
        <f t="shared" si="197"/>
        <v>0</v>
      </c>
      <c r="L178" s="228">
        <f t="shared" si="197"/>
        <v>0</v>
      </c>
      <c r="M178" s="243">
        <f t="shared" si="157"/>
        <v>105930752</v>
      </c>
      <c r="N178" s="228">
        <v>2826283</v>
      </c>
      <c r="O178" s="228">
        <f t="shared" ref="O178:Q178" si="198">O179+O180+O182+O200</f>
        <v>0</v>
      </c>
      <c r="P178" s="228">
        <f t="shared" si="198"/>
        <v>0</v>
      </c>
      <c r="Q178" s="228">
        <f t="shared" si="198"/>
        <v>0</v>
      </c>
      <c r="R178" s="243">
        <f t="shared" si="153"/>
        <v>2826283</v>
      </c>
    </row>
    <row r="179" spans="1:18" s="6" customFormat="1" ht="24" hidden="1" customHeight="1">
      <c r="A179" s="130" t="s">
        <v>177</v>
      </c>
      <c r="B179" s="124" t="s">
        <v>90</v>
      </c>
      <c r="C179" s="171">
        <v>0</v>
      </c>
      <c r="D179" s="171">
        <v>0</v>
      </c>
      <c r="E179" s="231"/>
      <c r="F179" s="231"/>
      <c r="G179" s="231"/>
      <c r="H179" s="233">
        <f t="shared" si="155"/>
        <v>0</v>
      </c>
      <c r="I179" s="231">
        <v>0</v>
      </c>
      <c r="J179" s="231"/>
      <c r="K179" s="231"/>
      <c r="L179" s="231"/>
      <c r="M179" s="233">
        <f t="shared" si="157"/>
        <v>0</v>
      </c>
      <c r="N179" s="231">
        <v>0</v>
      </c>
      <c r="O179" s="231"/>
      <c r="P179" s="231"/>
      <c r="Q179" s="231"/>
      <c r="R179" s="233">
        <f t="shared" si="153"/>
        <v>0</v>
      </c>
    </row>
    <row r="180" spans="1:18" s="6" customFormat="1" ht="22.8">
      <c r="A180" s="130" t="s">
        <v>91</v>
      </c>
      <c r="B180" s="124" t="s">
        <v>92</v>
      </c>
      <c r="C180" s="171">
        <v>61729</v>
      </c>
      <c r="D180" s="171">
        <v>0</v>
      </c>
      <c r="E180" s="231"/>
      <c r="F180" s="231"/>
      <c r="G180" s="231"/>
      <c r="H180" s="233">
        <f t="shared" si="155"/>
        <v>0</v>
      </c>
      <c r="I180" s="231">
        <v>0</v>
      </c>
      <c r="J180" s="231"/>
      <c r="K180" s="231"/>
      <c r="L180" s="231"/>
      <c r="M180" s="233">
        <f t="shared" si="157"/>
        <v>0</v>
      </c>
      <c r="N180" s="231">
        <v>0</v>
      </c>
      <c r="O180" s="231"/>
      <c r="P180" s="231"/>
      <c r="Q180" s="231"/>
      <c r="R180" s="233">
        <f t="shared" si="153"/>
        <v>0</v>
      </c>
    </row>
    <row r="181" spans="1:18" s="29" customFormat="1" ht="24">
      <c r="A181" s="131">
        <v>21210</v>
      </c>
      <c r="B181" s="125" t="s">
        <v>93</v>
      </c>
      <c r="C181" s="171">
        <v>59258</v>
      </c>
      <c r="D181" s="171">
        <v>0</v>
      </c>
      <c r="E181" s="231"/>
      <c r="F181" s="231"/>
      <c r="G181" s="231"/>
      <c r="H181" s="233">
        <f t="shared" si="155"/>
        <v>0</v>
      </c>
      <c r="I181" s="231">
        <v>0</v>
      </c>
      <c r="J181" s="231"/>
      <c r="K181" s="231"/>
      <c r="L181" s="231"/>
      <c r="M181" s="233">
        <f t="shared" si="157"/>
        <v>0</v>
      </c>
      <c r="N181" s="231">
        <v>0</v>
      </c>
      <c r="O181" s="231"/>
      <c r="P181" s="231"/>
      <c r="Q181" s="231"/>
      <c r="R181" s="233">
        <f t="shared" si="153"/>
        <v>0</v>
      </c>
    </row>
    <row r="182" spans="1:18" s="89" customFormat="1" ht="20.399999999999999">
      <c r="A182" s="130" t="s">
        <v>178</v>
      </c>
      <c r="B182" s="124" t="s">
        <v>94</v>
      </c>
      <c r="C182" s="171">
        <v>0</v>
      </c>
      <c r="D182" s="171">
        <v>271057</v>
      </c>
      <c r="E182" s="233">
        <f t="shared" ref="E182:G182" si="199">E183+E189</f>
        <v>0</v>
      </c>
      <c r="F182" s="233">
        <f t="shared" si="199"/>
        <v>0</v>
      </c>
      <c r="G182" s="233">
        <f t="shared" si="199"/>
        <v>0</v>
      </c>
      <c r="H182" s="233">
        <f t="shared" si="155"/>
        <v>271057</v>
      </c>
      <c r="I182" s="233">
        <v>183593</v>
      </c>
      <c r="J182" s="233">
        <f t="shared" ref="J182:L182" si="200">J183+J189</f>
        <v>0</v>
      </c>
      <c r="K182" s="233">
        <f t="shared" si="200"/>
        <v>0</v>
      </c>
      <c r="L182" s="233">
        <f t="shared" si="200"/>
        <v>0</v>
      </c>
      <c r="M182" s="233">
        <f t="shared" si="157"/>
        <v>183593</v>
      </c>
      <c r="N182" s="233">
        <v>0</v>
      </c>
      <c r="O182" s="233">
        <f t="shared" ref="O182:Q182" si="201">O183+O189</f>
        <v>0</v>
      </c>
      <c r="P182" s="233">
        <f t="shared" si="201"/>
        <v>0</v>
      </c>
      <c r="Q182" s="233">
        <f t="shared" si="201"/>
        <v>0</v>
      </c>
      <c r="R182" s="233">
        <f t="shared" si="153"/>
        <v>0</v>
      </c>
    </row>
    <row r="183" spans="1:18" s="89" customFormat="1" ht="12" hidden="1" customHeight="1">
      <c r="A183" s="132">
        <v>18000</v>
      </c>
      <c r="B183" s="125" t="s">
        <v>95</v>
      </c>
      <c r="C183" s="171">
        <v>0</v>
      </c>
      <c r="D183" s="171">
        <v>0</v>
      </c>
      <c r="E183" s="233">
        <f t="shared" ref="E183:L184" si="202">E184</f>
        <v>0</v>
      </c>
      <c r="F183" s="233">
        <f t="shared" si="202"/>
        <v>0</v>
      </c>
      <c r="G183" s="233">
        <f t="shared" si="202"/>
        <v>0</v>
      </c>
      <c r="H183" s="233">
        <f t="shared" si="155"/>
        <v>0</v>
      </c>
      <c r="I183" s="233">
        <v>0</v>
      </c>
      <c r="J183" s="233">
        <f t="shared" si="202"/>
        <v>0</v>
      </c>
      <c r="K183" s="233">
        <f t="shared" si="202"/>
        <v>0</v>
      </c>
      <c r="L183" s="233">
        <f t="shared" si="202"/>
        <v>0</v>
      </c>
      <c r="M183" s="233">
        <f t="shared" si="157"/>
        <v>0</v>
      </c>
      <c r="N183" s="233">
        <v>0</v>
      </c>
      <c r="O183" s="233">
        <f t="shared" ref="O183:Q184" si="203">O184</f>
        <v>0</v>
      </c>
      <c r="P183" s="233">
        <f t="shared" si="203"/>
        <v>0</v>
      </c>
      <c r="Q183" s="233">
        <f t="shared" si="203"/>
        <v>0</v>
      </c>
      <c r="R183" s="233">
        <f t="shared" si="153"/>
        <v>0</v>
      </c>
    </row>
    <row r="184" spans="1:18" s="89" customFormat="1" ht="12" hidden="1" customHeight="1">
      <c r="A184" s="132">
        <v>18100</v>
      </c>
      <c r="B184" s="125" t="s">
        <v>96</v>
      </c>
      <c r="C184" s="171">
        <v>0</v>
      </c>
      <c r="D184" s="171">
        <v>0</v>
      </c>
      <c r="E184" s="233">
        <f t="shared" si="202"/>
        <v>0</v>
      </c>
      <c r="F184" s="233">
        <f t="shared" si="202"/>
        <v>0</v>
      </c>
      <c r="G184" s="233">
        <f t="shared" si="202"/>
        <v>0</v>
      </c>
      <c r="H184" s="233">
        <f t="shared" si="155"/>
        <v>0</v>
      </c>
      <c r="I184" s="233">
        <v>0</v>
      </c>
      <c r="J184" s="233">
        <f t="shared" si="202"/>
        <v>0</v>
      </c>
      <c r="K184" s="233">
        <f t="shared" si="202"/>
        <v>0</v>
      </c>
      <c r="L184" s="233">
        <f t="shared" si="202"/>
        <v>0</v>
      </c>
      <c r="M184" s="233">
        <f t="shared" si="157"/>
        <v>0</v>
      </c>
      <c r="N184" s="233">
        <v>0</v>
      </c>
      <c r="O184" s="233">
        <f t="shared" si="203"/>
        <v>0</v>
      </c>
      <c r="P184" s="233">
        <f t="shared" si="203"/>
        <v>0</v>
      </c>
      <c r="Q184" s="233">
        <f t="shared" si="203"/>
        <v>0</v>
      </c>
      <c r="R184" s="233">
        <f t="shared" si="153"/>
        <v>0</v>
      </c>
    </row>
    <row r="185" spans="1:18" s="89" customFormat="1" ht="24" hidden="1" customHeight="1">
      <c r="A185" s="133">
        <v>18130</v>
      </c>
      <c r="B185" s="172" t="s">
        <v>159</v>
      </c>
      <c r="C185" s="171">
        <v>0</v>
      </c>
      <c r="D185" s="171">
        <v>0</v>
      </c>
      <c r="E185" s="233">
        <f t="shared" ref="E185:G185" si="204">SUM(E186:E188)</f>
        <v>0</v>
      </c>
      <c r="F185" s="233">
        <f t="shared" ref="F185" si="205">SUM(F186:F188)</f>
        <v>0</v>
      </c>
      <c r="G185" s="233">
        <f t="shared" si="204"/>
        <v>0</v>
      </c>
      <c r="H185" s="233">
        <f t="shared" si="155"/>
        <v>0</v>
      </c>
      <c r="I185" s="233">
        <v>0</v>
      </c>
      <c r="J185" s="233">
        <f t="shared" ref="J185:L185" si="206">SUM(J186:J188)</f>
        <v>0</v>
      </c>
      <c r="K185" s="233">
        <f t="shared" si="206"/>
        <v>0</v>
      </c>
      <c r="L185" s="233">
        <f t="shared" si="206"/>
        <v>0</v>
      </c>
      <c r="M185" s="233">
        <f t="shared" si="157"/>
        <v>0</v>
      </c>
      <c r="N185" s="233">
        <v>0</v>
      </c>
      <c r="O185" s="233">
        <f t="shared" ref="O185:Q185" si="207">SUM(O186:O188)</f>
        <v>0</v>
      </c>
      <c r="P185" s="233">
        <f t="shared" si="207"/>
        <v>0</v>
      </c>
      <c r="Q185" s="233">
        <f t="shared" si="207"/>
        <v>0</v>
      </c>
      <c r="R185" s="233">
        <f t="shared" si="153"/>
        <v>0</v>
      </c>
    </row>
    <row r="186" spans="1:18" s="89" customFormat="1" ht="36" hidden="1" customHeight="1">
      <c r="A186" s="134">
        <v>18131</v>
      </c>
      <c r="B186" s="172" t="s">
        <v>160</v>
      </c>
      <c r="C186" s="171">
        <v>0</v>
      </c>
      <c r="D186" s="171">
        <v>0</v>
      </c>
      <c r="E186" s="233"/>
      <c r="F186" s="233"/>
      <c r="G186" s="233"/>
      <c r="H186" s="233">
        <f t="shared" si="155"/>
        <v>0</v>
      </c>
      <c r="I186" s="233">
        <v>0</v>
      </c>
      <c r="J186" s="233"/>
      <c r="K186" s="233"/>
      <c r="L186" s="233"/>
      <c r="M186" s="233">
        <f t="shared" si="157"/>
        <v>0</v>
      </c>
      <c r="N186" s="233">
        <v>0</v>
      </c>
      <c r="O186" s="233"/>
      <c r="P186" s="233"/>
      <c r="Q186" s="233"/>
      <c r="R186" s="233">
        <f t="shared" si="153"/>
        <v>0</v>
      </c>
    </row>
    <row r="187" spans="1:18" s="89" customFormat="1" ht="36" hidden="1" customHeight="1">
      <c r="A187" s="134">
        <v>18132</v>
      </c>
      <c r="B187" s="172" t="s">
        <v>169</v>
      </c>
      <c r="C187" s="171">
        <v>0</v>
      </c>
      <c r="D187" s="171">
        <v>0</v>
      </c>
      <c r="E187" s="233"/>
      <c r="F187" s="233"/>
      <c r="G187" s="233"/>
      <c r="H187" s="233">
        <f t="shared" si="155"/>
        <v>0</v>
      </c>
      <c r="I187" s="233">
        <v>0</v>
      </c>
      <c r="J187" s="233"/>
      <c r="K187" s="233"/>
      <c r="L187" s="233"/>
      <c r="M187" s="233">
        <f t="shared" si="157"/>
        <v>0</v>
      </c>
      <c r="N187" s="233">
        <v>0</v>
      </c>
      <c r="O187" s="233"/>
      <c r="P187" s="233"/>
      <c r="Q187" s="233"/>
      <c r="R187" s="233">
        <f t="shared" si="153"/>
        <v>0</v>
      </c>
    </row>
    <row r="188" spans="1:18" s="89" customFormat="1" ht="24" hidden="1" customHeight="1">
      <c r="A188" s="134">
        <v>18139</v>
      </c>
      <c r="B188" s="172" t="s">
        <v>179</v>
      </c>
      <c r="C188" s="171">
        <v>0</v>
      </c>
      <c r="D188" s="171">
        <v>0</v>
      </c>
      <c r="E188" s="233"/>
      <c r="F188" s="233"/>
      <c r="G188" s="233"/>
      <c r="H188" s="233">
        <f t="shared" si="155"/>
        <v>0</v>
      </c>
      <c r="I188" s="233">
        <v>0</v>
      </c>
      <c r="J188" s="233"/>
      <c r="K188" s="233"/>
      <c r="L188" s="233"/>
      <c r="M188" s="233">
        <f t="shared" si="157"/>
        <v>0</v>
      </c>
      <c r="N188" s="233">
        <v>0</v>
      </c>
      <c r="O188" s="233"/>
      <c r="P188" s="233"/>
      <c r="Q188" s="233"/>
      <c r="R188" s="233">
        <f t="shared" si="153"/>
        <v>0</v>
      </c>
    </row>
    <row r="189" spans="1:18" s="89" customFormat="1" ht="12" hidden="1" customHeight="1">
      <c r="A189" s="135" t="s">
        <v>180</v>
      </c>
      <c r="B189" s="173" t="s">
        <v>173</v>
      </c>
      <c r="C189" s="287">
        <v>0</v>
      </c>
      <c r="D189" s="287">
        <v>0</v>
      </c>
      <c r="E189" s="238">
        <f t="shared" ref="E189:L189" si="208">E190</f>
        <v>0</v>
      </c>
      <c r="F189" s="238">
        <f t="shared" si="208"/>
        <v>0</v>
      </c>
      <c r="G189" s="238">
        <f t="shared" si="208"/>
        <v>0</v>
      </c>
      <c r="H189" s="233">
        <f t="shared" si="155"/>
        <v>0</v>
      </c>
      <c r="I189" s="238">
        <v>0</v>
      </c>
      <c r="J189" s="238">
        <f t="shared" si="208"/>
        <v>0</v>
      </c>
      <c r="K189" s="238">
        <f t="shared" si="208"/>
        <v>0</v>
      </c>
      <c r="L189" s="238">
        <f t="shared" si="208"/>
        <v>0</v>
      </c>
      <c r="M189" s="233">
        <f t="shared" si="157"/>
        <v>0</v>
      </c>
      <c r="N189" s="238">
        <v>0</v>
      </c>
      <c r="O189" s="238">
        <f t="shared" ref="O189:Q189" si="209">O190</f>
        <v>0</v>
      </c>
      <c r="P189" s="238">
        <f t="shared" si="209"/>
        <v>0</v>
      </c>
      <c r="Q189" s="238">
        <f t="shared" si="209"/>
        <v>0</v>
      </c>
      <c r="R189" s="233">
        <f t="shared" si="153"/>
        <v>0</v>
      </c>
    </row>
    <row r="190" spans="1:18" s="89" customFormat="1" ht="24" hidden="1" customHeight="1">
      <c r="A190" s="135">
        <v>19500</v>
      </c>
      <c r="B190" s="172" t="s">
        <v>174</v>
      </c>
      <c r="C190" s="171">
        <v>0</v>
      </c>
      <c r="D190" s="171">
        <v>0</v>
      </c>
      <c r="E190" s="233">
        <f t="shared" ref="E190:G190" si="210">SUM(E191:E193)</f>
        <v>0</v>
      </c>
      <c r="F190" s="233">
        <f t="shared" si="210"/>
        <v>0</v>
      </c>
      <c r="G190" s="233">
        <f t="shared" si="210"/>
        <v>0</v>
      </c>
      <c r="H190" s="233">
        <f t="shared" si="155"/>
        <v>0</v>
      </c>
      <c r="I190" s="233">
        <v>0</v>
      </c>
      <c r="J190" s="233">
        <f t="shared" ref="J190:L190" si="211">SUM(J191:J193)</f>
        <v>0</v>
      </c>
      <c r="K190" s="233">
        <f t="shared" si="211"/>
        <v>0</v>
      </c>
      <c r="L190" s="233">
        <f t="shared" si="211"/>
        <v>0</v>
      </c>
      <c r="M190" s="233">
        <f t="shared" si="157"/>
        <v>0</v>
      </c>
      <c r="N190" s="233">
        <v>0</v>
      </c>
      <c r="O190" s="233">
        <f t="shared" ref="O190:Q190" si="212">SUM(O191:O193)</f>
        <v>0</v>
      </c>
      <c r="P190" s="233">
        <f t="shared" si="212"/>
        <v>0</v>
      </c>
      <c r="Q190" s="233">
        <f t="shared" si="212"/>
        <v>0</v>
      </c>
      <c r="R190" s="233">
        <f t="shared" si="153"/>
        <v>0</v>
      </c>
    </row>
    <row r="191" spans="1:18" s="89" customFormat="1" ht="24" hidden="1" customHeight="1">
      <c r="A191" s="136">
        <v>19550</v>
      </c>
      <c r="B191" s="172" t="s">
        <v>175</v>
      </c>
      <c r="C191" s="171">
        <v>0</v>
      </c>
      <c r="D191" s="171">
        <v>0</v>
      </c>
      <c r="E191" s="233"/>
      <c r="F191" s="233"/>
      <c r="G191" s="233"/>
      <c r="H191" s="233">
        <f t="shared" si="155"/>
        <v>0</v>
      </c>
      <c r="I191" s="233">
        <v>0</v>
      </c>
      <c r="J191" s="233"/>
      <c r="K191" s="233"/>
      <c r="L191" s="233"/>
      <c r="M191" s="233">
        <f t="shared" si="157"/>
        <v>0</v>
      </c>
      <c r="N191" s="233">
        <v>0</v>
      </c>
      <c r="O191" s="233"/>
      <c r="P191" s="233"/>
      <c r="Q191" s="233"/>
      <c r="R191" s="233">
        <f t="shared" si="153"/>
        <v>0</v>
      </c>
    </row>
    <row r="192" spans="1:18" s="89" customFormat="1" ht="48" hidden="1" customHeight="1">
      <c r="A192" s="136">
        <v>19560</v>
      </c>
      <c r="B192" s="172" t="s">
        <v>181</v>
      </c>
      <c r="C192" s="171">
        <v>0</v>
      </c>
      <c r="D192" s="171">
        <v>0</v>
      </c>
      <c r="E192" s="233"/>
      <c r="F192" s="233"/>
      <c r="G192" s="233"/>
      <c r="H192" s="233">
        <f t="shared" si="155"/>
        <v>0</v>
      </c>
      <c r="I192" s="233">
        <v>0</v>
      </c>
      <c r="J192" s="233"/>
      <c r="K192" s="233"/>
      <c r="L192" s="233"/>
      <c r="M192" s="233">
        <f t="shared" si="157"/>
        <v>0</v>
      </c>
      <c r="N192" s="233">
        <v>0</v>
      </c>
      <c r="O192" s="233"/>
      <c r="P192" s="233"/>
      <c r="Q192" s="233"/>
      <c r="R192" s="233">
        <f t="shared" si="153"/>
        <v>0</v>
      </c>
    </row>
    <row r="193" spans="1:18" s="89" customFormat="1" ht="84" hidden="1" customHeight="1">
      <c r="A193" s="136">
        <v>19570</v>
      </c>
      <c r="B193" s="172" t="s">
        <v>182</v>
      </c>
      <c r="C193" s="171">
        <v>0</v>
      </c>
      <c r="D193" s="171">
        <v>0</v>
      </c>
      <c r="E193" s="233"/>
      <c r="F193" s="233"/>
      <c r="G193" s="233"/>
      <c r="H193" s="233">
        <f t="shared" si="155"/>
        <v>0</v>
      </c>
      <c r="I193" s="233">
        <v>0</v>
      </c>
      <c r="J193" s="233"/>
      <c r="K193" s="233"/>
      <c r="L193" s="233"/>
      <c r="M193" s="233">
        <f t="shared" si="157"/>
        <v>0</v>
      </c>
      <c r="N193" s="233">
        <v>0</v>
      </c>
      <c r="O193" s="233"/>
      <c r="P193" s="233"/>
      <c r="Q193" s="233"/>
      <c r="R193" s="233">
        <f t="shared" si="153"/>
        <v>0</v>
      </c>
    </row>
    <row r="194" spans="1:18" s="6" customFormat="1" ht="36">
      <c r="A194" s="209" t="s">
        <v>222</v>
      </c>
      <c r="B194" s="208" t="s">
        <v>216</v>
      </c>
      <c r="C194" s="107">
        <v>0</v>
      </c>
      <c r="D194" s="107">
        <v>271057</v>
      </c>
      <c r="E194" s="233">
        <f t="shared" ref="E194:L194" si="213">E195</f>
        <v>0</v>
      </c>
      <c r="F194" s="233">
        <f t="shared" si="213"/>
        <v>0</v>
      </c>
      <c r="G194" s="233">
        <f t="shared" si="213"/>
        <v>0</v>
      </c>
      <c r="H194" s="233">
        <f t="shared" si="155"/>
        <v>271057</v>
      </c>
      <c r="I194" s="233">
        <v>183593</v>
      </c>
      <c r="J194" s="233">
        <f t="shared" si="213"/>
        <v>0</v>
      </c>
      <c r="K194" s="233">
        <f t="shared" si="213"/>
        <v>0</v>
      </c>
      <c r="L194" s="233">
        <f t="shared" si="213"/>
        <v>0</v>
      </c>
      <c r="M194" s="233">
        <f t="shared" si="157"/>
        <v>183593</v>
      </c>
      <c r="N194" s="233">
        <v>0</v>
      </c>
      <c r="O194" s="233">
        <f t="shared" ref="O194:Q194" si="214">O195</f>
        <v>0</v>
      </c>
      <c r="P194" s="233">
        <f t="shared" si="214"/>
        <v>0</v>
      </c>
      <c r="Q194" s="233">
        <f t="shared" si="214"/>
        <v>0</v>
      </c>
      <c r="R194" s="233">
        <f t="shared" si="153"/>
        <v>0</v>
      </c>
    </row>
    <row r="195" spans="1:18" s="6" customFormat="1" ht="48">
      <c r="A195" s="209">
        <v>17100</v>
      </c>
      <c r="B195" s="208" t="s">
        <v>217</v>
      </c>
      <c r="C195" s="107">
        <v>0</v>
      </c>
      <c r="D195" s="107">
        <v>271057</v>
      </c>
      <c r="E195" s="233">
        <f t="shared" ref="E195:G195" si="215">SUM(E196:E199)</f>
        <v>0</v>
      </c>
      <c r="F195" s="233">
        <f t="shared" si="215"/>
        <v>0</v>
      </c>
      <c r="G195" s="233">
        <f t="shared" si="215"/>
        <v>0</v>
      </c>
      <c r="H195" s="233">
        <f t="shared" si="155"/>
        <v>271057</v>
      </c>
      <c r="I195" s="233">
        <v>183593</v>
      </c>
      <c r="J195" s="233">
        <f t="shared" ref="J195:L195" si="216">SUM(J196:J199)</f>
        <v>0</v>
      </c>
      <c r="K195" s="233">
        <f t="shared" si="216"/>
        <v>0</v>
      </c>
      <c r="L195" s="233">
        <f t="shared" si="216"/>
        <v>0</v>
      </c>
      <c r="M195" s="233">
        <f t="shared" si="157"/>
        <v>183593</v>
      </c>
      <c r="N195" s="233">
        <v>0</v>
      </c>
      <c r="O195" s="233">
        <f t="shared" ref="O195:Q195" si="217">SUM(O196:O199)</f>
        <v>0</v>
      </c>
      <c r="P195" s="233">
        <f t="shared" si="217"/>
        <v>0</v>
      </c>
      <c r="Q195" s="233">
        <f t="shared" si="217"/>
        <v>0</v>
      </c>
      <c r="R195" s="233">
        <f t="shared" si="153"/>
        <v>0</v>
      </c>
    </row>
    <row r="196" spans="1:18" s="6" customFormat="1" ht="60">
      <c r="A196" s="149">
        <v>17110</v>
      </c>
      <c r="B196" s="208" t="s">
        <v>218</v>
      </c>
      <c r="C196" s="107"/>
      <c r="D196" s="107">
        <v>271057</v>
      </c>
      <c r="E196" s="233"/>
      <c r="F196" s="233"/>
      <c r="G196" s="233"/>
      <c r="H196" s="233">
        <f t="shared" si="155"/>
        <v>271057</v>
      </c>
      <c r="I196" s="233">
        <v>183593</v>
      </c>
      <c r="J196" s="233"/>
      <c r="K196" s="233"/>
      <c r="L196" s="233"/>
      <c r="M196" s="233">
        <f t="shared" si="157"/>
        <v>183593</v>
      </c>
      <c r="N196" s="233">
        <v>0</v>
      </c>
      <c r="O196" s="233"/>
      <c r="P196" s="233"/>
      <c r="Q196" s="233"/>
      <c r="R196" s="233">
        <f t="shared" si="153"/>
        <v>0</v>
      </c>
    </row>
    <row r="197" spans="1:18" s="6" customFormat="1" ht="60" hidden="1" customHeight="1">
      <c r="A197" s="149">
        <v>17120</v>
      </c>
      <c r="B197" s="208" t="s">
        <v>219</v>
      </c>
      <c r="C197" s="107"/>
      <c r="D197" s="107">
        <v>0</v>
      </c>
      <c r="E197" s="233"/>
      <c r="F197" s="233"/>
      <c r="G197" s="233"/>
      <c r="H197" s="233">
        <f t="shared" si="155"/>
        <v>0</v>
      </c>
      <c r="I197" s="233">
        <v>0</v>
      </c>
      <c r="J197" s="233"/>
      <c r="K197" s="233"/>
      <c r="L197" s="233"/>
      <c r="M197" s="233">
        <f t="shared" si="157"/>
        <v>0</v>
      </c>
      <c r="N197" s="233">
        <v>0</v>
      </c>
      <c r="O197" s="233"/>
      <c r="P197" s="233"/>
      <c r="Q197" s="233"/>
      <c r="R197" s="233">
        <f t="shared" si="153"/>
        <v>0</v>
      </c>
    </row>
    <row r="198" spans="1:18" s="6" customFormat="1" ht="120" hidden="1" customHeight="1">
      <c r="A198" s="149">
        <v>17130</v>
      </c>
      <c r="B198" s="208" t="s">
        <v>220</v>
      </c>
      <c r="C198" s="107"/>
      <c r="D198" s="107">
        <v>0</v>
      </c>
      <c r="E198" s="233"/>
      <c r="F198" s="233"/>
      <c r="G198" s="233"/>
      <c r="H198" s="233">
        <f t="shared" si="155"/>
        <v>0</v>
      </c>
      <c r="I198" s="233">
        <v>0</v>
      </c>
      <c r="J198" s="233"/>
      <c r="K198" s="233"/>
      <c r="L198" s="233"/>
      <c r="M198" s="233">
        <f t="shared" si="157"/>
        <v>0</v>
      </c>
      <c r="N198" s="233">
        <v>0</v>
      </c>
      <c r="O198" s="233"/>
      <c r="P198" s="233"/>
      <c r="Q198" s="233"/>
      <c r="R198" s="233">
        <f t="shared" si="153"/>
        <v>0</v>
      </c>
    </row>
    <row r="199" spans="1:18" s="6" customFormat="1" ht="120" hidden="1" customHeight="1">
      <c r="A199" s="149">
        <v>17140</v>
      </c>
      <c r="B199" s="208" t="s">
        <v>221</v>
      </c>
      <c r="C199" s="107"/>
      <c r="D199" s="107">
        <v>0</v>
      </c>
      <c r="E199" s="233"/>
      <c r="F199" s="233"/>
      <c r="G199" s="233"/>
      <c r="H199" s="233">
        <f t="shared" si="155"/>
        <v>0</v>
      </c>
      <c r="I199" s="233">
        <v>0</v>
      </c>
      <c r="J199" s="233"/>
      <c r="K199" s="233"/>
      <c r="L199" s="233"/>
      <c r="M199" s="233">
        <f t="shared" si="157"/>
        <v>0</v>
      </c>
      <c r="N199" s="233">
        <v>0</v>
      </c>
      <c r="O199" s="233"/>
      <c r="P199" s="233"/>
      <c r="Q199" s="233"/>
      <c r="R199" s="233">
        <f t="shared" si="153"/>
        <v>0</v>
      </c>
    </row>
    <row r="200" spans="1:18" s="89" customFormat="1" ht="12">
      <c r="A200" s="137">
        <v>21700</v>
      </c>
      <c r="B200" s="124" t="s">
        <v>97</v>
      </c>
      <c r="C200" s="171">
        <v>274738568</v>
      </c>
      <c r="D200" s="171">
        <v>299330724</v>
      </c>
      <c r="E200" s="233">
        <f t="shared" ref="E200:G200" si="218">E201+E202</f>
        <v>0</v>
      </c>
      <c r="F200" s="233">
        <f t="shared" si="218"/>
        <v>0</v>
      </c>
      <c r="G200" s="233">
        <f t="shared" si="218"/>
        <v>0</v>
      </c>
      <c r="H200" s="233">
        <f t="shared" si="155"/>
        <v>299330724</v>
      </c>
      <c r="I200" s="233">
        <v>105747159</v>
      </c>
      <c r="J200" s="233">
        <f t="shared" ref="J200:L200" si="219">J201+J202</f>
        <v>0</v>
      </c>
      <c r="K200" s="233">
        <f t="shared" si="219"/>
        <v>0</v>
      </c>
      <c r="L200" s="233">
        <f t="shared" si="219"/>
        <v>0</v>
      </c>
      <c r="M200" s="233">
        <f t="shared" si="157"/>
        <v>105747159</v>
      </c>
      <c r="N200" s="233">
        <v>2826283</v>
      </c>
      <c r="O200" s="233">
        <f t="shared" ref="O200:Q200" si="220">O201+O202</f>
        <v>0</v>
      </c>
      <c r="P200" s="233">
        <f t="shared" si="220"/>
        <v>0</v>
      </c>
      <c r="Q200" s="233">
        <f t="shared" si="220"/>
        <v>0</v>
      </c>
      <c r="R200" s="233">
        <f t="shared" si="153"/>
        <v>2826283</v>
      </c>
    </row>
    <row r="201" spans="1:18" s="89" customFormat="1" ht="24">
      <c r="A201" s="138">
        <v>21710</v>
      </c>
      <c r="B201" s="125" t="s">
        <v>98</v>
      </c>
      <c r="C201" s="171">
        <v>265005568</v>
      </c>
      <c r="D201" s="171">
        <v>291059657</v>
      </c>
      <c r="E201" s="233"/>
      <c r="F201" s="233"/>
      <c r="G201" s="233"/>
      <c r="H201" s="233">
        <f t="shared" si="155"/>
        <v>291059657</v>
      </c>
      <c r="I201" s="233">
        <v>101873772</v>
      </c>
      <c r="J201" s="233"/>
      <c r="K201" s="233"/>
      <c r="L201" s="233"/>
      <c r="M201" s="233">
        <f t="shared" si="157"/>
        <v>101873772</v>
      </c>
      <c r="N201" s="233">
        <v>2826283</v>
      </c>
      <c r="O201" s="233"/>
      <c r="P201" s="233"/>
      <c r="Q201" s="233"/>
      <c r="R201" s="233">
        <f t="shared" si="153"/>
        <v>2826283</v>
      </c>
    </row>
    <row r="202" spans="1:18" s="29" customFormat="1" ht="24">
      <c r="A202" s="138">
        <v>21720</v>
      </c>
      <c r="B202" s="125" t="s">
        <v>99</v>
      </c>
      <c r="C202" s="171">
        <v>9733000</v>
      </c>
      <c r="D202" s="171">
        <v>8271067</v>
      </c>
      <c r="E202" s="233"/>
      <c r="F202" s="233"/>
      <c r="G202" s="233"/>
      <c r="H202" s="233">
        <f t="shared" si="155"/>
        <v>8271067</v>
      </c>
      <c r="I202" s="233">
        <v>3873387</v>
      </c>
      <c r="J202" s="233"/>
      <c r="K202" s="233"/>
      <c r="L202" s="233"/>
      <c r="M202" s="233">
        <f t="shared" si="157"/>
        <v>3873387</v>
      </c>
      <c r="N202" s="233">
        <v>0</v>
      </c>
      <c r="O202" s="233"/>
      <c r="P202" s="233"/>
      <c r="Q202" s="233"/>
      <c r="R202" s="233">
        <f t="shared" ref="R202:R260" si="221">SUM(N202:Q202)</f>
        <v>0</v>
      </c>
    </row>
    <row r="203" spans="1:18" s="29" customFormat="1" ht="11.4">
      <c r="A203" s="129" t="s">
        <v>100</v>
      </c>
      <c r="B203" s="123" t="s">
        <v>101</v>
      </c>
      <c r="C203" s="175">
        <v>274800297</v>
      </c>
      <c r="D203" s="175">
        <v>299601781</v>
      </c>
      <c r="E203" s="243">
        <f t="shared" ref="E203:G203" si="222">E204+E231</f>
        <v>0</v>
      </c>
      <c r="F203" s="243">
        <f t="shared" si="222"/>
        <v>0</v>
      </c>
      <c r="G203" s="243">
        <f t="shared" si="222"/>
        <v>0</v>
      </c>
      <c r="H203" s="403">
        <f t="shared" ref="H203:H260" si="223">SUM(D203:G203)</f>
        <v>299601781</v>
      </c>
      <c r="I203" s="243">
        <v>105930752</v>
      </c>
      <c r="J203" s="243">
        <f t="shared" ref="J203:L203" si="224">J204+J231</f>
        <v>0</v>
      </c>
      <c r="K203" s="243">
        <f t="shared" si="224"/>
        <v>0</v>
      </c>
      <c r="L203" s="243">
        <f t="shared" si="224"/>
        <v>0</v>
      </c>
      <c r="M203" s="403">
        <f t="shared" ref="M203:M260" si="225">SUM(I203:L203)</f>
        <v>105930752</v>
      </c>
      <c r="N203" s="243">
        <v>2826283</v>
      </c>
      <c r="O203" s="243">
        <f t="shared" ref="O203:Q203" si="226">O204+O231</f>
        <v>0</v>
      </c>
      <c r="P203" s="243">
        <f t="shared" si="226"/>
        <v>0</v>
      </c>
      <c r="Q203" s="243">
        <f t="shared" si="226"/>
        <v>0</v>
      </c>
      <c r="R203" s="403">
        <f t="shared" si="221"/>
        <v>2826283</v>
      </c>
    </row>
    <row r="204" spans="1:18" s="29" customFormat="1" ht="20.399999999999999">
      <c r="A204" s="130" t="s">
        <v>102</v>
      </c>
      <c r="B204" s="124" t="s">
        <v>103</v>
      </c>
      <c r="C204" s="171">
        <v>259870323</v>
      </c>
      <c r="D204" s="171">
        <v>290241133</v>
      </c>
      <c r="E204" s="233">
        <f t="shared" ref="E204:G204" si="227">E205+E209+E210+E213+E216</f>
        <v>0</v>
      </c>
      <c r="F204" s="233">
        <f t="shared" si="227"/>
        <v>0</v>
      </c>
      <c r="G204" s="233">
        <f t="shared" si="227"/>
        <v>0</v>
      </c>
      <c r="H204" s="233">
        <f t="shared" si="223"/>
        <v>290241133</v>
      </c>
      <c r="I204" s="233">
        <v>102289034</v>
      </c>
      <c r="J204" s="233">
        <f t="shared" ref="J204:L204" si="228">J205+J209+J210+J213+J216</f>
        <v>0</v>
      </c>
      <c r="K204" s="233">
        <f t="shared" si="228"/>
        <v>0</v>
      </c>
      <c r="L204" s="233">
        <f t="shared" si="228"/>
        <v>0</v>
      </c>
      <c r="M204" s="233">
        <f t="shared" si="225"/>
        <v>102289034</v>
      </c>
      <c r="N204" s="233">
        <v>2826283</v>
      </c>
      <c r="O204" s="233">
        <f t="shared" ref="O204:Q204" si="229">O205+O209+O210+O213+O216</f>
        <v>0</v>
      </c>
      <c r="P204" s="233">
        <f t="shared" si="229"/>
        <v>0</v>
      </c>
      <c r="Q204" s="233">
        <f t="shared" si="229"/>
        <v>0</v>
      </c>
      <c r="R204" s="233">
        <f t="shared" si="221"/>
        <v>2826283</v>
      </c>
    </row>
    <row r="205" spans="1:18" s="29" customFormat="1" ht="12">
      <c r="A205" s="130" t="s">
        <v>104</v>
      </c>
      <c r="B205" s="124" t="s">
        <v>105</v>
      </c>
      <c r="C205" s="171">
        <v>7308134</v>
      </c>
      <c r="D205" s="171">
        <v>7184816</v>
      </c>
      <c r="E205" s="233">
        <f t="shared" ref="E205:G205" si="230">E206+E208</f>
        <v>0</v>
      </c>
      <c r="F205" s="233">
        <f t="shared" si="230"/>
        <v>0</v>
      </c>
      <c r="G205" s="233">
        <f t="shared" si="230"/>
        <v>0</v>
      </c>
      <c r="H205" s="233">
        <f t="shared" si="223"/>
        <v>7184816</v>
      </c>
      <c r="I205" s="233">
        <v>6783880</v>
      </c>
      <c r="J205" s="233">
        <f t="shared" ref="J205:L205" si="231">J206+J208</f>
        <v>0</v>
      </c>
      <c r="K205" s="233">
        <f t="shared" si="231"/>
        <v>0</v>
      </c>
      <c r="L205" s="233">
        <f t="shared" si="231"/>
        <v>0</v>
      </c>
      <c r="M205" s="233">
        <f t="shared" si="225"/>
        <v>6783880</v>
      </c>
      <c r="N205" s="233">
        <v>0</v>
      </c>
      <c r="O205" s="233">
        <f t="shared" ref="O205:Q205" si="232">O206+O208</f>
        <v>0</v>
      </c>
      <c r="P205" s="233">
        <f t="shared" si="232"/>
        <v>0</v>
      </c>
      <c r="Q205" s="233">
        <f t="shared" si="232"/>
        <v>0</v>
      </c>
      <c r="R205" s="233">
        <f t="shared" si="221"/>
        <v>0</v>
      </c>
    </row>
    <row r="206" spans="1:18" s="29" customFormat="1" ht="12">
      <c r="A206" s="132">
        <v>1000</v>
      </c>
      <c r="B206" s="125" t="s">
        <v>106</v>
      </c>
      <c r="C206" s="171">
        <v>2554863</v>
      </c>
      <c r="D206" s="171">
        <v>2560108</v>
      </c>
      <c r="E206" s="233"/>
      <c r="F206" s="233"/>
      <c r="G206" s="233"/>
      <c r="H206" s="233">
        <f t="shared" si="223"/>
        <v>2560108</v>
      </c>
      <c r="I206" s="233">
        <v>2560108</v>
      </c>
      <c r="J206" s="233"/>
      <c r="K206" s="233"/>
      <c r="L206" s="233"/>
      <c r="M206" s="233">
        <f t="shared" si="225"/>
        <v>2560108</v>
      </c>
      <c r="N206" s="233">
        <v>0</v>
      </c>
      <c r="O206" s="233"/>
      <c r="P206" s="233"/>
      <c r="Q206" s="233"/>
      <c r="R206" s="233">
        <f t="shared" si="221"/>
        <v>0</v>
      </c>
    </row>
    <row r="207" spans="1:18" s="29" customFormat="1" ht="12">
      <c r="A207" s="139">
        <v>1100</v>
      </c>
      <c r="B207" s="125" t="s">
        <v>107</v>
      </c>
      <c r="C207" s="171">
        <v>2058821</v>
      </c>
      <c r="D207" s="171">
        <v>2063106</v>
      </c>
      <c r="E207" s="233"/>
      <c r="F207" s="233"/>
      <c r="G207" s="233"/>
      <c r="H207" s="233">
        <f t="shared" si="223"/>
        <v>2063106</v>
      </c>
      <c r="I207" s="233">
        <v>2063106</v>
      </c>
      <c r="J207" s="233"/>
      <c r="K207" s="233"/>
      <c r="L207" s="233"/>
      <c r="M207" s="233">
        <f t="shared" si="225"/>
        <v>2063106</v>
      </c>
      <c r="N207" s="233">
        <v>0</v>
      </c>
      <c r="O207" s="233"/>
      <c r="P207" s="233"/>
      <c r="Q207" s="233"/>
      <c r="R207" s="233">
        <f t="shared" si="221"/>
        <v>0</v>
      </c>
    </row>
    <row r="208" spans="1:18" s="29" customFormat="1" ht="12">
      <c r="A208" s="132">
        <v>2000</v>
      </c>
      <c r="B208" s="125" t="s">
        <v>108</v>
      </c>
      <c r="C208" s="171">
        <v>4753271</v>
      </c>
      <c r="D208" s="171">
        <v>4624708</v>
      </c>
      <c r="E208" s="233"/>
      <c r="F208" s="233"/>
      <c r="G208" s="233"/>
      <c r="H208" s="233">
        <f t="shared" si="223"/>
        <v>4624708</v>
      </c>
      <c r="I208" s="233">
        <v>4223772</v>
      </c>
      <c r="J208" s="233"/>
      <c r="K208" s="233"/>
      <c r="L208" s="233"/>
      <c r="M208" s="233">
        <f t="shared" si="225"/>
        <v>4223772</v>
      </c>
      <c r="N208" s="233">
        <v>0</v>
      </c>
      <c r="O208" s="233"/>
      <c r="P208" s="233"/>
      <c r="Q208" s="233"/>
      <c r="R208" s="233">
        <f t="shared" si="221"/>
        <v>0</v>
      </c>
    </row>
    <row r="209" spans="1:18" s="29" customFormat="1" ht="12" hidden="1" customHeight="1">
      <c r="A209" s="140">
        <v>4000</v>
      </c>
      <c r="B209" s="124" t="s">
        <v>132</v>
      </c>
      <c r="C209" s="171">
        <v>0</v>
      </c>
      <c r="D209" s="171">
        <v>0</v>
      </c>
      <c r="E209" s="233"/>
      <c r="F209" s="233"/>
      <c r="G209" s="233"/>
      <c r="H209" s="233">
        <f t="shared" si="223"/>
        <v>0</v>
      </c>
      <c r="I209" s="233">
        <v>0</v>
      </c>
      <c r="J209" s="233"/>
      <c r="K209" s="233"/>
      <c r="L209" s="233"/>
      <c r="M209" s="233">
        <f t="shared" si="225"/>
        <v>0</v>
      </c>
      <c r="N209" s="233">
        <v>0</v>
      </c>
      <c r="O209" s="233"/>
      <c r="P209" s="233"/>
      <c r="Q209" s="233"/>
      <c r="R209" s="233">
        <f t="shared" si="221"/>
        <v>0</v>
      </c>
    </row>
    <row r="210" spans="1:18" s="29" customFormat="1" ht="12">
      <c r="A210" s="140" t="s">
        <v>109</v>
      </c>
      <c r="B210" s="124" t="s">
        <v>110</v>
      </c>
      <c r="C210" s="171">
        <v>238367180</v>
      </c>
      <c r="D210" s="171">
        <v>272201207</v>
      </c>
      <c r="E210" s="233">
        <f t="shared" ref="E210:G210" si="233">E211+E212</f>
        <v>0</v>
      </c>
      <c r="F210" s="233">
        <f t="shared" si="233"/>
        <v>0</v>
      </c>
      <c r="G210" s="233">
        <f t="shared" si="233"/>
        <v>0</v>
      </c>
      <c r="H210" s="233">
        <f t="shared" si="223"/>
        <v>272201207</v>
      </c>
      <c r="I210" s="233">
        <v>89512109</v>
      </c>
      <c r="J210" s="233">
        <f t="shared" ref="J210:L210" si="234">J211+J212</f>
        <v>0</v>
      </c>
      <c r="K210" s="233">
        <f t="shared" si="234"/>
        <v>0</v>
      </c>
      <c r="L210" s="233">
        <f t="shared" si="234"/>
        <v>0</v>
      </c>
      <c r="M210" s="233">
        <f t="shared" si="225"/>
        <v>89512109</v>
      </c>
      <c r="N210" s="233">
        <v>2826283</v>
      </c>
      <c r="O210" s="233">
        <f t="shared" ref="O210:Q210" si="235">O211+O212</f>
        <v>0</v>
      </c>
      <c r="P210" s="233">
        <f t="shared" si="235"/>
        <v>0</v>
      </c>
      <c r="Q210" s="233">
        <f t="shared" si="235"/>
        <v>0</v>
      </c>
      <c r="R210" s="233">
        <f t="shared" si="221"/>
        <v>2826283</v>
      </c>
    </row>
    <row r="211" spans="1:18" s="29" customFormat="1" ht="12">
      <c r="A211" s="132">
        <v>3000</v>
      </c>
      <c r="B211" s="125" t="s">
        <v>111</v>
      </c>
      <c r="C211" s="213">
        <v>238367180</v>
      </c>
      <c r="D211" s="213">
        <v>272201207</v>
      </c>
      <c r="E211" s="345"/>
      <c r="F211" s="345"/>
      <c r="G211" s="345"/>
      <c r="H211" s="233">
        <f t="shared" si="223"/>
        <v>272201207</v>
      </c>
      <c r="I211" s="345">
        <v>89512109</v>
      </c>
      <c r="J211" s="345"/>
      <c r="K211" s="345"/>
      <c r="L211" s="345"/>
      <c r="M211" s="233">
        <f t="shared" si="225"/>
        <v>89512109</v>
      </c>
      <c r="N211" s="345">
        <v>2826283</v>
      </c>
      <c r="O211" s="345"/>
      <c r="P211" s="345"/>
      <c r="Q211" s="345"/>
      <c r="R211" s="233">
        <f t="shared" si="221"/>
        <v>2826283</v>
      </c>
    </row>
    <row r="212" spans="1:18" s="29" customFormat="1" ht="12" hidden="1" customHeight="1">
      <c r="A212" s="132">
        <v>6000</v>
      </c>
      <c r="B212" s="125" t="s">
        <v>112</v>
      </c>
      <c r="C212" s="287">
        <v>0</v>
      </c>
      <c r="D212" s="287">
        <v>0</v>
      </c>
      <c r="E212" s="346"/>
      <c r="F212" s="346"/>
      <c r="G212" s="346"/>
      <c r="H212" s="233">
        <f t="shared" si="223"/>
        <v>0</v>
      </c>
      <c r="I212" s="346">
        <v>0</v>
      </c>
      <c r="J212" s="346"/>
      <c r="K212" s="346"/>
      <c r="L212" s="346"/>
      <c r="M212" s="233">
        <f t="shared" si="225"/>
        <v>0</v>
      </c>
      <c r="N212" s="346">
        <v>0</v>
      </c>
      <c r="O212" s="346"/>
      <c r="P212" s="346"/>
      <c r="Q212" s="346"/>
      <c r="R212" s="233">
        <f t="shared" si="221"/>
        <v>0</v>
      </c>
    </row>
    <row r="213" spans="1:18" s="29" customFormat="1" ht="24" hidden="1" customHeight="1">
      <c r="A213" s="140" t="s">
        <v>113</v>
      </c>
      <c r="B213" s="124" t="s">
        <v>183</v>
      </c>
      <c r="C213" s="171">
        <v>0</v>
      </c>
      <c r="D213" s="171">
        <v>0</v>
      </c>
      <c r="E213" s="233">
        <f t="shared" ref="E213:G213" si="236">E214+E215</f>
        <v>0</v>
      </c>
      <c r="F213" s="233">
        <f t="shared" si="236"/>
        <v>0</v>
      </c>
      <c r="G213" s="233">
        <f t="shared" si="236"/>
        <v>0</v>
      </c>
      <c r="H213" s="233">
        <f t="shared" si="223"/>
        <v>0</v>
      </c>
      <c r="I213" s="233">
        <v>0</v>
      </c>
      <c r="J213" s="233">
        <f t="shared" ref="J213:L213" si="237">J214+J215</f>
        <v>0</v>
      </c>
      <c r="K213" s="233">
        <f t="shared" si="237"/>
        <v>0</v>
      </c>
      <c r="L213" s="233">
        <f t="shared" si="237"/>
        <v>0</v>
      </c>
      <c r="M213" s="233">
        <f t="shared" si="225"/>
        <v>0</v>
      </c>
      <c r="N213" s="233">
        <v>0</v>
      </c>
      <c r="O213" s="233">
        <f t="shared" ref="O213:Q213" si="238">O214+O215</f>
        <v>0</v>
      </c>
      <c r="P213" s="233">
        <f t="shared" si="238"/>
        <v>0</v>
      </c>
      <c r="Q213" s="233">
        <f t="shared" si="238"/>
        <v>0</v>
      </c>
      <c r="R213" s="233">
        <f t="shared" si="221"/>
        <v>0</v>
      </c>
    </row>
    <row r="214" spans="1:18" s="29" customFormat="1" ht="24" hidden="1" customHeight="1">
      <c r="A214" s="132">
        <v>7600</v>
      </c>
      <c r="B214" s="179" t="s">
        <v>184</v>
      </c>
      <c r="C214" s="171">
        <v>0</v>
      </c>
      <c r="D214" s="171">
        <v>0</v>
      </c>
      <c r="E214" s="233"/>
      <c r="F214" s="233"/>
      <c r="G214" s="233"/>
      <c r="H214" s="233">
        <f t="shared" si="223"/>
        <v>0</v>
      </c>
      <c r="I214" s="233">
        <v>0</v>
      </c>
      <c r="J214" s="233"/>
      <c r="K214" s="233"/>
      <c r="L214" s="233"/>
      <c r="M214" s="233">
        <f t="shared" si="225"/>
        <v>0</v>
      </c>
      <c r="N214" s="233">
        <v>0</v>
      </c>
      <c r="O214" s="233"/>
      <c r="P214" s="233"/>
      <c r="Q214" s="233"/>
      <c r="R214" s="233">
        <f t="shared" si="221"/>
        <v>0</v>
      </c>
    </row>
    <row r="215" spans="1:18" s="29" customFormat="1" ht="12" hidden="1" customHeight="1">
      <c r="A215" s="132">
        <v>7700</v>
      </c>
      <c r="B215" s="126" t="s">
        <v>114</v>
      </c>
      <c r="C215" s="171">
        <v>0</v>
      </c>
      <c r="D215" s="171">
        <v>0</v>
      </c>
      <c r="E215" s="233"/>
      <c r="F215" s="233"/>
      <c r="G215" s="233"/>
      <c r="H215" s="233">
        <f t="shared" si="223"/>
        <v>0</v>
      </c>
      <c r="I215" s="233">
        <v>0</v>
      </c>
      <c r="J215" s="233"/>
      <c r="K215" s="233"/>
      <c r="L215" s="233"/>
      <c r="M215" s="233">
        <f t="shared" si="225"/>
        <v>0</v>
      </c>
      <c r="N215" s="233">
        <v>0</v>
      </c>
      <c r="O215" s="233"/>
      <c r="P215" s="233"/>
      <c r="Q215" s="233"/>
      <c r="R215" s="233">
        <f t="shared" si="221"/>
        <v>0</v>
      </c>
    </row>
    <row r="216" spans="1:18" s="29" customFormat="1" ht="20.399999999999999">
      <c r="A216" s="140" t="s">
        <v>185</v>
      </c>
      <c r="B216" s="124" t="s">
        <v>115</v>
      </c>
      <c r="C216" s="171">
        <v>14195009</v>
      </c>
      <c r="D216" s="171">
        <v>10855110</v>
      </c>
      <c r="E216" s="233">
        <f t="shared" ref="E216:G216" si="239">E217+E223+E227+E230</f>
        <v>0</v>
      </c>
      <c r="F216" s="233">
        <f t="shared" si="239"/>
        <v>0</v>
      </c>
      <c r="G216" s="233">
        <f t="shared" si="239"/>
        <v>0</v>
      </c>
      <c r="H216" s="233">
        <f t="shared" si="223"/>
        <v>10855110</v>
      </c>
      <c r="I216" s="233">
        <v>5993045</v>
      </c>
      <c r="J216" s="233">
        <f t="shared" ref="J216:L216" si="240">J217+J223+J227+J230</f>
        <v>0</v>
      </c>
      <c r="K216" s="233">
        <f t="shared" si="240"/>
        <v>0</v>
      </c>
      <c r="L216" s="233">
        <f t="shared" si="240"/>
        <v>0</v>
      </c>
      <c r="M216" s="233">
        <f t="shared" si="225"/>
        <v>5993045</v>
      </c>
      <c r="N216" s="233">
        <v>0</v>
      </c>
      <c r="O216" s="233">
        <f t="shared" ref="O216:Q216" si="241">O217+O223+O227+O230</f>
        <v>0</v>
      </c>
      <c r="P216" s="233">
        <f t="shared" si="241"/>
        <v>0</v>
      </c>
      <c r="Q216" s="233">
        <f t="shared" si="241"/>
        <v>0</v>
      </c>
      <c r="R216" s="233">
        <f t="shared" si="221"/>
        <v>0</v>
      </c>
    </row>
    <row r="217" spans="1:18" s="29" customFormat="1" ht="24" hidden="1" customHeight="1">
      <c r="A217" s="132">
        <v>7100</v>
      </c>
      <c r="B217" s="179" t="s">
        <v>116</v>
      </c>
      <c r="C217" s="171">
        <v>0</v>
      </c>
      <c r="D217" s="171">
        <v>0</v>
      </c>
      <c r="E217" s="233">
        <f t="shared" ref="E217:G217" si="242">E218+E219</f>
        <v>0</v>
      </c>
      <c r="F217" s="233">
        <f t="shared" si="242"/>
        <v>0</v>
      </c>
      <c r="G217" s="233">
        <f t="shared" si="242"/>
        <v>0</v>
      </c>
      <c r="H217" s="233">
        <f t="shared" si="223"/>
        <v>0</v>
      </c>
      <c r="I217" s="233">
        <v>0</v>
      </c>
      <c r="J217" s="233">
        <f t="shared" ref="J217:L217" si="243">J218+J219</f>
        <v>0</v>
      </c>
      <c r="K217" s="233">
        <f t="shared" si="243"/>
        <v>0</v>
      </c>
      <c r="L217" s="233">
        <f t="shared" si="243"/>
        <v>0</v>
      </c>
      <c r="M217" s="233">
        <f t="shared" si="225"/>
        <v>0</v>
      </c>
      <c r="N217" s="233">
        <v>0</v>
      </c>
      <c r="O217" s="233">
        <f t="shared" ref="O217:Q217" si="244">O218+O219</f>
        <v>0</v>
      </c>
      <c r="P217" s="233">
        <f t="shared" si="244"/>
        <v>0</v>
      </c>
      <c r="Q217" s="233">
        <f t="shared" si="244"/>
        <v>0</v>
      </c>
      <c r="R217" s="233">
        <f t="shared" si="221"/>
        <v>0</v>
      </c>
    </row>
    <row r="218" spans="1:18" s="29" customFormat="1" ht="36" hidden="1" customHeight="1">
      <c r="A218" s="133" t="s">
        <v>117</v>
      </c>
      <c r="B218" s="179" t="s">
        <v>118</v>
      </c>
      <c r="C218" s="171">
        <v>0</v>
      </c>
      <c r="D218" s="171">
        <v>0</v>
      </c>
      <c r="E218" s="233"/>
      <c r="F218" s="233"/>
      <c r="G218" s="233"/>
      <c r="H218" s="233">
        <f t="shared" si="223"/>
        <v>0</v>
      </c>
      <c r="I218" s="233">
        <v>0</v>
      </c>
      <c r="J218" s="233"/>
      <c r="K218" s="233"/>
      <c r="L218" s="233"/>
      <c r="M218" s="233">
        <f t="shared" si="225"/>
        <v>0</v>
      </c>
      <c r="N218" s="233">
        <v>0</v>
      </c>
      <c r="O218" s="233"/>
      <c r="P218" s="233"/>
      <c r="Q218" s="233"/>
      <c r="R218" s="233">
        <f t="shared" si="221"/>
        <v>0</v>
      </c>
    </row>
    <row r="219" spans="1:18" s="29" customFormat="1" ht="36" hidden="1" customHeight="1">
      <c r="A219" s="133">
        <v>7130</v>
      </c>
      <c r="B219" s="179" t="s">
        <v>119</v>
      </c>
      <c r="C219" s="171">
        <v>0</v>
      </c>
      <c r="D219" s="171">
        <v>0</v>
      </c>
      <c r="E219" s="233">
        <f t="shared" ref="E219:G219" si="245">SUM(E220:E222)</f>
        <v>0</v>
      </c>
      <c r="F219" s="233">
        <f t="shared" ref="F219" si="246">SUM(F220:F222)</f>
        <v>0</v>
      </c>
      <c r="G219" s="233">
        <f t="shared" si="245"/>
        <v>0</v>
      </c>
      <c r="H219" s="233">
        <f t="shared" si="223"/>
        <v>0</v>
      </c>
      <c r="I219" s="233">
        <v>0</v>
      </c>
      <c r="J219" s="233">
        <f t="shared" ref="J219:L219" si="247">SUM(J220:J222)</f>
        <v>0</v>
      </c>
      <c r="K219" s="233">
        <f t="shared" si="247"/>
        <v>0</v>
      </c>
      <c r="L219" s="233">
        <f t="shared" si="247"/>
        <v>0</v>
      </c>
      <c r="M219" s="233">
        <f t="shared" si="225"/>
        <v>0</v>
      </c>
      <c r="N219" s="233">
        <v>0</v>
      </c>
      <c r="O219" s="233">
        <f t="shared" ref="O219:Q219" si="248">SUM(O220:O222)</f>
        <v>0</v>
      </c>
      <c r="P219" s="233">
        <f t="shared" si="248"/>
        <v>0</v>
      </c>
      <c r="Q219" s="233">
        <f t="shared" si="248"/>
        <v>0</v>
      </c>
      <c r="R219" s="233">
        <f t="shared" si="221"/>
        <v>0</v>
      </c>
    </row>
    <row r="220" spans="1:18" s="29" customFormat="1" ht="48" hidden="1" customHeight="1">
      <c r="A220" s="134">
        <v>7131</v>
      </c>
      <c r="B220" s="179" t="s">
        <v>120</v>
      </c>
      <c r="C220" s="171">
        <v>0</v>
      </c>
      <c r="D220" s="171">
        <v>0</v>
      </c>
      <c r="E220" s="233"/>
      <c r="F220" s="233"/>
      <c r="G220" s="233"/>
      <c r="H220" s="233">
        <f t="shared" si="223"/>
        <v>0</v>
      </c>
      <c r="I220" s="233">
        <v>0</v>
      </c>
      <c r="J220" s="233"/>
      <c r="K220" s="233"/>
      <c r="L220" s="233"/>
      <c r="M220" s="233">
        <f t="shared" si="225"/>
        <v>0</v>
      </c>
      <c r="N220" s="233">
        <v>0</v>
      </c>
      <c r="O220" s="233"/>
      <c r="P220" s="233"/>
      <c r="Q220" s="233"/>
      <c r="R220" s="233">
        <f t="shared" si="221"/>
        <v>0</v>
      </c>
    </row>
    <row r="221" spans="1:18" s="29" customFormat="1" ht="48" hidden="1" customHeight="1">
      <c r="A221" s="134">
        <v>7132</v>
      </c>
      <c r="B221" s="179" t="s">
        <v>121</v>
      </c>
      <c r="C221" s="171">
        <v>0</v>
      </c>
      <c r="D221" s="171">
        <v>0</v>
      </c>
      <c r="E221" s="233"/>
      <c r="F221" s="233"/>
      <c r="G221" s="233"/>
      <c r="H221" s="233">
        <f t="shared" si="223"/>
        <v>0</v>
      </c>
      <c r="I221" s="233">
        <v>0</v>
      </c>
      <c r="J221" s="233"/>
      <c r="K221" s="233"/>
      <c r="L221" s="233"/>
      <c r="M221" s="233">
        <f t="shared" si="225"/>
        <v>0</v>
      </c>
      <c r="N221" s="233">
        <v>0</v>
      </c>
      <c r="O221" s="233"/>
      <c r="P221" s="233"/>
      <c r="Q221" s="233"/>
      <c r="R221" s="233">
        <f t="shared" si="221"/>
        <v>0</v>
      </c>
    </row>
    <row r="222" spans="1:18" s="29" customFormat="1" ht="36" hidden="1" customHeight="1">
      <c r="A222" s="134" t="s">
        <v>186</v>
      </c>
      <c r="B222" s="179" t="s">
        <v>187</v>
      </c>
      <c r="C222" s="171">
        <v>0</v>
      </c>
      <c r="D222" s="171">
        <v>0</v>
      </c>
      <c r="E222" s="233"/>
      <c r="F222" s="233"/>
      <c r="G222" s="233"/>
      <c r="H222" s="233">
        <f t="shared" si="223"/>
        <v>0</v>
      </c>
      <c r="I222" s="233">
        <v>0</v>
      </c>
      <c r="J222" s="233"/>
      <c r="K222" s="233"/>
      <c r="L222" s="233"/>
      <c r="M222" s="233">
        <f t="shared" si="225"/>
        <v>0</v>
      </c>
      <c r="N222" s="233">
        <v>0</v>
      </c>
      <c r="O222" s="233"/>
      <c r="P222" s="233"/>
      <c r="Q222" s="233"/>
      <c r="R222" s="233">
        <f t="shared" si="221"/>
        <v>0</v>
      </c>
    </row>
    <row r="223" spans="1:18" s="29" customFormat="1" ht="24">
      <c r="A223" s="132">
        <v>7300</v>
      </c>
      <c r="B223" s="172" t="s">
        <v>155</v>
      </c>
      <c r="C223" s="171">
        <v>5315569</v>
      </c>
      <c r="D223" s="171">
        <v>3220246</v>
      </c>
      <c r="E223" s="233">
        <f t="shared" ref="E223:G223" si="249">SUM(E224:E226)</f>
        <v>0</v>
      </c>
      <c r="F223" s="233">
        <f t="shared" si="249"/>
        <v>0</v>
      </c>
      <c r="G223" s="233">
        <f t="shared" si="249"/>
        <v>0</v>
      </c>
      <c r="H223" s="233">
        <f t="shared" si="223"/>
        <v>3220246</v>
      </c>
      <c r="I223" s="233">
        <v>2119658</v>
      </c>
      <c r="J223" s="233">
        <f t="shared" ref="J223:L223" si="250">SUM(J224:J226)</f>
        <v>0</v>
      </c>
      <c r="K223" s="233">
        <f t="shared" si="250"/>
        <v>0</v>
      </c>
      <c r="L223" s="233">
        <f t="shared" si="250"/>
        <v>0</v>
      </c>
      <c r="M223" s="233">
        <f t="shared" si="225"/>
        <v>2119658</v>
      </c>
      <c r="N223" s="233">
        <v>0</v>
      </c>
      <c r="O223" s="233">
        <f t="shared" ref="O223:Q223" si="251">SUM(O224:O226)</f>
        <v>0</v>
      </c>
      <c r="P223" s="233">
        <f t="shared" si="251"/>
        <v>0</v>
      </c>
      <c r="Q223" s="233">
        <f t="shared" si="251"/>
        <v>0</v>
      </c>
      <c r="R223" s="233">
        <f t="shared" si="221"/>
        <v>0</v>
      </c>
    </row>
    <row r="224" spans="1:18" s="29" customFormat="1" ht="24" hidden="1" customHeight="1">
      <c r="A224" s="133" t="s">
        <v>188</v>
      </c>
      <c r="B224" s="179" t="s">
        <v>170</v>
      </c>
      <c r="C224" s="171">
        <v>0</v>
      </c>
      <c r="D224" s="171">
        <v>0</v>
      </c>
      <c r="E224" s="252"/>
      <c r="F224" s="252"/>
      <c r="G224" s="252"/>
      <c r="H224" s="233">
        <f t="shared" si="223"/>
        <v>0</v>
      </c>
      <c r="I224" s="252">
        <v>0</v>
      </c>
      <c r="J224" s="252"/>
      <c r="K224" s="252"/>
      <c r="L224" s="252"/>
      <c r="M224" s="233">
        <f t="shared" si="225"/>
        <v>0</v>
      </c>
      <c r="N224" s="252">
        <v>0</v>
      </c>
      <c r="O224" s="252"/>
      <c r="P224" s="252"/>
      <c r="Q224" s="252"/>
      <c r="R224" s="233">
        <f t="shared" si="221"/>
        <v>0</v>
      </c>
    </row>
    <row r="225" spans="1:18" s="29" customFormat="1" ht="48">
      <c r="A225" s="133" t="s">
        <v>189</v>
      </c>
      <c r="B225" s="179" t="s">
        <v>156</v>
      </c>
      <c r="C225" s="171">
        <v>3652354</v>
      </c>
      <c r="D225" s="171">
        <v>1418310</v>
      </c>
      <c r="E225" s="252"/>
      <c r="F225" s="252"/>
      <c r="G225" s="252"/>
      <c r="H225" s="233">
        <f t="shared" si="223"/>
        <v>1418310</v>
      </c>
      <c r="I225" s="252">
        <v>1085055</v>
      </c>
      <c r="J225" s="252"/>
      <c r="K225" s="252"/>
      <c r="L225" s="252"/>
      <c r="M225" s="233">
        <f t="shared" si="225"/>
        <v>1085055</v>
      </c>
      <c r="N225" s="252">
        <v>0</v>
      </c>
      <c r="O225" s="252"/>
      <c r="P225" s="252"/>
      <c r="Q225" s="252"/>
      <c r="R225" s="233">
        <f t="shared" si="221"/>
        <v>0</v>
      </c>
    </row>
    <row r="226" spans="1:18" s="29" customFormat="1" ht="48">
      <c r="A226" s="133">
        <v>7350</v>
      </c>
      <c r="B226" s="179" t="s">
        <v>163</v>
      </c>
      <c r="C226" s="171">
        <v>1663215</v>
      </c>
      <c r="D226" s="171">
        <v>1801936</v>
      </c>
      <c r="E226" s="252"/>
      <c r="F226" s="252"/>
      <c r="G226" s="252"/>
      <c r="H226" s="233">
        <f t="shared" si="223"/>
        <v>1801936</v>
      </c>
      <c r="I226" s="252">
        <v>1034603</v>
      </c>
      <c r="J226" s="252"/>
      <c r="K226" s="252"/>
      <c r="L226" s="252"/>
      <c r="M226" s="233">
        <f t="shared" si="225"/>
        <v>1034603</v>
      </c>
      <c r="N226" s="252">
        <v>0</v>
      </c>
      <c r="O226" s="252"/>
      <c r="P226" s="252"/>
      <c r="Q226" s="252"/>
      <c r="R226" s="233">
        <f t="shared" si="221"/>
        <v>0</v>
      </c>
    </row>
    <row r="227" spans="1:18" s="29" customFormat="1" ht="24" hidden="1" customHeight="1">
      <c r="A227" s="132">
        <v>7400</v>
      </c>
      <c r="B227" s="172" t="s">
        <v>161</v>
      </c>
      <c r="C227" s="171">
        <v>0</v>
      </c>
      <c r="D227" s="171">
        <v>0</v>
      </c>
      <c r="E227" s="233">
        <f t="shared" ref="E227:G227" si="252">SUM(E228:E229)</f>
        <v>0</v>
      </c>
      <c r="F227" s="233">
        <f t="shared" si="252"/>
        <v>0</v>
      </c>
      <c r="G227" s="233">
        <f t="shared" si="252"/>
        <v>0</v>
      </c>
      <c r="H227" s="233">
        <f t="shared" si="223"/>
        <v>0</v>
      </c>
      <c r="I227" s="233">
        <v>0</v>
      </c>
      <c r="J227" s="233">
        <f t="shared" ref="J227:L227" si="253">SUM(J228:J229)</f>
        <v>0</v>
      </c>
      <c r="K227" s="233">
        <f t="shared" si="253"/>
        <v>0</v>
      </c>
      <c r="L227" s="233">
        <f t="shared" si="253"/>
        <v>0</v>
      </c>
      <c r="M227" s="233">
        <f t="shared" si="225"/>
        <v>0</v>
      </c>
      <c r="N227" s="233">
        <v>0</v>
      </c>
      <c r="O227" s="233">
        <f t="shared" ref="O227:Q227" si="254">SUM(O228:O229)</f>
        <v>0</v>
      </c>
      <c r="P227" s="233">
        <f t="shared" si="254"/>
        <v>0</v>
      </c>
      <c r="Q227" s="233">
        <f t="shared" si="254"/>
        <v>0</v>
      </c>
      <c r="R227" s="233">
        <f t="shared" si="221"/>
        <v>0</v>
      </c>
    </row>
    <row r="228" spans="1:18" s="29" customFormat="1" ht="24" hidden="1" customHeight="1">
      <c r="A228" s="133">
        <v>7460</v>
      </c>
      <c r="B228" s="172" t="s">
        <v>162</v>
      </c>
      <c r="C228" s="171">
        <v>0</v>
      </c>
      <c r="D228" s="171">
        <v>0</v>
      </c>
      <c r="E228" s="252"/>
      <c r="F228" s="252"/>
      <c r="G228" s="252"/>
      <c r="H228" s="233">
        <f t="shared" si="223"/>
        <v>0</v>
      </c>
      <c r="I228" s="252">
        <v>0</v>
      </c>
      <c r="J228" s="252"/>
      <c r="K228" s="252"/>
      <c r="L228" s="252"/>
      <c r="M228" s="233">
        <f t="shared" si="225"/>
        <v>0</v>
      </c>
      <c r="N228" s="252">
        <v>0</v>
      </c>
      <c r="O228" s="252"/>
      <c r="P228" s="252"/>
      <c r="Q228" s="252"/>
      <c r="R228" s="233">
        <f t="shared" si="221"/>
        <v>0</v>
      </c>
    </row>
    <row r="229" spans="1:18" s="29" customFormat="1" ht="48" hidden="1" customHeight="1">
      <c r="A229" s="133">
        <v>7470</v>
      </c>
      <c r="B229" s="179" t="s">
        <v>167</v>
      </c>
      <c r="C229" s="171">
        <v>0</v>
      </c>
      <c r="D229" s="171">
        <v>0</v>
      </c>
      <c r="E229" s="252"/>
      <c r="F229" s="252"/>
      <c r="G229" s="252"/>
      <c r="H229" s="233">
        <f t="shared" si="223"/>
        <v>0</v>
      </c>
      <c r="I229" s="252">
        <v>0</v>
      </c>
      <c r="J229" s="252"/>
      <c r="K229" s="252"/>
      <c r="L229" s="252"/>
      <c r="M229" s="233">
        <f t="shared" si="225"/>
        <v>0</v>
      </c>
      <c r="N229" s="252">
        <v>0</v>
      </c>
      <c r="O229" s="252"/>
      <c r="P229" s="252"/>
      <c r="Q229" s="252"/>
      <c r="R229" s="233">
        <f t="shared" si="221"/>
        <v>0</v>
      </c>
    </row>
    <row r="230" spans="1:18" s="29" customFormat="1" ht="24">
      <c r="A230" s="132">
        <v>7500</v>
      </c>
      <c r="B230" s="179" t="s">
        <v>157</v>
      </c>
      <c r="C230" s="171">
        <v>8879440</v>
      </c>
      <c r="D230" s="171">
        <v>7634864</v>
      </c>
      <c r="E230" s="233"/>
      <c r="F230" s="233"/>
      <c r="G230" s="233"/>
      <c r="H230" s="233">
        <f t="shared" si="223"/>
        <v>7634864</v>
      </c>
      <c r="I230" s="233">
        <v>3873387</v>
      </c>
      <c r="J230" s="233"/>
      <c r="K230" s="233"/>
      <c r="L230" s="233"/>
      <c r="M230" s="233">
        <f t="shared" si="225"/>
        <v>3873387</v>
      </c>
      <c r="N230" s="233">
        <v>0</v>
      </c>
      <c r="O230" s="233"/>
      <c r="P230" s="233"/>
      <c r="Q230" s="233"/>
      <c r="R230" s="233">
        <f t="shared" si="221"/>
        <v>0</v>
      </c>
    </row>
    <row r="231" spans="1:18" s="29" customFormat="1" ht="12">
      <c r="A231" s="140" t="s">
        <v>133</v>
      </c>
      <c r="B231" s="124" t="s">
        <v>122</v>
      </c>
      <c r="C231" s="181">
        <v>14929974</v>
      </c>
      <c r="D231" s="181">
        <v>9360648</v>
      </c>
      <c r="E231" s="254">
        <f t="shared" ref="E231:G231" si="255">E232+E233</f>
        <v>0</v>
      </c>
      <c r="F231" s="254">
        <f t="shared" si="255"/>
        <v>0</v>
      </c>
      <c r="G231" s="254">
        <f t="shared" si="255"/>
        <v>0</v>
      </c>
      <c r="H231" s="233">
        <f t="shared" si="223"/>
        <v>9360648</v>
      </c>
      <c r="I231" s="254">
        <v>3641718</v>
      </c>
      <c r="J231" s="254">
        <f t="shared" ref="J231:L231" si="256">J232+J233</f>
        <v>0</v>
      </c>
      <c r="K231" s="254">
        <f t="shared" si="256"/>
        <v>0</v>
      </c>
      <c r="L231" s="254">
        <f t="shared" si="256"/>
        <v>0</v>
      </c>
      <c r="M231" s="233">
        <f t="shared" si="225"/>
        <v>3641718</v>
      </c>
      <c r="N231" s="254">
        <v>0</v>
      </c>
      <c r="O231" s="254">
        <f t="shared" ref="O231:Q231" si="257">O232+O233</f>
        <v>0</v>
      </c>
      <c r="P231" s="254">
        <f t="shared" si="257"/>
        <v>0</v>
      </c>
      <c r="Q231" s="254">
        <f t="shared" si="257"/>
        <v>0</v>
      </c>
      <c r="R231" s="233">
        <f t="shared" si="221"/>
        <v>0</v>
      </c>
    </row>
    <row r="232" spans="1:18" s="29" customFormat="1" ht="12">
      <c r="A232" s="140">
        <v>5000</v>
      </c>
      <c r="B232" s="124" t="s">
        <v>123</v>
      </c>
      <c r="C232" s="171">
        <v>1209338</v>
      </c>
      <c r="D232" s="171">
        <v>431280</v>
      </c>
      <c r="E232" s="233"/>
      <c r="F232" s="233"/>
      <c r="G232" s="233"/>
      <c r="H232" s="233">
        <f t="shared" si="223"/>
        <v>431280</v>
      </c>
      <c r="I232" s="233">
        <v>390000</v>
      </c>
      <c r="J232" s="233"/>
      <c r="K232" s="233"/>
      <c r="L232" s="233"/>
      <c r="M232" s="233">
        <f t="shared" si="225"/>
        <v>390000</v>
      </c>
      <c r="N232" s="233">
        <v>0</v>
      </c>
      <c r="O232" s="233"/>
      <c r="P232" s="233"/>
      <c r="Q232" s="233"/>
      <c r="R232" s="233">
        <f t="shared" si="221"/>
        <v>0</v>
      </c>
    </row>
    <row r="233" spans="1:18" s="29" customFormat="1" ht="12">
      <c r="A233" s="140">
        <v>9000</v>
      </c>
      <c r="B233" s="182" t="s">
        <v>164</v>
      </c>
      <c r="C233" s="171">
        <v>13720636</v>
      </c>
      <c r="D233" s="171">
        <v>8929368</v>
      </c>
      <c r="E233" s="233">
        <f t="shared" ref="E233:G233" si="258">E234+E240+E244+E247</f>
        <v>0</v>
      </c>
      <c r="F233" s="233">
        <f t="shared" si="258"/>
        <v>0</v>
      </c>
      <c r="G233" s="233">
        <f t="shared" si="258"/>
        <v>0</v>
      </c>
      <c r="H233" s="233">
        <f t="shared" si="223"/>
        <v>8929368</v>
      </c>
      <c r="I233" s="233">
        <v>3251718</v>
      </c>
      <c r="J233" s="233">
        <f t="shared" ref="J233:L233" si="259">J234+J240+J244+J247</f>
        <v>0</v>
      </c>
      <c r="K233" s="233">
        <f t="shared" si="259"/>
        <v>0</v>
      </c>
      <c r="L233" s="233">
        <f t="shared" si="259"/>
        <v>0</v>
      </c>
      <c r="M233" s="233">
        <f t="shared" si="225"/>
        <v>3251718</v>
      </c>
      <c r="N233" s="233">
        <v>0</v>
      </c>
      <c r="O233" s="233">
        <f t="shared" ref="O233:Q233" si="260">O234+O240+O244+O247</f>
        <v>0</v>
      </c>
      <c r="P233" s="233">
        <f t="shared" si="260"/>
        <v>0</v>
      </c>
      <c r="Q233" s="233">
        <f t="shared" si="260"/>
        <v>0</v>
      </c>
      <c r="R233" s="233">
        <f t="shared" si="221"/>
        <v>0</v>
      </c>
    </row>
    <row r="234" spans="1:18" s="29" customFormat="1" ht="12" hidden="1" customHeight="1">
      <c r="A234" s="141">
        <v>9100</v>
      </c>
      <c r="B234" s="179" t="s">
        <v>124</v>
      </c>
      <c r="C234" s="171">
        <v>0</v>
      </c>
      <c r="D234" s="171">
        <v>0</v>
      </c>
      <c r="E234" s="233">
        <f t="shared" ref="E234:G234" si="261">SUM(E235:E236)</f>
        <v>0</v>
      </c>
      <c r="F234" s="233">
        <f t="shared" ref="F234" si="262">SUM(F235:F236)</f>
        <v>0</v>
      </c>
      <c r="G234" s="233">
        <f t="shared" si="261"/>
        <v>0</v>
      </c>
      <c r="H234" s="233">
        <f t="shared" si="223"/>
        <v>0</v>
      </c>
      <c r="I234" s="233">
        <v>0</v>
      </c>
      <c r="J234" s="233">
        <f t="shared" ref="J234:L234" si="263">SUM(J235:J236)</f>
        <v>0</v>
      </c>
      <c r="K234" s="233">
        <f t="shared" si="263"/>
        <v>0</v>
      </c>
      <c r="L234" s="233">
        <f t="shared" si="263"/>
        <v>0</v>
      </c>
      <c r="M234" s="233">
        <f t="shared" si="225"/>
        <v>0</v>
      </c>
      <c r="N234" s="233">
        <v>0</v>
      </c>
      <c r="O234" s="233">
        <f t="shared" ref="O234:Q234" si="264">SUM(O235:O236)</f>
        <v>0</v>
      </c>
      <c r="P234" s="233">
        <f t="shared" si="264"/>
        <v>0</v>
      </c>
      <c r="Q234" s="233">
        <f t="shared" si="264"/>
        <v>0</v>
      </c>
      <c r="R234" s="233">
        <f t="shared" si="221"/>
        <v>0</v>
      </c>
    </row>
    <row r="235" spans="1:18" s="29" customFormat="1" ht="36" hidden="1" customHeight="1">
      <c r="A235" s="133" t="s">
        <v>125</v>
      </c>
      <c r="B235" s="179" t="s">
        <v>214</v>
      </c>
      <c r="C235" s="171">
        <v>0</v>
      </c>
      <c r="D235" s="171">
        <v>0</v>
      </c>
      <c r="E235" s="233"/>
      <c r="F235" s="233"/>
      <c r="G235" s="233"/>
      <c r="H235" s="233">
        <f t="shared" si="223"/>
        <v>0</v>
      </c>
      <c r="I235" s="233">
        <v>0</v>
      </c>
      <c r="J235" s="233"/>
      <c r="K235" s="233"/>
      <c r="L235" s="233"/>
      <c r="M235" s="233">
        <f t="shared" si="225"/>
        <v>0</v>
      </c>
      <c r="N235" s="233">
        <v>0</v>
      </c>
      <c r="O235" s="233"/>
      <c r="P235" s="233"/>
      <c r="Q235" s="233"/>
      <c r="R235" s="233">
        <f t="shared" si="221"/>
        <v>0</v>
      </c>
    </row>
    <row r="236" spans="1:18" s="29" customFormat="1" ht="36" hidden="1" customHeight="1">
      <c r="A236" s="133">
        <v>9140</v>
      </c>
      <c r="B236" s="179" t="s">
        <v>215</v>
      </c>
      <c r="C236" s="171">
        <v>0</v>
      </c>
      <c r="D236" s="171">
        <v>0</v>
      </c>
      <c r="E236" s="233">
        <f t="shared" ref="E236:G236" si="265">SUM(E237:E239)</f>
        <v>0</v>
      </c>
      <c r="F236" s="233">
        <f t="shared" si="265"/>
        <v>0</v>
      </c>
      <c r="G236" s="233">
        <f t="shared" si="265"/>
        <v>0</v>
      </c>
      <c r="H236" s="233">
        <f t="shared" si="223"/>
        <v>0</v>
      </c>
      <c r="I236" s="233">
        <v>0</v>
      </c>
      <c r="J236" s="233">
        <f t="shared" ref="J236:L236" si="266">SUM(J237:J239)</f>
        <v>0</v>
      </c>
      <c r="K236" s="233">
        <f t="shared" si="266"/>
        <v>0</v>
      </c>
      <c r="L236" s="233">
        <f t="shared" si="266"/>
        <v>0</v>
      </c>
      <c r="M236" s="233">
        <f t="shared" si="225"/>
        <v>0</v>
      </c>
      <c r="N236" s="233">
        <v>0</v>
      </c>
      <c r="O236" s="233">
        <f t="shared" ref="O236:Q236" si="267">SUM(O237:O239)</f>
        <v>0</v>
      </c>
      <c r="P236" s="233">
        <f t="shared" si="267"/>
        <v>0</v>
      </c>
      <c r="Q236" s="233">
        <f t="shared" si="267"/>
        <v>0</v>
      </c>
      <c r="R236" s="233">
        <f t="shared" si="221"/>
        <v>0</v>
      </c>
    </row>
    <row r="237" spans="1:18" s="29" customFormat="1" ht="36" hidden="1" customHeight="1">
      <c r="A237" s="134">
        <v>9141</v>
      </c>
      <c r="B237" s="172" t="s">
        <v>190</v>
      </c>
      <c r="C237" s="171">
        <v>0</v>
      </c>
      <c r="D237" s="171">
        <v>0</v>
      </c>
      <c r="E237" s="252"/>
      <c r="F237" s="252"/>
      <c r="G237" s="252"/>
      <c r="H237" s="233">
        <f t="shared" si="223"/>
        <v>0</v>
      </c>
      <c r="I237" s="252">
        <v>0</v>
      </c>
      <c r="J237" s="252"/>
      <c r="K237" s="252"/>
      <c r="L237" s="252"/>
      <c r="M237" s="233">
        <f t="shared" si="225"/>
        <v>0</v>
      </c>
      <c r="N237" s="252">
        <v>0</v>
      </c>
      <c r="O237" s="252"/>
      <c r="P237" s="252"/>
      <c r="Q237" s="252"/>
      <c r="R237" s="233">
        <f t="shared" si="221"/>
        <v>0</v>
      </c>
    </row>
    <row r="238" spans="1:18" s="29" customFormat="1" ht="36" hidden="1" customHeight="1">
      <c r="A238" s="134">
        <v>9142</v>
      </c>
      <c r="B238" s="172" t="s">
        <v>191</v>
      </c>
      <c r="C238" s="171">
        <v>0</v>
      </c>
      <c r="D238" s="171">
        <v>0</v>
      </c>
      <c r="E238" s="252"/>
      <c r="F238" s="252"/>
      <c r="G238" s="252"/>
      <c r="H238" s="233">
        <f t="shared" si="223"/>
        <v>0</v>
      </c>
      <c r="I238" s="252">
        <v>0</v>
      </c>
      <c r="J238" s="252"/>
      <c r="K238" s="252"/>
      <c r="L238" s="252"/>
      <c r="M238" s="233">
        <f t="shared" si="225"/>
        <v>0</v>
      </c>
      <c r="N238" s="252">
        <v>0</v>
      </c>
      <c r="O238" s="252"/>
      <c r="P238" s="252"/>
      <c r="Q238" s="252"/>
      <c r="R238" s="233">
        <f t="shared" si="221"/>
        <v>0</v>
      </c>
    </row>
    <row r="239" spans="1:18" s="29" customFormat="1" ht="36" hidden="1" customHeight="1">
      <c r="A239" s="134">
        <v>9149</v>
      </c>
      <c r="B239" s="172" t="s">
        <v>192</v>
      </c>
      <c r="C239" s="171">
        <v>0</v>
      </c>
      <c r="D239" s="171">
        <v>0</v>
      </c>
      <c r="E239" s="252"/>
      <c r="F239" s="252"/>
      <c r="G239" s="252"/>
      <c r="H239" s="233">
        <f t="shared" si="223"/>
        <v>0</v>
      </c>
      <c r="I239" s="252">
        <v>0</v>
      </c>
      <c r="J239" s="252"/>
      <c r="K239" s="252"/>
      <c r="L239" s="252"/>
      <c r="M239" s="233">
        <f t="shared" si="225"/>
        <v>0</v>
      </c>
      <c r="N239" s="252">
        <v>0</v>
      </c>
      <c r="O239" s="252"/>
      <c r="P239" s="252"/>
      <c r="Q239" s="252"/>
      <c r="R239" s="233">
        <f t="shared" si="221"/>
        <v>0</v>
      </c>
    </row>
    <row r="240" spans="1:18" s="29" customFormat="1" ht="24">
      <c r="A240" s="141">
        <v>9500</v>
      </c>
      <c r="B240" s="172" t="s">
        <v>165</v>
      </c>
      <c r="C240" s="171">
        <v>12807818</v>
      </c>
      <c r="D240" s="171">
        <v>8293165</v>
      </c>
      <c r="E240" s="233">
        <f t="shared" ref="E240:G240" si="268">SUM(E241:E243)</f>
        <v>0</v>
      </c>
      <c r="F240" s="233">
        <f t="shared" si="268"/>
        <v>0</v>
      </c>
      <c r="G240" s="233">
        <f t="shared" si="268"/>
        <v>0</v>
      </c>
      <c r="H240" s="233">
        <f t="shared" si="223"/>
        <v>8293165</v>
      </c>
      <c r="I240" s="233">
        <v>3251718</v>
      </c>
      <c r="J240" s="233">
        <f t="shared" ref="J240:L240" si="269">SUM(J241:J243)</f>
        <v>0</v>
      </c>
      <c r="K240" s="233">
        <f t="shared" si="269"/>
        <v>0</v>
      </c>
      <c r="L240" s="233">
        <f t="shared" si="269"/>
        <v>0</v>
      </c>
      <c r="M240" s="233">
        <f t="shared" si="225"/>
        <v>3251718</v>
      </c>
      <c r="N240" s="233">
        <v>0</v>
      </c>
      <c r="O240" s="233">
        <f t="shared" ref="O240:Q240" si="270">SUM(O241:O243)</f>
        <v>0</v>
      </c>
      <c r="P240" s="233">
        <f t="shared" si="270"/>
        <v>0</v>
      </c>
      <c r="Q240" s="233">
        <f t="shared" si="270"/>
        <v>0</v>
      </c>
      <c r="R240" s="233">
        <f t="shared" si="221"/>
        <v>0</v>
      </c>
    </row>
    <row r="241" spans="1:18" s="29" customFormat="1" ht="24" hidden="1" customHeight="1">
      <c r="A241" s="133" t="s">
        <v>193</v>
      </c>
      <c r="B241" s="172" t="s">
        <v>171</v>
      </c>
      <c r="C241" s="171">
        <v>0</v>
      </c>
      <c r="D241" s="171">
        <v>0</v>
      </c>
      <c r="E241" s="233"/>
      <c r="F241" s="233"/>
      <c r="G241" s="233"/>
      <c r="H241" s="233">
        <f t="shared" si="223"/>
        <v>0</v>
      </c>
      <c r="I241" s="233">
        <v>0</v>
      </c>
      <c r="J241" s="233"/>
      <c r="K241" s="233"/>
      <c r="L241" s="233"/>
      <c r="M241" s="233">
        <f t="shared" si="225"/>
        <v>0</v>
      </c>
      <c r="N241" s="233">
        <v>0</v>
      </c>
      <c r="O241" s="233"/>
      <c r="P241" s="233"/>
      <c r="Q241" s="233"/>
      <c r="R241" s="233">
        <f t="shared" si="221"/>
        <v>0</v>
      </c>
    </row>
    <row r="242" spans="1:18" s="29" customFormat="1" ht="48">
      <c r="A242" s="133">
        <v>9580</v>
      </c>
      <c r="B242" s="172" t="s">
        <v>166</v>
      </c>
      <c r="C242" s="171">
        <v>12102818</v>
      </c>
      <c r="D242" s="171">
        <v>6346937</v>
      </c>
      <c r="E242" s="252"/>
      <c r="F242" s="252"/>
      <c r="G242" s="252"/>
      <c r="H242" s="233">
        <f t="shared" si="223"/>
        <v>6346937</v>
      </c>
      <c r="I242" s="252">
        <v>3251718</v>
      </c>
      <c r="J242" s="252"/>
      <c r="K242" s="252"/>
      <c r="L242" s="252"/>
      <c r="M242" s="233">
        <f t="shared" si="225"/>
        <v>3251718</v>
      </c>
      <c r="N242" s="252">
        <v>0</v>
      </c>
      <c r="O242" s="252"/>
      <c r="P242" s="252"/>
      <c r="Q242" s="252"/>
      <c r="R242" s="233">
        <f t="shared" si="221"/>
        <v>0</v>
      </c>
    </row>
    <row r="243" spans="1:18" s="29" customFormat="1" ht="48">
      <c r="A243" s="133">
        <v>9590</v>
      </c>
      <c r="B243" s="179" t="s">
        <v>172</v>
      </c>
      <c r="C243" s="171">
        <v>705000</v>
      </c>
      <c r="D243" s="171">
        <v>1946228</v>
      </c>
      <c r="E243" s="252"/>
      <c r="F243" s="252"/>
      <c r="G243" s="252"/>
      <c r="H243" s="233">
        <f t="shared" si="223"/>
        <v>1946228</v>
      </c>
      <c r="I243" s="252">
        <v>0</v>
      </c>
      <c r="J243" s="252"/>
      <c r="K243" s="252"/>
      <c r="L243" s="252"/>
      <c r="M243" s="233">
        <f t="shared" si="225"/>
        <v>0</v>
      </c>
      <c r="N243" s="252">
        <v>0</v>
      </c>
      <c r="O243" s="252"/>
      <c r="P243" s="252"/>
      <c r="Q243" s="252"/>
      <c r="R243" s="233">
        <f t="shared" si="221"/>
        <v>0</v>
      </c>
    </row>
    <row r="244" spans="1:18" s="29" customFormat="1" ht="24" hidden="1" customHeight="1">
      <c r="A244" s="141">
        <v>9700</v>
      </c>
      <c r="B244" s="183" t="s">
        <v>194</v>
      </c>
      <c r="C244" s="171">
        <v>0</v>
      </c>
      <c r="D244" s="171">
        <v>0</v>
      </c>
      <c r="E244" s="233">
        <f t="shared" ref="E244:G244" si="271">SUM(E245:E246)</f>
        <v>0</v>
      </c>
      <c r="F244" s="233">
        <f t="shared" si="271"/>
        <v>0</v>
      </c>
      <c r="G244" s="233">
        <f t="shared" si="271"/>
        <v>0</v>
      </c>
      <c r="H244" s="233">
        <f t="shared" si="223"/>
        <v>0</v>
      </c>
      <c r="I244" s="233">
        <v>0</v>
      </c>
      <c r="J244" s="233">
        <f t="shared" ref="J244:L244" si="272">SUM(J245:J246)</f>
        <v>0</v>
      </c>
      <c r="K244" s="233">
        <f t="shared" si="272"/>
        <v>0</v>
      </c>
      <c r="L244" s="233">
        <f t="shared" si="272"/>
        <v>0</v>
      </c>
      <c r="M244" s="233">
        <f t="shared" si="225"/>
        <v>0</v>
      </c>
      <c r="N244" s="233">
        <v>0</v>
      </c>
      <c r="O244" s="233">
        <f t="shared" ref="O244:Q244" si="273">SUM(O245:O246)</f>
        <v>0</v>
      </c>
      <c r="P244" s="233">
        <f t="shared" si="273"/>
        <v>0</v>
      </c>
      <c r="Q244" s="233">
        <f t="shared" si="273"/>
        <v>0</v>
      </c>
      <c r="R244" s="233">
        <f t="shared" si="221"/>
        <v>0</v>
      </c>
    </row>
    <row r="245" spans="1:18" s="29" customFormat="1" ht="24" hidden="1" customHeight="1">
      <c r="A245" s="133">
        <v>9710</v>
      </c>
      <c r="B245" s="184" t="s">
        <v>195</v>
      </c>
      <c r="C245" s="171">
        <v>0</v>
      </c>
      <c r="D245" s="171">
        <v>0</v>
      </c>
      <c r="E245" s="252"/>
      <c r="F245" s="252"/>
      <c r="G245" s="252"/>
      <c r="H245" s="233">
        <f t="shared" si="223"/>
        <v>0</v>
      </c>
      <c r="I245" s="252">
        <v>0</v>
      </c>
      <c r="J245" s="252"/>
      <c r="K245" s="252"/>
      <c r="L245" s="252"/>
      <c r="M245" s="233">
        <f t="shared" si="225"/>
        <v>0</v>
      </c>
      <c r="N245" s="252">
        <v>0</v>
      </c>
      <c r="O245" s="252"/>
      <c r="P245" s="252"/>
      <c r="Q245" s="252"/>
      <c r="R245" s="233">
        <f t="shared" si="221"/>
        <v>0</v>
      </c>
    </row>
    <row r="246" spans="1:18" s="29" customFormat="1" ht="48" hidden="1" customHeight="1">
      <c r="A246" s="142">
        <v>9720</v>
      </c>
      <c r="B246" s="183" t="s">
        <v>196</v>
      </c>
      <c r="C246" s="171">
        <v>0</v>
      </c>
      <c r="D246" s="171">
        <v>0</v>
      </c>
      <c r="E246" s="252"/>
      <c r="F246" s="252"/>
      <c r="G246" s="252"/>
      <c r="H246" s="233">
        <f t="shared" si="223"/>
        <v>0</v>
      </c>
      <c r="I246" s="252">
        <v>0</v>
      </c>
      <c r="J246" s="252"/>
      <c r="K246" s="252"/>
      <c r="L246" s="252"/>
      <c r="M246" s="233">
        <f t="shared" si="225"/>
        <v>0</v>
      </c>
      <c r="N246" s="252">
        <v>0</v>
      </c>
      <c r="O246" s="252"/>
      <c r="P246" s="252"/>
      <c r="Q246" s="252"/>
      <c r="R246" s="233">
        <f t="shared" si="221"/>
        <v>0</v>
      </c>
    </row>
    <row r="247" spans="1:18" s="29" customFormat="1" ht="24">
      <c r="A247" s="141">
        <v>9600</v>
      </c>
      <c r="B247" s="179" t="s">
        <v>134</v>
      </c>
      <c r="C247" s="171">
        <v>912818</v>
      </c>
      <c r="D247" s="171">
        <v>636203</v>
      </c>
      <c r="E247" s="252"/>
      <c r="F247" s="252"/>
      <c r="G247" s="252"/>
      <c r="H247" s="233">
        <f t="shared" si="223"/>
        <v>636203</v>
      </c>
      <c r="I247" s="252">
        <v>0</v>
      </c>
      <c r="J247" s="252"/>
      <c r="K247" s="252"/>
      <c r="L247" s="252"/>
      <c r="M247" s="233">
        <f t="shared" si="225"/>
        <v>0</v>
      </c>
      <c r="N247" s="252">
        <v>0</v>
      </c>
      <c r="O247" s="252"/>
      <c r="P247" s="252"/>
      <c r="Q247" s="252"/>
      <c r="R247" s="233">
        <f t="shared" si="221"/>
        <v>0</v>
      </c>
    </row>
    <row r="248" spans="1:18" s="29" customFormat="1" ht="52.5" hidden="1" customHeight="1">
      <c r="A248" s="130" t="s">
        <v>197</v>
      </c>
      <c r="B248" s="185" t="s">
        <v>47</v>
      </c>
      <c r="C248" s="206">
        <v>0</v>
      </c>
      <c r="D248" s="186">
        <v>0</v>
      </c>
      <c r="E248" s="262">
        <f t="shared" ref="E248:G248" si="274">E178-E203</f>
        <v>0</v>
      </c>
      <c r="F248" s="262">
        <f t="shared" si="274"/>
        <v>0</v>
      </c>
      <c r="G248" s="262">
        <f t="shared" si="274"/>
        <v>0</v>
      </c>
      <c r="H248" s="232">
        <f t="shared" si="223"/>
        <v>0</v>
      </c>
      <c r="I248" s="262">
        <v>0</v>
      </c>
      <c r="J248" s="262">
        <f t="shared" ref="J248:L248" si="275">J178-J203</f>
        <v>0</v>
      </c>
      <c r="K248" s="262">
        <f t="shared" si="275"/>
        <v>0</v>
      </c>
      <c r="L248" s="262">
        <f t="shared" si="275"/>
        <v>0</v>
      </c>
      <c r="M248" s="232">
        <f t="shared" si="225"/>
        <v>0</v>
      </c>
      <c r="N248" s="262">
        <v>0</v>
      </c>
      <c r="O248" s="262">
        <f t="shared" ref="O248:Q248" si="276">O178-O203</f>
        <v>0</v>
      </c>
      <c r="P248" s="262">
        <f t="shared" si="276"/>
        <v>0</v>
      </c>
      <c r="Q248" s="262">
        <f t="shared" si="276"/>
        <v>0</v>
      </c>
      <c r="R248" s="232">
        <f t="shared" si="221"/>
        <v>0</v>
      </c>
    </row>
    <row r="249" spans="1:18" s="29" customFormat="1" ht="12" hidden="1" customHeight="1">
      <c r="A249" s="143" t="s">
        <v>48</v>
      </c>
      <c r="B249" s="185" t="s">
        <v>49</v>
      </c>
      <c r="C249" s="206">
        <v>0</v>
      </c>
      <c r="D249" s="186">
        <v>0</v>
      </c>
      <c r="E249" s="262">
        <f t="shared" ref="E249:G249" si="277">E250+E253+E257+E256</f>
        <v>0</v>
      </c>
      <c r="F249" s="262">
        <f t="shared" si="277"/>
        <v>0</v>
      </c>
      <c r="G249" s="262">
        <f t="shared" si="277"/>
        <v>0</v>
      </c>
      <c r="H249" s="232">
        <f t="shared" si="223"/>
        <v>0</v>
      </c>
      <c r="I249" s="262">
        <v>0</v>
      </c>
      <c r="J249" s="262">
        <f t="shared" ref="J249:L249" si="278">J250+J253+J257+J256</f>
        <v>0</v>
      </c>
      <c r="K249" s="262">
        <f t="shared" si="278"/>
        <v>0</v>
      </c>
      <c r="L249" s="262">
        <f t="shared" si="278"/>
        <v>0</v>
      </c>
      <c r="M249" s="232">
        <f t="shared" si="225"/>
        <v>0</v>
      </c>
      <c r="N249" s="262">
        <v>0</v>
      </c>
      <c r="O249" s="262">
        <f t="shared" ref="O249:Q249" si="279">O250+O253+O257+O256</f>
        <v>0</v>
      </c>
      <c r="P249" s="262">
        <f t="shared" si="279"/>
        <v>0</v>
      </c>
      <c r="Q249" s="262">
        <f t="shared" si="279"/>
        <v>0</v>
      </c>
      <c r="R249" s="232">
        <f t="shared" si="221"/>
        <v>0</v>
      </c>
    </row>
    <row r="250" spans="1:18" s="29" customFormat="1" ht="12" hidden="1" customHeight="1">
      <c r="A250" s="141" t="s">
        <v>50</v>
      </c>
      <c r="B250" s="179" t="s">
        <v>51</v>
      </c>
      <c r="C250" s="98">
        <v>0</v>
      </c>
      <c r="D250" s="169">
        <v>0</v>
      </c>
      <c r="E250" s="231">
        <f t="shared" ref="E250:G250" si="280">E251+E252</f>
        <v>0</v>
      </c>
      <c r="F250" s="231">
        <f t="shared" si="280"/>
        <v>0</v>
      </c>
      <c r="G250" s="231">
        <f t="shared" si="280"/>
        <v>0</v>
      </c>
      <c r="H250" s="232">
        <f t="shared" si="223"/>
        <v>0</v>
      </c>
      <c r="I250" s="231">
        <v>0</v>
      </c>
      <c r="J250" s="231">
        <f t="shared" ref="J250:L250" si="281">J251+J252</f>
        <v>0</v>
      </c>
      <c r="K250" s="231">
        <f t="shared" si="281"/>
        <v>0</v>
      </c>
      <c r="L250" s="231">
        <f t="shared" si="281"/>
        <v>0</v>
      </c>
      <c r="M250" s="232">
        <f t="shared" si="225"/>
        <v>0</v>
      </c>
      <c r="N250" s="231">
        <v>0</v>
      </c>
      <c r="O250" s="231">
        <f t="shared" ref="O250:Q250" si="282">O251+O252</f>
        <v>0</v>
      </c>
      <c r="P250" s="231">
        <f t="shared" si="282"/>
        <v>0</v>
      </c>
      <c r="Q250" s="231">
        <f t="shared" si="282"/>
        <v>0</v>
      </c>
      <c r="R250" s="232">
        <f t="shared" si="221"/>
        <v>0</v>
      </c>
    </row>
    <row r="251" spans="1:18" s="29" customFormat="1" ht="12" hidden="1" customHeight="1">
      <c r="A251" s="141" t="s">
        <v>52</v>
      </c>
      <c r="B251" s="179" t="s">
        <v>53</v>
      </c>
      <c r="C251" s="98"/>
      <c r="D251" s="169">
        <v>0</v>
      </c>
      <c r="E251" s="231"/>
      <c r="F251" s="231"/>
      <c r="G251" s="231"/>
      <c r="H251" s="232">
        <f t="shared" si="223"/>
        <v>0</v>
      </c>
      <c r="I251" s="231">
        <v>0</v>
      </c>
      <c r="J251" s="231"/>
      <c r="K251" s="231"/>
      <c r="L251" s="231"/>
      <c r="M251" s="232">
        <f t="shared" si="225"/>
        <v>0</v>
      </c>
      <c r="N251" s="231">
        <v>0</v>
      </c>
      <c r="O251" s="231"/>
      <c r="P251" s="231"/>
      <c r="Q251" s="231"/>
      <c r="R251" s="232">
        <f t="shared" si="221"/>
        <v>0</v>
      </c>
    </row>
    <row r="252" spans="1:18" s="29" customFormat="1" ht="12" hidden="1" customHeight="1">
      <c r="A252" s="141" t="s">
        <v>54</v>
      </c>
      <c r="B252" s="179" t="s">
        <v>55</v>
      </c>
      <c r="C252" s="98"/>
      <c r="D252" s="169">
        <v>0</v>
      </c>
      <c r="E252" s="231"/>
      <c r="F252" s="231"/>
      <c r="G252" s="231"/>
      <c r="H252" s="232">
        <f t="shared" si="223"/>
        <v>0</v>
      </c>
      <c r="I252" s="231">
        <v>0</v>
      </c>
      <c r="J252" s="231"/>
      <c r="K252" s="231"/>
      <c r="L252" s="231"/>
      <c r="M252" s="232">
        <f t="shared" si="225"/>
        <v>0</v>
      </c>
      <c r="N252" s="231">
        <v>0</v>
      </c>
      <c r="O252" s="231"/>
      <c r="P252" s="231"/>
      <c r="Q252" s="231"/>
      <c r="R252" s="232">
        <f t="shared" si="221"/>
        <v>0</v>
      </c>
    </row>
    <row r="253" spans="1:18" s="29" customFormat="1" ht="12" hidden="1" customHeight="1">
      <c r="A253" s="141" t="s">
        <v>56</v>
      </c>
      <c r="B253" s="179" t="s">
        <v>57</v>
      </c>
      <c r="C253" s="98">
        <v>0</v>
      </c>
      <c r="D253" s="169">
        <v>0</v>
      </c>
      <c r="E253" s="231">
        <f t="shared" ref="E253:G253" si="283">E254+E255</f>
        <v>0</v>
      </c>
      <c r="F253" s="231">
        <f t="shared" si="283"/>
        <v>0</v>
      </c>
      <c r="G253" s="231">
        <f t="shared" si="283"/>
        <v>0</v>
      </c>
      <c r="H253" s="232">
        <f t="shared" si="223"/>
        <v>0</v>
      </c>
      <c r="I253" s="231">
        <v>0</v>
      </c>
      <c r="J253" s="231">
        <f t="shared" ref="J253:L253" si="284">J254+J255</f>
        <v>0</v>
      </c>
      <c r="K253" s="231">
        <f t="shared" si="284"/>
        <v>0</v>
      </c>
      <c r="L253" s="231">
        <f t="shared" si="284"/>
        <v>0</v>
      </c>
      <c r="M253" s="232">
        <f t="shared" si="225"/>
        <v>0</v>
      </c>
      <c r="N253" s="231">
        <v>0</v>
      </c>
      <c r="O253" s="231">
        <f t="shared" ref="O253:Q253" si="285">O254+O255</f>
        <v>0</v>
      </c>
      <c r="P253" s="231">
        <f t="shared" si="285"/>
        <v>0</v>
      </c>
      <c r="Q253" s="231">
        <f t="shared" si="285"/>
        <v>0</v>
      </c>
      <c r="R253" s="232">
        <f t="shared" si="221"/>
        <v>0</v>
      </c>
    </row>
    <row r="254" spans="1:18" s="29" customFormat="1" ht="12" hidden="1" customHeight="1">
      <c r="A254" s="141" t="s">
        <v>58</v>
      </c>
      <c r="B254" s="179" t="s">
        <v>59</v>
      </c>
      <c r="C254" s="98"/>
      <c r="D254" s="169">
        <v>0</v>
      </c>
      <c r="E254" s="231"/>
      <c r="F254" s="231"/>
      <c r="G254" s="231"/>
      <c r="H254" s="232">
        <f t="shared" si="223"/>
        <v>0</v>
      </c>
      <c r="I254" s="231">
        <v>0</v>
      </c>
      <c r="J254" s="231"/>
      <c r="K254" s="231"/>
      <c r="L254" s="231"/>
      <c r="M254" s="232">
        <f t="shared" si="225"/>
        <v>0</v>
      </c>
      <c r="N254" s="231">
        <v>0</v>
      </c>
      <c r="O254" s="231"/>
      <c r="P254" s="231"/>
      <c r="Q254" s="231"/>
      <c r="R254" s="232">
        <f t="shared" si="221"/>
        <v>0</v>
      </c>
    </row>
    <row r="255" spans="1:18" s="29" customFormat="1" ht="12" hidden="1" customHeight="1">
      <c r="A255" s="141" t="s">
        <v>60</v>
      </c>
      <c r="B255" s="179" t="s">
        <v>61</v>
      </c>
      <c r="C255" s="98"/>
      <c r="D255" s="169">
        <v>0</v>
      </c>
      <c r="E255" s="231"/>
      <c r="F255" s="231"/>
      <c r="G255" s="231"/>
      <c r="H255" s="232">
        <f t="shared" si="223"/>
        <v>0</v>
      </c>
      <c r="I255" s="231">
        <v>0</v>
      </c>
      <c r="J255" s="231"/>
      <c r="K255" s="231"/>
      <c r="L255" s="231"/>
      <c r="M255" s="232">
        <f t="shared" si="225"/>
        <v>0</v>
      </c>
      <c r="N255" s="231">
        <v>0</v>
      </c>
      <c r="O255" s="231"/>
      <c r="P255" s="231"/>
      <c r="Q255" s="231"/>
      <c r="R255" s="232">
        <f t="shared" si="221"/>
        <v>0</v>
      </c>
    </row>
    <row r="256" spans="1:18" s="29" customFormat="1" ht="24" hidden="1" customHeight="1">
      <c r="A256" s="141" t="s">
        <v>198</v>
      </c>
      <c r="B256" s="187" t="s">
        <v>168</v>
      </c>
      <c r="C256" s="98"/>
      <c r="D256" s="169">
        <v>0</v>
      </c>
      <c r="E256" s="231"/>
      <c r="F256" s="231"/>
      <c r="G256" s="231"/>
      <c r="H256" s="232">
        <f t="shared" si="223"/>
        <v>0</v>
      </c>
      <c r="I256" s="231">
        <v>0</v>
      </c>
      <c r="J256" s="231"/>
      <c r="K256" s="231"/>
      <c r="L256" s="231"/>
      <c r="M256" s="232">
        <f t="shared" si="225"/>
        <v>0</v>
      </c>
      <c r="N256" s="231">
        <v>0</v>
      </c>
      <c r="O256" s="231"/>
      <c r="P256" s="231"/>
      <c r="Q256" s="231"/>
      <c r="R256" s="232">
        <f t="shared" si="221"/>
        <v>0</v>
      </c>
    </row>
    <row r="257" spans="1:20" s="29" customFormat="1" ht="12" hidden="1" customHeight="1">
      <c r="A257" s="144" t="s">
        <v>62</v>
      </c>
      <c r="B257" s="125" t="s">
        <v>63</v>
      </c>
      <c r="C257" s="170">
        <v>0</v>
      </c>
      <c r="D257" s="171">
        <v>0</v>
      </c>
      <c r="E257" s="233">
        <f t="shared" ref="E257:G257" si="286">E258+E259+E260</f>
        <v>0</v>
      </c>
      <c r="F257" s="233">
        <f t="shared" si="286"/>
        <v>0</v>
      </c>
      <c r="G257" s="233">
        <f t="shared" si="286"/>
        <v>0</v>
      </c>
      <c r="H257" s="232">
        <f t="shared" si="223"/>
        <v>0</v>
      </c>
      <c r="I257" s="233">
        <v>0</v>
      </c>
      <c r="J257" s="233">
        <f t="shared" ref="J257:L257" si="287">J258+J259+J260</f>
        <v>0</v>
      </c>
      <c r="K257" s="233">
        <f t="shared" si="287"/>
        <v>0</v>
      </c>
      <c r="L257" s="233">
        <f t="shared" si="287"/>
        <v>0</v>
      </c>
      <c r="M257" s="232">
        <f t="shared" si="225"/>
        <v>0</v>
      </c>
      <c r="N257" s="233">
        <v>0</v>
      </c>
      <c r="O257" s="233">
        <f t="shared" ref="O257:Q257" si="288">O258+O259+O260</f>
        <v>0</v>
      </c>
      <c r="P257" s="233">
        <f t="shared" si="288"/>
        <v>0</v>
      </c>
      <c r="Q257" s="233">
        <f t="shared" si="288"/>
        <v>0</v>
      </c>
      <c r="R257" s="232">
        <f t="shared" si="221"/>
        <v>0</v>
      </c>
    </row>
    <row r="258" spans="1:20" s="29" customFormat="1" ht="36" hidden="1" customHeight="1">
      <c r="A258" s="144" t="s">
        <v>64</v>
      </c>
      <c r="B258" s="179" t="s">
        <v>65</v>
      </c>
      <c r="C258" s="98">
        <v>0</v>
      </c>
      <c r="D258" s="169">
        <v>0</v>
      </c>
      <c r="E258" s="231"/>
      <c r="F258" s="231"/>
      <c r="G258" s="231"/>
      <c r="H258" s="232">
        <f t="shared" si="223"/>
        <v>0</v>
      </c>
      <c r="I258" s="231">
        <v>0</v>
      </c>
      <c r="J258" s="231"/>
      <c r="K258" s="231"/>
      <c r="L258" s="231"/>
      <c r="M258" s="232">
        <f t="shared" si="225"/>
        <v>0</v>
      </c>
      <c r="N258" s="231">
        <v>0</v>
      </c>
      <c r="O258" s="231"/>
      <c r="P258" s="231"/>
      <c r="Q258" s="231"/>
      <c r="R258" s="232">
        <f t="shared" si="221"/>
        <v>0</v>
      </c>
    </row>
    <row r="259" spans="1:20" s="29" customFormat="1" ht="36" hidden="1" customHeight="1">
      <c r="A259" s="144" t="s">
        <v>66</v>
      </c>
      <c r="B259" s="179" t="s">
        <v>67</v>
      </c>
      <c r="C259" s="98"/>
      <c r="D259" s="169">
        <v>0</v>
      </c>
      <c r="E259" s="231"/>
      <c r="F259" s="231"/>
      <c r="G259" s="231"/>
      <c r="H259" s="232">
        <f t="shared" si="223"/>
        <v>0</v>
      </c>
      <c r="I259" s="231">
        <v>0</v>
      </c>
      <c r="J259" s="231"/>
      <c r="K259" s="231"/>
      <c r="L259" s="231"/>
      <c r="M259" s="232">
        <f t="shared" si="225"/>
        <v>0</v>
      </c>
      <c r="N259" s="231">
        <v>0</v>
      </c>
      <c r="O259" s="231"/>
      <c r="P259" s="231"/>
      <c r="Q259" s="231"/>
      <c r="R259" s="232">
        <f t="shared" si="221"/>
        <v>0</v>
      </c>
    </row>
    <row r="260" spans="1:20" s="29" customFormat="1" ht="36" hidden="1" customHeight="1">
      <c r="A260" s="144" t="s">
        <v>68</v>
      </c>
      <c r="B260" s="125" t="s">
        <v>69</v>
      </c>
      <c r="C260" s="98"/>
      <c r="D260" s="169">
        <v>0</v>
      </c>
      <c r="E260" s="231"/>
      <c r="F260" s="231"/>
      <c r="G260" s="231"/>
      <c r="H260" s="232">
        <f t="shared" si="223"/>
        <v>0</v>
      </c>
      <c r="I260" s="231">
        <v>0</v>
      </c>
      <c r="J260" s="231"/>
      <c r="K260" s="231"/>
      <c r="L260" s="231"/>
      <c r="M260" s="232">
        <f t="shared" si="225"/>
        <v>0</v>
      </c>
      <c r="N260" s="231">
        <v>0</v>
      </c>
      <c r="O260" s="231"/>
      <c r="P260" s="231"/>
      <c r="Q260" s="231"/>
      <c r="R260" s="232">
        <f t="shared" si="221"/>
        <v>0</v>
      </c>
    </row>
    <row r="261" spans="1:20" s="29" customFormat="1" ht="12">
      <c r="A261" s="271"/>
      <c r="B261" s="272"/>
      <c r="C261" s="253"/>
      <c r="D261" s="254"/>
      <c r="E261" s="253"/>
      <c r="F261" s="253"/>
      <c r="G261" s="253"/>
      <c r="H261" s="232"/>
      <c r="I261" s="254"/>
      <c r="J261" s="253"/>
      <c r="K261" s="253"/>
      <c r="L261" s="253"/>
      <c r="M261" s="232"/>
      <c r="N261" s="254"/>
      <c r="O261" s="253"/>
      <c r="P261" s="253"/>
      <c r="Q261" s="253"/>
      <c r="R261" s="232"/>
    </row>
    <row r="262" spans="1:20" ht="12">
      <c r="A262" s="33"/>
      <c r="B262" s="164"/>
      <c r="C262" s="165"/>
      <c r="D262" s="163"/>
      <c r="E262" s="165"/>
      <c r="F262" s="163"/>
      <c r="G262" s="163"/>
      <c r="H262" s="163"/>
      <c r="I262" s="163"/>
      <c r="J262" s="165"/>
      <c r="K262" s="163"/>
      <c r="L262" s="163"/>
      <c r="M262" s="163"/>
      <c r="N262" s="163"/>
      <c r="O262" s="165"/>
      <c r="P262" s="163"/>
      <c r="Q262" s="163"/>
      <c r="R262" s="163"/>
    </row>
    <row r="263" spans="1:20" ht="12">
      <c r="A263" s="33"/>
      <c r="B263" s="164"/>
      <c r="C263" s="165"/>
      <c r="D263" s="163"/>
      <c r="E263" s="165"/>
      <c r="F263" s="163"/>
      <c r="G263" s="163"/>
      <c r="H263" s="163"/>
      <c r="I263" s="163"/>
      <c r="J263" s="165"/>
      <c r="K263" s="163"/>
      <c r="L263" s="163"/>
      <c r="M263" s="163"/>
      <c r="N263" s="163"/>
      <c r="O263" s="165"/>
      <c r="P263" s="163"/>
      <c r="Q263" s="163"/>
      <c r="R263" s="163"/>
    </row>
    <row r="264" spans="1:20" ht="13.2">
      <c r="A264" s="369" t="s">
        <v>236</v>
      </c>
      <c r="B264" s="370" t="s">
        <v>237</v>
      </c>
      <c r="C264" s="165"/>
      <c r="D264" s="163"/>
      <c r="E264" s="165"/>
      <c r="F264" s="163"/>
      <c r="G264" s="165"/>
      <c r="H264" s="163"/>
      <c r="I264" s="163"/>
      <c r="J264" s="165"/>
      <c r="K264" s="163"/>
      <c r="L264" s="165"/>
      <c r="M264" s="163"/>
      <c r="N264" s="163"/>
      <c r="O264" s="165"/>
      <c r="P264" s="163"/>
      <c r="Q264" s="165"/>
      <c r="R264" s="163"/>
    </row>
    <row r="265" spans="1:20" ht="13.2">
      <c r="A265" s="371"/>
      <c r="B265" s="372" t="s">
        <v>238</v>
      </c>
      <c r="C265" s="165"/>
      <c r="D265" s="163"/>
      <c r="E265" s="165"/>
      <c r="F265" s="163"/>
      <c r="G265" s="163"/>
      <c r="H265" s="163"/>
      <c r="I265" s="163"/>
      <c r="J265" s="165"/>
      <c r="K265" s="163"/>
      <c r="L265" s="163"/>
      <c r="M265" s="163"/>
      <c r="N265" s="163"/>
      <c r="O265" s="165"/>
      <c r="P265" s="163"/>
      <c r="Q265" s="163"/>
      <c r="R265" s="163"/>
    </row>
    <row r="266" spans="1:20" ht="13.2">
      <c r="A266" s="373" t="s">
        <v>223</v>
      </c>
      <c r="B266" s="374" t="s">
        <v>434</v>
      </c>
      <c r="C266" s="165"/>
      <c r="D266" s="163"/>
      <c r="E266" s="165"/>
      <c r="F266" s="519"/>
      <c r="G266" s="519"/>
      <c r="H266" s="163"/>
      <c r="I266" s="163"/>
      <c r="J266" s="165"/>
      <c r="K266" s="519"/>
      <c r="L266" s="163"/>
      <c r="M266" s="163"/>
      <c r="N266" s="163"/>
      <c r="O266" s="165"/>
      <c r="P266" s="519"/>
      <c r="Q266" s="163"/>
      <c r="R266" s="163"/>
    </row>
    <row r="267" spans="1:20" ht="13.2">
      <c r="A267" s="375" t="s">
        <v>240</v>
      </c>
      <c r="B267" s="376" t="s">
        <v>241</v>
      </c>
      <c r="C267" s="165"/>
      <c r="D267" s="163"/>
      <c r="E267" s="165"/>
      <c r="F267" s="163"/>
      <c r="G267" s="163"/>
      <c r="H267" s="163"/>
      <c r="I267" s="163"/>
      <c r="J267" s="165"/>
      <c r="K267" s="163"/>
      <c r="L267" s="163"/>
      <c r="M267" s="163"/>
      <c r="N267" s="163"/>
      <c r="O267" s="165"/>
      <c r="P267" s="163"/>
      <c r="Q267" s="163"/>
      <c r="R267" s="163"/>
    </row>
    <row r="268" spans="1:20" ht="13.2">
      <c r="A268" s="377"/>
      <c r="B268" s="376"/>
      <c r="C268" s="165"/>
      <c r="D268" s="163"/>
      <c r="E268" s="165"/>
      <c r="F268" s="163"/>
      <c r="G268" s="163"/>
      <c r="H268" s="163"/>
      <c r="I268" s="163"/>
      <c r="J268" s="165"/>
      <c r="K268" s="163"/>
      <c r="L268" s="163"/>
      <c r="M268" s="163"/>
      <c r="N268" s="163"/>
      <c r="O268" s="165"/>
      <c r="P268" s="163"/>
      <c r="Q268" s="163"/>
      <c r="R268" s="163"/>
    </row>
    <row r="269" spans="1:20" ht="13.2">
      <c r="A269" s="378" t="s">
        <v>224</v>
      </c>
      <c r="B269" s="374" t="s">
        <v>242</v>
      </c>
      <c r="C269" s="165"/>
      <c r="D269" s="163"/>
      <c r="E269" s="165"/>
      <c r="F269" s="519">
        <f>SUM(F280,F271,F293)</f>
        <v>509109</v>
      </c>
      <c r="G269" s="519">
        <f>SUM(G306,G321,G336,G351,G366)</f>
        <v>2583147</v>
      </c>
      <c r="H269" s="163"/>
      <c r="I269" s="163"/>
      <c r="J269" s="165"/>
      <c r="K269" s="519">
        <f>SUM(K280,K271,K293)</f>
        <v>407757</v>
      </c>
      <c r="L269" s="519">
        <f>SUM(L306,L321,L336,L351,L366)</f>
        <v>572884</v>
      </c>
      <c r="M269" s="163"/>
      <c r="N269" s="163"/>
      <c r="O269" s="165"/>
      <c r="P269" s="519">
        <f>SUM(P280,P271,P293)</f>
        <v>320735</v>
      </c>
      <c r="Q269" s="519">
        <f>SUM(Q306,Q321,Q336,Q351,Q366)</f>
        <v>572884</v>
      </c>
      <c r="R269" s="163"/>
    </row>
    <row r="270" spans="1:20" ht="102.6">
      <c r="A270" s="456" t="s">
        <v>243</v>
      </c>
      <c r="B270" s="457" t="s">
        <v>294</v>
      </c>
      <c r="C270" s="165"/>
      <c r="D270" s="163"/>
      <c r="E270" s="165"/>
      <c r="F270" s="458"/>
      <c r="G270" s="458"/>
      <c r="H270" s="458"/>
      <c r="I270" s="458"/>
      <c r="J270" s="458"/>
      <c r="K270" s="458"/>
      <c r="L270" s="458"/>
      <c r="M270" s="458"/>
      <c r="N270" s="458"/>
      <c r="O270" s="458"/>
      <c r="P270" s="458"/>
      <c r="Q270" s="458"/>
      <c r="R270" s="165"/>
    </row>
    <row r="271" spans="1:20" ht="13.2">
      <c r="A271" s="459"/>
      <c r="B271" s="460" t="s">
        <v>88</v>
      </c>
      <c r="C271" s="461"/>
      <c r="D271" s="462"/>
      <c r="E271" s="461"/>
      <c r="F271" s="458">
        <f>F272</f>
        <v>35000</v>
      </c>
      <c r="G271" s="458"/>
      <c r="H271" s="458"/>
      <c r="I271" s="458"/>
      <c r="J271" s="458"/>
      <c r="K271" s="458">
        <f>K272</f>
        <v>46934</v>
      </c>
      <c r="L271" s="458"/>
      <c r="M271" s="458"/>
      <c r="N271" s="458"/>
      <c r="O271" s="458"/>
      <c r="P271" s="458">
        <f>P272</f>
        <v>42714</v>
      </c>
      <c r="Q271" s="458"/>
      <c r="R271" s="461"/>
      <c r="T271" s="9"/>
    </row>
    <row r="272" spans="1:20" ht="13.2">
      <c r="A272" s="459"/>
      <c r="B272" s="460" t="s">
        <v>97</v>
      </c>
      <c r="C272" s="479"/>
      <c r="D272" s="480"/>
      <c r="E272" s="479"/>
      <c r="F272" s="479">
        <f>F273</f>
        <v>35000</v>
      </c>
      <c r="G272" s="479"/>
      <c r="H272" s="479"/>
      <c r="I272" s="479"/>
      <c r="J272" s="479"/>
      <c r="K272" s="479">
        <f>K273</f>
        <v>46934</v>
      </c>
      <c r="L272" s="479"/>
      <c r="M272" s="479"/>
      <c r="N272" s="479"/>
      <c r="O272" s="479"/>
      <c r="P272" s="479">
        <f>P273</f>
        <v>42714</v>
      </c>
      <c r="Q272" s="479"/>
      <c r="R272" s="479"/>
    </row>
    <row r="273" spans="1:20" ht="24">
      <c r="A273" s="459"/>
      <c r="B273" s="463" t="s">
        <v>98</v>
      </c>
      <c r="C273" s="479"/>
      <c r="D273" s="480"/>
      <c r="E273" s="479"/>
      <c r="F273" s="479">
        <v>35000</v>
      </c>
      <c r="G273" s="479"/>
      <c r="H273" s="479"/>
      <c r="I273" s="479"/>
      <c r="J273" s="479"/>
      <c r="K273" s="479">
        <v>46934</v>
      </c>
      <c r="L273" s="479"/>
      <c r="M273" s="479"/>
      <c r="N273" s="479"/>
      <c r="O273" s="479"/>
      <c r="P273" s="479">
        <v>42714</v>
      </c>
      <c r="Q273" s="479"/>
      <c r="R273" s="479"/>
    </row>
    <row r="274" spans="1:20" ht="13.2">
      <c r="A274" s="459"/>
      <c r="B274" s="460" t="s">
        <v>101</v>
      </c>
      <c r="C274" s="461"/>
      <c r="D274" s="462"/>
      <c r="E274" s="461"/>
      <c r="F274" s="458">
        <f>F275</f>
        <v>35000</v>
      </c>
      <c r="G274" s="458"/>
      <c r="H274" s="458"/>
      <c r="I274" s="458"/>
      <c r="J274" s="458"/>
      <c r="K274" s="458">
        <f>K275</f>
        <v>46934</v>
      </c>
      <c r="L274" s="458"/>
      <c r="M274" s="458"/>
      <c r="N274" s="458"/>
      <c r="O274" s="458"/>
      <c r="P274" s="458">
        <f>P275</f>
        <v>42714</v>
      </c>
      <c r="Q274" s="458"/>
      <c r="R274" s="461"/>
    </row>
    <row r="275" spans="1:20" ht="13.2">
      <c r="A275" s="459"/>
      <c r="B275" s="468" t="s">
        <v>103</v>
      </c>
      <c r="C275" s="479"/>
      <c r="D275" s="480"/>
      <c r="E275" s="479"/>
      <c r="F275" s="479">
        <f>F276</f>
        <v>35000</v>
      </c>
      <c r="G275" s="479"/>
      <c r="H275" s="479"/>
      <c r="I275" s="479"/>
      <c r="J275" s="479"/>
      <c r="K275" s="479">
        <f>K276</f>
        <v>46934</v>
      </c>
      <c r="L275" s="479"/>
      <c r="M275" s="479"/>
      <c r="N275" s="479"/>
      <c r="O275" s="479"/>
      <c r="P275" s="479">
        <f>P276</f>
        <v>42714</v>
      </c>
      <c r="Q275" s="479"/>
      <c r="R275" s="461"/>
    </row>
    <row r="276" spans="1:20" ht="13.2">
      <c r="A276" s="459"/>
      <c r="B276" s="468" t="s">
        <v>110</v>
      </c>
      <c r="C276" s="479"/>
      <c r="D276" s="480"/>
      <c r="E276" s="479"/>
      <c r="F276" s="479">
        <f>F277</f>
        <v>35000</v>
      </c>
      <c r="G276" s="479"/>
      <c r="H276" s="479"/>
      <c r="I276" s="479"/>
      <c r="J276" s="479"/>
      <c r="K276" s="479">
        <f>K277</f>
        <v>46934</v>
      </c>
      <c r="L276" s="479"/>
      <c r="M276" s="479"/>
      <c r="N276" s="479"/>
      <c r="O276" s="479"/>
      <c r="P276" s="479">
        <f>P277</f>
        <v>42714</v>
      </c>
      <c r="Q276" s="479"/>
      <c r="R276" s="461"/>
    </row>
    <row r="277" spans="1:20" ht="13.2">
      <c r="A277" s="459"/>
      <c r="B277" s="468" t="s">
        <v>111</v>
      </c>
      <c r="C277" s="479"/>
      <c r="D277" s="480"/>
      <c r="E277" s="479"/>
      <c r="F277" s="479">
        <v>35000</v>
      </c>
      <c r="G277" s="479"/>
      <c r="H277" s="479"/>
      <c r="I277" s="479"/>
      <c r="J277" s="479"/>
      <c r="K277" s="479">
        <v>46934</v>
      </c>
      <c r="L277" s="479"/>
      <c r="M277" s="479"/>
      <c r="N277" s="479"/>
      <c r="O277" s="479"/>
      <c r="P277" s="479">
        <v>42714</v>
      </c>
      <c r="Q277" s="479"/>
      <c r="R277" s="461"/>
    </row>
    <row r="278" spans="1:20" ht="13.2">
      <c r="A278" s="459"/>
      <c r="B278" s="464"/>
      <c r="C278" s="461"/>
      <c r="D278" s="462"/>
      <c r="E278" s="461"/>
      <c r="F278" s="465"/>
      <c r="G278" s="465"/>
      <c r="H278" s="465"/>
      <c r="I278" s="465"/>
      <c r="J278" s="458"/>
      <c r="K278" s="465"/>
      <c r="L278" s="465"/>
      <c r="M278" s="465"/>
      <c r="N278" s="465"/>
      <c r="O278" s="458"/>
      <c r="P278" s="465"/>
      <c r="Q278" s="465"/>
      <c r="R278" s="462"/>
      <c r="T278" s="9"/>
    </row>
    <row r="279" spans="1:20" ht="50.25" customHeight="1">
      <c r="A279" s="466" t="s">
        <v>250</v>
      </c>
      <c r="B279" s="457" t="s">
        <v>291</v>
      </c>
      <c r="C279" s="461"/>
      <c r="D279" s="462"/>
      <c r="E279" s="461"/>
      <c r="F279" s="465"/>
      <c r="G279" s="465"/>
      <c r="H279" s="465"/>
      <c r="I279" s="465"/>
      <c r="J279" s="458"/>
      <c r="K279" s="465"/>
      <c r="L279" s="465"/>
      <c r="M279" s="465"/>
      <c r="N279" s="465"/>
      <c r="O279" s="458"/>
      <c r="P279" s="465"/>
      <c r="Q279" s="465"/>
      <c r="R279" s="462"/>
    </row>
    <row r="280" spans="1:20" ht="12">
      <c r="A280" s="467"/>
      <c r="B280" s="460" t="s">
        <v>88</v>
      </c>
      <c r="C280" s="461"/>
      <c r="D280" s="461"/>
      <c r="E280" s="461"/>
      <c r="F280" s="458">
        <f>F281</f>
        <v>173026</v>
      </c>
      <c r="G280" s="458"/>
      <c r="H280" s="458"/>
      <c r="I280" s="458"/>
      <c r="J280" s="458"/>
      <c r="K280" s="458">
        <f>K281</f>
        <v>147697</v>
      </c>
      <c r="L280" s="458"/>
      <c r="M280" s="458"/>
      <c r="N280" s="458"/>
      <c r="O280" s="458"/>
      <c r="P280" s="458">
        <f>P281</f>
        <v>147697</v>
      </c>
      <c r="Q280" s="458"/>
      <c r="R280" s="461"/>
    </row>
    <row r="281" spans="1:20" ht="12">
      <c r="A281" s="467"/>
      <c r="B281" s="468" t="s">
        <v>97</v>
      </c>
      <c r="C281" s="479"/>
      <c r="D281" s="479"/>
      <c r="E281" s="479"/>
      <c r="F281" s="479">
        <f>F282</f>
        <v>173026</v>
      </c>
      <c r="G281" s="479"/>
      <c r="H281" s="479"/>
      <c r="I281" s="479"/>
      <c r="J281" s="479"/>
      <c r="K281" s="479">
        <f>K282</f>
        <v>147697</v>
      </c>
      <c r="L281" s="479"/>
      <c r="M281" s="479"/>
      <c r="N281" s="479"/>
      <c r="O281" s="479"/>
      <c r="P281" s="479">
        <f>P282</f>
        <v>147697</v>
      </c>
      <c r="Q281" s="479"/>
      <c r="R281" s="461"/>
    </row>
    <row r="282" spans="1:20" ht="24">
      <c r="A282" s="467"/>
      <c r="B282" s="468" t="s">
        <v>98</v>
      </c>
      <c r="C282" s="479"/>
      <c r="D282" s="479"/>
      <c r="E282" s="479"/>
      <c r="F282" s="479">
        <v>173026</v>
      </c>
      <c r="G282" s="479"/>
      <c r="H282" s="479"/>
      <c r="I282" s="479"/>
      <c r="J282" s="479"/>
      <c r="K282" s="479">
        <v>147697</v>
      </c>
      <c r="L282" s="479"/>
      <c r="M282" s="479"/>
      <c r="N282" s="479"/>
      <c r="O282" s="479"/>
      <c r="P282" s="479">
        <v>147697</v>
      </c>
      <c r="Q282" s="479"/>
      <c r="R282" s="461"/>
    </row>
    <row r="283" spans="1:20" ht="12">
      <c r="A283" s="467"/>
      <c r="B283" s="460" t="s">
        <v>101</v>
      </c>
      <c r="C283" s="461"/>
      <c r="D283" s="461"/>
      <c r="E283" s="461"/>
      <c r="F283" s="458">
        <f>F284+F289</f>
        <v>173026</v>
      </c>
      <c r="G283" s="458"/>
      <c r="H283" s="458"/>
      <c r="I283" s="458"/>
      <c r="J283" s="458"/>
      <c r="K283" s="458">
        <f>K284+K289</f>
        <v>147697</v>
      </c>
      <c r="L283" s="458"/>
      <c r="M283" s="458"/>
      <c r="N283" s="458"/>
      <c r="O283" s="458"/>
      <c r="P283" s="458">
        <f>P284+P289</f>
        <v>147697</v>
      </c>
      <c r="Q283" s="458"/>
      <c r="R283" s="461"/>
    </row>
    <row r="284" spans="1:20" ht="12">
      <c r="A284" s="467"/>
      <c r="B284" s="468" t="s">
        <v>103</v>
      </c>
      <c r="C284" s="479"/>
      <c r="D284" s="479"/>
      <c r="E284" s="479"/>
      <c r="F284" s="479">
        <f>F285</f>
        <v>161026</v>
      </c>
      <c r="G284" s="479"/>
      <c r="H284" s="479"/>
      <c r="I284" s="479"/>
      <c r="J284" s="479"/>
      <c r="K284" s="479">
        <f>K285</f>
        <v>147697</v>
      </c>
      <c r="L284" s="479"/>
      <c r="M284" s="479"/>
      <c r="N284" s="479"/>
      <c r="O284" s="479"/>
      <c r="P284" s="479">
        <f>P285</f>
        <v>147697</v>
      </c>
      <c r="Q284" s="479"/>
      <c r="R284" s="479"/>
    </row>
    <row r="285" spans="1:20" ht="12">
      <c r="A285" s="467"/>
      <c r="B285" s="468" t="s">
        <v>105</v>
      </c>
      <c r="C285" s="479"/>
      <c r="D285" s="479"/>
      <c r="E285" s="479"/>
      <c r="F285" s="479">
        <f>F286+F288</f>
        <v>161026</v>
      </c>
      <c r="G285" s="479"/>
      <c r="H285" s="479"/>
      <c r="I285" s="479"/>
      <c r="J285" s="479"/>
      <c r="K285" s="479">
        <f>K286+K288</f>
        <v>147697</v>
      </c>
      <c r="L285" s="479"/>
      <c r="M285" s="479"/>
      <c r="N285" s="479"/>
      <c r="O285" s="479"/>
      <c r="P285" s="479">
        <f>P286+P288</f>
        <v>147697</v>
      </c>
      <c r="Q285" s="479"/>
      <c r="R285" s="479"/>
    </row>
    <row r="286" spans="1:20" ht="12">
      <c r="A286" s="467"/>
      <c r="B286" s="468" t="s">
        <v>106</v>
      </c>
      <c r="C286" s="479"/>
      <c r="D286" s="479"/>
      <c r="E286" s="479"/>
      <c r="F286" s="479">
        <f>49156+47019</f>
        <v>96175</v>
      </c>
      <c r="G286" s="479"/>
      <c r="H286" s="479"/>
      <c r="I286" s="479"/>
      <c r="J286" s="479"/>
      <c r="K286" s="479">
        <f>49156+47019</f>
        <v>96175</v>
      </c>
      <c r="L286" s="479"/>
      <c r="M286" s="479"/>
      <c r="N286" s="479"/>
      <c r="O286" s="479"/>
      <c r="P286" s="479">
        <f>49156+47019</f>
        <v>96175</v>
      </c>
      <c r="Q286" s="479"/>
      <c r="R286" s="479"/>
    </row>
    <row r="287" spans="1:20" ht="12">
      <c r="A287" s="467"/>
      <c r="B287" s="468" t="s">
        <v>107</v>
      </c>
      <c r="C287" s="479"/>
      <c r="D287" s="479"/>
      <c r="E287" s="479"/>
      <c r="F287" s="479">
        <f>38850+36604</f>
        <v>75454</v>
      </c>
      <c r="G287" s="479"/>
      <c r="H287" s="479"/>
      <c r="I287" s="479"/>
      <c r="J287" s="479"/>
      <c r="K287" s="479">
        <f>38850+36604</f>
        <v>75454</v>
      </c>
      <c r="L287" s="479"/>
      <c r="M287" s="479"/>
      <c r="N287" s="479"/>
      <c r="O287" s="479"/>
      <c r="P287" s="479">
        <f>38850+36604</f>
        <v>75454</v>
      </c>
      <c r="Q287" s="479"/>
      <c r="R287" s="479"/>
    </row>
    <row r="288" spans="1:20" ht="12">
      <c r="A288" s="467"/>
      <c r="B288" s="468" t="s">
        <v>108</v>
      </c>
      <c r="C288" s="479"/>
      <c r="D288" s="479"/>
      <c r="E288" s="479"/>
      <c r="F288" s="479">
        <f>50857+13994</f>
        <v>64851</v>
      </c>
      <c r="G288" s="479"/>
      <c r="H288" s="479"/>
      <c r="I288" s="479"/>
      <c r="J288" s="479"/>
      <c r="K288" s="479">
        <f>37528+13994</f>
        <v>51522</v>
      </c>
      <c r="L288" s="479"/>
      <c r="M288" s="479"/>
      <c r="N288" s="479"/>
      <c r="O288" s="479"/>
      <c r="P288" s="479">
        <f>37528+13994</f>
        <v>51522</v>
      </c>
      <c r="Q288" s="479"/>
      <c r="R288" s="479"/>
    </row>
    <row r="289" spans="1:18" ht="12">
      <c r="A289" s="467"/>
      <c r="B289" s="468" t="s">
        <v>122</v>
      </c>
      <c r="C289" s="479"/>
      <c r="D289" s="479"/>
      <c r="E289" s="479"/>
      <c r="F289" s="479">
        <f>F290</f>
        <v>12000</v>
      </c>
      <c r="G289" s="479"/>
      <c r="H289" s="479"/>
      <c r="I289" s="479"/>
      <c r="J289" s="479"/>
      <c r="K289" s="479">
        <f>K290</f>
        <v>0</v>
      </c>
      <c r="L289" s="479"/>
      <c r="M289" s="479"/>
      <c r="N289" s="479"/>
      <c r="O289" s="479"/>
      <c r="P289" s="479">
        <f>P290</f>
        <v>0</v>
      </c>
      <c r="Q289" s="479"/>
      <c r="R289" s="479"/>
    </row>
    <row r="290" spans="1:18" ht="12">
      <c r="A290" s="467"/>
      <c r="B290" s="468" t="s">
        <v>123</v>
      </c>
      <c r="C290" s="479"/>
      <c r="D290" s="479"/>
      <c r="E290" s="479"/>
      <c r="F290" s="479">
        <f>12000</f>
        <v>12000</v>
      </c>
      <c r="G290" s="479"/>
      <c r="H290" s="479"/>
      <c r="I290" s="479"/>
      <c r="J290" s="479"/>
      <c r="K290" s="479">
        <v>0</v>
      </c>
      <c r="L290" s="479"/>
      <c r="M290" s="479"/>
      <c r="N290" s="479"/>
      <c r="O290" s="479"/>
      <c r="P290" s="479">
        <v>0</v>
      </c>
      <c r="Q290" s="479"/>
      <c r="R290" s="479"/>
    </row>
    <row r="291" spans="1:18" ht="12">
      <c r="A291" s="467"/>
      <c r="B291" s="468"/>
      <c r="C291" s="461"/>
      <c r="D291" s="461"/>
      <c r="E291" s="461"/>
      <c r="F291" s="458"/>
      <c r="G291" s="458"/>
      <c r="H291" s="458"/>
      <c r="I291" s="458"/>
      <c r="J291" s="458"/>
      <c r="K291" s="458"/>
      <c r="L291" s="458"/>
      <c r="M291" s="458"/>
      <c r="N291" s="458"/>
      <c r="O291" s="458"/>
      <c r="P291" s="458"/>
      <c r="Q291" s="458"/>
      <c r="R291" s="461"/>
    </row>
    <row r="292" spans="1:18" ht="79.8">
      <c r="A292" s="466" t="s">
        <v>257</v>
      </c>
      <c r="B292" s="457" t="s">
        <v>389</v>
      </c>
      <c r="C292" s="165"/>
      <c r="D292" s="163"/>
      <c r="E292" s="165"/>
      <c r="F292" s="163"/>
      <c r="G292" s="163"/>
      <c r="H292" s="163"/>
      <c r="I292" s="163"/>
      <c r="J292" s="165"/>
      <c r="K292" s="163"/>
      <c r="L292" s="163"/>
      <c r="M292" s="163"/>
      <c r="N292" s="163"/>
      <c r="O292" s="165"/>
      <c r="P292" s="163"/>
      <c r="Q292" s="163"/>
      <c r="R292" s="163"/>
    </row>
    <row r="293" spans="1:18" ht="12">
      <c r="A293" s="467"/>
      <c r="B293" s="460" t="s">
        <v>88</v>
      </c>
      <c r="C293" s="165"/>
      <c r="D293" s="163"/>
      <c r="E293" s="165"/>
      <c r="F293" s="519">
        <f>F294</f>
        <v>301083</v>
      </c>
      <c r="G293" s="519"/>
      <c r="H293" s="165"/>
      <c r="I293" s="165"/>
      <c r="J293" s="165"/>
      <c r="K293" s="519">
        <f>K294</f>
        <v>213126</v>
      </c>
      <c r="L293" s="519"/>
      <c r="M293" s="165"/>
      <c r="N293" s="165"/>
      <c r="O293" s="165"/>
      <c r="P293" s="519">
        <f>P294</f>
        <v>130324</v>
      </c>
      <c r="Q293" s="519"/>
      <c r="R293" s="163"/>
    </row>
    <row r="294" spans="1:18" ht="12">
      <c r="A294" s="467"/>
      <c r="B294" s="468" t="s">
        <v>97</v>
      </c>
      <c r="C294" s="165"/>
      <c r="D294" s="163"/>
      <c r="E294" s="165"/>
      <c r="F294" s="165">
        <f>F295</f>
        <v>301083</v>
      </c>
      <c r="G294" s="165"/>
      <c r="H294" s="165"/>
      <c r="I294" s="165"/>
      <c r="J294" s="165"/>
      <c r="K294" s="165">
        <f>K295</f>
        <v>213126</v>
      </c>
      <c r="L294" s="165"/>
      <c r="M294" s="165"/>
      <c r="N294" s="165"/>
      <c r="O294" s="165"/>
      <c r="P294" s="165">
        <f>P295</f>
        <v>130324</v>
      </c>
      <c r="Q294" s="165"/>
      <c r="R294" s="163"/>
    </row>
    <row r="295" spans="1:18" ht="24">
      <c r="A295" s="467"/>
      <c r="B295" s="468" t="s">
        <v>98</v>
      </c>
      <c r="C295" s="165"/>
      <c r="D295" s="163"/>
      <c r="E295" s="165"/>
      <c r="F295" s="165">
        <v>301083</v>
      </c>
      <c r="G295" s="165"/>
      <c r="H295" s="165"/>
      <c r="I295" s="165"/>
      <c r="J295" s="165"/>
      <c r="K295" s="165">
        <v>213126</v>
      </c>
      <c r="L295" s="165"/>
      <c r="M295" s="165"/>
      <c r="N295" s="165"/>
      <c r="O295" s="165"/>
      <c r="P295" s="165">
        <v>130324</v>
      </c>
      <c r="Q295" s="165"/>
      <c r="R295" s="163"/>
    </row>
    <row r="296" spans="1:18" ht="12">
      <c r="A296" s="467"/>
      <c r="B296" s="460" t="s">
        <v>101</v>
      </c>
      <c r="C296" s="165"/>
      <c r="D296" s="163"/>
      <c r="E296" s="165"/>
      <c r="F296" s="519">
        <f>F297+F302</f>
        <v>301083</v>
      </c>
      <c r="G296" s="519"/>
      <c r="H296" s="165"/>
      <c r="I296" s="165"/>
      <c r="J296" s="165"/>
      <c r="K296" s="519">
        <f>K297+K302</f>
        <v>213126</v>
      </c>
      <c r="L296" s="519"/>
      <c r="M296" s="165"/>
      <c r="N296" s="165"/>
      <c r="O296" s="165"/>
      <c r="P296" s="519">
        <f>P297+P302</f>
        <v>130324</v>
      </c>
      <c r="Q296" s="519"/>
      <c r="R296" s="163"/>
    </row>
    <row r="297" spans="1:18" ht="12">
      <c r="A297" s="467"/>
      <c r="B297" s="468" t="s">
        <v>103</v>
      </c>
      <c r="C297" s="165"/>
      <c r="D297" s="163"/>
      <c r="E297" s="165"/>
      <c r="F297" s="165">
        <f>F298</f>
        <v>298083</v>
      </c>
      <c r="G297" s="165"/>
      <c r="H297" s="165"/>
      <c r="I297" s="165"/>
      <c r="J297" s="165"/>
      <c r="K297" s="165">
        <f>K298</f>
        <v>213126</v>
      </c>
      <c r="L297" s="165"/>
      <c r="M297" s="165"/>
      <c r="N297" s="165"/>
      <c r="O297" s="165"/>
      <c r="P297" s="165">
        <f>P298</f>
        <v>130324</v>
      </c>
      <c r="Q297" s="165"/>
      <c r="R297" s="163"/>
    </row>
    <row r="298" spans="1:18" ht="12">
      <c r="A298" s="467"/>
      <c r="B298" s="468" t="s">
        <v>105</v>
      </c>
      <c r="C298" s="165"/>
      <c r="D298" s="163"/>
      <c r="E298" s="165"/>
      <c r="F298" s="165">
        <f>F299+F301</f>
        <v>298083</v>
      </c>
      <c r="G298" s="165"/>
      <c r="H298" s="165"/>
      <c r="I298" s="165"/>
      <c r="J298" s="165"/>
      <c r="K298" s="165">
        <f>K299+K301</f>
        <v>213126</v>
      </c>
      <c r="L298" s="165"/>
      <c r="M298" s="165"/>
      <c r="N298" s="165"/>
      <c r="O298" s="165"/>
      <c r="P298" s="165">
        <f>P299+P301</f>
        <v>130324</v>
      </c>
      <c r="Q298" s="165"/>
      <c r="R298" s="163"/>
    </row>
    <row r="299" spans="1:18" ht="12">
      <c r="A299" s="467"/>
      <c r="B299" s="468" t="s">
        <v>106</v>
      </c>
      <c r="C299" s="165"/>
      <c r="D299" s="163"/>
      <c r="E299" s="165"/>
      <c r="F299" s="165">
        <v>70452</v>
      </c>
      <c r="G299" s="165"/>
      <c r="H299" s="165"/>
      <c r="I299" s="165"/>
      <c r="J299" s="165"/>
      <c r="K299" s="165">
        <v>140904</v>
      </c>
      <c r="L299" s="165"/>
      <c r="M299" s="165"/>
      <c r="N299" s="165"/>
      <c r="O299" s="165"/>
      <c r="P299" s="165">
        <v>82194</v>
      </c>
      <c r="Q299" s="165"/>
      <c r="R299" s="163"/>
    </row>
    <row r="300" spans="1:18" ht="12">
      <c r="A300" s="467"/>
      <c r="B300" s="468" t="s">
        <v>107</v>
      </c>
      <c r="C300" s="165"/>
      <c r="D300" s="163"/>
      <c r="E300" s="165"/>
      <c r="F300" s="165">
        <v>59679</v>
      </c>
      <c r="G300" s="165"/>
      <c r="H300" s="165"/>
      <c r="I300" s="165"/>
      <c r="J300" s="165"/>
      <c r="K300" s="165">
        <v>119358</v>
      </c>
      <c r="L300" s="165"/>
      <c r="M300" s="165"/>
      <c r="N300" s="165"/>
      <c r="O300" s="165"/>
      <c r="P300" s="165">
        <v>69626</v>
      </c>
      <c r="Q300" s="165"/>
      <c r="R300" s="163"/>
    </row>
    <row r="301" spans="1:18" ht="12">
      <c r="A301" s="467"/>
      <c r="B301" s="468" t="s">
        <v>108</v>
      </c>
      <c r="C301" s="165"/>
      <c r="D301" s="163"/>
      <c r="E301" s="165"/>
      <c r="F301" s="165">
        <v>227631</v>
      </c>
      <c r="G301" s="165"/>
      <c r="H301" s="165"/>
      <c r="I301" s="165"/>
      <c r="J301" s="165"/>
      <c r="K301" s="165">
        <v>72222</v>
      </c>
      <c r="L301" s="165"/>
      <c r="M301" s="165"/>
      <c r="N301" s="165"/>
      <c r="O301" s="165"/>
      <c r="P301" s="165">
        <v>48130</v>
      </c>
      <c r="Q301" s="165"/>
      <c r="R301" s="163"/>
    </row>
    <row r="302" spans="1:18" ht="12">
      <c r="A302" s="467"/>
      <c r="B302" s="468" t="s">
        <v>122</v>
      </c>
      <c r="C302" s="165"/>
      <c r="D302" s="163"/>
      <c r="E302" s="165"/>
      <c r="F302" s="274">
        <f>F303</f>
        <v>3000</v>
      </c>
      <c r="G302" s="274"/>
      <c r="H302" s="165"/>
      <c r="I302" s="165"/>
      <c r="J302" s="165"/>
      <c r="K302" s="274">
        <f>K303</f>
        <v>0</v>
      </c>
      <c r="L302" s="274"/>
      <c r="M302" s="165"/>
      <c r="N302" s="165"/>
      <c r="O302" s="165"/>
      <c r="P302" s="274">
        <f>P303</f>
        <v>0</v>
      </c>
      <c r="Q302" s="274"/>
      <c r="R302" s="163"/>
    </row>
    <row r="303" spans="1:18" ht="12">
      <c r="A303" s="467"/>
      <c r="B303" s="468" t="s">
        <v>123</v>
      </c>
      <c r="C303" s="165"/>
      <c r="D303" s="163"/>
      <c r="E303" s="165"/>
      <c r="F303" s="165">
        <v>3000</v>
      </c>
      <c r="G303" s="165"/>
      <c r="H303" s="165"/>
      <c r="I303" s="165"/>
      <c r="J303" s="165"/>
      <c r="K303" s="165">
        <v>0</v>
      </c>
      <c r="L303" s="165"/>
      <c r="M303" s="165"/>
      <c r="N303" s="165"/>
      <c r="O303" s="165"/>
      <c r="P303" s="165">
        <v>0</v>
      </c>
      <c r="Q303" s="165"/>
      <c r="R303" s="163"/>
    </row>
    <row r="304" spans="1:18" ht="13.2">
      <c r="A304" s="377"/>
      <c r="B304" s="376"/>
      <c r="C304" s="165"/>
      <c r="D304" s="163"/>
      <c r="E304" s="165"/>
      <c r="H304" s="163"/>
      <c r="I304" s="163"/>
      <c r="J304" s="165"/>
      <c r="K304" s="163"/>
      <c r="L304" s="163"/>
      <c r="M304" s="163"/>
      <c r="N304" s="163"/>
      <c r="O304" s="165"/>
      <c r="P304" s="163"/>
      <c r="Q304" s="163"/>
      <c r="R304" s="163"/>
    </row>
    <row r="305" spans="1:18" ht="45.6">
      <c r="A305" s="466" t="s">
        <v>324</v>
      </c>
      <c r="B305" s="591" t="s">
        <v>523</v>
      </c>
      <c r="C305" s="165"/>
      <c r="D305" s="163"/>
      <c r="E305" s="165"/>
      <c r="F305" s="163"/>
      <c r="G305" s="163"/>
      <c r="H305" s="163"/>
      <c r="I305" s="163"/>
      <c r="J305" s="165"/>
      <c r="K305" s="163"/>
      <c r="L305" s="163"/>
      <c r="M305" s="163"/>
      <c r="N305" s="163"/>
      <c r="O305" s="165"/>
      <c r="P305" s="163"/>
      <c r="Q305" s="163"/>
      <c r="R305" s="163"/>
    </row>
    <row r="306" spans="1:18" ht="12">
      <c r="A306" s="467"/>
      <c r="B306" s="460" t="s">
        <v>88</v>
      </c>
      <c r="C306" s="165"/>
      <c r="D306" s="163"/>
      <c r="E306" s="165"/>
      <c r="F306" s="519"/>
      <c r="G306" s="519">
        <f>G307</f>
        <v>800900</v>
      </c>
      <c r="H306" s="165"/>
      <c r="I306" s="165"/>
      <c r="J306" s="165"/>
      <c r="K306" s="519"/>
      <c r="L306" s="519">
        <f>L307</f>
        <v>0</v>
      </c>
      <c r="M306" s="165"/>
      <c r="N306" s="165"/>
      <c r="O306" s="165"/>
      <c r="P306" s="519"/>
      <c r="Q306" s="519">
        <f>Q307</f>
        <v>0</v>
      </c>
      <c r="R306" s="163"/>
    </row>
    <row r="307" spans="1:18" ht="12">
      <c r="A307" s="467"/>
      <c r="B307" s="468" t="s">
        <v>97</v>
      </c>
      <c r="C307" s="165"/>
      <c r="D307" s="163"/>
      <c r="E307" s="165"/>
      <c r="F307" s="165"/>
      <c r="G307" s="165">
        <f>G308</f>
        <v>800900</v>
      </c>
      <c r="H307" s="165"/>
      <c r="I307" s="165"/>
      <c r="J307" s="165"/>
      <c r="K307" s="165"/>
      <c r="L307" s="165">
        <f>L308</f>
        <v>0</v>
      </c>
      <c r="M307" s="165"/>
      <c r="N307" s="165"/>
      <c r="O307" s="165"/>
      <c r="P307" s="165"/>
      <c r="Q307" s="165">
        <f>Q308</f>
        <v>0</v>
      </c>
      <c r="R307" s="163"/>
    </row>
    <row r="308" spans="1:18" ht="24">
      <c r="A308" s="467"/>
      <c r="B308" s="468" t="s">
        <v>98</v>
      </c>
      <c r="C308" s="165"/>
      <c r="D308" s="163"/>
      <c r="E308" s="165"/>
      <c r="F308" s="165"/>
      <c r="G308" s="165">
        <v>800900</v>
      </c>
      <c r="H308" s="165"/>
      <c r="I308" s="165"/>
      <c r="J308" s="165"/>
      <c r="K308" s="165"/>
      <c r="L308" s="165"/>
      <c r="M308" s="165"/>
      <c r="N308" s="165"/>
      <c r="O308" s="165"/>
      <c r="P308" s="165"/>
      <c r="Q308" s="165"/>
      <c r="R308" s="163"/>
    </row>
    <row r="309" spans="1:18" ht="12">
      <c r="A309" s="467"/>
      <c r="B309" s="460" t="s">
        <v>101</v>
      </c>
      <c r="C309" s="165"/>
      <c r="D309" s="163"/>
      <c r="E309" s="165"/>
      <c r="F309" s="519"/>
      <c r="G309" s="519">
        <f>G310+G317</f>
        <v>800900</v>
      </c>
      <c r="H309" s="165"/>
      <c r="I309" s="165"/>
      <c r="J309" s="165"/>
      <c r="K309" s="519"/>
      <c r="L309" s="519">
        <f>L310+L317</f>
        <v>0</v>
      </c>
      <c r="M309" s="165"/>
      <c r="N309" s="165"/>
      <c r="O309" s="165"/>
      <c r="P309" s="519"/>
      <c r="Q309" s="519">
        <f>Q310+Q317</f>
        <v>0</v>
      </c>
      <c r="R309" s="163"/>
    </row>
    <row r="310" spans="1:18" ht="12">
      <c r="A310" s="467"/>
      <c r="B310" s="468" t="s">
        <v>103</v>
      </c>
      <c r="C310" s="165"/>
      <c r="D310" s="163"/>
      <c r="E310" s="165"/>
      <c r="F310" s="165"/>
      <c r="G310" s="165">
        <f>G311+G315</f>
        <v>800900</v>
      </c>
      <c r="H310" s="165"/>
      <c r="I310" s="165"/>
      <c r="J310" s="165"/>
      <c r="K310" s="165"/>
      <c r="L310" s="165">
        <f>L311+L315</f>
        <v>0</v>
      </c>
      <c r="M310" s="165"/>
      <c r="N310" s="165"/>
      <c r="O310" s="165"/>
      <c r="P310" s="165"/>
      <c r="Q310" s="165">
        <f>Q311+Q315</f>
        <v>0</v>
      </c>
      <c r="R310" s="163"/>
    </row>
    <row r="311" spans="1:18" ht="12">
      <c r="A311" s="467"/>
      <c r="B311" s="468" t="s">
        <v>105</v>
      </c>
      <c r="C311" s="165"/>
      <c r="D311" s="163"/>
      <c r="E311" s="165"/>
      <c r="F311" s="165"/>
      <c r="G311" s="165">
        <f>G312+G314</f>
        <v>0</v>
      </c>
      <c r="H311" s="165"/>
      <c r="I311" s="165"/>
      <c r="J311" s="165"/>
      <c r="K311" s="165"/>
      <c r="L311" s="165">
        <f>L312+L314</f>
        <v>0</v>
      </c>
      <c r="M311" s="165"/>
      <c r="N311" s="165"/>
      <c r="O311" s="165"/>
      <c r="P311" s="165"/>
      <c r="Q311" s="165">
        <f>Q312+Q314</f>
        <v>0</v>
      </c>
      <c r="R311" s="163"/>
    </row>
    <row r="312" spans="1:18" ht="12">
      <c r="A312" s="467"/>
      <c r="B312" s="468" t="s">
        <v>106</v>
      </c>
      <c r="C312" s="165"/>
      <c r="D312" s="163"/>
      <c r="E312" s="165"/>
      <c r="F312" s="165"/>
      <c r="G312" s="165">
        <v>0</v>
      </c>
      <c r="H312" s="165"/>
      <c r="I312" s="165"/>
      <c r="J312" s="165"/>
      <c r="K312" s="165"/>
      <c r="L312" s="165">
        <v>0</v>
      </c>
      <c r="M312" s="165"/>
      <c r="N312" s="165"/>
      <c r="O312" s="165"/>
      <c r="P312" s="165"/>
      <c r="Q312" s="165">
        <v>0</v>
      </c>
      <c r="R312" s="163"/>
    </row>
    <row r="313" spans="1:18" ht="12">
      <c r="A313" s="467"/>
      <c r="B313" s="468" t="s">
        <v>107</v>
      </c>
      <c r="C313" s="165"/>
      <c r="D313" s="163"/>
      <c r="E313" s="165"/>
      <c r="F313" s="165"/>
      <c r="G313" s="165">
        <v>0</v>
      </c>
      <c r="H313" s="165"/>
      <c r="I313" s="165"/>
      <c r="J313" s="165"/>
      <c r="K313" s="165"/>
      <c r="L313" s="165">
        <v>0</v>
      </c>
      <c r="M313" s="165"/>
      <c r="N313" s="165"/>
      <c r="O313" s="165"/>
      <c r="P313" s="165"/>
      <c r="Q313" s="165">
        <v>0</v>
      </c>
      <c r="R313" s="163"/>
    </row>
    <row r="314" spans="1:18" ht="12">
      <c r="A314" s="467"/>
      <c r="B314" s="468" t="s">
        <v>108</v>
      </c>
      <c r="C314" s="165"/>
      <c r="D314" s="163"/>
      <c r="E314" s="165"/>
      <c r="F314" s="165"/>
      <c r="G314" s="165">
        <v>0</v>
      </c>
      <c r="H314" s="165"/>
      <c r="I314" s="165"/>
      <c r="J314" s="165"/>
      <c r="K314" s="165"/>
      <c r="L314" s="165">
        <v>0</v>
      </c>
      <c r="M314" s="165"/>
      <c r="N314" s="165"/>
      <c r="O314" s="165"/>
      <c r="P314" s="165"/>
      <c r="Q314" s="165">
        <v>0</v>
      </c>
      <c r="R314" s="163"/>
    </row>
    <row r="315" spans="1:18" ht="12">
      <c r="A315" s="467"/>
      <c r="B315" s="468" t="s">
        <v>110</v>
      </c>
      <c r="C315" s="165"/>
      <c r="D315" s="163"/>
      <c r="E315" s="165"/>
      <c r="F315" s="165"/>
      <c r="G315" s="165">
        <f>G316</f>
        <v>800900</v>
      </c>
      <c r="H315" s="165"/>
      <c r="I315" s="165"/>
      <c r="J315" s="165"/>
      <c r="K315" s="165"/>
      <c r="L315" s="165">
        <f>L316</f>
        <v>0</v>
      </c>
      <c r="M315" s="165"/>
      <c r="N315" s="165"/>
      <c r="O315" s="165"/>
      <c r="P315" s="165"/>
      <c r="Q315" s="165">
        <f>Q316</f>
        <v>0</v>
      </c>
      <c r="R315" s="163"/>
    </row>
    <row r="316" spans="1:18" ht="12">
      <c r="A316" s="467"/>
      <c r="B316" s="468" t="s">
        <v>111</v>
      </c>
      <c r="C316" s="165"/>
      <c r="D316" s="163"/>
      <c r="E316" s="165"/>
      <c r="F316" s="165"/>
      <c r="G316" s="165">
        <v>800900</v>
      </c>
      <c r="H316" s="165"/>
      <c r="I316" s="165"/>
      <c r="J316" s="165"/>
      <c r="K316" s="165"/>
      <c r="L316" s="165"/>
      <c r="M316" s="165"/>
      <c r="N316" s="165"/>
      <c r="O316" s="165"/>
      <c r="P316" s="165"/>
      <c r="Q316" s="165"/>
      <c r="R316" s="163"/>
    </row>
    <row r="317" spans="1:18" ht="12">
      <c r="A317" s="467"/>
      <c r="B317" s="468" t="s">
        <v>122</v>
      </c>
      <c r="C317" s="165"/>
      <c r="D317" s="163"/>
      <c r="E317" s="165"/>
      <c r="F317" s="274"/>
      <c r="G317" s="274">
        <f>G318</f>
        <v>0</v>
      </c>
      <c r="H317" s="165"/>
      <c r="I317" s="165"/>
      <c r="J317" s="165"/>
      <c r="K317" s="274"/>
      <c r="L317" s="274">
        <f>L318</f>
        <v>0</v>
      </c>
      <c r="M317" s="165"/>
      <c r="N317" s="165"/>
      <c r="O317" s="165"/>
      <c r="P317" s="274"/>
      <c r="Q317" s="274">
        <f>Q318</f>
        <v>0</v>
      </c>
      <c r="R317" s="163"/>
    </row>
    <row r="318" spans="1:18" ht="12">
      <c r="A318" s="467"/>
      <c r="B318" s="468" t="s">
        <v>123</v>
      </c>
      <c r="C318" s="165"/>
      <c r="D318" s="163"/>
      <c r="E318" s="165"/>
      <c r="F318" s="165"/>
      <c r="G318" s="165"/>
      <c r="H318" s="165"/>
      <c r="I318" s="165"/>
      <c r="J318" s="165"/>
      <c r="K318" s="165"/>
      <c r="L318" s="165"/>
      <c r="M318" s="165"/>
      <c r="N318" s="165"/>
      <c r="O318" s="165"/>
      <c r="P318" s="165"/>
      <c r="Q318" s="165"/>
      <c r="R318" s="163"/>
    </row>
    <row r="319" spans="1:18" ht="12">
      <c r="A319" s="467"/>
      <c r="B319" s="468"/>
      <c r="C319" s="165"/>
      <c r="D319" s="163"/>
      <c r="E319" s="165"/>
      <c r="F319" s="165"/>
      <c r="G319" s="165"/>
      <c r="H319" s="165"/>
      <c r="I319" s="165"/>
      <c r="J319" s="165"/>
      <c r="K319" s="165"/>
      <c r="L319" s="165"/>
      <c r="M319" s="165"/>
      <c r="N319" s="165"/>
      <c r="O319" s="165"/>
      <c r="P319" s="165"/>
      <c r="Q319" s="165"/>
      <c r="R319" s="163"/>
    </row>
    <row r="320" spans="1:18" ht="45.6">
      <c r="A320" s="466" t="s">
        <v>326</v>
      </c>
      <c r="B320" s="591" t="s">
        <v>524</v>
      </c>
      <c r="C320" s="165"/>
      <c r="D320" s="163"/>
      <c r="E320" s="165"/>
      <c r="F320" s="163"/>
      <c r="G320" s="163"/>
      <c r="H320" s="163"/>
      <c r="I320" s="163"/>
      <c r="J320" s="165"/>
      <c r="K320" s="163"/>
      <c r="L320" s="163"/>
      <c r="M320" s="163"/>
      <c r="N320" s="163"/>
      <c r="O320" s="165"/>
      <c r="P320" s="163"/>
      <c r="Q320" s="163"/>
      <c r="R320" s="163"/>
    </row>
    <row r="321" spans="1:18" ht="12">
      <c r="A321" s="467"/>
      <c r="B321" s="460" t="s">
        <v>88</v>
      </c>
      <c r="C321" s="165"/>
      <c r="D321" s="163"/>
      <c r="E321" s="165"/>
      <c r="F321" s="519"/>
      <c r="G321" s="519">
        <f>G322</f>
        <v>199100</v>
      </c>
      <c r="H321" s="165"/>
      <c r="I321" s="165"/>
      <c r="J321" s="165"/>
      <c r="K321" s="519"/>
      <c r="L321" s="519">
        <f>L322</f>
        <v>0</v>
      </c>
      <c r="M321" s="165"/>
      <c r="N321" s="165"/>
      <c r="O321" s="165"/>
      <c r="P321" s="519"/>
      <c r="Q321" s="519">
        <f>Q322</f>
        <v>0</v>
      </c>
      <c r="R321" s="163"/>
    </row>
    <row r="322" spans="1:18" ht="12">
      <c r="A322" s="467"/>
      <c r="B322" s="468" t="s">
        <v>97</v>
      </c>
      <c r="C322" s="165"/>
      <c r="D322" s="163"/>
      <c r="E322" s="165"/>
      <c r="F322" s="165"/>
      <c r="G322" s="165">
        <f>G323</f>
        <v>199100</v>
      </c>
      <c r="H322" s="165"/>
      <c r="I322" s="165"/>
      <c r="J322" s="165"/>
      <c r="K322" s="165"/>
      <c r="L322" s="165">
        <f>L323</f>
        <v>0</v>
      </c>
      <c r="M322" s="165"/>
      <c r="N322" s="165"/>
      <c r="O322" s="165"/>
      <c r="P322" s="165"/>
      <c r="Q322" s="165">
        <f>Q323</f>
        <v>0</v>
      </c>
      <c r="R322" s="163"/>
    </row>
    <row r="323" spans="1:18" ht="24">
      <c r="A323" s="467"/>
      <c r="B323" s="468" t="s">
        <v>98</v>
      </c>
      <c r="C323" s="165"/>
      <c r="D323" s="163"/>
      <c r="E323" s="165"/>
      <c r="F323" s="165"/>
      <c r="G323" s="165">
        <v>199100</v>
      </c>
      <c r="H323" s="165"/>
      <c r="I323" s="165"/>
      <c r="J323" s="165"/>
      <c r="K323" s="165"/>
      <c r="L323" s="165"/>
      <c r="M323" s="165"/>
      <c r="N323" s="165"/>
      <c r="O323" s="165"/>
      <c r="P323" s="165"/>
      <c r="Q323" s="165"/>
      <c r="R323" s="163"/>
    </row>
    <row r="324" spans="1:18" ht="12">
      <c r="A324" s="467"/>
      <c r="B324" s="460" t="s">
        <v>101</v>
      </c>
      <c r="C324" s="165"/>
      <c r="D324" s="163"/>
      <c r="E324" s="165"/>
      <c r="F324" s="519"/>
      <c r="G324" s="519">
        <f>G325+G332</f>
        <v>199100</v>
      </c>
      <c r="H324" s="165"/>
      <c r="I324" s="165"/>
      <c r="J324" s="165"/>
      <c r="K324" s="519"/>
      <c r="L324" s="519">
        <f>L325+L332</f>
        <v>0</v>
      </c>
      <c r="M324" s="165"/>
      <c r="N324" s="165"/>
      <c r="O324" s="165"/>
      <c r="P324" s="519"/>
      <c r="Q324" s="519">
        <f>Q325+Q332</f>
        <v>0</v>
      </c>
      <c r="R324" s="163"/>
    </row>
    <row r="325" spans="1:18" ht="12">
      <c r="A325" s="467"/>
      <c r="B325" s="468" t="s">
        <v>103</v>
      </c>
      <c r="C325" s="165"/>
      <c r="D325" s="163"/>
      <c r="E325" s="165"/>
      <c r="F325" s="165"/>
      <c r="G325" s="165">
        <f>G326+G330</f>
        <v>199100</v>
      </c>
      <c r="H325" s="165"/>
      <c r="I325" s="165"/>
      <c r="J325" s="165"/>
      <c r="K325" s="165"/>
      <c r="L325" s="165">
        <f>L326+L330</f>
        <v>0</v>
      </c>
      <c r="M325" s="165"/>
      <c r="N325" s="165"/>
      <c r="O325" s="165"/>
      <c r="P325" s="165"/>
      <c r="Q325" s="165">
        <f>Q326+Q330</f>
        <v>0</v>
      </c>
      <c r="R325" s="163"/>
    </row>
    <row r="326" spans="1:18" ht="12">
      <c r="A326" s="467"/>
      <c r="B326" s="468" t="s">
        <v>105</v>
      </c>
      <c r="C326" s="165"/>
      <c r="D326" s="163"/>
      <c r="E326" s="165"/>
      <c r="F326" s="165"/>
      <c r="G326" s="165">
        <f>G327+G329</f>
        <v>199100</v>
      </c>
      <c r="H326" s="165"/>
      <c r="I326" s="165"/>
      <c r="J326" s="165"/>
      <c r="K326" s="165"/>
      <c r="L326" s="165">
        <f>L327+L329</f>
        <v>0</v>
      </c>
      <c r="M326" s="165"/>
      <c r="N326" s="165"/>
      <c r="O326" s="165"/>
      <c r="P326" s="165"/>
      <c r="Q326" s="165">
        <f>Q327+Q329</f>
        <v>0</v>
      </c>
      <c r="R326" s="163"/>
    </row>
    <row r="327" spans="1:18" ht="12">
      <c r="A327" s="467"/>
      <c r="B327" s="468" t="s">
        <v>106</v>
      </c>
      <c r="C327" s="165"/>
      <c r="D327" s="163"/>
      <c r="E327" s="165"/>
      <c r="F327" s="165"/>
      <c r="G327" s="165">
        <v>0</v>
      </c>
      <c r="H327" s="165"/>
      <c r="I327" s="165"/>
      <c r="J327" s="165"/>
      <c r="K327" s="165"/>
      <c r="L327" s="165">
        <v>0</v>
      </c>
      <c r="M327" s="165"/>
      <c r="N327" s="165"/>
      <c r="O327" s="165"/>
      <c r="P327" s="165"/>
      <c r="Q327" s="165">
        <v>0</v>
      </c>
      <c r="R327" s="163"/>
    </row>
    <row r="328" spans="1:18" ht="12">
      <c r="A328" s="467"/>
      <c r="B328" s="468" t="s">
        <v>107</v>
      </c>
      <c r="C328" s="165"/>
      <c r="D328" s="163"/>
      <c r="E328" s="165"/>
      <c r="F328" s="165"/>
      <c r="G328" s="165">
        <v>0</v>
      </c>
      <c r="H328" s="165"/>
      <c r="I328" s="165"/>
      <c r="J328" s="165"/>
      <c r="K328" s="165"/>
      <c r="L328" s="165">
        <v>0</v>
      </c>
      <c r="M328" s="165"/>
      <c r="N328" s="165"/>
      <c r="O328" s="165"/>
      <c r="P328" s="165"/>
      <c r="Q328" s="165">
        <v>0</v>
      </c>
      <c r="R328" s="163"/>
    </row>
    <row r="329" spans="1:18" ht="12">
      <c r="A329" s="467"/>
      <c r="B329" s="468" t="s">
        <v>108</v>
      </c>
      <c r="C329" s="165"/>
      <c r="D329" s="163"/>
      <c r="E329" s="165"/>
      <c r="F329" s="165"/>
      <c r="G329" s="165">
        <v>199100</v>
      </c>
      <c r="H329" s="165"/>
      <c r="I329" s="165"/>
      <c r="J329" s="165"/>
      <c r="K329" s="165"/>
      <c r="L329" s="165">
        <v>0</v>
      </c>
      <c r="M329" s="165"/>
      <c r="N329" s="165"/>
      <c r="O329" s="165"/>
      <c r="P329" s="165"/>
      <c r="Q329" s="165">
        <v>0</v>
      </c>
      <c r="R329" s="163"/>
    </row>
    <row r="330" spans="1:18" ht="12">
      <c r="A330" s="467"/>
      <c r="B330" s="468" t="s">
        <v>110</v>
      </c>
      <c r="C330" s="165"/>
      <c r="D330" s="163"/>
      <c r="E330" s="165"/>
      <c r="F330" s="165"/>
      <c r="G330" s="165">
        <f>G331</f>
        <v>0</v>
      </c>
      <c r="H330" s="165"/>
      <c r="I330" s="165"/>
      <c r="J330" s="165"/>
      <c r="K330" s="165"/>
      <c r="L330" s="165">
        <f>L331</f>
        <v>0</v>
      </c>
      <c r="M330" s="165"/>
      <c r="N330" s="165"/>
      <c r="O330" s="165"/>
      <c r="P330" s="165"/>
      <c r="Q330" s="165">
        <f>Q331</f>
        <v>0</v>
      </c>
      <c r="R330" s="163"/>
    </row>
    <row r="331" spans="1:18" ht="12">
      <c r="A331" s="467"/>
      <c r="B331" s="468" t="s">
        <v>111</v>
      </c>
      <c r="C331" s="165"/>
      <c r="D331" s="163"/>
      <c r="E331" s="165"/>
      <c r="F331" s="165"/>
      <c r="G331" s="165">
        <v>0</v>
      </c>
      <c r="H331" s="165"/>
      <c r="I331" s="165"/>
      <c r="J331" s="165"/>
      <c r="K331" s="165"/>
      <c r="L331" s="165">
        <v>0</v>
      </c>
      <c r="M331" s="165"/>
      <c r="N331" s="165"/>
      <c r="O331" s="165"/>
      <c r="P331" s="165"/>
      <c r="Q331" s="165">
        <v>0</v>
      </c>
      <c r="R331" s="163"/>
    </row>
    <row r="332" spans="1:18" ht="12">
      <c r="A332" s="467"/>
      <c r="B332" s="468" t="s">
        <v>122</v>
      </c>
      <c r="C332" s="165"/>
      <c r="D332" s="163"/>
      <c r="E332" s="165"/>
      <c r="F332" s="274"/>
      <c r="G332" s="274">
        <f>G333</f>
        <v>0</v>
      </c>
      <c r="H332" s="165"/>
      <c r="I332" s="165"/>
      <c r="J332" s="165"/>
      <c r="K332" s="274"/>
      <c r="L332" s="274">
        <f>L333</f>
        <v>0</v>
      </c>
      <c r="M332" s="165"/>
      <c r="N332" s="165"/>
      <c r="O332" s="165"/>
      <c r="P332" s="274"/>
      <c r="Q332" s="274">
        <f>Q333</f>
        <v>0</v>
      </c>
      <c r="R332" s="163"/>
    </row>
    <row r="333" spans="1:18" ht="12">
      <c r="A333" s="467"/>
      <c r="B333" s="468" t="s">
        <v>123</v>
      </c>
      <c r="C333" s="165"/>
      <c r="D333" s="163"/>
      <c r="E333" s="165"/>
      <c r="F333" s="165"/>
      <c r="G333" s="165"/>
      <c r="H333" s="165"/>
      <c r="I333" s="165"/>
      <c r="J333" s="165"/>
      <c r="K333" s="165"/>
      <c r="L333" s="165"/>
      <c r="M333" s="165"/>
      <c r="N333" s="165"/>
      <c r="O333" s="165"/>
      <c r="P333" s="165"/>
      <c r="Q333" s="165"/>
      <c r="R333" s="163"/>
    </row>
    <row r="334" spans="1:18" ht="12">
      <c r="A334" s="467"/>
      <c r="B334" s="468"/>
      <c r="C334" s="165"/>
      <c r="D334" s="163"/>
      <c r="E334" s="165"/>
      <c r="F334" s="165"/>
      <c r="G334" s="165"/>
      <c r="H334" s="165"/>
      <c r="I334" s="165"/>
      <c r="J334" s="165"/>
      <c r="K334" s="165"/>
      <c r="L334" s="165"/>
      <c r="M334" s="165"/>
      <c r="N334" s="165"/>
      <c r="O334" s="165"/>
      <c r="P334" s="165"/>
      <c r="Q334" s="165"/>
      <c r="R334" s="163"/>
    </row>
    <row r="335" spans="1:18" ht="45.6">
      <c r="A335" s="466" t="s">
        <v>327</v>
      </c>
      <c r="B335" s="591" t="s">
        <v>525</v>
      </c>
      <c r="C335" s="165"/>
      <c r="D335" s="163"/>
      <c r="E335" s="165"/>
      <c r="F335" s="163"/>
      <c r="G335" s="163"/>
      <c r="H335" s="163"/>
      <c r="I335" s="163"/>
      <c r="J335" s="165"/>
      <c r="K335" s="163"/>
      <c r="L335" s="163"/>
      <c r="M335" s="163"/>
      <c r="N335" s="163"/>
      <c r="O335" s="165"/>
      <c r="P335" s="163"/>
      <c r="Q335" s="163"/>
      <c r="R335" s="163"/>
    </row>
    <row r="336" spans="1:18" ht="12">
      <c r="A336" s="467"/>
      <c r="B336" s="460" t="s">
        <v>88</v>
      </c>
      <c r="C336" s="165"/>
      <c r="D336" s="163"/>
      <c r="E336" s="165"/>
      <c r="F336" s="519"/>
      <c r="G336" s="519">
        <f>G337</f>
        <v>572884</v>
      </c>
      <c r="H336" s="165"/>
      <c r="I336" s="165"/>
      <c r="J336" s="165"/>
      <c r="K336" s="519"/>
      <c r="L336" s="519">
        <f>L337</f>
        <v>572884</v>
      </c>
      <c r="M336" s="165"/>
      <c r="N336" s="165"/>
      <c r="O336" s="165"/>
      <c r="P336" s="519"/>
      <c r="Q336" s="519">
        <f>Q337</f>
        <v>572884</v>
      </c>
      <c r="R336" s="163"/>
    </row>
    <row r="337" spans="1:18" ht="12">
      <c r="A337" s="467"/>
      <c r="B337" s="468" t="s">
        <v>97</v>
      </c>
      <c r="C337" s="165"/>
      <c r="D337" s="163"/>
      <c r="E337" s="165"/>
      <c r="F337" s="165"/>
      <c r="G337" s="165">
        <f>G338</f>
        <v>572884</v>
      </c>
      <c r="H337" s="165"/>
      <c r="I337" s="165"/>
      <c r="J337" s="165"/>
      <c r="K337" s="165"/>
      <c r="L337" s="165">
        <f>L338</f>
        <v>572884</v>
      </c>
      <c r="M337" s="165"/>
      <c r="N337" s="165"/>
      <c r="O337" s="165"/>
      <c r="P337" s="165"/>
      <c r="Q337" s="165">
        <f>Q338</f>
        <v>572884</v>
      </c>
      <c r="R337" s="163"/>
    </row>
    <row r="338" spans="1:18" ht="24">
      <c r="A338" s="467"/>
      <c r="B338" s="468" t="s">
        <v>98</v>
      </c>
      <c r="C338" s="165"/>
      <c r="D338" s="163"/>
      <c r="E338" s="165"/>
      <c r="F338" s="165"/>
      <c r="G338" s="165">
        <v>572884</v>
      </c>
      <c r="H338" s="165"/>
      <c r="I338" s="165"/>
      <c r="J338" s="165"/>
      <c r="K338" s="165"/>
      <c r="L338" s="165">
        <v>572884</v>
      </c>
      <c r="M338" s="165"/>
      <c r="N338" s="165"/>
      <c r="O338" s="165"/>
      <c r="P338" s="165"/>
      <c r="Q338" s="165">
        <v>572884</v>
      </c>
      <c r="R338" s="163"/>
    </row>
    <row r="339" spans="1:18" ht="12">
      <c r="A339" s="467"/>
      <c r="B339" s="460" t="s">
        <v>101</v>
      </c>
      <c r="C339" s="165"/>
      <c r="D339" s="163"/>
      <c r="E339" s="165"/>
      <c r="F339" s="519"/>
      <c r="G339" s="519">
        <f>G340+G347</f>
        <v>572884</v>
      </c>
      <c r="H339" s="165"/>
      <c r="I339" s="165"/>
      <c r="J339" s="165"/>
      <c r="K339" s="519"/>
      <c r="L339" s="519">
        <f>L340+L347</f>
        <v>572884</v>
      </c>
      <c r="M339" s="165"/>
      <c r="N339" s="165"/>
      <c r="O339" s="165"/>
      <c r="P339" s="519"/>
      <c r="Q339" s="519">
        <f>Q340+Q347</f>
        <v>572884</v>
      </c>
      <c r="R339" s="163"/>
    </row>
    <row r="340" spans="1:18" ht="12">
      <c r="A340" s="467"/>
      <c r="B340" s="468" t="s">
        <v>103</v>
      </c>
      <c r="C340" s="165"/>
      <c r="D340" s="163"/>
      <c r="E340" s="165"/>
      <c r="F340" s="165"/>
      <c r="G340" s="165">
        <f>G341+G345</f>
        <v>572884</v>
      </c>
      <c r="H340" s="165"/>
      <c r="I340" s="165"/>
      <c r="J340" s="165"/>
      <c r="K340" s="165"/>
      <c r="L340" s="165">
        <f>L341+L345</f>
        <v>572884</v>
      </c>
      <c r="M340" s="165"/>
      <c r="N340" s="165"/>
      <c r="O340" s="165"/>
      <c r="P340" s="165"/>
      <c r="Q340" s="165">
        <f>Q341+Q345</f>
        <v>572884</v>
      </c>
      <c r="R340" s="163"/>
    </row>
    <row r="341" spans="1:18" ht="12">
      <c r="A341" s="467"/>
      <c r="B341" s="468" t="s">
        <v>105</v>
      </c>
      <c r="C341" s="165"/>
      <c r="D341" s="163"/>
      <c r="E341" s="165"/>
      <c r="F341" s="165"/>
      <c r="G341" s="165">
        <f>G342+G344</f>
        <v>0</v>
      </c>
      <c r="H341" s="165"/>
      <c r="I341" s="165"/>
      <c r="J341" s="165"/>
      <c r="K341" s="165"/>
      <c r="L341" s="165">
        <f>L342+L344</f>
        <v>0</v>
      </c>
      <c r="M341" s="165"/>
      <c r="N341" s="165"/>
      <c r="O341" s="165"/>
      <c r="P341" s="165"/>
      <c r="Q341" s="165">
        <f>Q342+Q344</f>
        <v>0</v>
      </c>
      <c r="R341" s="163"/>
    </row>
    <row r="342" spans="1:18" ht="12">
      <c r="A342" s="467"/>
      <c r="B342" s="468" t="s">
        <v>106</v>
      </c>
      <c r="C342" s="165"/>
      <c r="D342" s="163"/>
      <c r="E342" s="165"/>
      <c r="F342" s="165"/>
      <c r="G342" s="165">
        <v>0</v>
      </c>
      <c r="H342" s="165"/>
      <c r="I342" s="165"/>
      <c r="J342" s="165"/>
      <c r="K342" s="165"/>
      <c r="L342" s="165">
        <v>0</v>
      </c>
      <c r="M342" s="165"/>
      <c r="N342" s="165"/>
      <c r="O342" s="165"/>
      <c r="P342" s="165"/>
      <c r="Q342" s="165">
        <v>0</v>
      </c>
      <c r="R342" s="163"/>
    </row>
    <row r="343" spans="1:18" ht="12">
      <c r="A343" s="467"/>
      <c r="B343" s="468" t="s">
        <v>107</v>
      </c>
      <c r="C343" s="165"/>
      <c r="D343" s="163"/>
      <c r="E343" s="165"/>
      <c r="F343" s="165"/>
      <c r="G343" s="165">
        <v>0</v>
      </c>
      <c r="H343" s="165"/>
      <c r="I343" s="165"/>
      <c r="J343" s="165"/>
      <c r="K343" s="165"/>
      <c r="L343" s="165">
        <v>0</v>
      </c>
      <c r="M343" s="165"/>
      <c r="N343" s="165"/>
      <c r="O343" s="165"/>
      <c r="P343" s="165"/>
      <c r="Q343" s="165">
        <v>0</v>
      </c>
      <c r="R343" s="163"/>
    </row>
    <row r="344" spans="1:18" ht="12">
      <c r="A344" s="467"/>
      <c r="B344" s="468" t="s">
        <v>108</v>
      </c>
      <c r="C344" s="165"/>
      <c r="D344" s="163"/>
      <c r="E344" s="165"/>
      <c r="F344" s="165"/>
      <c r="G344" s="165">
        <v>0</v>
      </c>
      <c r="H344" s="165"/>
      <c r="I344" s="165"/>
      <c r="J344" s="165"/>
      <c r="K344" s="165"/>
      <c r="L344" s="165">
        <v>0</v>
      </c>
      <c r="M344" s="165"/>
      <c r="N344" s="165"/>
      <c r="O344" s="165"/>
      <c r="P344" s="165"/>
      <c r="Q344" s="165">
        <v>0</v>
      </c>
      <c r="R344" s="163"/>
    </row>
    <row r="345" spans="1:18" ht="12">
      <c r="A345" s="467"/>
      <c r="B345" s="468" t="s">
        <v>110</v>
      </c>
      <c r="C345" s="165"/>
      <c r="D345" s="163"/>
      <c r="E345" s="165"/>
      <c r="F345" s="165"/>
      <c r="G345" s="165">
        <f>G346</f>
        <v>572884</v>
      </c>
      <c r="H345" s="165"/>
      <c r="I345" s="165"/>
      <c r="J345" s="165"/>
      <c r="K345" s="165"/>
      <c r="L345" s="165">
        <f>L346</f>
        <v>572884</v>
      </c>
      <c r="M345" s="165"/>
      <c r="N345" s="165"/>
      <c r="O345" s="165"/>
      <c r="P345" s="165"/>
      <c r="Q345" s="165">
        <f>Q346</f>
        <v>572884</v>
      </c>
      <c r="R345" s="163"/>
    </row>
    <row r="346" spans="1:18" ht="12">
      <c r="A346" s="467"/>
      <c r="B346" s="468" t="s">
        <v>111</v>
      </c>
      <c r="C346" s="165"/>
      <c r="D346" s="163"/>
      <c r="E346" s="165"/>
      <c r="F346" s="165"/>
      <c r="G346" s="165">
        <v>572884</v>
      </c>
      <c r="H346" s="165"/>
      <c r="I346" s="165"/>
      <c r="J346" s="165"/>
      <c r="K346" s="165"/>
      <c r="L346" s="165">
        <v>572884</v>
      </c>
      <c r="M346" s="165"/>
      <c r="N346" s="165"/>
      <c r="O346" s="165"/>
      <c r="P346" s="165"/>
      <c r="Q346" s="165">
        <v>572884</v>
      </c>
      <c r="R346" s="163"/>
    </row>
    <row r="347" spans="1:18" ht="12">
      <c r="A347" s="467"/>
      <c r="B347" s="468" t="s">
        <v>122</v>
      </c>
      <c r="C347" s="165"/>
      <c r="D347" s="163"/>
      <c r="E347" s="165"/>
      <c r="F347" s="274"/>
      <c r="G347" s="274">
        <f>G348</f>
        <v>0</v>
      </c>
      <c r="H347" s="165"/>
      <c r="I347" s="165"/>
      <c r="J347" s="165"/>
      <c r="K347" s="274"/>
      <c r="L347" s="274">
        <f>L348</f>
        <v>0</v>
      </c>
      <c r="M347" s="165"/>
      <c r="N347" s="165"/>
      <c r="O347" s="165"/>
      <c r="P347" s="274"/>
      <c r="Q347" s="274">
        <f>Q348</f>
        <v>0</v>
      </c>
      <c r="R347" s="163"/>
    </row>
    <row r="348" spans="1:18" ht="12">
      <c r="A348" s="467"/>
      <c r="B348" s="468" t="s">
        <v>123</v>
      </c>
      <c r="C348" s="165"/>
      <c r="D348" s="163"/>
      <c r="E348" s="165"/>
      <c r="F348" s="165"/>
      <c r="G348" s="165"/>
      <c r="H348" s="165"/>
      <c r="I348" s="165"/>
      <c r="J348" s="165"/>
      <c r="K348" s="165"/>
      <c r="L348" s="165"/>
      <c r="M348" s="165"/>
      <c r="N348" s="165"/>
      <c r="O348" s="165"/>
      <c r="P348" s="165"/>
      <c r="Q348" s="165"/>
      <c r="R348" s="163"/>
    </row>
    <row r="349" spans="1:18" ht="12">
      <c r="A349" s="467"/>
      <c r="B349" s="468"/>
      <c r="C349" s="165"/>
      <c r="D349" s="163"/>
      <c r="E349" s="165"/>
      <c r="F349" s="165"/>
      <c r="G349" s="165"/>
      <c r="H349" s="165"/>
      <c r="I349" s="165"/>
      <c r="J349" s="165"/>
      <c r="K349" s="165"/>
      <c r="L349" s="165"/>
      <c r="M349" s="165"/>
      <c r="N349" s="165"/>
      <c r="O349" s="165"/>
      <c r="P349" s="165"/>
      <c r="Q349" s="165"/>
      <c r="R349" s="163"/>
    </row>
    <row r="350" spans="1:18" ht="22.8">
      <c r="A350" s="466" t="s">
        <v>328</v>
      </c>
      <c r="B350" s="591" t="s">
        <v>526</v>
      </c>
      <c r="C350" s="165"/>
      <c r="D350" s="163"/>
      <c r="E350" s="165"/>
      <c r="F350" s="163"/>
      <c r="G350" s="163"/>
      <c r="H350" s="163"/>
      <c r="I350" s="163"/>
      <c r="J350" s="165"/>
      <c r="K350" s="163"/>
      <c r="L350" s="163"/>
      <c r="M350" s="163"/>
      <c r="N350" s="163"/>
      <c r="O350" s="165"/>
      <c r="P350" s="163"/>
      <c r="Q350" s="163"/>
      <c r="R350" s="163"/>
    </row>
    <row r="351" spans="1:18" ht="12">
      <c r="A351" s="467"/>
      <c r="B351" s="460" t="s">
        <v>88</v>
      </c>
      <c r="C351" s="165"/>
      <c r="D351" s="163"/>
      <c r="E351" s="165"/>
      <c r="F351" s="519"/>
      <c r="G351" s="519">
        <f>G352</f>
        <v>1000000</v>
      </c>
      <c r="H351" s="165"/>
      <c r="I351" s="165"/>
      <c r="J351" s="165"/>
      <c r="K351" s="519"/>
      <c r="L351" s="519">
        <f>L352</f>
        <v>0</v>
      </c>
      <c r="M351" s="165"/>
      <c r="N351" s="165"/>
      <c r="O351" s="165"/>
      <c r="P351" s="519"/>
      <c r="Q351" s="519">
        <f>Q352</f>
        <v>0</v>
      </c>
      <c r="R351" s="163"/>
    </row>
    <row r="352" spans="1:18" ht="12">
      <c r="A352" s="467"/>
      <c r="B352" s="468" t="s">
        <v>97</v>
      </c>
      <c r="C352" s="165"/>
      <c r="D352" s="163"/>
      <c r="E352" s="165"/>
      <c r="F352" s="165"/>
      <c r="G352" s="165">
        <f>G353</f>
        <v>1000000</v>
      </c>
      <c r="H352" s="165"/>
      <c r="I352" s="165"/>
      <c r="J352" s="165"/>
      <c r="K352" s="165"/>
      <c r="L352" s="165">
        <f>L353</f>
        <v>0</v>
      </c>
      <c r="M352" s="165"/>
      <c r="N352" s="165"/>
      <c r="O352" s="165"/>
      <c r="P352" s="165"/>
      <c r="Q352" s="165">
        <f>Q353</f>
        <v>0</v>
      </c>
      <c r="R352" s="163"/>
    </row>
    <row r="353" spans="1:18" ht="24">
      <c r="A353" s="467"/>
      <c r="B353" s="468" t="s">
        <v>98</v>
      </c>
      <c r="C353" s="165"/>
      <c r="D353" s="163"/>
      <c r="E353" s="165"/>
      <c r="F353" s="165"/>
      <c r="G353" s="165">
        <v>1000000</v>
      </c>
      <c r="H353" s="165"/>
      <c r="I353" s="165"/>
      <c r="J353" s="165"/>
      <c r="K353" s="165"/>
      <c r="L353" s="165">
        <v>0</v>
      </c>
      <c r="M353" s="165"/>
      <c r="N353" s="165"/>
      <c r="O353" s="165"/>
      <c r="P353" s="165"/>
      <c r="Q353" s="165">
        <v>0</v>
      </c>
      <c r="R353" s="163"/>
    </row>
    <row r="354" spans="1:18" ht="12">
      <c r="A354" s="467"/>
      <c r="B354" s="460" t="s">
        <v>101</v>
      </c>
      <c r="C354" s="165"/>
      <c r="D354" s="163"/>
      <c r="E354" s="165"/>
      <c r="F354" s="519"/>
      <c r="G354" s="519">
        <f>G355+G362</f>
        <v>1000000</v>
      </c>
      <c r="H354" s="165"/>
      <c r="I354" s="165"/>
      <c r="J354" s="165"/>
      <c r="K354" s="519"/>
      <c r="L354" s="519">
        <f>L355+L362</f>
        <v>0</v>
      </c>
      <c r="M354" s="165"/>
      <c r="N354" s="165"/>
      <c r="O354" s="165"/>
      <c r="P354" s="519"/>
      <c r="Q354" s="519">
        <f>Q355+Q362</f>
        <v>0</v>
      </c>
      <c r="R354" s="163"/>
    </row>
    <row r="355" spans="1:18" ht="12">
      <c r="A355" s="467"/>
      <c r="B355" s="468" t="s">
        <v>103</v>
      </c>
      <c r="C355" s="165"/>
      <c r="D355" s="163"/>
      <c r="E355" s="165"/>
      <c r="F355" s="165"/>
      <c r="G355" s="165">
        <f>G356+G360</f>
        <v>190000</v>
      </c>
      <c r="H355" s="165"/>
      <c r="I355" s="165"/>
      <c r="J355" s="165"/>
      <c r="K355" s="165"/>
      <c r="L355" s="165">
        <f>L356+L360</f>
        <v>0</v>
      </c>
      <c r="M355" s="165"/>
      <c r="N355" s="165"/>
      <c r="O355" s="165"/>
      <c r="P355" s="165"/>
      <c r="Q355" s="165">
        <f>Q356+Q360</f>
        <v>0</v>
      </c>
      <c r="R355" s="163"/>
    </row>
    <row r="356" spans="1:18" ht="12">
      <c r="A356" s="467"/>
      <c r="B356" s="468" t="s">
        <v>105</v>
      </c>
      <c r="C356" s="165"/>
      <c r="D356" s="163"/>
      <c r="E356" s="165"/>
      <c r="F356" s="165"/>
      <c r="G356" s="165">
        <f>G357+G359</f>
        <v>190000</v>
      </c>
      <c r="H356" s="165"/>
      <c r="I356" s="165"/>
      <c r="J356" s="165"/>
      <c r="K356" s="165"/>
      <c r="L356" s="165">
        <f>L357+L359</f>
        <v>0</v>
      </c>
      <c r="M356" s="165"/>
      <c r="N356" s="165"/>
      <c r="O356" s="165"/>
      <c r="P356" s="165"/>
      <c r="Q356" s="165">
        <f>Q357+Q359</f>
        <v>0</v>
      </c>
      <c r="R356" s="163"/>
    </row>
    <row r="357" spans="1:18" ht="12">
      <c r="A357" s="467"/>
      <c r="B357" s="468" t="s">
        <v>106</v>
      </c>
      <c r="C357" s="165"/>
      <c r="D357" s="163"/>
      <c r="E357" s="165"/>
      <c r="F357" s="165"/>
      <c r="G357" s="165">
        <v>0</v>
      </c>
      <c r="H357" s="165"/>
      <c r="I357" s="165"/>
      <c r="J357" s="165"/>
      <c r="K357" s="165"/>
      <c r="L357" s="165">
        <v>0</v>
      </c>
      <c r="M357" s="165"/>
      <c r="N357" s="165"/>
      <c r="O357" s="165"/>
      <c r="P357" s="165"/>
      <c r="Q357" s="165">
        <v>0</v>
      </c>
      <c r="R357" s="163"/>
    </row>
    <row r="358" spans="1:18" ht="12">
      <c r="A358" s="467"/>
      <c r="B358" s="468" t="s">
        <v>107</v>
      </c>
      <c r="C358" s="165"/>
      <c r="D358" s="163"/>
      <c r="E358" s="165"/>
      <c r="F358" s="165"/>
      <c r="G358" s="165">
        <v>0</v>
      </c>
      <c r="H358" s="165"/>
      <c r="I358" s="165"/>
      <c r="J358" s="165"/>
      <c r="K358" s="165"/>
      <c r="L358" s="165">
        <v>0</v>
      </c>
      <c r="M358" s="165"/>
      <c r="N358" s="165"/>
      <c r="O358" s="165"/>
      <c r="P358" s="165"/>
      <c r="Q358" s="165">
        <v>0</v>
      </c>
      <c r="R358" s="163"/>
    </row>
    <row r="359" spans="1:18" ht="12">
      <c r="A359" s="467"/>
      <c r="B359" s="468" t="s">
        <v>108</v>
      </c>
      <c r="C359" s="165"/>
      <c r="D359" s="163"/>
      <c r="E359" s="165"/>
      <c r="F359" s="165"/>
      <c r="G359" s="165">
        <v>190000</v>
      </c>
      <c r="H359" s="165"/>
      <c r="I359" s="165"/>
      <c r="J359" s="165"/>
      <c r="K359" s="165"/>
      <c r="L359" s="165">
        <v>0</v>
      </c>
      <c r="M359" s="165"/>
      <c r="N359" s="165"/>
      <c r="O359" s="165"/>
      <c r="P359" s="165"/>
      <c r="Q359" s="165">
        <v>0</v>
      </c>
      <c r="R359" s="163"/>
    </row>
    <row r="360" spans="1:18" ht="12">
      <c r="A360" s="467"/>
      <c r="B360" s="468" t="s">
        <v>110</v>
      </c>
      <c r="C360" s="165"/>
      <c r="D360" s="163"/>
      <c r="E360" s="165"/>
      <c r="F360" s="165"/>
      <c r="G360" s="165">
        <f>G361</f>
        <v>0</v>
      </c>
      <c r="H360" s="165"/>
      <c r="I360" s="165"/>
      <c r="J360" s="165"/>
      <c r="K360" s="165"/>
      <c r="L360" s="165">
        <f>L361</f>
        <v>0</v>
      </c>
      <c r="M360" s="165"/>
      <c r="N360" s="165"/>
      <c r="O360" s="165"/>
      <c r="P360" s="165"/>
      <c r="Q360" s="165">
        <f>Q361</f>
        <v>0</v>
      </c>
      <c r="R360" s="163"/>
    </row>
    <row r="361" spans="1:18" ht="12">
      <c r="A361" s="467"/>
      <c r="B361" s="468" t="s">
        <v>111</v>
      </c>
      <c r="C361" s="165"/>
      <c r="D361" s="163"/>
      <c r="E361" s="165"/>
      <c r="F361" s="165"/>
      <c r="G361" s="165">
        <v>0</v>
      </c>
      <c r="H361" s="165"/>
      <c r="I361" s="165"/>
      <c r="J361" s="165"/>
      <c r="K361" s="165"/>
      <c r="L361" s="165">
        <v>0</v>
      </c>
      <c r="M361" s="165"/>
      <c r="N361" s="165"/>
      <c r="O361" s="165"/>
      <c r="P361" s="165"/>
      <c r="Q361" s="165">
        <v>0</v>
      </c>
      <c r="R361" s="163"/>
    </row>
    <row r="362" spans="1:18" ht="12">
      <c r="A362" s="467"/>
      <c r="B362" s="468" t="s">
        <v>122</v>
      </c>
      <c r="C362" s="165"/>
      <c r="D362" s="163"/>
      <c r="E362" s="165"/>
      <c r="F362" s="274"/>
      <c r="G362" s="592">
        <f>G363</f>
        <v>810000</v>
      </c>
      <c r="H362" s="165"/>
      <c r="I362" s="165"/>
      <c r="J362" s="165"/>
      <c r="K362" s="592"/>
      <c r="L362" s="592">
        <f>L363</f>
        <v>0</v>
      </c>
      <c r="M362" s="165"/>
      <c r="N362" s="165"/>
      <c r="O362" s="165"/>
      <c r="P362" s="592"/>
      <c r="Q362" s="592">
        <f>Q363</f>
        <v>0</v>
      </c>
      <c r="R362" s="163"/>
    </row>
    <row r="363" spans="1:18" ht="12">
      <c r="A363" s="467"/>
      <c r="B363" s="468" t="s">
        <v>123</v>
      </c>
      <c r="C363" s="165"/>
      <c r="D363" s="163"/>
      <c r="E363" s="165"/>
      <c r="F363" s="165"/>
      <c r="G363" s="165">
        <v>810000</v>
      </c>
      <c r="H363" s="165"/>
      <c r="I363" s="165"/>
      <c r="J363" s="165"/>
      <c r="K363" s="165"/>
      <c r="L363" s="165">
        <v>0</v>
      </c>
      <c r="M363" s="165"/>
      <c r="N363" s="165"/>
      <c r="O363" s="165"/>
      <c r="P363" s="165"/>
      <c r="Q363" s="165">
        <v>0</v>
      </c>
      <c r="R363" s="163"/>
    </row>
    <row r="364" spans="1:18" ht="12">
      <c r="A364" s="467"/>
      <c r="B364" s="468"/>
      <c r="C364" s="165"/>
      <c r="D364" s="163"/>
      <c r="E364" s="165"/>
      <c r="F364" s="165"/>
      <c r="G364" s="165"/>
      <c r="H364" s="165"/>
      <c r="I364" s="165"/>
      <c r="J364" s="165"/>
      <c r="K364" s="165"/>
      <c r="L364" s="165"/>
      <c r="M364" s="165"/>
      <c r="N364" s="165"/>
      <c r="O364" s="165"/>
      <c r="P364" s="165"/>
      <c r="Q364" s="165"/>
      <c r="R364" s="163"/>
    </row>
    <row r="365" spans="1:18" ht="45.6">
      <c r="A365" s="466" t="s">
        <v>329</v>
      </c>
      <c r="B365" s="591" t="s">
        <v>527</v>
      </c>
      <c r="C365" s="165"/>
      <c r="D365" s="163"/>
      <c r="E365" s="165"/>
      <c r="F365" s="163"/>
      <c r="G365" s="163"/>
      <c r="H365" s="163"/>
      <c r="I365" s="163"/>
      <c r="J365" s="165"/>
      <c r="K365" s="163"/>
      <c r="L365" s="163"/>
      <c r="M365" s="163"/>
      <c r="N365" s="163"/>
      <c r="O365" s="165"/>
      <c r="P365" s="163"/>
      <c r="Q365" s="163"/>
      <c r="R365" s="163"/>
    </row>
    <row r="366" spans="1:18" ht="12">
      <c r="A366" s="467"/>
      <c r="B366" s="460" t="s">
        <v>88</v>
      </c>
      <c r="C366" s="165"/>
      <c r="D366" s="163"/>
      <c r="E366" s="165"/>
      <c r="F366" s="519"/>
      <c r="G366" s="519">
        <f>G367</f>
        <v>10263</v>
      </c>
      <c r="H366" s="165"/>
      <c r="I366" s="165"/>
      <c r="J366" s="165"/>
      <c r="K366" s="519"/>
      <c r="L366" s="519">
        <f>L367</f>
        <v>0</v>
      </c>
      <c r="M366" s="165"/>
      <c r="N366" s="165"/>
      <c r="O366" s="165"/>
      <c r="P366" s="519"/>
      <c r="Q366" s="519">
        <f>Q367</f>
        <v>0</v>
      </c>
      <c r="R366" s="163"/>
    </row>
    <row r="367" spans="1:18" ht="12">
      <c r="A367" s="467"/>
      <c r="B367" s="468" t="s">
        <v>97</v>
      </c>
      <c r="C367" s="165"/>
      <c r="D367" s="163"/>
      <c r="E367" s="165"/>
      <c r="F367" s="165"/>
      <c r="G367" s="165">
        <f>G368</f>
        <v>10263</v>
      </c>
      <c r="H367" s="165"/>
      <c r="I367" s="165"/>
      <c r="J367" s="165"/>
      <c r="K367" s="165"/>
      <c r="L367" s="165">
        <f>L368</f>
        <v>0</v>
      </c>
      <c r="M367" s="165"/>
      <c r="N367" s="165"/>
      <c r="O367" s="165"/>
      <c r="P367" s="165"/>
      <c r="Q367" s="165">
        <f>Q368</f>
        <v>0</v>
      </c>
      <c r="R367" s="163"/>
    </row>
    <row r="368" spans="1:18" ht="24">
      <c r="A368" s="467"/>
      <c r="B368" s="468" t="s">
        <v>98</v>
      </c>
      <c r="C368" s="165"/>
      <c r="D368" s="163"/>
      <c r="E368" s="165"/>
      <c r="F368" s="165"/>
      <c r="G368" s="165">
        <v>10263</v>
      </c>
      <c r="H368" s="165"/>
      <c r="I368" s="165"/>
      <c r="J368" s="165"/>
      <c r="K368" s="165"/>
      <c r="L368" s="165">
        <v>0</v>
      </c>
      <c r="M368" s="165"/>
      <c r="N368" s="165"/>
      <c r="O368" s="165"/>
      <c r="P368" s="165"/>
      <c r="Q368" s="165">
        <v>0</v>
      </c>
      <c r="R368" s="163"/>
    </row>
    <row r="369" spans="1:18" ht="12">
      <c r="A369" s="467"/>
      <c r="B369" s="460" t="s">
        <v>101</v>
      </c>
      <c r="C369" s="165"/>
      <c r="D369" s="163"/>
      <c r="E369" s="165"/>
      <c r="F369" s="519"/>
      <c r="G369" s="519">
        <f>G370+G377</f>
        <v>10263</v>
      </c>
      <c r="H369" s="165"/>
      <c r="I369" s="165"/>
      <c r="J369" s="165"/>
      <c r="K369" s="519"/>
      <c r="L369" s="519">
        <f>L370+L377</f>
        <v>0</v>
      </c>
      <c r="M369" s="165"/>
      <c r="N369" s="165"/>
      <c r="O369" s="165"/>
      <c r="P369" s="519"/>
      <c r="Q369" s="519">
        <f>Q370+Q377</f>
        <v>0</v>
      </c>
      <c r="R369" s="163"/>
    </row>
    <row r="370" spans="1:18" ht="12">
      <c r="A370" s="467"/>
      <c r="B370" s="468" t="s">
        <v>103</v>
      </c>
      <c r="C370" s="165"/>
      <c r="D370" s="163"/>
      <c r="E370" s="165"/>
      <c r="F370" s="165"/>
      <c r="G370" s="165">
        <f>G371+G375</f>
        <v>10263</v>
      </c>
      <c r="H370" s="165"/>
      <c r="I370" s="165"/>
      <c r="J370" s="165"/>
      <c r="K370" s="165"/>
      <c r="L370" s="165">
        <f>L371+L375</f>
        <v>0</v>
      </c>
      <c r="M370" s="165"/>
      <c r="N370" s="165"/>
      <c r="O370" s="165"/>
      <c r="P370" s="165"/>
      <c r="Q370" s="165">
        <f>Q371+Q375</f>
        <v>0</v>
      </c>
      <c r="R370" s="163"/>
    </row>
    <row r="371" spans="1:18" ht="12">
      <c r="A371" s="467"/>
      <c r="B371" s="468" t="s">
        <v>105</v>
      </c>
      <c r="C371" s="165"/>
      <c r="D371" s="163"/>
      <c r="E371" s="165"/>
      <c r="F371" s="165"/>
      <c r="G371" s="165">
        <f>G372+G374</f>
        <v>10263</v>
      </c>
      <c r="H371" s="165"/>
      <c r="I371" s="165"/>
      <c r="J371" s="165"/>
      <c r="K371" s="165"/>
      <c r="L371" s="165">
        <f>L372+L374</f>
        <v>0</v>
      </c>
      <c r="M371" s="165"/>
      <c r="N371" s="165"/>
      <c r="O371" s="165"/>
      <c r="P371" s="165"/>
      <c r="Q371" s="165">
        <f>Q372+Q374</f>
        <v>0</v>
      </c>
      <c r="R371" s="163"/>
    </row>
    <row r="372" spans="1:18" ht="12">
      <c r="A372" s="467"/>
      <c r="B372" s="468" t="s">
        <v>106</v>
      </c>
      <c r="C372" s="165"/>
      <c r="D372" s="163"/>
      <c r="E372" s="165"/>
      <c r="F372" s="165"/>
      <c r="G372" s="165">
        <v>10263</v>
      </c>
      <c r="H372" s="165"/>
      <c r="I372" s="165"/>
      <c r="J372" s="165"/>
      <c r="K372" s="165"/>
      <c r="L372" s="165">
        <v>0</v>
      </c>
      <c r="M372" s="165"/>
      <c r="N372" s="165"/>
      <c r="O372" s="165"/>
      <c r="P372" s="165"/>
      <c r="Q372" s="165">
        <v>0</v>
      </c>
      <c r="R372" s="163"/>
    </row>
    <row r="373" spans="1:18" ht="12">
      <c r="A373" s="467"/>
      <c r="B373" s="468" t="s">
        <v>107</v>
      </c>
      <c r="C373" s="165"/>
      <c r="D373" s="163"/>
      <c r="E373" s="165"/>
      <c r="F373" s="165"/>
      <c r="G373" s="165">
        <v>8271</v>
      </c>
      <c r="H373" s="165"/>
      <c r="I373" s="165"/>
      <c r="J373" s="165"/>
      <c r="K373" s="165"/>
      <c r="L373" s="165">
        <v>0</v>
      </c>
      <c r="M373" s="165"/>
      <c r="N373" s="165"/>
      <c r="O373" s="165"/>
      <c r="P373" s="165"/>
      <c r="Q373" s="165">
        <v>0</v>
      </c>
      <c r="R373" s="163"/>
    </row>
    <row r="374" spans="1:18" ht="12">
      <c r="A374" s="467"/>
      <c r="B374" s="468" t="s">
        <v>108</v>
      </c>
      <c r="C374" s="165"/>
      <c r="D374" s="163"/>
      <c r="E374" s="165"/>
      <c r="F374" s="165"/>
      <c r="G374" s="165">
        <v>0</v>
      </c>
      <c r="H374" s="165"/>
      <c r="I374" s="165"/>
      <c r="J374" s="165"/>
      <c r="K374" s="165"/>
      <c r="L374" s="165">
        <v>0</v>
      </c>
      <c r="M374" s="165"/>
      <c r="N374" s="165"/>
      <c r="O374" s="165"/>
      <c r="P374" s="165"/>
      <c r="Q374" s="165">
        <v>0</v>
      </c>
      <c r="R374" s="163"/>
    </row>
    <row r="375" spans="1:18" ht="12">
      <c r="A375" s="467"/>
      <c r="B375" s="468" t="s">
        <v>110</v>
      </c>
      <c r="C375" s="165"/>
      <c r="D375" s="163"/>
      <c r="E375" s="165"/>
      <c r="F375" s="165"/>
      <c r="G375" s="165">
        <f>G376</f>
        <v>0</v>
      </c>
      <c r="H375" s="165"/>
      <c r="I375" s="165"/>
      <c r="J375" s="165"/>
      <c r="K375" s="165"/>
      <c r="L375" s="165">
        <f>L376</f>
        <v>0</v>
      </c>
      <c r="M375" s="165"/>
      <c r="N375" s="165"/>
      <c r="O375" s="165"/>
      <c r="P375" s="165"/>
      <c r="Q375" s="165">
        <f>Q376</f>
        <v>0</v>
      </c>
      <c r="R375" s="163"/>
    </row>
    <row r="376" spans="1:18" ht="12">
      <c r="A376" s="467"/>
      <c r="B376" s="468" t="s">
        <v>111</v>
      </c>
      <c r="C376" s="165"/>
      <c r="D376" s="163"/>
      <c r="E376" s="165"/>
      <c r="F376" s="165"/>
      <c r="G376" s="165">
        <v>0</v>
      </c>
      <c r="H376" s="165"/>
      <c r="I376" s="165"/>
      <c r="J376" s="165"/>
      <c r="K376" s="165"/>
      <c r="L376" s="165">
        <v>0</v>
      </c>
      <c r="M376" s="165"/>
      <c r="N376" s="165"/>
      <c r="O376" s="165"/>
      <c r="P376" s="165"/>
      <c r="Q376" s="165">
        <v>0</v>
      </c>
      <c r="R376" s="163"/>
    </row>
    <row r="377" spans="1:18" ht="12">
      <c r="A377" s="467"/>
      <c r="B377" s="468" t="s">
        <v>122</v>
      </c>
      <c r="C377" s="165"/>
      <c r="D377" s="163"/>
      <c r="E377" s="165"/>
      <c r="F377" s="274"/>
      <c r="G377" s="592">
        <f>G378</f>
        <v>0</v>
      </c>
      <c r="H377" s="165"/>
      <c r="I377" s="165"/>
      <c r="J377" s="165"/>
      <c r="K377" s="592"/>
      <c r="L377" s="592">
        <f>L378</f>
        <v>0</v>
      </c>
      <c r="M377" s="165"/>
      <c r="N377" s="165"/>
      <c r="O377" s="165"/>
      <c r="P377" s="592"/>
      <c r="Q377" s="592">
        <f>Q378</f>
        <v>0</v>
      </c>
      <c r="R377" s="163"/>
    </row>
    <row r="378" spans="1:18" ht="12">
      <c r="A378" s="467"/>
      <c r="B378" s="468" t="s">
        <v>123</v>
      </c>
      <c r="C378" s="165"/>
      <c r="D378" s="163"/>
      <c r="E378" s="165"/>
      <c r="F378" s="165"/>
      <c r="G378" s="165">
        <v>0</v>
      </c>
      <c r="H378" s="165"/>
      <c r="I378" s="165"/>
      <c r="J378" s="165"/>
      <c r="K378" s="165"/>
      <c r="L378" s="165">
        <v>0</v>
      </c>
      <c r="M378" s="165"/>
      <c r="N378" s="165"/>
      <c r="O378" s="165"/>
      <c r="P378" s="165"/>
      <c r="Q378" s="165">
        <v>0</v>
      </c>
      <c r="R378" s="163"/>
    </row>
    <row r="379" spans="1:18" ht="12">
      <c r="A379" s="467"/>
      <c r="B379" s="468"/>
      <c r="C379" s="165"/>
      <c r="D379" s="163"/>
      <c r="E379" s="165"/>
      <c r="F379" s="165"/>
      <c r="G379" s="165"/>
      <c r="H379" s="165"/>
      <c r="I379" s="165"/>
      <c r="J379" s="165"/>
      <c r="K379" s="165"/>
      <c r="L379" s="165"/>
      <c r="M379" s="165"/>
      <c r="N379" s="165"/>
      <c r="O379" s="165"/>
      <c r="P379" s="165"/>
      <c r="Q379" s="165"/>
      <c r="R379" s="163"/>
    </row>
    <row r="380" spans="1:18" ht="13.2">
      <c r="A380" s="369" t="s">
        <v>245</v>
      </c>
      <c r="B380" s="370" t="s">
        <v>140</v>
      </c>
      <c r="C380" s="165"/>
      <c r="D380" s="163"/>
      <c r="E380" s="165"/>
      <c r="F380" s="163"/>
      <c r="G380" s="163"/>
      <c r="H380" s="163"/>
      <c r="I380" s="163"/>
      <c r="J380" s="165"/>
      <c r="K380" s="163"/>
      <c r="L380" s="163"/>
      <c r="M380" s="163"/>
      <c r="N380" s="163"/>
      <c r="O380" s="165"/>
      <c r="P380" s="163"/>
      <c r="Q380" s="163"/>
      <c r="R380" s="163"/>
    </row>
    <row r="381" spans="1:18" ht="13.2">
      <c r="A381" s="371"/>
      <c r="B381" s="372" t="s">
        <v>238</v>
      </c>
      <c r="C381" s="165"/>
      <c r="D381" s="163"/>
      <c r="E381" s="165"/>
      <c r="F381" s="163"/>
      <c r="G381" s="163"/>
      <c r="H381" s="163"/>
      <c r="I381" s="163"/>
      <c r="J381" s="165"/>
      <c r="K381" s="163"/>
      <c r="L381" s="163"/>
      <c r="M381" s="163"/>
      <c r="N381" s="163"/>
      <c r="O381" s="165"/>
      <c r="P381" s="163"/>
      <c r="Q381" s="163"/>
      <c r="R381" s="163"/>
    </row>
    <row r="382" spans="1:18" ht="13.2">
      <c r="A382" s="373" t="s">
        <v>223</v>
      </c>
      <c r="B382" s="374" t="s">
        <v>434</v>
      </c>
      <c r="C382" s="165"/>
      <c r="D382" s="163"/>
      <c r="E382" s="165"/>
      <c r="F382" s="163"/>
      <c r="G382" s="163"/>
      <c r="H382" s="163"/>
      <c r="I382" s="163"/>
      <c r="J382" s="165"/>
      <c r="K382" s="163"/>
      <c r="L382" s="163"/>
      <c r="M382" s="163"/>
      <c r="N382" s="163"/>
      <c r="O382" s="165"/>
      <c r="P382" s="163"/>
      <c r="Q382" s="163"/>
      <c r="R382" s="163"/>
    </row>
    <row r="383" spans="1:18" ht="13.2">
      <c r="A383" s="375" t="s">
        <v>240</v>
      </c>
      <c r="B383" s="376" t="s">
        <v>241</v>
      </c>
      <c r="C383" s="165"/>
      <c r="D383" s="163"/>
      <c r="E383" s="165"/>
      <c r="F383" s="163"/>
      <c r="G383" s="163"/>
      <c r="H383" s="163"/>
      <c r="I383" s="163"/>
      <c r="J383" s="165"/>
      <c r="K383" s="163"/>
      <c r="L383" s="163"/>
      <c r="M383" s="163"/>
      <c r="N383" s="163"/>
      <c r="O383" s="165"/>
      <c r="P383" s="163"/>
      <c r="Q383" s="163"/>
      <c r="R383" s="163"/>
    </row>
    <row r="384" spans="1:18" ht="13.2">
      <c r="A384" s="377"/>
      <c r="B384" s="376"/>
      <c r="C384" s="165"/>
      <c r="D384" s="163"/>
      <c r="E384" s="165"/>
      <c r="F384" s="163"/>
      <c r="G384" s="163"/>
      <c r="H384" s="163"/>
      <c r="I384" s="163"/>
      <c r="J384" s="165"/>
      <c r="K384" s="163"/>
      <c r="L384" s="163"/>
      <c r="M384" s="163"/>
      <c r="N384" s="163"/>
      <c r="O384" s="165"/>
      <c r="P384" s="163"/>
      <c r="Q384" s="163"/>
      <c r="R384" s="163"/>
    </row>
    <row r="385" spans="1:18" ht="13.2">
      <c r="A385" s="378" t="s">
        <v>224</v>
      </c>
      <c r="B385" s="374" t="s">
        <v>242</v>
      </c>
      <c r="C385" s="165"/>
      <c r="D385" s="163"/>
      <c r="E385" s="165"/>
      <c r="F385" s="163"/>
      <c r="G385" s="163"/>
      <c r="H385" s="163"/>
      <c r="I385" s="163"/>
      <c r="J385" s="165"/>
      <c r="K385" s="163"/>
      <c r="L385" s="163"/>
      <c r="M385" s="163"/>
      <c r="N385" s="163"/>
      <c r="O385" s="165"/>
      <c r="P385" s="163"/>
      <c r="Q385" s="163"/>
      <c r="R385" s="163"/>
    </row>
    <row r="386" spans="1:18" ht="13.2">
      <c r="A386" s="375" t="s">
        <v>243</v>
      </c>
      <c r="B386" s="376" t="s">
        <v>244</v>
      </c>
      <c r="C386" s="165"/>
      <c r="D386" s="163"/>
      <c r="E386" s="165"/>
      <c r="F386" s="163"/>
      <c r="G386" s="163"/>
      <c r="H386" s="163"/>
      <c r="I386" s="163"/>
      <c r="J386" s="165"/>
      <c r="K386" s="163"/>
      <c r="L386" s="163"/>
      <c r="M386" s="163"/>
      <c r="N386" s="163"/>
      <c r="O386" s="165"/>
      <c r="P386" s="163"/>
      <c r="Q386" s="163"/>
      <c r="R386" s="163"/>
    </row>
    <row r="387" spans="1:18" ht="12">
      <c r="A387" s="33"/>
      <c r="B387" s="34"/>
      <c r="C387" s="165"/>
      <c r="D387" s="163"/>
      <c r="E387" s="165"/>
      <c r="F387" s="163"/>
      <c r="G387" s="163"/>
      <c r="H387" s="163"/>
      <c r="I387" s="163"/>
      <c r="J387" s="165"/>
      <c r="K387" s="163"/>
      <c r="L387" s="163"/>
      <c r="M387" s="163"/>
      <c r="N387" s="163"/>
      <c r="O387" s="165"/>
      <c r="P387" s="163"/>
      <c r="Q387" s="163"/>
      <c r="R387" s="163"/>
    </row>
    <row r="388" spans="1:18" ht="12">
      <c r="A388" s="33"/>
      <c r="B388" s="34"/>
      <c r="C388" s="165"/>
      <c r="D388" s="163"/>
      <c r="E388" s="165"/>
      <c r="F388" s="163"/>
      <c r="G388" s="163"/>
      <c r="H388" s="163"/>
      <c r="I388" s="163"/>
      <c r="J388" s="165"/>
      <c r="K388" s="163"/>
      <c r="L388" s="163"/>
      <c r="M388" s="163"/>
      <c r="N388" s="163"/>
      <c r="O388" s="165"/>
      <c r="P388" s="163"/>
      <c r="Q388" s="163"/>
      <c r="R388" s="163"/>
    </row>
    <row r="389" spans="1:18" ht="12">
      <c r="A389" s="33"/>
      <c r="B389" s="31"/>
      <c r="C389" s="165"/>
      <c r="D389" s="163"/>
      <c r="E389" s="165"/>
      <c r="F389" s="163"/>
      <c r="G389" s="163"/>
      <c r="H389" s="163"/>
      <c r="I389" s="163"/>
      <c r="J389" s="165"/>
      <c r="K389" s="163"/>
      <c r="L389" s="163"/>
      <c r="M389" s="163"/>
      <c r="N389" s="163"/>
      <c r="O389" s="165"/>
      <c r="P389" s="163"/>
      <c r="Q389" s="163"/>
      <c r="R389" s="163"/>
    </row>
    <row r="390" spans="1:18" ht="12">
      <c r="E390" s="165"/>
      <c r="F390" s="163"/>
      <c r="G390" s="163"/>
      <c r="H390" s="163"/>
      <c r="I390" s="163"/>
      <c r="J390" s="165"/>
      <c r="K390" s="163"/>
      <c r="L390" s="163"/>
      <c r="M390" s="163"/>
      <c r="N390" s="163"/>
      <c r="O390" s="165"/>
      <c r="P390" s="163"/>
      <c r="Q390" s="163"/>
      <c r="R390" s="163"/>
    </row>
    <row r="391" spans="1:18" ht="12">
      <c r="E391" s="165"/>
      <c r="F391" s="163"/>
      <c r="G391" s="163"/>
      <c r="H391" s="163"/>
      <c r="I391" s="163"/>
      <c r="J391" s="165"/>
      <c r="K391" s="163"/>
      <c r="L391" s="163"/>
      <c r="M391" s="163"/>
      <c r="N391" s="163"/>
      <c r="O391" s="165"/>
      <c r="P391" s="163"/>
      <c r="Q391" s="163"/>
      <c r="R391" s="163"/>
    </row>
    <row r="392" spans="1:18" ht="12">
      <c r="E392" s="165"/>
      <c r="F392" s="163"/>
      <c r="G392" s="163"/>
      <c r="H392" s="163"/>
      <c r="I392" s="163"/>
      <c r="J392" s="165"/>
      <c r="K392" s="163"/>
      <c r="L392" s="163"/>
      <c r="M392" s="163"/>
      <c r="N392" s="163"/>
      <c r="O392" s="165"/>
      <c r="P392" s="163"/>
      <c r="Q392" s="163"/>
      <c r="R392" s="163"/>
    </row>
    <row r="393" spans="1:18" ht="12">
      <c r="E393" s="165"/>
      <c r="F393" s="163"/>
      <c r="G393" s="163"/>
      <c r="H393" s="163"/>
      <c r="I393" s="163"/>
      <c r="J393" s="165"/>
      <c r="K393" s="163"/>
      <c r="L393" s="163"/>
      <c r="M393" s="163"/>
      <c r="N393" s="163"/>
      <c r="O393" s="165"/>
      <c r="P393" s="163"/>
      <c r="Q393" s="163"/>
      <c r="R393" s="163"/>
    </row>
    <row r="394" spans="1:18" ht="12">
      <c r="E394" s="165"/>
      <c r="F394" s="163"/>
      <c r="G394" s="163"/>
      <c r="H394" s="163"/>
      <c r="I394" s="163"/>
      <c r="J394" s="165"/>
      <c r="K394" s="163"/>
      <c r="L394" s="163"/>
      <c r="M394" s="163"/>
      <c r="N394" s="163"/>
      <c r="O394" s="165"/>
      <c r="P394" s="163"/>
      <c r="Q394" s="163"/>
      <c r="R394" s="163"/>
    </row>
    <row r="395" spans="1:18" ht="12">
      <c r="E395" s="165"/>
      <c r="F395" s="163"/>
      <c r="G395" s="163"/>
      <c r="H395" s="163"/>
      <c r="I395" s="163"/>
      <c r="J395" s="165"/>
      <c r="K395" s="163"/>
      <c r="L395" s="163"/>
      <c r="M395" s="163"/>
      <c r="N395" s="163"/>
      <c r="O395" s="165"/>
      <c r="P395" s="163"/>
      <c r="Q395" s="163"/>
      <c r="R395" s="163"/>
    </row>
    <row r="396" spans="1:18" ht="12">
      <c r="E396" s="165"/>
      <c r="F396" s="163"/>
      <c r="G396" s="163"/>
      <c r="H396" s="163"/>
      <c r="I396" s="163"/>
      <c r="J396" s="165"/>
      <c r="K396" s="163"/>
      <c r="L396" s="163"/>
      <c r="M396" s="163"/>
      <c r="N396" s="163"/>
      <c r="O396" s="165"/>
      <c r="P396" s="163"/>
      <c r="Q396" s="163"/>
      <c r="R396" s="163"/>
    </row>
    <row r="397" spans="1:18" ht="12">
      <c r="E397" s="165"/>
      <c r="F397" s="163"/>
      <c r="G397" s="163"/>
      <c r="H397" s="163"/>
      <c r="I397" s="163"/>
      <c r="J397" s="165"/>
      <c r="K397" s="163"/>
      <c r="L397" s="163"/>
      <c r="M397" s="163"/>
      <c r="N397" s="163"/>
      <c r="O397" s="165"/>
      <c r="P397" s="163"/>
      <c r="Q397" s="163"/>
      <c r="R397" s="163"/>
    </row>
    <row r="398" spans="1:18" ht="12">
      <c r="E398" s="165"/>
      <c r="F398" s="163"/>
      <c r="G398" s="163"/>
      <c r="H398" s="163"/>
      <c r="I398" s="163"/>
      <c r="J398" s="165"/>
      <c r="K398" s="163"/>
      <c r="L398" s="163"/>
      <c r="M398" s="163"/>
      <c r="N398" s="163"/>
      <c r="O398" s="165"/>
      <c r="P398" s="163"/>
      <c r="Q398" s="163"/>
      <c r="R398" s="163"/>
    </row>
    <row r="399" spans="1:18" ht="12">
      <c r="E399" s="165"/>
      <c r="F399" s="163"/>
      <c r="G399" s="163"/>
      <c r="H399" s="163"/>
      <c r="I399" s="163"/>
      <c r="J399" s="165"/>
      <c r="K399" s="163"/>
      <c r="L399" s="163"/>
      <c r="M399" s="163"/>
      <c r="N399" s="163"/>
      <c r="O399" s="165"/>
      <c r="P399" s="163"/>
      <c r="Q399" s="163"/>
      <c r="R399" s="163"/>
    </row>
    <row r="400" spans="1:18" ht="12">
      <c r="E400" s="165"/>
      <c r="F400" s="163"/>
      <c r="G400" s="163"/>
      <c r="H400" s="163"/>
      <c r="I400" s="163"/>
      <c r="J400" s="165"/>
      <c r="K400" s="163"/>
      <c r="L400" s="163"/>
      <c r="M400" s="163"/>
      <c r="N400" s="163"/>
      <c r="O400" s="165"/>
      <c r="P400" s="163"/>
      <c r="Q400" s="163"/>
      <c r="R400" s="163"/>
    </row>
    <row r="401" spans="5:18" ht="12">
      <c r="E401" s="165"/>
      <c r="F401" s="163"/>
      <c r="G401" s="163"/>
      <c r="H401" s="163"/>
      <c r="I401" s="163"/>
      <c r="J401" s="165"/>
      <c r="K401" s="163"/>
      <c r="L401" s="163"/>
      <c r="M401" s="163"/>
      <c r="N401" s="163"/>
      <c r="O401" s="165"/>
      <c r="P401" s="163"/>
      <c r="Q401" s="163"/>
      <c r="R401" s="163"/>
    </row>
    <row r="402" spans="5:18" ht="12">
      <c r="E402" s="165"/>
      <c r="F402" s="163"/>
      <c r="G402" s="163"/>
      <c r="H402" s="163"/>
      <c r="I402" s="163"/>
      <c r="J402" s="165"/>
      <c r="K402" s="163"/>
      <c r="L402" s="163"/>
      <c r="M402" s="163"/>
      <c r="N402" s="163"/>
      <c r="O402" s="165"/>
      <c r="P402" s="163"/>
      <c r="Q402" s="163"/>
      <c r="R402" s="163"/>
    </row>
    <row r="403" spans="5:18" ht="12">
      <c r="E403" s="165"/>
      <c r="F403" s="163"/>
      <c r="G403" s="163"/>
      <c r="H403" s="163"/>
      <c r="I403" s="163"/>
      <c r="J403" s="165"/>
      <c r="K403" s="163"/>
      <c r="L403" s="163"/>
      <c r="M403" s="163"/>
      <c r="N403" s="163"/>
      <c r="O403" s="165"/>
      <c r="P403" s="163"/>
      <c r="Q403" s="163"/>
      <c r="R403" s="163"/>
    </row>
    <row r="404" spans="5:18" ht="12">
      <c r="E404" s="165"/>
      <c r="F404" s="163"/>
      <c r="G404" s="163"/>
      <c r="H404" s="163"/>
      <c r="I404" s="163"/>
      <c r="J404" s="165"/>
      <c r="K404" s="163"/>
      <c r="L404" s="163"/>
      <c r="M404" s="163"/>
      <c r="N404" s="163"/>
      <c r="O404" s="165"/>
      <c r="P404" s="163"/>
      <c r="Q404" s="163"/>
      <c r="R404" s="163"/>
    </row>
    <row r="405" spans="5:18" ht="12">
      <c r="E405" s="165"/>
      <c r="F405" s="163"/>
      <c r="G405" s="163"/>
      <c r="H405" s="163"/>
      <c r="I405" s="163"/>
      <c r="J405" s="165"/>
      <c r="K405" s="163"/>
      <c r="L405" s="163"/>
      <c r="M405" s="163"/>
      <c r="N405" s="163"/>
      <c r="O405" s="165"/>
      <c r="P405" s="163"/>
      <c r="Q405" s="163"/>
      <c r="R405" s="163"/>
    </row>
    <row r="406" spans="5:18">
      <c r="E406" s="35"/>
      <c r="F406" s="33"/>
      <c r="G406" s="33"/>
      <c r="H406" s="36"/>
      <c r="I406" s="33"/>
      <c r="J406" s="35"/>
      <c r="K406" s="33"/>
      <c r="L406" s="33"/>
      <c r="M406" s="36"/>
      <c r="N406" s="33"/>
      <c r="O406" s="35"/>
      <c r="P406" s="33"/>
      <c r="Q406" s="33"/>
      <c r="R406" s="36"/>
    </row>
    <row r="407" spans="5:18">
      <c r="E407" s="35"/>
      <c r="F407" s="33"/>
      <c r="G407" s="33"/>
      <c r="H407" s="36"/>
      <c r="I407" s="33"/>
      <c r="J407" s="35"/>
      <c r="K407" s="33"/>
      <c r="L407" s="33"/>
      <c r="M407" s="36"/>
      <c r="N407" s="33"/>
      <c r="O407" s="35"/>
      <c r="P407" s="33"/>
      <c r="Q407" s="33"/>
      <c r="R407" s="36"/>
    </row>
    <row r="408" spans="5:18">
      <c r="E408" s="35"/>
      <c r="F408" s="33"/>
      <c r="G408" s="33"/>
      <c r="H408" s="36"/>
      <c r="I408" s="33"/>
      <c r="J408" s="35"/>
      <c r="K408" s="33"/>
      <c r="L408" s="33"/>
      <c r="M408" s="36"/>
      <c r="N408" s="33"/>
      <c r="O408" s="35"/>
      <c r="P408" s="33"/>
      <c r="Q408" s="33"/>
      <c r="R408" s="36"/>
    </row>
    <row r="409" spans="5:18">
      <c r="E409" s="35"/>
      <c r="F409" s="33"/>
      <c r="G409" s="33"/>
      <c r="H409" s="36"/>
      <c r="I409" s="33"/>
      <c r="J409" s="35"/>
      <c r="K409" s="33"/>
      <c r="L409" s="33"/>
      <c r="M409" s="36"/>
      <c r="N409" s="33"/>
      <c r="O409" s="35"/>
      <c r="P409" s="33"/>
      <c r="Q409" s="33"/>
      <c r="R409" s="36"/>
    </row>
    <row r="410" spans="5:18">
      <c r="E410" s="35"/>
      <c r="F410" s="33"/>
      <c r="G410" s="33"/>
      <c r="H410" s="36"/>
      <c r="I410" s="33"/>
      <c r="J410" s="35"/>
      <c r="K410" s="33"/>
      <c r="L410" s="33"/>
      <c r="M410" s="36"/>
      <c r="N410" s="33"/>
      <c r="O410" s="35"/>
      <c r="P410" s="33"/>
      <c r="Q410" s="33"/>
      <c r="R410" s="36"/>
    </row>
    <row r="411" spans="5:18">
      <c r="E411" s="35"/>
      <c r="F411" s="33"/>
      <c r="G411" s="33"/>
      <c r="H411" s="36"/>
      <c r="I411" s="33"/>
      <c r="J411" s="35"/>
      <c r="K411" s="33"/>
      <c r="L411" s="33"/>
      <c r="M411" s="36"/>
      <c r="N411" s="33"/>
      <c r="O411" s="35"/>
      <c r="P411" s="33"/>
      <c r="Q411" s="33"/>
      <c r="R411" s="36"/>
    </row>
    <row r="412" spans="5:18">
      <c r="E412" s="35"/>
      <c r="F412" s="33"/>
      <c r="G412" s="33"/>
      <c r="H412" s="36"/>
      <c r="I412" s="33"/>
      <c r="J412" s="35"/>
      <c r="K412" s="33"/>
      <c r="L412" s="33"/>
      <c r="M412" s="36"/>
      <c r="N412" s="33"/>
      <c r="O412" s="35"/>
      <c r="P412" s="33"/>
      <c r="Q412" s="33"/>
      <c r="R412" s="36"/>
    </row>
    <row r="413" spans="5:18">
      <c r="E413" s="35"/>
      <c r="F413" s="33"/>
      <c r="G413" s="33"/>
      <c r="H413" s="36"/>
      <c r="I413" s="33"/>
      <c r="J413" s="35"/>
      <c r="K413" s="33"/>
      <c r="L413" s="33"/>
      <c r="M413" s="36"/>
      <c r="N413" s="33"/>
      <c r="O413" s="35"/>
      <c r="P413" s="33"/>
      <c r="Q413" s="33"/>
      <c r="R413" s="36"/>
    </row>
    <row r="414" spans="5:18">
      <c r="E414" s="35"/>
      <c r="F414" s="33"/>
      <c r="G414" s="33"/>
      <c r="H414" s="36"/>
      <c r="I414" s="33"/>
      <c r="J414" s="35"/>
      <c r="K414" s="33"/>
      <c r="L414" s="33"/>
      <c r="M414" s="36"/>
      <c r="N414" s="33"/>
      <c r="O414" s="35"/>
      <c r="P414" s="33"/>
      <c r="Q414" s="33"/>
      <c r="R414" s="36"/>
    </row>
    <row r="415" spans="5:18">
      <c r="E415" s="35"/>
      <c r="F415" s="33"/>
      <c r="G415" s="33"/>
      <c r="H415" s="36"/>
      <c r="I415" s="33"/>
      <c r="J415" s="35"/>
      <c r="K415" s="33"/>
      <c r="L415" s="33"/>
      <c r="M415" s="36"/>
      <c r="N415" s="33"/>
      <c r="O415" s="35"/>
      <c r="P415" s="33"/>
      <c r="Q415" s="33"/>
      <c r="R415" s="36"/>
    </row>
    <row r="416" spans="5:18">
      <c r="E416" s="35"/>
      <c r="F416" s="33"/>
      <c r="G416" s="33"/>
      <c r="H416" s="36"/>
      <c r="I416" s="33"/>
      <c r="J416" s="35"/>
      <c r="K416" s="33"/>
      <c r="L416" s="33"/>
      <c r="M416" s="36"/>
      <c r="N416" s="33"/>
      <c r="O416" s="35"/>
      <c r="P416" s="33"/>
      <c r="Q416" s="33"/>
      <c r="R416" s="36"/>
    </row>
    <row r="417" spans="5:18">
      <c r="E417" s="35"/>
      <c r="F417" s="33"/>
      <c r="G417" s="33"/>
      <c r="H417" s="36"/>
      <c r="I417" s="33"/>
      <c r="J417" s="35"/>
      <c r="K417" s="33"/>
      <c r="L417" s="33"/>
      <c r="M417" s="36"/>
      <c r="N417" s="33"/>
      <c r="O417" s="35"/>
      <c r="P417" s="33"/>
      <c r="Q417" s="33"/>
      <c r="R417" s="36"/>
    </row>
    <row r="418" spans="5:18">
      <c r="E418" s="35"/>
      <c r="F418" s="33"/>
      <c r="G418" s="33"/>
      <c r="H418" s="36"/>
      <c r="I418" s="33"/>
      <c r="J418" s="35"/>
      <c r="K418" s="33"/>
      <c r="L418" s="33"/>
      <c r="M418" s="36"/>
      <c r="N418" s="33"/>
      <c r="O418" s="35"/>
      <c r="P418" s="33"/>
      <c r="Q418" s="33"/>
      <c r="R418" s="36"/>
    </row>
    <row r="419" spans="5:18">
      <c r="E419" s="35"/>
      <c r="F419" s="33"/>
      <c r="G419" s="33"/>
      <c r="H419" s="36"/>
      <c r="I419" s="33"/>
      <c r="J419" s="35"/>
      <c r="K419" s="33"/>
      <c r="L419" s="33"/>
      <c r="M419" s="36"/>
      <c r="N419" s="33"/>
      <c r="O419" s="35"/>
      <c r="P419" s="33"/>
      <c r="Q419" s="33"/>
      <c r="R419" s="36"/>
    </row>
    <row r="420" spans="5:18">
      <c r="E420" s="35"/>
      <c r="F420" s="33"/>
      <c r="G420" s="33"/>
      <c r="H420" s="36"/>
      <c r="I420" s="33"/>
      <c r="J420" s="35"/>
      <c r="K420" s="33"/>
      <c r="L420" s="33"/>
      <c r="M420" s="36"/>
      <c r="N420" s="33"/>
      <c r="O420" s="35"/>
      <c r="P420" s="33"/>
      <c r="Q420" s="33"/>
      <c r="R420" s="36"/>
    </row>
    <row r="421" spans="5:18">
      <c r="E421" s="35"/>
      <c r="F421" s="33"/>
      <c r="G421" s="33"/>
      <c r="H421" s="36"/>
      <c r="I421" s="33"/>
      <c r="J421" s="35"/>
      <c r="K421" s="33"/>
      <c r="L421" s="33"/>
      <c r="M421" s="36"/>
      <c r="N421" s="33"/>
      <c r="O421" s="35"/>
      <c r="P421" s="33"/>
      <c r="Q421" s="33"/>
      <c r="R421" s="36"/>
    </row>
    <row r="422" spans="5:18">
      <c r="E422" s="35"/>
      <c r="F422" s="33"/>
      <c r="G422" s="33"/>
      <c r="H422" s="36"/>
      <c r="I422" s="33"/>
      <c r="J422" s="35"/>
      <c r="K422" s="33"/>
      <c r="L422" s="33"/>
      <c r="M422" s="36"/>
      <c r="N422" s="33"/>
      <c r="O422" s="35"/>
      <c r="P422" s="33"/>
      <c r="Q422" s="33"/>
      <c r="R422" s="36"/>
    </row>
    <row r="423" spans="5:18">
      <c r="E423" s="35"/>
      <c r="F423" s="33"/>
      <c r="G423" s="33"/>
      <c r="H423" s="36"/>
      <c r="I423" s="33"/>
      <c r="J423" s="35"/>
      <c r="K423" s="33"/>
      <c r="L423" s="33"/>
      <c r="M423" s="36"/>
      <c r="N423" s="33"/>
      <c r="O423" s="35"/>
      <c r="P423" s="33"/>
      <c r="Q423" s="33"/>
      <c r="R423" s="36"/>
    </row>
    <row r="424" spans="5:18">
      <c r="E424" s="35"/>
      <c r="F424" s="33"/>
      <c r="G424" s="33"/>
      <c r="H424" s="36"/>
      <c r="I424" s="33"/>
      <c r="J424" s="35"/>
      <c r="K424" s="33"/>
      <c r="L424" s="33"/>
      <c r="M424" s="36"/>
      <c r="N424" s="33"/>
      <c r="O424" s="35"/>
      <c r="P424" s="33"/>
      <c r="Q424" s="33"/>
      <c r="R424" s="36"/>
    </row>
    <row r="425" spans="5:18">
      <c r="E425" s="35"/>
      <c r="F425" s="33"/>
      <c r="G425" s="33"/>
      <c r="H425" s="36"/>
      <c r="I425" s="33"/>
      <c r="J425" s="35"/>
      <c r="K425" s="33"/>
      <c r="L425" s="33"/>
      <c r="M425" s="36"/>
      <c r="N425" s="33"/>
      <c r="O425" s="35"/>
      <c r="P425" s="33"/>
      <c r="Q425" s="33"/>
      <c r="R425" s="36"/>
    </row>
    <row r="426" spans="5:18">
      <c r="E426" s="35"/>
      <c r="F426" s="33"/>
      <c r="G426" s="33"/>
      <c r="H426" s="36"/>
      <c r="I426" s="33"/>
      <c r="J426" s="35"/>
      <c r="K426" s="33"/>
      <c r="L426" s="33"/>
      <c r="M426" s="36"/>
      <c r="N426" s="33"/>
      <c r="O426" s="35"/>
      <c r="P426" s="33"/>
      <c r="Q426" s="33"/>
      <c r="R426" s="36"/>
    </row>
    <row r="427" spans="5:18">
      <c r="E427" s="35"/>
      <c r="F427" s="33"/>
      <c r="G427" s="33"/>
      <c r="H427" s="36"/>
      <c r="I427" s="33"/>
      <c r="J427" s="35"/>
      <c r="K427" s="33"/>
      <c r="L427" s="33"/>
      <c r="M427" s="36"/>
      <c r="N427" s="33"/>
      <c r="O427" s="35"/>
      <c r="P427" s="33"/>
      <c r="Q427" s="33"/>
      <c r="R427" s="36"/>
    </row>
    <row r="428" spans="5:18">
      <c r="E428" s="35"/>
      <c r="F428" s="33"/>
      <c r="G428" s="33"/>
      <c r="H428" s="36"/>
      <c r="I428" s="33"/>
      <c r="J428" s="35"/>
      <c r="K428" s="33"/>
      <c r="L428" s="33"/>
      <c r="M428" s="36"/>
      <c r="N428" s="33"/>
      <c r="O428" s="35"/>
      <c r="P428" s="33"/>
      <c r="Q428" s="33"/>
      <c r="R428" s="36"/>
    </row>
    <row r="429" spans="5:18">
      <c r="E429" s="35"/>
      <c r="F429" s="33"/>
      <c r="G429" s="33"/>
      <c r="H429" s="36"/>
      <c r="I429" s="33"/>
      <c r="J429" s="35"/>
      <c r="K429" s="33"/>
      <c r="L429" s="33"/>
      <c r="M429" s="36"/>
      <c r="N429" s="33"/>
      <c r="O429" s="35"/>
      <c r="P429" s="33"/>
      <c r="Q429" s="33"/>
      <c r="R429" s="36"/>
    </row>
    <row r="430" spans="5:18">
      <c r="E430" s="35"/>
      <c r="F430" s="33"/>
      <c r="G430" s="33"/>
      <c r="H430" s="36"/>
      <c r="I430" s="33"/>
      <c r="J430" s="35"/>
      <c r="K430" s="33"/>
      <c r="L430" s="33"/>
      <c r="M430" s="36"/>
      <c r="N430" s="33"/>
      <c r="O430" s="35"/>
      <c r="P430" s="33"/>
      <c r="Q430" s="33"/>
      <c r="R430" s="36"/>
    </row>
    <row r="431" spans="5:18">
      <c r="E431" s="35"/>
      <c r="F431" s="33"/>
      <c r="G431" s="33"/>
      <c r="H431" s="36"/>
      <c r="I431" s="33"/>
      <c r="J431" s="35"/>
      <c r="K431" s="33"/>
      <c r="L431" s="33"/>
      <c r="M431" s="36"/>
      <c r="N431" s="33"/>
      <c r="O431" s="35"/>
      <c r="P431" s="33"/>
      <c r="Q431" s="33"/>
      <c r="R431" s="36"/>
    </row>
    <row r="432" spans="5:18">
      <c r="E432" s="35"/>
      <c r="F432" s="33"/>
      <c r="G432" s="33"/>
      <c r="H432" s="36"/>
      <c r="I432" s="33"/>
      <c r="J432" s="35"/>
      <c r="K432" s="33"/>
      <c r="L432" s="33"/>
      <c r="M432" s="36"/>
      <c r="N432" s="33"/>
      <c r="O432" s="35"/>
      <c r="P432" s="33"/>
      <c r="Q432" s="33"/>
      <c r="R432" s="36"/>
    </row>
    <row r="433" spans="5:18">
      <c r="E433" s="35"/>
      <c r="F433" s="33"/>
      <c r="G433" s="33"/>
      <c r="H433" s="36"/>
      <c r="I433" s="33"/>
      <c r="J433" s="35"/>
      <c r="K433" s="33"/>
      <c r="L433" s="33"/>
      <c r="M433" s="36"/>
      <c r="N433" s="33"/>
      <c r="O433" s="35"/>
      <c r="P433" s="33"/>
      <c r="Q433" s="33"/>
      <c r="R433" s="36"/>
    </row>
    <row r="434" spans="5:18">
      <c r="E434" s="35"/>
      <c r="F434" s="33"/>
      <c r="G434" s="33"/>
      <c r="H434" s="36"/>
      <c r="I434" s="33"/>
      <c r="J434" s="35"/>
      <c r="K434" s="33"/>
      <c r="L434" s="33"/>
      <c r="M434" s="36"/>
      <c r="N434" s="33"/>
      <c r="O434" s="35"/>
      <c r="P434" s="33"/>
      <c r="Q434" s="33"/>
      <c r="R434" s="36"/>
    </row>
    <row r="435" spans="5:18">
      <c r="E435" s="35"/>
      <c r="F435" s="33"/>
      <c r="G435" s="33"/>
      <c r="H435" s="36"/>
      <c r="I435" s="33"/>
      <c r="J435" s="35"/>
      <c r="K435" s="33"/>
      <c r="L435" s="33"/>
      <c r="M435" s="36"/>
      <c r="N435" s="33"/>
      <c r="O435" s="35"/>
      <c r="P435" s="33"/>
      <c r="Q435" s="33"/>
      <c r="R435" s="36"/>
    </row>
    <row r="436" spans="5:18">
      <c r="E436" s="35"/>
      <c r="F436" s="33"/>
      <c r="G436" s="33"/>
      <c r="H436" s="36"/>
      <c r="I436" s="33"/>
      <c r="J436" s="35"/>
      <c r="K436" s="33"/>
      <c r="L436" s="33"/>
      <c r="M436" s="36"/>
      <c r="N436" s="33"/>
      <c r="O436" s="35"/>
      <c r="P436" s="33"/>
      <c r="Q436" s="33"/>
      <c r="R436" s="36"/>
    </row>
    <row r="437" spans="5:18">
      <c r="E437" s="35"/>
      <c r="F437" s="33"/>
      <c r="G437" s="33"/>
      <c r="H437" s="36"/>
      <c r="I437" s="33"/>
      <c r="J437" s="35"/>
      <c r="K437" s="33"/>
      <c r="L437" s="33"/>
      <c r="M437" s="36"/>
      <c r="N437" s="33"/>
      <c r="O437" s="35"/>
      <c r="P437" s="33"/>
      <c r="Q437" s="33"/>
      <c r="R437" s="36"/>
    </row>
    <row r="438" spans="5:18">
      <c r="E438" s="35"/>
      <c r="F438" s="33"/>
      <c r="G438" s="33"/>
      <c r="H438" s="36"/>
      <c r="I438" s="33"/>
      <c r="J438" s="35"/>
      <c r="K438" s="33"/>
      <c r="L438" s="33"/>
      <c r="M438" s="36"/>
      <c r="N438" s="33"/>
      <c r="O438" s="35"/>
      <c r="P438" s="33"/>
      <c r="Q438" s="33"/>
      <c r="R438" s="36"/>
    </row>
    <row r="439" spans="5:18">
      <c r="E439" s="35"/>
      <c r="F439" s="33"/>
      <c r="G439" s="33"/>
      <c r="H439" s="36"/>
      <c r="I439" s="33"/>
      <c r="J439" s="35"/>
      <c r="K439" s="33"/>
      <c r="L439" s="33"/>
      <c r="M439" s="36"/>
      <c r="N439" s="33"/>
      <c r="O439" s="35"/>
      <c r="P439" s="33"/>
      <c r="Q439" s="33"/>
      <c r="R439" s="36"/>
    </row>
    <row r="440" spans="5:18">
      <c r="E440" s="35"/>
      <c r="F440" s="33"/>
      <c r="G440" s="33"/>
      <c r="H440" s="36"/>
      <c r="I440" s="33"/>
      <c r="J440" s="35"/>
      <c r="K440" s="33"/>
      <c r="L440" s="33"/>
      <c r="M440" s="36"/>
      <c r="N440" s="33"/>
      <c r="O440" s="35"/>
      <c r="P440" s="33"/>
      <c r="Q440" s="33"/>
      <c r="R440" s="36"/>
    </row>
    <row r="441" spans="5:18">
      <c r="E441" s="35"/>
      <c r="F441" s="33"/>
      <c r="G441" s="33"/>
      <c r="H441" s="36"/>
      <c r="I441" s="33"/>
      <c r="J441" s="35"/>
      <c r="K441" s="33"/>
      <c r="L441" s="33"/>
      <c r="M441" s="36"/>
      <c r="N441" s="33"/>
      <c r="O441" s="35"/>
      <c r="P441" s="33"/>
      <c r="Q441" s="33"/>
      <c r="R441" s="36"/>
    </row>
    <row r="442" spans="5:18">
      <c r="E442" s="35"/>
      <c r="F442" s="33"/>
      <c r="G442" s="33"/>
      <c r="H442" s="36"/>
      <c r="I442" s="33"/>
      <c r="J442" s="35"/>
      <c r="K442" s="33"/>
      <c r="L442" s="33"/>
      <c r="M442" s="36"/>
      <c r="N442" s="33"/>
      <c r="O442" s="35"/>
      <c r="P442" s="33"/>
      <c r="Q442" s="33"/>
      <c r="R442" s="36"/>
    </row>
    <row r="443" spans="5:18">
      <c r="E443" s="35"/>
      <c r="F443" s="33"/>
      <c r="G443" s="33"/>
      <c r="H443" s="36"/>
      <c r="I443" s="33"/>
      <c r="J443" s="35"/>
      <c r="K443" s="33"/>
      <c r="L443" s="33"/>
      <c r="M443" s="36"/>
      <c r="N443" s="33"/>
      <c r="O443" s="35"/>
      <c r="P443" s="33"/>
      <c r="Q443" s="33"/>
      <c r="R443" s="36"/>
    </row>
    <row r="444" spans="5:18">
      <c r="E444" s="35"/>
      <c r="F444" s="33"/>
      <c r="G444" s="33"/>
      <c r="H444" s="36"/>
      <c r="I444" s="33"/>
      <c r="J444" s="35"/>
      <c r="K444" s="33"/>
      <c r="L444" s="33"/>
      <c r="M444" s="36"/>
      <c r="N444" s="33"/>
      <c r="O444" s="35"/>
      <c r="P444" s="33"/>
      <c r="Q444" s="33"/>
      <c r="R444" s="36"/>
    </row>
    <row r="445" spans="5:18">
      <c r="E445" s="35"/>
      <c r="F445" s="33"/>
      <c r="G445" s="33"/>
      <c r="H445" s="36"/>
      <c r="I445" s="33"/>
      <c r="J445" s="35"/>
      <c r="K445" s="33"/>
      <c r="L445" s="33"/>
      <c r="M445" s="36"/>
      <c r="N445" s="33"/>
      <c r="O445" s="35"/>
      <c r="P445" s="33"/>
      <c r="Q445" s="33"/>
      <c r="R445" s="36"/>
    </row>
    <row r="446" spans="5:18">
      <c r="E446" s="35"/>
      <c r="F446" s="33"/>
      <c r="G446" s="33"/>
      <c r="H446" s="36"/>
      <c r="I446" s="33"/>
      <c r="J446" s="35"/>
      <c r="K446" s="33"/>
      <c r="L446" s="33"/>
      <c r="M446" s="36"/>
      <c r="N446" s="33"/>
      <c r="O446" s="35"/>
      <c r="P446" s="33"/>
      <c r="Q446" s="33"/>
      <c r="R446" s="36"/>
    </row>
    <row r="447" spans="5:18">
      <c r="E447" s="35"/>
      <c r="F447" s="33"/>
      <c r="G447" s="33"/>
      <c r="H447" s="36"/>
      <c r="I447" s="33"/>
      <c r="J447" s="35"/>
      <c r="K447" s="33"/>
      <c r="L447" s="33"/>
      <c r="M447" s="36"/>
      <c r="N447" s="33"/>
      <c r="O447" s="35"/>
      <c r="P447" s="33"/>
      <c r="Q447" s="33"/>
      <c r="R447" s="36"/>
    </row>
    <row r="448" spans="5:18">
      <c r="E448" s="35"/>
      <c r="F448" s="33"/>
      <c r="G448" s="33"/>
      <c r="H448" s="36"/>
      <c r="I448" s="33"/>
      <c r="J448" s="35"/>
      <c r="K448" s="33"/>
      <c r="L448" s="33"/>
      <c r="M448" s="36"/>
      <c r="N448" s="33"/>
      <c r="O448" s="35"/>
      <c r="P448" s="33"/>
      <c r="Q448" s="33"/>
      <c r="R448" s="36"/>
    </row>
    <row r="449" spans="5:18">
      <c r="E449" s="35"/>
      <c r="F449" s="33"/>
      <c r="G449" s="33"/>
      <c r="H449" s="36"/>
      <c r="I449" s="33"/>
      <c r="J449" s="35"/>
      <c r="K449" s="33"/>
      <c r="L449" s="33"/>
      <c r="M449" s="36"/>
      <c r="N449" s="33"/>
      <c r="O449" s="35"/>
      <c r="P449" s="33"/>
      <c r="Q449" s="33"/>
      <c r="R449" s="36"/>
    </row>
    <row r="450" spans="5:18">
      <c r="E450" s="35"/>
      <c r="F450" s="33"/>
      <c r="G450" s="33"/>
      <c r="H450" s="36"/>
      <c r="I450" s="33"/>
      <c r="J450" s="35"/>
      <c r="K450" s="33"/>
      <c r="L450" s="33"/>
      <c r="M450" s="36"/>
      <c r="N450" s="33"/>
      <c r="O450" s="35"/>
      <c r="P450" s="33"/>
      <c r="Q450" s="33"/>
      <c r="R450" s="36"/>
    </row>
    <row r="451" spans="5:18">
      <c r="E451" s="35"/>
      <c r="F451" s="33"/>
      <c r="G451" s="33"/>
      <c r="H451" s="36"/>
      <c r="I451" s="33"/>
      <c r="J451" s="35"/>
      <c r="K451" s="33"/>
      <c r="L451" s="33"/>
      <c r="M451" s="36"/>
      <c r="N451" s="33"/>
      <c r="O451" s="35"/>
      <c r="P451" s="33"/>
      <c r="Q451" s="33"/>
      <c r="R451" s="36"/>
    </row>
    <row r="452" spans="5:18">
      <c r="E452" s="35"/>
      <c r="F452" s="33"/>
      <c r="G452" s="33"/>
      <c r="H452" s="36"/>
      <c r="I452" s="33"/>
      <c r="J452" s="35"/>
      <c r="K452" s="33"/>
      <c r="L452" s="33"/>
      <c r="M452" s="36"/>
      <c r="N452" s="33"/>
      <c r="O452" s="35"/>
      <c r="P452" s="33"/>
      <c r="Q452" s="33"/>
      <c r="R452" s="36"/>
    </row>
    <row r="453" spans="5:18">
      <c r="E453" s="35"/>
      <c r="F453" s="33"/>
      <c r="G453" s="33"/>
      <c r="H453" s="36"/>
      <c r="I453" s="33"/>
      <c r="J453" s="35"/>
      <c r="K453" s="33"/>
      <c r="L453" s="33"/>
      <c r="M453" s="36"/>
      <c r="N453" s="33"/>
      <c r="O453" s="35"/>
      <c r="P453" s="33"/>
      <c r="Q453" s="33"/>
      <c r="R453" s="36"/>
    </row>
    <row r="454" spans="5:18">
      <c r="E454" s="35"/>
      <c r="F454" s="33"/>
      <c r="G454" s="33"/>
      <c r="H454" s="36"/>
      <c r="I454" s="33"/>
      <c r="J454" s="35"/>
      <c r="K454" s="33"/>
      <c r="L454" s="33"/>
      <c r="M454" s="36"/>
      <c r="N454" s="33"/>
      <c r="O454" s="35"/>
      <c r="P454" s="33"/>
      <c r="Q454" s="33"/>
      <c r="R454" s="36"/>
    </row>
    <row r="455" spans="5:18">
      <c r="E455" s="35"/>
      <c r="F455" s="33"/>
      <c r="G455" s="33"/>
      <c r="H455" s="36"/>
      <c r="I455" s="33"/>
      <c r="J455" s="35"/>
      <c r="K455" s="33"/>
      <c r="L455" s="33"/>
      <c r="M455" s="36"/>
      <c r="N455" s="33"/>
      <c r="O455" s="35"/>
      <c r="P455" s="33"/>
      <c r="Q455" s="33"/>
      <c r="R455" s="36"/>
    </row>
    <row r="456" spans="5:18">
      <c r="E456" s="35"/>
      <c r="F456" s="33"/>
      <c r="G456" s="33"/>
      <c r="H456" s="36"/>
      <c r="I456" s="33"/>
      <c r="J456" s="35"/>
      <c r="K456" s="33"/>
      <c r="L456" s="33"/>
      <c r="M456" s="36"/>
      <c r="N456" s="33"/>
      <c r="O456" s="35"/>
      <c r="P456" s="33"/>
      <c r="Q456" s="33"/>
      <c r="R456" s="36"/>
    </row>
    <row r="457" spans="5:18">
      <c r="E457" s="35"/>
      <c r="F457" s="33"/>
      <c r="G457" s="33"/>
      <c r="H457" s="36"/>
      <c r="I457" s="33"/>
      <c r="J457" s="35"/>
      <c r="K457" s="33"/>
      <c r="L457" s="33"/>
      <c r="M457" s="36"/>
      <c r="N457" s="33"/>
      <c r="O457" s="35"/>
      <c r="P457" s="33"/>
      <c r="Q457" s="33"/>
      <c r="R457" s="36"/>
    </row>
    <row r="458" spans="5:18">
      <c r="E458" s="35"/>
      <c r="F458" s="33"/>
      <c r="G458" s="33"/>
      <c r="H458" s="36"/>
      <c r="I458" s="33"/>
      <c r="J458" s="35"/>
      <c r="K458" s="33"/>
      <c r="L458" s="33"/>
      <c r="M458" s="36"/>
      <c r="N458" s="33"/>
      <c r="O458" s="35"/>
      <c r="P458" s="33"/>
      <c r="Q458" s="33"/>
      <c r="R458" s="36"/>
    </row>
    <row r="459" spans="5:18">
      <c r="E459" s="35"/>
      <c r="F459" s="33"/>
      <c r="G459" s="33"/>
      <c r="H459" s="36"/>
      <c r="I459" s="33"/>
      <c r="J459" s="35"/>
      <c r="K459" s="33"/>
      <c r="L459" s="33"/>
      <c r="M459" s="36"/>
      <c r="N459" s="33"/>
      <c r="O459" s="35"/>
      <c r="P459" s="33"/>
      <c r="Q459" s="33"/>
      <c r="R459" s="36"/>
    </row>
  </sheetData>
  <mergeCells count="23">
    <mergeCell ref="O5:Q5"/>
    <mergeCell ref="A5:A7"/>
    <mergeCell ref="B5:B7"/>
    <mergeCell ref="C5:C7"/>
    <mergeCell ref="R5:R7"/>
    <mergeCell ref="L6:L7"/>
    <mergeCell ref="O6:O7"/>
    <mergeCell ref="Q6:Q7"/>
    <mergeCell ref="J6:J7"/>
    <mergeCell ref="I5:I7"/>
    <mergeCell ref="J5:L5"/>
    <mergeCell ref="M5:M7"/>
    <mergeCell ref="N5:N7"/>
    <mergeCell ref="P6:P7"/>
    <mergeCell ref="K6:K7"/>
    <mergeCell ref="F6:F7"/>
    <mergeCell ref="B2:H2"/>
    <mergeCell ref="B3:H3"/>
    <mergeCell ref="D5:D7"/>
    <mergeCell ref="E5:G5"/>
    <mergeCell ref="H5:H7"/>
    <mergeCell ref="E6:E7"/>
    <mergeCell ref="G6:G7"/>
  </mergeCells>
  <phoneticPr fontId="27" type="noConversion"/>
  <pageMargins left="0.27559055118110237" right="0.27559055118110237" top="0.23622047244094491" bottom="0.27559055118110237" header="0.15748031496062992" footer="0.15748031496062992"/>
  <pageSetup paperSize="9" scale="60" orientation="landscape" r:id="rId1"/>
  <headerFooter alignWithMargins="0">
    <oddFooter>&amp;L&amp;F&amp;C&amp;P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rgb="FFFFC000"/>
  </sheetPr>
  <dimension ref="A1:R474"/>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E32" sqref="E32"/>
    </sheetView>
  </sheetViews>
  <sheetFormatPr defaultColWidth="9.109375" defaultRowHeight="10.199999999999999"/>
  <cols>
    <col min="1" max="1" width="11.44140625" style="757" bestFit="1" customWidth="1"/>
    <col min="2" max="2" width="40.33203125" style="758" customWidth="1"/>
    <col min="3" max="3" width="13" style="759" customWidth="1"/>
    <col min="4" max="4" width="12" style="760" customWidth="1"/>
    <col min="5" max="5" width="12" style="764" customWidth="1"/>
    <col min="6" max="7" width="11.44140625" style="765" customWidth="1"/>
    <col min="8" max="8" width="11.6640625" style="766" customWidth="1"/>
    <col min="9" max="9" width="11.44140625" style="765" customWidth="1"/>
    <col min="10" max="10" width="12" style="764" customWidth="1"/>
    <col min="11" max="12" width="11.44140625" style="765" customWidth="1"/>
    <col min="13" max="13" width="11.6640625" style="766" customWidth="1"/>
    <col min="14" max="14" width="11.44140625" style="765" customWidth="1"/>
    <col min="15" max="15" width="12" style="764" customWidth="1"/>
    <col min="16" max="17" width="11.44140625" style="765" customWidth="1"/>
    <col min="18" max="18" width="11.6640625" style="766" customWidth="1"/>
    <col min="19" max="16384" width="9.109375" style="3"/>
  </cols>
  <sheetData>
    <row r="1" spans="1:18" ht="13.2">
      <c r="A1" s="705"/>
      <c r="B1" s="706"/>
      <c r="C1" s="707"/>
      <c r="D1" s="707"/>
      <c r="E1" s="707"/>
      <c r="F1" s="707"/>
      <c r="G1" s="707"/>
      <c r="H1" s="708"/>
      <c r="I1" s="707"/>
      <c r="J1" s="707"/>
      <c r="K1" s="707"/>
      <c r="L1" s="707"/>
      <c r="M1" s="708"/>
      <c r="N1" s="707"/>
      <c r="O1" s="707"/>
      <c r="P1" s="707"/>
      <c r="Q1" s="707"/>
      <c r="R1" s="708"/>
    </row>
    <row r="2" spans="1:18" ht="13.2">
      <c r="A2" s="709"/>
      <c r="B2" s="1453"/>
      <c r="C2" s="1453"/>
      <c r="D2" s="1453"/>
      <c r="E2" s="1453"/>
      <c r="F2" s="1453"/>
      <c r="G2" s="1453"/>
      <c r="H2" s="1453"/>
      <c r="I2" s="710"/>
      <c r="J2" s="710"/>
      <c r="K2" s="710"/>
      <c r="L2" s="710"/>
      <c r="M2" s="711"/>
      <c r="N2" s="710"/>
      <c r="O2" s="710"/>
      <c r="P2" s="710"/>
      <c r="Q2" s="710"/>
      <c r="R2" s="711"/>
    </row>
    <row r="3" spans="1:18" s="1" customFormat="1" ht="12.75" customHeight="1">
      <c r="A3" s="712"/>
      <c r="B3" s="1454" t="s">
        <v>489</v>
      </c>
      <c r="C3" s="1454"/>
      <c r="D3" s="1454"/>
      <c r="E3" s="1454"/>
      <c r="F3" s="1454"/>
      <c r="G3" s="1454"/>
      <c r="H3" s="1454"/>
      <c r="I3" s="713"/>
      <c r="J3" s="713"/>
      <c r="K3" s="713"/>
      <c r="L3" s="713"/>
      <c r="M3" s="711"/>
      <c r="N3" s="713"/>
      <c r="O3" s="713"/>
      <c r="P3" s="713"/>
      <c r="Q3" s="713"/>
      <c r="R3" s="711"/>
    </row>
    <row r="4" spans="1:18" s="1" customFormat="1" ht="13.2">
      <c r="A4" s="712"/>
      <c r="B4" s="714"/>
      <c r="C4" s="715"/>
      <c r="D4" s="713"/>
      <c r="E4" s="713"/>
      <c r="F4" s="713"/>
      <c r="G4" s="713"/>
      <c r="H4" s="713"/>
      <c r="I4" s="713"/>
      <c r="J4" s="713"/>
      <c r="K4" s="713"/>
      <c r="L4" s="713"/>
      <c r="M4" s="713"/>
      <c r="N4" s="713"/>
      <c r="O4" s="713"/>
      <c r="P4" s="713"/>
      <c r="Q4" s="713"/>
      <c r="R4" s="713"/>
    </row>
    <row r="5" spans="1:18" s="1" customFormat="1" ht="14.25" customHeight="1">
      <c r="A5" s="1455" t="s">
        <v>213</v>
      </c>
      <c r="B5" s="1458"/>
      <c r="C5" s="1412" t="s">
        <v>202</v>
      </c>
      <c r="D5" s="1401" t="s">
        <v>231</v>
      </c>
      <c r="E5" s="1404" t="s">
        <v>232</v>
      </c>
      <c r="F5" s="1405"/>
      <c r="G5" s="1406"/>
      <c r="H5" s="1407" t="s">
        <v>486</v>
      </c>
      <c r="I5" s="1415" t="s">
        <v>234</v>
      </c>
      <c r="J5" s="1425" t="s">
        <v>232</v>
      </c>
      <c r="K5" s="1426"/>
      <c r="L5" s="1427"/>
      <c r="M5" s="1428" t="s">
        <v>487</v>
      </c>
      <c r="N5" s="1431" t="s">
        <v>235</v>
      </c>
      <c r="O5" s="1434" t="s">
        <v>232</v>
      </c>
      <c r="P5" s="1435"/>
      <c r="Q5" s="1436"/>
      <c r="R5" s="1418" t="s">
        <v>488</v>
      </c>
    </row>
    <row r="6" spans="1:18" s="1" customFormat="1" ht="18" customHeight="1">
      <c r="A6" s="1456"/>
      <c r="B6" s="1459"/>
      <c r="C6" s="1413"/>
      <c r="D6" s="1402"/>
      <c r="E6" s="1410" t="s">
        <v>233</v>
      </c>
      <c r="F6" s="1410" t="s">
        <v>496</v>
      </c>
      <c r="G6" s="1410" t="s">
        <v>485</v>
      </c>
      <c r="H6" s="1408"/>
      <c r="I6" s="1416"/>
      <c r="J6" s="1421" t="s">
        <v>233</v>
      </c>
      <c r="K6" s="1421" t="s">
        <v>496</v>
      </c>
      <c r="L6" s="1421" t="s">
        <v>485</v>
      </c>
      <c r="M6" s="1429"/>
      <c r="N6" s="1432"/>
      <c r="O6" s="1423" t="s">
        <v>233</v>
      </c>
      <c r="P6" s="1423" t="s">
        <v>496</v>
      </c>
      <c r="Q6" s="1423" t="s">
        <v>485</v>
      </c>
      <c r="R6" s="1419"/>
    </row>
    <row r="7" spans="1:18" s="1" customFormat="1" ht="25.95" customHeight="1">
      <c r="A7" s="1457"/>
      <c r="B7" s="1460"/>
      <c r="C7" s="1414"/>
      <c r="D7" s="1403"/>
      <c r="E7" s="1411"/>
      <c r="F7" s="1411"/>
      <c r="G7" s="1411"/>
      <c r="H7" s="1409"/>
      <c r="I7" s="1417"/>
      <c r="J7" s="1422"/>
      <c r="K7" s="1422"/>
      <c r="L7" s="1422"/>
      <c r="M7" s="1430"/>
      <c r="N7" s="1433"/>
      <c r="O7" s="1424"/>
      <c r="P7" s="1424"/>
      <c r="Q7" s="1424"/>
      <c r="R7" s="1420"/>
    </row>
    <row r="8" spans="1:18" s="25" customFormat="1">
      <c r="A8" s="716">
        <v>1</v>
      </c>
      <c r="B8" s="717">
        <v>2</v>
      </c>
      <c r="C8" s="718">
        <v>3</v>
      </c>
      <c r="D8" s="718">
        <v>4</v>
      </c>
      <c r="E8" s="718">
        <v>5</v>
      </c>
      <c r="F8" s="718">
        <v>6</v>
      </c>
      <c r="G8" s="718">
        <v>7</v>
      </c>
      <c r="H8" s="719" t="s">
        <v>482</v>
      </c>
      <c r="I8" s="718">
        <v>9</v>
      </c>
      <c r="J8" s="718">
        <v>10</v>
      </c>
      <c r="K8" s="718">
        <v>11</v>
      </c>
      <c r="L8" s="718">
        <v>12</v>
      </c>
      <c r="M8" s="719" t="s">
        <v>483</v>
      </c>
      <c r="N8" s="718">
        <v>14</v>
      </c>
      <c r="O8" s="718">
        <v>15</v>
      </c>
      <c r="P8" s="718">
        <v>16</v>
      </c>
      <c r="Q8" s="718">
        <v>17</v>
      </c>
      <c r="R8" s="719" t="s">
        <v>484</v>
      </c>
    </row>
    <row r="9" spans="1:18" ht="13.2">
      <c r="A9" s="1336"/>
      <c r="B9" s="1337" t="s">
        <v>2</v>
      </c>
      <c r="C9" s="1338"/>
      <c r="D9" s="1338"/>
      <c r="E9" s="1339"/>
      <c r="F9" s="1339"/>
      <c r="G9" s="1339"/>
      <c r="H9" s="1339"/>
      <c r="I9" s="1339"/>
      <c r="J9" s="1339"/>
      <c r="K9" s="1339"/>
      <c r="L9" s="1339"/>
      <c r="M9" s="1339"/>
      <c r="N9" s="1339"/>
      <c r="O9" s="1339"/>
      <c r="P9" s="1339"/>
      <c r="Q9" s="1339"/>
      <c r="R9" s="1339"/>
    </row>
    <row r="10" spans="1:18" s="4" customFormat="1" ht="20.399999999999999">
      <c r="A10" s="720" t="s">
        <v>201</v>
      </c>
      <c r="B10" s="721" t="s">
        <v>88</v>
      </c>
      <c r="C10" s="838">
        <v>395027034</v>
      </c>
      <c r="D10" s="838">
        <v>383316275</v>
      </c>
      <c r="E10" s="850">
        <f>E11+E12+E14+E32</f>
        <v>0</v>
      </c>
      <c r="F10" s="850">
        <f>F11+F12+F14+F32</f>
        <v>174534</v>
      </c>
      <c r="G10" s="850">
        <f>G11+G12+G14+G32</f>
        <v>22710443</v>
      </c>
      <c r="H10" s="850">
        <f t="shared" ref="H10:H73" si="0">SUM(D10:G10)</f>
        <v>406201252</v>
      </c>
      <c r="I10" s="850">
        <v>204330476</v>
      </c>
      <c r="J10" s="850">
        <f>J11+J12+J14+J32</f>
        <v>0</v>
      </c>
      <c r="K10" s="850">
        <f>K11+K12+K14+K32</f>
        <v>149052</v>
      </c>
      <c r="L10" s="850">
        <f>L11+L12+L14+L32</f>
        <v>24900000</v>
      </c>
      <c r="M10" s="850">
        <f t="shared" ref="M10:M73" si="1">SUM(I10:L10)</f>
        <v>229379528</v>
      </c>
      <c r="N10" s="850">
        <v>113040268</v>
      </c>
      <c r="O10" s="850">
        <f>O11+O12+O14+O32</f>
        <v>0</v>
      </c>
      <c r="P10" s="850">
        <f>P11+P12+P14+P32</f>
        <v>126602</v>
      </c>
      <c r="Q10" s="850">
        <f>Q11+Q12+Q14+Q32</f>
        <v>24900000</v>
      </c>
      <c r="R10" s="850">
        <f t="shared" ref="R10:R73" si="2">SUM(N10:Q10)</f>
        <v>138066870</v>
      </c>
    </row>
    <row r="11" spans="1:18" ht="22.8">
      <c r="A11" s="722" t="s">
        <v>177</v>
      </c>
      <c r="B11" s="723" t="s">
        <v>90</v>
      </c>
      <c r="C11" s="839">
        <v>900000</v>
      </c>
      <c r="D11" s="839">
        <v>900000</v>
      </c>
      <c r="E11" s="851"/>
      <c r="F11" s="851"/>
      <c r="G11" s="851">
        <f>G95</f>
        <v>0</v>
      </c>
      <c r="H11" s="852">
        <f t="shared" si="0"/>
        <v>900000</v>
      </c>
      <c r="I11" s="851">
        <v>900000</v>
      </c>
      <c r="J11" s="851"/>
      <c r="K11" s="851"/>
      <c r="L11" s="851"/>
      <c r="M11" s="852">
        <f t="shared" si="1"/>
        <v>900000</v>
      </c>
      <c r="N11" s="851">
        <v>900000</v>
      </c>
      <c r="O11" s="851"/>
      <c r="P11" s="851"/>
      <c r="Q11" s="851"/>
      <c r="R11" s="852">
        <f t="shared" si="2"/>
        <v>900000</v>
      </c>
    </row>
    <row r="12" spans="1:18" ht="12">
      <c r="A12" s="722" t="s">
        <v>91</v>
      </c>
      <c r="B12" s="723" t="s">
        <v>92</v>
      </c>
      <c r="C12" s="839">
        <v>26145290</v>
      </c>
      <c r="D12" s="839">
        <v>1920707</v>
      </c>
      <c r="E12" s="851"/>
      <c r="F12" s="851"/>
      <c r="G12" s="851">
        <f>G180</f>
        <v>0</v>
      </c>
      <c r="H12" s="852">
        <f t="shared" si="0"/>
        <v>1920707</v>
      </c>
      <c r="I12" s="851">
        <v>2068562</v>
      </c>
      <c r="J12" s="851"/>
      <c r="K12" s="851"/>
      <c r="L12" s="851"/>
      <c r="M12" s="852">
        <f t="shared" si="1"/>
        <v>2068562</v>
      </c>
      <c r="N12" s="851">
        <v>1768562</v>
      </c>
      <c r="O12" s="851"/>
      <c r="P12" s="851"/>
      <c r="Q12" s="851"/>
      <c r="R12" s="852">
        <f t="shared" si="2"/>
        <v>1768562</v>
      </c>
    </row>
    <row r="13" spans="1:18" ht="12">
      <c r="A13" s="724">
        <v>21210</v>
      </c>
      <c r="B13" s="725" t="s">
        <v>93</v>
      </c>
      <c r="C13" s="839">
        <v>7644990</v>
      </c>
      <c r="D13" s="839">
        <v>0</v>
      </c>
      <c r="E13" s="851"/>
      <c r="F13" s="851"/>
      <c r="G13" s="851">
        <f>G181</f>
        <v>0</v>
      </c>
      <c r="H13" s="852">
        <f t="shared" si="0"/>
        <v>0</v>
      </c>
      <c r="I13" s="851">
        <v>0</v>
      </c>
      <c r="J13" s="851"/>
      <c r="K13" s="851"/>
      <c r="L13" s="851"/>
      <c r="M13" s="852">
        <f t="shared" si="1"/>
        <v>0</v>
      </c>
      <c r="N13" s="851">
        <v>0</v>
      </c>
      <c r="O13" s="851"/>
      <c r="P13" s="851"/>
      <c r="Q13" s="851"/>
      <c r="R13" s="852">
        <f t="shared" si="2"/>
        <v>0</v>
      </c>
    </row>
    <row r="14" spans="1:18" ht="21" hidden="1" customHeight="1">
      <c r="A14" s="722" t="s">
        <v>178</v>
      </c>
      <c r="B14" s="723" t="s">
        <v>94</v>
      </c>
      <c r="C14" s="840">
        <v>0</v>
      </c>
      <c r="D14" s="840">
        <v>0</v>
      </c>
      <c r="E14" s="852">
        <f>E15+E21</f>
        <v>0</v>
      </c>
      <c r="F14" s="852">
        <f>F15+F21</f>
        <v>0</v>
      </c>
      <c r="G14" s="852">
        <f>G15+G21</f>
        <v>0</v>
      </c>
      <c r="H14" s="852">
        <f t="shared" si="0"/>
        <v>0</v>
      </c>
      <c r="I14" s="852">
        <v>0</v>
      </c>
      <c r="J14" s="852">
        <f>J15+J21</f>
        <v>0</v>
      </c>
      <c r="K14" s="852">
        <f>K15+K21</f>
        <v>0</v>
      </c>
      <c r="L14" s="852">
        <f>L15+L21</f>
        <v>0</v>
      </c>
      <c r="M14" s="852">
        <f t="shared" si="1"/>
        <v>0</v>
      </c>
      <c r="N14" s="852">
        <v>0</v>
      </c>
      <c r="O14" s="852">
        <f>O15+O21</f>
        <v>0</v>
      </c>
      <c r="P14" s="852">
        <f>P15+P21</f>
        <v>0</v>
      </c>
      <c r="Q14" s="852">
        <f>Q15+Q21</f>
        <v>0</v>
      </c>
      <c r="R14" s="852">
        <f t="shared" si="2"/>
        <v>0</v>
      </c>
    </row>
    <row r="15" spans="1:18" ht="12" hidden="1" customHeight="1">
      <c r="A15" s="724">
        <v>18000</v>
      </c>
      <c r="B15" s="725" t="s">
        <v>95</v>
      </c>
      <c r="C15" s="840">
        <v>0</v>
      </c>
      <c r="D15" s="840">
        <v>0</v>
      </c>
      <c r="E15" s="852">
        <f t="shared" ref="E15:G16" si="3">E16</f>
        <v>0</v>
      </c>
      <c r="F15" s="852">
        <f t="shared" si="3"/>
        <v>0</v>
      </c>
      <c r="G15" s="852">
        <f t="shared" si="3"/>
        <v>0</v>
      </c>
      <c r="H15" s="852">
        <f t="shared" si="0"/>
        <v>0</v>
      </c>
      <c r="I15" s="852">
        <v>0</v>
      </c>
      <c r="J15" s="852">
        <f t="shared" ref="J15:L16" si="4">J16</f>
        <v>0</v>
      </c>
      <c r="K15" s="852">
        <f t="shared" si="4"/>
        <v>0</v>
      </c>
      <c r="L15" s="852">
        <f t="shared" si="4"/>
        <v>0</v>
      </c>
      <c r="M15" s="852">
        <f t="shared" si="1"/>
        <v>0</v>
      </c>
      <c r="N15" s="852">
        <v>0</v>
      </c>
      <c r="O15" s="852">
        <f t="shared" ref="O15:Q16" si="5">O16</f>
        <v>0</v>
      </c>
      <c r="P15" s="852">
        <f t="shared" si="5"/>
        <v>0</v>
      </c>
      <c r="Q15" s="852">
        <f t="shared" si="5"/>
        <v>0</v>
      </c>
      <c r="R15" s="852">
        <f t="shared" si="2"/>
        <v>0</v>
      </c>
    </row>
    <row r="16" spans="1:18" ht="12" hidden="1" customHeight="1">
      <c r="A16" s="724">
        <v>18100</v>
      </c>
      <c r="B16" s="725" t="s">
        <v>96</v>
      </c>
      <c r="C16" s="840">
        <v>0</v>
      </c>
      <c r="D16" s="840">
        <v>0</v>
      </c>
      <c r="E16" s="852">
        <f t="shared" si="3"/>
        <v>0</v>
      </c>
      <c r="F16" s="852">
        <f t="shared" si="3"/>
        <v>0</v>
      </c>
      <c r="G16" s="852">
        <f t="shared" si="3"/>
        <v>0</v>
      </c>
      <c r="H16" s="852">
        <f t="shared" si="0"/>
        <v>0</v>
      </c>
      <c r="I16" s="852">
        <v>0</v>
      </c>
      <c r="J16" s="852">
        <f t="shared" si="4"/>
        <v>0</v>
      </c>
      <c r="K16" s="852">
        <f t="shared" si="4"/>
        <v>0</v>
      </c>
      <c r="L16" s="852">
        <f t="shared" si="4"/>
        <v>0</v>
      </c>
      <c r="M16" s="852">
        <f t="shared" si="1"/>
        <v>0</v>
      </c>
      <c r="N16" s="852">
        <v>0</v>
      </c>
      <c r="O16" s="852">
        <f t="shared" si="5"/>
        <v>0</v>
      </c>
      <c r="P16" s="852">
        <f t="shared" si="5"/>
        <v>0</v>
      </c>
      <c r="Q16" s="852">
        <f t="shared" si="5"/>
        <v>0</v>
      </c>
      <c r="R16" s="852">
        <f t="shared" si="2"/>
        <v>0</v>
      </c>
    </row>
    <row r="17" spans="1:18" s="4" customFormat="1" ht="24" hidden="1" customHeight="1">
      <c r="A17" s="726">
        <v>18130</v>
      </c>
      <c r="B17" s="727" t="s">
        <v>159</v>
      </c>
      <c r="C17" s="840">
        <v>0</v>
      </c>
      <c r="D17" s="840">
        <v>0</v>
      </c>
      <c r="E17" s="852">
        <f>SUM(E18:E20)</f>
        <v>0</v>
      </c>
      <c r="F17" s="852">
        <f>SUM(F18:F20)</f>
        <v>0</v>
      </c>
      <c r="G17" s="852">
        <f>SUM(G18:G20)</f>
        <v>0</v>
      </c>
      <c r="H17" s="852">
        <f t="shared" si="0"/>
        <v>0</v>
      </c>
      <c r="I17" s="852">
        <v>0</v>
      </c>
      <c r="J17" s="852">
        <f>SUM(J18:J20)</f>
        <v>0</v>
      </c>
      <c r="K17" s="852">
        <f>SUM(K18:K20)</f>
        <v>0</v>
      </c>
      <c r="L17" s="852">
        <f>SUM(L18:L20)</f>
        <v>0</v>
      </c>
      <c r="M17" s="852">
        <f t="shared" si="1"/>
        <v>0</v>
      </c>
      <c r="N17" s="852">
        <v>0</v>
      </c>
      <c r="O17" s="852">
        <f>SUM(O18:O20)</f>
        <v>0</v>
      </c>
      <c r="P17" s="852">
        <f>SUM(P18:P20)</f>
        <v>0</v>
      </c>
      <c r="Q17" s="852">
        <f>SUM(Q18:Q20)</f>
        <v>0</v>
      </c>
      <c r="R17" s="852">
        <f t="shared" si="2"/>
        <v>0</v>
      </c>
    </row>
    <row r="18" spans="1:18" s="6" customFormat="1" ht="36" hidden="1" customHeight="1">
      <c r="A18" s="726">
        <v>18131</v>
      </c>
      <c r="B18" s="727" t="s">
        <v>160</v>
      </c>
      <c r="C18" s="840">
        <v>0</v>
      </c>
      <c r="D18" s="840">
        <v>0</v>
      </c>
      <c r="E18" s="852"/>
      <c r="F18" s="852"/>
      <c r="G18" s="852"/>
      <c r="H18" s="852">
        <f t="shared" si="0"/>
        <v>0</v>
      </c>
      <c r="I18" s="852">
        <v>0</v>
      </c>
      <c r="J18" s="852"/>
      <c r="K18" s="852"/>
      <c r="L18" s="852"/>
      <c r="M18" s="852">
        <f t="shared" si="1"/>
        <v>0</v>
      </c>
      <c r="N18" s="852">
        <v>0</v>
      </c>
      <c r="O18" s="852"/>
      <c r="P18" s="852"/>
      <c r="Q18" s="852"/>
      <c r="R18" s="852">
        <f t="shared" si="2"/>
        <v>0</v>
      </c>
    </row>
    <row r="19" spans="1:18" s="6" customFormat="1" ht="24" hidden="1" customHeight="1">
      <c r="A19" s="726">
        <v>18132</v>
      </c>
      <c r="B19" s="727" t="s">
        <v>169</v>
      </c>
      <c r="C19" s="840">
        <v>0</v>
      </c>
      <c r="D19" s="840">
        <v>0</v>
      </c>
      <c r="E19" s="852"/>
      <c r="F19" s="852"/>
      <c r="G19" s="852"/>
      <c r="H19" s="852">
        <f t="shared" si="0"/>
        <v>0</v>
      </c>
      <c r="I19" s="852">
        <v>0</v>
      </c>
      <c r="J19" s="852"/>
      <c r="K19" s="852"/>
      <c r="L19" s="852"/>
      <c r="M19" s="852">
        <f t="shared" si="1"/>
        <v>0</v>
      </c>
      <c r="N19" s="852">
        <v>0</v>
      </c>
      <c r="O19" s="852"/>
      <c r="P19" s="852"/>
      <c r="Q19" s="852"/>
      <c r="R19" s="852">
        <f t="shared" si="2"/>
        <v>0</v>
      </c>
    </row>
    <row r="20" spans="1:18" s="6" customFormat="1" ht="24" hidden="1" customHeight="1">
      <c r="A20" s="726">
        <v>18139</v>
      </c>
      <c r="B20" s="727" t="s">
        <v>179</v>
      </c>
      <c r="C20" s="840">
        <v>0</v>
      </c>
      <c r="D20" s="840">
        <v>0</v>
      </c>
      <c r="E20" s="852"/>
      <c r="F20" s="852"/>
      <c r="G20" s="852"/>
      <c r="H20" s="852">
        <f t="shared" si="0"/>
        <v>0</v>
      </c>
      <c r="I20" s="852">
        <v>0</v>
      </c>
      <c r="J20" s="852"/>
      <c r="K20" s="852"/>
      <c r="L20" s="852"/>
      <c r="M20" s="852">
        <f t="shared" si="1"/>
        <v>0</v>
      </c>
      <c r="N20" s="852">
        <v>0</v>
      </c>
      <c r="O20" s="852"/>
      <c r="P20" s="852"/>
      <c r="Q20" s="852"/>
      <c r="R20" s="852">
        <f t="shared" si="2"/>
        <v>0</v>
      </c>
    </row>
    <row r="21" spans="1:18" s="6" customFormat="1" ht="12" hidden="1" customHeight="1">
      <c r="A21" s="728" t="s">
        <v>180</v>
      </c>
      <c r="B21" s="729" t="s">
        <v>173</v>
      </c>
      <c r="C21" s="839">
        <v>0</v>
      </c>
      <c r="D21" s="839">
        <v>0</v>
      </c>
      <c r="E21" s="851">
        <f>E22</f>
        <v>0</v>
      </c>
      <c r="F21" s="851">
        <f>F22</f>
        <v>0</v>
      </c>
      <c r="G21" s="851">
        <f>G22</f>
        <v>0</v>
      </c>
      <c r="H21" s="852">
        <f t="shared" si="0"/>
        <v>0</v>
      </c>
      <c r="I21" s="851">
        <v>0</v>
      </c>
      <c r="J21" s="851">
        <f>J22</f>
        <v>0</v>
      </c>
      <c r="K21" s="851">
        <f>K22</f>
        <v>0</v>
      </c>
      <c r="L21" s="851">
        <f>L22</f>
        <v>0</v>
      </c>
      <c r="M21" s="852">
        <f t="shared" si="1"/>
        <v>0</v>
      </c>
      <c r="N21" s="851">
        <v>0</v>
      </c>
      <c r="O21" s="851">
        <f>O22</f>
        <v>0</v>
      </c>
      <c r="P21" s="851">
        <f>P22</f>
        <v>0</v>
      </c>
      <c r="Q21" s="851">
        <f>Q22</f>
        <v>0</v>
      </c>
      <c r="R21" s="852">
        <f t="shared" si="2"/>
        <v>0</v>
      </c>
    </row>
    <row r="22" spans="1:18" s="6" customFormat="1" ht="24" hidden="1" customHeight="1">
      <c r="A22" s="728">
        <v>19500</v>
      </c>
      <c r="B22" s="727" t="s">
        <v>174</v>
      </c>
      <c r="C22" s="840">
        <v>0</v>
      </c>
      <c r="D22" s="840">
        <v>0</v>
      </c>
      <c r="E22" s="852">
        <f>SUM(E23:E25)</f>
        <v>0</v>
      </c>
      <c r="F22" s="852">
        <f>SUM(F23:F25)</f>
        <v>0</v>
      </c>
      <c r="G22" s="852">
        <f>SUM(G23:G25)</f>
        <v>0</v>
      </c>
      <c r="H22" s="852">
        <f t="shared" si="0"/>
        <v>0</v>
      </c>
      <c r="I22" s="852">
        <v>0</v>
      </c>
      <c r="J22" s="852">
        <f>SUM(J23:J25)</f>
        <v>0</v>
      </c>
      <c r="K22" s="852">
        <f>SUM(K23:K25)</f>
        <v>0</v>
      </c>
      <c r="L22" s="852">
        <f>SUM(L23:L25)</f>
        <v>0</v>
      </c>
      <c r="M22" s="852">
        <f t="shared" si="1"/>
        <v>0</v>
      </c>
      <c r="N22" s="852">
        <v>0</v>
      </c>
      <c r="O22" s="852">
        <f>SUM(O23:O25)</f>
        <v>0</v>
      </c>
      <c r="P22" s="852">
        <f>SUM(P23:P25)</f>
        <v>0</v>
      </c>
      <c r="Q22" s="852">
        <f>SUM(Q23:Q25)</f>
        <v>0</v>
      </c>
      <c r="R22" s="852">
        <f t="shared" si="2"/>
        <v>0</v>
      </c>
    </row>
    <row r="23" spans="1:18" s="6" customFormat="1" ht="24" hidden="1" customHeight="1">
      <c r="A23" s="728">
        <v>19550</v>
      </c>
      <c r="B23" s="727" t="s">
        <v>175</v>
      </c>
      <c r="C23" s="840">
        <v>0</v>
      </c>
      <c r="D23" s="840">
        <v>0</v>
      </c>
      <c r="E23" s="852"/>
      <c r="F23" s="852"/>
      <c r="G23" s="852"/>
      <c r="H23" s="852">
        <f t="shared" si="0"/>
        <v>0</v>
      </c>
      <c r="I23" s="852">
        <v>0</v>
      </c>
      <c r="J23" s="852"/>
      <c r="K23" s="852"/>
      <c r="L23" s="852"/>
      <c r="M23" s="852">
        <f t="shared" si="1"/>
        <v>0</v>
      </c>
      <c r="N23" s="852">
        <v>0</v>
      </c>
      <c r="O23" s="852"/>
      <c r="P23" s="852"/>
      <c r="Q23" s="852"/>
      <c r="R23" s="852">
        <f t="shared" si="2"/>
        <v>0</v>
      </c>
    </row>
    <row r="24" spans="1:18" s="6" customFormat="1" ht="36" hidden="1" customHeight="1">
      <c r="A24" s="728">
        <v>19560</v>
      </c>
      <c r="B24" s="727" t="s">
        <v>181</v>
      </c>
      <c r="C24" s="840">
        <v>0</v>
      </c>
      <c r="D24" s="840">
        <v>0</v>
      </c>
      <c r="E24" s="852"/>
      <c r="F24" s="852"/>
      <c r="G24" s="852"/>
      <c r="H24" s="852">
        <f t="shared" si="0"/>
        <v>0</v>
      </c>
      <c r="I24" s="852">
        <v>0</v>
      </c>
      <c r="J24" s="852"/>
      <c r="K24" s="852"/>
      <c r="L24" s="852"/>
      <c r="M24" s="852">
        <f t="shared" si="1"/>
        <v>0</v>
      </c>
      <c r="N24" s="852">
        <v>0</v>
      </c>
      <c r="O24" s="852"/>
      <c r="P24" s="852"/>
      <c r="Q24" s="852"/>
      <c r="R24" s="852">
        <f t="shared" si="2"/>
        <v>0</v>
      </c>
    </row>
    <row r="25" spans="1:18" s="6" customFormat="1" ht="72" hidden="1" customHeight="1">
      <c r="A25" s="728">
        <v>19570</v>
      </c>
      <c r="B25" s="727" t="s">
        <v>182</v>
      </c>
      <c r="C25" s="840">
        <v>0</v>
      </c>
      <c r="D25" s="840">
        <v>0</v>
      </c>
      <c r="E25" s="852"/>
      <c r="F25" s="852"/>
      <c r="G25" s="852"/>
      <c r="H25" s="852">
        <f t="shared" si="0"/>
        <v>0</v>
      </c>
      <c r="I25" s="852">
        <v>0</v>
      </c>
      <c r="J25" s="852"/>
      <c r="K25" s="852"/>
      <c r="L25" s="852"/>
      <c r="M25" s="852">
        <f t="shared" si="1"/>
        <v>0</v>
      </c>
      <c r="N25" s="852">
        <v>0</v>
      </c>
      <c r="O25" s="852"/>
      <c r="P25" s="852"/>
      <c r="Q25" s="852"/>
      <c r="R25" s="852">
        <f t="shared" si="2"/>
        <v>0</v>
      </c>
    </row>
    <row r="26" spans="1:18" s="6" customFormat="1" ht="24" hidden="1" customHeight="1">
      <c r="A26" s="730" t="s">
        <v>222</v>
      </c>
      <c r="B26" s="731" t="s">
        <v>216</v>
      </c>
      <c r="C26" s="840">
        <f>C27</f>
        <v>0</v>
      </c>
      <c r="D26" s="840">
        <v>0</v>
      </c>
      <c r="E26" s="852">
        <f>E27</f>
        <v>0</v>
      </c>
      <c r="F26" s="852">
        <f>F27</f>
        <v>0</v>
      </c>
      <c r="G26" s="852">
        <f>G27</f>
        <v>0</v>
      </c>
      <c r="H26" s="852">
        <f t="shared" si="0"/>
        <v>0</v>
      </c>
      <c r="I26" s="852">
        <v>0</v>
      </c>
      <c r="J26" s="852">
        <f>J27</f>
        <v>0</v>
      </c>
      <c r="K26" s="852">
        <f>K27</f>
        <v>0</v>
      </c>
      <c r="L26" s="852">
        <f>L27</f>
        <v>0</v>
      </c>
      <c r="M26" s="852">
        <f t="shared" si="1"/>
        <v>0</v>
      </c>
      <c r="N26" s="852">
        <v>0</v>
      </c>
      <c r="O26" s="852">
        <f>O27</f>
        <v>0</v>
      </c>
      <c r="P26" s="852">
        <f>P27</f>
        <v>0</v>
      </c>
      <c r="Q26" s="852">
        <f>Q27</f>
        <v>0</v>
      </c>
      <c r="R26" s="852">
        <f t="shared" si="2"/>
        <v>0</v>
      </c>
    </row>
    <row r="27" spans="1:18" s="6" customFormat="1" ht="36" hidden="1" customHeight="1">
      <c r="A27" s="730">
        <v>17100</v>
      </c>
      <c r="B27" s="731" t="s">
        <v>217</v>
      </c>
      <c r="C27" s="840">
        <f>SUM(C28:C31)</f>
        <v>0</v>
      </c>
      <c r="D27" s="840">
        <v>0</v>
      </c>
      <c r="E27" s="852">
        <f>SUM(E28:E31)</f>
        <v>0</v>
      </c>
      <c r="F27" s="852">
        <f>SUM(F28:F31)</f>
        <v>0</v>
      </c>
      <c r="G27" s="852">
        <f>SUM(G28:G31)</f>
        <v>0</v>
      </c>
      <c r="H27" s="852">
        <f t="shared" si="0"/>
        <v>0</v>
      </c>
      <c r="I27" s="852">
        <v>0</v>
      </c>
      <c r="J27" s="852">
        <f>SUM(J28:J31)</f>
        <v>0</v>
      </c>
      <c r="K27" s="852">
        <f>SUM(K28:K31)</f>
        <v>0</v>
      </c>
      <c r="L27" s="852">
        <f>SUM(L28:L31)</f>
        <v>0</v>
      </c>
      <c r="M27" s="852">
        <f t="shared" si="1"/>
        <v>0</v>
      </c>
      <c r="N27" s="852">
        <v>0</v>
      </c>
      <c r="O27" s="852">
        <f>SUM(O28:O31)</f>
        <v>0</v>
      </c>
      <c r="P27" s="852">
        <f>SUM(P28:P31)</f>
        <v>0</v>
      </c>
      <c r="Q27" s="852">
        <f>SUM(Q28:Q31)</f>
        <v>0</v>
      </c>
      <c r="R27" s="852">
        <f t="shared" si="2"/>
        <v>0</v>
      </c>
    </row>
    <row r="28" spans="1:18" s="6" customFormat="1" ht="60" hidden="1" customHeight="1">
      <c r="A28" s="730">
        <v>17110</v>
      </c>
      <c r="B28" s="731" t="s">
        <v>218</v>
      </c>
      <c r="C28" s="840"/>
      <c r="D28" s="840">
        <v>0</v>
      </c>
      <c r="E28" s="852"/>
      <c r="F28" s="852"/>
      <c r="G28" s="852"/>
      <c r="H28" s="852">
        <f t="shared" si="0"/>
        <v>0</v>
      </c>
      <c r="I28" s="852">
        <v>0</v>
      </c>
      <c r="J28" s="852"/>
      <c r="K28" s="852"/>
      <c r="L28" s="852"/>
      <c r="M28" s="852">
        <f t="shared" si="1"/>
        <v>0</v>
      </c>
      <c r="N28" s="852">
        <v>0</v>
      </c>
      <c r="O28" s="852"/>
      <c r="P28" s="852"/>
      <c r="Q28" s="852"/>
      <c r="R28" s="852">
        <f t="shared" si="2"/>
        <v>0</v>
      </c>
    </row>
    <row r="29" spans="1:18" s="6" customFormat="1" ht="60" hidden="1" customHeight="1">
      <c r="A29" s="730">
        <v>17120</v>
      </c>
      <c r="B29" s="731" t="s">
        <v>219</v>
      </c>
      <c r="C29" s="840"/>
      <c r="D29" s="840">
        <v>0</v>
      </c>
      <c r="E29" s="852"/>
      <c r="F29" s="852"/>
      <c r="G29" s="852"/>
      <c r="H29" s="852">
        <f t="shared" si="0"/>
        <v>0</v>
      </c>
      <c r="I29" s="852">
        <v>0</v>
      </c>
      <c r="J29" s="852"/>
      <c r="K29" s="852"/>
      <c r="L29" s="852"/>
      <c r="M29" s="852">
        <f t="shared" si="1"/>
        <v>0</v>
      </c>
      <c r="N29" s="852">
        <v>0</v>
      </c>
      <c r="O29" s="852"/>
      <c r="P29" s="852"/>
      <c r="Q29" s="852"/>
      <c r="R29" s="852">
        <f t="shared" si="2"/>
        <v>0</v>
      </c>
    </row>
    <row r="30" spans="1:18" s="6" customFormat="1" ht="108" hidden="1" customHeight="1">
      <c r="A30" s="730">
        <v>17130</v>
      </c>
      <c r="B30" s="731" t="s">
        <v>560</v>
      </c>
      <c r="C30" s="840"/>
      <c r="D30" s="840">
        <v>0</v>
      </c>
      <c r="E30" s="852"/>
      <c r="F30" s="852"/>
      <c r="G30" s="852"/>
      <c r="H30" s="852">
        <f t="shared" si="0"/>
        <v>0</v>
      </c>
      <c r="I30" s="852">
        <v>0</v>
      </c>
      <c r="J30" s="852"/>
      <c r="K30" s="852"/>
      <c r="L30" s="852"/>
      <c r="M30" s="852">
        <f t="shared" si="1"/>
        <v>0</v>
      </c>
      <c r="N30" s="852">
        <v>0</v>
      </c>
      <c r="O30" s="852"/>
      <c r="P30" s="852"/>
      <c r="Q30" s="852"/>
      <c r="R30" s="852">
        <f t="shared" si="2"/>
        <v>0</v>
      </c>
    </row>
    <row r="31" spans="1:18" s="6" customFormat="1" ht="96" hidden="1" customHeight="1">
      <c r="A31" s="730">
        <v>17140</v>
      </c>
      <c r="B31" s="731" t="s">
        <v>561</v>
      </c>
      <c r="C31" s="840"/>
      <c r="D31" s="840">
        <v>0</v>
      </c>
      <c r="E31" s="852"/>
      <c r="F31" s="852"/>
      <c r="G31" s="852"/>
      <c r="H31" s="852">
        <f t="shared" si="0"/>
        <v>0</v>
      </c>
      <c r="I31" s="852">
        <v>0</v>
      </c>
      <c r="J31" s="852"/>
      <c r="K31" s="852"/>
      <c r="L31" s="852"/>
      <c r="M31" s="852">
        <f t="shared" si="1"/>
        <v>0</v>
      </c>
      <c r="N31" s="852">
        <v>0</v>
      </c>
      <c r="O31" s="852"/>
      <c r="P31" s="852"/>
      <c r="Q31" s="852"/>
      <c r="R31" s="852">
        <f t="shared" si="2"/>
        <v>0</v>
      </c>
    </row>
    <row r="32" spans="1:18" s="6" customFormat="1" ht="12">
      <c r="A32" s="722">
        <v>21700</v>
      </c>
      <c r="B32" s="723" t="s">
        <v>97</v>
      </c>
      <c r="C32" s="840">
        <v>367981744</v>
      </c>
      <c r="D32" s="840">
        <v>380495568</v>
      </c>
      <c r="E32" s="852">
        <f>E33+E34</f>
        <v>0</v>
      </c>
      <c r="F32" s="852">
        <f>F33+F34</f>
        <v>174534</v>
      </c>
      <c r="G32" s="852">
        <f>G33+G34</f>
        <v>22710443</v>
      </c>
      <c r="H32" s="852">
        <f t="shared" si="0"/>
        <v>403380545</v>
      </c>
      <c r="I32" s="852">
        <v>201361914</v>
      </c>
      <c r="J32" s="852">
        <f>J33+J34</f>
        <v>0</v>
      </c>
      <c r="K32" s="852">
        <f>K33+K34</f>
        <v>149052</v>
      </c>
      <c r="L32" s="852">
        <f>L33+L34</f>
        <v>24900000</v>
      </c>
      <c r="M32" s="852">
        <f t="shared" si="1"/>
        <v>226410966</v>
      </c>
      <c r="N32" s="852">
        <v>110371706</v>
      </c>
      <c r="O32" s="852">
        <f>O33+O34</f>
        <v>0</v>
      </c>
      <c r="P32" s="852">
        <f>P33+P34</f>
        <v>126602</v>
      </c>
      <c r="Q32" s="852">
        <f>Q33+Q34</f>
        <v>24900000</v>
      </c>
      <c r="R32" s="852">
        <f t="shared" si="2"/>
        <v>135398308</v>
      </c>
    </row>
    <row r="33" spans="1:18" s="6" customFormat="1" ht="24">
      <c r="A33" s="724">
        <v>21710</v>
      </c>
      <c r="B33" s="725" t="s">
        <v>98</v>
      </c>
      <c r="C33" s="840">
        <v>309356846</v>
      </c>
      <c r="D33" s="840">
        <v>284415651</v>
      </c>
      <c r="E33" s="852"/>
      <c r="F33" s="852">
        <f>F117</f>
        <v>174534</v>
      </c>
      <c r="G33" s="852">
        <f>G117</f>
        <v>22710443</v>
      </c>
      <c r="H33" s="852">
        <f t="shared" si="0"/>
        <v>307300628</v>
      </c>
      <c r="I33" s="852">
        <v>184100823</v>
      </c>
      <c r="J33" s="852"/>
      <c r="K33" s="852">
        <f>K117</f>
        <v>149052</v>
      </c>
      <c r="L33" s="852">
        <f>L117</f>
        <v>24900000</v>
      </c>
      <c r="M33" s="852">
        <f t="shared" si="1"/>
        <v>209149875</v>
      </c>
      <c r="N33" s="852">
        <v>110371706</v>
      </c>
      <c r="O33" s="852"/>
      <c r="P33" s="852">
        <f>P117</f>
        <v>126602</v>
      </c>
      <c r="Q33" s="852">
        <f>Q117</f>
        <v>24900000</v>
      </c>
      <c r="R33" s="852">
        <f t="shared" si="2"/>
        <v>135398308</v>
      </c>
    </row>
    <row r="34" spans="1:18" s="6" customFormat="1" ht="24">
      <c r="A34" s="724">
        <v>21720</v>
      </c>
      <c r="B34" s="725" t="s">
        <v>99</v>
      </c>
      <c r="C34" s="840">
        <v>58624898</v>
      </c>
      <c r="D34" s="840">
        <v>96079917</v>
      </c>
      <c r="E34" s="852"/>
      <c r="F34" s="852"/>
      <c r="G34" s="852">
        <f>G202</f>
        <v>0</v>
      </c>
      <c r="H34" s="852">
        <f t="shared" si="0"/>
        <v>96079917</v>
      </c>
      <c r="I34" s="852">
        <v>17261091</v>
      </c>
      <c r="J34" s="852"/>
      <c r="K34" s="852"/>
      <c r="L34" s="852"/>
      <c r="M34" s="852">
        <f t="shared" si="1"/>
        <v>17261091</v>
      </c>
      <c r="N34" s="852">
        <v>0</v>
      </c>
      <c r="O34" s="852"/>
      <c r="P34" s="852"/>
      <c r="Q34" s="852"/>
      <c r="R34" s="852">
        <f t="shared" si="2"/>
        <v>0</v>
      </c>
    </row>
    <row r="35" spans="1:18" s="6" customFormat="1" ht="11.4">
      <c r="A35" s="732" t="s">
        <v>100</v>
      </c>
      <c r="B35" s="733" t="s">
        <v>101</v>
      </c>
      <c r="C35" s="841">
        <v>396161505</v>
      </c>
      <c r="D35" s="841">
        <v>383505301</v>
      </c>
      <c r="E35" s="848">
        <f>E36+E63</f>
        <v>0</v>
      </c>
      <c r="F35" s="848">
        <f>F36+F63</f>
        <v>160179</v>
      </c>
      <c r="G35" s="848">
        <f>G36+G63</f>
        <v>22800443</v>
      </c>
      <c r="H35" s="848">
        <f t="shared" si="0"/>
        <v>406465923</v>
      </c>
      <c r="I35" s="848">
        <v>204504831</v>
      </c>
      <c r="J35" s="848">
        <f>J36+J63</f>
        <v>0</v>
      </c>
      <c r="K35" s="848">
        <f>K36+K63</f>
        <v>134697</v>
      </c>
      <c r="L35" s="848">
        <f>L36+L63</f>
        <v>24907686</v>
      </c>
      <c r="M35" s="848">
        <f t="shared" si="1"/>
        <v>229547214</v>
      </c>
      <c r="N35" s="848">
        <v>113214623</v>
      </c>
      <c r="O35" s="848">
        <f>O36+O63</f>
        <v>0</v>
      </c>
      <c r="P35" s="848">
        <f>P36+P63</f>
        <v>112247</v>
      </c>
      <c r="Q35" s="848">
        <f>Q36+Q63</f>
        <v>24900000</v>
      </c>
      <c r="R35" s="848">
        <f t="shared" si="2"/>
        <v>138226870</v>
      </c>
    </row>
    <row r="36" spans="1:18" s="6" customFormat="1" ht="20.399999999999999">
      <c r="A36" s="722" t="s">
        <v>102</v>
      </c>
      <c r="B36" s="723" t="s">
        <v>103</v>
      </c>
      <c r="C36" s="840">
        <v>213831838</v>
      </c>
      <c r="D36" s="840">
        <v>202554070</v>
      </c>
      <c r="E36" s="852">
        <f>E37+E41+E42+E45+E48</f>
        <v>0</v>
      </c>
      <c r="F36" s="852">
        <f>F37+F41+F42+F45+F48</f>
        <v>160029</v>
      </c>
      <c r="G36" s="852">
        <f>G37+G41+G42+G45+G48</f>
        <v>15789334</v>
      </c>
      <c r="H36" s="852">
        <f t="shared" si="0"/>
        <v>218503433</v>
      </c>
      <c r="I36" s="852">
        <v>181526032</v>
      </c>
      <c r="J36" s="852">
        <f>J37+J41+J42+J45+J48</f>
        <v>0</v>
      </c>
      <c r="K36" s="852">
        <f>K37+K41+K42+K45+K48</f>
        <v>134697</v>
      </c>
      <c r="L36" s="852">
        <f>L37+L41+L42+L45+L48</f>
        <v>18200848</v>
      </c>
      <c r="M36" s="852">
        <f t="shared" si="1"/>
        <v>199861577</v>
      </c>
      <c r="N36" s="852">
        <v>108090504</v>
      </c>
      <c r="O36" s="852">
        <f>O37+O41+O42+O45+O48</f>
        <v>0</v>
      </c>
      <c r="P36" s="852">
        <f>P37+P41+P42+P45+P48</f>
        <v>112247</v>
      </c>
      <c r="Q36" s="852">
        <f>Q37+Q41+Q42+Q45+Q48</f>
        <v>18507904</v>
      </c>
      <c r="R36" s="852">
        <f t="shared" si="2"/>
        <v>126710655</v>
      </c>
    </row>
    <row r="37" spans="1:18" s="6" customFormat="1" ht="12">
      <c r="A37" s="722" t="s">
        <v>104</v>
      </c>
      <c r="B37" s="723" t="s">
        <v>105</v>
      </c>
      <c r="C37" s="840">
        <v>52646460</v>
      </c>
      <c r="D37" s="840">
        <v>53441646</v>
      </c>
      <c r="E37" s="852">
        <f>E38+E40</f>
        <v>0</v>
      </c>
      <c r="F37" s="852">
        <f>F38+F40</f>
        <v>243288</v>
      </c>
      <c r="G37" s="852">
        <f>G38+G40</f>
        <v>100443</v>
      </c>
      <c r="H37" s="852">
        <f t="shared" si="0"/>
        <v>53785377</v>
      </c>
      <c r="I37" s="852">
        <v>53426975</v>
      </c>
      <c r="J37" s="852">
        <f>J38+J40</f>
        <v>0</v>
      </c>
      <c r="K37" s="852">
        <f>K38+K40</f>
        <v>229396</v>
      </c>
      <c r="L37" s="852">
        <f>L38+L40</f>
        <v>7686</v>
      </c>
      <c r="M37" s="852">
        <f t="shared" si="1"/>
        <v>53664057</v>
      </c>
      <c r="N37" s="852">
        <v>53126975</v>
      </c>
      <c r="O37" s="852">
        <f>O38+O40</f>
        <v>0</v>
      </c>
      <c r="P37" s="852">
        <f>P38+P40</f>
        <v>206946</v>
      </c>
      <c r="Q37" s="852">
        <f>Q38+Q40</f>
        <v>0</v>
      </c>
      <c r="R37" s="852">
        <f t="shared" si="2"/>
        <v>53333921</v>
      </c>
    </row>
    <row r="38" spans="1:18" s="6" customFormat="1" ht="12">
      <c r="A38" s="724">
        <v>1000</v>
      </c>
      <c r="B38" s="725" t="s">
        <v>106</v>
      </c>
      <c r="C38" s="840">
        <v>2104813</v>
      </c>
      <c r="D38" s="840">
        <v>2014813</v>
      </c>
      <c r="E38" s="852"/>
      <c r="F38" s="852">
        <f t="shared" ref="F38:G40" si="6">F122</f>
        <v>113258</v>
      </c>
      <c r="G38" s="852">
        <f t="shared" si="6"/>
        <v>61471</v>
      </c>
      <c r="H38" s="852">
        <f t="shared" si="0"/>
        <v>2189542</v>
      </c>
      <c r="I38" s="852">
        <v>2014813</v>
      </c>
      <c r="J38" s="852"/>
      <c r="K38" s="852">
        <f t="shared" ref="K38:L40" si="7">K122</f>
        <v>133596</v>
      </c>
      <c r="L38" s="852">
        <f t="shared" si="7"/>
        <v>0</v>
      </c>
      <c r="M38" s="852">
        <f t="shared" si="1"/>
        <v>2148409</v>
      </c>
      <c r="N38" s="852">
        <v>2014813</v>
      </c>
      <c r="O38" s="852"/>
      <c r="P38" s="852">
        <f t="shared" ref="P38:Q40" si="8">P122</f>
        <v>119746</v>
      </c>
      <c r="Q38" s="852">
        <f t="shared" si="8"/>
        <v>0</v>
      </c>
      <c r="R38" s="852">
        <f t="shared" si="2"/>
        <v>2134559</v>
      </c>
    </row>
    <row r="39" spans="1:18" s="6" customFormat="1" ht="12">
      <c r="A39" s="724">
        <v>1100</v>
      </c>
      <c r="B39" s="725" t="s">
        <v>107</v>
      </c>
      <c r="C39" s="840">
        <v>1623715</v>
      </c>
      <c r="D39" s="840">
        <v>1551187</v>
      </c>
      <c r="E39" s="852"/>
      <c r="F39" s="852">
        <f t="shared" si="6"/>
        <v>78612</v>
      </c>
      <c r="G39" s="852">
        <f t="shared" si="6"/>
        <v>49538</v>
      </c>
      <c r="H39" s="852">
        <f t="shared" si="0"/>
        <v>1679337</v>
      </c>
      <c r="I39" s="852">
        <v>1551187</v>
      </c>
      <c r="J39" s="852"/>
      <c r="K39" s="852">
        <f t="shared" si="7"/>
        <v>86196</v>
      </c>
      <c r="L39" s="852">
        <f t="shared" si="7"/>
        <v>0</v>
      </c>
      <c r="M39" s="852">
        <f t="shared" si="1"/>
        <v>1637383</v>
      </c>
      <c r="N39" s="852">
        <v>1551187</v>
      </c>
      <c r="O39" s="852"/>
      <c r="P39" s="852">
        <f t="shared" si="8"/>
        <v>82140</v>
      </c>
      <c r="Q39" s="852">
        <f t="shared" si="8"/>
        <v>0</v>
      </c>
      <c r="R39" s="852">
        <f t="shared" si="2"/>
        <v>1633327</v>
      </c>
    </row>
    <row r="40" spans="1:18" s="6" customFormat="1" ht="12">
      <c r="A40" s="724">
        <v>2000</v>
      </c>
      <c r="B40" s="725" t="s">
        <v>108</v>
      </c>
      <c r="C40" s="840">
        <v>50541647</v>
      </c>
      <c r="D40" s="840">
        <v>51426833</v>
      </c>
      <c r="E40" s="852"/>
      <c r="F40" s="852">
        <f t="shared" si="6"/>
        <v>130030</v>
      </c>
      <c r="G40" s="852">
        <f t="shared" si="6"/>
        <v>38972</v>
      </c>
      <c r="H40" s="852">
        <f t="shared" si="0"/>
        <v>51595835</v>
      </c>
      <c r="I40" s="852">
        <v>51412162</v>
      </c>
      <c r="J40" s="852"/>
      <c r="K40" s="852">
        <f t="shared" si="7"/>
        <v>95800</v>
      </c>
      <c r="L40" s="852">
        <f>L124</f>
        <v>7686</v>
      </c>
      <c r="M40" s="852">
        <f t="shared" si="1"/>
        <v>51515648</v>
      </c>
      <c r="N40" s="852">
        <v>51112162</v>
      </c>
      <c r="O40" s="852"/>
      <c r="P40" s="852">
        <f t="shared" si="8"/>
        <v>87200</v>
      </c>
      <c r="Q40" s="852">
        <f t="shared" si="8"/>
        <v>0</v>
      </c>
      <c r="R40" s="852">
        <f t="shared" si="2"/>
        <v>51199362</v>
      </c>
    </row>
    <row r="41" spans="1:18" s="6" customFormat="1" ht="12" hidden="1" customHeight="1">
      <c r="A41" s="722">
        <v>4000</v>
      </c>
      <c r="B41" s="723" t="s">
        <v>132</v>
      </c>
      <c r="C41" s="840">
        <v>0</v>
      </c>
      <c r="D41" s="840">
        <v>0</v>
      </c>
      <c r="E41" s="852"/>
      <c r="F41" s="852"/>
      <c r="G41" s="852"/>
      <c r="H41" s="852">
        <f t="shared" si="0"/>
        <v>0</v>
      </c>
      <c r="I41" s="852">
        <v>0</v>
      </c>
      <c r="J41" s="852"/>
      <c r="K41" s="852"/>
      <c r="L41" s="852"/>
      <c r="M41" s="852">
        <f t="shared" si="1"/>
        <v>0</v>
      </c>
      <c r="N41" s="852">
        <v>0</v>
      </c>
      <c r="O41" s="852"/>
      <c r="P41" s="852"/>
      <c r="Q41" s="852"/>
      <c r="R41" s="852">
        <f t="shared" si="2"/>
        <v>0</v>
      </c>
    </row>
    <row r="42" spans="1:18" s="6" customFormat="1" ht="12">
      <c r="A42" s="722" t="s">
        <v>109</v>
      </c>
      <c r="B42" s="723" t="s">
        <v>110</v>
      </c>
      <c r="C42" s="840">
        <v>128241696</v>
      </c>
      <c r="D42" s="840">
        <v>123353964</v>
      </c>
      <c r="E42" s="852">
        <f>E43+E44</f>
        <v>0</v>
      </c>
      <c r="F42" s="852">
        <f>F43+F44</f>
        <v>142740</v>
      </c>
      <c r="G42" s="852">
        <f>G43+G44</f>
        <v>6700123</v>
      </c>
      <c r="H42" s="852">
        <f t="shared" si="0"/>
        <v>130196827</v>
      </c>
      <c r="I42" s="852">
        <v>102340597</v>
      </c>
      <c r="J42" s="852">
        <f>J43+J44</f>
        <v>0</v>
      </c>
      <c r="K42" s="852">
        <f>K43+K44</f>
        <v>131300</v>
      </c>
      <c r="L42" s="852">
        <f>L43+L44</f>
        <v>8120654</v>
      </c>
      <c r="M42" s="852">
        <f t="shared" si="1"/>
        <v>110592551</v>
      </c>
      <c r="N42" s="852">
        <v>29205069</v>
      </c>
      <c r="O42" s="852">
        <f>O43+O44</f>
        <v>0</v>
      </c>
      <c r="P42" s="852">
        <f>P43+P44</f>
        <v>131300</v>
      </c>
      <c r="Q42" s="852">
        <f>Q43+Q44</f>
        <v>8304608</v>
      </c>
      <c r="R42" s="852">
        <f t="shared" si="2"/>
        <v>37640977</v>
      </c>
    </row>
    <row r="43" spans="1:18" s="6" customFormat="1" ht="12">
      <c r="A43" s="724">
        <v>3000</v>
      </c>
      <c r="B43" s="725" t="s">
        <v>111</v>
      </c>
      <c r="C43" s="842">
        <v>128241696</v>
      </c>
      <c r="D43" s="842">
        <v>123353964</v>
      </c>
      <c r="E43" s="853"/>
      <c r="F43" s="853">
        <f>F127</f>
        <v>142740</v>
      </c>
      <c r="G43" s="853">
        <f>G127</f>
        <v>6700123</v>
      </c>
      <c r="H43" s="852">
        <f t="shared" si="0"/>
        <v>130196827</v>
      </c>
      <c r="I43" s="853">
        <v>102340597</v>
      </c>
      <c r="J43" s="853"/>
      <c r="K43" s="853">
        <f>K127</f>
        <v>131300</v>
      </c>
      <c r="L43" s="853">
        <f>L127</f>
        <v>8120654</v>
      </c>
      <c r="M43" s="852">
        <f t="shared" si="1"/>
        <v>110592551</v>
      </c>
      <c r="N43" s="853">
        <v>29205069</v>
      </c>
      <c r="O43" s="853"/>
      <c r="P43" s="853">
        <f>P127</f>
        <v>131300</v>
      </c>
      <c r="Q43" s="853">
        <f>Q127</f>
        <v>8304608</v>
      </c>
      <c r="R43" s="852">
        <f t="shared" si="2"/>
        <v>37640977</v>
      </c>
    </row>
    <row r="44" spans="1:18" s="6" customFormat="1" ht="12" hidden="1" customHeight="1">
      <c r="A44" s="724">
        <v>6000</v>
      </c>
      <c r="B44" s="725" t="s">
        <v>112</v>
      </c>
      <c r="C44" s="840">
        <v>0</v>
      </c>
      <c r="D44" s="840">
        <v>0</v>
      </c>
      <c r="E44" s="852"/>
      <c r="F44" s="852"/>
      <c r="G44" s="852"/>
      <c r="H44" s="852">
        <f t="shared" si="0"/>
        <v>0</v>
      </c>
      <c r="I44" s="852">
        <v>0</v>
      </c>
      <c r="J44" s="852"/>
      <c r="K44" s="852"/>
      <c r="L44" s="852"/>
      <c r="M44" s="852">
        <f t="shared" si="1"/>
        <v>0</v>
      </c>
      <c r="N44" s="852">
        <v>0</v>
      </c>
      <c r="O44" s="852"/>
      <c r="P44" s="852"/>
      <c r="Q44" s="852"/>
      <c r="R44" s="852">
        <f t="shared" si="2"/>
        <v>0</v>
      </c>
    </row>
    <row r="45" spans="1:18" s="6" customFormat="1" ht="22.8">
      <c r="A45" s="722" t="s">
        <v>113</v>
      </c>
      <c r="B45" s="723" t="s">
        <v>183</v>
      </c>
      <c r="C45" s="840">
        <v>447604</v>
      </c>
      <c r="D45" s="840">
        <v>167281</v>
      </c>
      <c r="E45" s="852">
        <f>E46+E47</f>
        <v>0</v>
      </c>
      <c r="F45" s="852">
        <f>F46+F47</f>
        <v>0</v>
      </c>
      <c r="G45" s="852">
        <f>G46+G47</f>
        <v>0</v>
      </c>
      <c r="H45" s="852">
        <f t="shared" si="0"/>
        <v>167281</v>
      </c>
      <c r="I45" s="852">
        <v>167281</v>
      </c>
      <c r="J45" s="852">
        <f>J46+J47</f>
        <v>0</v>
      </c>
      <c r="K45" s="852">
        <f>K46+K47</f>
        <v>0</v>
      </c>
      <c r="L45" s="852">
        <f>L46+L47</f>
        <v>0</v>
      </c>
      <c r="M45" s="852">
        <f t="shared" si="1"/>
        <v>167281</v>
      </c>
      <c r="N45" s="852">
        <v>167281</v>
      </c>
      <c r="O45" s="852">
        <f>O46+O47</f>
        <v>0</v>
      </c>
      <c r="P45" s="852">
        <f>P46+P47</f>
        <v>0</v>
      </c>
      <c r="Q45" s="852">
        <f>Q46+Q47</f>
        <v>0</v>
      </c>
      <c r="R45" s="852">
        <f t="shared" si="2"/>
        <v>167281</v>
      </c>
    </row>
    <row r="46" spans="1:18" s="6" customFormat="1" ht="12">
      <c r="A46" s="724">
        <v>7600</v>
      </c>
      <c r="B46" s="727" t="s">
        <v>184</v>
      </c>
      <c r="C46" s="840">
        <v>290426</v>
      </c>
      <c r="D46" s="840">
        <v>0</v>
      </c>
      <c r="E46" s="852"/>
      <c r="F46" s="852"/>
      <c r="G46" s="852"/>
      <c r="H46" s="852">
        <f t="shared" si="0"/>
        <v>0</v>
      </c>
      <c r="I46" s="852">
        <v>0</v>
      </c>
      <c r="J46" s="852"/>
      <c r="K46" s="852"/>
      <c r="L46" s="852"/>
      <c r="M46" s="852">
        <f t="shared" si="1"/>
        <v>0</v>
      </c>
      <c r="N46" s="852">
        <v>0</v>
      </c>
      <c r="O46" s="852"/>
      <c r="P46" s="852"/>
      <c r="Q46" s="852"/>
      <c r="R46" s="852">
        <f t="shared" si="2"/>
        <v>0</v>
      </c>
    </row>
    <row r="47" spans="1:18" s="6" customFormat="1" ht="12">
      <c r="A47" s="724">
        <v>7700</v>
      </c>
      <c r="B47" s="727" t="s">
        <v>114</v>
      </c>
      <c r="C47" s="840">
        <v>157178</v>
      </c>
      <c r="D47" s="840">
        <v>167281</v>
      </c>
      <c r="E47" s="852"/>
      <c r="F47" s="852"/>
      <c r="G47" s="852"/>
      <c r="H47" s="852">
        <f t="shared" si="0"/>
        <v>167281</v>
      </c>
      <c r="I47" s="852">
        <v>167281</v>
      </c>
      <c r="J47" s="852"/>
      <c r="K47" s="852"/>
      <c r="L47" s="852"/>
      <c r="M47" s="852">
        <f t="shared" si="1"/>
        <v>167281</v>
      </c>
      <c r="N47" s="852">
        <v>167281</v>
      </c>
      <c r="O47" s="852"/>
      <c r="P47" s="852"/>
      <c r="Q47" s="852"/>
      <c r="R47" s="852">
        <f t="shared" si="2"/>
        <v>167281</v>
      </c>
    </row>
    <row r="48" spans="1:18" s="6" customFormat="1" ht="20.399999999999999">
      <c r="A48" s="722" t="s">
        <v>185</v>
      </c>
      <c r="B48" s="723" t="s">
        <v>115</v>
      </c>
      <c r="C48" s="840">
        <v>32496078</v>
      </c>
      <c r="D48" s="840">
        <v>25591179</v>
      </c>
      <c r="E48" s="852">
        <f>E49+E55+E59+E62</f>
        <v>0</v>
      </c>
      <c r="F48" s="852">
        <f>F49+F55+F59+F62</f>
        <v>-225999</v>
      </c>
      <c r="G48" s="852">
        <f>G49+G55+G59+G62</f>
        <v>8988768</v>
      </c>
      <c r="H48" s="852">
        <f t="shared" si="0"/>
        <v>34353948</v>
      </c>
      <c r="I48" s="852">
        <v>25591179</v>
      </c>
      <c r="J48" s="852">
        <f>J49+J55+J59+J62</f>
        <v>0</v>
      </c>
      <c r="K48" s="852">
        <f>K49+K55+K59+K62</f>
        <v>-225999</v>
      </c>
      <c r="L48" s="852">
        <f>L49+L55+L59+L62</f>
        <v>10072508</v>
      </c>
      <c r="M48" s="852">
        <f t="shared" si="1"/>
        <v>35437688</v>
      </c>
      <c r="N48" s="852">
        <v>25591179</v>
      </c>
      <c r="O48" s="852">
        <f>O49+O55+O59+O62</f>
        <v>0</v>
      </c>
      <c r="P48" s="852">
        <f>P49+P55+P59+P62</f>
        <v>-225999</v>
      </c>
      <c r="Q48" s="852">
        <f>Q49+Q55+Q59+Q62</f>
        <v>10203296</v>
      </c>
      <c r="R48" s="852">
        <f t="shared" si="2"/>
        <v>35568476</v>
      </c>
    </row>
    <row r="49" spans="1:18" s="6" customFormat="1" ht="12" hidden="1" customHeight="1">
      <c r="A49" s="724">
        <v>7100</v>
      </c>
      <c r="B49" s="727" t="s">
        <v>116</v>
      </c>
      <c r="C49" s="840">
        <v>0</v>
      </c>
      <c r="D49" s="840">
        <v>0</v>
      </c>
      <c r="E49" s="852">
        <f>E50+E51</f>
        <v>0</v>
      </c>
      <c r="F49" s="852">
        <f>F50+F51</f>
        <v>0</v>
      </c>
      <c r="G49" s="852">
        <f>G50+G51</f>
        <v>0</v>
      </c>
      <c r="H49" s="852">
        <f t="shared" si="0"/>
        <v>0</v>
      </c>
      <c r="I49" s="852">
        <v>0</v>
      </c>
      <c r="J49" s="852">
        <f>J50+J51</f>
        <v>0</v>
      </c>
      <c r="K49" s="852">
        <f>K50+K51</f>
        <v>0</v>
      </c>
      <c r="L49" s="852">
        <f>L50+L51</f>
        <v>0</v>
      </c>
      <c r="M49" s="852">
        <f t="shared" si="1"/>
        <v>0</v>
      </c>
      <c r="N49" s="852">
        <v>0</v>
      </c>
      <c r="O49" s="852">
        <f>O50+O51</f>
        <v>0</v>
      </c>
      <c r="P49" s="852">
        <f>P50+P51</f>
        <v>0</v>
      </c>
      <c r="Q49" s="852">
        <f>Q50+Q51</f>
        <v>0</v>
      </c>
      <c r="R49" s="852">
        <f t="shared" si="2"/>
        <v>0</v>
      </c>
    </row>
    <row r="50" spans="1:18" s="6" customFormat="1" ht="24" hidden="1" customHeight="1">
      <c r="A50" s="726" t="s">
        <v>117</v>
      </c>
      <c r="B50" s="727" t="s">
        <v>118</v>
      </c>
      <c r="C50" s="840">
        <v>0</v>
      </c>
      <c r="D50" s="840">
        <v>0</v>
      </c>
      <c r="E50" s="852"/>
      <c r="F50" s="852"/>
      <c r="G50" s="852"/>
      <c r="H50" s="852">
        <f t="shared" si="0"/>
        <v>0</v>
      </c>
      <c r="I50" s="852">
        <v>0</v>
      </c>
      <c r="J50" s="852"/>
      <c r="K50" s="852"/>
      <c r="L50" s="852"/>
      <c r="M50" s="852">
        <f t="shared" si="1"/>
        <v>0</v>
      </c>
      <c r="N50" s="852">
        <v>0</v>
      </c>
      <c r="O50" s="852"/>
      <c r="P50" s="852"/>
      <c r="Q50" s="852"/>
      <c r="R50" s="852">
        <f t="shared" si="2"/>
        <v>0</v>
      </c>
    </row>
    <row r="51" spans="1:18" s="6" customFormat="1" ht="24" hidden="1" customHeight="1">
      <c r="A51" s="726">
        <v>7130</v>
      </c>
      <c r="B51" s="727" t="s">
        <v>119</v>
      </c>
      <c r="C51" s="840">
        <v>0</v>
      </c>
      <c r="D51" s="840">
        <v>0</v>
      </c>
      <c r="E51" s="852">
        <f>SUM(E52:E54)</f>
        <v>0</v>
      </c>
      <c r="F51" s="852">
        <f>SUM(F52:F54)</f>
        <v>0</v>
      </c>
      <c r="G51" s="852">
        <f>SUM(G52:G54)</f>
        <v>0</v>
      </c>
      <c r="H51" s="852">
        <f t="shared" si="0"/>
        <v>0</v>
      </c>
      <c r="I51" s="852">
        <v>0</v>
      </c>
      <c r="J51" s="852">
        <f>SUM(J52:J54)</f>
        <v>0</v>
      </c>
      <c r="K51" s="852">
        <f>SUM(K52:K54)</f>
        <v>0</v>
      </c>
      <c r="L51" s="852">
        <f>SUM(L52:L54)</f>
        <v>0</v>
      </c>
      <c r="M51" s="852">
        <f t="shared" si="1"/>
        <v>0</v>
      </c>
      <c r="N51" s="852">
        <v>0</v>
      </c>
      <c r="O51" s="852">
        <f>SUM(O52:O54)</f>
        <v>0</v>
      </c>
      <c r="P51" s="852">
        <f>SUM(P52:P54)</f>
        <v>0</v>
      </c>
      <c r="Q51" s="852">
        <f>SUM(Q52:Q54)</f>
        <v>0</v>
      </c>
      <c r="R51" s="852">
        <f t="shared" si="2"/>
        <v>0</v>
      </c>
    </row>
    <row r="52" spans="1:18" s="6" customFormat="1" ht="36" hidden="1" customHeight="1">
      <c r="A52" s="726">
        <v>7131</v>
      </c>
      <c r="B52" s="727" t="s">
        <v>120</v>
      </c>
      <c r="C52" s="840">
        <v>0</v>
      </c>
      <c r="D52" s="840">
        <v>0</v>
      </c>
      <c r="E52" s="852"/>
      <c r="F52" s="852"/>
      <c r="G52" s="852"/>
      <c r="H52" s="852">
        <f t="shared" si="0"/>
        <v>0</v>
      </c>
      <c r="I52" s="852">
        <v>0</v>
      </c>
      <c r="J52" s="852"/>
      <c r="K52" s="852"/>
      <c r="L52" s="852"/>
      <c r="M52" s="852">
        <f t="shared" si="1"/>
        <v>0</v>
      </c>
      <c r="N52" s="852">
        <v>0</v>
      </c>
      <c r="O52" s="852"/>
      <c r="P52" s="852"/>
      <c r="Q52" s="852"/>
      <c r="R52" s="852">
        <f t="shared" si="2"/>
        <v>0</v>
      </c>
    </row>
    <row r="53" spans="1:18" s="6" customFormat="1" ht="36" hidden="1" customHeight="1">
      <c r="A53" s="726">
        <v>7132</v>
      </c>
      <c r="B53" s="727" t="s">
        <v>121</v>
      </c>
      <c r="C53" s="840">
        <v>0</v>
      </c>
      <c r="D53" s="840">
        <v>0</v>
      </c>
      <c r="E53" s="852"/>
      <c r="F53" s="852"/>
      <c r="G53" s="852"/>
      <c r="H53" s="852">
        <f t="shared" si="0"/>
        <v>0</v>
      </c>
      <c r="I53" s="852">
        <v>0</v>
      </c>
      <c r="J53" s="852"/>
      <c r="K53" s="852"/>
      <c r="L53" s="852"/>
      <c r="M53" s="852">
        <f t="shared" si="1"/>
        <v>0</v>
      </c>
      <c r="N53" s="852">
        <v>0</v>
      </c>
      <c r="O53" s="852"/>
      <c r="P53" s="852"/>
      <c r="Q53" s="852"/>
      <c r="R53" s="852">
        <f t="shared" si="2"/>
        <v>0</v>
      </c>
    </row>
    <row r="54" spans="1:18" s="6" customFormat="1" ht="24" hidden="1" customHeight="1">
      <c r="A54" s="726" t="s">
        <v>186</v>
      </c>
      <c r="B54" s="727" t="s">
        <v>187</v>
      </c>
      <c r="C54" s="840">
        <v>0</v>
      </c>
      <c r="D54" s="840">
        <v>0</v>
      </c>
      <c r="E54" s="852"/>
      <c r="F54" s="852"/>
      <c r="G54" s="852"/>
      <c r="H54" s="852">
        <f t="shared" si="0"/>
        <v>0</v>
      </c>
      <c r="I54" s="852">
        <v>0</v>
      </c>
      <c r="J54" s="852"/>
      <c r="K54" s="852"/>
      <c r="L54" s="852"/>
      <c r="M54" s="852">
        <f t="shared" si="1"/>
        <v>0</v>
      </c>
      <c r="N54" s="852">
        <v>0</v>
      </c>
      <c r="O54" s="852"/>
      <c r="P54" s="852"/>
      <c r="Q54" s="852"/>
      <c r="R54" s="852">
        <f t="shared" si="2"/>
        <v>0</v>
      </c>
    </row>
    <row r="55" spans="1:18" s="6" customFormat="1" ht="24">
      <c r="A55" s="724">
        <v>7300</v>
      </c>
      <c r="B55" s="727" t="s">
        <v>155</v>
      </c>
      <c r="C55" s="840">
        <v>20550158</v>
      </c>
      <c r="D55" s="840">
        <v>16500447</v>
      </c>
      <c r="E55" s="852">
        <f>SUM(E56:E58)</f>
        <v>0</v>
      </c>
      <c r="F55" s="852">
        <f>SUM(F56:F58)</f>
        <v>0</v>
      </c>
      <c r="G55" s="852">
        <f>SUM(G56:G58)</f>
        <v>7040645</v>
      </c>
      <c r="H55" s="852">
        <f t="shared" si="0"/>
        <v>23541092</v>
      </c>
      <c r="I55" s="852">
        <v>16500447</v>
      </c>
      <c r="J55" s="852">
        <f>SUM(J56:J58)</f>
        <v>0</v>
      </c>
      <c r="K55" s="852">
        <f>SUM(K56:K58)</f>
        <v>0</v>
      </c>
      <c r="L55" s="852">
        <f>SUM(L56:L58)</f>
        <v>7291863</v>
      </c>
      <c r="M55" s="852">
        <f t="shared" si="1"/>
        <v>23792310</v>
      </c>
      <c r="N55" s="852">
        <v>16500447</v>
      </c>
      <c r="O55" s="852">
        <f>SUM(O56:O58)</f>
        <v>0</v>
      </c>
      <c r="P55" s="852">
        <f>SUM(P56:P58)</f>
        <v>0</v>
      </c>
      <c r="Q55" s="852">
        <f>SUM(Q56:Q58)</f>
        <v>7369208</v>
      </c>
      <c r="R55" s="852">
        <f t="shared" si="2"/>
        <v>23869655</v>
      </c>
    </row>
    <row r="56" spans="1:18" s="6" customFormat="1" ht="24">
      <c r="A56" s="726" t="s">
        <v>188</v>
      </c>
      <c r="B56" s="727" t="s">
        <v>170</v>
      </c>
      <c r="C56" s="843">
        <v>20550158</v>
      </c>
      <c r="D56" s="843">
        <v>16500447</v>
      </c>
      <c r="E56" s="854"/>
      <c r="F56" s="854">
        <f>F140</f>
        <v>0</v>
      </c>
      <c r="G56" s="854">
        <f>G140</f>
        <v>7040645</v>
      </c>
      <c r="H56" s="852">
        <f t="shared" si="0"/>
        <v>23541092</v>
      </c>
      <c r="I56" s="854">
        <v>16500447</v>
      </c>
      <c r="J56" s="854"/>
      <c r="K56" s="854">
        <f>K140</f>
        <v>0</v>
      </c>
      <c r="L56" s="854">
        <f>L140</f>
        <v>7291863</v>
      </c>
      <c r="M56" s="852">
        <f t="shared" si="1"/>
        <v>23792310</v>
      </c>
      <c r="N56" s="854">
        <v>16500447</v>
      </c>
      <c r="O56" s="854"/>
      <c r="P56" s="854">
        <f>P140</f>
        <v>0</v>
      </c>
      <c r="Q56" s="854">
        <f>Q140</f>
        <v>7369208</v>
      </c>
      <c r="R56" s="852">
        <f t="shared" si="2"/>
        <v>23869655</v>
      </c>
    </row>
    <row r="57" spans="1:18" s="29" customFormat="1" ht="48" hidden="1" customHeight="1">
      <c r="A57" s="726" t="s">
        <v>189</v>
      </c>
      <c r="B57" s="727" t="s">
        <v>156</v>
      </c>
      <c r="C57" s="843">
        <v>0</v>
      </c>
      <c r="D57" s="843">
        <v>0</v>
      </c>
      <c r="E57" s="854"/>
      <c r="F57" s="854"/>
      <c r="G57" s="854"/>
      <c r="H57" s="852">
        <f t="shared" si="0"/>
        <v>0</v>
      </c>
      <c r="I57" s="854">
        <v>0</v>
      </c>
      <c r="J57" s="854"/>
      <c r="K57" s="854"/>
      <c r="L57" s="854"/>
      <c r="M57" s="852">
        <f t="shared" si="1"/>
        <v>0</v>
      </c>
      <c r="N57" s="854">
        <v>0</v>
      </c>
      <c r="O57" s="854"/>
      <c r="P57" s="854"/>
      <c r="Q57" s="854"/>
      <c r="R57" s="852">
        <f t="shared" si="2"/>
        <v>0</v>
      </c>
    </row>
    <row r="58" spans="1:18" s="89" customFormat="1" ht="36" hidden="1" customHeight="1">
      <c r="A58" s="726">
        <v>7350</v>
      </c>
      <c r="B58" s="727" t="s">
        <v>163</v>
      </c>
      <c r="C58" s="843">
        <v>0</v>
      </c>
      <c r="D58" s="843">
        <v>0</v>
      </c>
      <c r="E58" s="854"/>
      <c r="F58" s="854"/>
      <c r="G58" s="854"/>
      <c r="H58" s="852">
        <f t="shared" si="0"/>
        <v>0</v>
      </c>
      <c r="I58" s="854">
        <v>0</v>
      </c>
      <c r="J58" s="854"/>
      <c r="K58" s="854"/>
      <c r="L58" s="854"/>
      <c r="M58" s="852">
        <f t="shared" si="1"/>
        <v>0</v>
      </c>
      <c r="N58" s="854">
        <v>0</v>
      </c>
      <c r="O58" s="854"/>
      <c r="P58" s="854"/>
      <c r="Q58" s="854"/>
      <c r="R58" s="852">
        <f t="shared" si="2"/>
        <v>0</v>
      </c>
    </row>
    <row r="59" spans="1:18" s="89" customFormat="1" ht="24">
      <c r="A59" s="724">
        <v>7400</v>
      </c>
      <c r="B59" s="727" t="s">
        <v>161</v>
      </c>
      <c r="C59" s="840">
        <v>10649616</v>
      </c>
      <c r="D59" s="840">
        <v>9090732</v>
      </c>
      <c r="E59" s="852">
        <f>SUM(E60:E61)</f>
        <v>0</v>
      </c>
      <c r="F59" s="852">
        <f>SUM(F60:F61)</f>
        <v>-225999</v>
      </c>
      <c r="G59" s="852">
        <f>SUM(G60:G61)</f>
        <v>1948123</v>
      </c>
      <c r="H59" s="852">
        <f t="shared" si="0"/>
        <v>10812856</v>
      </c>
      <c r="I59" s="852">
        <v>9090732</v>
      </c>
      <c r="J59" s="852">
        <f>SUM(J60:J61)</f>
        <v>0</v>
      </c>
      <c r="K59" s="852">
        <f>SUM(K60:K61)</f>
        <v>-225999</v>
      </c>
      <c r="L59" s="852">
        <f>SUM(L60:L61)</f>
        <v>2780645</v>
      </c>
      <c r="M59" s="852">
        <f t="shared" si="1"/>
        <v>11645378</v>
      </c>
      <c r="N59" s="852">
        <v>9090732</v>
      </c>
      <c r="O59" s="852">
        <f>SUM(O60:O61)</f>
        <v>0</v>
      </c>
      <c r="P59" s="852">
        <f>SUM(P60:P61)</f>
        <v>-225999</v>
      </c>
      <c r="Q59" s="852">
        <f>SUM(Q60:Q61)</f>
        <v>2834088</v>
      </c>
      <c r="R59" s="852">
        <f t="shared" si="2"/>
        <v>11698821</v>
      </c>
    </row>
    <row r="60" spans="1:18" s="89" customFormat="1" ht="24" hidden="1" customHeight="1">
      <c r="A60" s="726">
        <v>7460</v>
      </c>
      <c r="B60" s="727" t="s">
        <v>162</v>
      </c>
      <c r="C60" s="843">
        <v>0</v>
      </c>
      <c r="D60" s="843">
        <v>0</v>
      </c>
      <c r="E60" s="854"/>
      <c r="F60" s="854"/>
      <c r="G60" s="854"/>
      <c r="H60" s="852">
        <f t="shared" si="0"/>
        <v>0</v>
      </c>
      <c r="I60" s="854">
        <v>0</v>
      </c>
      <c r="J60" s="854"/>
      <c r="K60" s="854"/>
      <c r="L60" s="854"/>
      <c r="M60" s="852">
        <f t="shared" si="1"/>
        <v>0</v>
      </c>
      <c r="N60" s="854">
        <v>0</v>
      </c>
      <c r="O60" s="854"/>
      <c r="P60" s="854"/>
      <c r="Q60" s="854"/>
      <c r="R60" s="852">
        <f t="shared" si="2"/>
        <v>0</v>
      </c>
    </row>
    <row r="61" spans="1:18" s="89" customFormat="1" ht="36">
      <c r="A61" s="726">
        <v>7470</v>
      </c>
      <c r="B61" s="727" t="s">
        <v>167</v>
      </c>
      <c r="C61" s="843">
        <v>10649616</v>
      </c>
      <c r="D61" s="843">
        <v>9090732</v>
      </c>
      <c r="E61" s="854"/>
      <c r="F61" s="854">
        <f>F145</f>
        <v>-225999</v>
      </c>
      <c r="G61" s="854">
        <f>G145</f>
        <v>1948123</v>
      </c>
      <c r="H61" s="852">
        <f t="shared" si="0"/>
        <v>10812856</v>
      </c>
      <c r="I61" s="854">
        <v>9090732</v>
      </c>
      <c r="J61" s="854"/>
      <c r="K61" s="854">
        <f>K145</f>
        <v>-225999</v>
      </c>
      <c r="L61" s="854">
        <f>L145</f>
        <v>2780645</v>
      </c>
      <c r="M61" s="852">
        <f t="shared" si="1"/>
        <v>11645378</v>
      </c>
      <c r="N61" s="854">
        <v>9090732</v>
      </c>
      <c r="O61" s="854"/>
      <c r="P61" s="854">
        <f>P145</f>
        <v>-225999</v>
      </c>
      <c r="Q61" s="854">
        <f>Q145</f>
        <v>2834088</v>
      </c>
      <c r="R61" s="852">
        <f t="shared" si="2"/>
        <v>11698821</v>
      </c>
    </row>
    <row r="62" spans="1:18" s="89" customFormat="1" ht="24">
      <c r="A62" s="724">
        <v>7500</v>
      </c>
      <c r="B62" s="727" t="s">
        <v>157</v>
      </c>
      <c r="C62" s="840">
        <v>1296304</v>
      </c>
      <c r="D62" s="840">
        <v>0</v>
      </c>
      <c r="E62" s="852"/>
      <c r="F62" s="852"/>
      <c r="G62" s="852"/>
      <c r="H62" s="852">
        <f t="shared" si="0"/>
        <v>0</v>
      </c>
      <c r="I62" s="852">
        <v>0</v>
      </c>
      <c r="J62" s="852"/>
      <c r="K62" s="852"/>
      <c r="L62" s="852"/>
      <c r="M62" s="852">
        <f t="shared" si="1"/>
        <v>0</v>
      </c>
      <c r="N62" s="852">
        <v>0</v>
      </c>
      <c r="O62" s="852"/>
      <c r="P62" s="852"/>
      <c r="Q62" s="852"/>
      <c r="R62" s="852">
        <f t="shared" si="2"/>
        <v>0</v>
      </c>
    </row>
    <row r="63" spans="1:18" s="89" customFormat="1" ht="12">
      <c r="A63" s="722" t="s">
        <v>133</v>
      </c>
      <c r="B63" s="723" t="s">
        <v>122</v>
      </c>
      <c r="C63" s="844">
        <v>182329667</v>
      </c>
      <c r="D63" s="844">
        <v>180951231</v>
      </c>
      <c r="E63" s="855">
        <f>E64+E65</f>
        <v>0</v>
      </c>
      <c r="F63" s="855">
        <f>F64+F65</f>
        <v>150</v>
      </c>
      <c r="G63" s="855">
        <f>G64+G65</f>
        <v>7011109</v>
      </c>
      <c r="H63" s="852">
        <f t="shared" si="0"/>
        <v>187962490</v>
      </c>
      <c r="I63" s="855">
        <v>22978799</v>
      </c>
      <c r="J63" s="855">
        <f>J64+J65</f>
        <v>0</v>
      </c>
      <c r="K63" s="855">
        <f>K64+K65</f>
        <v>0</v>
      </c>
      <c r="L63" s="855">
        <f>L64+L65</f>
        <v>6706838</v>
      </c>
      <c r="M63" s="852">
        <f t="shared" si="1"/>
        <v>29685637</v>
      </c>
      <c r="N63" s="855">
        <v>5124119</v>
      </c>
      <c r="O63" s="855">
        <f>O64+O65</f>
        <v>0</v>
      </c>
      <c r="P63" s="855">
        <f>P64+P65</f>
        <v>0</v>
      </c>
      <c r="Q63" s="855">
        <f>Q64+Q65</f>
        <v>6392096</v>
      </c>
      <c r="R63" s="852">
        <f t="shared" si="2"/>
        <v>11516215</v>
      </c>
    </row>
    <row r="64" spans="1:18" s="89" customFormat="1" ht="12">
      <c r="A64" s="722">
        <v>5000</v>
      </c>
      <c r="B64" s="723" t="s">
        <v>123</v>
      </c>
      <c r="C64" s="840">
        <v>99080236</v>
      </c>
      <c r="D64" s="840">
        <v>76215597</v>
      </c>
      <c r="E64" s="852"/>
      <c r="F64" s="852">
        <f>F148</f>
        <v>150</v>
      </c>
      <c r="G64" s="852">
        <f>G148</f>
        <v>7011109</v>
      </c>
      <c r="H64" s="852">
        <f t="shared" si="0"/>
        <v>83226856</v>
      </c>
      <c r="I64" s="852">
        <v>5124119</v>
      </c>
      <c r="J64" s="852"/>
      <c r="K64" s="852">
        <f>K148</f>
        <v>0</v>
      </c>
      <c r="L64" s="852">
        <f>L148</f>
        <v>6706838</v>
      </c>
      <c r="M64" s="852">
        <f t="shared" si="1"/>
        <v>11830957</v>
      </c>
      <c r="N64" s="852">
        <v>5124119</v>
      </c>
      <c r="O64" s="852"/>
      <c r="P64" s="852">
        <f>P148</f>
        <v>0</v>
      </c>
      <c r="Q64" s="852">
        <f>Q148</f>
        <v>6392096</v>
      </c>
      <c r="R64" s="852">
        <f t="shared" si="2"/>
        <v>11516215</v>
      </c>
    </row>
    <row r="65" spans="1:18" s="89" customFormat="1" ht="12">
      <c r="A65" s="722">
        <v>9000</v>
      </c>
      <c r="B65" s="734" t="s">
        <v>164</v>
      </c>
      <c r="C65" s="840">
        <v>83249431</v>
      </c>
      <c r="D65" s="840">
        <v>104735634</v>
      </c>
      <c r="E65" s="852">
        <f>E66+E72+E76+E79</f>
        <v>0</v>
      </c>
      <c r="F65" s="852">
        <f>F66+F72+F76+F79</f>
        <v>0</v>
      </c>
      <c r="G65" s="852">
        <f>G66+G72+G76+G79</f>
        <v>0</v>
      </c>
      <c r="H65" s="852">
        <f t="shared" si="0"/>
        <v>104735634</v>
      </c>
      <c r="I65" s="852">
        <v>17854680</v>
      </c>
      <c r="J65" s="852">
        <f>J66+J72+J76+J79</f>
        <v>0</v>
      </c>
      <c r="K65" s="852">
        <f>K66+K72+K76+K79</f>
        <v>0</v>
      </c>
      <c r="L65" s="852">
        <f>L66+L72+L76+L79</f>
        <v>0</v>
      </c>
      <c r="M65" s="852">
        <f t="shared" si="1"/>
        <v>17854680</v>
      </c>
      <c r="N65" s="852">
        <v>0</v>
      </c>
      <c r="O65" s="852">
        <f>O66+O72+O76+O79</f>
        <v>0</v>
      </c>
      <c r="P65" s="852">
        <f>P66+P72+P76+P79</f>
        <v>0</v>
      </c>
      <c r="Q65" s="852">
        <f>Q66+Q72+Q76+Q79</f>
        <v>0</v>
      </c>
      <c r="R65" s="852">
        <f t="shared" si="2"/>
        <v>0</v>
      </c>
    </row>
    <row r="66" spans="1:18" s="89" customFormat="1" ht="12" hidden="1" customHeight="1">
      <c r="A66" s="726">
        <v>9100</v>
      </c>
      <c r="B66" s="727" t="s">
        <v>124</v>
      </c>
      <c r="C66" s="840">
        <v>0</v>
      </c>
      <c r="D66" s="840">
        <v>0</v>
      </c>
      <c r="E66" s="852">
        <f>SUM(E67:E68)</f>
        <v>0</v>
      </c>
      <c r="F66" s="852">
        <f>SUM(F67:F68)</f>
        <v>0</v>
      </c>
      <c r="G66" s="852">
        <f>SUM(G67:G68)</f>
        <v>0</v>
      </c>
      <c r="H66" s="852">
        <f t="shared" si="0"/>
        <v>0</v>
      </c>
      <c r="I66" s="852">
        <v>0</v>
      </c>
      <c r="J66" s="852">
        <f>SUM(J67:J68)</f>
        <v>0</v>
      </c>
      <c r="K66" s="852">
        <f>SUM(K67:K68)</f>
        <v>0</v>
      </c>
      <c r="L66" s="852">
        <f>SUM(L67:L68)</f>
        <v>0</v>
      </c>
      <c r="M66" s="852">
        <f t="shared" si="1"/>
        <v>0</v>
      </c>
      <c r="N66" s="852">
        <v>0</v>
      </c>
      <c r="O66" s="852">
        <f>SUM(O67:O68)</f>
        <v>0</v>
      </c>
      <c r="P66" s="852">
        <f>SUM(P67:P68)</f>
        <v>0</v>
      </c>
      <c r="Q66" s="852">
        <f>SUM(Q67:Q68)</f>
        <v>0</v>
      </c>
      <c r="R66" s="852">
        <f t="shared" si="2"/>
        <v>0</v>
      </c>
    </row>
    <row r="67" spans="1:18" s="89" customFormat="1" ht="24" hidden="1" customHeight="1">
      <c r="A67" s="726" t="s">
        <v>125</v>
      </c>
      <c r="B67" s="727" t="s">
        <v>214</v>
      </c>
      <c r="C67" s="840">
        <v>0</v>
      </c>
      <c r="D67" s="840">
        <v>0</v>
      </c>
      <c r="E67" s="852"/>
      <c r="F67" s="852"/>
      <c r="G67" s="852"/>
      <c r="H67" s="852">
        <f t="shared" si="0"/>
        <v>0</v>
      </c>
      <c r="I67" s="852">
        <v>0</v>
      </c>
      <c r="J67" s="852"/>
      <c r="K67" s="852"/>
      <c r="L67" s="852"/>
      <c r="M67" s="852">
        <f t="shared" si="1"/>
        <v>0</v>
      </c>
      <c r="N67" s="852">
        <v>0</v>
      </c>
      <c r="O67" s="852"/>
      <c r="P67" s="852"/>
      <c r="Q67" s="852"/>
      <c r="R67" s="852">
        <f t="shared" si="2"/>
        <v>0</v>
      </c>
    </row>
    <row r="68" spans="1:18" s="89" customFormat="1" ht="24" hidden="1" customHeight="1">
      <c r="A68" s="726">
        <v>9140</v>
      </c>
      <c r="B68" s="727" t="s">
        <v>215</v>
      </c>
      <c r="C68" s="840">
        <v>0</v>
      </c>
      <c r="D68" s="840">
        <v>0</v>
      </c>
      <c r="E68" s="852">
        <f>SUM(E69:E71)</f>
        <v>0</v>
      </c>
      <c r="F68" s="852">
        <f>SUM(F69:F71)</f>
        <v>0</v>
      </c>
      <c r="G68" s="852">
        <f>SUM(G69:G71)</f>
        <v>0</v>
      </c>
      <c r="H68" s="852">
        <f t="shared" si="0"/>
        <v>0</v>
      </c>
      <c r="I68" s="852">
        <v>0</v>
      </c>
      <c r="J68" s="852">
        <f>SUM(J69:J71)</f>
        <v>0</v>
      </c>
      <c r="K68" s="852">
        <f>SUM(K69:K71)</f>
        <v>0</v>
      </c>
      <c r="L68" s="852">
        <f>SUM(L69:L71)</f>
        <v>0</v>
      </c>
      <c r="M68" s="852">
        <f t="shared" si="1"/>
        <v>0</v>
      </c>
      <c r="N68" s="852">
        <v>0</v>
      </c>
      <c r="O68" s="852">
        <f>SUM(O69:O71)</f>
        <v>0</v>
      </c>
      <c r="P68" s="852">
        <f>SUM(P69:P71)</f>
        <v>0</v>
      </c>
      <c r="Q68" s="852">
        <f>SUM(Q69:Q71)</f>
        <v>0</v>
      </c>
      <c r="R68" s="852">
        <f t="shared" si="2"/>
        <v>0</v>
      </c>
    </row>
    <row r="69" spans="1:18" s="89" customFormat="1" ht="36" hidden="1" customHeight="1">
      <c r="A69" s="726">
        <v>9141</v>
      </c>
      <c r="B69" s="727" t="s">
        <v>190</v>
      </c>
      <c r="C69" s="843">
        <v>0</v>
      </c>
      <c r="D69" s="843">
        <v>0</v>
      </c>
      <c r="E69" s="854"/>
      <c r="F69" s="854"/>
      <c r="G69" s="854"/>
      <c r="H69" s="852">
        <f t="shared" si="0"/>
        <v>0</v>
      </c>
      <c r="I69" s="854">
        <v>0</v>
      </c>
      <c r="J69" s="854"/>
      <c r="K69" s="854"/>
      <c r="L69" s="854"/>
      <c r="M69" s="852">
        <f t="shared" si="1"/>
        <v>0</v>
      </c>
      <c r="N69" s="854">
        <v>0</v>
      </c>
      <c r="O69" s="854"/>
      <c r="P69" s="854"/>
      <c r="Q69" s="854"/>
      <c r="R69" s="852">
        <f t="shared" si="2"/>
        <v>0</v>
      </c>
    </row>
    <row r="70" spans="1:18" s="89" customFormat="1" ht="36" hidden="1" customHeight="1">
      <c r="A70" s="726">
        <v>9142</v>
      </c>
      <c r="B70" s="727" t="s">
        <v>191</v>
      </c>
      <c r="C70" s="843">
        <v>0</v>
      </c>
      <c r="D70" s="843">
        <v>0</v>
      </c>
      <c r="E70" s="854"/>
      <c r="F70" s="854"/>
      <c r="G70" s="854"/>
      <c r="H70" s="852">
        <f t="shared" si="0"/>
        <v>0</v>
      </c>
      <c r="I70" s="854">
        <v>0</v>
      </c>
      <c r="J70" s="854"/>
      <c r="K70" s="854"/>
      <c r="L70" s="854"/>
      <c r="M70" s="852">
        <f t="shared" si="1"/>
        <v>0</v>
      </c>
      <c r="N70" s="854">
        <v>0</v>
      </c>
      <c r="O70" s="854"/>
      <c r="P70" s="854"/>
      <c r="Q70" s="854"/>
      <c r="R70" s="852">
        <f t="shared" si="2"/>
        <v>0</v>
      </c>
    </row>
    <row r="71" spans="1:18" s="89" customFormat="1" ht="24" hidden="1" customHeight="1">
      <c r="A71" s="726">
        <v>9149</v>
      </c>
      <c r="B71" s="727" t="s">
        <v>192</v>
      </c>
      <c r="C71" s="843">
        <v>0</v>
      </c>
      <c r="D71" s="843">
        <v>0</v>
      </c>
      <c r="E71" s="854"/>
      <c r="F71" s="854"/>
      <c r="G71" s="854"/>
      <c r="H71" s="852">
        <f t="shared" si="0"/>
        <v>0</v>
      </c>
      <c r="I71" s="854">
        <v>0</v>
      </c>
      <c r="J71" s="854"/>
      <c r="K71" s="854"/>
      <c r="L71" s="854"/>
      <c r="M71" s="852">
        <f t="shared" si="1"/>
        <v>0</v>
      </c>
      <c r="N71" s="854">
        <v>0</v>
      </c>
      <c r="O71" s="854"/>
      <c r="P71" s="854"/>
      <c r="Q71" s="854"/>
      <c r="R71" s="852">
        <f t="shared" si="2"/>
        <v>0</v>
      </c>
    </row>
    <row r="72" spans="1:18" s="29" customFormat="1" ht="24">
      <c r="A72" s="726">
        <v>9500</v>
      </c>
      <c r="B72" s="727" t="s">
        <v>165</v>
      </c>
      <c r="C72" s="840">
        <v>18275847</v>
      </c>
      <c r="D72" s="840">
        <v>8655717</v>
      </c>
      <c r="E72" s="852">
        <f>SUM(E73:E75)</f>
        <v>0</v>
      </c>
      <c r="F72" s="852">
        <f>SUM(F73:F75)</f>
        <v>0</v>
      </c>
      <c r="G72" s="852">
        <f>SUM(G73:G75)</f>
        <v>0</v>
      </c>
      <c r="H72" s="852">
        <f t="shared" si="0"/>
        <v>8655717</v>
      </c>
      <c r="I72" s="852">
        <v>593589</v>
      </c>
      <c r="J72" s="852">
        <f>SUM(J73:J75)</f>
        <v>0</v>
      </c>
      <c r="K72" s="852">
        <f>SUM(K73:K75)</f>
        <v>0</v>
      </c>
      <c r="L72" s="852">
        <f>SUM(L73:L75)</f>
        <v>0</v>
      </c>
      <c r="M72" s="852">
        <f t="shared" si="1"/>
        <v>593589</v>
      </c>
      <c r="N72" s="852">
        <v>0</v>
      </c>
      <c r="O72" s="852">
        <f>SUM(O73:O75)</f>
        <v>0</v>
      </c>
      <c r="P72" s="852">
        <f>SUM(P73:P75)</f>
        <v>0</v>
      </c>
      <c r="Q72" s="852">
        <f>SUM(Q73:Q75)</f>
        <v>0</v>
      </c>
      <c r="R72" s="852">
        <f t="shared" si="2"/>
        <v>0</v>
      </c>
    </row>
    <row r="73" spans="1:18" s="29" customFormat="1" ht="24" hidden="1" customHeight="1">
      <c r="A73" s="726" t="s">
        <v>193</v>
      </c>
      <c r="B73" s="727" t="s">
        <v>171</v>
      </c>
      <c r="C73" s="840">
        <v>0</v>
      </c>
      <c r="D73" s="840">
        <v>0</v>
      </c>
      <c r="E73" s="852"/>
      <c r="F73" s="852"/>
      <c r="G73" s="852"/>
      <c r="H73" s="852">
        <f t="shared" si="0"/>
        <v>0</v>
      </c>
      <c r="I73" s="852">
        <v>0</v>
      </c>
      <c r="J73" s="852"/>
      <c r="K73" s="852"/>
      <c r="L73" s="852"/>
      <c r="M73" s="852">
        <f t="shared" si="1"/>
        <v>0</v>
      </c>
      <c r="N73" s="852">
        <v>0</v>
      </c>
      <c r="O73" s="852"/>
      <c r="P73" s="852"/>
      <c r="Q73" s="852"/>
      <c r="R73" s="852">
        <f t="shared" si="2"/>
        <v>0</v>
      </c>
    </row>
    <row r="74" spans="1:18" s="28" customFormat="1" ht="48">
      <c r="A74" s="726">
        <v>9580</v>
      </c>
      <c r="B74" s="727" t="s">
        <v>166</v>
      </c>
      <c r="C74" s="843">
        <v>18275847</v>
      </c>
      <c r="D74" s="843">
        <v>8655717</v>
      </c>
      <c r="E74" s="854"/>
      <c r="F74" s="854"/>
      <c r="G74" s="854"/>
      <c r="H74" s="852">
        <f t="shared" ref="H74:H137" si="9">SUM(D74:G74)</f>
        <v>8655717</v>
      </c>
      <c r="I74" s="854">
        <v>593589</v>
      </c>
      <c r="J74" s="854"/>
      <c r="K74" s="854"/>
      <c r="L74" s="854"/>
      <c r="M74" s="852">
        <f t="shared" ref="M74:M137" si="10">SUM(I74:L74)</f>
        <v>593589</v>
      </c>
      <c r="N74" s="854">
        <v>0</v>
      </c>
      <c r="O74" s="854"/>
      <c r="P74" s="854"/>
      <c r="Q74" s="854"/>
      <c r="R74" s="852">
        <f t="shared" ref="R74:R137" si="11">SUM(N74:Q74)</f>
        <v>0</v>
      </c>
    </row>
    <row r="75" spans="1:18" s="4" customFormat="1" ht="48" hidden="1" customHeight="1">
      <c r="A75" s="726">
        <v>9590</v>
      </c>
      <c r="B75" s="727" t="s">
        <v>172</v>
      </c>
      <c r="C75" s="843">
        <v>0</v>
      </c>
      <c r="D75" s="843">
        <v>0</v>
      </c>
      <c r="E75" s="854"/>
      <c r="F75" s="854"/>
      <c r="G75" s="854"/>
      <c r="H75" s="852">
        <f t="shared" si="9"/>
        <v>0</v>
      </c>
      <c r="I75" s="854">
        <v>0</v>
      </c>
      <c r="J75" s="854"/>
      <c r="K75" s="854"/>
      <c r="L75" s="854"/>
      <c r="M75" s="852">
        <f t="shared" si="10"/>
        <v>0</v>
      </c>
      <c r="N75" s="854">
        <v>0</v>
      </c>
      <c r="O75" s="854"/>
      <c r="P75" s="854"/>
      <c r="Q75" s="854"/>
      <c r="R75" s="852">
        <f t="shared" si="11"/>
        <v>0</v>
      </c>
    </row>
    <row r="76" spans="1:18" ht="24" hidden="1" customHeight="1">
      <c r="A76" s="726">
        <v>9700</v>
      </c>
      <c r="B76" s="735" t="s">
        <v>194</v>
      </c>
      <c r="C76" s="840">
        <v>0</v>
      </c>
      <c r="D76" s="840">
        <v>0</v>
      </c>
      <c r="E76" s="852">
        <f>SUM(E77:E78)</f>
        <v>0</v>
      </c>
      <c r="F76" s="852">
        <f>SUM(F77:F78)</f>
        <v>0</v>
      </c>
      <c r="G76" s="852">
        <f>SUM(G77:G78)</f>
        <v>0</v>
      </c>
      <c r="H76" s="852">
        <f t="shared" si="9"/>
        <v>0</v>
      </c>
      <c r="I76" s="852">
        <v>0</v>
      </c>
      <c r="J76" s="852">
        <f>SUM(J77:J78)</f>
        <v>0</v>
      </c>
      <c r="K76" s="852">
        <f>SUM(K77:K78)</f>
        <v>0</v>
      </c>
      <c r="L76" s="852">
        <f>SUM(L77:L78)</f>
        <v>0</v>
      </c>
      <c r="M76" s="852">
        <f t="shared" si="10"/>
        <v>0</v>
      </c>
      <c r="N76" s="852">
        <v>0</v>
      </c>
      <c r="O76" s="852">
        <f>SUM(O77:O78)</f>
        <v>0</v>
      </c>
      <c r="P76" s="852">
        <f>SUM(P77:P78)</f>
        <v>0</v>
      </c>
      <c r="Q76" s="852">
        <f>SUM(Q77:Q78)</f>
        <v>0</v>
      </c>
      <c r="R76" s="852">
        <f t="shared" si="11"/>
        <v>0</v>
      </c>
    </row>
    <row r="77" spans="1:18" ht="24" hidden="1" customHeight="1">
      <c r="A77" s="726">
        <v>9710</v>
      </c>
      <c r="B77" s="735" t="s">
        <v>195</v>
      </c>
      <c r="C77" s="843">
        <v>0</v>
      </c>
      <c r="D77" s="843">
        <v>0</v>
      </c>
      <c r="E77" s="854"/>
      <c r="F77" s="854"/>
      <c r="G77" s="854"/>
      <c r="H77" s="852">
        <f t="shared" si="9"/>
        <v>0</v>
      </c>
      <c r="I77" s="854">
        <v>0</v>
      </c>
      <c r="J77" s="854"/>
      <c r="K77" s="854"/>
      <c r="L77" s="854"/>
      <c r="M77" s="852">
        <f t="shared" si="10"/>
        <v>0</v>
      </c>
      <c r="N77" s="854">
        <v>0</v>
      </c>
      <c r="O77" s="854"/>
      <c r="P77" s="854"/>
      <c r="Q77" s="854"/>
      <c r="R77" s="852">
        <f t="shared" si="11"/>
        <v>0</v>
      </c>
    </row>
    <row r="78" spans="1:18" ht="48" hidden="1" customHeight="1">
      <c r="A78" s="726">
        <v>9720</v>
      </c>
      <c r="B78" s="735" t="s">
        <v>196</v>
      </c>
      <c r="C78" s="843">
        <v>0</v>
      </c>
      <c r="D78" s="843">
        <v>0</v>
      </c>
      <c r="E78" s="854"/>
      <c r="F78" s="854"/>
      <c r="G78" s="854"/>
      <c r="H78" s="852">
        <f t="shared" si="9"/>
        <v>0</v>
      </c>
      <c r="I78" s="854">
        <v>0</v>
      </c>
      <c r="J78" s="854"/>
      <c r="K78" s="854"/>
      <c r="L78" s="854"/>
      <c r="M78" s="852">
        <f t="shared" si="10"/>
        <v>0</v>
      </c>
      <c r="N78" s="854">
        <v>0</v>
      </c>
      <c r="O78" s="854"/>
      <c r="P78" s="854"/>
      <c r="Q78" s="854"/>
      <c r="R78" s="852">
        <f t="shared" si="11"/>
        <v>0</v>
      </c>
    </row>
    <row r="79" spans="1:18" ht="24">
      <c r="A79" s="726">
        <v>9600</v>
      </c>
      <c r="B79" s="727" t="s">
        <v>134</v>
      </c>
      <c r="C79" s="843">
        <v>64973584</v>
      </c>
      <c r="D79" s="843">
        <v>96079917</v>
      </c>
      <c r="E79" s="854"/>
      <c r="F79" s="854"/>
      <c r="G79" s="854"/>
      <c r="H79" s="852">
        <f t="shared" si="9"/>
        <v>96079917</v>
      </c>
      <c r="I79" s="854">
        <v>17261091</v>
      </c>
      <c r="J79" s="854"/>
      <c r="K79" s="854"/>
      <c r="L79" s="854"/>
      <c r="M79" s="852">
        <f t="shared" si="10"/>
        <v>17261091</v>
      </c>
      <c r="N79" s="854">
        <v>0</v>
      </c>
      <c r="O79" s="854"/>
      <c r="P79" s="854"/>
      <c r="Q79" s="854"/>
      <c r="R79" s="852">
        <f t="shared" si="11"/>
        <v>0</v>
      </c>
    </row>
    <row r="80" spans="1:18" ht="30.6">
      <c r="A80" s="722" t="s">
        <v>197</v>
      </c>
      <c r="B80" s="734" t="s">
        <v>47</v>
      </c>
      <c r="C80" s="845">
        <v>-1134471</v>
      </c>
      <c r="D80" s="845">
        <v>-189026</v>
      </c>
      <c r="E80" s="856">
        <f>E10-E35</f>
        <v>0</v>
      </c>
      <c r="F80" s="856">
        <f>F10-F35</f>
        <v>14355</v>
      </c>
      <c r="G80" s="856">
        <f>G10-G35</f>
        <v>-90000</v>
      </c>
      <c r="H80" s="852">
        <f t="shared" si="9"/>
        <v>-264671</v>
      </c>
      <c r="I80" s="856">
        <v>-174355</v>
      </c>
      <c r="J80" s="856">
        <f>J10-J35</f>
        <v>0</v>
      </c>
      <c r="K80" s="856">
        <f>K10-K35</f>
        <v>14355</v>
      </c>
      <c r="L80" s="856">
        <f>L10-L35</f>
        <v>-7686</v>
      </c>
      <c r="M80" s="852">
        <f t="shared" si="10"/>
        <v>-167686</v>
      </c>
      <c r="N80" s="856">
        <v>-174355</v>
      </c>
      <c r="O80" s="856">
        <f>O10-O35</f>
        <v>0</v>
      </c>
      <c r="P80" s="856">
        <f>P10-P35</f>
        <v>14355</v>
      </c>
      <c r="Q80" s="856">
        <f>Q10-Q35</f>
        <v>0</v>
      </c>
      <c r="R80" s="852">
        <f t="shared" si="11"/>
        <v>-160000</v>
      </c>
    </row>
    <row r="81" spans="1:18" ht="12">
      <c r="A81" s="736" t="s">
        <v>48</v>
      </c>
      <c r="B81" s="734" t="s">
        <v>49</v>
      </c>
      <c r="C81" s="845">
        <v>1134471</v>
      </c>
      <c r="D81" s="845">
        <v>189026</v>
      </c>
      <c r="E81" s="856">
        <f>E82+E85+E89+E88</f>
        <v>0</v>
      </c>
      <c r="F81" s="856">
        <f>F82+F85+F89+F88</f>
        <v>-14355</v>
      </c>
      <c r="G81" s="856">
        <f>G82+G85+G89+G88</f>
        <v>90000</v>
      </c>
      <c r="H81" s="852">
        <f t="shared" si="9"/>
        <v>264671</v>
      </c>
      <c r="I81" s="856">
        <v>174355</v>
      </c>
      <c r="J81" s="856">
        <f>J82+J85+J89+J88</f>
        <v>0</v>
      </c>
      <c r="K81" s="856">
        <f>K82+K85+K89+K88</f>
        <v>-14355</v>
      </c>
      <c r="L81" s="856">
        <f>L82+L85+L89+L88</f>
        <v>7686</v>
      </c>
      <c r="M81" s="852">
        <f t="shared" si="10"/>
        <v>167686</v>
      </c>
      <c r="N81" s="856">
        <v>174355</v>
      </c>
      <c r="O81" s="856">
        <f>O82+O85+O89+O88</f>
        <v>0</v>
      </c>
      <c r="P81" s="856">
        <f>P82+P85+P89+P88</f>
        <v>-14355</v>
      </c>
      <c r="Q81" s="856">
        <f>Q82+Q85+Q89+Q88</f>
        <v>0</v>
      </c>
      <c r="R81" s="852">
        <f t="shared" si="11"/>
        <v>160000</v>
      </c>
    </row>
    <row r="82" spans="1:18" s="4" customFormat="1" ht="12" hidden="1" customHeight="1">
      <c r="A82" s="726" t="s">
        <v>50</v>
      </c>
      <c r="B82" s="727" t="s">
        <v>51</v>
      </c>
      <c r="C82" s="839">
        <v>0</v>
      </c>
      <c r="D82" s="839">
        <v>0</v>
      </c>
      <c r="E82" s="851">
        <f>E83+E84</f>
        <v>0</v>
      </c>
      <c r="F82" s="851">
        <f>F83+F84</f>
        <v>0</v>
      </c>
      <c r="G82" s="851">
        <f>G83+G84</f>
        <v>0</v>
      </c>
      <c r="H82" s="852">
        <f t="shared" si="9"/>
        <v>0</v>
      </c>
      <c r="I82" s="851">
        <v>0</v>
      </c>
      <c r="J82" s="851">
        <f>J83+J84</f>
        <v>0</v>
      </c>
      <c r="K82" s="851">
        <f>K83+K84</f>
        <v>0</v>
      </c>
      <c r="L82" s="851">
        <f>L83+L84</f>
        <v>0</v>
      </c>
      <c r="M82" s="852">
        <f t="shared" si="10"/>
        <v>0</v>
      </c>
      <c r="N82" s="851">
        <v>0</v>
      </c>
      <c r="O82" s="851">
        <f>O83+O84</f>
        <v>0</v>
      </c>
      <c r="P82" s="851">
        <f>P83+P84</f>
        <v>0</v>
      </c>
      <c r="Q82" s="851">
        <f>Q83+Q84</f>
        <v>0</v>
      </c>
      <c r="R82" s="852">
        <f t="shared" si="11"/>
        <v>0</v>
      </c>
    </row>
    <row r="83" spans="1:18" s="6" customFormat="1" ht="12" hidden="1" customHeight="1">
      <c r="A83" s="726" t="s">
        <v>52</v>
      </c>
      <c r="B83" s="727" t="s">
        <v>53</v>
      </c>
      <c r="C83" s="839">
        <v>0</v>
      </c>
      <c r="D83" s="839">
        <v>0</v>
      </c>
      <c r="E83" s="851"/>
      <c r="F83" s="851"/>
      <c r="G83" s="851"/>
      <c r="H83" s="852">
        <f t="shared" si="9"/>
        <v>0</v>
      </c>
      <c r="I83" s="851">
        <v>0</v>
      </c>
      <c r="J83" s="851"/>
      <c r="K83" s="851"/>
      <c r="L83" s="851"/>
      <c r="M83" s="852">
        <f t="shared" si="10"/>
        <v>0</v>
      </c>
      <c r="N83" s="851">
        <v>0</v>
      </c>
      <c r="O83" s="851"/>
      <c r="P83" s="851"/>
      <c r="Q83" s="851"/>
      <c r="R83" s="852">
        <f t="shared" si="11"/>
        <v>0</v>
      </c>
    </row>
    <row r="84" spans="1:18" s="6" customFormat="1" ht="12" hidden="1" customHeight="1">
      <c r="A84" s="726" t="s">
        <v>54</v>
      </c>
      <c r="B84" s="727" t="s">
        <v>55</v>
      </c>
      <c r="C84" s="839">
        <v>0</v>
      </c>
      <c r="D84" s="839">
        <v>0</v>
      </c>
      <c r="E84" s="851"/>
      <c r="F84" s="851"/>
      <c r="G84" s="851"/>
      <c r="H84" s="852">
        <f t="shared" si="9"/>
        <v>0</v>
      </c>
      <c r="I84" s="851">
        <v>0</v>
      </c>
      <c r="J84" s="851"/>
      <c r="K84" s="851"/>
      <c r="L84" s="851"/>
      <c r="M84" s="852">
        <f t="shared" si="10"/>
        <v>0</v>
      </c>
      <c r="N84" s="851">
        <v>0</v>
      </c>
      <c r="O84" s="851"/>
      <c r="P84" s="851"/>
      <c r="Q84" s="851"/>
      <c r="R84" s="852">
        <f t="shared" si="11"/>
        <v>0</v>
      </c>
    </row>
    <row r="85" spans="1:18" s="6" customFormat="1" ht="12" hidden="1" customHeight="1">
      <c r="A85" s="726" t="s">
        <v>56</v>
      </c>
      <c r="B85" s="727" t="s">
        <v>57</v>
      </c>
      <c r="C85" s="839">
        <v>0</v>
      </c>
      <c r="D85" s="839">
        <v>0</v>
      </c>
      <c r="E85" s="851">
        <f>E86+E87</f>
        <v>0</v>
      </c>
      <c r="F85" s="851">
        <f>F86+F87</f>
        <v>0</v>
      </c>
      <c r="G85" s="851">
        <f>G86+G87</f>
        <v>0</v>
      </c>
      <c r="H85" s="852">
        <f t="shared" si="9"/>
        <v>0</v>
      </c>
      <c r="I85" s="851">
        <v>0</v>
      </c>
      <c r="J85" s="851">
        <f>J86+J87</f>
        <v>0</v>
      </c>
      <c r="K85" s="851">
        <f>K86+K87</f>
        <v>0</v>
      </c>
      <c r="L85" s="851">
        <f>L86+L87</f>
        <v>0</v>
      </c>
      <c r="M85" s="852">
        <f t="shared" si="10"/>
        <v>0</v>
      </c>
      <c r="N85" s="851">
        <v>0</v>
      </c>
      <c r="O85" s="851">
        <f>O86+O87</f>
        <v>0</v>
      </c>
      <c r="P85" s="851">
        <f>P86+P87</f>
        <v>0</v>
      </c>
      <c r="Q85" s="851">
        <f>Q86+Q87</f>
        <v>0</v>
      </c>
      <c r="R85" s="852">
        <f t="shared" si="11"/>
        <v>0</v>
      </c>
    </row>
    <row r="86" spans="1:18" s="6" customFormat="1" ht="12" hidden="1" customHeight="1">
      <c r="A86" s="726" t="s">
        <v>58</v>
      </c>
      <c r="B86" s="727" t="s">
        <v>59</v>
      </c>
      <c r="C86" s="839">
        <v>0</v>
      </c>
      <c r="D86" s="839">
        <v>0</v>
      </c>
      <c r="E86" s="851"/>
      <c r="F86" s="851"/>
      <c r="G86" s="851"/>
      <c r="H86" s="852">
        <f t="shared" si="9"/>
        <v>0</v>
      </c>
      <c r="I86" s="851">
        <v>0</v>
      </c>
      <c r="J86" s="851"/>
      <c r="K86" s="851"/>
      <c r="L86" s="851"/>
      <c r="M86" s="852">
        <f t="shared" si="10"/>
        <v>0</v>
      </c>
      <c r="N86" s="851">
        <v>0</v>
      </c>
      <c r="O86" s="851"/>
      <c r="P86" s="851"/>
      <c r="Q86" s="851"/>
      <c r="R86" s="852">
        <f t="shared" si="11"/>
        <v>0</v>
      </c>
    </row>
    <row r="87" spans="1:18" s="6" customFormat="1" ht="12" hidden="1" customHeight="1">
      <c r="A87" s="726" t="s">
        <v>60</v>
      </c>
      <c r="B87" s="727" t="s">
        <v>61</v>
      </c>
      <c r="C87" s="839">
        <v>0</v>
      </c>
      <c r="D87" s="839">
        <v>0</v>
      </c>
      <c r="E87" s="851"/>
      <c r="F87" s="851"/>
      <c r="G87" s="851"/>
      <c r="H87" s="852">
        <f t="shared" si="9"/>
        <v>0</v>
      </c>
      <c r="I87" s="851">
        <v>0</v>
      </c>
      <c r="J87" s="851"/>
      <c r="K87" s="851"/>
      <c r="L87" s="851"/>
      <c r="M87" s="852">
        <f t="shared" si="10"/>
        <v>0</v>
      </c>
      <c r="N87" s="851">
        <v>0</v>
      </c>
      <c r="O87" s="851"/>
      <c r="P87" s="851"/>
      <c r="Q87" s="851"/>
      <c r="R87" s="852">
        <f t="shared" si="11"/>
        <v>0</v>
      </c>
    </row>
    <row r="88" spans="1:18" s="6" customFormat="1" ht="12" hidden="1" customHeight="1">
      <c r="A88" s="726" t="s">
        <v>198</v>
      </c>
      <c r="B88" s="727" t="s">
        <v>168</v>
      </c>
      <c r="C88" s="839">
        <v>0</v>
      </c>
      <c r="D88" s="839">
        <v>0</v>
      </c>
      <c r="E88" s="851"/>
      <c r="F88" s="851"/>
      <c r="G88" s="851"/>
      <c r="H88" s="852">
        <f t="shared" si="9"/>
        <v>0</v>
      </c>
      <c r="I88" s="851">
        <v>0</v>
      </c>
      <c r="J88" s="851"/>
      <c r="K88" s="851"/>
      <c r="L88" s="851"/>
      <c r="M88" s="852">
        <f t="shared" si="10"/>
        <v>0</v>
      </c>
      <c r="N88" s="851">
        <v>0</v>
      </c>
      <c r="O88" s="851"/>
      <c r="P88" s="851"/>
      <c r="Q88" s="851"/>
      <c r="R88" s="852">
        <f t="shared" si="11"/>
        <v>0</v>
      </c>
    </row>
    <row r="89" spans="1:18" s="6" customFormat="1" ht="12">
      <c r="A89" s="737" t="s">
        <v>62</v>
      </c>
      <c r="B89" s="725" t="s">
        <v>63</v>
      </c>
      <c r="C89" s="840">
        <v>1134471</v>
      </c>
      <c r="D89" s="840">
        <v>189026</v>
      </c>
      <c r="E89" s="852">
        <f>E90+E91+E92</f>
        <v>0</v>
      </c>
      <c r="F89" s="852">
        <f>F90+F91+F92</f>
        <v>-14355</v>
      </c>
      <c r="G89" s="852">
        <f>G90+G91+G92</f>
        <v>90000</v>
      </c>
      <c r="H89" s="852">
        <f t="shared" si="9"/>
        <v>264671</v>
      </c>
      <c r="I89" s="852">
        <v>174355</v>
      </c>
      <c r="J89" s="852">
        <f>J90+J91+J92</f>
        <v>0</v>
      </c>
      <c r="K89" s="852">
        <f>K90+K91+K92</f>
        <v>-14355</v>
      </c>
      <c r="L89" s="852">
        <f>L90+L91+L92</f>
        <v>7686</v>
      </c>
      <c r="M89" s="852">
        <f t="shared" si="10"/>
        <v>167686</v>
      </c>
      <c r="N89" s="852">
        <v>174355</v>
      </c>
      <c r="O89" s="852">
        <f>O90+O91+O92</f>
        <v>0</v>
      </c>
      <c r="P89" s="852">
        <f>P90+P91+P92</f>
        <v>-14355</v>
      </c>
      <c r="Q89" s="852">
        <f>Q90+Q91+Q92</f>
        <v>0</v>
      </c>
      <c r="R89" s="852">
        <f t="shared" si="11"/>
        <v>160000</v>
      </c>
    </row>
    <row r="90" spans="1:18" s="6" customFormat="1" ht="36">
      <c r="A90" s="737" t="s">
        <v>64</v>
      </c>
      <c r="B90" s="727" t="s">
        <v>65</v>
      </c>
      <c r="C90" s="839">
        <v>228827</v>
      </c>
      <c r="D90" s="839">
        <v>189026</v>
      </c>
      <c r="E90" s="851"/>
      <c r="F90" s="851">
        <f>F174</f>
        <v>-14355</v>
      </c>
      <c r="G90" s="851">
        <f>G174</f>
        <v>90000</v>
      </c>
      <c r="H90" s="852">
        <f t="shared" si="9"/>
        <v>264671</v>
      </c>
      <c r="I90" s="851">
        <v>174355</v>
      </c>
      <c r="J90" s="851"/>
      <c r="K90" s="851">
        <f>K174</f>
        <v>-14355</v>
      </c>
      <c r="L90" s="851">
        <f>L174</f>
        <v>7686</v>
      </c>
      <c r="M90" s="852">
        <f t="shared" si="10"/>
        <v>167686</v>
      </c>
      <c r="N90" s="851">
        <v>174355</v>
      </c>
      <c r="O90" s="851"/>
      <c r="P90" s="851">
        <f>P174</f>
        <v>-14355</v>
      </c>
      <c r="Q90" s="851">
        <f>Q174</f>
        <v>0</v>
      </c>
      <c r="R90" s="852">
        <f t="shared" si="11"/>
        <v>160000</v>
      </c>
    </row>
    <row r="91" spans="1:18" s="6" customFormat="1" ht="24">
      <c r="A91" s="737" t="s">
        <v>66</v>
      </c>
      <c r="B91" s="727" t="s">
        <v>67</v>
      </c>
      <c r="C91" s="839">
        <v>905644</v>
      </c>
      <c r="D91" s="839">
        <v>0</v>
      </c>
      <c r="E91" s="851"/>
      <c r="F91" s="851"/>
      <c r="G91" s="851"/>
      <c r="H91" s="852">
        <f t="shared" si="9"/>
        <v>0</v>
      </c>
      <c r="I91" s="851">
        <v>0</v>
      </c>
      <c r="J91" s="851"/>
      <c r="K91" s="851"/>
      <c r="L91" s="851"/>
      <c r="M91" s="852">
        <f t="shared" si="10"/>
        <v>0</v>
      </c>
      <c r="N91" s="851">
        <v>0</v>
      </c>
      <c r="O91" s="851"/>
      <c r="P91" s="851"/>
      <c r="Q91" s="851"/>
      <c r="R91" s="852">
        <f t="shared" si="11"/>
        <v>0</v>
      </c>
    </row>
    <row r="92" spans="1:18" s="6" customFormat="1" ht="24" hidden="1" customHeight="1">
      <c r="A92" s="737" t="s">
        <v>68</v>
      </c>
      <c r="B92" s="725" t="s">
        <v>69</v>
      </c>
      <c r="C92" s="839">
        <v>0</v>
      </c>
      <c r="D92" s="839">
        <v>0</v>
      </c>
      <c r="E92" s="851"/>
      <c r="F92" s="851"/>
      <c r="G92" s="851"/>
      <c r="H92" s="852">
        <f t="shared" si="9"/>
        <v>0</v>
      </c>
      <c r="I92" s="851">
        <v>0</v>
      </c>
      <c r="J92" s="851"/>
      <c r="K92" s="851"/>
      <c r="L92" s="851"/>
      <c r="M92" s="852">
        <f t="shared" si="10"/>
        <v>0</v>
      </c>
      <c r="N92" s="851">
        <v>0</v>
      </c>
      <c r="O92" s="851"/>
      <c r="P92" s="851"/>
      <c r="Q92" s="851"/>
      <c r="R92" s="852">
        <f t="shared" si="11"/>
        <v>0</v>
      </c>
    </row>
    <row r="93" spans="1:18" s="6" customFormat="1" ht="12">
      <c r="A93" s="738"/>
      <c r="B93" s="739" t="s">
        <v>199</v>
      </c>
      <c r="C93" s="846"/>
      <c r="D93" s="847">
        <v>0</v>
      </c>
      <c r="E93" s="857"/>
      <c r="F93" s="857"/>
      <c r="G93" s="857"/>
      <c r="H93" s="857">
        <f t="shared" si="9"/>
        <v>0</v>
      </c>
      <c r="I93" s="857">
        <v>0</v>
      </c>
      <c r="J93" s="857"/>
      <c r="K93" s="857"/>
      <c r="L93" s="857"/>
      <c r="M93" s="857">
        <f t="shared" si="10"/>
        <v>0</v>
      </c>
      <c r="N93" s="857">
        <v>0</v>
      </c>
      <c r="O93" s="857"/>
      <c r="P93" s="857"/>
      <c r="Q93" s="857"/>
      <c r="R93" s="857">
        <f t="shared" si="11"/>
        <v>0</v>
      </c>
    </row>
    <row r="94" spans="1:18" s="6" customFormat="1" ht="20.399999999999999">
      <c r="A94" s="732" t="s">
        <v>201</v>
      </c>
      <c r="B94" s="733" t="s">
        <v>88</v>
      </c>
      <c r="C94" s="841">
        <v>121261073</v>
      </c>
      <c r="D94" s="841">
        <v>110122704</v>
      </c>
      <c r="E94" s="848">
        <f>E95+E96+E98+E116</f>
        <v>0</v>
      </c>
      <c r="F94" s="848">
        <f>F95+F96+F98+F116</f>
        <v>174534</v>
      </c>
      <c r="G94" s="848">
        <f>G95+G96+G98+G116</f>
        <v>22710443</v>
      </c>
      <c r="H94" s="848">
        <f t="shared" si="9"/>
        <v>133007681</v>
      </c>
      <c r="I94" s="848">
        <v>109057704</v>
      </c>
      <c r="J94" s="848">
        <f>J95+J96+J98+J116</f>
        <v>0</v>
      </c>
      <c r="K94" s="848">
        <f>K95+K96+K98+K116</f>
        <v>149052</v>
      </c>
      <c r="L94" s="848">
        <f>L95+L96+L98+L116</f>
        <v>24900000</v>
      </c>
      <c r="M94" s="848">
        <f t="shared" si="10"/>
        <v>134106756</v>
      </c>
      <c r="N94" s="848">
        <v>109057704</v>
      </c>
      <c r="O94" s="848">
        <f>O95+O96+O98+O116</f>
        <v>0</v>
      </c>
      <c r="P94" s="848">
        <f>P95+P96+P98+P116</f>
        <v>126602</v>
      </c>
      <c r="Q94" s="848">
        <f>Q95+Q96+Q98+Q116</f>
        <v>24900000</v>
      </c>
      <c r="R94" s="848">
        <f t="shared" si="11"/>
        <v>134084306</v>
      </c>
    </row>
    <row r="95" spans="1:18" s="6" customFormat="1" ht="22.8">
      <c r="A95" s="722" t="s">
        <v>177</v>
      </c>
      <c r="B95" s="723" t="s">
        <v>90</v>
      </c>
      <c r="C95" s="839">
        <v>900000</v>
      </c>
      <c r="D95" s="839">
        <v>900000</v>
      </c>
      <c r="E95" s="851"/>
      <c r="F95" s="851"/>
      <c r="G95" s="851">
        <v>0</v>
      </c>
      <c r="H95" s="852">
        <f t="shared" si="9"/>
        <v>900000</v>
      </c>
      <c r="I95" s="851">
        <v>900000</v>
      </c>
      <c r="J95" s="851"/>
      <c r="K95" s="851"/>
      <c r="L95" s="851"/>
      <c r="M95" s="852">
        <f t="shared" si="10"/>
        <v>900000</v>
      </c>
      <c r="N95" s="851">
        <v>900000</v>
      </c>
      <c r="O95" s="851"/>
      <c r="P95" s="851"/>
      <c r="Q95" s="851"/>
      <c r="R95" s="852">
        <f t="shared" si="11"/>
        <v>900000</v>
      </c>
    </row>
    <row r="96" spans="1:18" s="6" customFormat="1" ht="12" hidden="1" customHeight="1">
      <c r="A96" s="722" t="s">
        <v>91</v>
      </c>
      <c r="B96" s="723" t="s">
        <v>92</v>
      </c>
      <c r="C96" s="839">
        <v>0</v>
      </c>
      <c r="D96" s="839">
        <v>0</v>
      </c>
      <c r="E96" s="851"/>
      <c r="F96" s="851"/>
      <c r="G96" s="851"/>
      <c r="H96" s="852">
        <f t="shared" si="9"/>
        <v>0</v>
      </c>
      <c r="I96" s="851">
        <v>0</v>
      </c>
      <c r="J96" s="851"/>
      <c r="K96" s="851"/>
      <c r="L96" s="851"/>
      <c r="M96" s="852">
        <f t="shared" si="10"/>
        <v>0</v>
      </c>
      <c r="N96" s="851">
        <v>0</v>
      </c>
      <c r="O96" s="851"/>
      <c r="P96" s="851"/>
      <c r="Q96" s="851"/>
      <c r="R96" s="852">
        <f t="shared" si="11"/>
        <v>0</v>
      </c>
    </row>
    <row r="97" spans="1:18" s="6" customFormat="1" ht="24" hidden="1" customHeight="1">
      <c r="A97" s="724">
        <v>21210</v>
      </c>
      <c r="B97" s="725" t="s">
        <v>93</v>
      </c>
      <c r="C97" s="839">
        <v>0</v>
      </c>
      <c r="D97" s="839">
        <v>0</v>
      </c>
      <c r="E97" s="851"/>
      <c r="F97" s="851"/>
      <c r="G97" s="851"/>
      <c r="H97" s="852">
        <f t="shared" si="9"/>
        <v>0</v>
      </c>
      <c r="I97" s="851">
        <v>0</v>
      </c>
      <c r="J97" s="851"/>
      <c r="K97" s="851"/>
      <c r="L97" s="851"/>
      <c r="M97" s="852">
        <f t="shared" si="10"/>
        <v>0</v>
      </c>
      <c r="N97" s="851">
        <v>0</v>
      </c>
      <c r="O97" s="851"/>
      <c r="P97" s="851"/>
      <c r="Q97" s="851"/>
      <c r="R97" s="852">
        <f t="shared" si="11"/>
        <v>0</v>
      </c>
    </row>
    <row r="98" spans="1:18" s="6" customFormat="1" ht="21" hidden="1" customHeight="1">
      <c r="A98" s="722" t="s">
        <v>178</v>
      </c>
      <c r="B98" s="723" t="s">
        <v>94</v>
      </c>
      <c r="C98" s="840">
        <v>0</v>
      </c>
      <c r="D98" s="840">
        <v>0</v>
      </c>
      <c r="E98" s="852">
        <f>E99+E105</f>
        <v>0</v>
      </c>
      <c r="F98" s="852">
        <f>F99+F105</f>
        <v>0</v>
      </c>
      <c r="G98" s="852">
        <f>G99+G105</f>
        <v>0</v>
      </c>
      <c r="H98" s="852">
        <f t="shared" si="9"/>
        <v>0</v>
      </c>
      <c r="I98" s="852">
        <v>0</v>
      </c>
      <c r="J98" s="852">
        <f>J99+J105</f>
        <v>0</v>
      </c>
      <c r="K98" s="852">
        <f>K99+K105</f>
        <v>0</v>
      </c>
      <c r="L98" s="852">
        <f>L99+L105</f>
        <v>0</v>
      </c>
      <c r="M98" s="852">
        <f t="shared" si="10"/>
        <v>0</v>
      </c>
      <c r="N98" s="852">
        <v>0</v>
      </c>
      <c r="O98" s="852">
        <f>O99+O105</f>
        <v>0</v>
      </c>
      <c r="P98" s="852">
        <f>P99+P105</f>
        <v>0</v>
      </c>
      <c r="Q98" s="852">
        <f>Q99+Q105</f>
        <v>0</v>
      </c>
      <c r="R98" s="852">
        <f t="shared" si="11"/>
        <v>0</v>
      </c>
    </row>
    <row r="99" spans="1:18" s="6" customFormat="1" ht="12" hidden="1" customHeight="1">
      <c r="A99" s="724">
        <v>18000</v>
      </c>
      <c r="B99" s="725" t="s">
        <v>95</v>
      </c>
      <c r="C99" s="840">
        <v>0</v>
      </c>
      <c r="D99" s="840">
        <v>0</v>
      </c>
      <c r="E99" s="852">
        <f t="shared" ref="E99:G100" si="12">E100</f>
        <v>0</v>
      </c>
      <c r="F99" s="852">
        <f t="shared" si="12"/>
        <v>0</v>
      </c>
      <c r="G99" s="852">
        <f t="shared" si="12"/>
        <v>0</v>
      </c>
      <c r="H99" s="852">
        <f t="shared" si="9"/>
        <v>0</v>
      </c>
      <c r="I99" s="852">
        <v>0</v>
      </c>
      <c r="J99" s="852">
        <f t="shared" ref="J99:L100" si="13">J100</f>
        <v>0</v>
      </c>
      <c r="K99" s="852">
        <f t="shared" si="13"/>
        <v>0</v>
      </c>
      <c r="L99" s="852">
        <f t="shared" si="13"/>
        <v>0</v>
      </c>
      <c r="M99" s="852">
        <f t="shared" si="10"/>
        <v>0</v>
      </c>
      <c r="N99" s="852">
        <v>0</v>
      </c>
      <c r="O99" s="852">
        <f t="shared" ref="O99:Q100" si="14">O100</f>
        <v>0</v>
      </c>
      <c r="P99" s="852">
        <f t="shared" si="14"/>
        <v>0</v>
      </c>
      <c r="Q99" s="852">
        <f t="shared" si="14"/>
        <v>0</v>
      </c>
      <c r="R99" s="852">
        <f t="shared" si="11"/>
        <v>0</v>
      </c>
    </row>
    <row r="100" spans="1:18" s="6" customFormat="1" ht="12" hidden="1" customHeight="1">
      <c r="A100" s="724">
        <v>18100</v>
      </c>
      <c r="B100" s="725" t="s">
        <v>96</v>
      </c>
      <c r="C100" s="840">
        <v>0</v>
      </c>
      <c r="D100" s="840">
        <v>0</v>
      </c>
      <c r="E100" s="852">
        <f t="shared" si="12"/>
        <v>0</v>
      </c>
      <c r="F100" s="852">
        <f t="shared" si="12"/>
        <v>0</v>
      </c>
      <c r="G100" s="852">
        <f t="shared" si="12"/>
        <v>0</v>
      </c>
      <c r="H100" s="852">
        <f t="shared" si="9"/>
        <v>0</v>
      </c>
      <c r="I100" s="852">
        <v>0</v>
      </c>
      <c r="J100" s="852">
        <f t="shared" si="13"/>
        <v>0</v>
      </c>
      <c r="K100" s="852">
        <f t="shared" si="13"/>
        <v>0</v>
      </c>
      <c r="L100" s="852">
        <f t="shared" si="13"/>
        <v>0</v>
      </c>
      <c r="M100" s="852">
        <f t="shared" si="10"/>
        <v>0</v>
      </c>
      <c r="N100" s="852">
        <v>0</v>
      </c>
      <c r="O100" s="852">
        <f t="shared" si="14"/>
        <v>0</v>
      </c>
      <c r="P100" s="852">
        <f t="shared" si="14"/>
        <v>0</v>
      </c>
      <c r="Q100" s="852">
        <f t="shared" si="14"/>
        <v>0</v>
      </c>
      <c r="R100" s="852">
        <f t="shared" si="11"/>
        <v>0</v>
      </c>
    </row>
    <row r="101" spans="1:18" s="6" customFormat="1" ht="24" hidden="1" customHeight="1">
      <c r="A101" s="726">
        <v>18130</v>
      </c>
      <c r="B101" s="727" t="s">
        <v>159</v>
      </c>
      <c r="C101" s="840">
        <v>0</v>
      </c>
      <c r="D101" s="840">
        <v>0</v>
      </c>
      <c r="E101" s="852">
        <f>SUM(E102:E104)</f>
        <v>0</v>
      </c>
      <c r="F101" s="852">
        <f>SUM(F102:F104)</f>
        <v>0</v>
      </c>
      <c r="G101" s="852">
        <f>SUM(G102:G104)</f>
        <v>0</v>
      </c>
      <c r="H101" s="852">
        <f t="shared" si="9"/>
        <v>0</v>
      </c>
      <c r="I101" s="852">
        <v>0</v>
      </c>
      <c r="J101" s="852">
        <f>SUM(J102:J104)</f>
        <v>0</v>
      </c>
      <c r="K101" s="852">
        <f>SUM(K102:K104)</f>
        <v>0</v>
      </c>
      <c r="L101" s="852">
        <f>SUM(L102:L104)</f>
        <v>0</v>
      </c>
      <c r="M101" s="852">
        <f t="shared" si="10"/>
        <v>0</v>
      </c>
      <c r="N101" s="852">
        <v>0</v>
      </c>
      <c r="O101" s="852">
        <f>SUM(O102:O104)</f>
        <v>0</v>
      </c>
      <c r="P101" s="852">
        <f>SUM(P102:P104)</f>
        <v>0</v>
      </c>
      <c r="Q101" s="852">
        <f>SUM(Q102:Q104)</f>
        <v>0</v>
      </c>
      <c r="R101" s="852">
        <f t="shared" si="11"/>
        <v>0</v>
      </c>
    </row>
    <row r="102" spans="1:18" s="6" customFormat="1" ht="36" hidden="1" customHeight="1">
      <c r="A102" s="726">
        <v>18131</v>
      </c>
      <c r="B102" s="727" t="s">
        <v>160</v>
      </c>
      <c r="C102" s="840">
        <v>0</v>
      </c>
      <c r="D102" s="840">
        <v>0</v>
      </c>
      <c r="E102" s="852"/>
      <c r="F102" s="852"/>
      <c r="G102" s="852"/>
      <c r="H102" s="852">
        <f t="shared" si="9"/>
        <v>0</v>
      </c>
      <c r="I102" s="852">
        <v>0</v>
      </c>
      <c r="J102" s="852"/>
      <c r="K102" s="852"/>
      <c r="L102" s="852"/>
      <c r="M102" s="852">
        <f t="shared" si="10"/>
        <v>0</v>
      </c>
      <c r="N102" s="852">
        <v>0</v>
      </c>
      <c r="O102" s="852"/>
      <c r="P102" s="852"/>
      <c r="Q102" s="852"/>
      <c r="R102" s="852">
        <f t="shared" si="11"/>
        <v>0</v>
      </c>
    </row>
    <row r="103" spans="1:18" s="6" customFormat="1" ht="24" hidden="1" customHeight="1">
      <c r="A103" s="726">
        <v>18132</v>
      </c>
      <c r="B103" s="727" t="s">
        <v>169</v>
      </c>
      <c r="C103" s="840">
        <v>0</v>
      </c>
      <c r="D103" s="840">
        <v>0</v>
      </c>
      <c r="E103" s="852"/>
      <c r="F103" s="852"/>
      <c r="G103" s="852"/>
      <c r="H103" s="852">
        <f t="shared" si="9"/>
        <v>0</v>
      </c>
      <c r="I103" s="852">
        <v>0</v>
      </c>
      <c r="J103" s="852"/>
      <c r="K103" s="852"/>
      <c r="L103" s="852"/>
      <c r="M103" s="852">
        <f t="shared" si="10"/>
        <v>0</v>
      </c>
      <c r="N103" s="852">
        <v>0</v>
      </c>
      <c r="O103" s="852"/>
      <c r="P103" s="852"/>
      <c r="Q103" s="852"/>
      <c r="R103" s="852">
        <f t="shared" si="11"/>
        <v>0</v>
      </c>
    </row>
    <row r="104" spans="1:18" s="6" customFormat="1" ht="24" hidden="1" customHeight="1">
      <c r="A104" s="726">
        <v>18139</v>
      </c>
      <c r="B104" s="727" t="s">
        <v>179</v>
      </c>
      <c r="C104" s="840">
        <v>0</v>
      </c>
      <c r="D104" s="840">
        <v>0</v>
      </c>
      <c r="E104" s="852"/>
      <c r="F104" s="852"/>
      <c r="G104" s="852"/>
      <c r="H104" s="852">
        <f t="shared" si="9"/>
        <v>0</v>
      </c>
      <c r="I104" s="852">
        <v>0</v>
      </c>
      <c r="J104" s="852"/>
      <c r="K104" s="852"/>
      <c r="L104" s="852"/>
      <c r="M104" s="852">
        <f t="shared" si="10"/>
        <v>0</v>
      </c>
      <c r="N104" s="852">
        <v>0</v>
      </c>
      <c r="O104" s="852"/>
      <c r="P104" s="852"/>
      <c r="Q104" s="852"/>
      <c r="R104" s="852">
        <f t="shared" si="11"/>
        <v>0</v>
      </c>
    </row>
    <row r="105" spans="1:18" s="6" customFormat="1" ht="12" hidden="1" customHeight="1">
      <c r="A105" s="728" t="s">
        <v>180</v>
      </c>
      <c r="B105" s="729" t="s">
        <v>173</v>
      </c>
      <c r="C105" s="839">
        <v>0</v>
      </c>
      <c r="D105" s="839">
        <v>0</v>
      </c>
      <c r="E105" s="851">
        <f>E106</f>
        <v>0</v>
      </c>
      <c r="F105" s="851">
        <f>F106</f>
        <v>0</v>
      </c>
      <c r="G105" s="851">
        <f>G106</f>
        <v>0</v>
      </c>
      <c r="H105" s="852">
        <f t="shared" si="9"/>
        <v>0</v>
      </c>
      <c r="I105" s="851">
        <v>0</v>
      </c>
      <c r="J105" s="851">
        <f>J106</f>
        <v>0</v>
      </c>
      <c r="K105" s="851">
        <f>K106</f>
        <v>0</v>
      </c>
      <c r="L105" s="851">
        <f>L106</f>
        <v>0</v>
      </c>
      <c r="M105" s="852">
        <f t="shared" si="10"/>
        <v>0</v>
      </c>
      <c r="N105" s="851">
        <v>0</v>
      </c>
      <c r="O105" s="851">
        <f>O106</f>
        <v>0</v>
      </c>
      <c r="P105" s="851">
        <f>P106</f>
        <v>0</v>
      </c>
      <c r="Q105" s="851">
        <f>Q106</f>
        <v>0</v>
      </c>
      <c r="R105" s="852">
        <f t="shared" si="11"/>
        <v>0</v>
      </c>
    </row>
    <row r="106" spans="1:18" s="6" customFormat="1" ht="24" hidden="1" customHeight="1">
      <c r="A106" s="728">
        <v>19500</v>
      </c>
      <c r="B106" s="727" t="s">
        <v>174</v>
      </c>
      <c r="C106" s="840">
        <v>0</v>
      </c>
      <c r="D106" s="840">
        <v>0</v>
      </c>
      <c r="E106" s="852">
        <f>SUM(E107:E109)</f>
        <v>0</v>
      </c>
      <c r="F106" s="852">
        <f>SUM(F107:F109)</f>
        <v>0</v>
      </c>
      <c r="G106" s="852">
        <f>SUM(G107:G109)</f>
        <v>0</v>
      </c>
      <c r="H106" s="852">
        <f t="shared" si="9"/>
        <v>0</v>
      </c>
      <c r="I106" s="852">
        <v>0</v>
      </c>
      <c r="J106" s="852">
        <f>SUM(J107:J109)</f>
        <v>0</v>
      </c>
      <c r="K106" s="852">
        <f>SUM(K107:K109)</f>
        <v>0</v>
      </c>
      <c r="L106" s="852">
        <f>SUM(L107:L109)</f>
        <v>0</v>
      </c>
      <c r="M106" s="852">
        <f t="shared" si="10"/>
        <v>0</v>
      </c>
      <c r="N106" s="852">
        <v>0</v>
      </c>
      <c r="O106" s="852">
        <f>SUM(O107:O109)</f>
        <v>0</v>
      </c>
      <c r="P106" s="852">
        <f>SUM(P107:P109)</f>
        <v>0</v>
      </c>
      <c r="Q106" s="852">
        <f>SUM(Q107:Q109)</f>
        <v>0</v>
      </c>
      <c r="R106" s="852">
        <f t="shared" si="11"/>
        <v>0</v>
      </c>
    </row>
    <row r="107" spans="1:18" s="6" customFormat="1" ht="24" hidden="1" customHeight="1">
      <c r="A107" s="728">
        <v>19550</v>
      </c>
      <c r="B107" s="727" t="s">
        <v>175</v>
      </c>
      <c r="C107" s="840">
        <v>0</v>
      </c>
      <c r="D107" s="840">
        <v>0</v>
      </c>
      <c r="E107" s="852"/>
      <c r="F107" s="852"/>
      <c r="G107" s="852"/>
      <c r="H107" s="852">
        <f t="shared" si="9"/>
        <v>0</v>
      </c>
      <c r="I107" s="852">
        <v>0</v>
      </c>
      <c r="J107" s="852"/>
      <c r="K107" s="852"/>
      <c r="L107" s="852"/>
      <c r="M107" s="852">
        <f t="shared" si="10"/>
        <v>0</v>
      </c>
      <c r="N107" s="852">
        <v>0</v>
      </c>
      <c r="O107" s="852"/>
      <c r="P107" s="852"/>
      <c r="Q107" s="852"/>
      <c r="R107" s="852">
        <f t="shared" si="11"/>
        <v>0</v>
      </c>
    </row>
    <row r="108" spans="1:18" s="6" customFormat="1" ht="36" hidden="1" customHeight="1">
      <c r="A108" s="728">
        <v>19560</v>
      </c>
      <c r="B108" s="727" t="s">
        <v>181</v>
      </c>
      <c r="C108" s="840">
        <v>0</v>
      </c>
      <c r="D108" s="840">
        <v>0</v>
      </c>
      <c r="E108" s="852"/>
      <c r="F108" s="852"/>
      <c r="G108" s="852"/>
      <c r="H108" s="852">
        <f t="shared" si="9"/>
        <v>0</v>
      </c>
      <c r="I108" s="852">
        <v>0</v>
      </c>
      <c r="J108" s="852"/>
      <c r="K108" s="852"/>
      <c r="L108" s="852"/>
      <c r="M108" s="852">
        <f t="shared" si="10"/>
        <v>0</v>
      </c>
      <c r="N108" s="852">
        <v>0</v>
      </c>
      <c r="O108" s="852"/>
      <c r="P108" s="852"/>
      <c r="Q108" s="852"/>
      <c r="R108" s="852">
        <f t="shared" si="11"/>
        <v>0</v>
      </c>
    </row>
    <row r="109" spans="1:18" s="6" customFormat="1" ht="72" hidden="1" customHeight="1">
      <c r="A109" s="728">
        <v>19570</v>
      </c>
      <c r="B109" s="727" t="s">
        <v>182</v>
      </c>
      <c r="C109" s="840">
        <v>0</v>
      </c>
      <c r="D109" s="840">
        <v>0</v>
      </c>
      <c r="E109" s="852"/>
      <c r="F109" s="852"/>
      <c r="G109" s="852"/>
      <c r="H109" s="852">
        <f t="shared" si="9"/>
        <v>0</v>
      </c>
      <c r="I109" s="852">
        <v>0</v>
      </c>
      <c r="J109" s="852"/>
      <c r="K109" s="852"/>
      <c r="L109" s="852"/>
      <c r="M109" s="852">
        <f t="shared" si="10"/>
        <v>0</v>
      </c>
      <c r="N109" s="852">
        <v>0</v>
      </c>
      <c r="O109" s="852"/>
      <c r="P109" s="852"/>
      <c r="Q109" s="852"/>
      <c r="R109" s="852">
        <f t="shared" si="11"/>
        <v>0</v>
      </c>
    </row>
    <row r="110" spans="1:18" s="6" customFormat="1" ht="24" hidden="1" customHeight="1">
      <c r="A110" s="730" t="s">
        <v>222</v>
      </c>
      <c r="B110" s="731" t="s">
        <v>216</v>
      </c>
      <c r="C110" s="840">
        <f>C111</f>
        <v>0</v>
      </c>
      <c r="D110" s="840">
        <v>0</v>
      </c>
      <c r="E110" s="852">
        <f>E111</f>
        <v>0</v>
      </c>
      <c r="F110" s="852">
        <f>F111</f>
        <v>0</v>
      </c>
      <c r="G110" s="852">
        <f>G111</f>
        <v>0</v>
      </c>
      <c r="H110" s="852">
        <f t="shared" si="9"/>
        <v>0</v>
      </c>
      <c r="I110" s="852">
        <v>0</v>
      </c>
      <c r="J110" s="852">
        <f>J111</f>
        <v>0</v>
      </c>
      <c r="K110" s="852">
        <f>K111</f>
        <v>0</v>
      </c>
      <c r="L110" s="852">
        <f>L111</f>
        <v>0</v>
      </c>
      <c r="M110" s="852">
        <f t="shared" si="10"/>
        <v>0</v>
      </c>
      <c r="N110" s="852">
        <v>0</v>
      </c>
      <c r="O110" s="852">
        <f>O111</f>
        <v>0</v>
      </c>
      <c r="P110" s="852">
        <f>P111</f>
        <v>0</v>
      </c>
      <c r="Q110" s="852">
        <f>Q111</f>
        <v>0</v>
      </c>
      <c r="R110" s="852">
        <f t="shared" si="11"/>
        <v>0</v>
      </c>
    </row>
    <row r="111" spans="1:18" s="6" customFormat="1" ht="36" hidden="1" customHeight="1">
      <c r="A111" s="730">
        <v>17100</v>
      </c>
      <c r="B111" s="731" t="s">
        <v>217</v>
      </c>
      <c r="C111" s="840">
        <f>SUM(C112:C115)</f>
        <v>0</v>
      </c>
      <c r="D111" s="840">
        <v>0</v>
      </c>
      <c r="E111" s="852">
        <f>SUM(E112:E115)</f>
        <v>0</v>
      </c>
      <c r="F111" s="852">
        <f>SUM(F112:F115)</f>
        <v>0</v>
      </c>
      <c r="G111" s="852">
        <f>SUM(G112:G115)</f>
        <v>0</v>
      </c>
      <c r="H111" s="852">
        <f t="shared" si="9"/>
        <v>0</v>
      </c>
      <c r="I111" s="852">
        <v>0</v>
      </c>
      <c r="J111" s="852">
        <f>SUM(J112:J115)</f>
        <v>0</v>
      </c>
      <c r="K111" s="852">
        <f>SUM(K112:K115)</f>
        <v>0</v>
      </c>
      <c r="L111" s="852">
        <f>SUM(L112:L115)</f>
        <v>0</v>
      </c>
      <c r="M111" s="852">
        <f t="shared" si="10"/>
        <v>0</v>
      </c>
      <c r="N111" s="852">
        <v>0</v>
      </c>
      <c r="O111" s="852">
        <f>SUM(O112:O115)</f>
        <v>0</v>
      </c>
      <c r="P111" s="852">
        <f>SUM(P112:P115)</f>
        <v>0</v>
      </c>
      <c r="Q111" s="852">
        <f>SUM(Q112:Q115)</f>
        <v>0</v>
      </c>
      <c r="R111" s="852">
        <f t="shared" si="11"/>
        <v>0</v>
      </c>
    </row>
    <row r="112" spans="1:18" s="6" customFormat="1" ht="60" hidden="1" customHeight="1">
      <c r="A112" s="730">
        <v>17110</v>
      </c>
      <c r="B112" s="731" t="s">
        <v>218</v>
      </c>
      <c r="C112" s="840"/>
      <c r="D112" s="840">
        <v>0</v>
      </c>
      <c r="E112" s="852"/>
      <c r="F112" s="852"/>
      <c r="G112" s="852"/>
      <c r="H112" s="852">
        <f t="shared" si="9"/>
        <v>0</v>
      </c>
      <c r="I112" s="852">
        <v>0</v>
      </c>
      <c r="J112" s="852"/>
      <c r="K112" s="852"/>
      <c r="L112" s="852"/>
      <c r="M112" s="852">
        <f t="shared" si="10"/>
        <v>0</v>
      </c>
      <c r="N112" s="852">
        <v>0</v>
      </c>
      <c r="O112" s="852"/>
      <c r="P112" s="852"/>
      <c r="Q112" s="852"/>
      <c r="R112" s="852">
        <f t="shared" si="11"/>
        <v>0</v>
      </c>
    </row>
    <row r="113" spans="1:18" s="6" customFormat="1" ht="60" hidden="1" customHeight="1">
      <c r="A113" s="730">
        <v>17120</v>
      </c>
      <c r="B113" s="731" t="s">
        <v>219</v>
      </c>
      <c r="C113" s="840"/>
      <c r="D113" s="840">
        <v>0</v>
      </c>
      <c r="E113" s="852"/>
      <c r="F113" s="852"/>
      <c r="G113" s="852"/>
      <c r="H113" s="852">
        <f t="shared" si="9"/>
        <v>0</v>
      </c>
      <c r="I113" s="852">
        <v>0</v>
      </c>
      <c r="J113" s="852"/>
      <c r="K113" s="852"/>
      <c r="L113" s="852"/>
      <c r="M113" s="852">
        <f t="shared" si="10"/>
        <v>0</v>
      </c>
      <c r="N113" s="852">
        <v>0</v>
      </c>
      <c r="O113" s="852"/>
      <c r="P113" s="852"/>
      <c r="Q113" s="852"/>
      <c r="R113" s="852">
        <f t="shared" si="11"/>
        <v>0</v>
      </c>
    </row>
    <row r="114" spans="1:18" s="6" customFormat="1" ht="108" hidden="1" customHeight="1">
      <c r="A114" s="730">
        <v>17130</v>
      </c>
      <c r="B114" s="731" t="s">
        <v>560</v>
      </c>
      <c r="C114" s="840"/>
      <c r="D114" s="840">
        <v>0</v>
      </c>
      <c r="E114" s="852"/>
      <c r="F114" s="852"/>
      <c r="G114" s="852"/>
      <c r="H114" s="852">
        <f t="shared" si="9"/>
        <v>0</v>
      </c>
      <c r="I114" s="852">
        <v>0</v>
      </c>
      <c r="J114" s="852"/>
      <c r="K114" s="852"/>
      <c r="L114" s="852"/>
      <c r="M114" s="852">
        <f t="shared" si="10"/>
        <v>0</v>
      </c>
      <c r="N114" s="852">
        <v>0</v>
      </c>
      <c r="O114" s="852"/>
      <c r="P114" s="852"/>
      <c r="Q114" s="852"/>
      <c r="R114" s="852">
        <f t="shared" si="11"/>
        <v>0</v>
      </c>
    </row>
    <row r="115" spans="1:18" s="6" customFormat="1" ht="96" hidden="1" customHeight="1">
      <c r="A115" s="730">
        <v>17140</v>
      </c>
      <c r="B115" s="731" t="s">
        <v>561</v>
      </c>
      <c r="C115" s="840"/>
      <c r="D115" s="840">
        <v>0</v>
      </c>
      <c r="E115" s="852"/>
      <c r="F115" s="852"/>
      <c r="G115" s="852"/>
      <c r="H115" s="852">
        <f t="shared" si="9"/>
        <v>0</v>
      </c>
      <c r="I115" s="852">
        <v>0</v>
      </c>
      <c r="J115" s="852"/>
      <c r="K115" s="852"/>
      <c r="L115" s="852"/>
      <c r="M115" s="852">
        <f t="shared" si="10"/>
        <v>0</v>
      </c>
      <c r="N115" s="852">
        <v>0</v>
      </c>
      <c r="O115" s="852"/>
      <c r="P115" s="852"/>
      <c r="Q115" s="852"/>
      <c r="R115" s="852">
        <f t="shared" si="11"/>
        <v>0</v>
      </c>
    </row>
    <row r="116" spans="1:18" s="6" customFormat="1" ht="12">
      <c r="A116" s="722">
        <v>21700</v>
      </c>
      <c r="B116" s="723" t="s">
        <v>97</v>
      </c>
      <c r="C116" s="840">
        <v>120361073</v>
      </c>
      <c r="D116" s="840">
        <v>109222704</v>
      </c>
      <c r="E116" s="852">
        <f>E117+E118</f>
        <v>0</v>
      </c>
      <c r="F116" s="852">
        <f>F117+F118</f>
        <v>174534</v>
      </c>
      <c r="G116" s="852">
        <f>G117+G118</f>
        <v>22710443</v>
      </c>
      <c r="H116" s="852">
        <f t="shared" si="9"/>
        <v>132107681</v>
      </c>
      <c r="I116" s="852">
        <v>108157704</v>
      </c>
      <c r="J116" s="852">
        <f>J117+J118</f>
        <v>0</v>
      </c>
      <c r="K116" s="852">
        <f>K117+K118</f>
        <v>149052</v>
      </c>
      <c r="L116" s="852">
        <f>L117+L118</f>
        <v>24900000</v>
      </c>
      <c r="M116" s="852">
        <f t="shared" si="10"/>
        <v>133206756</v>
      </c>
      <c r="N116" s="852">
        <v>108157704</v>
      </c>
      <c r="O116" s="852">
        <f>O117+O118</f>
        <v>0</v>
      </c>
      <c r="P116" s="852">
        <f>P117+P118</f>
        <v>126602</v>
      </c>
      <c r="Q116" s="852">
        <f>Q117+Q118</f>
        <v>24900000</v>
      </c>
      <c r="R116" s="852">
        <f t="shared" si="11"/>
        <v>133184306</v>
      </c>
    </row>
    <row r="117" spans="1:18" s="6" customFormat="1" ht="24">
      <c r="A117" s="724">
        <v>21710</v>
      </c>
      <c r="B117" s="725" t="s">
        <v>98</v>
      </c>
      <c r="C117" s="840">
        <v>120361073</v>
      </c>
      <c r="D117" s="840">
        <v>109222704</v>
      </c>
      <c r="E117" s="852"/>
      <c r="F117" s="852">
        <f>F276+F294+F314+F324+F334+F307</f>
        <v>174534</v>
      </c>
      <c r="G117" s="852">
        <f>G276+G294+G307+G314+G324+G334</f>
        <v>22710443</v>
      </c>
      <c r="H117" s="852">
        <f t="shared" si="9"/>
        <v>132107681</v>
      </c>
      <c r="I117" s="852">
        <v>108157704</v>
      </c>
      <c r="J117" s="852"/>
      <c r="K117" s="852">
        <f>K276+K294+K307+K314+K324+K334</f>
        <v>149052</v>
      </c>
      <c r="L117" s="852">
        <f>L276+L294+L307+L314+L324+L334</f>
        <v>24900000</v>
      </c>
      <c r="M117" s="852">
        <f t="shared" si="10"/>
        <v>133206756</v>
      </c>
      <c r="N117" s="852">
        <v>108157704</v>
      </c>
      <c r="O117" s="852"/>
      <c r="P117" s="852">
        <f>P276+P294+P307+P314+P324+P334</f>
        <v>126602</v>
      </c>
      <c r="Q117" s="852">
        <f>Q276+Q294+Q307+Q314+Q324+Q334</f>
        <v>24900000</v>
      </c>
      <c r="R117" s="852">
        <f t="shared" si="11"/>
        <v>133184306</v>
      </c>
    </row>
    <row r="118" spans="1:18" s="6" customFormat="1" ht="24" hidden="1" customHeight="1">
      <c r="A118" s="724">
        <v>21720</v>
      </c>
      <c r="B118" s="725" t="s">
        <v>99</v>
      </c>
      <c r="C118" s="840">
        <v>0</v>
      </c>
      <c r="D118" s="840">
        <v>0</v>
      </c>
      <c r="E118" s="852"/>
      <c r="F118" s="852"/>
      <c r="G118" s="852"/>
      <c r="H118" s="852">
        <f t="shared" si="9"/>
        <v>0</v>
      </c>
      <c r="I118" s="852">
        <v>0</v>
      </c>
      <c r="J118" s="852"/>
      <c r="K118" s="852"/>
      <c r="L118" s="852"/>
      <c r="M118" s="852">
        <f t="shared" si="10"/>
        <v>0</v>
      </c>
      <c r="N118" s="852">
        <v>0</v>
      </c>
      <c r="O118" s="852"/>
      <c r="P118" s="852"/>
      <c r="Q118" s="852"/>
      <c r="R118" s="852">
        <f t="shared" si="11"/>
        <v>0</v>
      </c>
    </row>
    <row r="119" spans="1:18" s="6" customFormat="1" ht="11.4">
      <c r="A119" s="732" t="s">
        <v>100</v>
      </c>
      <c r="B119" s="733" t="s">
        <v>101</v>
      </c>
      <c r="C119" s="841">
        <v>121489900</v>
      </c>
      <c r="D119" s="841">
        <v>110311730</v>
      </c>
      <c r="E119" s="848">
        <f>E120+E147</f>
        <v>0</v>
      </c>
      <c r="F119" s="848">
        <f>F120+F147</f>
        <v>160179</v>
      </c>
      <c r="G119" s="848">
        <f>G120+G147</f>
        <v>22800443</v>
      </c>
      <c r="H119" s="848">
        <f t="shared" si="9"/>
        <v>133272352</v>
      </c>
      <c r="I119" s="848">
        <v>109232059</v>
      </c>
      <c r="J119" s="848">
        <f>J120+J147</f>
        <v>0</v>
      </c>
      <c r="K119" s="848">
        <f>K120+K147</f>
        <v>134697</v>
      </c>
      <c r="L119" s="848">
        <f>L120+L147</f>
        <v>24907686</v>
      </c>
      <c r="M119" s="848">
        <f t="shared" si="10"/>
        <v>134274442</v>
      </c>
      <c r="N119" s="848">
        <v>109232059</v>
      </c>
      <c r="O119" s="848">
        <f>O120+O147</f>
        <v>0</v>
      </c>
      <c r="P119" s="848">
        <f>P120+P147</f>
        <v>112247</v>
      </c>
      <c r="Q119" s="848">
        <f>Q120+Q147</f>
        <v>24900000</v>
      </c>
      <c r="R119" s="848">
        <f t="shared" si="11"/>
        <v>134244306</v>
      </c>
    </row>
    <row r="120" spans="1:18" s="6" customFormat="1" ht="20.399999999999999">
      <c r="A120" s="722" t="s">
        <v>102</v>
      </c>
      <c r="B120" s="723" t="s">
        <v>103</v>
      </c>
      <c r="C120" s="840">
        <v>116370331</v>
      </c>
      <c r="D120" s="840">
        <v>105192161</v>
      </c>
      <c r="E120" s="852">
        <f>E121+E125+E126+E129+E132</f>
        <v>0</v>
      </c>
      <c r="F120" s="852">
        <f>F121+F125+F126+F129+F132</f>
        <v>160029</v>
      </c>
      <c r="G120" s="852">
        <f>G121+G125+G126+G129+G132</f>
        <v>15789334</v>
      </c>
      <c r="H120" s="852">
        <f t="shared" si="9"/>
        <v>121141524</v>
      </c>
      <c r="I120" s="852">
        <v>104112490</v>
      </c>
      <c r="J120" s="852">
        <f>J121+J125+J126+J129+J132</f>
        <v>0</v>
      </c>
      <c r="K120" s="852">
        <f>K121+K125+K126+K129+K132</f>
        <v>134697</v>
      </c>
      <c r="L120" s="852">
        <f>L121+L125+L126+L129+L132</f>
        <v>18200848</v>
      </c>
      <c r="M120" s="852">
        <f t="shared" si="10"/>
        <v>122448035</v>
      </c>
      <c r="N120" s="852">
        <v>104112490</v>
      </c>
      <c r="O120" s="852">
        <f>O121+O125+O126+O129+O132</f>
        <v>0</v>
      </c>
      <c r="P120" s="852">
        <f>P121+P125+P126+P129+P132</f>
        <v>112247</v>
      </c>
      <c r="Q120" s="852">
        <f>Q121+Q125+Q126+Q129+Q132</f>
        <v>18507904</v>
      </c>
      <c r="R120" s="852">
        <f t="shared" si="11"/>
        <v>122732641</v>
      </c>
    </row>
    <row r="121" spans="1:18" s="6" customFormat="1" ht="12">
      <c r="A121" s="722" t="s">
        <v>104</v>
      </c>
      <c r="B121" s="723" t="s">
        <v>105</v>
      </c>
      <c r="C121" s="840">
        <v>52012195</v>
      </c>
      <c r="D121" s="840">
        <v>52546196</v>
      </c>
      <c r="E121" s="852">
        <f>E122+E124</f>
        <v>0</v>
      </c>
      <c r="F121" s="852">
        <f>F122+F124</f>
        <v>243288</v>
      </c>
      <c r="G121" s="852">
        <f>G122+G124</f>
        <v>100443</v>
      </c>
      <c r="H121" s="852">
        <f t="shared" si="9"/>
        <v>52889927</v>
      </c>
      <c r="I121" s="852">
        <v>52531525</v>
      </c>
      <c r="J121" s="852">
        <f>J122+J124</f>
        <v>0</v>
      </c>
      <c r="K121" s="852">
        <f>K122+K124</f>
        <v>229396</v>
      </c>
      <c r="L121" s="852">
        <f>L122+L124</f>
        <v>7686</v>
      </c>
      <c r="M121" s="852">
        <f t="shared" si="10"/>
        <v>52768607</v>
      </c>
      <c r="N121" s="852">
        <v>52531525</v>
      </c>
      <c r="O121" s="852">
        <f>O122+O124</f>
        <v>0</v>
      </c>
      <c r="P121" s="852">
        <f>P122+P124</f>
        <v>206946</v>
      </c>
      <c r="Q121" s="852">
        <f>Q122+Q124</f>
        <v>0</v>
      </c>
      <c r="R121" s="852">
        <f t="shared" si="11"/>
        <v>52738471</v>
      </c>
    </row>
    <row r="122" spans="1:18" s="29" customFormat="1" ht="12">
      <c r="A122" s="724">
        <v>1000</v>
      </c>
      <c r="B122" s="725" t="s">
        <v>106</v>
      </c>
      <c r="C122" s="840">
        <v>1780413</v>
      </c>
      <c r="D122" s="840">
        <v>1690413</v>
      </c>
      <c r="E122" s="852"/>
      <c r="F122" s="852">
        <f>F280+F298</f>
        <v>113258</v>
      </c>
      <c r="G122" s="852">
        <f>G280+G298</f>
        <v>61471</v>
      </c>
      <c r="H122" s="852">
        <f t="shared" si="9"/>
        <v>1865142</v>
      </c>
      <c r="I122" s="852">
        <v>1690413</v>
      </c>
      <c r="J122" s="852"/>
      <c r="K122" s="852">
        <f>K280+K298</f>
        <v>133596</v>
      </c>
      <c r="L122" s="852">
        <f>L280+L298</f>
        <v>0</v>
      </c>
      <c r="M122" s="852">
        <f t="shared" si="10"/>
        <v>1824009</v>
      </c>
      <c r="N122" s="852">
        <v>1690413</v>
      </c>
      <c r="O122" s="852"/>
      <c r="P122" s="852">
        <f>P280+P298</f>
        <v>119746</v>
      </c>
      <c r="Q122" s="852">
        <f>Q280+Q298</f>
        <v>0</v>
      </c>
      <c r="R122" s="852">
        <f t="shared" si="11"/>
        <v>1810159</v>
      </c>
    </row>
    <row r="123" spans="1:18" s="89" customFormat="1" ht="12">
      <c r="A123" s="724">
        <v>1100</v>
      </c>
      <c r="B123" s="725" t="s">
        <v>107</v>
      </c>
      <c r="C123" s="840">
        <v>1362292</v>
      </c>
      <c r="D123" s="840">
        <v>1289764</v>
      </c>
      <c r="E123" s="852"/>
      <c r="F123" s="852">
        <f>F281+F299</f>
        <v>78612</v>
      </c>
      <c r="G123" s="852">
        <f>G281+G299</f>
        <v>49538</v>
      </c>
      <c r="H123" s="852">
        <f t="shared" si="9"/>
        <v>1417914</v>
      </c>
      <c r="I123" s="852">
        <v>1289764</v>
      </c>
      <c r="J123" s="852"/>
      <c r="K123" s="852">
        <f>K281+K299</f>
        <v>86196</v>
      </c>
      <c r="L123" s="852">
        <f>L281+L299</f>
        <v>0</v>
      </c>
      <c r="M123" s="852">
        <f t="shared" si="10"/>
        <v>1375960</v>
      </c>
      <c r="N123" s="852">
        <v>1289764</v>
      </c>
      <c r="O123" s="852"/>
      <c r="P123" s="852">
        <f>P281+P299</f>
        <v>82140</v>
      </c>
      <c r="Q123" s="852">
        <f>Q281+Q299</f>
        <v>0</v>
      </c>
      <c r="R123" s="852">
        <f t="shared" si="11"/>
        <v>1371904</v>
      </c>
    </row>
    <row r="124" spans="1:18" s="89" customFormat="1" ht="12">
      <c r="A124" s="724">
        <v>2000</v>
      </c>
      <c r="B124" s="725" t="s">
        <v>108</v>
      </c>
      <c r="C124" s="840">
        <v>50231782</v>
      </c>
      <c r="D124" s="840">
        <v>50855783</v>
      </c>
      <c r="E124" s="852"/>
      <c r="F124" s="852">
        <f>F282+F300</f>
        <v>130030</v>
      </c>
      <c r="G124" s="852">
        <f>G282+G300+G338</f>
        <v>38972</v>
      </c>
      <c r="H124" s="852">
        <f t="shared" si="9"/>
        <v>51024785</v>
      </c>
      <c r="I124" s="852">
        <v>50841112</v>
      </c>
      <c r="J124" s="852"/>
      <c r="K124" s="852">
        <f>K282+K300</f>
        <v>95800</v>
      </c>
      <c r="L124" s="852">
        <f>L282+L300+L338</f>
        <v>7686</v>
      </c>
      <c r="M124" s="852">
        <f t="shared" si="10"/>
        <v>50944598</v>
      </c>
      <c r="N124" s="852">
        <v>50841112</v>
      </c>
      <c r="O124" s="852"/>
      <c r="P124" s="852">
        <f>P282+P300</f>
        <v>87200</v>
      </c>
      <c r="Q124" s="852">
        <f>Q282+Q300+Q338</f>
        <v>0</v>
      </c>
      <c r="R124" s="852">
        <f t="shared" si="11"/>
        <v>50928312</v>
      </c>
    </row>
    <row r="125" spans="1:18" s="89" customFormat="1" ht="12" hidden="1" customHeight="1">
      <c r="A125" s="722">
        <v>4000</v>
      </c>
      <c r="B125" s="723" t="s">
        <v>132</v>
      </c>
      <c r="C125" s="840">
        <v>0</v>
      </c>
      <c r="D125" s="840">
        <v>0</v>
      </c>
      <c r="E125" s="852"/>
      <c r="F125" s="852"/>
      <c r="G125" s="852"/>
      <c r="H125" s="852">
        <f t="shared" si="9"/>
        <v>0</v>
      </c>
      <c r="I125" s="852">
        <v>0</v>
      </c>
      <c r="J125" s="852"/>
      <c r="K125" s="852"/>
      <c r="L125" s="852"/>
      <c r="M125" s="852">
        <f t="shared" si="10"/>
        <v>0</v>
      </c>
      <c r="N125" s="852">
        <v>0</v>
      </c>
      <c r="O125" s="852"/>
      <c r="P125" s="852"/>
      <c r="Q125" s="852"/>
      <c r="R125" s="852">
        <f t="shared" si="11"/>
        <v>0</v>
      </c>
    </row>
    <row r="126" spans="1:18" s="89" customFormat="1" ht="12">
      <c r="A126" s="722" t="s">
        <v>109</v>
      </c>
      <c r="B126" s="723" t="s">
        <v>110</v>
      </c>
      <c r="C126" s="840">
        <v>33001184</v>
      </c>
      <c r="D126" s="840">
        <v>26887505</v>
      </c>
      <c r="E126" s="852">
        <f>E127+E128</f>
        <v>0</v>
      </c>
      <c r="F126" s="852">
        <f>F127+F128</f>
        <v>142740</v>
      </c>
      <c r="G126" s="852">
        <f>G127+G128</f>
        <v>6700123</v>
      </c>
      <c r="H126" s="852">
        <f t="shared" si="9"/>
        <v>33730368</v>
      </c>
      <c r="I126" s="852">
        <v>25822505</v>
      </c>
      <c r="J126" s="852">
        <f>J127+J128</f>
        <v>0</v>
      </c>
      <c r="K126" s="852">
        <f>K127+K128</f>
        <v>131300</v>
      </c>
      <c r="L126" s="852">
        <f>L127+L128</f>
        <v>8120654</v>
      </c>
      <c r="M126" s="852">
        <f t="shared" si="10"/>
        <v>34074459</v>
      </c>
      <c r="N126" s="852">
        <v>25822505</v>
      </c>
      <c r="O126" s="852">
        <f>O127+O128</f>
        <v>0</v>
      </c>
      <c r="P126" s="852">
        <f>P127+P128</f>
        <v>131300</v>
      </c>
      <c r="Q126" s="852">
        <f>Q127+Q128</f>
        <v>8304608</v>
      </c>
      <c r="R126" s="852">
        <f t="shared" si="11"/>
        <v>34258413</v>
      </c>
    </row>
    <row r="127" spans="1:18" s="89" customFormat="1" ht="12">
      <c r="A127" s="724">
        <v>3000</v>
      </c>
      <c r="B127" s="725" t="s">
        <v>111</v>
      </c>
      <c r="C127" s="842">
        <v>33001184</v>
      </c>
      <c r="D127" s="842">
        <v>26887505</v>
      </c>
      <c r="E127" s="853"/>
      <c r="F127" s="853">
        <f>F317+F327+F310</f>
        <v>142740</v>
      </c>
      <c r="G127" s="853">
        <f>G310+G317+G327</f>
        <v>6700123</v>
      </c>
      <c r="H127" s="852">
        <f t="shared" si="9"/>
        <v>33730368</v>
      </c>
      <c r="I127" s="853">
        <v>25822505</v>
      </c>
      <c r="J127" s="853"/>
      <c r="K127" s="853">
        <f>K310+K317+K327</f>
        <v>131300</v>
      </c>
      <c r="L127" s="853">
        <f>L310+L317+L327</f>
        <v>8120654</v>
      </c>
      <c r="M127" s="852">
        <f t="shared" si="10"/>
        <v>34074459</v>
      </c>
      <c r="N127" s="853">
        <v>25822505</v>
      </c>
      <c r="O127" s="853"/>
      <c r="P127" s="853">
        <f>P310+P317+P327</f>
        <v>131300</v>
      </c>
      <c r="Q127" s="853">
        <f>Q310+Q317+Q327</f>
        <v>8304608</v>
      </c>
      <c r="R127" s="852">
        <f t="shared" si="11"/>
        <v>34258413</v>
      </c>
    </row>
    <row r="128" spans="1:18" s="89" customFormat="1" ht="12" hidden="1" customHeight="1">
      <c r="A128" s="724">
        <v>6000</v>
      </c>
      <c r="B128" s="725" t="s">
        <v>112</v>
      </c>
      <c r="C128" s="840">
        <v>0</v>
      </c>
      <c r="D128" s="840">
        <v>0</v>
      </c>
      <c r="E128" s="852"/>
      <c r="F128" s="852"/>
      <c r="G128" s="852"/>
      <c r="H128" s="852">
        <f t="shared" si="9"/>
        <v>0</v>
      </c>
      <c r="I128" s="852">
        <v>0</v>
      </c>
      <c r="J128" s="852"/>
      <c r="K128" s="852"/>
      <c r="L128" s="852"/>
      <c r="M128" s="852">
        <f t="shared" si="10"/>
        <v>0</v>
      </c>
      <c r="N128" s="852">
        <v>0</v>
      </c>
      <c r="O128" s="852"/>
      <c r="P128" s="852"/>
      <c r="Q128" s="852"/>
      <c r="R128" s="852">
        <f t="shared" si="11"/>
        <v>0</v>
      </c>
    </row>
    <row r="129" spans="1:18" s="89" customFormat="1" ht="22.8">
      <c r="A129" s="722" t="s">
        <v>113</v>
      </c>
      <c r="B129" s="723" t="s">
        <v>183</v>
      </c>
      <c r="C129" s="840">
        <v>157178</v>
      </c>
      <c r="D129" s="840">
        <v>167281</v>
      </c>
      <c r="E129" s="852">
        <f>E130+E131</f>
        <v>0</v>
      </c>
      <c r="F129" s="852">
        <f>F130+F131</f>
        <v>0</v>
      </c>
      <c r="G129" s="852">
        <f>G130+G131</f>
        <v>0</v>
      </c>
      <c r="H129" s="852">
        <f t="shared" si="9"/>
        <v>167281</v>
      </c>
      <c r="I129" s="852">
        <v>167281</v>
      </c>
      <c r="J129" s="852">
        <f>J130+J131</f>
        <v>0</v>
      </c>
      <c r="K129" s="852">
        <f>K130+K131</f>
        <v>0</v>
      </c>
      <c r="L129" s="852">
        <f>L130+L131</f>
        <v>0</v>
      </c>
      <c r="M129" s="852">
        <f t="shared" si="10"/>
        <v>167281</v>
      </c>
      <c r="N129" s="852">
        <v>167281</v>
      </c>
      <c r="O129" s="852">
        <f>O130+O131</f>
        <v>0</v>
      </c>
      <c r="P129" s="852">
        <f>P130+P131</f>
        <v>0</v>
      </c>
      <c r="Q129" s="852">
        <f>Q130+Q131</f>
        <v>0</v>
      </c>
      <c r="R129" s="852">
        <f t="shared" si="11"/>
        <v>167281</v>
      </c>
    </row>
    <row r="130" spans="1:18" s="89" customFormat="1" ht="12" hidden="1" customHeight="1">
      <c r="A130" s="724">
        <v>7600</v>
      </c>
      <c r="B130" s="727" t="s">
        <v>184</v>
      </c>
      <c r="C130" s="840">
        <v>0</v>
      </c>
      <c r="D130" s="840">
        <v>0</v>
      </c>
      <c r="E130" s="852"/>
      <c r="F130" s="852"/>
      <c r="G130" s="852"/>
      <c r="H130" s="852">
        <f t="shared" si="9"/>
        <v>0</v>
      </c>
      <c r="I130" s="852">
        <v>0</v>
      </c>
      <c r="J130" s="852"/>
      <c r="K130" s="852"/>
      <c r="L130" s="852"/>
      <c r="M130" s="852">
        <f t="shared" si="10"/>
        <v>0</v>
      </c>
      <c r="N130" s="852">
        <v>0</v>
      </c>
      <c r="O130" s="852"/>
      <c r="P130" s="852"/>
      <c r="Q130" s="852"/>
      <c r="R130" s="852">
        <f t="shared" si="11"/>
        <v>0</v>
      </c>
    </row>
    <row r="131" spans="1:18" s="89" customFormat="1" ht="12">
      <c r="A131" s="724">
        <v>7700</v>
      </c>
      <c r="B131" s="727" t="s">
        <v>114</v>
      </c>
      <c r="C131" s="840">
        <v>157178</v>
      </c>
      <c r="D131" s="840">
        <v>167281</v>
      </c>
      <c r="E131" s="852"/>
      <c r="F131" s="852"/>
      <c r="G131" s="852"/>
      <c r="H131" s="852">
        <f t="shared" si="9"/>
        <v>167281</v>
      </c>
      <c r="I131" s="852">
        <v>167281</v>
      </c>
      <c r="J131" s="852"/>
      <c r="K131" s="852"/>
      <c r="L131" s="852"/>
      <c r="M131" s="852">
        <f t="shared" si="10"/>
        <v>167281</v>
      </c>
      <c r="N131" s="852">
        <v>167281</v>
      </c>
      <c r="O131" s="852"/>
      <c r="P131" s="852"/>
      <c r="Q131" s="852"/>
      <c r="R131" s="852">
        <f t="shared" si="11"/>
        <v>167281</v>
      </c>
    </row>
    <row r="132" spans="1:18" s="89" customFormat="1" ht="20.399999999999999">
      <c r="A132" s="722" t="s">
        <v>185</v>
      </c>
      <c r="B132" s="723" t="s">
        <v>115</v>
      </c>
      <c r="C132" s="840">
        <v>31199774</v>
      </c>
      <c r="D132" s="840">
        <v>25591179</v>
      </c>
      <c r="E132" s="852">
        <f>E133+E139+E143+E146</f>
        <v>0</v>
      </c>
      <c r="F132" s="852">
        <f>F133+F139+F143+F146</f>
        <v>-225999</v>
      </c>
      <c r="G132" s="852">
        <f>G133+G139+G143+G146</f>
        <v>8988768</v>
      </c>
      <c r="H132" s="852">
        <f t="shared" si="9"/>
        <v>34353948</v>
      </c>
      <c r="I132" s="852">
        <v>25591179</v>
      </c>
      <c r="J132" s="852">
        <f>J133+J139+J143+J146</f>
        <v>0</v>
      </c>
      <c r="K132" s="852">
        <f>K133+K139+K143+K146</f>
        <v>-225999</v>
      </c>
      <c r="L132" s="852">
        <f>L133+L139+L143+L146</f>
        <v>10072508</v>
      </c>
      <c r="M132" s="852">
        <f t="shared" si="10"/>
        <v>35437688</v>
      </c>
      <c r="N132" s="852">
        <v>25591179</v>
      </c>
      <c r="O132" s="852">
        <f>O133+O139+O143+O146</f>
        <v>0</v>
      </c>
      <c r="P132" s="852">
        <f>P133+P139+P143+P146</f>
        <v>-225999</v>
      </c>
      <c r="Q132" s="852">
        <f>Q133+Q139+Q143+Q146</f>
        <v>10203296</v>
      </c>
      <c r="R132" s="852">
        <f t="shared" si="11"/>
        <v>35568476</v>
      </c>
    </row>
    <row r="133" spans="1:18" s="89" customFormat="1" ht="12" hidden="1" customHeight="1">
      <c r="A133" s="724">
        <v>7100</v>
      </c>
      <c r="B133" s="727" t="s">
        <v>116</v>
      </c>
      <c r="C133" s="840">
        <v>0</v>
      </c>
      <c r="D133" s="840">
        <v>0</v>
      </c>
      <c r="E133" s="852">
        <f>E134+E135</f>
        <v>0</v>
      </c>
      <c r="F133" s="852">
        <f>F134+F135</f>
        <v>0</v>
      </c>
      <c r="G133" s="852">
        <f>G134+G135</f>
        <v>0</v>
      </c>
      <c r="H133" s="852">
        <f t="shared" si="9"/>
        <v>0</v>
      </c>
      <c r="I133" s="852">
        <v>0</v>
      </c>
      <c r="J133" s="852">
        <f>J134+J135</f>
        <v>0</v>
      </c>
      <c r="K133" s="852">
        <f>K134+K135</f>
        <v>0</v>
      </c>
      <c r="L133" s="852">
        <f>L134+L135</f>
        <v>0</v>
      </c>
      <c r="M133" s="852">
        <f t="shared" si="10"/>
        <v>0</v>
      </c>
      <c r="N133" s="852">
        <v>0</v>
      </c>
      <c r="O133" s="852">
        <f>O134+O135</f>
        <v>0</v>
      </c>
      <c r="P133" s="852">
        <f>P134+P135</f>
        <v>0</v>
      </c>
      <c r="Q133" s="852">
        <f>Q134+Q135</f>
        <v>0</v>
      </c>
      <c r="R133" s="852">
        <f t="shared" si="11"/>
        <v>0</v>
      </c>
    </row>
    <row r="134" spans="1:18" s="89" customFormat="1" ht="24" hidden="1" customHeight="1">
      <c r="A134" s="726" t="s">
        <v>117</v>
      </c>
      <c r="B134" s="727" t="s">
        <v>118</v>
      </c>
      <c r="C134" s="840">
        <v>0</v>
      </c>
      <c r="D134" s="840">
        <v>0</v>
      </c>
      <c r="E134" s="852"/>
      <c r="F134" s="852"/>
      <c r="G134" s="852"/>
      <c r="H134" s="852">
        <f t="shared" si="9"/>
        <v>0</v>
      </c>
      <c r="I134" s="852">
        <v>0</v>
      </c>
      <c r="J134" s="852"/>
      <c r="K134" s="852"/>
      <c r="L134" s="852"/>
      <c r="M134" s="852">
        <f t="shared" si="10"/>
        <v>0</v>
      </c>
      <c r="N134" s="852">
        <v>0</v>
      </c>
      <c r="O134" s="852"/>
      <c r="P134" s="852"/>
      <c r="Q134" s="852"/>
      <c r="R134" s="852">
        <f t="shared" si="11"/>
        <v>0</v>
      </c>
    </row>
    <row r="135" spans="1:18" s="89" customFormat="1" ht="24" hidden="1" customHeight="1">
      <c r="A135" s="726">
        <v>7130</v>
      </c>
      <c r="B135" s="727" t="s">
        <v>119</v>
      </c>
      <c r="C135" s="840">
        <v>0</v>
      </c>
      <c r="D135" s="840">
        <v>0</v>
      </c>
      <c r="E135" s="852">
        <f>SUM(E136:E138)</f>
        <v>0</v>
      </c>
      <c r="F135" s="852">
        <f>SUM(F136:F138)</f>
        <v>0</v>
      </c>
      <c r="G135" s="852">
        <f>SUM(G136:G138)</f>
        <v>0</v>
      </c>
      <c r="H135" s="852">
        <f t="shared" si="9"/>
        <v>0</v>
      </c>
      <c r="I135" s="852">
        <v>0</v>
      </c>
      <c r="J135" s="852">
        <f>SUM(J136:J138)</f>
        <v>0</v>
      </c>
      <c r="K135" s="852">
        <f>SUM(K136:K138)</f>
        <v>0</v>
      </c>
      <c r="L135" s="852">
        <f>SUM(L136:L138)</f>
        <v>0</v>
      </c>
      <c r="M135" s="852">
        <f t="shared" si="10"/>
        <v>0</v>
      </c>
      <c r="N135" s="852">
        <v>0</v>
      </c>
      <c r="O135" s="852">
        <f>SUM(O136:O138)</f>
        <v>0</v>
      </c>
      <c r="P135" s="852">
        <f>SUM(P136:P138)</f>
        <v>0</v>
      </c>
      <c r="Q135" s="852">
        <f>SUM(Q136:Q138)</f>
        <v>0</v>
      </c>
      <c r="R135" s="852">
        <f t="shared" si="11"/>
        <v>0</v>
      </c>
    </row>
    <row r="136" spans="1:18" s="89" customFormat="1" ht="36" hidden="1" customHeight="1">
      <c r="A136" s="726">
        <v>7131</v>
      </c>
      <c r="B136" s="727" t="s">
        <v>120</v>
      </c>
      <c r="C136" s="840">
        <v>0</v>
      </c>
      <c r="D136" s="840">
        <v>0</v>
      </c>
      <c r="E136" s="852"/>
      <c r="F136" s="852"/>
      <c r="G136" s="852"/>
      <c r="H136" s="852">
        <f t="shared" si="9"/>
        <v>0</v>
      </c>
      <c r="I136" s="852">
        <v>0</v>
      </c>
      <c r="J136" s="852"/>
      <c r="K136" s="852"/>
      <c r="L136" s="852"/>
      <c r="M136" s="852">
        <f t="shared" si="10"/>
        <v>0</v>
      </c>
      <c r="N136" s="852">
        <v>0</v>
      </c>
      <c r="O136" s="852"/>
      <c r="P136" s="852"/>
      <c r="Q136" s="852"/>
      <c r="R136" s="852">
        <f t="shared" si="11"/>
        <v>0</v>
      </c>
    </row>
    <row r="137" spans="1:18" s="29" customFormat="1" ht="36" hidden="1" customHeight="1">
      <c r="A137" s="726">
        <v>7132</v>
      </c>
      <c r="B137" s="727" t="s">
        <v>121</v>
      </c>
      <c r="C137" s="840">
        <v>0</v>
      </c>
      <c r="D137" s="840">
        <v>0</v>
      </c>
      <c r="E137" s="852"/>
      <c r="F137" s="852"/>
      <c r="G137" s="852"/>
      <c r="H137" s="852">
        <f t="shared" si="9"/>
        <v>0</v>
      </c>
      <c r="I137" s="852">
        <v>0</v>
      </c>
      <c r="J137" s="852"/>
      <c r="K137" s="852"/>
      <c r="L137" s="852"/>
      <c r="M137" s="852">
        <f t="shared" si="10"/>
        <v>0</v>
      </c>
      <c r="N137" s="852">
        <v>0</v>
      </c>
      <c r="O137" s="852"/>
      <c r="P137" s="852"/>
      <c r="Q137" s="852"/>
      <c r="R137" s="852">
        <f t="shared" si="11"/>
        <v>0</v>
      </c>
    </row>
    <row r="138" spans="1:18" s="29" customFormat="1" ht="24" hidden="1" customHeight="1">
      <c r="A138" s="726" t="s">
        <v>186</v>
      </c>
      <c r="B138" s="727" t="s">
        <v>187</v>
      </c>
      <c r="C138" s="840">
        <v>0</v>
      </c>
      <c r="D138" s="840">
        <v>0</v>
      </c>
      <c r="E138" s="852"/>
      <c r="F138" s="852"/>
      <c r="G138" s="852"/>
      <c r="H138" s="852">
        <f t="shared" ref="H138:H201" si="15">SUM(D138:G138)</f>
        <v>0</v>
      </c>
      <c r="I138" s="852">
        <v>0</v>
      </c>
      <c r="J138" s="852"/>
      <c r="K138" s="852"/>
      <c r="L138" s="852"/>
      <c r="M138" s="852">
        <f t="shared" ref="M138:M201" si="16">SUM(I138:L138)</f>
        <v>0</v>
      </c>
      <c r="N138" s="852">
        <v>0</v>
      </c>
      <c r="O138" s="852"/>
      <c r="P138" s="852"/>
      <c r="Q138" s="852"/>
      <c r="R138" s="852">
        <f t="shared" ref="R138:R201" si="17">SUM(N138:Q138)</f>
        <v>0</v>
      </c>
    </row>
    <row r="139" spans="1:18" s="29" customFormat="1" ht="24">
      <c r="A139" s="724">
        <v>7300</v>
      </c>
      <c r="B139" s="727" t="s">
        <v>155</v>
      </c>
      <c r="C139" s="840">
        <v>20550158</v>
      </c>
      <c r="D139" s="840">
        <v>16500447</v>
      </c>
      <c r="E139" s="852">
        <f>SUM(E140:E142)</f>
        <v>0</v>
      </c>
      <c r="F139" s="852">
        <f>SUM(F140:F142)</f>
        <v>0</v>
      </c>
      <c r="G139" s="852">
        <f>SUM(G140:G142)</f>
        <v>7040645</v>
      </c>
      <c r="H139" s="852">
        <f t="shared" si="15"/>
        <v>23541092</v>
      </c>
      <c r="I139" s="852">
        <v>16500447</v>
      </c>
      <c r="J139" s="852">
        <f>SUM(J140:J142)</f>
        <v>0</v>
      </c>
      <c r="K139" s="852">
        <f>SUM(K140:K142)</f>
        <v>0</v>
      </c>
      <c r="L139" s="852">
        <f>SUM(L140:L142)</f>
        <v>7291863</v>
      </c>
      <c r="M139" s="852">
        <f t="shared" si="16"/>
        <v>23792310</v>
      </c>
      <c r="N139" s="852">
        <v>16500447</v>
      </c>
      <c r="O139" s="852">
        <f>SUM(O140:O142)</f>
        <v>0</v>
      </c>
      <c r="P139" s="852">
        <f>SUM(P140:P142)</f>
        <v>0</v>
      </c>
      <c r="Q139" s="852">
        <f>SUM(Q140:Q142)</f>
        <v>7369208</v>
      </c>
      <c r="R139" s="852">
        <f t="shared" si="17"/>
        <v>23869655</v>
      </c>
    </row>
    <row r="140" spans="1:18" s="4" customFormat="1" ht="24">
      <c r="A140" s="726" t="s">
        <v>188</v>
      </c>
      <c r="B140" s="727" t="s">
        <v>170</v>
      </c>
      <c r="C140" s="843">
        <v>20550158</v>
      </c>
      <c r="D140" s="843">
        <v>16500447</v>
      </c>
      <c r="E140" s="854"/>
      <c r="F140" s="854">
        <f>F318+F328+F339</f>
        <v>0</v>
      </c>
      <c r="G140" s="854">
        <f>G318+G328+G339</f>
        <v>7040645</v>
      </c>
      <c r="H140" s="852">
        <f t="shared" si="15"/>
        <v>23541092</v>
      </c>
      <c r="I140" s="854">
        <v>16500447</v>
      </c>
      <c r="J140" s="854"/>
      <c r="K140" s="854">
        <f>K318+K328+K339</f>
        <v>0</v>
      </c>
      <c r="L140" s="854">
        <f>L318+L328+L339</f>
        <v>7291863</v>
      </c>
      <c r="M140" s="852">
        <f t="shared" si="16"/>
        <v>23792310</v>
      </c>
      <c r="N140" s="854">
        <v>16500447</v>
      </c>
      <c r="O140" s="854"/>
      <c r="P140" s="854">
        <f>P318+P328+P339</f>
        <v>0</v>
      </c>
      <c r="Q140" s="854">
        <f>Q318+Q328+Q339</f>
        <v>7369208</v>
      </c>
      <c r="R140" s="852">
        <f t="shared" si="17"/>
        <v>23869655</v>
      </c>
    </row>
    <row r="141" spans="1:18" ht="48" hidden="1" customHeight="1">
      <c r="A141" s="726" t="s">
        <v>189</v>
      </c>
      <c r="B141" s="727" t="s">
        <v>156</v>
      </c>
      <c r="C141" s="843">
        <v>0</v>
      </c>
      <c r="D141" s="843">
        <v>0</v>
      </c>
      <c r="E141" s="854"/>
      <c r="F141" s="854"/>
      <c r="G141" s="854"/>
      <c r="H141" s="852">
        <f t="shared" si="15"/>
        <v>0</v>
      </c>
      <c r="I141" s="854">
        <v>0</v>
      </c>
      <c r="J141" s="854"/>
      <c r="K141" s="854"/>
      <c r="L141" s="854"/>
      <c r="M141" s="852">
        <f t="shared" si="16"/>
        <v>0</v>
      </c>
      <c r="N141" s="854">
        <v>0</v>
      </c>
      <c r="O141" s="854"/>
      <c r="P141" s="854"/>
      <c r="Q141" s="854"/>
      <c r="R141" s="852">
        <f t="shared" si="17"/>
        <v>0</v>
      </c>
    </row>
    <row r="142" spans="1:18" ht="36" hidden="1" customHeight="1">
      <c r="A142" s="726">
        <v>7350</v>
      </c>
      <c r="B142" s="727" t="s">
        <v>163</v>
      </c>
      <c r="C142" s="843">
        <v>0</v>
      </c>
      <c r="D142" s="843">
        <v>0</v>
      </c>
      <c r="E142" s="854"/>
      <c r="F142" s="854"/>
      <c r="G142" s="854"/>
      <c r="H142" s="852">
        <f t="shared" si="15"/>
        <v>0</v>
      </c>
      <c r="I142" s="854">
        <v>0</v>
      </c>
      <c r="J142" s="854"/>
      <c r="K142" s="854"/>
      <c r="L142" s="854"/>
      <c r="M142" s="852">
        <f t="shared" si="16"/>
        <v>0</v>
      </c>
      <c r="N142" s="854">
        <v>0</v>
      </c>
      <c r="O142" s="854"/>
      <c r="P142" s="854"/>
      <c r="Q142" s="854"/>
      <c r="R142" s="852">
        <f t="shared" si="17"/>
        <v>0</v>
      </c>
    </row>
    <row r="143" spans="1:18" ht="24">
      <c r="A143" s="724">
        <v>7400</v>
      </c>
      <c r="B143" s="727" t="s">
        <v>161</v>
      </c>
      <c r="C143" s="840">
        <v>10649616</v>
      </c>
      <c r="D143" s="840">
        <v>9090732</v>
      </c>
      <c r="E143" s="852">
        <f>SUM(E144:E145)</f>
        <v>0</v>
      </c>
      <c r="F143" s="852">
        <f>SUM(F144:F145)</f>
        <v>-225999</v>
      </c>
      <c r="G143" s="852">
        <f>SUM(G144:G145)</f>
        <v>1948123</v>
      </c>
      <c r="H143" s="852">
        <f t="shared" si="15"/>
        <v>10812856</v>
      </c>
      <c r="I143" s="852">
        <v>9090732</v>
      </c>
      <c r="J143" s="852">
        <f>SUM(J144:J145)</f>
        <v>0</v>
      </c>
      <c r="K143" s="852">
        <f>SUM(K144:K145)</f>
        <v>-225999</v>
      </c>
      <c r="L143" s="852">
        <f>SUM(L144:L145)</f>
        <v>2780645</v>
      </c>
      <c r="M143" s="852">
        <f t="shared" si="16"/>
        <v>11645378</v>
      </c>
      <c r="N143" s="852">
        <v>9090732</v>
      </c>
      <c r="O143" s="852">
        <f>SUM(O144:O145)</f>
        <v>0</v>
      </c>
      <c r="P143" s="852">
        <f>SUM(P144:P145)</f>
        <v>-225999</v>
      </c>
      <c r="Q143" s="852">
        <f>SUM(Q144:Q145)</f>
        <v>2834088</v>
      </c>
      <c r="R143" s="852">
        <f t="shared" si="17"/>
        <v>11698821</v>
      </c>
    </row>
    <row r="144" spans="1:18" ht="24" hidden="1" customHeight="1">
      <c r="A144" s="726">
        <v>7460</v>
      </c>
      <c r="B144" s="727" t="s">
        <v>162</v>
      </c>
      <c r="C144" s="843">
        <v>0</v>
      </c>
      <c r="D144" s="843">
        <v>0</v>
      </c>
      <c r="E144" s="854"/>
      <c r="F144" s="854"/>
      <c r="G144" s="854"/>
      <c r="H144" s="852">
        <f t="shared" si="15"/>
        <v>0</v>
      </c>
      <c r="I144" s="854">
        <v>0</v>
      </c>
      <c r="J144" s="854"/>
      <c r="K144" s="854"/>
      <c r="L144" s="854"/>
      <c r="M144" s="852">
        <f t="shared" si="16"/>
        <v>0</v>
      </c>
      <c r="N144" s="854">
        <v>0</v>
      </c>
      <c r="O144" s="854"/>
      <c r="P144" s="854"/>
      <c r="Q144" s="854"/>
      <c r="R144" s="852">
        <f t="shared" si="17"/>
        <v>0</v>
      </c>
    </row>
    <row r="145" spans="1:18" ht="36">
      <c r="A145" s="726">
        <v>7470</v>
      </c>
      <c r="B145" s="727" t="s">
        <v>167</v>
      </c>
      <c r="C145" s="843">
        <v>10649616</v>
      </c>
      <c r="D145" s="843">
        <v>9090732</v>
      </c>
      <c r="E145" s="854"/>
      <c r="F145" s="854">
        <f>F285+F319+F329</f>
        <v>-225999</v>
      </c>
      <c r="G145" s="854">
        <f>G285+G319+G329</f>
        <v>1948123</v>
      </c>
      <c r="H145" s="852">
        <f t="shared" si="15"/>
        <v>10812856</v>
      </c>
      <c r="I145" s="854">
        <v>9090732</v>
      </c>
      <c r="J145" s="854"/>
      <c r="K145" s="854">
        <f>K285+K319+K329</f>
        <v>-225999</v>
      </c>
      <c r="L145" s="854">
        <f>L285+L319+L329</f>
        <v>2780645</v>
      </c>
      <c r="M145" s="852">
        <f t="shared" si="16"/>
        <v>11645378</v>
      </c>
      <c r="N145" s="854">
        <v>9090732</v>
      </c>
      <c r="O145" s="854"/>
      <c r="P145" s="854">
        <f>P285+P319+P329</f>
        <v>-225999</v>
      </c>
      <c r="Q145" s="854">
        <f>Q285+Q319+Q329</f>
        <v>2834088</v>
      </c>
      <c r="R145" s="852">
        <f t="shared" si="17"/>
        <v>11698821</v>
      </c>
    </row>
    <row r="146" spans="1:18" ht="24" hidden="1" customHeight="1">
      <c r="A146" s="724">
        <v>7500</v>
      </c>
      <c r="B146" s="727" t="s">
        <v>157</v>
      </c>
      <c r="C146" s="840">
        <v>0</v>
      </c>
      <c r="D146" s="840">
        <v>0</v>
      </c>
      <c r="E146" s="852"/>
      <c r="F146" s="852"/>
      <c r="G146" s="852"/>
      <c r="H146" s="852">
        <f t="shared" si="15"/>
        <v>0</v>
      </c>
      <c r="I146" s="852">
        <v>0</v>
      </c>
      <c r="J146" s="852"/>
      <c r="K146" s="852"/>
      <c r="L146" s="852"/>
      <c r="M146" s="852">
        <f t="shared" si="16"/>
        <v>0</v>
      </c>
      <c r="N146" s="852">
        <v>0</v>
      </c>
      <c r="O146" s="852"/>
      <c r="P146" s="852"/>
      <c r="Q146" s="852"/>
      <c r="R146" s="852">
        <f t="shared" si="17"/>
        <v>0</v>
      </c>
    </row>
    <row r="147" spans="1:18" s="4" customFormat="1" ht="12">
      <c r="A147" s="722" t="s">
        <v>133</v>
      </c>
      <c r="B147" s="723" t="s">
        <v>122</v>
      </c>
      <c r="C147" s="844">
        <v>5119569</v>
      </c>
      <c r="D147" s="844">
        <v>5119569</v>
      </c>
      <c r="E147" s="855">
        <f>E148+E149</f>
        <v>0</v>
      </c>
      <c r="F147" s="855">
        <f>F148+F149</f>
        <v>150</v>
      </c>
      <c r="G147" s="855">
        <f>G148+G149</f>
        <v>7011109</v>
      </c>
      <c r="H147" s="852">
        <f t="shared" si="15"/>
        <v>12130828</v>
      </c>
      <c r="I147" s="855">
        <v>5119569</v>
      </c>
      <c r="J147" s="855">
        <f>J148+J149</f>
        <v>0</v>
      </c>
      <c r="K147" s="855">
        <f>K148+K149</f>
        <v>0</v>
      </c>
      <c r="L147" s="855">
        <f>L148+L149</f>
        <v>6706838</v>
      </c>
      <c r="M147" s="852">
        <f t="shared" si="16"/>
        <v>11826407</v>
      </c>
      <c r="N147" s="855">
        <v>5119569</v>
      </c>
      <c r="O147" s="855">
        <f>O148+O149</f>
        <v>0</v>
      </c>
      <c r="P147" s="855">
        <f>P148+P149</f>
        <v>0</v>
      </c>
      <c r="Q147" s="855">
        <f>Q148+Q149</f>
        <v>6392096</v>
      </c>
      <c r="R147" s="852">
        <f t="shared" si="17"/>
        <v>11511665</v>
      </c>
    </row>
    <row r="148" spans="1:18" s="6" customFormat="1" ht="12">
      <c r="A148" s="722">
        <v>5000</v>
      </c>
      <c r="B148" s="723" t="s">
        <v>123</v>
      </c>
      <c r="C148" s="840">
        <v>5119569</v>
      </c>
      <c r="D148" s="840">
        <v>5119569</v>
      </c>
      <c r="E148" s="852"/>
      <c r="F148" s="852">
        <f>F302+F341</f>
        <v>150</v>
      </c>
      <c r="G148" s="852">
        <f>G302+G341</f>
        <v>7011109</v>
      </c>
      <c r="H148" s="852">
        <f t="shared" si="15"/>
        <v>12130828</v>
      </c>
      <c r="I148" s="852">
        <v>5119569</v>
      </c>
      <c r="J148" s="852"/>
      <c r="K148" s="852">
        <f>K302+K341</f>
        <v>0</v>
      </c>
      <c r="L148" s="852">
        <f>L302+L341</f>
        <v>6706838</v>
      </c>
      <c r="M148" s="852">
        <f t="shared" si="16"/>
        <v>11826407</v>
      </c>
      <c r="N148" s="852">
        <v>5119569</v>
      </c>
      <c r="O148" s="852"/>
      <c r="P148" s="852">
        <f>P302+P341</f>
        <v>0</v>
      </c>
      <c r="Q148" s="852">
        <f>Q302+Q341</f>
        <v>6392096</v>
      </c>
      <c r="R148" s="852">
        <f t="shared" si="17"/>
        <v>11511665</v>
      </c>
    </row>
    <row r="149" spans="1:18" s="6" customFormat="1" ht="12" hidden="1" customHeight="1">
      <c r="A149" s="722">
        <v>9000</v>
      </c>
      <c r="B149" s="734" t="s">
        <v>164</v>
      </c>
      <c r="C149" s="840">
        <v>0</v>
      </c>
      <c r="D149" s="840">
        <v>0</v>
      </c>
      <c r="E149" s="852">
        <f>E150+E156+E160+E163</f>
        <v>0</v>
      </c>
      <c r="F149" s="852">
        <f>F150+F156+F160+F163</f>
        <v>0</v>
      </c>
      <c r="G149" s="852">
        <f>G150+G156+G160+G163</f>
        <v>0</v>
      </c>
      <c r="H149" s="852">
        <f t="shared" si="15"/>
        <v>0</v>
      </c>
      <c r="I149" s="852">
        <v>0</v>
      </c>
      <c r="J149" s="852">
        <f>J150+J156+J160+J163</f>
        <v>0</v>
      </c>
      <c r="K149" s="852">
        <f>K150+K156+K160+K163</f>
        <v>0</v>
      </c>
      <c r="L149" s="852">
        <f>L150+L156+L160+L163</f>
        <v>0</v>
      </c>
      <c r="M149" s="852">
        <f t="shared" si="16"/>
        <v>0</v>
      </c>
      <c r="N149" s="852">
        <v>0</v>
      </c>
      <c r="O149" s="852">
        <f>O150+O156+O160+O163</f>
        <v>0</v>
      </c>
      <c r="P149" s="852">
        <f>P150+P156+P160+P163</f>
        <v>0</v>
      </c>
      <c r="Q149" s="852">
        <f>Q150+Q156+Q160+Q163</f>
        <v>0</v>
      </c>
      <c r="R149" s="852">
        <f t="shared" si="17"/>
        <v>0</v>
      </c>
    </row>
    <row r="150" spans="1:18" s="6" customFormat="1" ht="12" hidden="1" customHeight="1">
      <c r="A150" s="726">
        <v>9100</v>
      </c>
      <c r="B150" s="727" t="s">
        <v>124</v>
      </c>
      <c r="C150" s="840">
        <v>0</v>
      </c>
      <c r="D150" s="840">
        <v>0</v>
      </c>
      <c r="E150" s="852">
        <f>SUM(E151:E152)</f>
        <v>0</v>
      </c>
      <c r="F150" s="852">
        <f>SUM(F151:F152)</f>
        <v>0</v>
      </c>
      <c r="G150" s="852">
        <f>SUM(G151:G152)</f>
        <v>0</v>
      </c>
      <c r="H150" s="852">
        <f t="shared" si="15"/>
        <v>0</v>
      </c>
      <c r="I150" s="852">
        <v>0</v>
      </c>
      <c r="J150" s="852">
        <f>SUM(J151:J152)</f>
        <v>0</v>
      </c>
      <c r="K150" s="852">
        <f>SUM(K151:K152)</f>
        <v>0</v>
      </c>
      <c r="L150" s="852">
        <f>SUM(L151:L152)</f>
        <v>0</v>
      </c>
      <c r="M150" s="852">
        <f t="shared" si="16"/>
        <v>0</v>
      </c>
      <c r="N150" s="852">
        <v>0</v>
      </c>
      <c r="O150" s="852">
        <f>SUM(O151:O152)</f>
        <v>0</v>
      </c>
      <c r="P150" s="852">
        <f>SUM(P151:P152)</f>
        <v>0</v>
      </c>
      <c r="Q150" s="852">
        <f>SUM(Q151:Q152)</f>
        <v>0</v>
      </c>
      <c r="R150" s="852">
        <f t="shared" si="17"/>
        <v>0</v>
      </c>
    </row>
    <row r="151" spans="1:18" s="6" customFormat="1" ht="24" hidden="1" customHeight="1">
      <c r="A151" s="726" t="s">
        <v>125</v>
      </c>
      <c r="B151" s="727" t="s">
        <v>214</v>
      </c>
      <c r="C151" s="840">
        <v>0</v>
      </c>
      <c r="D151" s="840">
        <v>0</v>
      </c>
      <c r="E151" s="852"/>
      <c r="F151" s="852"/>
      <c r="G151" s="852"/>
      <c r="H151" s="852">
        <f t="shared" si="15"/>
        <v>0</v>
      </c>
      <c r="I151" s="852">
        <v>0</v>
      </c>
      <c r="J151" s="852"/>
      <c r="K151" s="852"/>
      <c r="L151" s="852"/>
      <c r="M151" s="852">
        <f t="shared" si="16"/>
        <v>0</v>
      </c>
      <c r="N151" s="852">
        <v>0</v>
      </c>
      <c r="O151" s="852"/>
      <c r="P151" s="852"/>
      <c r="Q151" s="852"/>
      <c r="R151" s="852">
        <f t="shared" si="17"/>
        <v>0</v>
      </c>
    </row>
    <row r="152" spans="1:18" s="6" customFormat="1" ht="24" hidden="1" customHeight="1">
      <c r="A152" s="726">
        <v>9140</v>
      </c>
      <c r="B152" s="727" t="s">
        <v>215</v>
      </c>
      <c r="C152" s="840">
        <v>0</v>
      </c>
      <c r="D152" s="840">
        <v>0</v>
      </c>
      <c r="E152" s="852">
        <f>SUM(E153:E155)</f>
        <v>0</v>
      </c>
      <c r="F152" s="852">
        <f>SUM(F153:F155)</f>
        <v>0</v>
      </c>
      <c r="G152" s="852">
        <f>SUM(G153:G155)</f>
        <v>0</v>
      </c>
      <c r="H152" s="852">
        <f t="shared" si="15"/>
        <v>0</v>
      </c>
      <c r="I152" s="852">
        <v>0</v>
      </c>
      <c r="J152" s="852">
        <f>SUM(J153:J155)</f>
        <v>0</v>
      </c>
      <c r="K152" s="852">
        <f>SUM(K153:K155)</f>
        <v>0</v>
      </c>
      <c r="L152" s="852">
        <f>SUM(L153:L155)</f>
        <v>0</v>
      </c>
      <c r="M152" s="852">
        <f t="shared" si="16"/>
        <v>0</v>
      </c>
      <c r="N152" s="852">
        <v>0</v>
      </c>
      <c r="O152" s="852">
        <f>SUM(O153:O155)</f>
        <v>0</v>
      </c>
      <c r="P152" s="852">
        <f>SUM(P153:P155)</f>
        <v>0</v>
      </c>
      <c r="Q152" s="852">
        <f>SUM(Q153:Q155)</f>
        <v>0</v>
      </c>
      <c r="R152" s="852">
        <f t="shared" si="17"/>
        <v>0</v>
      </c>
    </row>
    <row r="153" spans="1:18" s="6" customFormat="1" ht="36" hidden="1" customHeight="1">
      <c r="A153" s="726">
        <v>9141</v>
      </c>
      <c r="B153" s="727" t="s">
        <v>190</v>
      </c>
      <c r="C153" s="843">
        <v>0</v>
      </c>
      <c r="D153" s="843">
        <v>0</v>
      </c>
      <c r="E153" s="854"/>
      <c r="F153" s="854"/>
      <c r="G153" s="854"/>
      <c r="H153" s="852">
        <f t="shared" si="15"/>
        <v>0</v>
      </c>
      <c r="I153" s="854">
        <v>0</v>
      </c>
      <c r="J153" s="854"/>
      <c r="K153" s="854"/>
      <c r="L153" s="854"/>
      <c r="M153" s="852">
        <f t="shared" si="16"/>
        <v>0</v>
      </c>
      <c r="N153" s="854">
        <v>0</v>
      </c>
      <c r="O153" s="854"/>
      <c r="P153" s="854"/>
      <c r="Q153" s="854"/>
      <c r="R153" s="852">
        <f t="shared" si="17"/>
        <v>0</v>
      </c>
    </row>
    <row r="154" spans="1:18" s="6" customFormat="1" ht="36" hidden="1" customHeight="1">
      <c r="A154" s="726">
        <v>9142</v>
      </c>
      <c r="B154" s="727" t="s">
        <v>191</v>
      </c>
      <c r="C154" s="843">
        <v>0</v>
      </c>
      <c r="D154" s="843">
        <v>0</v>
      </c>
      <c r="E154" s="854"/>
      <c r="F154" s="854"/>
      <c r="G154" s="854"/>
      <c r="H154" s="852">
        <f t="shared" si="15"/>
        <v>0</v>
      </c>
      <c r="I154" s="854">
        <v>0</v>
      </c>
      <c r="J154" s="854"/>
      <c r="K154" s="854"/>
      <c r="L154" s="854"/>
      <c r="M154" s="852">
        <f t="shared" si="16"/>
        <v>0</v>
      </c>
      <c r="N154" s="854">
        <v>0</v>
      </c>
      <c r="O154" s="854"/>
      <c r="P154" s="854"/>
      <c r="Q154" s="854"/>
      <c r="R154" s="852">
        <f t="shared" si="17"/>
        <v>0</v>
      </c>
    </row>
    <row r="155" spans="1:18" s="6" customFormat="1" ht="24" hidden="1" customHeight="1">
      <c r="A155" s="726">
        <v>9149</v>
      </c>
      <c r="B155" s="727" t="s">
        <v>192</v>
      </c>
      <c r="C155" s="843">
        <v>0</v>
      </c>
      <c r="D155" s="843">
        <v>0</v>
      </c>
      <c r="E155" s="854"/>
      <c r="F155" s="854"/>
      <c r="G155" s="854"/>
      <c r="H155" s="852">
        <f t="shared" si="15"/>
        <v>0</v>
      </c>
      <c r="I155" s="854">
        <v>0</v>
      </c>
      <c r="J155" s="854"/>
      <c r="K155" s="854"/>
      <c r="L155" s="854"/>
      <c r="M155" s="852">
        <f t="shared" si="16"/>
        <v>0</v>
      </c>
      <c r="N155" s="854">
        <v>0</v>
      </c>
      <c r="O155" s="854"/>
      <c r="P155" s="854"/>
      <c r="Q155" s="854"/>
      <c r="R155" s="852">
        <f t="shared" si="17"/>
        <v>0</v>
      </c>
    </row>
    <row r="156" spans="1:18" s="6" customFormat="1" ht="24" hidden="1" customHeight="1">
      <c r="A156" s="726">
        <v>9500</v>
      </c>
      <c r="B156" s="727" t="s">
        <v>165</v>
      </c>
      <c r="C156" s="840">
        <v>0</v>
      </c>
      <c r="D156" s="840">
        <v>0</v>
      </c>
      <c r="E156" s="852">
        <f>SUM(E157:E159)</f>
        <v>0</v>
      </c>
      <c r="F156" s="852">
        <f>SUM(F157:F159)</f>
        <v>0</v>
      </c>
      <c r="G156" s="852">
        <f>SUM(G157:G159)</f>
        <v>0</v>
      </c>
      <c r="H156" s="852">
        <f t="shared" si="15"/>
        <v>0</v>
      </c>
      <c r="I156" s="852">
        <v>0</v>
      </c>
      <c r="J156" s="852">
        <f>SUM(J157:J159)</f>
        <v>0</v>
      </c>
      <c r="K156" s="852">
        <f>SUM(K157:K159)</f>
        <v>0</v>
      </c>
      <c r="L156" s="852">
        <f>SUM(L157:L159)</f>
        <v>0</v>
      </c>
      <c r="M156" s="852">
        <f t="shared" si="16"/>
        <v>0</v>
      </c>
      <c r="N156" s="852">
        <v>0</v>
      </c>
      <c r="O156" s="852">
        <f>SUM(O157:O159)</f>
        <v>0</v>
      </c>
      <c r="P156" s="852">
        <f>SUM(P157:P159)</f>
        <v>0</v>
      </c>
      <c r="Q156" s="852">
        <f>SUM(Q157:Q159)</f>
        <v>0</v>
      </c>
      <c r="R156" s="852">
        <f t="shared" si="17"/>
        <v>0</v>
      </c>
    </row>
    <row r="157" spans="1:18" s="6" customFormat="1" ht="24" hidden="1" customHeight="1">
      <c r="A157" s="726" t="s">
        <v>193</v>
      </c>
      <c r="B157" s="727" t="s">
        <v>171</v>
      </c>
      <c r="C157" s="840">
        <v>0</v>
      </c>
      <c r="D157" s="840">
        <v>0</v>
      </c>
      <c r="E157" s="852"/>
      <c r="F157" s="852"/>
      <c r="G157" s="852"/>
      <c r="H157" s="852">
        <f t="shared" si="15"/>
        <v>0</v>
      </c>
      <c r="I157" s="852">
        <v>0</v>
      </c>
      <c r="J157" s="852"/>
      <c r="K157" s="852"/>
      <c r="L157" s="852"/>
      <c r="M157" s="852">
        <f t="shared" si="16"/>
        <v>0</v>
      </c>
      <c r="N157" s="852">
        <v>0</v>
      </c>
      <c r="O157" s="852"/>
      <c r="P157" s="852"/>
      <c r="Q157" s="852"/>
      <c r="R157" s="852">
        <f t="shared" si="17"/>
        <v>0</v>
      </c>
    </row>
    <row r="158" spans="1:18" s="6" customFormat="1" ht="48" hidden="1" customHeight="1">
      <c r="A158" s="726">
        <v>9580</v>
      </c>
      <c r="B158" s="727" t="s">
        <v>166</v>
      </c>
      <c r="C158" s="843">
        <v>0</v>
      </c>
      <c r="D158" s="843">
        <v>0</v>
      </c>
      <c r="E158" s="854"/>
      <c r="F158" s="854"/>
      <c r="G158" s="854"/>
      <c r="H158" s="852">
        <f t="shared" si="15"/>
        <v>0</v>
      </c>
      <c r="I158" s="854">
        <v>0</v>
      </c>
      <c r="J158" s="854"/>
      <c r="K158" s="854"/>
      <c r="L158" s="854"/>
      <c r="M158" s="852">
        <f t="shared" si="16"/>
        <v>0</v>
      </c>
      <c r="N158" s="854">
        <v>0</v>
      </c>
      <c r="O158" s="854"/>
      <c r="P158" s="854"/>
      <c r="Q158" s="854"/>
      <c r="R158" s="852">
        <f t="shared" si="17"/>
        <v>0</v>
      </c>
    </row>
    <row r="159" spans="1:18" s="6" customFormat="1" ht="48" hidden="1" customHeight="1">
      <c r="A159" s="726">
        <v>9590</v>
      </c>
      <c r="B159" s="727" t="s">
        <v>172</v>
      </c>
      <c r="C159" s="843">
        <v>0</v>
      </c>
      <c r="D159" s="843">
        <v>0</v>
      </c>
      <c r="E159" s="854"/>
      <c r="F159" s="854"/>
      <c r="G159" s="854"/>
      <c r="H159" s="852">
        <f t="shared" si="15"/>
        <v>0</v>
      </c>
      <c r="I159" s="854">
        <v>0</v>
      </c>
      <c r="J159" s="854"/>
      <c r="K159" s="854"/>
      <c r="L159" s="854"/>
      <c r="M159" s="852">
        <f t="shared" si="16"/>
        <v>0</v>
      </c>
      <c r="N159" s="854">
        <v>0</v>
      </c>
      <c r="O159" s="854"/>
      <c r="P159" s="854"/>
      <c r="Q159" s="854"/>
      <c r="R159" s="852">
        <f t="shared" si="17"/>
        <v>0</v>
      </c>
    </row>
    <row r="160" spans="1:18" s="6" customFormat="1" ht="24" hidden="1" customHeight="1">
      <c r="A160" s="726">
        <v>9700</v>
      </c>
      <c r="B160" s="735" t="s">
        <v>194</v>
      </c>
      <c r="C160" s="840">
        <v>0</v>
      </c>
      <c r="D160" s="840">
        <v>0</v>
      </c>
      <c r="E160" s="852">
        <f>SUM(E161:E162)</f>
        <v>0</v>
      </c>
      <c r="F160" s="852">
        <f>SUM(F161:F162)</f>
        <v>0</v>
      </c>
      <c r="G160" s="852">
        <f>SUM(G161:G162)</f>
        <v>0</v>
      </c>
      <c r="H160" s="852">
        <f t="shared" si="15"/>
        <v>0</v>
      </c>
      <c r="I160" s="852">
        <v>0</v>
      </c>
      <c r="J160" s="852">
        <f>SUM(J161:J162)</f>
        <v>0</v>
      </c>
      <c r="K160" s="852">
        <f>SUM(K161:K162)</f>
        <v>0</v>
      </c>
      <c r="L160" s="852">
        <f>SUM(L161:L162)</f>
        <v>0</v>
      </c>
      <c r="M160" s="852">
        <f t="shared" si="16"/>
        <v>0</v>
      </c>
      <c r="N160" s="852">
        <v>0</v>
      </c>
      <c r="O160" s="852">
        <f>SUM(O161:O162)</f>
        <v>0</v>
      </c>
      <c r="P160" s="852">
        <f>SUM(P161:P162)</f>
        <v>0</v>
      </c>
      <c r="Q160" s="852">
        <f>SUM(Q161:Q162)</f>
        <v>0</v>
      </c>
      <c r="R160" s="852">
        <f t="shared" si="17"/>
        <v>0</v>
      </c>
    </row>
    <row r="161" spans="1:18" s="6" customFormat="1" ht="24" hidden="1" customHeight="1">
      <c r="A161" s="726">
        <v>9710</v>
      </c>
      <c r="B161" s="735" t="s">
        <v>195</v>
      </c>
      <c r="C161" s="843">
        <v>0</v>
      </c>
      <c r="D161" s="843">
        <v>0</v>
      </c>
      <c r="E161" s="854"/>
      <c r="F161" s="854"/>
      <c r="G161" s="854"/>
      <c r="H161" s="852">
        <f t="shared" si="15"/>
        <v>0</v>
      </c>
      <c r="I161" s="854">
        <v>0</v>
      </c>
      <c r="J161" s="854"/>
      <c r="K161" s="854"/>
      <c r="L161" s="854"/>
      <c r="M161" s="852">
        <f t="shared" si="16"/>
        <v>0</v>
      </c>
      <c r="N161" s="854">
        <v>0</v>
      </c>
      <c r="O161" s="854"/>
      <c r="P161" s="854"/>
      <c r="Q161" s="854"/>
      <c r="R161" s="852">
        <f t="shared" si="17"/>
        <v>0</v>
      </c>
    </row>
    <row r="162" spans="1:18" s="6" customFormat="1" ht="48" hidden="1" customHeight="1">
      <c r="A162" s="726">
        <v>9720</v>
      </c>
      <c r="B162" s="735" t="s">
        <v>196</v>
      </c>
      <c r="C162" s="843">
        <v>0</v>
      </c>
      <c r="D162" s="843">
        <v>0</v>
      </c>
      <c r="E162" s="854"/>
      <c r="F162" s="854"/>
      <c r="G162" s="854"/>
      <c r="H162" s="852">
        <f t="shared" si="15"/>
        <v>0</v>
      </c>
      <c r="I162" s="854">
        <v>0</v>
      </c>
      <c r="J162" s="854"/>
      <c r="K162" s="854"/>
      <c r="L162" s="854"/>
      <c r="M162" s="852">
        <f t="shared" si="16"/>
        <v>0</v>
      </c>
      <c r="N162" s="854">
        <v>0</v>
      </c>
      <c r="O162" s="854"/>
      <c r="P162" s="854"/>
      <c r="Q162" s="854"/>
      <c r="R162" s="852">
        <f t="shared" si="17"/>
        <v>0</v>
      </c>
    </row>
    <row r="163" spans="1:18" s="6" customFormat="1" ht="24" hidden="1" customHeight="1">
      <c r="A163" s="726">
        <v>9600</v>
      </c>
      <c r="B163" s="727" t="s">
        <v>134</v>
      </c>
      <c r="C163" s="843">
        <v>0</v>
      </c>
      <c r="D163" s="843">
        <v>0</v>
      </c>
      <c r="E163" s="854"/>
      <c r="F163" s="854"/>
      <c r="G163" s="854"/>
      <c r="H163" s="852">
        <f t="shared" si="15"/>
        <v>0</v>
      </c>
      <c r="I163" s="854">
        <v>0</v>
      </c>
      <c r="J163" s="854"/>
      <c r="K163" s="854"/>
      <c r="L163" s="854"/>
      <c r="M163" s="852">
        <f t="shared" si="16"/>
        <v>0</v>
      </c>
      <c r="N163" s="854">
        <v>0</v>
      </c>
      <c r="O163" s="854"/>
      <c r="P163" s="854"/>
      <c r="Q163" s="854"/>
      <c r="R163" s="852">
        <f t="shared" si="17"/>
        <v>0</v>
      </c>
    </row>
    <row r="164" spans="1:18" s="6" customFormat="1" ht="30.6">
      <c r="A164" s="722" t="s">
        <v>197</v>
      </c>
      <c r="B164" s="734" t="s">
        <v>47</v>
      </c>
      <c r="C164" s="845">
        <v>-228827</v>
      </c>
      <c r="D164" s="845">
        <v>-189026</v>
      </c>
      <c r="E164" s="856">
        <f>E94-E119</f>
        <v>0</v>
      </c>
      <c r="F164" s="856">
        <f>F94-F119</f>
        <v>14355</v>
      </c>
      <c r="G164" s="856">
        <f>G94-G119</f>
        <v>-90000</v>
      </c>
      <c r="H164" s="852">
        <f t="shared" si="15"/>
        <v>-264671</v>
      </c>
      <c r="I164" s="856">
        <v>-174355</v>
      </c>
      <c r="J164" s="856">
        <f>J94-J119</f>
        <v>0</v>
      </c>
      <c r="K164" s="856">
        <f>K94-K119</f>
        <v>14355</v>
      </c>
      <c r="L164" s="856">
        <f>L94-L119</f>
        <v>-7686</v>
      </c>
      <c r="M164" s="852">
        <f t="shared" si="16"/>
        <v>-167686</v>
      </c>
      <c r="N164" s="856">
        <v>-174355</v>
      </c>
      <c r="O164" s="856">
        <f>O94-O119</f>
        <v>0</v>
      </c>
      <c r="P164" s="856">
        <f>P94-P119</f>
        <v>14355</v>
      </c>
      <c r="Q164" s="856">
        <f>Q94-Q119</f>
        <v>0</v>
      </c>
      <c r="R164" s="852">
        <f t="shared" si="17"/>
        <v>-160000</v>
      </c>
    </row>
    <row r="165" spans="1:18" s="6" customFormat="1" ht="12">
      <c r="A165" s="736" t="s">
        <v>48</v>
      </c>
      <c r="B165" s="734" t="s">
        <v>49</v>
      </c>
      <c r="C165" s="845">
        <v>228827</v>
      </c>
      <c r="D165" s="845">
        <v>189026</v>
      </c>
      <c r="E165" s="856">
        <f>E166+E169+E173+E172</f>
        <v>0</v>
      </c>
      <c r="F165" s="856">
        <f>F166+F169+F173+F172</f>
        <v>-14355</v>
      </c>
      <c r="G165" s="856">
        <f>G166+G169+G173+G172</f>
        <v>90000</v>
      </c>
      <c r="H165" s="852">
        <f t="shared" si="15"/>
        <v>264671</v>
      </c>
      <c r="I165" s="856">
        <v>174355</v>
      </c>
      <c r="J165" s="856">
        <f>J166+J169+J173+J172</f>
        <v>0</v>
      </c>
      <c r="K165" s="856">
        <f>K166+K169+K173+K172</f>
        <v>-14355</v>
      </c>
      <c r="L165" s="856">
        <f>L166+L169+L173+L172</f>
        <v>7686</v>
      </c>
      <c r="M165" s="852">
        <f t="shared" si="16"/>
        <v>167686</v>
      </c>
      <c r="N165" s="856">
        <v>174355</v>
      </c>
      <c r="O165" s="856">
        <f>O166+O169+O173+O172</f>
        <v>0</v>
      </c>
      <c r="P165" s="856">
        <f>P166+P169+P173+P172</f>
        <v>-14355</v>
      </c>
      <c r="Q165" s="856">
        <f>Q166+Q169+Q173+Q172</f>
        <v>0</v>
      </c>
      <c r="R165" s="852">
        <f t="shared" si="17"/>
        <v>160000</v>
      </c>
    </row>
    <row r="166" spans="1:18" s="6" customFormat="1" ht="12" hidden="1" customHeight="1">
      <c r="A166" s="726" t="s">
        <v>50</v>
      </c>
      <c r="B166" s="727" t="s">
        <v>51</v>
      </c>
      <c r="C166" s="839">
        <v>0</v>
      </c>
      <c r="D166" s="839">
        <v>0</v>
      </c>
      <c r="E166" s="851">
        <f>E167+E168</f>
        <v>0</v>
      </c>
      <c r="F166" s="851">
        <f>F167+F168</f>
        <v>0</v>
      </c>
      <c r="G166" s="851">
        <f>G167+G168</f>
        <v>0</v>
      </c>
      <c r="H166" s="852">
        <f t="shared" si="15"/>
        <v>0</v>
      </c>
      <c r="I166" s="851">
        <v>0</v>
      </c>
      <c r="J166" s="851">
        <f>J167+J168</f>
        <v>0</v>
      </c>
      <c r="K166" s="851">
        <f>K167+K168</f>
        <v>0</v>
      </c>
      <c r="L166" s="851">
        <f>L167+L168</f>
        <v>0</v>
      </c>
      <c r="M166" s="852">
        <f t="shared" si="16"/>
        <v>0</v>
      </c>
      <c r="N166" s="851">
        <v>0</v>
      </c>
      <c r="O166" s="851">
        <f>O167+O168</f>
        <v>0</v>
      </c>
      <c r="P166" s="851">
        <f>P167+P168</f>
        <v>0</v>
      </c>
      <c r="Q166" s="851">
        <f>Q167+Q168</f>
        <v>0</v>
      </c>
      <c r="R166" s="852">
        <f t="shared" si="17"/>
        <v>0</v>
      </c>
    </row>
    <row r="167" spans="1:18" s="6" customFormat="1" ht="12" hidden="1" customHeight="1">
      <c r="A167" s="726" t="s">
        <v>52</v>
      </c>
      <c r="B167" s="727" t="s">
        <v>53</v>
      </c>
      <c r="C167" s="839">
        <v>0</v>
      </c>
      <c r="D167" s="839">
        <v>0</v>
      </c>
      <c r="E167" s="851"/>
      <c r="F167" s="851"/>
      <c r="G167" s="851"/>
      <c r="H167" s="852">
        <f t="shared" si="15"/>
        <v>0</v>
      </c>
      <c r="I167" s="851">
        <v>0</v>
      </c>
      <c r="J167" s="851"/>
      <c r="K167" s="851"/>
      <c r="L167" s="851"/>
      <c r="M167" s="852">
        <f t="shared" si="16"/>
        <v>0</v>
      </c>
      <c r="N167" s="851">
        <v>0</v>
      </c>
      <c r="O167" s="851"/>
      <c r="P167" s="851"/>
      <c r="Q167" s="851"/>
      <c r="R167" s="852">
        <f t="shared" si="17"/>
        <v>0</v>
      </c>
    </row>
    <row r="168" spans="1:18" s="6" customFormat="1" ht="12" hidden="1" customHeight="1">
      <c r="A168" s="726" t="s">
        <v>54</v>
      </c>
      <c r="B168" s="727" t="s">
        <v>55</v>
      </c>
      <c r="C168" s="839">
        <v>0</v>
      </c>
      <c r="D168" s="839">
        <v>0</v>
      </c>
      <c r="E168" s="851"/>
      <c r="F168" s="851"/>
      <c r="G168" s="851"/>
      <c r="H168" s="852">
        <f t="shared" si="15"/>
        <v>0</v>
      </c>
      <c r="I168" s="851">
        <v>0</v>
      </c>
      <c r="J168" s="851"/>
      <c r="K168" s="851"/>
      <c r="L168" s="851"/>
      <c r="M168" s="852">
        <f t="shared" si="16"/>
        <v>0</v>
      </c>
      <c r="N168" s="851">
        <v>0</v>
      </c>
      <c r="O168" s="851"/>
      <c r="P168" s="851"/>
      <c r="Q168" s="851"/>
      <c r="R168" s="852">
        <f t="shared" si="17"/>
        <v>0</v>
      </c>
    </row>
    <row r="169" spans="1:18" s="6" customFormat="1" ht="12" hidden="1" customHeight="1">
      <c r="A169" s="726" t="s">
        <v>56</v>
      </c>
      <c r="B169" s="727" t="s">
        <v>57</v>
      </c>
      <c r="C169" s="839">
        <v>0</v>
      </c>
      <c r="D169" s="839">
        <v>0</v>
      </c>
      <c r="E169" s="851">
        <f>E170+E171</f>
        <v>0</v>
      </c>
      <c r="F169" s="851">
        <f>F170+F171</f>
        <v>0</v>
      </c>
      <c r="G169" s="851">
        <f>G170+G171</f>
        <v>0</v>
      </c>
      <c r="H169" s="852">
        <f t="shared" si="15"/>
        <v>0</v>
      </c>
      <c r="I169" s="851">
        <v>0</v>
      </c>
      <c r="J169" s="851">
        <f>J170+J171</f>
        <v>0</v>
      </c>
      <c r="K169" s="851">
        <f>K170+K171</f>
        <v>0</v>
      </c>
      <c r="L169" s="851">
        <f>L170+L171</f>
        <v>0</v>
      </c>
      <c r="M169" s="852">
        <f t="shared" si="16"/>
        <v>0</v>
      </c>
      <c r="N169" s="851">
        <v>0</v>
      </c>
      <c r="O169" s="851">
        <f>O170+O171</f>
        <v>0</v>
      </c>
      <c r="P169" s="851">
        <f>P170+P171</f>
        <v>0</v>
      </c>
      <c r="Q169" s="851">
        <f>Q170+Q171</f>
        <v>0</v>
      </c>
      <c r="R169" s="852">
        <f t="shared" si="17"/>
        <v>0</v>
      </c>
    </row>
    <row r="170" spans="1:18" s="6" customFormat="1" ht="12" hidden="1" customHeight="1">
      <c r="A170" s="726" t="s">
        <v>58</v>
      </c>
      <c r="B170" s="727" t="s">
        <v>59</v>
      </c>
      <c r="C170" s="839">
        <v>0</v>
      </c>
      <c r="D170" s="839">
        <v>0</v>
      </c>
      <c r="E170" s="851"/>
      <c r="F170" s="851"/>
      <c r="G170" s="851"/>
      <c r="H170" s="852">
        <f t="shared" si="15"/>
        <v>0</v>
      </c>
      <c r="I170" s="851">
        <v>0</v>
      </c>
      <c r="J170" s="851"/>
      <c r="K170" s="851"/>
      <c r="L170" s="851"/>
      <c r="M170" s="852">
        <f t="shared" si="16"/>
        <v>0</v>
      </c>
      <c r="N170" s="851">
        <v>0</v>
      </c>
      <c r="O170" s="851"/>
      <c r="P170" s="851"/>
      <c r="Q170" s="851"/>
      <c r="R170" s="852">
        <f t="shared" si="17"/>
        <v>0</v>
      </c>
    </row>
    <row r="171" spans="1:18" s="6" customFormat="1" ht="12" hidden="1" customHeight="1">
      <c r="A171" s="726" t="s">
        <v>60</v>
      </c>
      <c r="B171" s="727" t="s">
        <v>61</v>
      </c>
      <c r="C171" s="839">
        <v>0</v>
      </c>
      <c r="D171" s="839">
        <v>0</v>
      </c>
      <c r="E171" s="851"/>
      <c r="F171" s="851"/>
      <c r="G171" s="851"/>
      <c r="H171" s="852">
        <f t="shared" si="15"/>
        <v>0</v>
      </c>
      <c r="I171" s="851">
        <v>0</v>
      </c>
      <c r="J171" s="851"/>
      <c r="K171" s="851"/>
      <c r="L171" s="851"/>
      <c r="M171" s="852">
        <f t="shared" si="16"/>
        <v>0</v>
      </c>
      <c r="N171" s="851">
        <v>0</v>
      </c>
      <c r="O171" s="851"/>
      <c r="P171" s="851"/>
      <c r="Q171" s="851"/>
      <c r="R171" s="852">
        <f t="shared" si="17"/>
        <v>0</v>
      </c>
    </row>
    <row r="172" spans="1:18" s="6" customFormat="1" ht="12" hidden="1" customHeight="1">
      <c r="A172" s="726" t="s">
        <v>198</v>
      </c>
      <c r="B172" s="727" t="s">
        <v>168</v>
      </c>
      <c r="C172" s="839">
        <v>0</v>
      </c>
      <c r="D172" s="839">
        <v>0</v>
      </c>
      <c r="E172" s="851"/>
      <c r="F172" s="851"/>
      <c r="G172" s="851"/>
      <c r="H172" s="852">
        <f t="shared" si="15"/>
        <v>0</v>
      </c>
      <c r="I172" s="851">
        <v>0</v>
      </c>
      <c r="J172" s="851"/>
      <c r="K172" s="851"/>
      <c r="L172" s="851"/>
      <c r="M172" s="852">
        <f t="shared" si="16"/>
        <v>0</v>
      </c>
      <c r="N172" s="851">
        <v>0</v>
      </c>
      <c r="O172" s="851"/>
      <c r="P172" s="851"/>
      <c r="Q172" s="851"/>
      <c r="R172" s="852">
        <f t="shared" si="17"/>
        <v>0</v>
      </c>
    </row>
    <row r="173" spans="1:18" s="6" customFormat="1" ht="12">
      <c r="A173" s="737" t="s">
        <v>62</v>
      </c>
      <c r="B173" s="725" t="s">
        <v>63</v>
      </c>
      <c r="C173" s="840">
        <v>228827</v>
      </c>
      <c r="D173" s="840">
        <v>189026</v>
      </c>
      <c r="E173" s="852">
        <f>E174+E175+E176</f>
        <v>0</v>
      </c>
      <c r="F173" s="852">
        <f>F174+F175+F176</f>
        <v>-14355</v>
      </c>
      <c r="G173" s="852">
        <f>G174+G175+G176</f>
        <v>90000</v>
      </c>
      <c r="H173" s="852">
        <f t="shared" si="15"/>
        <v>264671</v>
      </c>
      <c r="I173" s="852">
        <v>174355</v>
      </c>
      <c r="J173" s="852">
        <f>J174+J175+J176</f>
        <v>0</v>
      </c>
      <c r="K173" s="852">
        <f>K174+K175+K176</f>
        <v>-14355</v>
      </c>
      <c r="L173" s="852">
        <f>L174+L175+L176</f>
        <v>7686</v>
      </c>
      <c r="M173" s="852">
        <f t="shared" si="16"/>
        <v>167686</v>
      </c>
      <c r="N173" s="852">
        <v>174355</v>
      </c>
      <c r="O173" s="852">
        <f>O174+O175+O176</f>
        <v>0</v>
      </c>
      <c r="P173" s="852">
        <f>P174+P175+P176</f>
        <v>-14355</v>
      </c>
      <c r="Q173" s="852">
        <f>Q174+Q175+Q176</f>
        <v>0</v>
      </c>
      <c r="R173" s="852">
        <f t="shared" si="17"/>
        <v>160000</v>
      </c>
    </row>
    <row r="174" spans="1:18" s="6" customFormat="1" ht="36">
      <c r="A174" s="737" t="s">
        <v>64</v>
      </c>
      <c r="B174" s="727" t="s">
        <v>65</v>
      </c>
      <c r="C174" s="839">
        <v>228827</v>
      </c>
      <c r="D174" s="839">
        <v>189026</v>
      </c>
      <c r="E174" s="851"/>
      <c r="F174" s="851">
        <f>F289</f>
        <v>-14355</v>
      </c>
      <c r="G174" s="851">
        <f>G289</f>
        <v>90000</v>
      </c>
      <c r="H174" s="852">
        <f t="shared" si="15"/>
        <v>264671</v>
      </c>
      <c r="I174" s="851">
        <v>174355</v>
      </c>
      <c r="J174" s="851"/>
      <c r="K174" s="851">
        <f>K289</f>
        <v>-14355</v>
      </c>
      <c r="L174" s="851">
        <f>L289</f>
        <v>7686</v>
      </c>
      <c r="M174" s="852">
        <f t="shared" si="16"/>
        <v>167686</v>
      </c>
      <c r="N174" s="851">
        <v>174355</v>
      </c>
      <c r="O174" s="851"/>
      <c r="P174" s="851">
        <f>P289</f>
        <v>-14355</v>
      </c>
      <c r="Q174" s="851">
        <f>Q289</f>
        <v>0</v>
      </c>
      <c r="R174" s="852">
        <f t="shared" si="17"/>
        <v>160000</v>
      </c>
    </row>
    <row r="175" spans="1:18" s="6" customFormat="1" ht="24" hidden="1" customHeight="1">
      <c r="A175" s="737" t="s">
        <v>66</v>
      </c>
      <c r="B175" s="727" t="s">
        <v>67</v>
      </c>
      <c r="C175" s="839">
        <v>0</v>
      </c>
      <c r="D175" s="839">
        <v>0</v>
      </c>
      <c r="E175" s="851"/>
      <c r="F175" s="851"/>
      <c r="G175" s="851"/>
      <c r="H175" s="852">
        <f t="shared" si="15"/>
        <v>0</v>
      </c>
      <c r="I175" s="851">
        <v>0</v>
      </c>
      <c r="J175" s="851"/>
      <c r="K175" s="851"/>
      <c r="L175" s="851"/>
      <c r="M175" s="852">
        <f t="shared" si="16"/>
        <v>0</v>
      </c>
      <c r="N175" s="851">
        <v>0</v>
      </c>
      <c r="O175" s="851"/>
      <c r="P175" s="851"/>
      <c r="Q175" s="851"/>
      <c r="R175" s="852">
        <f t="shared" si="17"/>
        <v>0</v>
      </c>
    </row>
    <row r="176" spans="1:18" s="6" customFormat="1" ht="24" hidden="1" customHeight="1">
      <c r="A176" s="737" t="s">
        <v>68</v>
      </c>
      <c r="B176" s="725" t="s">
        <v>69</v>
      </c>
      <c r="C176" s="839">
        <v>0</v>
      </c>
      <c r="D176" s="839">
        <v>0</v>
      </c>
      <c r="E176" s="851"/>
      <c r="F176" s="851"/>
      <c r="G176" s="851"/>
      <c r="H176" s="852">
        <f t="shared" si="15"/>
        <v>0</v>
      </c>
      <c r="I176" s="851">
        <v>0</v>
      </c>
      <c r="J176" s="851"/>
      <c r="K176" s="851"/>
      <c r="L176" s="851"/>
      <c r="M176" s="852">
        <f t="shared" si="16"/>
        <v>0</v>
      </c>
      <c r="N176" s="851">
        <v>0</v>
      </c>
      <c r="O176" s="851"/>
      <c r="P176" s="851"/>
      <c r="Q176" s="851"/>
      <c r="R176" s="852">
        <f t="shared" si="17"/>
        <v>0</v>
      </c>
    </row>
    <row r="177" spans="1:18" s="6" customFormat="1" ht="34.200000000000003">
      <c r="A177" s="738"/>
      <c r="B177" s="739" t="s">
        <v>200</v>
      </c>
      <c r="C177" s="846"/>
      <c r="D177" s="847">
        <v>0</v>
      </c>
      <c r="E177" s="857"/>
      <c r="F177" s="857"/>
      <c r="G177" s="857"/>
      <c r="H177" s="857">
        <f t="shared" si="15"/>
        <v>0</v>
      </c>
      <c r="I177" s="857">
        <v>0</v>
      </c>
      <c r="J177" s="857"/>
      <c r="K177" s="857"/>
      <c r="L177" s="857"/>
      <c r="M177" s="857">
        <f t="shared" si="16"/>
        <v>0</v>
      </c>
      <c r="N177" s="857">
        <v>0</v>
      </c>
      <c r="O177" s="857"/>
      <c r="P177" s="857"/>
      <c r="Q177" s="857"/>
      <c r="R177" s="857">
        <f t="shared" si="17"/>
        <v>0</v>
      </c>
    </row>
    <row r="178" spans="1:18" s="6" customFormat="1" ht="20.399999999999999">
      <c r="A178" s="732" t="s">
        <v>201</v>
      </c>
      <c r="B178" s="733" t="s">
        <v>88</v>
      </c>
      <c r="C178" s="841">
        <v>273765961</v>
      </c>
      <c r="D178" s="841">
        <v>273193571</v>
      </c>
      <c r="E178" s="848">
        <f>E179+E180+E182+E200</f>
        <v>0</v>
      </c>
      <c r="F178" s="848">
        <f>F179+F180+F182+F200</f>
        <v>0</v>
      </c>
      <c r="G178" s="848">
        <f>G179+G180+G182+G200</f>
        <v>0</v>
      </c>
      <c r="H178" s="848">
        <f t="shared" si="15"/>
        <v>273193571</v>
      </c>
      <c r="I178" s="848">
        <v>95272772</v>
      </c>
      <c r="J178" s="848">
        <f>J179+J180+J182+J200</f>
        <v>0</v>
      </c>
      <c r="K178" s="848">
        <f>K179+K180+K182+K200</f>
        <v>0</v>
      </c>
      <c r="L178" s="848">
        <f>L179+L180+L182+L200</f>
        <v>0</v>
      </c>
      <c r="M178" s="848">
        <f t="shared" si="16"/>
        <v>95272772</v>
      </c>
      <c r="N178" s="848">
        <v>3982564</v>
      </c>
      <c r="O178" s="848">
        <f>O179+O180+O182+O200</f>
        <v>0</v>
      </c>
      <c r="P178" s="848">
        <f>P179+P180+P182+P200</f>
        <v>0</v>
      </c>
      <c r="Q178" s="848">
        <f>Q179+Q180+Q182+Q200</f>
        <v>0</v>
      </c>
      <c r="R178" s="848">
        <f t="shared" si="17"/>
        <v>3982564</v>
      </c>
    </row>
    <row r="179" spans="1:18" s="6" customFormat="1" ht="24" hidden="1" customHeight="1">
      <c r="A179" s="722" t="s">
        <v>177</v>
      </c>
      <c r="B179" s="723" t="s">
        <v>90</v>
      </c>
      <c r="C179" s="839">
        <v>0</v>
      </c>
      <c r="D179" s="839">
        <v>0</v>
      </c>
      <c r="E179" s="851"/>
      <c r="F179" s="851"/>
      <c r="G179" s="851"/>
      <c r="H179" s="852">
        <f t="shared" si="15"/>
        <v>0</v>
      </c>
      <c r="I179" s="851">
        <v>0</v>
      </c>
      <c r="J179" s="851"/>
      <c r="K179" s="851"/>
      <c r="L179" s="851"/>
      <c r="M179" s="852">
        <f t="shared" si="16"/>
        <v>0</v>
      </c>
      <c r="N179" s="851">
        <v>0</v>
      </c>
      <c r="O179" s="851"/>
      <c r="P179" s="851"/>
      <c r="Q179" s="851"/>
      <c r="R179" s="852">
        <f t="shared" si="17"/>
        <v>0</v>
      </c>
    </row>
    <row r="180" spans="1:18" s="6" customFormat="1" ht="12">
      <c r="A180" s="722" t="s">
        <v>91</v>
      </c>
      <c r="B180" s="723" t="s">
        <v>92</v>
      </c>
      <c r="C180" s="839">
        <v>26145290</v>
      </c>
      <c r="D180" s="839">
        <v>1920707</v>
      </c>
      <c r="E180" s="851"/>
      <c r="F180" s="851"/>
      <c r="G180" s="851"/>
      <c r="H180" s="852">
        <f t="shared" si="15"/>
        <v>1920707</v>
      </c>
      <c r="I180" s="851">
        <v>2068562</v>
      </c>
      <c r="J180" s="851"/>
      <c r="K180" s="851"/>
      <c r="L180" s="851"/>
      <c r="M180" s="852">
        <f t="shared" si="16"/>
        <v>2068562</v>
      </c>
      <c r="N180" s="851">
        <v>1768562</v>
      </c>
      <c r="O180" s="851"/>
      <c r="P180" s="851"/>
      <c r="Q180" s="851"/>
      <c r="R180" s="852">
        <f t="shared" si="17"/>
        <v>1768562</v>
      </c>
    </row>
    <row r="181" spans="1:18" s="29" customFormat="1" ht="12">
      <c r="A181" s="724">
        <v>21210</v>
      </c>
      <c r="B181" s="725" t="s">
        <v>93</v>
      </c>
      <c r="C181" s="839">
        <v>7644990</v>
      </c>
      <c r="D181" s="839">
        <v>0</v>
      </c>
      <c r="E181" s="851"/>
      <c r="F181" s="851"/>
      <c r="G181" s="851"/>
      <c r="H181" s="852">
        <f t="shared" si="15"/>
        <v>0</v>
      </c>
      <c r="I181" s="851">
        <v>0</v>
      </c>
      <c r="J181" s="851"/>
      <c r="K181" s="851"/>
      <c r="L181" s="851"/>
      <c r="M181" s="852">
        <f t="shared" si="16"/>
        <v>0</v>
      </c>
      <c r="N181" s="851">
        <v>0</v>
      </c>
      <c r="O181" s="851"/>
      <c r="P181" s="851"/>
      <c r="Q181" s="851"/>
      <c r="R181" s="852">
        <f t="shared" si="17"/>
        <v>0</v>
      </c>
    </row>
    <row r="182" spans="1:18" s="89" customFormat="1" ht="21" hidden="1" customHeight="1">
      <c r="A182" s="722" t="s">
        <v>178</v>
      </c>
      <c r="B182" s="723" t="s">
        <v>94</v>
      </c>
      <c r="C182" s="840">
        <v>0</v>
      </c>
      <c r="D182" s="840">
        <v>0</v>
      </c>
      <c r="E182" s="852">
        <f>E183+E189</f>
        <v>0</v>
      </c>
      <c r="F182" s="852">
        <f>F183+F189</f>
        <v>0</v>
      </c>
      <c r="G182" s="852">
        <f>G183+G189</f>
        <v>0</v>
      </c>
      <c r="H182" s="852">
        <f t="shared" si="15"/>
        <v>0</v>
      </c>
      <c r="I182" s="852">
        <v>0</v>
      </c>
      <c r="J182" s="852">
        <f>J183+J189</f>
        <v>0</v>
      </c>
      <c r="K182" s="852">
        <f>K183+K189</f>
        <v>0</v>
      </c>
      <c r="L182" s="852">
        <f>L183+L189</f>
        <v>0</v>
      </c>
      <c r="M182" s="852">
        <f t="shared" si="16"/>
        <v>0</v>
      </c>
      <c r="N182" s="852">
        <v>0</v>
      </c>
      <c r="O182" s="852">
        <f>O183+O189</f>
        <v>0</v>
      </c>
      <c r="P182" s="852">
        <f>P183+P189</f>
        <v>0</v>
      </c>
      <c r="Q182" s="852">
        <f>Q183+Q189</f>
        <v>0</v>
      </c>
      <c r="R182" s="852">
        <f t="shared" si="17"/>
        <v>0</v>
      </c>
    </row>
    <row r="183" spans="1:18" s="89" customFormat="1" ht="12" hidden="1" customHeight="1">
      <c r="A183" s="724">
        <v>18000</v>
      </c>
      <c r="B183" s="725" t="s">
        <v>95</v>
      </c>
      <c r="C183" s="840">
        <v>0</v>
      </c>
      <c r="D183" s="840">
        <v>0</v>
      </c>
      <c r="E183" s="852">
        <f t="shared" ref="E183:G184" si="18">E184</f>
        <v>0</v>
      </c>
      <c r="F183" s="852">
        <f t="shared" si="18"/>
        <v>0</v>
      </c>
      <c r="G183" s="852">
        <f t="shared" si="18"/>
        <v>0</v>
      </c>
      <c r="H183" s="852">
        <f t="shared" si="15"/>
        <v>0</v>
      </c>
      <c r="I183" s="852">
        <v>0</v>
      </c>
      <c r="J183" s="852">
        <f t="shared" ref="J183:L184" si="19">J184</f>
        <v>0</v>
      </c>
      <c r="K183" s="852">
        <f t="shared" si="19"/>
        <v>0</v>
      </c>
      <c r="L183" s="852">
        <f t="shared" si="19"/>
        <v>0</v>
      </c>
      <c r="M183" s="852">
        <f t="shared" si="16"/>
        <v>0</v>
      </c>
      <c r="N183" s="852">
        <v>0</v>
      </c>
      <c r="O183" s="852">
        <f t="shared" ref="O183:Q184" si="20">O184</f>
        <v>0</v>
      </c>
      <c r="P183" s="852">
        <f t="shared" si="20"/>
        <v>0</v>
      </c>
      <c r="Q183" s="852">
        <f t="shared" si="20"/>
        <v>0</v>
      </c>
      <c r="R183" s="852">
        <f t="shared" si="17"/>
        <v>0</v>
      </c>
    </row>
    <row r="184" spans="1:18" s="89" customFormat="1" ht="12" hidden="1" customHeight="1">
      <c r="A184" s="724">
        <v>18100</v>
      </c>
      <c r="B184" s="725" t="s">
        <v>96</v>
      </c>
      <c r="C184" s="840">
        <v>0</v>
      </c>
      <c r="D184" s="840">
        <v>0</v>
      </c>
      <c r="E184" s="852">
        <f t="shared" si="18"/>
        <v>0</v>
      </c>
      <c r="F184" s="852">
        <f t="shared" si="18"/>
        <v>0</v>
      </c>
      <c r="G184" s="852">
        <f t="shared" si="18"/>
        <v>0</v>
      </c>
      <c r="H184" s="852">
        <f t="shared" si="15"/>
        <v>0</v>
      </c>
      <c r="I184" s="852">
        <v>0</v>
      </c>
      <c r="J184" s="852">
        <f t="shared" si="19"/>
        <v>0</v>
      </c>
      <c r="K184" s="852">
        <f t="shared" si="19"/>
        <v>0</v>
      </c>
      <c r="L184" s="852">
        <f t="shared" si="19"/>
        <v>0</v>
      </c>
      <c r="M184" s="852">
        <f t="shared" si="16"/>
        <v>0</v>
      </c>
      <c r="N184" s="852">
        <v>0</v>
      </c>
      <c r="O184" s="852">
        <f t="shared" si="20"/>
        <v>0</v>
      </c>
      <c r="P184" s="852">
        <f t="shared" si="20"/>
        <v>0</v>
      </c>
      <c r="Q184" s="852">
        <f t="shared" si="20"/>
        <v>0</v>
      </c>
      <c r="R184" s="852">
        <f t="shared" si="17"/>
        <v>0</v>
      </c>
    </row>
    <row r="185" spans="1:18" s="89" customFormat="1" ht="24" hidden="1" customHeight="1">
      <c r="A185" s="726">
        <v>18130</v>
      </c>
      <c r="B185" s="727" t="s">
        <v>159</v>
      </c>
      <c r="C185" s="840">
        <v>0</v>
      </c>
      <c r="D185" s="840">
        <v>0</v>
      </c>
      <c r="E185" s="852">
        <f>SUM(E186:E188)</f>
        <v>0</v>
      </c>
      <c r="F185" s="852">
        <f>SUM(F186:F188)</f>
        <v>0</v>
      </c>
      <c r="G185" s="852">
        <f>SUM(G186:G188)</f>
        <v>0</v>
      </c>
      <c r="H185" s="852">
        <f t="shared" si="15"/>
        <v>0</v>
      </c>
      <c r="I185" s="852">
        <v>0</v>
      </c>
      <c r="J185" s="852">
        <f>SUM(J186:J188)</f>
        <v>0</v>
      </c>
      <c r="K185" s="852">
        <f>SUM(K186:K188)</f>
        <v>0</v>
      </c>
      <c r="L185" s="852">
        <f>SUM(L186:L188)</f>
        <v>0</v>
      </c>
      <c r="M185" s="852">
        <f t="shared" si="16"/>
        <v>0</v>
      </c>
      <c r="N185" s="852">
        <v>0</v>
      </c>
      <c r="O185" s="852">
        <f>SUM(O186:O188)</f>
        <v>0</v>
      </c>
      <c r="P185" s="852">
        <f>SUM(P186:P188)</f>
        <v>0</v>
      </c>
      <c r="Q185" s="852">
        <f>SUM(Q186:Q188)</f>
        <v>0</v>
      </c>
      <c r="R185" s="852">
        <f t="shared" si="17"/>
        <v>0</v>
      </c>
    </row>
    <row r="186" spans="1:18" s="89" customFormat="1" ht="36" hidden="1" customHeight="1">
      <c r="A186" s="726">
        <v>18131</v>
      </c>
      <c r="B186" s="727" t="s">
        <v>160</v>
      </c>
      <c r="C186" s="840">
        <v>0</v>
      </c>
      <c r="D186" s="840">
        <v>0</v>
      </c>
      <c r="E186" s="852"/>
      <c r="F186" s="852"/>
      <c r="G186" s="852"/>
      <c r="H186" s="852">
        <f t="shared" si="15"/>
        <v>0</v>
      </c>
      <c r="I186" s="852">
        <v>0</v>
      </c>
      <c r="J186" s="852"/>
      <c r="K186" s="852"/>
      <c r="L186" s="852"/>
      <c r="M186" s="852">
        <f t="shared" si="16"/>
        <v>0</v>
      </c>
      <c r="N186" s="852">
        <v>0</v>
      </c>
      <c r="O186" s="852"/>
      <c r="P186" s="852"/>
      <c r="Q186" s="852"/>
      <c r="R186" s="852">
        <f t="shared" si="17"/>
        <v>0</v>
      </c>
    </row>
    <row r="187" spans="1:18" s="89" customFormat="1" ht="24" hidden="1" customHeight="1">
      <c r="A187" s="726">
        <v>18132</v>
      </c>
      <c r="B187" s="727" t="s">
        <v>169</v>
      </c>
      <c r="C187" s="840">
        <v>0</v>
      </c>
      <c r="D187" s="840">
        <v>0</v>
      </c>
      <c r="E187" s="852"/>
      <c r="F187" s="852"/>
      <c r="G187" s="852"/>
      <c r="H187" s="852">
        <f t="shared" si="15"/>
        <v>0</v>
      </c>
      <c r="I187" s="852">
        <v>0</v>
      </c>
      <c r="J187" s="852"/>
      <c r="K187" s="852"/>
      <c r="L187" s="852"/>
      <c r="M187" s="852">
        <f t="shared" si="16"/>
        <v>0</v>
      </c>
      <c r="N187" s="852">
        <v>0</v>
      </c>
      <c r="O187" s="852"/>
      <c r="P187" s="852"/>
      <c r="Q187" s="852"/>
      <c r="R187" s="852">
        <f t="shared" si="17"/>
        <v>0</v>
      </c>
    </row>
    <row r="188" spans="1:18" s="89" customFormat="1" ht="24" hidden="1" customHeight="1">
      <c r="A188" s="726">
        <v>18139</v>
      </c>
      <c r="B188" s="727" t="s">
        <v>179</v>
      </c>
      <c r="C188" s="840">
        <v>0</v>
      </c>
      <c r="D188" s="840">
        <v>0</v>
      </c>
      <c r="E188" s="852"/>
      <c r="F188" s="852"/>
      <c r="G188" s="852"/>
      <c r="H188" s="852">
        <f t="shared" si="15"/>
        <v>0</v>
      </c>
      <c r="I188" s="852">
        <v>0</v>
      </c>
      <c r="J188" s="852"/>
      <c r="K188" s="852"/>
      <c r="L188" s="852"/>
      <c r="M188" s="852">
        <f t="shared" si="16"/>
        <v>0</v>
      </c>
      <c r="N188" s="852">
        <v>0</v>
      </c>
      <c r="O188" s="852"/>
      <c r="P188" s="852"/>
      <c r="Q188" s="852"/>
      <c r="R188" s="852">
        <f t="shared" si="17"/>
        <v>0</v>
      </c>
    </row>
    <row r="189" spans="1:18" s="89" customFormat="1" ht="12" hidden="1" customHeight="1">
      <c r="A189" s="728" t="s">
        <v>180</v>
      </c>
      <c r="B189" s="729" t="s">
        <v>173</v>
      </c>
      <c r="C189" s="839">
        <v>0</v>
      </c>
      <c r="D189" s="839">
        <v>0</v>
      </c>
      <c r="E189" s="851">
        <f>E190</f>
        <v>0</v>
      </c>
      <c r="F189" s="851">
        <f>F190</f>
        <v>0</v>
      </c>
      <c r="G189" s="851">
        <f>G190</f>
        <v>0</v>
      </c>
      <c r="H189" s="852">
        <f t="shared" si="15"/>
        <v>0</v>
      </c>
      <c r="I189" s="851">
        <v>0</v>
      </c>
      <c r="J189" s="851">
        <f>J190</f>
        <v>0</v>
      </c>
      <c r="K189" s="851">
        <f>K190</f>
        <v>0</v>
      </c>
      <c r="L189" s="851">
        <f>L190</f>
        <v>0</v>
      </c>
      <c r="M189" s="852">
        <f t="shared" si="16"/>
        <v>0</v>
      </c>
      <c r="N189" s="851">
        <v>0</v>
      </c>
      <c r="O189" s="851">
        <f>O190</f>
        <v>0</v>
      </c>
      <c r="P189" s="851">
        <f>P190</f>
        <v>0</v>
      </c>
      <c r="Q189" s="851">
        <f>Q190</f>
        <v>0</v>
      </c>
      <c r="R189" s="852">
        <f t="shared" si="17"/>
        <v>0</v>
      </c>
    </row>
    <row r="190" spans="1:18" s="89" customFormat="1" ht="24" hidden="1" customHeight="1">
      <c r="A190" s="728">
        <v>19500</v>
      </c>
      <c r="B190" s="727" t="s">
        <v>174</v>
      </c>
      <c r="C190" s="840">
        <v>0</v>
      </c>
      <c r="D190" s="840">
        <v>0</v>
      </c>
      <c r="E190" s="852">
        <f>SUM(E191:E193)</f>
        <v>0</v>
      </c>
      <c r="F190" s="852">
        <f>SUM(F191:F193)</f>
        <v>0</v>
      </c>
      <c r="G190" s="852">
        <f>SUM(G191:G193)</f>
        <v>0</v>
      </c>
      <c r="H190" s="852">
        <f t="shared" si="15"/>
        <v>0</v>
      </c>
      <c r="I190" s="852">
        <v>0</v>
      </c>
      <c r="J190" s="852">
        <f>SUM(J191:J193)</f>
        <v>0</v>
      </c>
      <c r="K190" s="852">
        <f>SUM(K191:K193)</f>
        <v>0</v>
      </c>
      <c r="L190" s="852">
        <f>SUM(L191:L193)</f>
        <v>0</v>
      </c>
      <c r="M190" s="852">
        <f t="shared" si="16"/>
        <v>0</v>
      </c>
      <c r="N190" s="852">
        <v>0</v>
      </c>
      <c r="O190" s="852">
        <f>SUM(O191:O193)</f>
        <v>0</v>
      </c>
      <c r="P190" s="852">
        <f>SUM(P191:P193)</f>
        <v>0</v>
      </c>
      <c r="Q190" s="852">
        <f>SUM(Q191:Q193)</f>
        <v>0</v>
      </c>
      <c r="R190" s="852">
        <f t="shared" si="17"/>
        <v>0</v>
      </c>
    </row>
    <row r="191" spans="1:18" s="89" customFormat="1" ht="24" hidden="1" customHeight="1">
      <c r="A191" s="728">
        <v>19550</v>
      </c>
      <c r="B191" s="727" t="s">
        <v>175</v>
      </c>
      <c r="C191" s="840">
        <v>0</v>
      </c>
      <c r="D191" s="840">
        <v>0</v>
      </c>
      <c r="E191" s="852"/>
      <c r="F191" s="852"/>
      <c r="G191" s="852"/>
      <c r="H191" s="852">
        <f t="shared" si="15"/>
        <v>0</v>
      </c>
      <c r="I191" s="852">
        <v>0</v>
      </c>
      <c r="J191" s="852"/>
      <c r="K191" s="852"/>
      <c r="L191" s="852"/>
      <c r="M191" s="852">
        <f t="shared" si="16"/>
        <v>0</v>
      </c>
      <c r="N191" s="852">
        <v>0</v>
      </c>
      <c r="O191" s="852"/>
      <c r="P191" s="852"/>
      <c r="Q191" s="852"/>
      <c r="R191" s="852">
        <f t="shared" si="17"/>
        <v>0</v>
      </c>
    </row>
    <row r="192" spans="1:18" s="89" customFormat="1" ht="36" hidden="1" customHeight="1">
      <c r="A192" s="728">
        <v>19560</v>
      </c>
      <c r="B192" s="727" t="s">
        <v>181</v>
      </c>
      <c r="C192" s="840">
        <v>0</v>
      </c>
      <c r="D192" s="840">
        <v>0</v>
      </c>
      <c r="E192" s="852"/>
      <c r="F192" s="852"/>
      <c r="G192" s="852"/>
      <c r="H192" s="852">
        <f t="shared" si="15"/>
        <v>0</v>
      </c>
      <c r="I192" s="852">
        <v>0</v>
      </c>
      <c r="J192" s="852"/>
      <c r="K192" s="852"/>
      <c r="L192" s="852"/>
      <c r="M192" s="852">
        <f t="shared" si="16"/>
        <v>0</v>
      </c>
      <c r="N192" s="852">
        <v>0</v>
      </c>
      <c r="O192" s="852"/>
      <c r="P192" s="852"/>
      <c r="Q192" s="852"/>
      <c r="R192" s="852">
        <f t="shared" si="17"/>
        <v>0</v>
      </c>
    </row>
    <row r="193" spans="1:18" s="89" customFormat="1" ht="72" hidden="1" customHeight="1">
      <c r="A193" s="728">
        <v>19570</v>
      </c>
      <c r="B193" s="727" t="s">
        <v>182</v>
      </c>
      <c r="C193" s="840">
        <v>0</v>
      </c>
      <c r="D193" s="840">
        <v>0</v>
      </c>
      <c r="E193" s="852"/>
      <c r="F193" s="852"/>
      <c r="G193" s="852"/>
      <c r="H193" s="852">
        <f t="shared" si="15"/>
        <v>0</v>
      </c>
      <c r="I193" s="852">
        <v>0</v>
      </c>
      <c r="J193" s="852"/>
      <c r="K193" s="852"/>
      <c r="L193" s="852"/>
      <c r="M193" s="852">
        <f t="shared" si="16"/>
        <v>0</v>
      </c>
      <c r="N193" s="852">
        <v>0</v>
      </c>
      <c r="O193" s="852"/>
      <c r="P193" s="852"/>
      <c r="Q193" s="852"/>
      <c r="R193" s="852">
        <f t="shared" si="17"/>
        <v>0</v>
      </c>
    </row>
    <row r="194" spans="1:18" s="6" customFormat="1" ht="24" hidden="1" customHeight="1">
      <c r="A194" s="730" t="s">
        <v>222</v>
      </c>
      <c r="B194" s="731" t="s">
        <v>216</v>
      </c>
      <c r="C194" s="840">
        <f>C195</f>
        <v>0</v>
      </c>
      <c r="D194" s="840">
        <v>0</v>
      </c>
      <c r="E194" s="852">
        <f>E195</f>
        <v>0</v>
      </c>
      <c r="F194" s="852">
        <f>F195</f>
        <v>0</v>
      </c>
      <c r="G194" s="852">
        <f>G195</f>
        <v>0</v>
      </c>
      <c r="H194" s="852">
        <f t="shared" si="15"/>
        <v>0</v>
      </c>
      <c r="I194" s="852">
        <v>0</v>
      </c>
      <c r="J194" s="852">
        <f>J195</f>
        <v>0</v>
      </c>
      <c r="K194" s="852">
        <f>K195</f>
        <v>0</v>
      </c>
      <c r="L194" s="852">
        <f>L195</f>
        <v>0</v>
      </c>
      <c r="M194" s="852">
        <f t="shared" si="16"/>
        <v>0</v>
      </c>
      <c r="N194" s="852">
        <v>0</v>
      </c>
      <c r="O194" s="852">
        <f>O195</f>
        <v>0</v>
      </c>
      <c r="P194" s="852">
        <f>P195</f>
        <v>0</v>
      </c>
      <c r="Q194" s="852">
        <f>Q195</f>
        <v>0</v>
      </c>
      <c r="R194" s="852">
        <f t="shared" si="17"/>
        <v>0</v>
      </c>
    </row>
    <row r="195" spans="1:18" s="6" customFormat="1" ht="36" hidden="1" customHeight="1">
      <c r="A195" s="730">
        <v>17100</v>
      </c>
      <c r="B195" s="731" t="s">
        <v>217</v>
      </c>
      <c r="C195" s="840">
        <f>SUM(C196:C199)</f>
        <v>0</v>
      </c>
      <c r="D195" s="840">
        <v>0</v>
      </c>
      <c r="E195" s="852">
        <f>SUM(E196:E199)</f>
        <v>0</v>
      </c>
      <c r="F195" s="852">
        <f>SUM(F196:F199)</f>
        <v>0</v>
      </c>
      <c r="G195" s="852">
        <f>SUM(G196:G199)</f>
        <v>0</v>
      </c>
      <c r="H195" s="852">
        <f t="shared" si="15"/>
        <v>0</v>
      </c>
      <c r="I195" s="852">
        <v>0</v>
      </c>
      <c r="J195" s="852">
        <f>SUM(J196:J199)</f>
        <v>0</v>
      </c>
      <c r="K195" s="852">
        <f>SUM(K196:K199)</f>
        <v>0</v>
      </c>
      <c r="L195" s="852">
        <f>SUM(L196:L199)</f>
        <v>0</v>
      </c>
      <c r="M195" s="852">
        <f t="shared" si="16"/>
        <v>0</v>
      </c>
      <c r="N195" s="852">
        <v>0</v>
      </c>
      <c r="O195" s="852">
        <f>SUM(O196:O199)</f>
        <v>0</v>
      </c>
      <c r="P195" s="852">
        <f>SUM(P196:P199)</f>
        <v>0</v>
      </c>
      <c r="Q195" s="852">
        <f>SUM(Q196:Q199)</f>
        <v>0</v>
      </c>
      <c r="R195" s="852">
        <f t="shared" si="17"/>
        <v>0</v>
      </c>
    </row>
    <row r="196" spans="1:18" s="6" customFormat="1" ht="60" hidden="1" customHeight="1">
      <c r="A196" s="730">
        <v>17110</v>
      </c>
      <c r="B196" s="731" t="s">
        <v>218</v>
      </c>
      <c r="C196" s="840"/>
      <c r="D196" s="840">
        <v>0</v>
      </c>
      <c r="E196" s="852"/>
      <c r="F196" s="852"/>
      <c r="G196" s="852"/>
      <c r="H196" s="852">
        <f t="shared" si="15"/>
        <v>0</v>
      </c>
      <c r="I196" s="852">
        <v>0</v>
      </c>
      <c r="J196" s="852"/>
      <c r="K196" s="852"/>
      <c r="L196" s="852"/>
      <c r="M196" s="852">
        <f t="shared" si="16"/>
        <v>0</v>
      </c>
      <c r="N196" s="852">
        <v>0</v>
      </c>
      <c r="O196" s="852"/>
      <c r="P196" s="852"/>
      <c r="Q196" s="852"/>
      <c r="R196" s="852">
        <f t="shared" si="17"/>
        <v>0</v>
      </c>
    </row>
    <row r="197" spans="1:18" s="6" customFormat="1" ht="60" hidden="1" customHeight="1">
      <c r="A197" s="730">
        <v>17120</v>
      </c>
      <c r="B197" s="731" t="s">
        <v>219</v>
      </c>
      <c r="C197" s="840"/>
      <c r="D197" s="840">
        <v>0</v>
      </c>
      <c r="E197" s="852"/>
      <c r="F197" s="852"/>
      <c r="G197" s="852"/>
      <c r="H197" s="852">
        <f t="shared" si="15"/>
        <v>0</v>
      </c>
      <c r="I197" s="852">
        <v>0</v>
      </c>
      <c r="J197" s="852"/>
      <c r="K197" s="852"/>
      <c r="L197" s="852"/>
      <c r="M197" s="852">
        <f t="shared" si="16"/>
        <v>0</v>
      </c>
      <c r="N197" s="852">
        <v>0</v>
      </c>
      <c r="O197" s="852"/>
      <c r="P197" s="852"/>
      <c r="Q197" s="852"/>
      <c r="R197" s="852">
        <f t="shared" si="17"/>
        <v>0</v>
      </c>
    </row>
    <row r="198" spans="1:18" s="6" customFormat="1" ht="108" hidden="1" customHeight="1">
      <c r="A198" s="730">
        <v>17130</v>
      </c>
      <c r="B198" s="731" t="s">
        <v>560</v>
      </c>
      <c r="C198" s="840"/>
      <c r="D198" s="840">
        <v>0</v>
      </c>
      <c r="E198" s="852"/>
      <c r="F198" s="852"/>
      <c r="G198" s="852"/>
      <c r="H198" s="852">
        <f t="shared" si="15"/>
        <v>0</v>
      </c>
      <c r="I198" s="852">
        <v>0</v>
      </c>
      <c r="J198" s="852"/>
      <c r="K198" s="852"/>
      <c r="L198" s="852"/>
      <c r="M198" s="852">
        <f t="shared" si="16"/>
        <v>0</v>
      </c>
      <c r="N198" s="852">
        <v>0</v>
      </c>
      <c r="O198" s="852"/>
      <c r="P198" s="852"/>
      <c r="Q198" s="852"/>
      <c r="R198" s="852">
        <f t="shared" si="17"/>
        <v>0</v>
      </c>
    </row>
    <row r="199" spans="1:18" s="6" customFormat="1" ht="96" hidden="1" customHeight="1">
      <c r="A199" s="730">
        <v>17140</v>
      </c>
      <c r="B199" s="731" t="s">
        <v>561</v>
      </c>
      <c r="C199" s="840"/>
      <c r="D199" s="840">
        <v>0</v>
      </c>
      <c r="E199" s="852"/>
      <c r="F199" s="852"/>
      <c r="G199" s="852"/>
      <c r="H199" s="852">
        <f t="shared" si="15"/>
        <v>0</v>
      </c>
      <c r="I199" s="852">
        <v>0</v>
      </c>
      <c r="J199" s="852"/>
      <c r="K199" s="852"/>
      <c r="L199" s="852"/>
      <c r="M199" s="852">
        <f t="shared" si="16"/>
        <v>0</v>
      </c>
      <c r="N199" s="852">
        <v>0</v>
      </c>
      <c r="O199" s="852"/>
      <c r="P199" s="852"/>
      <c r="Q199" s="852"/>
      <c r="R199" s="852">
        <f t="shared" si="17"/>
        <v>0</v>
      </c>
    </row>
    <row r="200" spans="1:18" s="89" customFormat="1" ht="12">
      <c r="A200" s="722">
        <v>21700</v>
      </c>
      <c r="B200" s="723" t="s">
        <v>97</v>
      </c>
      <c r="C200" s="840">
        <v>247620671</v>
      </c>
      <c r="D200" s="840">
        <v>271272864</v>
      </c>
      <c r="E200" s="852">
        <f>E201+E202</f>
        <v>0</v>
      </c>
      <c r="F200" s="852">
        <f>F201+F202</f>
        <v>0</v>
      </c>
      <c r="G200" s="852">
        <f>G201+G202</f>
        <v>0</v>
      </c>
      <c r="H200" s="852">
        <f t="shared" si="15"/>
        <v>271272864</v>
      </c>
      <c r="I200" s="852">
        <v>93204210</v>
      </c>
      <c r="J200" s="852">
        <f>J201+J202</f>
        <v>0</v>
      </c>
      <c r="K200" s="852">
        <f>K201+K202</f>
        <v>0</v>
      </c>
      <c r="L200" s="852">
        <f>L201+L202</f>
        <v>0</v>
      </c>
      <c r="M200" s="852">
        <f t="shared" si="16"/>
        <v>93204210</v>
      </c>
      <c r="N200" s="852">
        <v>2214002</v>
      </c>
      <c r="O200" s="852">
        <f>O201+O202</f>
        <v>0</v>
      </c>
      <c r="P200" s="852">
        <f>P201+P202</f>
        <v>0</v>
      </c>
      <c r="Q200" s="852">
        <f>Q201+Q202</f>
        <v>0</v>
      </c>
      <c r="R200" s="852">
        <f t="shared" si="17"/>
        <v>2214002</v>
      </c>
    </row>
    <row r="201" spans="1:18" s="89" customFormat="1" ht="24">
      <c r="A201" s="724">
        <v>21710</v>
      </c>
      <c r="B201" s="725" t="s">
        <v>98</v>
      </c>
      <c r="C201" s="840">
        <v>188995773</v>
      </c>
      <c r="D201" s="840">
        <v>175192947</v>
      </c>
      <c r="E201" s="852"/>
      <c r="F201" s="852"/>
      <c r="G201" s="852"/>
      <c r="H201" s="852">
        <f t="shared" si="15"/>
        <v>175192947</v>
      </c>
      <c r="I201" s="852">
        <v>75943119</v>
      </c>
      <c r="J201" s="852"/>
      <c r="K201" s="852"/>
      <c r="L201" s="852"/>
      <c r="M201" s="852">
        <f t="shared" si="16"/>
        <v>75943119</v>
      </c>
      <c r="N201" s="852">
        <v>2214002</v>
      </c>
      <c r="O201" s="852"/>
      <c r="P201" s="852"/>
      <c r="Q201" s="852"/>
      <c r="R201" s="852">
        <f t="shared" si="17"/>
        <v>2214002</v>
      </c>
    </row>
    <row r="202" spans="1:18" s="29" customFormat="1" ht="24">
      <c r="A202" s="724">
        <v>21720</v>
      </c>
      <c r="B202" s="725" t="s">
        <v>99</v>
      </c>
      <c r="C202" s="840">
        <v>58624898</v>
      </c>
      <c r="D202" s="840">
        <v>96079917</v>
      </c>
      <c r="E202" s="852"/>
      <c r="F202" s="852"/>
      <c r="G202" s="852"/>
      <c r="H202" s="852">
        <f t="shared" ref="H202:H260" si="21">SUM(D202:G202)</f>
        <v>96079917</v>
      </c>
      <c r="I202" s="852">
        <v>17261091</v>
      </c>
      <c r="J202" s="852"/>
      <c r="K202" s="852"/>
      <c r="L202" s="852"/>
      <c r="M202" s="852">
        <f t="shared" ref="M202:M260" si="22">SUM(I202:L202)</f>
        <v>17261091</v>
      </c>
      <c r="N202" s="852">
        <v>0</v>
      </c>
      <c r="O202" s="852"/>
      <c r="P202" s="852"/>
      <c r="Q202" s="852"/>
      <c r="R202" s="852">
        <f t="shared" ref="R202:R260" si="23">SUM(N202:Q202)</f>
        <v>0</v>
      </c>
    </row>
    <row r="203" spans="1:18" s="29" customFormat="1" ht="11.4">
      <c r="A203" s="732" t="s">
        <v>100</v>
      </c>
      <c r="B203" s="733" t="s">
        <v>101</v>
      </c>
      <c r="C203" s="841">
        <v>274671605</v>
      </c>
      <c r="D203" s="841">
        <v>273193571</v>
      </c>
      <c r="E203" s="848">
        <f>E204+E231</f>
        <v>0</v>
      </c>
      <c r="F203" s="848">
        <f>F204+F231</f>
        <v>0</v>
      </c>
      <c r="G203" s="848">
        <f>G204+G231</f>
        <v>0</v>
      </c>
      <c r="H203" s="848">
        <f t="shared" si="21"/>
        <v>273193571</v>
      </c>
      <c r="I203" s="848">
        <v>95272772</v>
      </c>
      <c r="J203" s="848">
        <f>J204+J231</f>
        <v>0</v>
      </c>
      <c r="K203" s="848">
        <f>K204+K231</f>
        <v>0</v>
      </c>
      <c r="L203" s="848">
        <f>L204+L231</f>
        <v>0</v>
      </c>
      <c r="M203" s="848">
        <f t="shared" si="22"/>
        <v>95272772</v>
      </c>
      <c r="N203" s="848">
        <v>3982564</v>
      </c>
      <c r="O203" s="848">
        <f>O204+O231</f>
        <v>0</v>
      </c>
      <c r="P203" s="848">
        <f>P204+P231</f>
        <v>0</v>
      </c>
      <c r="Q203" s="848">
        <f>Q204+Q231</f>
        <v>0</v>
      </c>
      <c r="R203" s="848">
        <f t="shared" si="23"/>
        <v>3982564</v>
      </c>
    </row>
    <row r="204" spans="1:18" s="29" customFormat="1" ht="20.399999999999999">
      <c r="A204" s="722" t="s">
        <v>102</v>
      </c>
      <c r="B204" s="723" t="s">
        <v>103</v>
      </c>
      <c r="C204" s="840">
        <v>97461507</v>
      </c>
      <c r="D204" s="840">
        <v>97361909</v>
      </c>
      <c r="E204" s="852">
        <f>E205+E209+E210+E213+E216</f>
        <v>0</v>
      </c>
      <c r="F204" s="852">
        <f>F205+F209+F210+F213+F216</f>
        <v>0</v>
      </c>
      <c r="G204" s="852">
        <f>G205+G209+G210+G213+G216</f>
        <v>0</v>
      </c>
      <c r="H204" s="852">
        <f t="shared" si="21"/>
        <v>97361909</v>
      </c>
      <c r="I204" s="852">
        <v>77413542</v>
      </c>
      <c r="J204" s="852">
        <f>J205+J209+J210+J213+J216</f>
        <v>0</v>
      </c>
      <c r="K204" s="852">
        <f>K205+K209+K210+K213+K216</f>
        <v>0</v>
      </c>
      <c r="L204" s="852">
        <f>L205+L209+L210+L213+L216</f>
        <v>0</v>
      </c>
      <c r="M204" s="852">
        <f t="shared" si="22"/>
        <v>77413542</v>
      </c>
      <c r="N204" s="852">
        <v>3978014</v>
      </c>
      <c r="O204" s="852">
        <f>O205+O209+O210+O213+O216</f>
        <v>0</v>
      </c>
      <c r="P204" s="852">
        <f>P205+P209+P210+P213+P216</f>
        <v>0</v>
      </c>
      <c r="Q204" s="852">
        <f>Q205+Q209+Q210+Q213+Q216</f>
        <v>0</v>
      </c>
      <c r="R204" s="852">
        <f t="shared" si="23"/>
        <v>3978014</v>
      </c>
    </row>
    <row r="205" spans="1:18" s="29" customFormat="1" ht="12">
      <c r="A205" s="722" t="s">
        <v>104</v>
      </c>
      <c r="B205" s="723" t="s">
        <v>105</v>
      </c>
      <c r="C205" s="840">
        <v>634265</v>
      </c>
      <c r="D205" s="840">
        <v>895450</v>
      </c>
      <c r="E205" s="852">
        <f>E206+E208</f>
        <v>0</v>
      </c>
      <c r="F205" s="852">
        <f>F206+F208</f>
        <v>0</v>
      </c>
      <c r="G205" s="852">
        <f>G206+G208</f>
        <v>0</v>
      </c>
      <c r="H205" s="852">
        <f t="shared" si="21"/>
        <v>895450</v>
      </c>
      <c r="I205" s="852">
        <v>895450</v>
      </c>
      <c r="J205" s="852">
        <f>J206+J208</f>
        <v>0</v>
      </c>
      <c r="K205" s="852">
        <f>K206+K208</f>
        <v>0</v>
      </c>
      <c r="L205" s="852">
        <f>L206+L208</f>
        <v>0</v>
      </c>
      <c r="M205" s="852">
        <f t="shared" si="22"/>
        <v>895450</v>
      </c>
      <c r="N205" s="852">
        <v>595450</v>
      </c>
      <c r="O205" s="852">
        <f>O206+O208</f>
        <v>0</v>
      </c>
      <c r="P205" s="852">
        <f>P206+P208</f>
        <v>0</v>
      </c>
      <c r="Q205" s="852">
        <f>Q206+Q208</f>
        <v>0</v>
      </c>
      <c r="R205" s="852">
        <f t="shared" si="23"/>
        <v>595450</v>
      </c>
    </row>
    <row r="206" spans="1:18" s="29" customFormat="1" ht="12">
      <c r="A206" s="724">
        <v>1000</v>
      </c>
      <c r="B206" s="725" t="s">
        <v>106</v>
      </c>
      <c r="C206" s="840">
        <v>324400</v>
      </c>
      <c r="D206" s="840">
        <v>324400</v>
      </c>
      <c r="E206" s="852"/>
      <c r="F206" s="852"/>
      <c r="G206" s="852"/>
      <c r="H206" s="852">
        <f t="shared" si="21"/>
        <v>324400</v>
      </c>
      <c r="I206" s="852">
        <v>324400</v>
      </c>
      <c r="J206" s="852"/>
      <c r="K206" s="852"/>
      <c r="L206" s="852"/>
      <c r="M206" s="852">
        <f t="shared" si="22"/>
        <v>324400</v>
      </c>
      <c r="N206" s="852">
        <v>324400</v>
      </c>
      <c r="O206" s="852"/>
      <c r="P206" s="852"/>
      <c r="Q206" s="852"/>
      <c r="R206" s="852">
        <f t="shared" si="23"/>
        <v>324400</v>
      </c>
    </row>
    <row r="207" spans="1:18" s="29" customFormat="1" ht="12">
      <c r="A207" s="724">
        <v>1100</v>
      </c>
      <c r="B207" s="725" t="s">
        <v>107</v>
      </c>
      <c r="C207" s="840">
        <v>261423</v>
      </c>
      <c r="D207" s="840">
        <v>261423</v>
      </c>
      <c r="E207" s="852"/>
      <c r="F207" s="852"/>
      <c r="G207" s="852"/>
      <c r="H207" s="852">
        <f t="shared" si="21"/>
        <v>261423</v>
      </c>
      <c r="I207" s="852">
        <v>261423</v>
      </c>
      <c r="J207" s="852"/>
      <c r="K207" s="852"/>
      <c r="L207" s="852"/>
      <c r="M207" s="852">
        <f t="shared" si="22"/>
        <v>261423</v>
      </c>
      <c r="N207" s="852">
        <v>261423</v>
      </c>
      <c r="O207" s="852"/>
      <c r="P207" s="852"/>
      <c r="Q207" s="852"/>
      <c r="R207" s="852">
        <f t="shared" si="23"/>
        <v>261423</v>
      </c>
    </row>
    <row r="208" spans="1:18" s="29" customFormat="1" ht="12">
      <c r="A208" s="724">
        <v>2000</v>
      </c>
      <c r="B208" s="725" t="s">
        <v>108</v>
      </c>
      <c r="C208" s="840">
        <v>309865</v>
      </c>
      <c r="D208" s="840">
        <v>571050</v>
      </c>
      <c r="E208" s="852"/>
      <c r="F208" s="852"/>
      <c r="G208" s="852"/>
      <c r="H208" s="852">
        <f t="shared" si="21"/>
        <v>571050</v>
      </c>
      <c r="I208" s="852">
        <v>571050</v>
      </c>
      <c r="J208" s="852"/>
      <c r="K208" s="852"/>
      <c r="L208" s="852"/>
      <c r="M208" s="852">
        <f t="shared" si="22"/>
        <v>571050</v>
      </c>
      <c r="N208" s="852">
        <v>271050</v>
      </c>
      <c r="O208" s="852"/>
      <c r="P208" s="852"/>
      <c r="Q208" s="852"/>
      <c r="R208" s="852">
        <f t="shared" si="23"/>
        <v>271050</v>
      </c>
    </row>
    <row r="209" spans="1:18" s="29" customFormat="1" ht="12" hidden="1" customHeight="1">
      <c r="A209" s="722">
        <v>4000</v>
      </c>
      <c r="B209" s="723" t="s">
        <v>132</v>
      </c>
      <c r="C209" s="840">
        <v>0</v>
      </c>
      <c r="D209" s="840">
        <v>0</v>
      </c>
      <c r="E209" s="852"/>
      <c r="F209" s="852"/>
      <c r="G209" s="852"/>
      <c r="H209" s="852">
        <f t="shared" si="21"/>
        <v>0</v>
      </c>
      <c r="I209" s="852">
        <v>0</v>
      </c>
      <c r="J209" s="852"/>
      <c r="K209" s="852"/>
      <c r="L209" s="852"/>
      <c r="M209" s="852">
        <f t="shared" si="22"/>
        <v>0</v>
      </c>
      <c r="N209" s="852">
        <v>0</v>
      </c>
      <c r="O209" s="852"/>
      <c r="P209" s="852"/>
      <c r="Q209" s="852"/>
      <c r="R209" s="852">
        <f t="shared" si="23"/>
        <v>0</v>
      </c>
    </row>
    <row r="210" spans="1:18" s="29" customFormat="1" ht="12">
      <c r="A210" s="722" t="s">
        <v>109</v>
      </c>
      <c r="B210" s="723" t="s">
        <v>110</v>
      </c>
      <c r="C210" s="840">
        <v>95240512</v>
      </c>
      <c r="D210" s="840">
        <v>96466459</v>
      </c>
      <c r="E210" s="852">
        <f>E211+E212</f>
        <v>0</v>
      </c>
      <c r="F210" s="852">
        <f>F211+F212</f>
        <v>0</v>
      </c>
      <c r="G210" s="852">
        <f>G211+G212</f>
        <v>0</v>
      </c>
      <c r="H210" s="852">
        <f t="shared" si="21"/>
        <v>96466459</v>
      </c>
      <c r="I210" s="852">
        <v>76518092</v>
      </c>
      <c r="J210" s="852">
        <f>J211+J212</f>
        <v>0</v>
      </c>
      <c r="K210" s="852">
        <f>K211+K212</f>
        <v>0</v>
      </c>
      <c r="L210" s="852">
        <f>L211+L212</f>
        <v>0</v>
      </c>
      <c r="M210" s="852">
        <f t="shared" si="22"/>
        <v>76518092</v>
      </c>
      <c r="N210" s="852">
        <v>3382564</v>
      </c>
      <c r="O210" s="852">
        <f>O211+O212</f>
        <v>0</v>
      </c>
      <c r="P210" s="852">
        <f>P211+P212</f>
        <v>0</v>
      </c>
      <c r="Q210" s="852">
        <f>Q211+Q212</f>
        <v>0</v>
      </c>
      <c r="R210" s="852">
        <f t="shared" si="23"/>
        <v>3382564</v>
      </c>
    </row>
    <row r="211" spans="1:18" s="29" customFormat="1" ht="12">
      <c r="A211" s="724">
        <v>3000</v>
      </c>
      <c r="B211" s="725" t="s">
        <v>111</v>
      </c>
      <c r="C211" s="842">
        <v>95240512</v>
      </c>
      <c r="D211" s="842">
        <v>96466459</v>
      </c>
      <c r="E211" s="853"/>
      <c r="F211" s="853"/>
      <c r="G211" s="853"/>
      <c r="H211" s="852">
        <f t="shared" si="21"/>
        <v>96466459</v>
      </c>
      <c r="I211" s="853">
        <v>76518092</v>
      </c>
      <c r="J211" s="853"/>
      <c r="K211" s="853"/>
      <c r="L211" s="853"/>
      <c r="M211" s="852">
        <f t="shared" si="22"/>
        <v>76518092</v>
      </c>
      <c r="N211" s="853">
        <v>3382564</v>
      </c>
      <c r="O211" s="853"/>
      <c r="P211" s="853"/>
      <c r="Q211" s="853"/>
      <c r="R211" s="852">
        <f t="shared" si="23"/>
        <v>3382564</v>
      </c>
    </row>
    <row r="212" spans="1:18" s="29" customFormat="1" ht="12" hidden="1" customHeight="1">
      <c r="A212" s="724">
        <v>6000</v>
      </c>
      <c r="B212" s="725" t="s">
        <v>112</v>
      </c>
      <c r="C212" s="840">
        <v>0</v>
      </c>
      <c r="D212" s="840">
        <v>0</v>
      </c>
      <c r="E212" s="852"/>
      <c r="F212" s="852"/>
      <c r="G212" s="852"/>
      <c r="H212" s="852">
        <f t="shared" si="21"/>
        <v>0</v>
      </c>
      <c r="I212" s="852">
        <v>0</v>
      </c>
      <c r="J212" s="852"/>
      <c r="K212" s="852"/>
      <c r="L212" s="852"/>
      <c r="M212" s="852">
        <f t="shared" si="22"/>
        <v>0</v>
      </c>
      <c r="N212" s="852">
        <v>0</v>
      </c>
      <c r="O212" s="852"/>
      <c r="P212" s="852"/>
      <c r="Q212" s="852"/>
      <c r="R212" s="852">
        <f t="shared" si="23"/>
        <v>0</v>
      </c>
    </row>
    <row r="213" spans="1:18" s="29" customFormat="1" ht="22.8">
      <c r="A213" s="722" t="s">
        <v>113</v>
      </c>
      <c r="B213" s="723" t="s">
        <v>183</v>
      </c>
      <c r="C213" s="840">
        <v>290426</v>
      </c>
      <c r="D213" s="840">
        <v>0</v>
      </c>
      <c r="E213" s="852">
        <f>E214+E215</f>
        <v>0</v>
      </c>
      <c r="F213" s="852">
        <f>F214+F215</f>
        <v>0</v>
      </c>
      <c r="G213" s="852">
        <f>G214+G215</f>
        <v>0</v>
      </c>
      <c r="H213" s="852">
        <f t="shared" si="21"/>
        <v>0</v>
      </c>
      <c r="I213" s="852">
        <v>0</v>
      </c>
      <c r="J213" s="852">
        <f>J214+J215</f>
        <v>0</v>
      </c>
      <c r="K213" s="852">
        <f>K214+K215</f>
        <v>0</v>
      </c>
      <c r="L213" s="852">
        <f>L214+L215</f>
        <v>0</v>
      </c>
      <c r="M213" s="852">
        <f t="shared" si="22"/>
        <v>0</v>
      </c>
      <c r="N213" s="852">
        <v>0</v>
      </c>
      <c r="O213" s="852">
        <f>O214+O215</f>
        <v>0</v>
      </c>
      <c r="P213" s="852">
        <f>P214+P215</f>
        <v>0</v>
      </c>
      <c r="Q213" s="852">
        <f>Q214+Q215</f>
        <v>0</v>
      </c>
      <c r="R213" s="852">
        <f t="shared" si="23"/>
        <v>0</v>
      </c>
    </row>
    <row r="214" spans="1:18" s="29" customFormat="1" ht="12">
      <c r="A214" s="724">
        <v>7600</v>
      </c>
      <c r="B214" s="727" t="s">
        <v>184</v>
      </c>
      <c r="C214" s="840">
        <v>290426</v>
      </c>
      <c r="D214" s="840">
        <v>0</v>
      </c>
      <c r="E214" s="852"/>
      <c r="F214" s="852"/>
      <c r="G214" s="852"/>
      <c r="H214" s="852">
        <f t="shared" si="21"/>
        <v>0</v>
      </c>
      <c r="I214" s="852">
        <v>0</v>
      </c>
      <c r="J214" s="852"/>
      <c r="K214" s="852"/>
      <c r="L214" s="852"/>
      <c r="M214" s="852">
        <f t="shared" si="22"/>
        <v>0</v>
      </c>
      <c r="N214" s="852">
        <v>0</v>
      </c>
      <c r="O214" s="852"/>
      <c r="P214" s="852"/>
      <c r="Q214" s="852"/>
      <c r="R214" s="852">
        <f t="shared" si="23"/>
        <v>0</v>
      </c>
    </row>
    <row r="215" spans="1:18" s="29" customFormat="1" ht="12" hidden="1" customHeight="1">
      <c r="A215" s="724">
        <v>7700</v>
      </c>
      <c r="B215" s="727" t="s">
        <v>114</v>
      </c>
      <c r="C215" s="840">
        <v>0</v>
      </c>
      <c r="D215" s="840">
        <v>0</v>
      </c>
      <c r="E215" s="852"/>
      <c r="F215" s="852"/>
      <c r="G215" s="852"/>
      <c r="H215" s="852">
        <f t="shared" si="21"/>
        <v>0</v>
      </c>
      <c r="I215" s="852">
        <v>0</v>
      </c>
      <c r="J215" s="852"/>
      <c r="K215" s="852"/>
      <c r="L215" s="852"/>
      <c r="M215" s="852">
        <f t="shared" si="22"/>
        <v>0</v>
      </c>
      <c r="N215" s="852">
        <v>0</v>
      </c>
      <c r="O215" s="852"/>
      <c r="P215" s="852"/>
      <c r="Q215" s="852"/>
      <c r="R215" s="852">
        <f t="shared" si="23"/>
        <v>0</v>
      </c>
    </row>
    <row r="216" spans="1:18" s="29" customFormat="1" ht="20.399999999999999">
      <c r="A216" s="722" t="s">
        <v>185</v>
      </c>
      <c r="B216" s="723" t="s">
        <v>115</v>
      </c>
      <c r="C216" s="840">
        <v>1296304</v>
      </c>
      <c r="D216" s="840">
        <v>0</v>
      </c>
      <c r="E216" s="852">
        <f>E217+E223+E227+E230</f>
        <v>0</v>
      </c>
      <c r="F216" s="852">
        <f>F217+F223+F227+F230</f>
        <v>0</v>
      </c>
      <c r="G216" s="852">
        <f>G217+G223+G227+G230</f>
        <v>0</v>
      </c>
      <c r="H216" s="852">
        <f t="shared" si="21"/>
        <v>0</v>
      </c>
      <c r="I216" s="852">
        <v>0</v>
      </c>
      <c r="J216" s="852">
        <f>J217+J223+J227+J230</f>
        <v>0</v>
      </c>
      <c r="K216" s="852">
        <f>K217+K223+K227+K230</f>
        <v>0</v>
      </c>
      <c r="L216" s="852">
        <f>L217+L223+L227+L230</f>
        <v>0</v>
      </c>
      <c r="M216" s="852">
        <f t="shared" si="22"/>
        <v>0</v>
      </c>
      <c r="N216" s="852">
        <v>0</v>
      </c>
      <c r="O216" s="852">
        <f>O217+O223+O227+O230</f>
        <v>0</v>
      </c>
      <c r="P216" s="852">
        <f>P217+P223+P227+P230</f>
        <v>0</v>
      </c>
      <c r="Q216" s="852">
        <f>Q217+Q223+Q227+Q230</f>
        <v>0</v>
      </c>
      <c r="R216" s="852">
        <f t="shared" si="23"/>
        <v>0</v>
      </c>
    </row>
    <row r="217" spans="1:18" s="29" customFormat="1" ht="12" hidden="1" customHeight="1">
      <c r="A217" s="724">
        <v>7100</v>
      </c>
      <c r="B217" s="727" t="s">
        <v>116</v>
      </c>
      <c r="C217" s="840">
        <v>0</v>
      </c>
      <c r="D217" s="840">
        <v>0</v>
      </c>
      <c r="E217" s="852">
        <f>E218+E219</f>
        <v>0</v>
      </c>
      <c r="F217" s="852">
        <f>F218+F219</f>
        <v>0</v>
      </c>
      <c r="G217" s="852">
        <f>G218+G219</f>
        <v>0</v>
      </c>
      <c r="H217" s="852">
        <f t="shared" si="21"/>
        <v>0</v>
      </c>
      <c r="I217" s="852">
        <v>0</v>
      </c>
      <c r="J217" s="852">
        <f>J218+J219</f>
        <v>0</v>
      </c>
      <c r="K217" s="852">
        <f>K218+K219</f>
        <v>0</v>
      </c>
      <c r="L217" s="852">
        <f>L218+L219</f>
        <v>0</v>
      </c>
      <c r="M217" s="852">
        <f t="shared" si="22"/>
        <v>0</v>
      </c>
      <c r="N217" s="852">
        <v>0</v>
      </c>
      <c r="O217" s="852">
        <f>O218+O219</f>
        <v>0</v>
      </c>
      <c r="P217" s="852">
        <f>P218+P219</f>
        <v>0</v>
      </c>
      <c r="Q217" s="852">
        <f>Q218+Q219</f>
        <v>0</v>
      </c>
      <c r="R217" s="852">
        <f t="shared" si="23"/>
        <v>0</v>
      </c>
    </row>
    <row r="218" spans="1:18" s="29" customFormat="1" ht="24" hidden="1" customHeight="1">
      <c r="A218" s="726" t="s">
        <v>117</v>
      </c>
      <c r="B218" s="727" t="s">
        <v>118</v>
      </c>
      <c r="C218" s="840">
        <v>0</v>
      </c>
      <c r="D218" s="840">
        <v>0</v>
      </c>
      <c r="E218" s="852"/>
      <c r="F218" s="852"/>
      <c r="G218" s="852"/>
      <c r="H218" s="852">
        <f t="shared" si="21"/>
        <v>0</v>
      </c>
      <c r="I218" s="852">
        <v>0</v>
      </c>
      <c r="J218" s="852"/>
      <c r="K218" s="852"/>
      <c r="L218" s="852"/>
      <c r="M218" s="852">
        <f t="shared" si="22"/>
        <v>0</v>
      </c>
      <c r="N218" s="852">
        <v>0</v>
      </c>
      <c r="O218" s="852"/>
      <c r="P218" s="852"/>
      <c r="Q218" s="852"/>
      <c r="R218" s="852">
        <f t="shared" si="23"/>
        <v>0</v>
      </c>
    </row>
    <row r="219" spans="1:18" s="29" customFormat="1" ht="24" hidden="1" customHeight="1">
      <c r="A219" s="726">
        <v>7130</v>
      </c>
      <c r="B219" s="727" t="s">
        <v>119</v>
      </c>
      <c r="C219" s="840">
        <v>0</v>
      </c>
      <c r="D219" s="840">
        <v>0</v>
      </c>
      <c r="E219" s="852">
        <f>SUM(E220:E222)</f>
        <v>0</v>
      </c>
      <c r="F219" s="852">
        <f>SUM(F220:F222)</f>
        <v>0</v>
      </c>
      <c r="G219" s="852">
        <f>SUM(G220:G222)</f>
        <v>0</v>
      </c>
      <c r="H219" s="852">
        <f t="shared" si="21"/>
        <v>0</v>
      </c>
      <c r="I219" s="852">
        <v>0</v>
      </c>
      <c r="J219" s="852">
        <f>SUM(J220:J222)</f>
        <v>0</v>
      </c>
      <c r="K219" s="852">
        <f>SUM(K220:K222)</f>
        <v>0</v>
      </c>
      <c r="L219" s="852">
        <f>SUM(L220:L222)</f>
        <v>0</v>
      </c>
      <c r="M219" s="852">
        <f t="shared" si="22"/>
        <v>0</v>
      </c>
      <c r="N219" s="852">
        <v>0</v>
      </c>
      <c r="O219" s="852">
        <f>SUM(O220:O222)</f>
        <v>0</v>
      </c>
      <c r="P219" s="852">
        <f>SUM(P220:P222)</f>
        <v>0</v>
      </c>
      <c r="Q219" s="852">
        <f>SUM(Q220:Q222)</f>
        <v>0</v>
      </c>
      <c r="R219" s="852">
        <f t="shared" si="23"/>
        <v>0</v>
      </c>
    </row>
    <row r="220" spans="1:18" s="29" customFormat="1" ht="36" hidden="1" customHeight="1">
      <c r="A220" s="726">
        <v>7131</v>
      </c>
      <c r="B220" s="727" t="s">
        <v>120</v>
      </c>
      <c r="C220" s="840">
        <v>0</v>
      </c>
      <c r="D220" s="840">
        <v>0</v>
      </c>
      <c r="E220" s="852"/>
      <c r="F220" s="852"/>
      <c r="G220" s="852"/>
      <c r="H220" s="852">
        <f t="shared" si="21"/>
        <v>0</v>
      </c>
      <c r="I220" s="852">
        <v>0</v>
      </c>
      <c r="J220" s="852"/>
      <c r="K220" s="852"/>
      <c r="L220" s="852"/>
      <c r="M220" s="852">
        <f t="shared" si="22"/>
        <v>0</v>
      </c>
      <c r="N220" s="852">
        <v>0</v>
      </c>
      <c r="O220" s="852"/>
      <c r="P220" s="852"/>
      <c r="Q220" s="852"/>
      <c r="R220" s="852">
        <f t="shared" si="23"/>
        <v>0</v>
      </c>
    </row>
    <row r="221" spans="1:18" s="29" customFormat="1" ht="36" hidden="1" customHeight="1">
      <c r="A221" s="726">
        <v>7132</v>
      </c>
      <c r="B221" s="727" t="s">
        <v>121</v>
      </c>
      <c r="C221" s="840">
        <v>0</v>
      </c>
      <c r="D221" s="840">
        <v>0</v>
      </c>
      <c r="E221" s="852"/>
      <c r="F221" s="852"/>
      <c r="G221" s="852"/>
      <c r="H221" s="852">
        <f t="shared" si="21"/>
        <v>0</v>
      </c>
      <c r="I221" s="852">
        <v>0</v>
      </c>
      <c r="J221" s="852"/>
      <c r="K221" s="852"/>
      <c r="L221" s="852"/>
      <c r="M221" s="852">
        <f t="shared" si="22"/>
        <v>0</v>
      </c>
      <c r="N221" s="852">
        <v>0</v>
      </c>
      <c r="O221" s="852"/>
      <c r="P221" s="852"/>
      <c r="Q221" s="852"/>
      <c r="R221" s="852">
        <f t="shared" si="23"/>
        <v>0</v>
      </c>
    </row>
    <row r="222" spans="1:18" s="29" customFormat="1" ht="24" hidden="1" customHeight="1">
      <c r="A222" s="726" t="s">
        <v>186</v>
      </c>
      <c r="B222" s="727" t="s">
        <v>187</v>
      </c>
      <c r="C222" s="840">
        <v>0</v>
      </c>
      <c r="D222" s="840">
        <v>0</v>
      </c>
      <c r="E222" s="852"/>
      <c r="F222" s="852"/>
      <c r="G222" s="852"/>
      <c r="H222" s="852">
        <f t="shared" si="21"/>
        <v>0</v>
      </c>
      <c r="I222" s="852">
        <v>0</v>
      </c>
      <c r="J222" s="852"/>
      <c r="K222" s="852"/>
      <c r="L222" s="852"/>
      <c r="M222" s="852">
        <f t="shared" si="22"/>
        <v>0</v>
      </c>
      <c r="N222" s="852">
        <v>0</v>
      </c>
      <c r="O222" s="852"/>
      <c r="P222" s="852"/>
      <c r="Q222" s="852"/>
      <c r="R222" s="852">
        <f t="shared" si="23"/>
        <v>0</v>
      </c>
    </row>
    <row r="223" spans="1:18" s="29" customFormat="1" ht="24" hidden="1" customHeight="1">
      <c r="A223" s="724">
        <v>7300</v>
      </c>
      <c r="B223" s="727" t="s">
        <v>155</v>
      </c>
      <c r="C223" s="840">
        <v>0</v>
      </c>
      <c r="D223" s="840">
        <v>0</v>
      </c>
      <c r="E223" s="852">
        <f>SUM(E224:E226)</f>
        <v>0</v>
      </c>
      <c r="F223" s="852">
        <f>SUM(F224:F226)</f>
        <v>0</v>
      </c>
      <c r="G223" s="852">
        <f>SUM(G224:G226)</f>
        <v>0</v>
      </c>
      <c r="H223" s="852">
        <f t="shared" si="21"/>
        <v>0</v>
      </c>
      <c r="I223" s="852">
        <v>0</v>
      </c>
      <c r="J223" s="852">
        <f>SUM(J224:J226)</f>
        <v>0</v>
      </c>
      <c r="K223" s="852">
        <f>SUM(K224:K226)</f>
        <v>0</v>
      </c>
      <c r="L223" s="852">
        <f>SUM(L224:L226)</f>
        <v>0</v>
      </c>
      <c r="M223" s="852">
        <f t="shared" si="22"/>
        <v>0</v>
      </c>
      <c r="N223" s="852">
        <v>0</v>
      </c>
      <c r="O223" s="852">
        <f>SUM(O224:O226)</f>
        <v>0</v>
      </c>
      <c r="P223" s="852">
        <f>SUM(P224:P226)</f>
        <v>0</v>
      </c>
      <c r="Q223" s="852">
        <f>SUM(Q224:Q226)</f>
        <v>0</v>
      </c>
      <c r="R223" s="852">
        <f t="shared" si="23"/>
        <v>0</v>
      </c>
    </row>
    <row r="224" spans="1:18" s="29" customFormat="1" ht="24" hidden="1" customHeight="1">
      <c r="A224" s="726" t="s">
        <v>188</v>
      </c>
      <c r="B224" s="727" t="s">
        <v>170</v>
      </c>
      <c r="C224" s="843">
        <v>0</v>
      </c>
      <c r="D224" s="843">
        <v>0</v>
      </c>
      <c r="E224" s="854"/>
      <c r="F224" s="854"/>
      <c r="G224" s="854"/>
      <c r="H224" s="852">
        <f t="shared" si="21"/>
        <v>0</v>
      </c>
      <c r="I224" s="854">
        <v>0</v>
      </c>
      <c r="J224" s="854"/>
      <c r="K224" s="854"/>
      <c r="L224" s="854"/>
      <c r="M224" s="852">
        <f t="shared" si="22"/>
        <v>0</v>
      </c>
      <c r="N224" s="854">
        <v>0</v>
      </c>
      <c r="O224" s="854"/>
      <c r="P224" s="854"/>
      <c r="Q224" s="854"/>
      <c r="R224" s="852">
        <f t="shared" si="23"/>
        <v>0</v>
      </c>
    </row>
    <row r="225" spans="1:18" s="29" customFormat="1" ht="48" hidden="1" customHeight="1">
      <c r="A225" s="726" t="s">
        <v>189</v>
      </c>
      <c r="B225" s="727" t="s">
        <v>156</v>
      </c>
      <c r="C225" s="843">
        <v>0</v>
      </c>
      <c r="D225" s="843">
        <v>0</v>
      </c>
      <c r="E225" s="854"/>
      <c r="F225" s="854"/>
      <c r="G225" s="854"/>
      <c r="H225" s="852">
        <f t="shared" si="21"/>
        <v>0</v>
      </c>
      <c r="I225" s="854">
        <v>0</v>
      </c>
      <c r="J225" s="854"/>
      <c r="K225" s="854"/>
      <c r="L225" s="854"/>
      <c r="M225" s="852">
        <f t="shared" si="22"/>
        <v>0</v>
      </c>
      <c r="N225" s="854">
        <v>0</v>
      </c>
      <c r="O225" s="854"/>
      <c r="P225" s="854"/>
      <c r="Q225" s="854"/>
      <c r="R225" s="852">
        <f t="shared" si="23"/>
        <v>0</v>
      </c>
    </row>
    <row r="226" spans="1:18" s="29" customFormat="1" ht="36" hidden="1" customHeight="1">
      <c r="A226" s="726">
        <v>7350</v>
      </c>
      <c r="B226" s="727" t="s">
        <v>163</v>
      </c>
      <c r="C226" s="843">
        <v>0</v>
      </c>
      <c r="D226" s="843">
        <v>0</v>
      </c>
      <c r="E226" s="854"/>
      <c r="F226" s="854"/>
      <c r="G226" s="854"/>
      <c r="H226" s="852">
        <f t="shared" si="21"/>
        <v>0</v>
      </c>
      <c r="I226" s="854">
        <v>0</v>
      </c>
      <c r="J226" s="854"/>
      <c r="K226" s="854"/>
      <c r="L226" s="854"/>
      <c r="M226" s="852">
        <f t="shared" si="22"/>
        <v>0</v>
      </c>
      <c r="N226" s="854">
        <v>0</v>
      </c>
      <c r="O226" s="854"/>
      <c r="P226" s="854"/>
      <c r="Q226" s="854"/>
      <c r="R226" s="852">
        <f t="shared" si="23"/>
        <v>0</v>
      </c>
    </row>
    <row r="227" spans="1:18" s="29" customFormat="1" ht="24" hidden="1" customHeight="1">
      <c r="A227" s="724">
        <v>7400</v>
      </c>
      <c r="B227" s="727" t="s">
        <v>161</v>
      </c>
      <c r="C227" s="840">
        <v>0</v>
      </c>
      <c r="D227" s="840">
        <v>0</v>
      </c>
      <c r="E227" s="852">
        <f>SUM(E228:E229)</f>
        <v>0</v>
      </c>
      <c r="F227" s="852">
        <f>SUM(F228:F229)</f>
        <v>0</v>
      </c>
      <c r="G227" s="852">
        <f>SUM(G228:G229)</f>
        <v>0</v>
      </c>
      <c r="H227" s="852">
        <f t="shared" si="21"/>
        <v>0</v>
      </c>
      <c r="I227" s="852">
        <v>0</v>
      </c>
      <c r="J227" s="852">
        <f>SUM(J228:J229)</f>
        <v>0</v>
      </c>
      <c r="K227" s="852">
        <f>SUM(K228:K229)</f>
        <v>0</v>
      </c>
      <c r="L227" s="852">
        <f>SUM(L228:L229)</f>
        <v>0</v>
      </c>
      <c r="M227" s="852">
        <f t="shared" si="22"/>
        <v>0</v>
      </c>
      <c r="N227" s="852">
        <v>0</v>
      </c>
      <c r="O227" s="852">
        <f>SUM(O228:O229)</f>
        <v>0</v>
      </c>
      <c r="P227" s="852">
        <f>SUM(P228:P229)</f>
        <v>0</v>
      </c>
      <c r="Q227" s="852">
        <f>SUM(Q228:Q229)</f>
        <v>0</v>
      </c>
      <c r="R227" s="852">
        <f t="shared" si="23"/>
        <v>0</v>
      </c>
    </row>
    <row r="228" spans="1:18" s="29" customFormat="1" ht="24" hidden="1" customHeight="1">
      <c r="A228" s="726">
        <v>7460</v>
      </c>
      <c r="B228" s="727" t="s">
        <v>162</v>
      </c>
      <c r="C228" s="843">
        <v>0</v>
      </c>
      <c r="D228" s="843">
        <v>0</v>
      </c>
      <c r="E228" s="854"/>
      <c r="F228" s="854"/>
      <c r="G228" s="854"/>
      <c r="H228" s="852">
        <f t="shared" si="21"/>
        <v>0</v>
      </c>
      <c r="I228" s="854">
        <v>0</v>
      </c>
      <c r="J228" s="854"/>
      <c r="K228" s="854"/>
      <c r="L228" s="854"/>
      <c r="M228" s="852">
        <f t="shared" si="22"/>
        <v>0</v>
      </c>
      <c r="N228" s="854">
        <v>0</v>
      </c>
      <c r="O228" s="854"/>
      <c r="P228" s="854"/>
      <c r="Q228" s="854"/>
      <c r="R228" s="852">
        <f t="shared" si="23"/>
        <v>0</v>
      </c>
    </row>
    <row r="229" spans="1:18" s="29" customFormat="1" ht="48" hidden="1" customHeight="1">
      <c r="A229" s="726">
        <v>7470</v>
      </c>
      <c r="B229" s="727" t="s">
        <v>167</v>
      </c>
      <c r="C229" s="843">
        <v>0</v>
      </c>
      <c r="D229" s="843">
        <v>0</v>
      </c>
      <c r="E229" s="854"/>
      <c r="F229" s="854"/>
      <c r="G229" s="854"/>
      <c r="H229" s="852">
        <f t="shared" si="21"/>
        <v>0</v>
      </c>
      <c r="I229" s="854">
        <v>0</v>
      </c>
      <c r="J229" s="854"/>
      <c r="K229" s="854"/>
      <c r="L229" s="854"/>
      <c r="M229" s="852">
        <f t="shared" si="22"/>
        <v>0</v>
      </c>
      <c r="N229" s="854">
        <v>0</v>
      </c>
      <c r="O229" s="854"/>
      <c r="P229" s="854"/>
      <c r="Q229" s="854"/>
      <c r="R229" s="852">
        <f t="shared" si="23"/>
        <v>0</v>
      </c>
    </row>
    <row r="230" spans="1:18" s="29" customFormat="1" ht="24">
      <c r="A230" s="724">
        <v>7500</v>
      </c>
      <c r="B230" s="727" t="s">
        <v>157</v>
      </c>
      <c r="C230" s="840">
        <v>1296304</v>
      </c>
      <c r="D230" s="840">
        <v>0</v>
      </c>
      <c r="E230" s="852"/>
      <c r="F230" s="852"/>
      <c r="G230" s="852"/>
      <c r="H230" s="852">
        <f t="shared" si="21"/>
        <v>0</v>
      </c>
      <c r="I230" s="852">
        <v>0</v>
      </c>
      <c r="J230" s="852"/>
      <c r="K230" s="852"/>
      <c r="L230" s="852"/>
      <c r="M230" s="852">
        <f t="shared" si="22"/>
        <v>0</v>
      </c>
      <c r="N230" s="852">
        <v>0</v>
      </c>
      <c r="O230" s="852"/>
      <c r="P230" s="852"/>
      <c r="Q230" s="852"/>
      <c r="R230" s="852">
        <f t="shared" si="23"/>
        <v>0</v>
      </c>
    </row>
    <row r="231" spans="1:18" s="29" customFormat="1" ht="12">
      <c r="A231" s="722" t="s">
        <v>133</v>
      </c>
      <c r="B231" s="723" t="s">
        <v>122</v>
      </c>
      <c r="C231" s="844">
        <v>177210098</v>
      </c>
      <c r="D231" s="844">
        <v>175831662</v>
      </c>
      <c r="E231" s="855">
        <f>E232+E233</f>
        <v>0</v>
      </c>
      <c r="F231" s="855">
        <f>F232+F233</f>
        <v>0</v>
      </c>
      <c r="G231" s="855">
        <f>G232+G233</f>
        <v>0</v>
      </c>
      <c r="H231" s="852">
        <f t="shared" si="21"/>
        <v>175831662</v>
      </c>
      <c r="I231" s="855">
        <v>17859230</v>
      </c>
      <c r="J231" s="855">
        <f>J232+J233</f>
        <v>0</v>
      </c>
      <c r="K231" s="855">
        <f>K232+K233</f>
        <v>0</v>
      </c>
      <c r="L231" s="855">
        <f>L232+L233</f>
        <v>0</v>
      </c>
      <c r="M231" s="852">
        <f t="shared" si="22"/>
        <v>17859230</v>
      </c>
      <c r="N231" s="855">
        <v>4550</v>
      </c>
      <c r="O231" s="855">
        <f>O232+O233</f>
        <v>0</v>
      </c>
      <c r="P231" s="855">
        <f>P232+P233</f>
        <v>0</v>
      </c>
      <c r="Q231" s="855">
        <f>Q232+Q233</f>
        <v>0</v>
      </c>
      <c r="R231" s="852">
        <f t="shared" si="23"/>
        <v>4550</v>
      </c>
    </row>
    <row r="232" spans="1:18" s="29" customFormat="1" ht="12">
      <c r="A232" s="722">
        <v>5000</v>
      </c>
      <c r="B232" s="723" t="s">
        <v>123</v>
      </c>
      <c r="C232" s="840">
        <v>93960667</v>
      </c>
      <c r="D232" s="840">
        <v>71096028</v>
      </c>
      <c r="E232" s="852"/>
      <c r="F232" s="852"/>
      <c r="G232" s="852"/>
      <c r="H232" s="852">
        <f t="shared" si="21"/>
        <v>71096028</v>
      </c>
      <c r="I232" s="852">
        <v>4550</v>
      </c>
      <c r="J232" s="852"/>
      <c r="K232" s="852"/>
      <c r="L232" s="852"/>
      <c r="M232" s="852">
        <f t="shared" si="22"/>
        <v>4550</v>
      </c>
      <c r="N232" s="852">
        <v>4550</v>
      </c>
      <c r="O232" s="852"/>
      <c r="P232" s="852"/>
      <c r="Q232" s="852"/>
      <c r="R232" s="852">
        <f t="shared" si="23"/>
        <v>4550</v>
      </c>
    </row>
    <row r="233" spans="1:18" s="29" customFormat="1" ht="12">
      <c r="A233" s="722">
        <v>9000</v>
      </c>
      <c r="B233" s="734" t="s">
        <v>164</v>
      </c>
      <c r="C233" s="840">
        <v>83249431</v>
      </c>
      <c r="D233" s="840">
        <v>104735634</v>
      </c>
      <c r="E233" s="852">
        <f>E234+E240+E244+E247</f>
        <v>0</v>
      </c>
      <c r="F233" s="852">
        <f>F234+F240+F244+F247</f>
        <v>0</v>
      </c>
      <c r="G233" s="852">
        <f>G234+G240+G244+G247</f>
        <v>0</v>
      </c>
      <c r="H233" s="852">
        <f t="shared" si="21"/>
        <v>104735634</v>
      </c>
      <c r="I233" s="852">
        <v>17854680</v>
      </c>
      <c r="J233" s="852">
        <f>J234+J240+J244+J247</f>
        <v>0</v>
      </c>
      <c r="K233" s="852">
        <f>K234+K240+K244+K247</f>
        <v>0</v>
      </c>
      <c r="L233" s="852">
        <f>L234+L240+L244+L247</f>
        <v>0</v>
      </c>
      <c r="M233" s="852">
        <f t="shared" si="22"/>
        <v>17854680</v>
      </c>
      <c r="N233" s="852">
        <v>0</v>
      </c>
      <c r="O233" s="852">
        <f>O234+O240+O244+O247</f>
        <v>0</v>
      </c>
      <c r="P233" s="852">
        <f>P234+P240+P244+P247</f>
        <v>0</v>
      </c>
      <c r="Q233" s="852">
        <f>Q234+Q240+Q244+Q247</f>
        <v>0</v>
      </c>
      <c r="R233" s="852">
        <f t="shared" si="23"/>
        <v>0</v>
      </c>
    </row>
    <row r="234" spans="1:18" s="29" customFormat="1" ht="12" hidden="1" customHeight="1">
      <c r="A234" s="726">
        <v>9100</v>
      </c>
      <c r="B234" s="727" t="s">
        <v>124</v>
      </c>
      <c r="C234" s="840">
        <v>0</v>
      </c>
      <c r="D234" s="840">
        <v>0</v>
      </c>
      <c r="E234" s="852">
        <f>SUM(E235:E236)</f>
        <v>0</v>
      </c>
      <c r="F234" s="852">
        <f>SUM(F235:F236)</f>
        <v>0</v>
      </c>
      <c r="G234" s="852">
        <f>SUM(G235:G236)</f>
        <v>0</v>
      </c>
      <c r="H234" s="852">
        <f t="shared" si="21"/>
        <v>0</v>
      </c>
      <c r="I234" s="852">
        <v>0</v>
      </c>
      <c r="J234" s="852">
        <f>SUM(J235:J236)</f>
        <v>0</v>
      </c>
      <c r="K234" s="852">
        <f>SUM(K235:K236)</f>
        <v>0</v>
      </c>
      <c r="L234" s="852">
        <f>SUM(L235:L236)</f>
        <v>0</v>
      </c>
      <c r="M234" s="852">
        <f t="shared" si="22"/>
        <v>0</v>
      </c>
      <c r="N234" s="852">
        <v>0</v>
      </c>
      <c r="O234" s="852">
        <f>SUM(O235:O236)</f>
        <v>0</v>
      </c>
      <c r="P234" s="852">
        <f>SUM(P235:P236)</f>
        <v>0</v>
      </c>
      <c r="Q234" s="852">
        <f>SUM(Q235:Q236)</f>
        <v>0</v>
      </c>
      <c r="R234" s="852">
        <f t="shared" si="23"/>
        <v>0</v>
      </c>
    </row>
    <row r="235" spans="1:18" s="29" customFormat="1" ht="24" hidden="1" customHeight="1">
      <c r="A235" s="726" t="s">
        <v>125</v>
      </c>
      <c r="B235" s="727" t="s">
        <v>214</v>
      </c>
      <c r="C235" s="840">
        <v>0</v>
      </c>
      <c r="D235" s="840">
        <v>0</v>
      </c>
      <c r="E235" s="852"/>
      <c r="F235" s="852"/>
      <c r="G235" s="852"/>
      <c r="H235" s="852">
        <f t="shared" si="21"/>
        <v>0</v>
      </c>
      <c r="I235" s="852">
        <v>0</v>
      </c>
      <c r="J235" s="852"/>
      <c r="K235" s="852"/>
      <c r="L235" s="852"/>
      <c r="M235" s="852">
        <f t="shared" si="22"/>
        <v>0</v>
      </c>
      <c r="N235" s="852">
        <v>0</v>
      </c>
      <c r="O235" s="852"/>
      <c r="P235" s="852"/>
      <c r="Q235" s="852"/>
      <c r="R235" s="852">
        <f t="shared" si="23"/>
        <v>0</v>
      </c>
    </row>
    <row r="236" spans="1:18" s="29" customFormat="1" ht="24" hidden="1" customHeight="1">
      <c r="A236" s="726">
        <v>9140</v>
      </c>
      <c r="B236" s="727" t="s">
        <v>215</v>
      </c>
      <c r="C236" s="840">
        <v>0</v>
      </c>
      <c r="D236" s="840">
        <v>0</v>
      </c>
      <c r="E236" s="852">
        <f>SUM(E237:E239)</f>
        <v>0</v>
      </c>
      <c r="F236" s="852">
        <f>SUM(F237:F239)</f>
        <v>0</v>
      </c>
      <c r="G236" s="852">
        <f>SUM(G237:G239)</f>
        <v>0</v>
      </c>
      <c r="H236" s="852">
        <f t="shared" si="21"/>
        <v>0</v>
      </c>
      <c r="I236" s="852">
        <v>0</v>
      </c>
      <c r="J236" s="852">
        <f>SUM(J237:J239)</f>
        <v>0</v>
      </c>
      <c r="K236" s="852">
        <f>SUM(K237:K239)</f>
        <v>0</v>
      </c>
      <c r="L236" s="852">
        <f>SUM(L237:L239)</f>
        <v>0</v>
      </c>
      <c r="M236" s="852">
        <f t="shared" si="22"/>
        <v>0</v>
      </c>
      <c r="N236" s="852">
        <v>0</v>
      </c>
      <c r="O236" s="852">
        <f>SUM(O237:O239)</f>
        <v>0</v>
      </c>
      <c r="P236" s="852">
        <f>SUM(P237:P239)</f>
        <v>0</v>
      </c>
      <c r="Q236" s="852">
        <f>SUM(Q237:Q239)</f>
        <v>0</v>
      </c>
      <c r="R236" s="852">
        <f t="shared" si="23"/>
        <v>0</v>
      </c>
    </row>
    <row r="237" spans="1:18" s="29" customFormat="1" ht="36" hidden="1" customHeight="1">
      <c r="A237" s="726">
        <v>9141</v>
      </c>
      <c r="B237" s="727" t="s">
        <v>190</v>
      </c>
      <c r="C237" s="843">
        <v>0</v>
      </c>
      <c r="D237" s="843">
        <v>0</v>
      </c>
      <c r="E237" s="854"/>
      <c r="F237" s="854"/>
      <c r="G237" s="854"/>
      <c r="H237" s="852">
        <f t="shared" si="21"/>
        <v>0</v>
      </c>
      <c r="I237" s="854">
        <v>0</v>
      </c>
      <c r="J237" s="854"/>
      <c r="K237" s="854"/>
      <c r="L237" s="854"/>
      <c r="M237" s="852">
        <f t="shared" si="22"/>
        <v>0</v>
      </c>
      <c r="N237" s="854">
        <v>0</v>
      </c>
      <c r="O237" s="854"/>
      <c r="P237" s="854"/>
      <c r="Q237" s="854"/>
      <c r="R237" s="852">
        <f t="shared" si="23"/>
        <v>0</v>
      </c>
    </row>
    <row r="238" spans="1:18" s="29" customFormat="1" ht="36" hidden="1" customHeight="1">
      <c r="A238" s="726">
        <v>9142</v>
      </c>
      <c r="B238" s="727" t="s">
        <v>191</v>
      </c>
      <c r="C238" s="843">
        <v>0</v>
      </c>
      <c r="D238" s="843">
        <v>0</v>
      </c>
      <c r="E238" s="854"/>
      <c r="F238" s="854"/>
      <c r="G238" s="854"/>
      <c r="H238" s="852">
        <f t="shared" si="21"/>
        <v>0</v>
      </c>
      <c r="I238" s="854">
        <v>0</v>
      </c>
      <c r="J238" s="854"/>
      <c r="K238" s="854"/>
      <c r="L238" s="854"/>
      <c r="M238" s="852">
        <f t="shared" si="22"/>
        <v>0</v>
      </c>
      <c r="N238" s="854">
        <v>0</v>
      </c>
      <c r="O238" s="854"/>
      <c r="P238" s="854"/>
      <c r="Q238" s="854"/>
      <c r="R238" s="852">
        <f t="shared" si="23"/>
        <v>0</v>
      </c>
    </row>
    <row r="239" spans="1:18" s="29" customFormat="1" ht="24" hidden="1" customHeight="1">
      <c r="A239" s="726">
        <v>9149</v>
      </c>
      <c r="B239" s="727" t="s">
        <v>192</v>
      </c>
      <c r="C239" s="843">
        <v>0</v>
      </c>
      <c r="D239" s="843">
        <v>0</v>
      </c>
      <c r="E239" s="854"/>
      <c r="F239" s="854"/>
      <c r="G239" s="854"/>
      <c r="H239" s="852">
        <f t="shared" si="21"/>
        <v>0</v>
      </c>
      <c r="I239" s="854">
        <v>0</v>
      </c>
      <c r="J239" s="854"/>
      <c r="K239" s="854"/>
      <c r="L239" s="854"/>
      <c r="M239" s="852">
        <f t="shared" si="22"/>
        <v>0</v>
      </c>
      <c r="N239" s="854">
        <v>0</v>
      </c>
      <c r="O239" s="854"/>
      <c r="P239" s="854"/>
      <c r="Q239" s="854"/>
      <c r="R239" s="852">
        <f t="shared" si="23"/>
        <v>0</v>
      </c>
    </row>
    <row r="240" spans="1:18" s="29" customFormat="1" ht="24">
      <c r="A240" s="726">
        <v>9500</v>
      </c>
      <c r="B240" s="727" t="s">
        <v>165</v>
      </c>
      <c r="C240" s="840">
        <v>18275847</v>
      </c>
      <c r="D240" s="840">
        <v>8655717</v>
      </c>
      <c r="E240" s="852">
        <f>SUM(E241:E243)</f>
        <v>0</v>
      </c>
      <c r="F240" s="852">
        <f>SUM(F241:F243)</f>
        <v>0</v>
      </c>
      <c r="G240" s="852">
        <f>SUM(G241:G243)</f>
        <v>0</v>
      </c>
      <c r="H240" s="852">
        <f t="shared" si="21"/>
        <v>8655717</v>
      </c>
      <c r="I240" s="852">
        <v>593589</v>
      </c>
      <c r="J240" s="852">
        <f>SUM(J241:J243)</f>
        <v>0</v>
      </c>
      <c r="K240" s="852">
        <f>SUM(K241:K243)</f>
        <v>0</v>
      </c>
      <c r="L240" s="852">
        <f>SUM(L241:L243)</f>
        <v>0</v>
      </c>
      <c r="M240" s="852">
        <f t="shared" si="22"/>
        <v>593589</v>
      </c>
      <c r="N240" s="852">
        <v>0</v>
      </c>
      <c r="O240" s="852">
        <f>SUM(O241:O243)</f>
        <v>0</v>
      </c>
      <c r="P240" s="852">
        <f>SUM(P241:P243)</f>
        <v>0</v>
      </c>
      <c r="Q240" s="852">
        <f>SUM(Q241:Q243)</f>
        <v>0</v>
      </c>
      <c r="R240" s="852">
        <f t="shared" si="23"/>
        <v>0</v>
      </c>
    </row>
    <row r="241" spans="1:18" s="29" customFormat="1" ht="24" hidden="1" customHeight="1">
      <c r="A241" s="726" t="s">
        <v>193</v>
      </c>
      <c r="B241" s="727" t="s">
        <v>171</v>
      </c>
      <c r="C241" s="840">
        <v>0</v>
      </c>
      <c r="D241" s="840">
        <v>0</v>
      </c>
      <c r="E241" s="852"/>
      <c r="F241" s="852"/>
      <c r="G241" s="852"/>
      <c r="H241" s="852">
        <f t="shared" si="21"/>
        <v>0</v>
      </c>
      <c r="I241" s="852">
        <v>0</v>
      </c>
      <c r="J241" s="852"/>
      <c r="K241" s="852"/>
      <c r="L241" s="852"/>
      <c r="M241" s="852">
        <f t="shared" si="22"/>
        <v>0</v>
      </c>
      <c r="N241" s="852">
        <v>0</v>
      </c>
      <c r="O241" s="852"/>
      <c r="P241" s="852"/>
      <c r="Q241" s="852"/>
      <c r="R241" s="852">
        <f t="shared" si="23"/>
        <v>0</v>
      </c>
    </row>
    <row r="242" spans="1:18" s="29" customFormat="1" ht="48">
      <c r="A242" s="726">
        <v>9580</v>
      </c>
      <c r="B242" s="727" t="s">
        <v>166</v>
      </c>
      <c r="C242" s="843">
        <v>18275847</v>
      </c>
      <c r="D242" s="843">
        <v>8655717</v>
      </c>
      <c r="E242" s="854"/>
      <c r="F242" s="854"/>
      <c r="G242" s="854"/>
      <c r="H242" s="852">
        <f t="shared" si="21"/>
        <v>8655717</v>
      </c>
      <c r="I242" s="854">
        <v>593589</v>
      </c>
      <c r="J242" s="854"/>
      <c r="K242" s="854"/>
      <c r="L242" s="854"/>
      <c r="M242" s="852">
        <f t="shared" si="22"/>
        <v>593589</v>
      </c>
      <c r="N242" s="854">
        <v>0</v>
      </c>
      <c r="O242" s="854"/>
      <c r="P242" s="854"/>
      <c r="Q242" s="854"/>
      <c r="R242" s="852">
        <f t="shared" si="23"/>
        <v>0</v>
      </c>
    </row>
    <row r="243" spans="1:18" s="29" customFormat="1" ht="48" hidden="1" customHeight="1">
      <c r="A243" s="726">
        <v>9590</v>
      </c>
      <c r="B243" s="727" t="s">
        <v>172</v>
      </c>
      <c r="C243" s="843">
        <v>0</v>
      </c>
      <c r="D243" s="843">
        <v>0</v>
      </c>
      <c r="E243" s="854"/>
      <c r="F243" s="854"/>
      <c r="G243" s="854"/>
      <c r="H243" s="852">
        <f t="shared" si="21"/>
        <v>0</v>
      </c>
      <c r="I243" s="854">
        <v>0</v>
      </c>
      <c r="J243" s="854"/>
      <c r="K243" s="854"/>
      <c r="L243" s="854"/>
      <c r="M243" s="852">
        <f t="shared" si="22"/>
        <v>0</v>
      </c>
      <c r="N243" s="854">
        <v>0</v>
      </c>
      <c r="O243" s="854"/>
      <c r="P243" s="854"/>
      <c r="Q243" s="854"/>
      <c r="R243" s="852">
        <f t="shared" si="23"/>
        <v>0</v>
      </c>
    </row>
    <row r="244" spans="1:18" s="29" customFormat="1" ht="24" hidden="1" customHeight="1">
      <c r="A244" s="726">
        <v>9700</v>
      </c>
      <c r="B244" s="735" t="s">
        <v>194</v>
      </c>
      <c r="C244" s="840">
        <v>0</v>
      </c>
      <c r="D244" s="840">
        <v>0</v>
      </c>
      <c r="E244" s="852">
        <f>SUM(E245:E246)</f>
        <v>0</v>
      </c>
      <c r="F244" s="852">
        <f>SUM(F245:F246)</f>
        <v>0</v>
      </c>
      <c r="G244" s="852">
        <f>SUM(G245:G246)</f>
        <v>0</v>
      </c>
      <c r="H244" s="852">
        <f t="shared" si="21"/>
        <v>0</v>
      </c>
      <c r="I244" s="852">
        <v>0</v>
      </c>
      <c r="J244" s="852">
        <f>SUM(J245:J246)</f>
        <v>0</v>
      </c>
      <c r="K244" s="852">
        <f>SUM(K245:K246)</f>
        <v>0</v>
      </c>
      <c r="L244" s="852">
        <f>SUM(L245:L246)</f>
        <v>0</v>
      </c>
      <c r="M244" s="852">
        <f t="shared" si="22"/>
        <v>0</v>
      </c>
      <c r="N244" s="852">
        <v>0</v>
      </c>
      <c r="O244" s="852">
        <f>SUM(O245:O246)</f>
        <v>0</v>
      </c>
      <c r="P244" s="852">
        <f>SUM(P245:P246)</f>
        <v>0</v>
      </c>
      <c r="Q244" s="852">
        <f>SUM(Q245:Q246)</f>
        <v>0</v>
      </c>
      <c r="R244" s="852">
        <f t="shared" si="23"/>
        <v>0</v>
      </c>
    </row>
    <row r="245" spans="1:18" s="29" customFormat="1" ht="24" hidden="1" customHeight="1">
      <c r="A245" s="726">
        <v>9710</v>
      </c>
      <c r="B245" s="735" t="s">
        <v>195</v>
      </c>
      <c r="C245" s="843">
        <v>0</v>
      </c>
      <c r="D245" s="843">
        <v>0</v>
      </c>
      <c r="E245" s="854"/>
      <c r="F245" s="854"/>
      <c r="G245" s="854"/>
      <c r="H245" s="852">
        <f t="shared" si="21"/>
        <v>0</v>
      </c>
      <c r="I245" s="854">
        <v>0</v>
      </c>
      <c r="J245" s="854"/>
      <c r="K245" s="854"/>
      <c r="L245" s="854"/>
      <c r="M245" s="852">
        <f t="shared" si="22"/>
        <v>0</v>
      </c>
      <c r="N245" s="854">
        <v>0</v>
      </c>
      <c r="O245" s="854"/>
      <c r="P245" s="854"/>
      <c r="Q245" s="854"/>
      <c r="R245" s="852">
        <f t="shared" si="23"/>
        <v>0</v>
      </c>
    </row>
    <row r="246" spans="1:18" s="29" customFormat="1" ht="48" hidden="1" customHeight="1">
      <c r="A246" s="726">
        <v>9720</v>
      </c>
      <c r="B246" s="735" t="s">
        <v>196</v>
      </c>
      <c r="C246" s="843">
        <v>0</v>
      </c>
      <c r="D246" s="843">
        <v>0</v>
      </c>
      <c r="E246" s="854"/>
      <c r="F246" s="854"/>
      <c r="G246" s="854"/>
      <c r="H246" s="852">
        <f t="shared" si="21"/>
        <v>0</v>
      </c>
      <c r="I246" s="854">
        <v>0</v>
      </c>
      <c r="J246" s="854"/>
      <c r="K246" s="854"/>
      <c r="L246" s="854"/>
      <c r="M246" s="852">
        <f t="shared" si="22"/>
        <v>0</v>
      </c>
      <c r="N246" s="854">
        <v>0</v>
      </c>
      <c r="O246" s="854"/>
      <c r="P246" s="854"/>
      <c r="Q246" s="854"/>
      <c r="R246" s="852">
        <f t="shared" si="23"/>
        <v>0</v>
      </c>
    </row>
    <row r="247" spans="1:18" s="29" customFormat="1" ht="24">
      <c r="A247" s="726">
        <v>9600</v>
      </c>
      <c r="B247" s="727" t="s">
        <v>134</v>
      </c>
      <c r="C247" s="843">
        <v>64973584</v>
      </c>
      <c r="D247" s="843">
        <v>96079917</v>
      </c>
      <c r="E247" s="854"/>
      <c r="F247" s="854"/>
      <c r="G247" s="854"/>
      <c r="H247" s="852">
        <f t="shared" si="21"/>
        <v>96079917</v>
      </c>
      <c r="I247" s="854">
        <v>17261091</v>
      </c>
      <c r="J247" s="854"/>
      <c r="K247" s="854"/>
      <c r="L247" s="854"/>
      <c r="M247" s="852">
        <f t="shared" si="22"/>
        <v>17261091</v>
      </c>
      <c r="N247" s="854">
        <v>0</v>
      </c>
      <c r="O247" s="854"/>
      <c r="P247" s="854"/>
      <c r="Q247" s="854"/>
      <c r="R247" s="852">
        <f t="shared" si="23"/>
        <v>0</v>
      </c>
    </row>
    <row r="248" spans="1:18" s="29" customFormat="1" ht="30.6">
      <c r="A248" s="722" t="s">
        <v>197</v>
      </c>
      <c r="B248" s="734" t="s">
        <v>47</v>
      </c>
      <c r="C248" s="845">
        <v>-905644</v>
      </c>
      <c r="D248" s="845">
        <v>0</v>
      </c>
      <c r="E248" s="856">
        <f>E178-E203</f>
        <v>0</v>
      </c>
      <c r="F248" s="856">
        <f>F178-F203</f>
        <v>0</v>
      </c>
      <c r="G248" s="856">
        <f>G178-G203</f>
        <v>0</v>
      </c>
      <c r="H248" s="852">
        <f t="shared" si="21"/>
        <v>0</v>
      </c>
      <c r="I248" s="856">
        <v>0</v>
      </c>
      <c r="J248" s="856">
        <f>J178-J203</f>
        <v>0</v>
      </c>
      <c r="K248" s="856">
        <f>K178-K203</f>
        <v>0</v>
      </c>
      <c r="L248" s="856">
        <f>L178-L203</f>
        <v>0</v>
      </c>
      <c r="M248" s="852">
        <f t="shared" si="22"/>
        <v>0</v>
      </c>
      <c r="N248" s="856">
        <v>0</v>
      </c>
      <c r="O248" s="856">
        <f>O178-O203</f>
        <v>0</v>
      </c>
      <c r="P248" s="856">
        <f>P178-P203</f>
        <v>0</v>
      </c>
      <c r="Q248" s="856">
        <f>Q178-Q203</f>
        <v>0</v>
      </c>
      <c r="R248" s="852">
        <f t="shared" si="23"/>
        <v>0</v>
      </c>
    </row>
    <row r="249" spans="1:18" s="29" customFormat="1" ht="12">
      <c r="A249" s="736" t="s">
        <v>48</v>
      </c>
      <c r="B249" s="734" t="s">
        <v>49</v>
      </c>
      <c r="C249" s="839">
        <v>905644</v>
      </c>
      <c r="D249" s="839">
        <v>0</v>
      </c>
      <c r="E249" s="856">
        <f>E250+E253+E257+E256</f>
        <v>0</v>
      </c>
      <c r="F249" s="856">
        <f>F250+F253+F257+F256</f>
        <v>0</v>
      </c>
      <c r="G249" s="856">
        <f>G250+G253+G257+G256</f>
        <v>0</v>
      </c>
      <c r="H249" s="852">
        <f t="shared" si="21"/>
        <v>0</v>
      </c>
      <c r="I249" s="856">
        <v>0</v>
      </c>
      <c r="J249" s="856">
        <f>J250+J253+J257+J256</f>
        <v>0</v>
      </c>
      <c r="K249" s="856">
        <f>K250+K253+K257+K256</f>
        <v>0</v>
      </c>
      <c r="L249" s="856">
        <f>L250+L253+L257+L256</f>
        <v>0</v>
      </c>
      <c r="M249" s="852">
        <f t="shared" si="22"/>
        <v>0</v>
      </c>
      <c r="N249" s="856">
        <v>0</v>
      </c>
      <c r="O249" s="856">
        <f>O250+O253+O257+O256</f>
        <v>0</v>
      </c>
      <c r="P249" s="856">
        <f>P250+P253+P257+P256</f>
        <v>0</v>
      </c>
      <c r="Q249" s="856">
        <f>Q250+Q253+Q257+Q256</f>
        <v>0</v>
      </c>
      <c r="R249" s="852">
        <f t="shared" si="23"/>
        <v>0</v>
      </c>
    </row>
    <row r="250" spans="1:18" s="29" customFormat="1" ht="12" hidden="1" customHeight="1">
      <c r="A250" s="726" t="s">
        <v>50</v>
      </c>
      <c r="B250" s="727" t="s">
        <v>51</v>
      </c>
      <c r="C250" s="839">
        <v>0</v>
      </c>
      <c r="D250" s="839">
        <v>0</v>
      </c>
      <c r="E250" s="851">
        <f>E251+E252</f>
        <v>0</v>
      </c>
      <c r="F250" s="851">
        <f>F251+F252</f>
        <v>0</v>
      </c>
      <c r="G250" s="851">
        <f>G251+G252</f>
        <v>0</v>
      </c>
      <c r="H250" s="852">
        <f t="shared" si="21"/>
        <v>0</v>
      </c>
      <c r="I250" s="851">
        <v>0</v>
      </c>
      <c r="J250" s="851">
        <f>J251+J252</f>
        <v>0</v>
      </c>
      <c r="K250" s="851">
        <f>K251+K252</f>
        <v>0</v>
      </c>
      <c r="L250" s="851">
        <f>L251+L252</f>
        <v>0</v>
      </c>
      <c r="M250" s="852">
        <f t="shared" si="22"/>
        <v>0</v>
      </c>
      <c r="N250" s="851">
        <v>0</v>
      </c>
      <c r="O250" s="851">
        <f>O251+O252</f>
        <v>0</v>
      </c>
      <c r="P250" s="851">
        <f>P251+P252</f>
        <v>0</v>
      </c>
      <c r="Q250" s="851">
        <f>Q251+Q252</f>
        <v>0</v>
      </c>
      <c r="R250" s="852">
        <f t="shared" si="23"/>
        <v>0</v>
      </c>
    </row>
    <row r="251" spans="1:18" s="29" customFormat="1" ht="12" hidden="1" customHeight="1">
      <c r="A251" s="726" t="s">
        <v>52</v>
      </c>
      <c r="B251" s="727" t="s">
        <v>53</v>
      </c>
      <c r="C251" s="839">
        <v>0</v>
      </c>
      <c r="D251" s="839">
        <v>0</v>
      </c>
      <c r="E251" s="851"/>
      <c r="F251" s="851"/>
      <c r="G251" s="851"/>
      <c r="H251" s="852">
        <f t="shared" si="21"/>
        <v>0</v>
      </c>
      <c r="I251" s="851">
        <v>0</v>
      </c>
      <c r="J251" s="851"/>
      <c r="K251" s="851"/>
      <c r="L251" s="851"/>
      <c r="M251" s="852">
        <f t="shared" si="22"/>
        <v>0</v>
      </c>
      <c r="N251" s="851">
        <v>0</v>
      </c>
      <c r="O251" s="851"/>
      <c r="P251" s="851"/>
      <c r="Q251" s="851"/>
      <c r="R251" s="852">
        <f t="shared" si="23"/>
        <v>0</v>
      </c>
    </row>
    <row r="252" spans="1:18" s="29" customFormat="1" ht="12" hidden="1" customHeight="1">
      <c r="A252" s="726" t="s">
        <v>54</v>
      </c>
      <c r="B252" s="727" t="s">
        <v>55</v>
      </c>
      <c r="C252" s="839">
        <v>0</v>
      </c>
      <c r="D252" s="839">
        <v>0</v>
      </c>
      <c r="E252" s="851"/>
      <c r="F252" s="851"/>
      <c r="G252" s="851"/>
      <c r="H252" s="852">
        <f t="shared" si="21"/>
        <v>0</v>
      </c>
      <c r="I252" s="851">
        <v>0</v>
      </c>
      <c r="J252" s="851"/>
      <c r="K252" s="851"/>
      <c r="L252" s="851"/>
      <c r="M252" s="852">
        <f t="shared" si="22"/>
        <v>0</v>
      </c>
      <c r="N252" s="851">
        <v>0</v>
      </c>
      <c r="O252" s="851"/>
      <c r="P252" s="851"/>
      <c r="Q252" s="851"/>
      <c r="R252" s="852">
        <f t="shared" si="23"/>
        <v>0</v>
      </c>
    </row>
    <row r="253" spans="1:18" s="29" customFormat="1" ht="12" hidden="1" customHeight="1">
      <c r="A253" s="726" t="s">
        <v>56</v>
      </c>
      <c r="B253" s="727" t="s">
        <v>57</v>
      </c>
      <c r="C253" s="839">
        <v>0</v>
      </c>
      <c r="D253" s="839">
        <v>0</v>
      </c>
      <c r="E253" s="851">
        <f>E254+E255</f>
        <v>0</v>
      </c>
      <c r="F253" s="851">
        <f>F254+F255</f>
        <v>0</v>
      </c>
      <c r="G253" s="851">
        <f>G254+G255</f>
        <v>0</v>
      </c>
      <c r="H253" s="852">
        <f t="shared" si="21"/>
        <v>0</v>
      </c>
      <c r="I253" s="851">
        <v>0</v>
      </c>
      <c r="J253" s="851">
        <f>J254+J255</f>
        <v>0</v>
      </c>
      <c r="K253" s="851">
        <f>K254+K255</f>
        <v>0</v>
      </c>
      <c r="L253" s="851">
        <f>L254+L255</f>
        <v>0</v>
      </c>
      <c r="M253" s="852">
        <f t="shared" si="22"/>
        <v>0</v>
      </c>
      <c r="N253" s="851">
        <v>0</v>
      </c>
      <c r="O253" s="851">
        <f>O254+O255</f>
        <v>0</v>
      </c>
      <c r="P253" s="851">
        <f>P254+P255</f>
        <v>0</v>
      </c>
      <c r="Q253" s="851">
        <f>Q254+Q255</f>
        <v>0</v>
      </c>
      <c r="R253" s="852">
        <f t="shared" si="23"/>
        <v>0</v>
      </c>
    </row>
    <row r="254" spans="1:18" s="29" customFormat="1" ht="12" hidden="1" customHeight="1">
      <c r="A254" s="726" t="s">
        <v>58</v>
      </c>
      <c r="B254" s="727" t="s">
        <v>59</v>
      </c>
      <c r="C254" s="839">
        <v>0</v>
      </c>
      <c r="D254" s="839">
        <v>0</v>
      </c>
      <c r="E254" s="851"/>
      <c r="F254" s="851"/>
      <c r="G254" s="851"/>
      <c r="H254" s="852">
        <f t="shared" si="21"/>
        <v>0</v>
      </c>
      <c r="I254" s="851">
        <v>0</v>
      </c>
      <c r="J254" s="851"/>
      <c r="K254" s="851"/>
      <c r="L254" s="851"/>
      <c r="M254" s="852">
        <f t="shared" si="22"/>
        <v>0</v>
      </c>
      <c r="N254" s="851">
        <v>0</v>
      </c>
      <c r="O254" s="851"/>
      <c r="P254" s="851"/>
      <c r="Q254" s="851"/>
      <c r="R254" s="852">
        <f t="shared" si="23"/>
        <v>0</v>
      </c>
    </row>
    <row r="255" spans="1:18" s="29" customFormat="1" ht="12" hidden="1" customHeight="1">
      <c r="A255" s="726" t="s">
        <v>60</v>
      </c>
      <c r="B255" s="727" t="s">
        <v>61</v>
      </c>
      <c r="C255" s="839">
        <v>0</v>
      </c>
      <c r="D255" s="839">
        <v>0</v>
      </c>
      <c r="E255" s="851"/>
      <c r="F255" s="851"/>
      <c r="G255" s="851"/>
      <c r="H255" s="852">
        <f t="shared" si="21"/>
        <v>0</v>
      </c>
      <c r="I255" s="851">
        <v>0</v>
      </c>
      <c r="J255" s="851"/>
      <c r="K255" s="851"/>
      <c r="L255" s="851"/>
      <c r="M255" s="852">
        <f t="shared" si="22"/>
        <v>0</v>
      </c>
      <c r="N255" s="851">
        <v>0</v>
      </c>
      <c r="O255" s="851"/>
      <c r="P255" s="851"/>
      <c r="Q255" s="851"/>
      <c r="R255" s="852">
        <f t="shared" si="23"/>
        <v>0</v>
      </c>
    </row>
    <row r="256" spans="1:18" s="29" customFormat="1" ht="12" hidden="1" customHeight="1">
      <c r="A256" s="726" t="s">
        <v>198</v>
      </c>
      <c r="B256" s="727" t="s">
        <v>168</v>
      </c>
      <c r="C256" s="839">
        <v>0</v>
      </c>
      <c r="D256" s="839">
        <v>0</v>
      </c>
      <c r="E256" s="851"/>
      <c r="F256" s="851"/>
      <c r="G256" s="851"/>
      <c r="H256" s="852">
        <f t="shared" si="21"/>
        <v>0</v>
      </c>
      <c r="I256" s="851">
        <v>0</v>
      </c>
      <c r="J256" s="851"/>
      <c r="K256" s="851"/>
      <c r="L256" s="851"/>
      <c r="M256" s="852">
        <f t="shared" si="22"/>
        <v>0</v>
      </c>
      <c r="N256" s="851">
        <v>0</v>
      </c>
      <c r="O256" s="851"/>
      <c r="P256" s="851"/>
      <c r="Q256" s="851"/>
      <c r="R256" s="852">
        <f t="shared" si="23"/>
        <v>0</v>
      </c>
    </row>
    <row r="257" spans="1:18" s="29" customFormat="1" ht="12">
      <c r="A257" s="737" t="s">
        <v>62</v>
      </c>
      <c r="B257" s="725" t="s">
        <v>63</v>
      </c>
      <c r="C257" s="840">
        <v>905644</v>
      </c>
      <c r="D257" s="840">
        <v>0</v>
      </c>
      <c r="E257" s="852">
        <f>E258+E259+E260</f>
        <v>0</v>
      </c>
      <c r="F257" s="852">
        <f>F258+F259+F260</f>
        <v>0</v>
      </c>
      <c r="G257" s="852">
        <f>G258+G259+G260</f>
        <v>0</v>
      </c>
      <c r="H257" s="852">
        <f t="shared" si="21"/>
        <v>0</v>
      </c>
      <c r="I257" s="852">
        <v>0</v>
      </c>
      <c r="J257" s="852">
        <f>J258+J259+J260</f>
        <v>0</v>
      </c>
      <c r="K257" s="852">
        <f>K258+K259+K260</f>
        <v>0</v>
      </c>
      <c r="L257" s="852">
        <f>L258+L259+L260</f>
        <v>0</v>
      </c>
      <c r="M257" s="852">
        <f t="shared" si="22"/>
        <v>0</v>
      </c>
      <c r="N257" s="852">
        <v>0</v>
      </c>
      <c r="O257" s="852">
        <f>O258+O259+O260</f>
        <v>0</v>
      </c>
      <c r="P257" s="852">
        <f>P258+P259+P260</f>
        <v>0</v>
      </c>
      <c r="Q257" s="852">
        <f>Q258+Q259+Q260</f>
        <v>0</v>
      </c>
      <c r="R257" s="852">
        <f t="shared" si="23"/>
        <v>0</v>
      </c>
    </row>
    <row r="258" spans="1:18" s="29" customFormat="1" ht="36" hidden="1" customHeight="1">
      <c r="A258" s="737" t="s">
        <v>64</v>
      </c>
      <c r="B258" s="727" t="s">
        <v>65</v>
      </c>
      <c r="C258" s="839">
        <v>0</v>
      </c>
      <c r="D258" s="839">
        <v>0</v>
      </c>
      <c r="E258" s="851"/>
      <c r="F258" s="851"/>
      <c r="G258" s="851"/>
      <c r="H258" s="852">
        <f t="shared" si="21"/>
        <v>0</v>
      </c>
      <c r="I258" s="851">
        <v>0</v>
      </c>
      <c r="J258" s="851"/>
      <c r="K258" s="851"/>
      <c r="L258" s="851"/>
      <c r="M258" s="852">
        <f t="shared" si="22"/>
        <v>0</v>
      </c>
      <c r="N258" s="851">
        <v>0</v>
      </c>
      <c r="O258" s="851"/>
      <c r="P258" s="851"/>
      <c r="Q258" s="851"/>
      <c r="R258" s="852">
        <f t="shared" si="23"/>
        <v>0</v>
      </c>
    </row>
    <row r="259" spans="1:18" s="29" customFormat="1" ht="24">
      <c r="A259" s="737" t="s">
        <v>66</v>
      </c>
      <c r="B259" s="727" t="s">
        <v>67</v>
      </c>
      <c r="C259" s="839">
        <v>905644</v>
      </c>
      <c r="D259" s="839">
        <v>0</v>
      </c>
      <c r="E259" s="851"/>
      <c r="F259" s="851"/>
      <c r="G259" s="851"/>
      <c r="H259" s="852">
        <f t="shared" si="21"/>
        <v>0</v>
      </c>
      <c r="I259" s="851">
        <v>0</v>
      </c>
      <c r="J259" s="851"/>
      <c r="K259" s="851"/>
      <c r="L259" s="851"/>
      <c r="M259" s="852">
        <f t="shared" si="22"/>
        <v>0</v>
      </c>
      <c r="N259" s="851">
        <v>0</v>
      </c>
      <c r="O259" s="851"/>
      <c r="P259" s="851"/>
      <c r="Q259" s="851"/>
      <c r="R259" s="852">
        <f t="shared" si="23"/>
        <v>0</v>
      </c>
    </row>
    <row r="260" spans="1:18" s="29" customFormat="1" ht="24" hidden="1" customHeight="1">
      <c r="A260" s="740" t="s">
        <v>68</v>
      </c>
      <c r="B260" s="741" t="s">
        <v>69</v>
      </c>
      <c r="C260" s="849">
        <v>0</v>
      </c>
      <c r="D260" s="849">
        <v>0</v>
      </c>
      <c r="E260" s="858"/>
      <c r="F260" s="858"/>
      <c r="G260" s="858"/>
      <c r="H260" s="859">
        <f t="shared" si="21"/>
        <v>0</v>
      </c>
      <c r="I260" s="858">
        <v>0</v>
      </c>
      <c r="J260" s="858"/>
      <c r="K260" s="858"/>
      <c r="L260" s="858"/>
      <c r="M260" s="859">
        <f t="shared" si="22"/>
        <v>0</v>
      </c>
      <c r="N260" s="858">
        <v>0</v>
      </c>
      <c r="O260" s="858"/>
      <c r="P260" s="858"/>
      <c r="Q260" s="858"/>
      <c r="R260" s="859">
        <f t="shared" si="23"/>
        <v>0</v>
      </c>
    </row>
    <row r="261" spans="1:18" s="29" customFormat="1" ht="12">
      <c r="A261" s="742"/>
      <c r="B261" s="743"/>
      <c r="C261" s="860"/>
      <c r="D261" s="860"/>
      <c r="E261" s="860"/>
      <c r="F261" s="860"/>
      <c r="G261" s="860"/>
      <c r="H261" s="861"/>
      <c r="I261" s="860"/>
      <c r="J261" s="860"/>
      <c r="K261" s="860"/>
      <c r="L261" s="860"/>
      <c r="M261" s="861"/>
      <c r="N261" s="860"/>
      <c r="O261" s="860"/>
      <c r="P261" s="860"/>
      <c r="Q261" s="860"/>
      <c r="R261" s="861"/>
    </row>
    <row r="262" spans="1:18" ht="12">
      <c r="A262" s="744"/>
      <c r="B262" s="745"/>
      <c r="C262" s="862"/>
      <c r="D262" s="863"/>
      <c r="E262" s="862"/>
      <c r="F262" s="863"/>
      <c r="G262" s="863"/>
      <c r="H262" s="863"/>
      <c r="I262" s="863"/>
      <c r="J262" s="862"/>
      <c r="K262" s="863"/>
      <c r="L262" s="863"/>
      <c r="M262" s="863"/>
      <c r="N262" s="863"/>
      <c r="O262" s="862"/>
      <c r="P262" s="863"/>
      <c r="Q262" s="863"/>
      <c r="R262" s="863"/>
    </row>
    <row r="263" spans="1:18" ht="12">
      <c r="A263" s="744"/>
      <c r="B263" s="745"/>
      <c r="C263" s="862"/>
      <c r="D263" s="863"/>
      <c r="E263" s="862"/>
      <c r="F263" s="863"/>
      <c r="G263" s="863"/>
      <c r="H263" s="863"/>
      <c r="I263" s="863"/>
      <c r="J263" s="862"/>
      <c r="K263" s="863"/>
      <c r="L263" s="863"/>
      <c r="M263" s="863"/>
      <c r="N263" s="863"/>
      <c r="O263" s="862"/>
      <c r="P263" s="863"/>
      <c r="Q263" s="863"/>
      <c r="R263" s="863"/>
    </row>
    <row r="264" spans="1:18" ht="13.2">
      <c r="A264" s="1111" t="s">
        <v>236</v>
      </c>
      <c r="B264" s="1112" t="s">
        <v>237</v>
      </c>
      <c r="C264" s="862"/>
      <c r="D264" s="863"/>
      <c r="E264" s="862"/>
      <c r="F264" s="863"/>
      <c r="G264" s="863"/>
      <c r="H264" s="863"/>
      <c r="I264" s="863"/>
      <c r="J264" s="862"/>
      <c r="K264" s="863"/>
      <c r="L264" s="863"/>
      <c r="M264" s="863"/>
      <c r="N264" s="863"/>
      <c r="O264" s="862"/>
      <c r="P264" s="863"/>
      <c r="Q264" s="863"/>
      <c r="R264" s="863"/>
    </row>
    <row r="265" spans="1:18" s="1071" customFormat="1" ht="13.2">
      <c r="A265" s="1113"/>
      <c r="B265" s="1114" t="s">
        <v>238</v>
      </c>
      <c r="C265" s="862"/>
      <c r="D265" s="863"/>
      <c r="E265" s="862"/>
      <c r="F265" s="863"/>
      <c r="G265" s="863"/>
      <c r="H265" s="863"/>
      <c r="I265" s="863"/>
      <c r="J265" s="862"/>
      <c r="K265" s="863"/>
      <c r="L265" s="863"/>
      <c r="M265" s="863"/>
      <c r="N265" s="863"/>
      <c r="O265" s="862"/>
      <c r="P265" s="863"/>
      <c r="Q265" s="863"/>
      <c r="R265" s="863"/>
    </row>
    <row r="266" spans="1:18" s="1071" customFormat="1" ht="13.2">
      <c r="A266" s="1113" t="s">
        <v>223</v>
      </c>
      <c r="B266" s="1115" t="s">
        <v>434</v>
      </c>
      <c r="C266" s="862"/>
      <c r="D266" s="863"/>
      <c r="E266" s="862"/>
      <c r="F266" s="863"/>
      <c r="G266" s="863"/>
      <c r="H266" s="863"/>
      <c r="I266" s="863"/>
      <c r="J266" s="862"/>
      <c r="K266" s="863"/>
      <c r="L266" s="863"/>
      <c r="M266" s="863"/>
      <c r="N266" s="863"/>
      <c r="O266" s="862"/>
      <c r="P266" s="863"/>
      <c r="Q266" s="863"/>
      <c r="R266" s="863"/>
    </row>
    <row r="267" spans="1:18" s="1071" customFormat="1" ht="13.2">
      <c r="A267" s="1116" t="s">
        <v>240</v>
      </c>
      <c r="B267" s="830" t="s">
        <v>241</v>
      </c>
      <c r="C267" s="862"/>
      <c r="D267" s="863"/>
      <c r="E267" s="862"/>
      <c r="F267" s="863"/>
      <c r="G267" s="863"/>
      <c r="H267" s="863"/>
      <c r="I267" s="863"/>
      <c r="J267" s="862"/>
      <c r="K267" s="863"/>
      <c r="L267" s="863"/>
      <c r="M267" s="863"/>
      <c r="N267" s="863"/>
      <c r="O267" s="862"/>
      <c r="P267" s="863"/>
      <c r="Q267" s="863"/>
      <c r="R267" s="863"/>
    </row>
    <row r="268" spans="1:18" s="1071" customFormat="1" ht="13.2">
      <c r="A268" s="1116"/>
      <c r="B268" s="830"/>
      <c r="C268" s="862"/>
      <c r="D268" s="863"/>
      <c r="E268" s="862"/>
      <c r="F268" s="863"/>
      <c r="G268" s="863"/>
      <c r="H268" s="863"/>
      <c r="I268" s="863"/>
      <c r="J268" s="862"/>
      <c r="K268" s="863"/>
      <c r="L268" s="863"/>
      <c r="M268" s="863"/>
      <c r="N268" s="863"/>
      <c r="O268" s="862"/>
      <c r="P268" s="863"/>
      <c r="Q268" s="863"/>
      <c r="R268" s="863"/>
    </row>
    <row r="269" spans="1:18" s="1071" customFormat="1" ht="13.2">
      <c r="A269" s="1116" t="s">
        <v>224</v>
      </c>
      <c r="B269" s="1115" t="s">
        <v>242</v>
      </c>
      <c r="C269" s="862"/>
      <c r="D269" s="863"/>
      <c r="E269" s="862"/>
      <c r="F269" s="863"/>
      <c r="G269" s="863"/>
      <c r="H269" s="863"/>
      <c r="I269" s="863"/>
      <c r="J269" s="862"/>
      <c r="K269" s="863"/>
      <c r="L269" s="863"/>
      <c r="M269" s="863"/>
      <c r="N269" s="863"/>
      <c r="O269" s="862"/>
      <c r="P269" s="863"/>
      <c r="Q269" s="863"/>
      <c r="R269" s="863"/>
    </row>
    <row r="270" spans="1:18" s="1071" customFormat="1" ht="127.5" customHeight="1">
      <c r="A270" s="1116" t="s">
        <v>243</v>
      </c>
      <c r="B270" s="830" t="s">
        <v>596</v>
      </c>
      <c r="C270" s="862"/>
      <c r="D270" s="863"/>
      <c r="E270" s="862"/>
      <c r="F270" s="862">
        <v>-225999</v>
      </c>
      <c r="G270" s="862"/>
      <c r="H270" s="863"/>
      <c r="I270" s="863"/>
      <c r="J270" s="862"/>
      <c r="K270" s="862">
        <v>-225999</v>
      </c>
      <c r="L270" s="862"/>
      <c r="M270" s="863"/>
      <c r="N270" s="863"/>
      <c r="O270" s="862"/>
      <c r="P270" s="862">
        <v>-225999</v>
      </c>
      <c r="Q270" s="862"/>
      <c r="R270" s="863"/>
    </row>
    <row r="271" spans="1:18" s="1071" customFormat="1" ht="92.4">
      <c r="A271" s="1116" t="s">
        <v>250</v>
      </c>
      <c r="B271" s="830" t="s">
        <v>597</v>
      </c>
      <c r="C271" s="862"/>
      <c r="D271" s="863"/>
      <c r="E271" s="862"/>
      <c r="F271" s="862">
        <v>160000</v>
      </c>
      <c r="G271" s="862"/>
      <c r="H271" s="863"/>
      <c r="I271" s="863"/>
      <c r="J271" s="862"/>
      <c r="K271" s="862">
        <v>160000</v>
      </c>
      <c r="L271" s="862"/>
      <c r="M271" s="863"/>
      <c r="N271" s="863"/>
      <c r="O271" s="862"/>
      <c r="P271" s="862">
        <v>160000</v>
      </c>
      <c r="Q271" s="862"/>
      <c r="R271" s="863"/>
    </row>
    <row r="272" spans="1:18" s="1071" customFormat="1" ht="13.2">
      <c r="A272" s="1116"/>
      <c r="B272" s="829" t="s">
        <v>263</v>
      </c>
      <c r="C272" s="862"/>
      <c r="D272" s="863"/>
      <c r="E272" s="862"/>
      <c r="F272" s="863"/>
      <c r="G272" s="863"/>
      <c r="H272" s="863"/>
      <c r="I272" s="863"/>
      <c r="J272" s="862"/>
      <c r="K272" s="863"/>
      <c r="L272" s="863"/>
      <c r="M272" s="863"/>
      <c r="N272" s="863"/>
      <c r="O272" s="862"/>
      <c r="P272" s="863"/>
      <c r="Q272" s="863"/>
      <c r="R272" s="863"/>
    </row>
    <row r="273" spans="1:18" s="1071" customFormat="1" ht="13.2">
      <c r="A273" s="1116"/>
      <c r="B273" s="830" t="s">
        <v>264</v>
      </c>
      <c r="C273" s="862"/>
      <c r="D273" s="863"/>
      <c r="E273" s="862"/>
      <c r="F273" s="862">
        <f>F275</f>
        <v>-51644</v>
      </c>
      <c r="G273" s="862">
        <v>0</v>
      </c>
      <c r="H273" s="863"/>
      <c r="I273" s="863"/>
      <c r="J273" s="862"/>
      <c r="K273" s="862">
        <f>K275</f>
        <v>-51644</v>
      </c>
      <c r="L273" s="862"/>
      <c r="M273" s="863"/>
      <c r="N273" s="863"/>
      <c r="O273" s="862"/>
      <c r="P273" s="862">
        <f>P275</f>
        <v>-51644</v>
      </c>
      <c r="Q273" s="862"/>
      <c r="R273" s="863"/>
    </row>
    <row r="274" spans="1:18" s="1071" customFormat="1" ht="26.4">
      <c r="A274" s="1116"/>
      <c r="B274" s="830" t="s">
        <v>265</v>
      </c>
      <c r="C274" s="862"/>
      <c r="D274" s="863"/>
      <c r="E274" s="862"/>
      <c r="F274" s="863"/>
      <c r="G274" s="863">
        <v>0</v>
      </c>
      <c r="H274" s="863"/>
      <c r="I274" s="863"/>
      <c r="J274" s="862"/>
      <c r="K274" s="863"/>
      <c r="L274" s="863"/>
      <c r="M274" s="863"/>
      <c r="N274" s="863"/>
      <c r="O274" s="862"/>
      <c r="P274" s="863"/>
      <c r="Q274" s="863"/>
      <c r="R274" s="863"/>
    </row>
    <row r="275" spans="1:18" s="1071" customFormat="1" ht="13.2">
      <c r="A275" s="1116"/>
      <c r="B275" s="830" t="s">
        <v>266</v>
      </c>
      <c r="C275" s="862"/>
      <c r="D275" s="863"/>
      <c r="E275" s="862"/>
      <c r="F275" s="862">
        <f>F276</f>
        <v>-51644</v>
      </c>
      <c r="G275" s="862">
        <v>0</v>
      </c>
      <c r="H275" s="863"/>
      <c r="I275" s="863"/>
      <c r="J275" s="862"/>
      <c r="K275" s="862">
        <f>K276</f>
        <v>-51644</v>
      </c>
      <c r="L275" s="862"/>
      <c r="M275" s="863"/>
      <c r="N275" s="863"/>
      <c r="O275" s="862"/>
      <c r="P275" s="862">
        <f>P276</f>
        <v>-51644</v>
      </c>
      <c r="Q275" s="862"/>
      <c r="R275" s="863"/>
    </row>
    <row r="276" spans="1:18" s="1071" customFormat="1" ht="26.4">
      <c r="A276" s="1116"/>
      <c r="B276" s="830" t="s">
        <v>267</v>
      </c>
      <c r="C276" s="862"/>
      <c r="D276" s="863"/>
      <c r="E276" s="862"/>
      <c r="F276" s="862">
        <v>-51644</v>
      </c>
      <c r="G276" s="862">
        <v>0</v>
      </c>
      <c r="H276" s="863"/>
      <c r="I276" s="863"/>
      <c r="J276" s="862"/>
      <c r="K276" s="862">
        <v>-51644</v>
      </c>
      <c r="L276" s="862"/>
      <c r="M276" s="863"/>
      <c r="N276" s="863"/>
      <c r="O276" s="862"/>
      <c r="P276" s="862">
        <v>-51644</v>
      </c>
      <c r="Q276" s="862"/>
      <c r="R276" s="863"/>
    </row>
    <row r="277" spans="1:18" s="1071" customFormat="1" ht="13.2">
      <c r="A277" s="1116"/>
      <c r="B277" s="830" t="s">
        <v>268</v>
      </c>
      <c r="C277" s="862"/>
      <c r="D277" s="863"/>
      <c r="E277" s="862"/>
      <c r="F277" s="862">
        <f>F278</f>
        <v>-65999</v>
      </c>
      <c r="G277" s="862">
        <v>90000</v>
      </c>
      <c r="H277" s="863"/>
      <c r="I277" s="863"/>
      <c r="J277" s="862"/>
      <c r="K277" s="862">
        <f>K278</f>
        <v>-65999</v>
      </c>
      <c r="L277" s="862">
        <f>L278</f>
        <v>7686</v>
      </c>
      <c r="M277" s="863"/>
      <c r="N277" s="863"/>
      <c r="O277" s="862"/>
      <c r="P277" s="862">
        <f>P278</f>
        <v>-65999</v>
      </c>
      <c r="Q277" s="862"/>
      <c r="R277" s="863"/>
    </row>
    <row r="278" spans="1:18" s="1071" customFormat="1" ht="13.2">
      <c r="A278" s="1116"/>
      <c r="B278" s="830" t="s">
        <v>269</v>
      </c>
      <c r="C278" s="862"/>
      <c r="D278" s="863"/>
      <c r="E278" s="862"/>
      <c r="F278" s="862">
        <f>F283+F279</f>
        <v>-65999</v>
      </c>
      <c r="G278" s="862">
        <f>G283+G279</f>
        <v>90000</v>
      </c>
      <c r="H278" s="863"/>
      <c r="I278" s="863"/>
      <c r="J278" s="862"/>
      <c r="K278" s="862">
        <f>K283+K279</f>
        <v>-65999</v>
      </c>
      <c r="L278" s="862">
        <f>L279</f>
        <v>7686</v>
      </c>
      <c r="M278" s="863"/>
      <c r="N278" s="863"/>
      <c r="O278" s="862"/>
      <c r="P278" s="862">
        <f>P283+P279</f>
        <v>-65999</v>
      </c>
      <c r="Q278" s="862"/>
      <c r="R278" s="863"/>
    </row>
    <row r="279" spans="1:18" s="1071" customFormat="1" ht="13.2">
      <c r="A279" s="1116"/>
      <c r="B279" s="830" t="s">
        <v>270</v>
      </c>
      <c r="C279" s="862"/>
      <c r="D279" s="863"/>
      <c r="E279" s="862"/>
      <c r="F279" s="862">
        <f>F280+F282</f>
        <v>160000</v>
      </c>
      <c r="G279" s="862">
        <f>G280+G282</f>
        <v>90000</v>
      </c>
      <c r="H279" s="863"/>
      <c r="I279" s="863"/>
      <c r="J279" s="862"/>
      <c r="K279" s="862">
        <f>K280+K282</f>
        <v>160000</v>
      </c>
      <c r="L279" s="862">
        <f>L282</f>
        <v>7686</v>
      </c>
      <c r="M279" s="863"/>
      <c r="N279" s="863"/>
      <c r="O279" s="862"/>
      <c r="P279" s="862">
        <f>P280+P282</f>
        <v>160000</v>
      </c>
      <c r="Q279" s="862"/>
      <c r="R279" s="863"/>
    </row>
    <row r="280" spans="1:18" s="1071" customFormat="1" ht="13.2">
      <c r="A280" s="1116"/>
      <c r="B280" s="830" t="s">
        <v>271</v>
      </c>
      <c r="C280" s="862"/>
      <c r="D280" s="863"/>
      <c r="E280" s="862"/>
      <c r="F280" s="862">
        <v>90000</v>
      </c>
      <c r="G280" s="862">
        <v>51028</v>
      </c>
      <c r="H280" s="863"/>
      <c r="I280" s="863"/>
      <c r="J280" s="862"/>
      <c r="K280" s="862">
        <v>90000</v>
      </c>
      <c r="L280" s="862">
        <v>0</v>
      </c>
      <c r="M280" s="863"/>
      <c r="N280" s="863"/>
      <c r="O280" s="862"/>
      <c r="P280" s="862">
        <v>90000</v>
      </c>
      <c r="Q280" s="862"/>
      <c r="R280" s="863"/>
    </row>
    <row r="281" spans="1:18" s="1071" customFormat="1" ht="13.2">
      <c r="A281" s="1116"/>
      <c r="B281" s="830" t="s">
        <v>272</v>
      </c>
      <c r="C281" s="862"/>
      <c r="D281" s="863"/>
      <c r="E281" s="862"/>
      <c r="F281" s="862">
        <v>72528</v>
      </c>
      <c r="G281" s="862">
        <v>41122</v>
      </c>
      <c r="H281" s="863"/>
      <c r="I281" s="863"/>
      <c r="J281" s="862"/>
      <c r="K281" s="862">
        <v>72528</v>
      </c>
      <c r="L281" s="862">
        <v>0</v>
      </c>
      <c r="M281" s="863"/>
      <c r="N281" s="863"/>
      <c r="O281" s="862"/>
      <c r="P281" s="862">
        <v>72528</v>
      </c>
      <c r="Q281" s="862"/>
      <c r="R281" s="863"/>
    </row>
    <row r="282" spans="1:18" s="1071" customFormat="1" ht="13.2">
      <c r="A282" s="1116"/>
      <c r="B282" s="830" t="s">
        <v>273</v>
      </c>
      <c r="C282" s="862"/>
      <c r="D282" s="863"/>
      <c r="E282" s="862"/>
      <c r="F282" s="862">
        <v>70000</v>
      </c>
      <c r="G282" s="862">
        <v>38972</v>
      </c>
      <c r="H282" s="863"/>
      <c r="I282" s="863"/>
      <c r="J282" s="862"/>
      <c r="K282" s="862">
        <v>70000</v>
      </c>
      <c r="L282" s="862">
        <v>7686</v>
      </c>
      <c r="M282" s="863"/>
      <c r="N282" s="863"/>
      <c r="O282" s="862"/>
      <c r="P282" s="862">
        <v>70000</v>
      </c>
      <c r="Q282" s="862"/>
      <c r="R282" s="863"/>
    </row>
    <row r="283" spans="1:18" s="1071" customFormat="1" ht="13.2">
      <c r="A283" s="1116"/>
      <c r="B283" s="830" t="s">
        <v>274</v>
      </c>
      <c r="C283" s="862"/>
      <c r="D283" s="863"/>
      <c r="E283" s="862"/>
      <c r="F283" s="862">
        <f>F284</f>
        <v>-225999</v>
      </c>
      <c r="G283" s="862"/>
      <c r="H283" s="863"/>
      <c r="I283" s="863"/>
      <c r="J283" s="862"/>
      <c r="K283" s="862">
        <f>K284</f>
        <v>-225999</v>
      </c>
      <c r="L283" s="862"/>
      <c r="M283" s="863"/>
      <c r="N283" s="863"/>
      <c r="O283" s="862"/>
      <c r="P283" s="862">
        <f>P284</f>
        <v>-225999</v>
      </c>
      <c r="Q283" s="862"/>
      <c r="R283" s="863"/>
    </row>
    <row r="284" spans="1:18" s="1071" customFormat="1" ht="26.4">
      <c r="A284" s="1116"/>
      <c r="B284" s="830" t="s">
        <v>275</v>
      </c>
      <c r="C284" s="862"/>
      <c r="D284" s="863"/>
      <c r="E284" s="862"/>
      <c r="F284" s="862">
        <f>F285</f>
        <v>-225999</v>
      </c>
      <c r="G284" s="862"/>
      <c r="H284" s="863"/>
      <c r="I284" s="863"/>
      <c r="J284" s="862"/>
      <c r="K284" s="862">
        <f>K285</f>
        <v>-225999</v>
      </c>
      <c r="L284" s="862"/>
      <c r="M284" s="863"/>
      <c r="N284" s="863"/>
      <c r="O284" s="862"/>
      <c r="P284" s="862">
        <f>P285</f>
        <v>-225999</v>
      </c>
      <c r="Q284" s="862"/>
      <c r="R284" s="863"/>
    </row>
    <row r="285" spans="1:18" s="1071" customFormat="1" ht="52.8">
      <c r="A285" s="1116"/>
      <c r="B285" s="830" t="s">
        <v>276</v>
      </c>
      <c r="C285" s="862"/>
      <c r="D285" s="863"/>
      <c r="E285" s="862"/>
      <c r="F285" s="862">
        <v>-225999</v>
      </c>
      <c r="G285" s="862"/>
      <c r="H285" s="863"/>
      <c r="I285" s="863"/>
      <c r="J285" s="862"/>
      <c r="K285" s="862">
        <v>-225999</v>
      </c>
      <c r="L285" s="862"/>
      <c r="M285" s="863"/>
      <c r="N285" s="863"/>
      <c r="O285" s="862"/>
      <c r="P285" s="862">
        <v>-225999</v>
      </c>
      <c r="Q285" s="862"/>
      <c r="R285" s="863"/>
    </row>
    <row r="286" spans="1:18" s="1071" customFormat="1" ht="13.2">
      <c r="A286" s="1116"/>
      <c r="B286" s="830" t="s">
        <v>277</v>
      </c>
      <c r="C286" s="862"/>
      <c r="D286" s="863"/>
      <c r="E286" s="862"/>
      <c r="F286" s="862">
        <f>F273-F277</f>
        <v>14355</v>
      </c>
      <c r="G286" s="862">
        <f>G273-G277</f>
        <v>-90000</v>
      </c>
      <c r="H286" s="863"/>
      <c r="I286" s="863"/>
      <c r="J286" s="862"/>
      <c r="K286" s="862">
        <f>K273-K277</f>
        <v>14355</v>
      </c>
      <c r="L286" s="862">
        <f>L273-L277</f>
        <v>-7686</v>
      </c>
      <c r="M286" s="862"/>
      <c r="N286" s="862">
        <f>N273-N277</f>
        <v>0</v>
      </c>
      <c r="O286" s="862">
        <f>O273-O277</f>
        <v>0</v>
      </c>
      <c r="P286" s="862">
        <f>P273-P277</f>
        <v>14355</v>
      </c>
      <c r="Q286" s="862"/>
      <c r="R286" s="863"/>
    </row>
    <row r="287" spans="1:18" s="1071" customFormat="1" ht="13.2">
      <c r="A287" s="1116"/>
      <c r="B287" s="830" t="s">
        <v>278</v>
      </c>
      <c r="C287" s="862"/>
      <c r="D287" s="863"/>
      <c r="E287" s="862"/>
      <c r="F287" s="862">
        <f>F288</f>
        <v>-14355</v>
      </c>
      <c r="G287" s="862">
        <v>90000</v>
      </c>
      <c r="H287" s="863"/>
      <c r="I287" s="863"/>
      <c r="J287" s="862"/>
      <c r="K287" s="862">
        <f>K288</f>
        <v>-14355</v>
      </c>
      <c r="L287" s="862">
        <v>7686</v>
      </c>
      <c r="M287" s="863"/>
      <c r="N287" s="863"/>
      <c r="O287" s="862"/>
      <c r="P287" s="862">
        <f>P288</f>
        <v>-14355</v>
      </c>
      <c r="Q287" s="862"/>
      <c r="R287" s="863"/>
    </row>
    <row r="288" spans="1:18" s="1071" customFormat="1" ht="13.2">
      <c r="A288" s="1116"/>
      <c r="B288" s="830" t="s">
        <v>279</v>
      </c>
      <c r="C288" s="862"/>
      <c r="D288" s="863"/>
      <c r="E288" s="862"/>
      <c r="F288" s="862">
        <f>F289</f>
        <v>-14355</v>
      </c>
      <c r="G288" s="862">
        <f>G287</f>
        <v>90000</v>
      </c>
      <c r="H288" s="863"/>
      <c r="I288" s="863"/>
      <c r="J288" s="862"/>
      <c r="K288" s="862">
        <f>K289</f>
        <v>-14355</v>
      </c>
      <c r="L288" s="862">
        <f>L287</f>
        <v>7686</v>
      </c>
      <c r="M288" s="863"/>
      <c r="N288" s="863"/>
      <c r="O288" s="862"/>
      <c r="P288" s="862">
        <f>P289</f>
        <v>-14355</v>
      </c>
      <c r="Q288" s="862"/>
      <c r="R288" s="863"/>
    </row>
    <row r="289" spans="1:18" s="1071" customFormat="1" ht="39.6">
      <c r="A289" s="1116"/>
      <c r="B289" s="830" t="s">
        <v>280</v>
      </c>
      <c r="C289" s="862"/>
      <c r="D289" s="863"/>
      <c r="E289" s="862"/>
      <c r="F289" s="862">
        <v>-14355</v>
      </c>
      <c r="G289" s="862">
        <f>G288</f>
        <v>90000</v>
      </c>
      <c r="H289" s="863"/>
      <c r="I289" s="863"/>
      <c r="J289" s="862"/>
      <c r="K289" s="862">
        <v>-14355</v>
      </c>
      <c r="L289" s="862">
        <f>L288</f>
        <v>7686</v>
      </c>
      <c r="M289" s="863"/>
      <c r="N289" s="863"/>
      <c r="O289" s="862"/>
      <c r="P289" s="862">
        <v>-14355</v>
      </c>
      <c r="Q289" s="862"/>
      <c r="R289" s="863"/>
    </row>
    <row r="290" spans="1:18" s="1071" customFormat="1" ht="66">
      <c r="A290" s="1116" t="s">
        <v>257</v>
      </c>
      <c r="B290" s="830" t="s">
        <v>598</v>
      </c>
      <c r="C290" s="862"/>
      <c r="D290" s="863"/>
      <c r="E290" s="862"/>
      <c r="F290" s="863"/>
      <c r="G290" s="863"/>
      <c r="H290" s="863"/>
      <c r="I290" s="863"/>
      <c r="J290" s="862"/>
      <c r="K290" s="863"/>
      <c r="L290" s="863"/>
      <c r="M290" s="863"/>
      <c r="N290" s="863"/>
      <c r="O290" s="862"/>
      <c r="P290" s="863"/>
      <c r="Q290" s="863"/>
      <c r="R290" s="863"/>
    </row>
    <row r="291" spans="1:18" s="1071" customFormat="1" ht="26.4">
      <c r="A291" s="1116"/>
      <c r="B291" s="829" t="s">
        <v>402</v>
      </c>
      <c r="C291" s="862"/>
      <c r="D291" s="863"/>
      <c r="E291" s="862"/>
      <c r="F291" s="863"/>
      <c r="G291" s="863"/>
      <c r="H291" s="863"/>
      <c r="I291" s="863"/>
      <c r="J291" s="862"/>
      <c r="K291" s="863"/>
      <c r="L291" s="863"/>
      <c r="M291" s="863"/>
      <c r="N291" s="863"/>
      <c r="O291" s="862"/>
      <c r="P291" s="863"/>
      <c r="Q291" s="863"/>
      <c r="R291" s="863"/>
    </row>
    <row r="292" spans="1:18" s="1071" customFormat="1" ht="13.2">
      <c r="A292" s="1116"/>
      <c r="B292" s="830" t="s">
        <v>264</v>
      </c>
      <c r="C292" s="862"/>
      <c r="D292" s="863"/>
      <c r="E292" s="862"/>
      <c r="F292" s="862">
        <f>F293</f>
        <v>83438</v>
      </c>
      <c r="G292" s="862">
        <v>10443</v>
      </c>
      <c r="H292" s="863"/>
      <c r="I292" s="863"/>
      <c r="J292" s="862"/>
      <c r="K292" s="862">
        <f>K293</f>
        <v>69396</v>
      </c>
      <c r="L292" s="862"/>
      <c r="M292" s="863"/>
      <c r="N292" s="863"/>
      <c r="O292" s="862"/>
      <c r="P292" s="862">
        <f>P293</f>
        <v>46946</v>
      </c>
      <c r="Q292" s="862"/>
      <c r="R292" s="863"/>
    </row>
    <row r="293" spans="1:18" s="1071" customFormat="1" ht="13.2">
      <c r="A293" s="1116"/>
      <c r="B293" s="830" t="s">
        <v>266</v>
      </c>
      <c r="C293" s="862"/>
      <c r="D293" s="863"/>
      <c r="E293" s="862"/>
      <c r="F293" s="862">
        <f>F294</f>
        <v>83438</v>
      </c>
      <c r="G293" s="862">
        <v>10443</v>
      </c>
      <c r="H293" s="863"/>
      <c r="I293" s="863"/>
      <c r="J293" s="862"/>
      <c r="K293" s="862">
        <f>K294</f>
        <v>69396</v>
      </c>
      <c r="L293" s="862"/>
      <c r="M293" s="863"/>
      <c r="N293" s="863"/>
      <c r="O293" s="862"/>
      <c r="P293" s="862">
        <f>P294</f>
        <v>46946</v>
      </c>
      <c r="Q293" s="862"/>
      <c r="R293" s="863"/>
    </row>
    <row r="294" spans="1:18" s="1071" customFormat="1" ht="26.4">
      <c r="A294" s="1116"/>
      <c r="B294" s="830" t="s">
        <v>267</v>
      </c>
      <c r="C294" s="862"/>
      <c r="D294" s="863"/>
      <c r="E294" s="862"/>
      <c r="F294" s="862">
        <f>F295</f>
        <v>83438</v>
      </c>
      <c r="G294" s="862">
        <v>10443</v>
      </c>
      <c r="H294" s="863"/>
      <c r="I294" s="863"/>
      <c r="J294" s="862"/>
      <c r="K294" s="862">
        <f>K295</f>
        <v>69396</v>
      </c>
      <c r="L294" s="862"/>
      <c r="M294" s="863"/>
      <c r="N294" s="863"/>
      <c r="O294" s="862"/>
      <c r="P294" s="862">
        <f>P295</f>
        <v>46946</v>
      </c>
      <c r="Q294" s="862"/>
      <c r="R294" s="863"/>
    </row>
    <row r="295" spans="1:18" s="1071" customFormat="1" ht="13.2">
      <c r="A295" s="1116"/>
      <c r="B295" s="830" t="s">
        <v>268</v>
      </c>
      <c r="C295" s="862"/>
      <c r="D295" s="863"/>
      <c r="E295" s="862"/>
      <c r="F295" s="862">
        <f>F296+F301</f>
        <v>83438</v>
      </c>
      <c r="G295" s="862">
        <f>G296</f>
        <v>10443</v>
      </c>
      <c r="H295" s="863"/>
      <c r="I295" s="863"/>
      <c r="J295" s="862"/>
      <c r="K295" s="862">
        <f>K296</f>
        <v>69396</v>
      </c>
      <c r="L295" s="862"/>
      <c r="M295" s="863"/>
      <c r="N295" s="863"/>
      <c r="O295" s="862"/>
      <c r="P295" s="862">
        <f>P296</f>
        <v>46946</v>
      </c>
      <c r="Q295" s="862"/>
      <c r="R295" s="863"/>
    </row>
    <row r="296" spans="1:18" s="1071" customFormat="1" ht="13.2">
      <c r="A296" s="1116"/>
      <c r="B296" s="830" t="s">
        <v>269</v>
      </c>
      <c r="C296" s="862"/>
      <c r="D296" s="863"/>
      <c r="E296" s="862"/>
      <c r="F296" s="862">
        <f>F297</f>
        <v>83288</v>
      </c>
      <c r="G296" s="862">
        <f>G297</f>
        <v>10443</v>
      </c>
      <c r="H296" s="863"/>
      <c r="I296" s="863"/>
      <c r="J296" s="862"/>
      <c r="K296" s="862">
        <f>K297</f>
        <v>69396</v>
      </c>
      <c r="L296" s="862"/>
      <c r="M296" s="863"/>
      <c r="N296" s="863"/>
      <c r="O296" s="862"/>
      <c r="P296" s="862">
        <f>P297</f>
        <v>46946</v>
      </c>
      <c r="Q296" s="862"/>
      <c r="R296" s="863"/>
    </row>
    <row r="297" spans="1:18" s="1071" customFormat="1" ht="13.2">
      <c r="A297" s="1116"/>
      <c r="B297" s="830" t="s">
        <v>270</v>
      </c>
      <c r="C297" s="862"/>
      <c r="D297" s="863"/>
      <c r="E297" s="862"/>
      <c r="F297" s="862">
        <f>F298+F300</f>
        <v>83288</v>
      </c>
      <c r="G297" s="862">
        <f>G298</f>
        <v>10443</v>
      </c>
      <c r="H297" s="863"/>
      <c r="I297" s="863"/>
      <c r="J297" s="862"/>
      <c r="K297" s="862">
        <f>K298+K300</f>
        <v>69396</v>
      </c>
      <c r="L297" s="862"/>
      <c r="M297" s="863"/>
      <c r="N297" s="863"/>
      <c r="O297" s="862"/>
      <c r="P297" s="862">
        <f>P298+P300</f>
        <v>46946</v>
      </c>
      <c r="Q297" s="862"/>
      <c r="R297" s="863"/>
    </row>
    <row r="298" spans="1:18" s="1071" customFormat="1" ht="13.2">
      <c r="A298" s="1116"/>
      <c r="B298" s="830" t="s">
        <v>271</v>
      </c>
      <c r="C298" s="862"/>
      <c r="D298" s="863"/>
      <c r="E298" s="862"/>
      <c r="F298" s="862">
        <v>23258</v>
      </c>
      <c r="G298" s="862">
        <v>10443</v>
      </c>
      <c r="H298" s="863"/>
      <c r="I298" s="863"/>
      <c r="J298" s="862"/>
      <c r="K298" s="862">
        <v>43596</v>
      </c>
      <c r="L298" s="862"/>
      <c r="M298" s="863"/>
      <c r="N298" s="863"/>
      <c r="O298" s="862"/>
      <c r="P298" s="862">
        <v>29746</v>
      </c>
      <c r="Q298" s="862"/>
      <c r="R298" s="863"/>
    </row>
    <row r="299" spans="1:18" s="1071" customFormat="1" ht="13.2">
      <c r="A299" s="1116"/>
      <c r="B299" s="830" t="s">
        <v>272</v>
      </c>
      <c r="C299" s="862"/>
      <c r="D299" s="863"/>
      <c r="E299" s="862"/>
      <c r="F299" s="862">
        <v>6084</v>
      </c>
      <c r="G299" s="862">
        <v>8416</v>
      </c>
      <c r="H299" s="863"/>
      <c r="I299" s="863"/>
      <c r="J299" s="862"/>
      <c r="K299" s="862">
        <v>13668</v>
      </c>
      <c r="L299" s="862"/>
      <c r="M299" s="863"/>
      <c r="N299" s="863"/>
      <c r="O299" s="862"/>
      <c r="P299" s="862">
        <v>9612</v>
      </c>
      <c r="Q299" s="862"/>
      <c r="R299" s="863"/>
    </row>
    <row r="300" spans="1:18" s="1071" customFormat="1" ht="13.2">
      <c r="A300" s="1116"/>
      <c r="B300" s="830" t="s">
        <v>273</v>
      </c>
      <c r="C300" s="862"/>
      <c r="D300" s="863"/>
      <c r="E300" s="862"/>
      <c r="F300" s="862">
        <v>60030</v>
      </c>
      <c r="G300" s="862"/>
      <c r="H300" s="863"/>
      <c r="I300" s="863"/>
      <c r="J300" s="862"/>
      <c r="K300" s="862">
        <v>25800</v>
      </c>
      <c r="L300" s="862"/>
      <c r="M300" s="863"/>
      <c r="N300" s="863"/>
      <c r="O300" s="862"/>
      <c r="P300" s="862">
        <v>17200</v>
      </c>
      <c r="Q300" s="862"/>
      <c r="R300" s="863"/>
    </row>
    <row r="301" spans="1:18" s="1071" customFormat="1" ht="13.2">
      <c r="A301" s="1116"/>
      <c r="B301" s="829" t="s">
        <v>122</v>
      </c>
      <c r="C301" s="862"/>
      <c r="D301" s="863"/>
      <c r="E301" s="862"/>
      <c r="F301" s="863">
        <f>F302</f>
        <v>150</v>
      </c>
      <c r="G301" s="862"/>
      <c r="H301" s="863"/>
      <c r="I301" s="863"/>
      <c r="J301" s="862"/>
      <c r="K301" s="863"/>
      <c r="L301" s="863"/>
      <c r="M301" s="863"/>
      <c r="N301" s="863"/>
      <c r="O301" s="862"/>
      <c r="P301" s="863"/>
      <c r="Q301" s="863"/>
      <c r="R301" s="863"/>
    </row>
    <row r="302" spans="1:18" s="1071" customFormat="1" ht="13.2">
      <c r="A302" s="1116"/>
      <c r="B302" s="1117" t="s">
        <v>123</v>
      </c>
      <c r="C302" s="862"/>
      <c r="D302" s="863"/>
      <c r="E302" s="862"/>
      <c r="F302" s="863">
        <v>150</v>
      </c>
      <c r="G302" s="862"/>
      <c r="H302" s="863"/>
      <c r="I302" s="863"/>
      <c r="J302" s="862"/>
      <c r="K302" s="863"/>
      <c r="L302" s="863"/>
      <c r="M302" s="863"/>
      <c r="N302" s="863"/>
      <c r="O302" s="862"/>
      <c r="P302" s="863"/>
      <c r="Q302" s="863"/>
      <c r="R302" s="863"/>
    </row>
    <row r="303" spans="1:18" s="1071" customFormat="1" ht="13.2">
      <c r="A303" s="1116" t="s">
        <v>324</v>
      </c>
      <c r="B303" s="830" t="s">
        <v>599</v>
      </c>
      <c r="C303" s="862"/>
      <c r="D303" s="863"/>
      <c r="E303" s="862"/>
      <c r="F303" s="863"/>
      <c r="G303" s="862"/>
      <c r="H303" s="863"/>
      <c r="I303" s="863"/>
      <c r="J303" s="862"/>
      <c r="K303" s="863"/>
      <c r="L303" s="863"/>
      <c r="M303" s="863"/>
      <c r="N303" s="863"/>
      <c r="O303" s="862"/>
      <c r="P303" s="863"/>
      <c r="Q303" s="863"/>
      <c r="R303" s="863"/>
    </row>
    <row r="304" spans="1:18" s="1071" customFormat="1" ht="92.4">
      <c r="A304" s="1116"/>
      <c r="B304" s="829" t="s">
        <v>600</v>
      </c>
      <c r="C304" s="862"/>
      <c r="D304" s="863"/>
      <c r="E304" s="862"/>
      <c r="F304" s="863"/>
      <c r="G304" s="862"/>
      <c r="H304" s="863"/>
      <c r="I304" s="863"/>
      <c r="J304" s="862"/>
      <c r="K304" s="863"/>
      <c r="L304" s="863"/>
      <c r="M304" s="863"/>
      <c r="N304" s="863"/>
      <c r="O304" s="862"/>
      <c r="P304" s="863"/>
      <c r="Q304" s="863"/>
      <c r="R304" s="863"/>
    </row>
    <row r="305" spans="1:18" s="1071" customFormat="1" ht="13.2">
      <c r="A305" s="1116"/>
      <c r="B305" s="830" t="s">
        <v>264</v>
      </c>
      <c r="C305" s="862"/>
      <c r="D305" s="863"/>
      <c r="E305" s="862"/>
      <c r="F305" s="862">
        <f>F306</f>
        <v>142740</v>
      </c>
      <c r="G305" s="862">
        <f>G306</f>
        <v>0</v>
      </c>
      <c r="H305" s="863"/>
      <c r="I305" s="863"/>
      <c r="J305" s="862"/>
      <c r="K305" s="862">
        <f t="shared" ref="K305:L309" si="24">K306</f>
        <v>131300</v>
      </c>
      <c r="L305" s="862">
        <f t="shared" si="24"/>
        <v>0</v>
      </c>
      <c r="M305" s="863"/>
      <c r="N305" s="863"/>
      <c r="O305" s="862"/>
      <c r="P305" s="862">
        <f t="shared" ref="P305:Q309" si="25">P306</f>
        <v>131300</v>
      </c>
      <c r="Q305" s="862">
        <f t="shared" si="25"/>
        <v>0</v>
      </c>
      <c r="R305" s="863"/>
    </row>
    <row r="306" spans="1:18" s="1071" customFormat="1" ht="13.2">
      <c r="A306" s="1116"/>
      <c r="B306" s="830" t="s">
        <v>266</v>
      </c>
      <c r="C306" s="862"/>
      <c r="D306" s="863"/>
      <c r="E306" s="862"/>
      <c r="F306" s="862">
        <f>F307</f>
        <v>142740</v>
      </c>
      <c r="G306" s="862">
        <f>G307</f>
        <v>0</v>
      </c>
      <c r="H306" s="863"/>
      <c r="I306" s="863"/>
      <c r="J306" s="862"/>
      <c r="K306" s="862">
        <f t="shared" si="24"/>
        <v>131300</v>
      </c>
      <c r="L306" s="862">
        <f t="shared" si="24"/>
        <v>0</v>
      </c>
      <c r="M306" s="863"/>
      <c r="N306" s="863"/>
      <c r="O306" s="862"/>
      <c r="P306" s="862">
        <f t="shared" si="25"/>
        <v>131300</v>
      </c>
      <c r="Q306" s="862">
        <f t="shared" si="25"/>
        <v>0</v>
      </c>
      <c r="R306" s="863"/>
    </row>
    <row r="307" spans="1:18" s="1071" customFormat="1" ht="26.4">
      <c r="A307" s="1116"/>
      <c r="B307" s="830" t="s">
        <v>267</v>
      </c>
      <c r="C307" s="862"/>
      <c r="D307" s="863"/>
      <c r="E307" s="862"/>
      <c r="F307" s="862">
        <v>142740</v>
      </c>
      <c r="G307" s="862">
        <f>G308</f>
        <v>0</v>
      </c>
      <c r="H307" s="863"/>
      <c r="I307" s="863"/>
      <c r="J307" s="862"/>
      <c r="K307" s="862">
        <f t="shared" si="24"/>
        <v>131300</v>
      </c>
      <c r="L307" s="862">
        <f t="shared" si="24"/>
        <v>0</v>
      </c>
      <c r="M307" s="863"/>
      <c r="N307" s="863"/>
      <c r="O307" s="862"/>
      <c r="P307" s="862">
        <f t="shared" si="25"/>
        <v>131300</v>
      </c>
      <c r="Q307" s="862">
        <f t="shared" si="25"/>
        <v>0</v>
      </c>
      <c r="R307" s="863"/>
    </row>
    <row r="308" spans="1:18" s="1071" customFormat="1" ht="13.2">
      <c r="A308" s="1116"/>
      <c r="B308" s="830" t="s">
        <v>268</v>
      </c>
      <c r="C308" s="862"/>
      <c r="D308" s="863"/>
      <c r="E308" s="862"/>
      <c r="F308" s="862">
        <f>F309</f>
        <v>142740</v>
      </c>
      <c r="G308" s="862">
        <f>G309</f>
        <v>0</v>
      </c>
      <c r="H308" s="863"/>
      <c r="I308" s="863"/>
      <c r="J308" s="862"/>
      <c r="K308" s="862">
        <f t="shared" si="24"/>
        <v>131300</v>
      </c>
      <c r="L308" s="862">
        <f t="shared" si="24"/>
        <v>0</v>
      </c>
      <c r="M308" s="863"/>
      <c r="N308" s="863"/>
      <c r="O308" s="862"/>
      <c r="P308" s="862">
        <f t="shared" si="25"/>
        <v>131300</v>
      </c>
      <c r="Q308" s="862">
        <f t="shared" si="25"/>
        <v>0</v>
      </c>
      <c r="R308" s="863"/>
    </row>
    <row r="309" spans="1:18" s="1071" customFormat="1" ht="13.2">
      <c r="A309" s="1116"/>
      <c r="B309" s="830" t="s">
        <v>269</v>
      </c>
      <c r="C309" s="862"/>
      <c r="D309" s="863"/>
      <c r="E309" s="862"/>
      <c r="F309" s="862">
        <f>F310</f>
        <v>142740</v>
      </c>
      <c r="G309" s="862">
        <f>G310</f>
        <v>0</v>
      </c>
      <c r="H309" s="863"/>
      <c r="I309" s="863"/>
      <c r="J309" s="862"/>
      <c r="K309" s="862">
        <f t="shared" si="24"/>
        <v>131300</v>
      </c>
      <c r="L309" s="862">
        <f t="shared" si="24"/>
        <v>0</v>
      </c>
      <c r="M309" s="863"/>
      <c r="N309" s="863"/>
      <c r="O309" s="862"/>
      <c r="P309" s="862">
        <f t="shared" si="25"/>
        <v>131300</v>
      </c>
      <c r="Q309" s="862">
        <f t="shared" si="25"/>
        <v>0</v>
      </c>
      <c r="R309" s="863"/>
    </row>
    <row r="310" spans="1:18" s="1071" customFormat="1" ht="13.2">
      <c r="A310" s="1116"/>
      <c r="B310" s="830" t="s">
        <v>111</v>
      </c>
      <c r="C310" s="862"/>
      <c r="D310" s="863"/>
      <c r="E310" s="862"/>
      <c r="F310" s="862">
        <v>142740</v>
      </c>
      <c r="G310" s="862"/>
      <c r="H310" s="863"/>
      <c r="I310" s="863"/>
      <c r="J310" s="862"/>
      <c r="K310" s="862">
        <v>131300</v>
      </c>
      <c r="L310" s="862"/>
      <c r="M310" s="863"/>
      <c r="N310" s="863"/>
      <c r="O310" s="862"/>
      <c r="P310" s="862">
        <v>131300</v>
      </c>
      <c r="Q310" s="862"/>
      <c r="R310" s="863"/>
    </row>
    <row r="311" spans="1:18" s="1071" customFormat="1" ht="39.6">
      <c r="A311" s="1116" t="s">
        <v>326</v>
      </c>
      <c r="B311" s="829" t="s">
        <v>601</v>
      </c>
      <c r="C311" s="862"/>
      <c r="D311" s="863"/>
      <c r="E311" s="862"/>
      <c r="F311" s="863"/>
      <c r="G311" s="862"/>
      <c r="H311" s="863"/>
      <c r="I311" s="863"/>
      <c r="J311" s="862"/>
      <c r="K311" s="863"/>
      <c r="L311" s="863"/>
      <c r="M311" s="863"/>
      <c r="N311" s="863"/>
      <c r="O311" s="862"/>
      <c r="P311" s="863"/>
      <c r="Q311" s="863"/>
      <c r="R311" s="863"/>
    </row>
    <row r="312" spans="1:18" s="1071" customFormat="1" ht="13.2">
      <c r="A312" s="1118"/>
      <c r="B312" s="830" t="s">
        <v>264</v>
      </c>
      <c r="C312" s="862"/>
      <c r="D312" s="863"/>
      <c r="E312" s="862"/>
      <c r="F312" s="1119"/>
      <c r="G312" s="862">
        <v>1000000</v>
      </c>
      <c r="H312" s="863"/>
      <c r="I312" s="863"/>
      <c r="J312" s="862"/>
      <c r="K312" s="1119"/>
      <c r="L312" s="1119">
        <v>3200000</v>
      </c>
      <c r="M312" s="863"/>
      <c r="N312" s="863"/>
      <c r="O312" s="862"/>
      <c r="P312" s="1119"/>
      <c r="Q312" s="1119">
        <v>3200000</v>
      </c>
      <c r="R312" s="863"/>
    </row>
    <row r="313" spans="1:18" s="1071" customFormat="1" ht="13.2">
      <c r="A313" s="1118"/>
      <c r="B313" s="830" t="s">
        <v>266</v>
      </c>
      <c r="C313" s="862"/>
      <c r="D313" s="863"/>
      <c r="E313" s="862"/>
      <c r="F313" s="1119"/>
      <c r="G313" s="862">
        <v>1000000</v>
      </c>
      <c r="H313" s="863"/>
      <c r="I313" s="863"/>
      <c r="J313" s="862"/>
      <c r="K313" s="1119"/>
      <c r="L313" s="1119">
        <v>3200000</v>
      </c>
      <c r="M313" s="863"/>
      <c r="N313" s="863"/>
      <c r="O313" s="862"/>
      <c r="P313" s="1119"/>
      <c r="Q313" s="1119">
        <v>3200000</v>
      </c>
      <c r="R313" s="863"/>
    </row>
    <row r="314" spans="1:18" s="1071" customFormat="1" ht="26.4">
      <c r="A314" s="1118"/>
      <c r="B314" s="830" t="s">
        <v>267</v>
      </c>
      <c r="C314" s="862"/>
      <c r="D314" s="863"/>
      <c r="E314" s="862"/>
      <c r="F314" s="1119"/>
      <c r="G314" s="862">
        <v>1000000</v>
      </c>
      <c r="H314" s="863"/>
      <c r="I314" s="863"/>
      <c r="J314" s="862"/>
      <c r="K314" s="1119"/>
      <c r="L314" s="1119">
        <v>3200000</v>
      </c>
      <c r="M314" s="863"/>
      <c r="N314" s="863"/>
      <c r="O314" s="862"/>
      <c r="P314" s="1119"/>
      <c r="Q314" s="1119">
        <v>3200000</v>
      </c>
      <c r="R314" s="863"/>
    </row>
    <row r="315" spans="1:18" s="1071" customFormat="1" ht="13.2">
      <c r="A315" s="1118"/>
      <c r="B315" s="830" t="s">
        <v>268</v>
      </c>
      <c r="C315" s="862"/>
      <c r="D315" s="863"/>
      <c r="E315" s="862"/>
      <c r="F315" s="1119"/>
      <c r="G315" s="862">
        <v>1000000</v>
      </c>
      <c r="H315" s="863"/>
      <c r="I315" s="863"/>
      <c r="J315" s="862"/>
      <c r="K315" s="1119"/>
      <c r="L315" s="1119">
        <v>3200000</v>
      </c>
      <c r="M315" s="863"/>
      <c r="N315" s="863"/>
      <c r="O315" s="862"/>
      <c r="P315" s="1119"/>
      <c r="Q315" s="1119">
        <v>3200000</v>
      </c>
      <c r="R315" s="863"/>
    </row>
    <row r="316" spans="1:18" s="1071" customFormat="1" ht="13.2">
      <c r="A316" s="1118"/>
      <c r="B316" s="830" t="s">
        <v>269</v>
      </c>
      <c r="C316" s="862"/>
      <c r="D316" s="863"/>
      <c r="E316" s="862"/>
      <c r="F316" s="1119"/>
      <c r="G316" s="1119">
        <f>G317+G318+G319</f>
        <v>1000000</v>
      </c>
      <c r="H316" s="863"/>
      <c r="I316" s="863"/>
      <c r="J316" s="862"/>
      <c r="K316" s="1119"/>
      <c r="L316" s="1119">
        <f>L317+L318+L319</f>
        <v>3200000</v>
      </c>
      <c r="M316" s="863"/>
      <c r="N316" s="863"/>
      <c r="O316" s="862"/>
      <c r="P316" s="1119"/>
      <c r="Q316" s="1119">
        <f>Q317+Q318+Q319</f>
        <v>3200000</v>
      </c>
      <c r="R316" s="863"/>
    </row>
    <row r="317" spans="1:18" s="1071" customFormat="1" ht="13.2">
      <c r="A317" s="1118"/>
      <c r="B317" s="830" t="s">
        <v>111</v>
      </c>
      <c r="C317" s="862"/>
      <c r="D317" s="863"/>
      <c r="E317" s="862"/>
      <c r="F317" s="1119"/>
      <c r="G317" s="1119">
        <v>746934</v>
      </c>
      <c r="H317" s="863"/>
      <c r="I317" s="863"/>
      <c r="J317" s="862"/>
      <c r="K317" s="1119"/>
      <c r="L317" s="1119">
        <v>1988870</v>
      </c>
      <c r="M317" s="863"/>
      <c r="N317" s="863"/>
      <c r="O317" s="862"/>
      <c r="P317" s="1119"/>
      <c r="Q317" s="1119">
        <v>1988870</v>
      </c>
      <c r="R317" s="863"/>
    </row>
    <row r="318" spans="1:18" s="1071" customFormat="1" ht="24">
      <c r="A318" s="1118"/>
      <c r="B318" s="1120" t="s">
        <v>602</v>
      </c>
      <c r="C318" s="862"/>
      <c r="D318" s="863"/>
      <c r="E318" s="862"/>
      <c r="F318" s="1119"/>
      <c r="G318" s="1119">
        <v>22708</v>
      </c>
      <c r="H318" s="863"/>
      <c r="I318" s="863"/>
      <c r="J318" s="862"/>
      <c r="K318" s="1119"/>
      <c r="L318" s="1119">
        <v>200127</v>
      </c>
      <c r="M318" s="863"/>
      <c r="N318" s="863"/>
      <c r="O318" s="862"/>
      <c r="P318" s="1119"/>
      <c r="Q318" s="1119">
        <v>200127</v>
      </c>
      <c r="R318" s="863"/>
    </row>
    <row r="319" spans="1:18" s="1071" customFormat="1" ht="24">
      <c r="A319" s="1118"/>
      <c r="B319" s="1120" t="s">
        <v>603</v>
      </c>
      <c r="C319" s="862"/>
      <c r="D319" s="863"/>
      <c r="E319" s="862"/>
      <c r="F319" s="1119"/>
      <c r="G319" s="1119">
        <v>230358</v>
      </c>
      <c r="H319" s="863"/>
      <c r="I319" s="863"/>
      <c r="J319" s="862"/>
      <c r="K319" s="1119"/>
      <c r="L319" s="1119">
        <v>1011003</v>
      </c>
      <c r="M319" s="863"/>
      <c r="N319" s="863"/>
      <c r="O319" s="862"/>
      <c r="P319" s="1119"/>
      <c r="Q319" s="1119">
        <v>1011003</v>
      </c>
      <c r="R319" s="863"/>
    </row>
    <row r="320" spans="1:18" s="1071" customFormat="1" ht="26.4">
      <c r="A320" s="750"/>
      <c r="B320" s="830" t="s">
        <v>604</v>
      </c>
      <c r="C320" s="862"/>
      <c r="D320" s="863"/>
      <c r="E320" s="862"/>
      <c r="F320" s="863"/>
      <c r="G320" s="863"/>
      <c r="H320" s="863"/>
      <c r="I320" s="863"/>
      <c r="J320" s="862"/>
      <c r="K320" s="862"/>
      <c r="L320" s="863"/>
      <c r="M320" s="863"/>
      <c r="N320" s="863"/>
      <c r="O320" s="862"/>
      <c r="P320" s="863"/>
      <c r="Q320" s="863"/>
      <c r="R320" s="863"/>
    </row>
    <row r="321" spans="1:18" s="1071" customFormat="1" ht="26.4">
      <c r="A321" s="1116" t="s">
        <v>327</v>
      </c>
      <c r="B321" s="829" t="s">
        <v>605</v>
      </c>
      <c r="C321" s="862"/>
      <c r="D321" s="863"/>
      <c r="E321" s="862"/>
      <c r="F321" s="863"/>
      <c r="G321" s="863"/>
      <c r="H321" s="863"/>
      <c r="I321" s="863"/>
      <c r="J321" s="862"/>
      <c r="K321" s="862"/>
      <c r="L321" s="863"/>
      <c r="M321" s="863"/>
      <c r="N321" s="863"/>
      <c r="O321" s="862"/>
      <c r="P321" s="863"/>
      <c r="Q321" s="863"/>
      <c r="R321" s="863"/>
    </row>
    <row r="322" spans="1:18" s="1071" customFormat="1" ht="13.2">
      <c r="A322" s="1118"/>
      <c r="B322" s="830" t="s">
        <v>264</v>
      </c>
      <c r="C322" s="862"/>
      <c r="D322" s="863"/>
      <c r="E322" s="862"/>
      <c r="F322" s="1119"/>
      <c r="G322" s="1119">
        <v>11705713</v>
      </c>
      <c r="H322" s="863"/>
      <c r="I322" s="863"/>
      <c r="J322" s="862"/>
      <c r="K322" s="862"/>
      <c r="L322" s="862">
        <v>12099847</v>
      </c>
      <c r="M322" s="863"/>
      <c r="N322" s="863"/>
      <c r="O322" s="862"/>
      <c r="P322" s="862"/>
      <c r="Q322" s="862">
        <v>12507544</v>
      </c>
      <c r="R322" s="863"/>
    </row>
    <row r="323" spans="1:18" s="1071" customFormat="1" ht="13.2">
      <c r="A323" s="1118"/>
      <c r="B323" s="830" t="s">
        <v>266</v>
      </c>
      <c r="C323" s="862"/>
      <c r="D323" s="863"/>
      <c r="E323" s="862"/>
      <c r="F323" s="1119"/>
      <c r="G323" s="1119">
        <v>11705713</v>
      </c>
      <c r="H323" s="863"/>
      <c r="I323" s="863"/>
      <c r="J323" s="862"/>
      <c r="K323" s="862"/>
      <c r="L323" s="862">
        <v>12099847</v>
      </c>
      <c r="M323" s="863"/>
      <c r="N323" s="863"/>
      <c r="O323" s="862"/>
      <c r="P323" s="862"/>
      <c r="Q323" s="862">
        <v>12507544</v>
      </c>
      <c r="R323" s="863"/>
    </row>
    <row r="324" spans="1:18" s="1071" customFormat="1" ht="26.4">
      <c r="A324" s="1118"/>
      <c r="B324" s="830" t="s">
        <v>267</v>
      </c>
      <c r="C324" s="862"/>
      <c r="D324" s="863"/>
      <c r="E324" s="862"/>
      <c r="F324" s="1119"/>
      <c r="G324" s="1119">
        <v>11705713</v>
      </c>
      <c r="H324" s="863"/>
      <c r="I324" s="863"/>
      <c r="J324" s="862"/>
      <c r="K324" s="862"/>
      <c r="L324" s="862">
        <v>12099847</v>
      </c>
      <c r="M324" s="863"/>
      <c r="N324" s="863"/>
      <c r="O324" s="862"/>
      <c r="P324" s="862"/>
      <c r="Q324" s="862">
        <v>12507544</v>
      </c>
      <c r="R324" s="863"/>
    </row>
    <row r="325" spans="1:18" s="1071" customFormat="1" ht="13.2">
      <c r="A325" s="1118"/>
      <c r="B325" s="830" t="s">
        <v>268</v>
      </c>
      <c r="C325" s="862"/>
      <c r="D325" s="863"/>
      <c r="E325" s="862"/>
      <c r="F325" s="1119"/>
      <c r="G325" s="1119">
        <v>11705713</v>
      </c>
      <c r="H325" s="863"/>
      <c r="I325" s="863"/>
      <c r="J325" s="862"/>
      <c r="K325" s="862"/>
      <c r="L325" s="862">
        <v>12099847</v>
      </c>
      <c r="M325" s="863"/>
      <c r="N325" s="863"/>
      <c r="O325" s="862"/>
      <c r="P325" s="862"/>
      <c r="Q325" s="862">
        <v>12507544</v>
      </c>
      <c r="R325" s="863"/>
    </row>
    <row r="326" spans="1:18" s="1071" customFormat="1" ht="13.2">
      <c r="A326" s="1118"/>
      <c r="B326" s="830" t="s">
        <v>269</v>
      </c>
      <c r="C326" s="862"/>
      <c r="D326" s="863"/>
      <c r="E326" s="862"/>
      <c r="F326" s="1119"/>
      <c r="G326" s="1119">
        <v>11705713</v>
      </c>
      <c r="H326" s="863"/>
      <c r="I326" s="863"/>
      <c r="J326" s="862"/>
      <c r="K326" s="862"/>
      <c r="L326" s="862">
        <v>12099847</v>
      </c>
      <c r="M326" s="863"/>
      <c r="N326" s="863"/>
      <c r="O326" s="862"/>
      <c r="P326" s="862"/>
      <c r="Q326" s="862">
        <v>12507544</v>
      </c>
      <c r="R326" s="863"/>
    </row>
    <row r="327" spans="1:18" s="1071" customFormat="1" ht="13.2">
      <c r="A327" s="1118"/>
      <c r="B327" s="830" t="s">
        <v>111</v>
      </c>
      <c r="C327" s="862"/>
      <c r="D327" s="863"/>
      <c r="E327" s="862"/>
      <c r="F327" s="1119"/>
      <c r="G327" s="1119">
        <v>5953189</v>
      </c>
      <c r="H327" s="863"/>
      <c r="I327" s="863"/>
      <c r="J327" s="862"/>
      <c r="K327" s="862"/>
      <c r="L327" s="862">
        <v>6131784</v>
      </c>
      <c r="M327" s="863"/>
      <c r="N327" s="863"/>
      <c r="O327" s="862"/>
      <c r="P327" s="862"/>
      <c r="Q327" s="862">
        <v>6315738</v>
      </c>
      <c r="R327" s="863"/>
    </row>
    <row r="328" spans="1:18" s="1071" customFormat="1" ht="24">
      <c r="A328" s="1118"/>
      <c r="B328" s="1120" t="s">
        <v>602</v>
      </c>
      <c r="C328" s="862"/>
      <c r="D328" s="863"/>
      <c r="E328" s="862"/>
      <c r="F328" s="1119"/>
      <c r="G328" s="1119">
        <v>4034759</v>
      </c>
      <c r="H328" s="863"/>
      <c r="I328" s="863"/>
      <c r="J328" s="862"/>
      <c r="K328" s="862"/>
      <c r="L328" s="862">
        <v>4198421</v>
      </c>
      <c r="M328" s="863"/>
      <c r="N328" s="863"/>
      <c r="O328" s="862"/>
      <c r="P328" s="862"/>
      <c r="Q328" s="862">
        <v>4368721</v>
      </c>
      <c r="R328" s="863"/>
    </row>
    <row r="329" spans="1:18" s="1071" customFormat="1" ht="24">
      <c r="A329" s="1118"/>
      <c r="B329" s="1120" t="s">
        <v>603</v>
      </c>
      <c r="C329" s="862"/>
      <c r="D329" s="863"/>
      <c r="E329" s="862"/>
      <c r="F329" s="1119"/>
      <c r="G329" s="1119">
        <v>1717765</v>
      </c>
      <c r="H329" s="863"/>
      <c r="I329" s="863"/>
      <c r="J329" s="862"/>
      <c r="K329" s="862"/>
      <c r="L329" s="862">
        <v>1769642</v>
      </c>
      <c r="M329" s="863"/>
      <c r="N329" s="863"/>
      <c r="O329" s="862"/>
      <c r="P329" s="862"/>
      <c r="Q329" s="862">
        <v>1823085</v>
      </c>
      <c r="R329" s="863"/>
    </row>
    <row r="330" spans="1:18" s="1071" customFormat="1" ht="26.4">
      <c r="A330" s="1116" t="s">
        <v>328</v>
      </c>
      <c r="B330" s="830" t="s">
        <v>606</v>
      </c>
      <c r="C330" s="862"/>
      <c r="D330" s="863"/>
      <c r="E330" s="862"/>
      <c r="F330" s="863"/>
      <c r="G330" s="862"/>
      <c r="H330" s="863"/>
      <c r="I330" s="863"/>
      <c r="J330" s="862"/>
      <c r="K330" s="862"/>
      <c r="L330" s="863"/>
      <c r="M330" s="863"/>
      <c r="N330" s="863"/>
      <c r="O330" s="862"/>
      <c r="P330" s="863"/>
      <c r="Q330" s="863"/>
      <c r="R330" s="863"/>
    </row>
    <row r="331" spans="1:18" s="1071" customFormat="1" ht="13.2">
      <c r="A331" s="1116"/>
      <c r="B331" s="829" t="s">
        <v>607</v>
      </c>
      <c r="C331" s="862"/>
      <c r="D331" s="863"/>
      <c r="E331" s="862"/>
      <c r="F331" s="863"/>
      <c r="G331" s="862"/>
      <c r="H331" s="863"/>
      <c r="I331" s="863"/>
      <c r="J331" s="862"/>
      <c r="K331" s="862"/>
      <c r="L331" s="863"/>
      <c r="M331" s="863"/>
      <c r="N331" s="863"/>
      <c r="O331" s="862"/>
      <c r="P331" s="863"/>
      <c r="Q331" s="863"/>
      <c r="R331" s="863"/>
    </row>
    <row r="332" spans="1:18" s="1071" customFormat="1" ht="13.2">
      <c r="A332" s="1116"/>
      <c r="B332" s="830" t="s">
        <v>264</v>
      </c>
      <c r="C332" s="862"/>
      <c r="D332" s="863"/>
      <c r="E332" s="862"/>
      <c r="F332" s="862"/>
      <c r="G332" s="862">
        <f>G333</f>
        <v>9994287</v>
      </c>
      <c r="H332" s="863"/>
      <c r="I332" s="863"/>
      <c r="J332" s="862"/>
      <c r="K332" s="862"/>
      <c r="L332" s="862">
        <f>L333</f>
        <v>9600153</v>
      </c>
      <c r="M332" s="863"/>
      <c r="N332" s="863"/>
      <c r="O332" s="862"/>
      <c r="P332" s="862"/>
      <c r="Q332" s="862">
        <f>Q333</f>
        <v>9192456</v>
      </c>
      <c r="R332" s="863"/>
    </row>
    <row r="333" spans="1:18" s="1071" customFormat="1" ht="13.2">
      <c r="A333" s="1116"/>
      <c r="B333" s="830" t="s">
        <v>266</v>
      </c>
      <c r="C333" s="862"/>
      <c r="D333" s="863"/>
      <c r="E333" s="862"/>
      <c r="F333" s="862"/>
      <c r="G333" s="862">
        <f>G334</f>
        <v>9994287</v>
      </c>
      <c r="H333" s="863"/>
      <c r="I333" s="863"/>
      <c r="J333" s="862"/>
      <c r="K333" s="862"/>
      <c r="L333" s="862">
        <f>L334</f>
        <v>9600153</v>
      </c>
      <c r="M333" s="863"/>
      <c r="N333" s="863"/>
      <c r="O333" s="862"/>
      <c r="P333" s="862"/>
      <c r="Q333" s="862">
        <f>Q334</f>
        <v>9192456</v>
      </c>
      <c r="R333" s="863"/>
    </row>
    <row r="334" spans="1:18" s="1071" customFormat="1" ht="26.4">
      <c r="A334" s="1116"/>
      <c r="B334" s="830" t="s">
        <v>267</v>
      </c>
      <c r="C334" s="862"/>
      <c r="D334" s="863"/>
      <c r="E334" s="862"/>
      <c r="F334" s="862"/>
      <c r="G334" s="862">
        <f>G335</f>
        <v>9994287</v>
      </c>
      <c r="H334" s="863"/>
      <c r="I334" s="863"/>
      <c r="J334" s="862"/>
      <c r="K334" s="862"/>
      <c r="L334" s="862">
        <f>L335</f>
        <v>9600153</v>
      </c>
      <c r="M334" s="863"/>
      <c r="N334" s="863"/>
      <c r="O334" s="862"/>
      <c r="P334" s="862"/>
      <c r="Q334" s="862">
        <f>Q335</f>
        <v>9192456</v>
      </c>
      <c r="R334" s="863"/>
    </row>
    <row r="335" spans="1:18" s="1071" customFormat="1" ht="13.2">
      <c r="A335" s="1116"/>
      <c r="B335" s="830" t="s">
        <v>268</v>
      </c>
      <c r="C335" s="862"/>
      <c r="D335" s="863"/>
      <c r="E335" s="862"/>
      <c r="F335" s="862"/>
      <c r="G335" s="862">
        <v>9994287</v>
      </c>
      <c r="H335" s="863"/>
      <c r="I335" s="863"/>
      <c r="J335" s="862"/>
      <c r="K335" s="862"/>
      <c r="L335" s="862">
        <v>9600153</v>
      </c>
      <c r="M335" s="863"/>
      <c r="N335" s="863"/>
      <c r="O335" s="862"/>
      <c r="P335" s="862"/>
      <c r="Q335" s="862">
        <v>9192456</v>
      </c>
      <c r="R335" s="863"/>
    </row>
    <row r="336" spans="1:18" s="1071" customFormat="1" ht="13.2">
      <c r="A336" s="1116"/>
      <c r="B336" s="830" t="s">
        <v>269</v>
      </c>
      <c r="C336" s="862"/>
      <c r="D336" s="863"/>
      <c r="E336" s="862"/>
      <c r="F336" s="862"/>
      <c r="G336" s="862">
        <v>0</v>
      </c>
      <c r="H336" s="863"/>
      <c r="I336" s="863"/>
      <c r="J336" s="862"/>
      <c r="K336" s="862"/>
      <c r="L336" s="862">
        <v>0</v>
      </c>
      <c r="M336" s="863"/>
      <c r="N336" s="863"/>
      <c r="O336" s="862"/>
      <c r="P336" s="862"/>
      <c r="Q336" s="862">
        <v>0</v>
      </c>
      <c r="R336" s="863"/>
    </row>
    <row r="337" spans="1:18" s="1071" customFormat="1" ht="13.2">
      <c r="A337" s="1116"/>
      <c r="B337" s="830" t="s">
        <v>270</v>
      </c>
      <c r="C337" s="862"/>
      <c r="D337" s="863"/>
      <c r="E337" s="862"/>
      <c r="F337" s="862"/>
      <c r="G337" s="862">
        <v>0</v>
      </c>
      <c r="H337" s="863"/>
      <c r="I337" s="863"/>
      <c r="J337" s="862"/>
      <c r="K337" s="862"/>
      <c r="L337" s="862">
        <v>0</v>
      </c>
      <c r="M337" s="863"/>
      <c r="N337" s="863"/>
      <c r="O337" s="862"/>
      <c r="P337" s="862"/>
      <c r="Q337" s="862">
        <v>0</v>
      </c>
      <c r="R337" s="863"/>
    </row>
    <row r="338" spans="1:18" s="1071" customFormat="1" ht="13.2">
      <c r="A338" s="1116"/>
      <c r="B338" s="1120" t="s">
        <v>273</v>
      </c>
      <c r="C338" s="862"/>
      <c r="D338" s="863"/>
      <c r="E338" s="862"/>
      <c r="F338" s="862"/>
      <c r="G338" s="862">
        <v>0</v>
      </c>
      <c r="H338" s="863"/>
      <c r="I338" s="863"/>
      <c r="J338" s="862"/>
      <c r="K338" s="862"/>
      <c r="L338" s="862">
        <v>0</v>
      </c>
      <c r="M338" s="863"/>
      <c r="N338" s="863"/>
      <c r="O338" s="862"/>
      <c r="P338" s="862"/>
      <c r="Q338" s="862">
        <v>0</v>
      </c>
      <c r="R338" s="863"/>
    </row>
    <row r="339" spans="1:18" s="1071" customFormat="1" ht="24">
      <c r="A339" s="1116"/>
      <c r="B339" s="1120" t="s">
        <v>608</v>
      </c>
      <c r="C339" s="862"/>
      <c r="D339" s="863"/>
      <c r="E339" s="862"/>
      <c r="F339" s="862"/>
      <c r="G339" s="862">
        <v>2983178</v>
      </c>
      <c r="H339" s="863"/>
      <c r="I339" s="863"/>
      <c r="J339" s="862"/>
      <c r="K339" s="862"/>
      <c r="L339" s="862">
        <v>2893315</v>
      </c>
      <c r="M339" s="863"/>
      <c r="N339" s="863"/>
      <c r="O339" s="862"/>
      <c r="P339" s="862"/>
      <c r="Q339" s="862">
        <v>2800360</v>
      </c>
      <c r="R339" s="863"/>
    </row>
    <row r="340" spans="1:18" s="1071" customFormat="1" ht="13.2">
      <c r="A340" s="1116"/>
      <c r="B340" s="829" t="s">
        <v>122</v>
      </c>
      <c r="C340" s="862"/>
      <c r="D340" s="863"/>
      <c r="E340" s="862"/>
      <c r="F340" s="1119"/>
      <c r="G340" s="1119">
        <f>G341</f>
        <v>7011109</v>
      </c>
      <c r="H340" s="863"/>
      <c r="I340" s="863"/>
      <c r="J340" s="862"/>
      <c r="K340" s="1119"/>
      <c r="L340" s="1119">
        <f>L341</f>
        <v>6706838</v>
      </c>
      <c r="M340" s="863"/>
      <c r="N340" s="863"/>
      <c r="O340" s="862"/>
      <c r="P340" s="1119"/>
      <c r="Q340" s="1119">
        <f>Q341</f>
        <v>6392096</v>
      </c>
      <c r="R340" s="863"/>
    </row>
    <row r="341" spans="1:18" s="1071" customFormat="1" ht="13.2">
      <c r="A341" s="1116"/>
      <c r="B341" s="1117" t="s">
        <v>123</v>
      </c>
      <c r="C341" s="862"/>
      <c r="D341" s="863"/>
      <c r="E341" s="862"/>
      <c r="F341" s="1119"/>
      <c r="G341" s="1119">
        <v>7011109</v>
      </c>
      <c r="H341" s="863"/>
      <c r="I341" s="863"/>
      <c r="J341" s="862"/>
      <c r="K341" s="1119"/>
      <c r="L341" s="1119">
        <v>6706838</v>
      </c>
      <c r="M341" s="863"/>
      <c r="N341" s="863"/>
      <c r="O341" s="862"/>
      <c r="P341" s="1119"/>
      <c r="Q341" s="1119">
        <v>6392096</v>
      </c>
      <c r="R341" s="863"/>
    </row>
    <row r="342" spans="1:18" s="1071" customFormat="1" ht="13.2">
      <c r="A342" s="1116" t="s">
        <v>224</v>
      </c>
      <c r="B342" s="1115" t="s">
        <v>242</v>
      </c>
      <c r="C342" s="862"/>
      <c r="D342" s="863"/>
      <c r="E342" s="862"/>
      <c r="F342" s="863"/>
      <c r="G342" s="863"/>
      <c r="H342" s="863"/>
      <c r="I342" s="863"/>
      <c r="J342" s="862"/>
      <c r="K342" s="863"/>
      <c r="L342" s="863"/>
      <c r="M342" s="863"/>
      <c r="N342" s="863"/>
      <c r="O342" s="862"/>
      <c r="P342" s="863"/>
      <c r="Q342" s="863"/>
      <c r="R342" s="863"/>
    </row>
    <row r="343" spans="1:18" s="1071" customFormat="1" ht="13.2">
      <c r="A343" s="1116" t="s">
        <v>243</v>
      </c>
      <c r="B343" s="830" t="s">
        <v>244</v>
      </c>
      <c r="C343" s="862"/>
      <c r="D343" s="863"/>
      <c r="E343" s="862"/>
      <c r="F343" s="863"/>
      <c r="G343" s="863"/>
      <c r="H343" s="863"/>
      <c r="I343" s="863"/>
      <c r="J343" s="862"/>
      <c r="K343" s="863"/>
      <c r="L343" s="863"/>
      <c r="M343" s="863"/>
      <c r="N343" s="863"/>
      <c r="O343" s="862"/>
      <c r="P343" s="863"/>
      <c r="Q343" s="863"/>
      <c r="R343" s="863"/>
    </row>
    <row r="344" spans="1:18" s="1071" customFormat="1" ht="12">
      <c r="A344" s="744"/>
      <c r="B344" s="748"/>
      <c r="C344" s="862"/>
      <c r="D344" s="863"/>
      <c r="E344" s="862"/>
      <c r="F344" s="863"/>
      <c r="G344" s="863"/>
      <c r="H344" s="863"/>
      <c r="I344" s="863"/>
      <c r="J344" s="862"/>
      <c r="K344" s="863"/>
      <c r="L344" s="863"/>
      <c r="M344" s="863"/>
      <c r="N344" s="863"/>
      <c r="O344" s="862"/>
      <c r="P344" s="863"/>
      <c r="Q344" s="863"/>
      <c r="R344" s="863"/>
    </row>
    <row r="345" spans="1:18" s="1071" customFormat="1" ht="12">
      <c r="A345" s="744"/>
      <c r="B345" s="748"/>
      <c r="C345" s="862"/>
      <c r="D345" s="863"/>
      <c r="E345" s="862"/>
      <c r="F345" s="863"/>
      <c r="G345" s="863"/>
      <c r="H345" s="863"/>
      <c r="I345" s="863"/>
      <c r="J345" s="862"/>
      <c r="K345" s="863"/>
      <c r="L345" s="863"/>
      <c r="M345" s="863"/>
      <c r="N345" s="863"/>
      <c r="O345" s="862"/>
      <c r="P345" s="863"/>
      <c r="Q345" s="863"/>
      <c r="R345" s="863"/>
    </row>
    <row r="346" spans="1:18" s="1071" customFormat="1" ht="12">
      <c r="A346" s="744"/>
      <c r="B346" s="749"/>
      <c r="C346" s="862"/>
      <c r="D346" s="863"/>
      <c r="E346" s="862"/>
      <c r="F346" s="863"/>
      <c r="G346" s="863"/>
      <c r="H346" s="863"/>
      <c r="I346" s="863"/>
      <c r="J346" s="862"/>
      <c r="K346" s="863"/>
      <c r="L346" s="863"/>
      <c r="M346" s="863"/>
      <c r="N346" s="863"/>
      <c r="O346" s="862"/>
      <c r="P346" s="863"/>
      <c r="Q346" s="863"/>
      <c r="R346" s="863"/>
    </row>
    <row r="347" spans="1:18" s="1071" customFormat="1" ht="12">
      <c r="A347" s="750"/>
      <c r="B347" s="751"/>
      <c r="C347" s="864"/>
      <c r="D347" s="865"/>
      <c r="E347" s="862"/>
      <c r="F347" s="863"/>
      <c r="G347" s="863"/>
      <c r="H347" s="863"/>
      <c r="I347" s="863"/>
      <c r="J347" s="862"/>
      <c r="K347" s="863"/>
      <c r="L347" s="863"/>
      <c r="M347" s="863"/>
      <c r="N347" s="863"/>
      <c r="O347" s="862"/>
      <c r="P347" s="863"/>
      <c r="Q347" s="863"/>
      <c r="R347" s="863"/>
    </row>
    <row r="348" spans="1:18" s="1071" customFormat="1" ht="12">
      <c r="A348" s="750"/>
      <c r="B348" s="751"/>
      <c r="C348" s="864"/>
      <c r="D348" s="865"/>
      <c r="E348" s="862"/>
      <c r="F348" s="863"/>
      <c r="G348" s="863"/>
      <c r="H348" s="863"/>
      <c r="I348" s="863"/>
      <c r="J348" s="862"/>
      <c r="K348" s="863"/>
      <c r="L348" s="863"/>
      <c r="M348" s="863"/>
      <c r="N348" s="863"/>
      <c r="O348" s="862"/>
      <c r="P348" s="863"/>
      <c r="Q348" s="863"/>
      <c r="R348" s="863"/>
    </row>
    <row r="349" spans="1:18" s="1071" customFormat="1" ht="12">
      <c r="A349" s="750"/>
      <c r="B349" s="751"/>
      <c r="C349" s="864"/>
      <c r="D349" s="865"/>
      <c r="E349" s="862"/>
      <c r="F349" s="863"/>
      <c r="G349" s="863"/>
      <c r="H349" s="863"/>
      <c r="I349" s="863"/>
      <c r="J349" s="862"/>
      <c r="K349" s="863"/>
      <c r="L349" s="863"/>
      <c r="M349" s="863"/>
      <c r="N349" s="863"/>
      <c r="O349" s="862"/>
      <c r="P349" s="863"/>
      <c r="Q349" s="863"/>
      <c r="R349" s="863"/>
    </row>
    <row r="350" spans="1:18" s="1071" customFormat="1" ht="12">
      <c r="A350" s="750"/>
      <c r="B350" s="751"/>
      <c r="C350" s="864"/>
      <c r="D350" s="865"/>
      <c r="E350" s="862"/>
      <c r="F350" s="863"/>
      <c r="G350" s="863"/>
      <c r="H350" s="863"/>
      <c r="I350" s="863"/>
      <c r="J350" s="862"/>
      <c r="K350" s="863"/>
      <c r="L350" s="863"/>
      <c r="M350" s="863"/>
      <c r="N350" s="863"/>
      <c r="O350" s="862"/>
      <c r="P350" s="863"/>
      <c r="Q350" s="863"/>
      <c r="R350" s="863"/>
    </row>
    <row r="351" spans="1:18" s="1071" customFormat="1" ht="12">
      <c r="A351" s="750"/>
      <c r="B351" s="751"/>
      <c r="C351" s="864"/>
      <c r="D351" s="865"/>
      <c r="E351" s="862"/>
      <c r="F351" s="863"/>
      <c r="G351" s="863"/>
      <c r="H351" s="863"/>
      <c r="I351" s="863"/>
      <c r="J351" s="862"/>
      <c r="K351" s="863"/>
      <c r="L351" s="863"/>
      <c r="M351" s="863"/>
      <c r="N351" s="863"/>
      <c r="O351" s="862"/>
      <c r="P351" s="863"/>
      <c r="Q351" s="863"/>
      <c r="R351" s="863"/>
    </row>
    <row r="352" spans="1:18" s="1071" customFormat="1" ht="12">
      <c r="A352" s="750"/>
      <c r="B352" s="751"/>
      <c r="C352" s="864"/>
      <c r="D352" s="865"/>
      <c r="E352" s="862"/>
      <c r="F352" s="863"/>
      <c r="G352" s="863"/>
      <c r="H352" s="863"/>
      <c r="I352" s="863"/>
      <c r="J352" s="862"/>
      <c r="K352" s="863"/>
      <c r="L352" s="863"/>
      <c r="M352" s="863"/>
      <c r="N352" s="863"/>
      <c r="O352" s="862"/>
      <c r="P352" s="863"/>
      <c r="Q352" s="863"/>
      <c r="R352" s="863"/>
    </row>
    <row r="353" spans="1:18" s="1071" customFormat="1" ht="12">
      <c r="A353" s="750"/>
      <c r="B353" s="751"/>
      <c r="C353" s="864"/>
      <c r="D353" s="865"/>
      <c r="E353" s="862"/>
      <c r="F353" s="863"/>
      <c r="G353" s="863"/>
      <c r="H353" s="863"/>
      <c r="I353" s="863"/>
      <c r="J353" s="862"/>
      <c r="K353" s="863"/>
      <c r="L353" s="863"/>
      <c r="M353" s="863"/>
      <c r="N353" s="863"/>
      <c r="O353" s="862"/>
      <c r="P353" s="863"/>
      <c r="Q353" s="863"/>
      <c r="R353" s="863"/>
    </row>
    <row r="354" spans="1:18" s="1071" customFormat="1" ht="12">
      <c r="A354" s="750"/>
      <c r="B354" s="751"/>
      <c r="C354" s="864"/>
      <c r="D354" s="865"/>
      <c r="E354" s="862"/>
      <c r="F354" s="863"/>
      <c r="G354" s="863"/>
      <c r="H354" s="863"/>
      <c r="I354" s="863"/>
      <c r="J354" s="862"/>
      <c r="K354" s="863"/>
      <c r="L354" s="863"/>
      <c r="M354" s="863"/>
      <c r="N354" s="863"/>
      <c r="O354" s="862"/>
      <c r="P354" s="863"/>
      <c r="Q354" s="863"/>
      <c r="R354" s="863"/>
    </row>
    <row r="355" spans="1:18" s="1071" customFormat="1" ht="12">
      <c r="A355" s="750"/>
      <c r="B355" s="751"/>
      <c r="C355" s="864"/>
      <c r="D355" s="865"/>
      <c r="E355" s="862"/>
      <c r="F355" s="863"/>
      <c r="G355" s="863"/>
      <c r="H355" s="863"/>
      <c r="I355" s="863"/>
      <c r="J355" s="862"/>
      <c r="K355" s="863"/>
      <c r="L355" s="863"/>
      <c r="M355" s="863"/>
      <c r="N355" s="863"/>
      <c r="O355" s="862"/>
      <c r="P355" s="863"/>
      <c r="Q355" s="863"/>
      <c r="R355" s="863"/>
    </row>
    <row r="356" spans="1:18" s="1071" customFormat="1" ht="12">
      <c r="A356" s="750"/>
      <c r="B356" s="751"/>
      <c r="C356" s="864"/>
      <c r="D356" s="865"/>
      <c r="E356" s="862"/>
      <c r="F356" s="863"/>
      <c r="G356" s="863"/>
      <c r="H356" s="863"/>
      <c r="I356" s="863"/>
      <c r="J356" s="862"/>
      <c r="K356" s="863"/>
      <c r="L356" s="863"/>
      <c r="M356" s="863"/>
      <c r="N356" s="863"/>
      <c r="O356" s="862"/>
      <c r="P356" s="863"/>
      <c r="Q356" s="863"/>
      <c r="R356" s="863"/>
    </row>
    <row r="357" spans="1:18" s="1071" customFormat="1" ht="12">
      <c r="A357" s="750"/>
      <c r="B357" s="751"/>
      <c r="C357" s="864"/>
      <c r="D357" s="865"/>
      <c r="E357" s="862"/>
      <c r="F357" s="863"/>
      <c r="G357" s="863"/>
      <c r="H357" s="863"/>
      <c r="I357" s="863"/>
      <c r="J357" s="862"/>
      <c r="K357" s="863"/>
      <c r="L357" s="863"/>
      <c r="M357" s="863"/>
      <c r="N357" s="863"/>
      <c r="O357" s="862"/>
      <c r="P357" s="863"/>
      <c r="Q357" s="863"/>
      <c r="R357" s="863"/>
    </row>
    <row r="358" spans="1:18" s="1071" customFormat="1" ht="12">
      <c r="A358" s="750"/>
      <c r="B358" s="751"/>
      <c r="C358" s="864"/>
      <c r="D358" s="865"/>
      <c r="E358" s="862"/>
      <c r="F358" s="863"/>
      <c r="G358" s="863"/>
      <c r="H358" s="863"/>
      <c r="I358" s="863"/>
      <c r="J358" s="862"/>
      <c r="K358" s="863"/>
      <c r="L358" s="863"/>
      <c r="M358" s="863"/>
      <c r="N358" s="863"/>
      <c r="O358" s="862"/>
      <c r="P358" s="863"/>
      <c r="Q358" s="863"/>
      <c r="R358" s="863"/>
    </row>
    <row r="359" spans="1:18" s="1071" customFormat="1" ht="12">
      <c r="A359" s="750"/>
      <c r="B359" s="751"/>
      <c r="C359" s="864"/>
      <c r="D359" s="865"/>
      <c r="E359" s="862"/>
      <c r="F359" s="863"/>
      <c r="G359" s="863"/>
      <c r="H359" s="863"/>
      <c r="I359" s="863"/>
      <c r="J359" s="862"/>
      <c r="K359" s="863"/>
      <c r="L359" s="863"/>
      <c r="M359" s="863"/>
      <c r="N359" s="863"/>
      <c r="O359" s="862"/>
      <c r="P359" s="863"/>
      <c r="Q359" s="863"/>
      <c r="R359" s="863"/>
    </row>
    <row r="360" spans="1:18" s="1071" customFormat="1" ht="12">
      <c r="A360" s="750"/>
      <c r="B360" s="751"/>
      <c r="C360" s="864"/>
      <c r="D360" s="865"/>
      <c r="E360" s="862"/>
      <c r="F360" s="863"/>
      <c r="G360" s="863"/>
      <c r="H360" s="863"/>
      <c r="I360" s="863"/>
      <c r="J360" s="862"/>
      <c r="K360" s="863"/>
      <c r="L360" s="863"/>
      <c r="M360" s="863"/>
      <c r="N360" s="863"/>
      <c r="O360" s="862"/>
      <c r="P360" s="863"/>
      <c r="Q360" s="863"/>
      <c r="R360" s="863"/>
    </row>
    <row r="361" spans="1:18" s="1071" customFormat="1" ht="12">
      <c r="A361" s="750"/>
      <c r="B361" s="751"/>
      <c r="C361" s="864"/>
      <c r="D361" s="865"/>
      <c r="E361" s="862"/>
      <c r="F361" s="863"/>
      <c r="G361" s="863"/>
      <c r="H361" s="863"/>
      <c r="I361" s="863"/>
      <c r="J361" s="862"/>
      <c r="K361" s="863"/>
      <c r="L361" s="863"/>
      <c r="M361" s="863"/>
      <c r="N361" s="863"/>
      <c r="O361" s="862"/>
      <c r="P361" s="863"/>
      <c r="Q361" s="863"/>
      <c r="R361" s="863"/>
    </row>
    <row r="362" spans="1:18" s="1071" customFormat="1" ht="12">
      <c r="A362" s="750"/>
      <c r="B362" s="751"/>
      <c r="C362" s="864"/>
      <c r="D362" s="865"/>
      <c r="E362" s="862"/>
      <c r="F362" s="863"/>
      <c r="G362" s="863"/>
      <c r="H362" s="863"/>
      <c r="I362" s="863"/>
      <c r="J362" s="862"/>
      <c r="K362" s="863"/>
      <c r="L362" s="863"/>
      <c r="M362" s="863"/>
      <c r="N362" s="863"/>
      <c r="O362" s="862"/>
      <c r="P362" s="863"/>
      <c r="Q362" s="863"/>
      <c r="R362" s="863"/>
    </row>
    <row r="363" spans="1:18" s="1071" customFormat="1" ht="12">
      <c r="A363" s="750"/>
      <c r="B363" s="751"/>
      <c r="C363" s="864"/>
      <c r="D363" s="865"/>
      <c r="E363" s="862"/>
      <c r="F363" s="863"/>
      <c r="G363" s="863"/>
      <c r="H363" s="863"/>
      <c r="I363" s="863"/>
      <c r="J363" s="862"/>
      <c r="K363" s="863"/>
      <c r="L363" s="863"/>
      <c r="M363" s="863"/>
      <c r="N363" s="863"/>
      <c r="O363" s="862"/>
      <c r="P363" s="863"/>
      <c r="Q363" s="863"/>
      <c r="R363" s="863"/>
    </row>
    <row r="364" spans="1:18" s="1071" customFormat="1" ht="12">
      <c r="A364" s="750"/>
      <c r="B364" s="751"/>
      <c r="C364" s="864"/>
      <c r="D364" s="865"/>
      <c r="E364" s="862"/>
      <c r="F364" s="863"/>
      <c r="G364" s="863"/>
      <c r="H364" s="863"/>
      <c r="I364" s="863"/>
      <c r="J364" s="862"/>
      <c r="K364" s="863"/>
      <c r="L364" s="863"/>
      <c r="M364" s="863"/>
      <c r="N364" s="863"/>
      <c r="O364" s="862"/>
      <c r="P364" s="863"/>
      <c r="Q364" s="863"/>
      <c r="R364" s="863"/>
    </row>
    <row r="365" spans="1:18" s="1071" customFormat="1" ht="12">
      <c r="A365" s="750"/>
      <c r="B365" s="751"/>
      <c r="C365" s="864"/>
      <c r="D365" s="865"/>
      <c r="E365" s="862"/>
      <c r="F365" s="863"/>
      <c r="G365" s="863"/>
      <c r="H365" s="863"/>
      <c r="I365" s="863"/>
      <c r="J365" s="862"/>
      <c r="K365" s="863"/>
      <c r="L365" s="863"/>
      <c r="M365" s="863"/>
      <c r="N365" s="863"/>
      <c r="O365" s="862"/>
      <c r="P365" s="863"/>
      <c r="Q365" s="863"/>
      <c r="R365" s="863"/>
    </row>
    <row r="366" spans="1:18" s="1071" customFormat="1" ht="12">
      <c r="A366" s="750"/>
      <c r="B366" s="751"/>
      <c r="C366" s="864"/>
      <c r="D366" s="865"/>
      <c r="E366" s="862"/>
      <c r="F366" s="863"/>
      <c r="G366" s="863"/>
      <c r="H366" s="863"/>
      <c r="I366" s="863"/>
      <c r="J366" s="862"/>
      <c r="K366" s="863"/>
      <c r="L366" s="863"/>
      <c r="M366" s="863"/>
      <c r="N366" s="863"/>
      <c r="O366" s="862"/>
      <c r="P366" s="863"/>
      <c r="Q366" s="863"/>
      <c r="R366" s="863"/>
    </row>
    <row r="367" spans="1:18" s="1071" customFormat="1" ht="12">
      <c r="A367" s="750"/>
      <c r="B367" s="751"/>
      <c r="C367" s="752"/>
      <c r="D367" s="753"/>
      <c r="E367" s="746"/>
      <c r="F367" s="747"/>
      <c r="G367" s="747"/>
      <c r="H367" s="747"/>
      <c r="I367" s="747"/>
      <c r="J367" s="746"/>
      <c r="K367" s="747"/>
      <c r="L367" s="747"/>
      <c r="M367" s="747"/>
      <c r="N367" s="747"/>
      <c r="O367" s="746"/>
      <c r="P367" s="747"/>
      <c r="Q367" s="747"/>
      <c r="R367" s="747"/>
    </row>
    <row r="368" spans="1:18" s="1071" customFormat="1" ht="12">
      <c r="A368" s="750"/>
      <c r="B368" s="751"/>
      <c r="C368" s="752"/>
      <c r="D368" s="753"/>
      <c r="E368" s="746"/>
      <c r="F368" s="747"/>
      <c r="G368" s="747"/>
      <c r="H368" s="747"/>
      <c r="I368" s="747"/>
      <c r="J368" s="746"/>
      <c r="K368" s="747"/>
      <c r="L368" s="747"/>
      <c r="M368" s="747"/>
      <c r="N368" s="747"/>
      <c r="O368" s="746"/>
      <c r="P368" s="747"/>
      <c r="Q368" s="747"/>
      <c r="R368" s="747"/>
    </row>
    <row r="369" spans="1:18" s="1071" customFormat="1" ht="12">
      <c r="A369" s="750"/>
      <c r="B369" s="751"/>
      <c r="C369" s="752"/>
      <c r="D369" s="753"/>
      <c r="E369" s="746"/>
      <c r="F369" s="747"/>
      <c r="G369" s="747"/>
      <c r="H369" s="747"/>
      <c r="I369" s="747"/>
      <c r="J369" s="746"/>
      <c r="K369" s="747"/>
      <c r="L369" s="747"/>
      <c r="M369" s="747"/>
      <c r="N369" s="747"/>
      <c r="O369" s="746"/>
      <c r="P369" s="747"/>
      <c r="Q369" s="747"/>
      <c r="R369" s="747"/>
    </row>
    <row r="370" spans="1:18" s="1071" customFormat="1" ht="12">
      <c r="A370" s="750"/>
      <c r="B370" s="751"/>
      <c r="C370" s="752"/>
      <c r="D370" s="753"/>
      <c r="E370" s="746"/>
      <c r="F370" s="747"/>
      <c r="G370" s="747"/>
      <c r="H370" s="747"/>
      <c r="I370" s="747"/>
      <c r="J370" s="746"/>
      <c r="K370" s="747"/>
      <c r="L370" s="747"/>
      <c r="M370" s="747"/>
      <c r="N370" s="747"/>
      <c r="O370" s="746"/>
      <c r="P370" s="747"/>
      <c r="Q370" s="747"/>
      <c r="R370" s="747"/>
    </row>
    <row r="371" spans="1:18" s="1071" customFormat="1" ht="12">
      <c r="A371" s="750"/>
      <c r="B371" s="751"/>
      <c r="C371" s="752"/>
      <c r="D371" s="753"/>
      <c r="E371" s="746"/>
      <c r="F371" s="747"/>
      <c r="G371" s="747"/>
      <c r="H371" s="747"/>
      <c r="I371" s="747"/>
      <c r="J371" s="746"/>
      <c r="K371" s="747"/>
      <c r="L371" s="747"/>
      <c r="M371" s="747"/>
      <c r="N371" s="747"/>
      <c r="O371" s="746"/>
      <c r="P371" s="747"/>
      <c r="Q371" s="747"/>
      <c r="R371" s="747"/>
    </row>
    <row r="372" spans="1:18" s="1071" customFormat="1" ht="12">
      <c r="A372" s="750"/>
      <c r="B372" s="751"/>
      <c r="C372" s="752"/>
      <c r="D372" s="753"/>
      <c r="E372" s="746"/>
      <c r="F372" s="747"/>
      <c r="G372" s="747"/>
      <c r="H372" s="747"/>
      <c r="I372" s="747"/>
      <c r="J372" s="746"/>
      <c r="K372" s="747"/>
      <c r="L372" s="747"/>
      <c r="M372" s="747"/>
      <c r="N372" s="747"/>
      <c r="O372" s="746"/>
      <c r="P372" s="747"/>
      <c r="Q372" s="747"/>
      <c r="R372" s="747"/>
    </row>
    <row r="373" spans="1:18" s="1071" customFormat="1" ht="12">
      <c r="A373" s="750"/>
      <c r="B373" s="751"/>
      <c r="C373" s="752"/>
      <c r="D373" s="753"/>
      <c r="E373" s="746"/>
      <c r="F373" s="747"/>
      <c r="G373" s="747"/>
      <c r="H373" s="747"/>
      <c r="I373" s="747"/>
      <c r="J373" s="746"/>
      <c r="K373" s="747"/>
      <c r="L373" s="747"/>
      <c r="M373" s="747"/>
      <c r="N373" s="747"/>
      <c r="O373" s="746"/>
      <c r="P373" s="747"/>
      <c r="Q373" s="747"/>
      <c r="R373" s="747"/>
    </row>
    <row r="374" spans="1:18" s="1071" customFormat="1" ht="12">
      <c r="A374" s="750"/>
      <c r="B374" s="751"/>
      <c r="C374" s="752"/>
      <c r="D374" s="753"/>
      <c r="E374" s="746"/>
      <c r="F374" s="747"/>
      <c r="G374" s="747"/>
      <c r="H374" s="747"/>
      <c r="I374" s="747"/>
      <c r="J374" s="746"/>
      <c r="K374" s="747"/>
      <c r="L374" s="747"/>
      <c r="M374" s="747"/>
      <c r="N374" s="747"/>
      <c r="O374" s="746"/>
      <c r="P374" s="747"/>
      <c r="Q374" s="747"/>
      <c r="R374" s="747"/>
    </row>
    <row r="375" spans="1:18" s="1071" customFormat="1" ht="12">
      <c r="A375" s="750"/>
      <c r="B375" s="751"/>
      <c r="C375" s="752"/>
      <c r="D375" s="753"/>
      <c r="E375" s="746"/>
      <c r="F375" s="747"/>
      <c r="G375" s="747"/>
      <c r="H375" s="747"/>
      <c r="I375" s="747"/>
      <c r="J375" s="746"/>
      <c r="K375" s="747"/>
      <c r="L375" s="747"/>
      <c r="M375" s="747"/>
      <c r="N375" s="747"/>
      <c r="O375" s="746"/>
      <c r="P375" s="747"/>
      <c r="Q375" s="747"/>
      <c r="R375" s="747"/>
    </row>
    <row r="376" spans="1:18" s="1071" customFormat="1" ht="12">
      <c r="A376" s="750"/>
      <c r="B376" s="751"/>
      <c r="C376" s="752"/>
      <c r="D376" s="753"/>
      <c r="E376" s="746"/>
      <c r="F376" s="747"/>
      <c r="G376" s="747"/>
      <c r="H376" s="747"/>
      <c r="I376" s="747"/>
      <c r="J376" s="746"/>
      <c r="K376" s="747"/>
      <c r="L376" s="747"/>
      <c r="M376" s="747"/>
      <c r="N376" s="747"/>
      <c r="O376" s="746"/>
      <c r="P376" s="747"/>
      <c r="Q376" s="747"/>
      <c r="R376" s="747"/>
    </row>
    <row r="377" spans="1:18" s="1071" customFormat="1" ht="12">
      <c r="A377" s="750"/>
      <c r="B377" s="751"/>
      <c r="C377" s="752"/>
      <c r="D377" s="753"/>
      <c r="E377" s="746"/>
      <c r="F377" s="747"/>
      <c r="G377" s="747"/>
      <c r="H377" s="747"/>
      <c r="I377" s="747"/>
      <c r="J377" s="746"/>
      <c r="K377" s="747"/>
      <c r="L377" s="747"/>
      <c r="M377" s="747"/>
      <c r="N377" s="747"/>
      <c r="O377" s="746"/>
      <c r="P377" s="747"/>
      <c r="Q377" s="747"/>
      <c r="R377" s="747"/>
    </row>
    <row r="378" spans="1:18" s="1071" customFormat="1" ht="12">
      <c r="A378" s="750"/>
      <c r="B378" s="751"/>
      <c r="C378" s="752"/>
      <c r="D378" s="753"/>
      <c r="E378" s="746"/>
      <c r="F378" s="747"/>
      <c r="G378" s="747"/>
      <c r="H378" s="747"/>
      <c r="I378" s="747"/>
      <c r="J378" s="746"/>
      <c r="K378" s="747"/>
      <c r="L378" s="747"/>
      <c r="M378" s="747"/>
      <c r="N378" s="747"/>
      <c r="O378" s="746"/>
      <c r="P378" s="747"/>
      <c r="Q378" s="747"/>
      <c r="R378" s="747"/>
    </row>
    <row r="379" spans="1:18" s="1071" customFormat="1" ht="12">
      <c r="A379" s="750"/>
      <c r="B379" s="751"/>
      <c r="C379" s="752"/>
      <c r="D379" s="753"/>
      <c r="E379" s="746"/>
      <c r="F379" s="747"/>
      <c r="G379" s="747"/>
      <c r="H379" s="747"/>
      <c r="I379" s="747"/>
      <c r="J379" s="746"/>
      <c r="K379" s="747"/>
      <c r="L379" s="747"/>
      <c r="M379" s="747"/>
      <c r="N379" s="747"/>
      <c r="O379" s="746"/>
      <c r="P379" s="747"/>
      <c r="Q379" s="747"/>
      <c r="R379" s="747"/>
    </row>
    <row r="380" spans="1:18" s="1071" customFormat="1" ht="12">
      <c r="A380" s="750"/>
      <c r="B380" s="751"/>
      <c r="C380" s="752"/>
      <c r="D380" s="753"/>
      <c r="E380" s="746"/>
      <c r="F380" s="747"/>
      <c r="G380" s="747"/>
      <c r="H380" s="747"/>
      <c r="I380" s="747"/>
      <c r="J380" s="746"/>
      <c r="K380" s="747"/>
      <c r="L380" s="747"/>
      <c r="M380" s="747"/>
      <c r="N380" s="747"/>
      <c r="O380" s="746"/>
      <c r="P380" s="747"/>
      <c r="Q380" s="747"/>
      <c r="R380" s="747"/>
    </row>
    <row r="381" spans="1:18" s="1071" customFormat="1" ht="12">
      <c r="A381" s="750"/>
      <c r="B381" s="751"/>
      <c r="C381" s="752"/>
      <c r="D381" s="753"/>
      <c r="E381" s="746"/>
      <c r="F381" s="747"/>
      <c r="G381" s="747"/>
      <c r="H381" s="747"/>
      <c r="I381" s="747"/>
      <c r="J381" s="746"/>
      <c r="K381" s="747"/>
      <c r="L381" s="747"/>
      <c r="M381" s="747"/>
      <c r="N381" s="747"/>
      <c r="O381" s="746"/>
      <c r="P381" s="747"/>
      <c r="Q381" s="747"/>
      <c r="R381" s="747"/>
    </row>
    <row r="382" spans="1:18" s="1071" customFormat="1" ht="12">
      <c r="A382" s="750"/>
      <c r="B382" s="751"/>
      <c r="C382" s="752"/>
      <c r="D382" s="753"/>
      <c r="E382" s="746"/>
      <c r="F382" s="747"/>
      <c r="G382" s="747"/>
      <c r="H382" s="747"/>
      <c r="I382" s="747"/>
      <c r="J382" s="746"/>
      <c r="K382" s="747"/>
      <c r="L382" s="747"/>
      <c r="M382" s="747"/>
      <c r="N382" s="747"/>
      <c r="O382" s="746"/>
      <c r="P382" s="747"/>
      <c r="Q382" s="747"/>
      <c r="R382" s="747"/>
    </row>
    <row r="383" spans="1:18" s="1071" customFormat="1" ht="12">
      <c r="A383" s="750"/>
      <c r="B383" s="751"/>
      <c r="C383" s="752"/>
      <c r="D383" s="753"/>
      <c r="E383" s="746"/>
      <c r="F383" s="747"/>
      <c r="G383" s="747"/>
      <c r="H383" s="747"/>
      <c r="I383" s="747"/>
      <c r="J383" s="746"/>
      <c r="K383" s="747"/>
      <c r="L383" s="747"/>
      <c r="M383" s="747"/>
      <c r="N383" s="747"/>
      <c r="O383" s="746"/>
      <c r="P383" s="747"/>
      <c r="Q383" s="747"/>
      <c r="R383" s="747"/>
    </row>
    <row r="384" spans="1:18" s="1071" customFormat="1" ht="12">
      <c r="A384" s="750"/>
      <c r="B384" s="751"/>
      <c r="C384" s="752"/>
      <c r="D384" s="753"/>
      <c r="E384" s="746"/>
      <c r="F384" s="747"/>
      <c r="G384" s="747"/>
      <c r="H384" s="747"/>
      <c r="I384" s="747"/>
      <c r="J384" s="746"/>
      <c r="K384" s="747"/>
      <c r="L384" s="747"/>
      <c r="M384" s="747"/>
      <c r="N384" s="747"/>
      <c r="O384" s="746"/>
      <c r="P384" s="747"/>
      <c r="Q384" s="747"/>
      <c r="R384" s="747"/>
    </row>
    <row r="385" spans="1:18" s="1071" customFormat="1" ht="12">
      <c r="A385" s="750"/>
      <c r="B385" s="751"/>
      <c r="C385" s="752"/>
      <c r="D385" s="753"/>
      <c r="E385" s="746"/>
      <c r="F385" s="747"/>
      <c r="G385" s="747"/>
      <c r="H385" s="747"/>
      <c r="I385" s="747"/>
      <c r="J385" s="746"/>
      <c r="K385" s="747"/>
      <c r="L385" s="747"/>
      <c r="M385" s="747"/>
      <c r="N385" s="747"/>
      <c r="O385" s="746"/>
      <c r="P385" s="747"/>
      <c r="Q385" s="747"/>
      <c r="R385" s="747"/>
    </row>
    <row r="386" spans="1:18" s="1071" customFormat="1" ht="12">
      <c r="A386" s="750"/>
      <c r="B386" s="751"/>
      <c r="C386" s="752"/>
      <c r="D386" s="753"/>
      <c r="E386" s="746"/>
      <c r="F386" s="747"/>
      <c r="G386" s="747"/>
      <c r="H386" s="747"/>
      <c r="I386" s="747"/>
      <c r="J386" s="746"/>
      <c r="K386" s="747"/>
      <c r="L386" s="747"/>
      <c r="M386" s="747"/>
      <c r="N386" s="747"/>
      <c r="O386" s="746"/>
      <c r="P386" s="747"/>
      <c r="Q386" s="747"/>
      <c r="R386" s="747"/>
    </row>
    <row r="387" spans="1:18" s="1071" customFormat="1" ht="12">
      <c r="A387" s="750"/>
      <c r="B387" s="751"/>
      <c r="C387" s="752"/>
      <c r="D387" s="753"/>
      <c r="E387" s="746"/>
      <c r="F387" s="747"/>
      <c r="G387" s="747"/>
      <c r="H387" s="747"/>
      <c r="I387" s="747"/>
      <c r="J387" s="746"/>
      <c r="K387" s="747"/>
      <c r="L387" s="747"/>
      <c r="M387" s="747"/>
      <c r="N387" s="747"/>
      <c r="O387" s="746"/>
      <c r="P387" s="747"/>
      <c r="Q387" s="747"/>
      <c r="R387" s="747"/>
    </row>
    <row r="388" spans="1:18" s="1071" customFormat="1" ht="12">
      <c r="A388" s="750"/>
      <c r="B388" s="751"/>
      <c r="C388" s="752"/>
      <c r="D388" s="753"/>
      <c r="E388" s="746"/>
      <c r="F388" s="747"/>
      <c r="G388" s="747"/>
      <c r="H388" s="747"/>
      <c r="I388" s="747"/>
      <c r="J388" s="746"/>
      <c r="K388" s="747"/>
      <c r="L388" s="747"/>
      <c r="M388" s="747"/>
      <c r="N388" s="747"/>
      <c r="O388" s="746"/>
      <c r="P388" s="747"/>
      <c r="Q388" s="747"/>
      <c r="R388" s="747"/>
    </row>
    <row r="389" spans="1:18" s="1071" customFormat="1" ht="12">
      <c r="A389" s="750"/>
      <c r="B389" s="751"/>
      <c r="C389" s="752"/>
      <c r="D389" s="753"/>
      <c r="E389" s="746"/>
      <c r="F389" s="747"/>
      <c r="G389" s="747"/>
      <c r="H389" s="747"/>
      <c r="I389" s="747"/>
      <c r="J389" s="746"/>
      <c r="K389" s="747"/>
      <c r="L389" s="747"/>
      <c r="M389" s="747"/>
      <c r="N389" s="747"/>
      <c r="O389" s="746"/>
      <c r="P389" s="747"/>
      <c r="Q389" s="747"/>
      <c r="R389" s="747"/>
    </row>
    <row r="390" spans="1:18" s="1071" customFormat="1" ht="12">
      <c r="A390" s="750"/>
      <c r="B390" s="751"/>
      <c r="C390" s="752"/>
      <c r="D390" s="753"/>
      <c r="E390" s="746"/>
      <c r="F390" s="747"/>
      <c r="G390" s="747"/>
      <c r="H390" s="747"/>
      <c r="I390" s="747"/>
      <c r="J390" s="746"/>
      <c r="K390" s="747"/>
      <c r="L390" s="747"/>
      <c r="M390" s="747"/>
      <c r="N390" s="747"/>
      <c r="O390" s="746"/>
      <c r="P390" s="747"/>
      <c r="Q390" s="747"/>
      <c r="R390" s="747"/>
    </row>
    <row r="391" spans="1:18" s="1071" customFormat="1" ht="12">
      <c r="A391" s="750"/>
      <c r="B391" s="751"/>
      <c r="C391" s="752"/>
      <c r="D391" s="753"/>
      <c r="E391" s="746"/>
      <c r="F391" s="747"/>
      <c r="G391" s="747"/>
      <c r="H391" s="747"/>
      <c r="I391" s="747"/>
      <c r="J391" s="746"/>
      <c r="K391" s="747"/>
      <c r="L391" s="747"/>
      <c r="M391" s="747"/>
      <c r="N391" s="747"/>
      <c r="O391" s="746"/>
      <c r="P391" s="747"/>
      <c r="Q391" s="747"/>
      <c r="R391" s="747"/>
    </row>
    <row r="392" spans="1:18" s="1071" customFormat="1" ht="12">
      <c r="A392" s="750"/>
      <c r="B392" s="751"/>
      <c r="C392" s="752"/>
      <c r="D392" s="753"/>
      <c r="E392" s="746"/>
      <c r="F392" s="747"/>
      <c r="G392" s="747"/>
      <c r="H392" s="747"/>
      <c r="I392" s="747"/>
      <c r="J392" s="746"/>
      <c r="K392" s="747"/>
      <c r="L392" s="747"/>
      <c r="M392" s="747"/>
      <c r="N392" s="747"/>
      <c r="O392" s="746"/>
      <c r="P392" s="747"/>
      <c r="Q392" s="747"/>
      <c r="R392" s="747"/>
    </row>
    <row r="393" spans="1:18" s="1071" customFormat="1" ht="12">
      <c r="A393" s="750"/>
      <c r="B393" s="751"/>
      <c r="C393" s="752"/>
      <c r="D393" s="753"/>
      <c r="E393" s="746"/>
      <c r="F393" s="747"/>
      <c r="G393" s="747"/>
      <c r="H393" s="747"/>
      <c r="I393" s="747"/>
      <c r="J393" s="746"/>
      <c r="K393" s="747"/>
      <c r="L393" s="747"/>
      <c r="M393" s="747"/>
      <c r="N393" s="747"/>
      <c r="O393" s="746"/>
      <c r="P393" s="747"/>
      <c r="Q393" s="747"/>
      <c r="R393" s="747"/>
    </row>
    <row r="394" spans="1:18" s="1071" customFormat="1" ht="12">
      <c r="A394" s="750"/>
      <c r="B394" s="751"/>
      <c r="C394" s="752"/>
      <c r="D394" s="753"/>
      <c r="E394" s="746"/>
      <c r="F394" s="747"/>
      <c r="G394" s="747"/>
      <c r="H394" s="747"/>
      <c r="I394" s="747"/>
      <c r="J394" s="746"/>
      <c r="K394" s="747"/>
      <c r="L394" s="747"/>
      <c r="M394" s="747"/>
      <c r="N394" s="747"/>
      <c r="O394" s="746"/>
      <c r="P394" s="747"/>
      <c r="Q394" s="747"/>
      <c r="R394" s="747"/>
    </row>
    <row r="395" spans="1:18" s="1071" customFormat="1" ht="12">
      <c r="A395" s="750"/>
      <c r="B395" s="751"/>
      <c r="C395" s="752"/>
      <c r="D395" s="753"/>
      <c r="E395" s="746"/>
      <c r="F395" s="747"/>
      <c r="G395" s="747"/>
      <c r="H395" s="747"/>
      <c r="I395" s="747"/>
      <c r="J395" s="746"/>
      <c r="K395" s="747"/>
      <c r="L395" s="747"/>
      <c r="M395" s="747"/>
      <c r="N395" s="747"/>
      <c r="O395" s="746"/>
      <c r="P395" s="747"/>
      <c r="Q395" s="747"/>
      <c r="R395" s="747"/>
    </row>
    <row r="396" spans="1:18" s="1071" customFormat="1" ht="12">
      <c r="A396" s="750"/>
      <c r="B396" s="751"/>
      <c r="C396" s="752"/>
      <c r="D396" s="753"/>
      <c r="E396" s="746"/>
      <c r="F396" s="747"/>
      <c r="G396" s="747"/>
      <c r="H396" s="747"/>
      <c r="I396" s="747"/>
      <c r="J396" s="746"/>
      <c r="K396" s="747"/>
      <c r="L396" s="747"/>
      <c r="M396" s="747"/>
      <c r="N396" s="747"/>
      <c r="O396" s="746"/>
      <c r="P396" s="747"/>
      <c r="Q396" s="747"/>
      <c r="R396" s="747"/>
    </row>
    <row r="397" spans="1:18" s="1071" customFormat="1" ht="12">
      <c r="A397" s="750"/>
      <c r="B397" s="751"/>
      <c r="C397" s="752"/>
      <c r="D397" s="753"/>
      <c r="E397" s="746"/>
      <c r="F397" s="747"/>
      <c r="G397" s="747"/>
      <c r="H397" s="747"/>
      <c r="I397" s="747"/>
      <c r="J397" s="746"/>
      <c r="K397" s="747"/>
      <c r="L397" s="747"/>
      <c r="M397" s="747"/>
      <c r="N397" s="747"/>
      <c r="O397" s="746"/>
      <c r="P397" s="747"/>
      <c r="Q397" s="747"/>
      <c r="R397" s="747"/>
    </row>
    <row r="398" spans="1:18" s="1071" customFormat="1" ht="12">
      <c r="A398" s="750"/>
      <c r="B398" s="751"/>
      <c r="C398" s="752"/>
      <c r="D398" s="753"/>
      <c r="E398" s="746"/>
      <c r="F398" s="747"/>
      <c r="G398" s="747"/>
      <c r="H398" s="747"/>
      <c r="I398" s="747"/>
      <c r="J398" s="746"/>
      <c r="K398" s="747"/>
      <c r="L398" s="747"/>
      <c r="M398" s="747"/>
      <c r="N398" s="747"/>
      <c r="O398" s="746"/>
      <c r="P398" s="747"/>
      <c r="Q398" s="747"/>
      <c r="R398" s="747"/>
    </row>
    <row r="399" spans="1:18" s="1071" customFormat="1" ht="12">
      <c r="A399" s="750"/>
      <c r="B399" s="751"/>
      <c r="C399" s="752"/>
      <c r="D399" s="753"/>
      <c r="E399" s="746"/>
      <c r="F399" s="747"/>
      <c r="G399" s="747"/>
      <c r="H399" s="747"/>
      <c r="I399" s="747"/>
      <c r="J399" s="746"/>
      <c r="K399" s="747"/>
      <c r="L399" s="747"/>
      <c r="M399" s="747"/>
      <c r="N399" s="747"/>
      <c r="O399" s="746"/>
      <c r="P399" s="747"/>
      <c r="Q399" s="747"/>
      <c r="R399" s="747"/>
    </row>
    <row r="400" spans="1:18" s="1071" customFormat="1" ht="12">
      <c r="A400" s="750"/>
      <c r="B400" s="751"/>
      <c r="C400" s="752"/>
      <c r="D400" s="753"/>
      <c r="E400" s="746"/>
      <c r="F400" s="747"/>
      <c r="G400" s="747"/>
      <c r="H400" s="747"/>
      <c r="I400" s="747"/>
      <c r="J400" s="746"/>
      <c r="K400" s="747"/>
      <c r="L400" s="747"/>
      <c r="M400" s="747"/>
      <c r="N400" s="747"/>
      <c r="O400" s="746"/>
      <c r="P400" s="747"/>
      <c r="Q400" s="747"/>
      <c r="R400" s="747"/>
    </row>
    <row r="401" spans="1:18" s="1071" customFormat="1" ht="12">
      <c r="A401" s="750"/>
      <c r="B401" s="751"/>
      <c r="C401" s="752"/>
      <c r="D401" s="753"/>
      <c r="E401" s="746"/>
      <c r="F401" s="747"/>
      <c r="G401" s="747"/>
      <c r="H401" s="747"/>
      <c r="I401" s="747"/>
      <c r="J401" s="746"/>
      <c r="K401" s="747"/>
      <c r="L401" s="747"/>
      <c r="M401" s="747"/>
      <c r="N401" s="747"/>
      <c r="O401" s="746"/>
      <c r="P401" s="747"/>
      <c r="Q401" s="747"/>
      <c r="R401" s="747"/>
    </row>
    <row r="402" spans="1:18" s="1071" customFormat="1" ht="12">
      <c r="A402" s="750"/>
      <c r="B402" s="751"/>
      <c r="C402" s="752"/>
      <c r="D402" s="753"/>
      <c r="E402" s="746"/>
      <c r="F402" s="747"/>
      <c r="G402" s="747"/>
      <c r="H402" s="747"/>
      <c r="I402" s="747"/>
      <c r="J402" s="746"/>
      <c r="K402" s="747"/>
      <c r="L402" s="747"/>
      <c r="M402" s="747"/>
      <c r="N402" s="747"/>
      <c r="O402" s="746"/>
      <c r="P402" s="747"/>
      <c r="Q402" s="747"/>
      <c r="R402" s="747"/>
    </row>
    <row r="403" spans="1:18" s="1071" customFormat="1" ht="12">
      <c r="A403" s="750"/>
      <c r="B403" s="751"/>
      <c r="C403" s="752"/>
      <c r="D403" s="753"/>
      <c r="E403" s="746"/>
      <c r="F403" s="747"/>
      <c r="G403" s="747"/>
      <c r="H403" s="747"/>
      <c r="I403" s="747"/>
      <c r="J403" s="746"/>
      <c r="K403" s="747"/>
      <c r="L403" s="747"/>
      <c r="M403" s="747"/>
      <c r="N403" s="747"/>
      <c r="O403" s="746"/>
      <c r="P403" s="747"/>
      <c r="Q403" s="747"/>
      <c r="R403" s="747"/>
    </row>
    <row r="404" spans="1:18" s="1071" customFormat="1" ht="12">
      <c r="A404" s="750"/>
      <c r="B404" s="751"/>
      <c r="C404" s="752"/>
      <c r="D404" s="753"/>
      <c r="E404" s="746"/>
      <c r="F404" s="747"/>
      <c r="G404" s="747"/>
      <c r="H404" s="747"/>
      <c r="I404" s="747"/>
      <c r="J404" s="746"/>
      <c r="K404" s="747"/>
      <c r="L404" s="747"/>
      <c r="M404" s="747"/>
      <c r="N404" s="747"/>
      <c r="O404" s="746"/>
      <c r="P404" s="747"/>
      <c r="Q404" s="747"/>
      <c r="R404" s="747"/>
    </row>
    <row r="405" spans="1:18" s="1071" customFormat="1" ht="12">
      <c r="A405" s="750"/>
      <c r="B405" s="751"/>
      <c r="C405" s="752"/>
      <c r="D405" s="753"/>
      <c r="E405" s="746"/>
      <c r="F405" s="747"/>
      <c r="G405" s="747"/>
      <c r="H405" s="747"/>
      <c r="I405" s="747"/>
      <c r="J405" s="746"/>
      <c r="K405" s="747"/>
      <c r="L405" s="747"/>
      <c r="M405" s="747"/>
      <c r="N405" s="747"/>
      <c r="O405" s="746"/>
      <c r="P405" s="747"/>
      <c r="Q405" s="747"/>
      <c r="R405" s="747"/>
    </row>
    <row r="406" spans="1:18" s="1071" customFormat="1" ht="12">
      <c r="A406" s="750"/>
      <c r="B406" s="751"/>
      <c r="C406" s="752"/>
      <c r="D406" s="753"/>
      <c r="E406" s="746"/>
      <c r="F406" s="747"/>
      <c r="G406" s="747"/>
      <c r="H406" s="747"/>
      <c r="I406" s="747"/>
      <c r="J406" s="746"/>
      <c r="K406" s="747"/>
      <c r="L406" s="747"/>
      <c r="M406" s="747"/>
      <c r="N406" s="747"/>
      <c r="O406" s="746"/>
      <c r="P406" s="747"/>
      <c r="Q406" s="747"/>
      <c r="R406" s="747"/>
    </row>
    <row r="407" spans="1:18" s="1071" customFormat="1" ht="12">
      <c r="A407" s="750"/>
      <c r="B407" s="751"/>
      <c r="C407" s="752"/>
      <c r="D407" s="753"/>
      <c r="E407" s="746"/>
      <c r="F407" s="747"/>
      <c r="G407" s="747"/>
      <c r="H407" s="747"/>
      <c r="I407" s="747"/>
      <c r="J407" s="746"/>
      <c r="K407" s="747"/>
      <c r="L407" s="747"/>
      <c r="M407" s="747"/>
      <c r="N407" s="747"/>
      <c r="O407" s="746"/>
      <c r="P407" s="747"/>
      <c r="Q407" s="747"/>
      <c r="R407" s="747"/>
    </row>
    <row r="408" spans="1:18" s="1071" customFormat="1" ht="12">
      <c r="A408" s="750"/>
      <c r="B408" s="751"/>
      <c r="C408" s="752"/>
      <c r="D408" s="753"/>
      <c r="E408" s="746"/>
      <c r="F408" s="747"/>
      <c r="G408" s="747"/>
      <c r="H408" s="747"/>
      <c r="I408" s="747"/>
      <c r="J408" s="746"/>
      <c r="K408" s="747"/>
      <c r="L408" s="747"/>
      <c r="M408" s="747"/>
      <c r="N408" s="747"/>
      <c r="O408" s="746"/>
      <c r="P408" s="747"/>
      <c r="Q408" s="747"/>
      <c r="R408" s="747"/>
    </row>
    <row r="409" spans="1:18" s="1071" customFormat="1" ht="12">
      <c r="A409" s="750"/>
      <c r="B409" s="751"/>
      <c r="C409" s="752"/>
      <c r="D409" s="753"/>
      <c r="E409" s="746"/>
      <c r="F409" s="747"/>
      <c r="G409" s="747"/>
      <c r="H409" s="747"/>
      <c r="I409" s="747"/>
      <c r="J409" s="746"/>
      <c r="K409" s="747"/>
      <c r="L409" s="747"/>
      <c r="M409" s="747"/>
      <c r="N409" s="747"/>
      <c r="O409" s="746"/>
      <c r="P409" s="747"/>
      <c r="Q409" s="747"/>
      <c r="R409" s="747"/>
    </row>
    <row r="410" spans="1:18" s="1071" customFormat="1" ht="12">
      <c r="A410" s="750"/>
      <c r="B410" s="751"/>
      <c r="C410" s="752"/>
      <c r="D410" s="753"/>
      <c r="E410" s="746"/>
      <c r="F410" s="747"/>
      <c r="G410" s="747"/>
      <c r="H410" s="747"/>
      <c r="I410" s="747"/>
      <c r="J410" s="746"/>
      <c r="K410" s="747"/>
      <c r="L410" s="747"/>
      <c r="M410" s="747"/>
      <c r="N410" s="747"/>
      <c r="O410" s="746"/>
      <c r="P410" s="747"/>
      <c r="Q410" s="747"/>
      <c r="R410" s="747"/>
    </row>
    <row r="411" spans="1:18" s="1071" customFormat="1" ht="12">
      <c r="A411" s="750"/>
      <c r="B411" s="751"/>
      <c r="C411" s="752"/>
      <c r="D411" s="753"/>
      <c r="E411" s="746"/>
      <c r="F411" s="747"/>
      <c r="G411" s="747"/>
      <c r="H411" s="747"/>
      <c r="I411" s="747"/>
      <c r="J411" s="746"/>
      <c r="K411" s="747"/>
      <c r="L411" s="747"/>
      <c r="M411" s="747"/>
      <c r="N411" s="747"/>
      <c r="O411" s="746"/>
      <c r="P411" s="747"/>
      <c r="Q411" s="747"/>
      <c r="R411" s="747"/>
    </row>
    <row r="412" spans="1:18" s="1071" customFormat="1" ht="12">
      <c r="A412" s="750"/>
      <c r="B412" s="751"/>
      <c r="C412" s="752"/>
      <c r="D412" s="753"/>
      <c r="E412" s="746"/>
      <c r="F412" s="747"/>
      <c r="G412" s="747"/>
      <c r="H412" s="747"/>
      <c r="I412" s="747"/>
      <c r="J412" s="746"/>
      <c r="K412" s="747"/>
      <c r="L412" s="747"/>
      <c r="M412" s="747"/>
      <c r="N412" s="747"/>
      <c r="O412" s="746"/>
      <c r="P412" s="747"/>
      <c r="Q412" s="747"/>
      <c r="R412" s="747"/>
    </row>
    <row r="413" spans="1:18" s="1071" customFormat="1" ht="12">
      <c r="A413" s="750"/>
      <c r="B413" s="751"/>
      <c r="C413" s="752"/>
      <c r="D413" s="753"/>
      <c r="E413" s="746"/>
      <c r="F413" s="747"/>
      <c r="G413" s="747"/>
      <c r="H413" s="747"/>
      <c r="I413" s="747"/>
      <c r="J413" s="746"/>
      <c r="K413" s="747"/>
      <c r="L413" s="747"/>
      <c r="M413" s="747"/>
      <c r="N413" s="747"/>
      <c r="O413" s="746"/>
      <c r="P413" s="747"/>
      <c r="Q413" s="747"/>
      <c r="R413" s="747"/>
    </row>
    <row r="414" spans="1:18" s="1071" customFormat="1" ht="12">
      <c r="A414" s="750"/>
      <c r="B414" s="751"/>
      <c r="C414" s="752"/>
      <c r="D414" s="753"/>
      <c r="E414" s="746"/>
      <c r="F414" s="747"/>
      <c r="G414" s="747"/>
      <c r="H414" s="747"/>
      <c r="I414" s="747"/>
      <c r="J414" s="746"/>
      <c r="K414" s="747"/>
      <c r="L414" s="747"/>
      <c r="M414" s="747"/>
      <c r="N414" s="747"/>
      <c r="O414" s="746"/>
      <c r="P414" s="747"/>
      <c r="Q414" s="747"/>
      <c r="R414" s="747"/>
    </row>
    <row r="415" spans="1:18" s="1071" customFormat="1" ht="12">
      <c r="A415" s="750"/>
      <c r="B415" s="751"/>
      <c r="C415" s="752"/>
      <c r="D415" s="753"/>
      <c r="E415" s="746"/>
      <c r="F415" s="747"/>
      <c r="G415" s="747"/>
      <c r="H415" s="747"/>
      <c r="I415" s="747"/>
      <c r="J415" s="746"/>
      <c r="K415" s="747"/>
      <c r="L415" s="747"/>
      <c r="M415" s="747"/>
      <c r="N415" s="747"/>
      <c r="O415" s="746"/>
      <c r="P415" s="747"/>
      <c r="Q415" s="747"/>
      <c r="R415" s="747"/>
    </row>
    <row r="416" spans="1:18" s="1071" customFormat="1" ht="12">
      <c r="A416" s="750"/>
      <c r="B416" s="751"/>
      <c r="C416" s="752"/>
      <c r="D416" s="753"/>
      <c r="E416" s="746"/>
      <c r="F416" s="747"/>
      <c r="G416" s="747"/>
      <c r="H416" s="747"/>
      <c r="I416" s="747"/>
      <c r="J416" s="746"/>
      <c r="K416" s="747"/>
      <c r="L416" s="747"/>
      <c r="M416" s="747"/>
      <c r="N416" s="747"/>
      <c r="O416" s="746"/>
      <c r="P416" s="747"/>
      <c r="Q416" s="747"/>
      <c r="R416" s="747"/>
    </row>
    <row r="417" spans="1:18" s="1071" customFormat="1" ht="12">
      <c r="A417" s="750"/>
      <c r="B417" s="751"/>
      <c r="C417" s="752"/>
      <c r="D417" s="753"/>
      <c r="E417" s="746"/>
      <c r="F417" s="747"/>
      <c r="G417" s="747"/>
      <c r="H417" s="747"/>
      <c r="I417" s="747"/>
      <c r="J417" s="746"/>
      <c r="K417" s="747"/>
      <c r="L417" s="747"/>
      <c r="M417" s="747"/>
      <c r="N417" s="747"/>
      <c r="O417" s="746"/>
      <c r="P417" s="747"/>
      <c r="Q417" s="747"/>
      <c r="R417" s="747"/>
    </row>
    <row r="418" spans="1:18" s="1071" customFormat="1" ht="12">
      <c r="A418" s="750"/>
      <c r="B418" s="751"/>
      <c r="C418" s="752"/>
      <c r="D418" s="753"/>
      <c r="E418" s="746"/>
      <c r="F418" s="747"/>
      <c r="G418" s="747"/>
      <c r="H418" s="747"/>
      <c r="I418" s="747"/>
      <c r="J418" s="746"/>
      <c r="K418" s="747"/>
      <c r="L418" s="747"/>
      <c r="M418" s="747"/>
      <c r="N418" s="747"/>
      <c r="O418" s="746"/>
      <c r="P418" s="747"/>
      <c r="Q418" s="747"/>
      <c r="R418" s="747"/>
    </row>
    <row r="419" spans="1:18" s="1071" customFormat="1" ht="12">
      <c r="A419" s="750"/>
      <c r="B419" s="751"/>
      <c r="C419" s="752"/>
      <c r="D419" s="753"/>
      <c r="E419" s="746"/>
      <c r="F419" s="747"/>
      <c r="G419" s="747"/>
      <c r="H419" s="747"/>
      <c r="I419" s="747"/>
      <c r="J419" s="746"/>
      <c r="K419" s="747"/>
      <c r="L419" s="747"/>
      <c r="M419" s="747"/>
      <c r="N419" s="747"/>
      <c r="O419" s="746"/>
      <c r="P419" s="747"/>
      <c r="Q419" s="747"/>
      <c r="R419" s="747"/>
    </row>
    <row r="420" spans="1:18" s="1071" customFormat="1" ht="12">
      <c r="A420" s="750"/>
      <c r="B420" s="751"/>
      <c r="C420" s="752"/>
      <c r="D420" s="753"/>
      <c r="E420" s="746"/>
      <c r="F420" s="747"/>
      <c r="G420" s="747"/>
      <c r="H420" s="747"/>
      <c r="I420" s="747"/>
      <c r="J420" s="746"/>
      <c r="K420" s="747"/>
      <c r="L420" s="747"/>
      <c r="M420" s="747"/>
      <c r="N420" s="747"/>
      <c r="O420" s="746"/>
      <c r="P420" s="747"/>
      <c r="Q420" s="747"/>
      <c r="R420" s="747"/>
    </row>
    <row r="421" spans="1:18" s="1071" customFormat="1">
      <c r="A421" s="750"/>
      <c r="B421" s="751"/>
      <c r="C421" s="752"/>
      <c r="D421" s="753"/>
      <c r="E421" s="754"/>
      <c r="F421" s="755"/>
      <c r="G421" s="755"/>
      <c r="H421" s="756"/>
      <c r="I421" s="755"/>
      <c r="J421" s="754"/>
      <c r="K421" s="755"/>
      <c r="L421" s="755"/>
      <c r="M421" s="756"/>
      <c r="N421" s="755"/>
      <c r="O421" s="754"/>
      <c r="P421" s="755"/>
      <c r="Q421" s="755"/>
      <c r="R421" s="756"/>
    </row>
    <row r="422" spans="1:18" s="1071" customFormat="1">
      <c r="A422" s="750"/>
      <c r="B422" s="751"/>
      <c r="C422" s="752"/>
      <c r="D422" s="753"/>
      <c r="E422" s="754"/>
      <c r="F422" s="755"/>
      <c r="G422" s="755"/>
      <c r="H422" s="756"/>
      <c r="I422" s="755"/>
      <c r="J422" s="754"/>
      <c r="K422" s="755"/>
      <c r="L422" s="755"/>
      <c r="M422" s="756"/>
      <c r="N422" s="755"/>
      <c r="O422" s="754"/>
      <c r="P422" s="755"/>
      <c r="Q422" s="755"/>
      <c r="R422" s="756"/>
    </row>
    <row r="423" spans="1:18" s="1071" customFormat="1">
      <c r="A423" s="750"/>
      <c r="B423" s="751"/>
      <c r="C423" s="752"/>
      <c r="D423" s="753"/>
      <c r="E423" s="754"/>
      <c r="F423" s="755"/>
      <c r="G423" s="755"/>
      <c r="H423" s="756"/>
      <c r="I423" s="755"/>
      <c r="J423" s="754"/>
      <c r="K423" s="755"/>
      <c r="L423" s="755"/>
      <c r="M423" s="756"/>
      <c r="N423" s="755"/>
      <c r="O423" s="754"/>
      <c r="P423" s="755"/>
      <c r="Q423" s="755"/>
      <c r="R423" s="756"/>
    </row>
    <row r="424" spans="1:18" s="1071" customFormat="1">
      <c r="A424" s="750"/>
      <c r="B424" s="751"/>
      <c r="C424" s="752"/>
      <c r="D424" s="753"/>
      <c r="E424" s="754"/>
      <c r="F424" s="755"/>
      <c r="G424" s="755"/>
      <c r="H424" s="756"/>
      <c r="I424" s="755"/>
      <c r="J424" s="754"/>
      <c r="K424" s="755"/>
      <c r="L424" s="755"/>
      <c r="M424" s="756"/>
      <c r="N424" s="755"/>
      <c r="O424" s="754"/>
      <c r="P424" s="755"/>
      <c r="Q424" s="755"/>
      <c r="R424" s="756"/>
    </row>
    <row r="425" spans="1:18" s="1071" customFormat="1">
      <c r="A425" s="750"/>
      <c r="B425" s="751"/>
      <c r="C425" s="752"/>
      <c r="D425" s="753"/>
      <c r="E425" s="754"/>
      <c r="F425" s="755"/>
      <c r="G425" s="755"/>
      <c r="H425" s="756"/>
      <c r="I425" s="755"/>
      <c r="J425" s="754"/>
      <c r="K425" s="755"/>
      <c r="L425" s="755"/>
      <c r="M425" s="756"/>
      <c r="N425" s="755"/>
      <c r="O425" s="754"/>
      <c r="P425" s="755"/>
      <c r="Q425" s="755"/>
      <c r="R425" s="756"/>
    </row>
    <row r="426" spans="1:18" s="1071" customFormat="1">
      <c r="A426" s="750"/>
      <c r="B426" s="751"/>
      <c r="C426" s="752"/>
      <c r="D426" s="753"/>
      <c r="E426" s="754"/>
      <c r="F426" s="755"/>
      <c r="G426" s="755"/>
      <c r="H426" s="756"/>
      <c r="I426" s="755"/>
      <c r="J426" s="754"/>
      <c r="K426" s="755"/>
      <c r="L426" s="755"/>
      <c r="M426" s="756"/>
      <c r="N426" s="755"/>
      <c r="O426" s="754"/>
      <c r="P426" s="755"/>
      <c r="Q426" s="755"/>
      <c r="R426" s="756"/>
    </row>
    <row r="427" spans="1:18" s="1071" customFormat="1">
      <c r="A427" s="750"/>
      <c r="B427" s="751"/>
      <c r="C427" s="752"/>
      <c r="D427" s="753"/>
      <c r="E427" s="754"/>
      <c r="F427" s="755"/>
      <c r="G427" s="755"/>
      <c r="H427" s="756"/>
      <c r="I427" s="755"/>
      <c r="J427" s="754"/>
      <c r="K427" s="755"/>
      <c r="L427" s="755"/>
      <c r="M427" s="756"/>
      <c r="N427" s="755"/>
      <c r="O427" s="754"/>
      <c r="P427" s="755"/>
      <c r="Q427" s="755"/>
      <c r="R427" s="756"/>
    </row>
    <row r="428" spans="1:18" s="1071" customFormat="1">
      <c r="A428" s="750"/>
      <c r="B428" s="751"/>
      <c r="C428" s="752"/>
      <c r="D428" s="753"/>
      <c r="E428" s="754"/>
      <c r="F428" s="755"/>
      <c r="G428" s="755"/>
      <c r="H428" s="756"/>
      <c r="I428" s="755"/>
      <c r="J428" s="754"/>
      <c r="K428" s="755"/>
      <c r="L428" s="755"/>
      <c r="M428" s="756"/>
      <c r="N428" s="755"/>
      <c r="O428" s="754"/>
      <c r="P428" s="755"/>
      <c r="Q428" s="755"/>
      <c r="R428" s="756"/>
    </row>
    <row r="429" spans="1:18" s="1071" customFormat="1">
      <c r="A429" s="750"/>
      <c r="B429" s="751"/>
      <c r="C429" s="752"/>
      <c r="D429" s="753"/>
      <c r="E429" s="754"/>
      <c r="F429" s="755"/>
      <c r="G429" s="755"/>
      <c r="H429" s="756"/>
      <c r="I429" s="755"/>
      <c r="J429" s="754"/>
      <c r="K429" s="755"/>
      <c r="L429" s="755"/>
      <c r="M429" s="756"/>
      <c r="N429" s="755"/>
      <c r="O429" s="754"/>
      <c r="P429" s="755"/>
      <c r="Q429" s="755"/>
      <c r="R429" s="756"/>
    </row>
    <row r="430" spans="1:18" s="1071" customFormat="1">
      <c r="A430" s="750"/>
      <c r="B430" s="751"/>
      <c r="C430" s="752"/>
      <c r="D430" s="753"/>
      <c r="E430" s="754"/>
      <c r="F430" s="755"/>
      <c r="G430" s="755"/>
      <c r="H430" s="756"/>
      <c r="I430" s="755"/>
      <c r="J430" s="754"/>
      <c r="K430" s="755"/>
      <c r="L430" s="755"/>
      <c r="M430" s="756"/>
      <c r="N430" s="755"/>
      <c r="O430" s="754"/>
      <c r="P430" s="755"/>
      <c r="Q430" s="755"/>
      <c r="R430" s="756"/>
    </row>
    <row r="431" spans="1:18" s="1071" customFormat="1">
      <c r="A431" s="750"/>
      <c r="B431" s="751"/>
      <c r="C431" s="752"/>
      <c r="D431" s="753"/>
      <c r="E431" s="754"/>
      <c r="F431" s="755"/>
      <c r="G431" s="755"/>
      <c r="H431" s="756"/>
      <c r="I431" s="755"/>
      <c r="J431" s="754"/>
      <c r="K431" s="755"/>
      <c r="L431" s="755"/>
      <c r="M431" s="756"/>
      <c r="N431" s="755"/>
      <c r="O431" s="754"/>
      <c r="P431" s="755"/>
      <c r="Q431" s="755"/>
      <c r="R431" s="756"/>
    </row>
    <row r="432" spans="1:18" s="1071" customFormat="1">
      <c r="A432" s="750"/>
      <c r="B432" s="751"/>
      <c r="C432" s="752"/>
      <c r="D432" s="753"/>
      <c r="E432" s="754"/>
      <c r="F432" s="755"/>
      <c r="G432" s="755"/>
      <c r="H432" s="756"/>
      <c r="I432" s="755"/>
      <c r="J432" s="754"/>
      <c r="K432" s="755"/>
      <c r="L432" s="755"/>
      <c r="M432" s="756"/>
      <c r="N432" s="755"/>
      <c r="O432" s="754"/>
      <c r="P432" s="755"/>
      <c r="Q432" s="755"/>
      <c r="R432" s="756"/>
    </row>
    <row r="433" spans="1:18" s="1071" customFormat="1">
      <c r="A433" s="750"/>
      <c r="B433" s="751"/>
      <c r="C433" s="752"/>
      <c r="D433" s="753"/>
      <c r="E433" s="754"/>
      <c r="F433" s="755"/>
      <c r="G433" s="755"/>
      <c r="H433" s="756"/>
      <c r="I433" s="755"/>
      <c r="J433" s="754"/>
      <c r="K433" s="755"/>
      <c r="L433" s="755"/>
      <c r="M433" s="756"/>
      <c r="N433" s="755"/>
      <c r="O433" s="754"/>
      <c r="P433" s="755"/>
      <c r="Q433" s="755"/>
      <c r="R433" s="756"/>
    </row>
    <row r="434" spans="1:18" s="1071" customFormat="1">
      <c r="A434" s="750"/>
      <c r="B434" s="751"/>
      <c r="C434" s="752"/>
      <c r="D434" s="753"/>
      <c r="E434" s="754"/>
      <c r="F434" s="755"/>
      <c r="G434" s="755"/>
      <c r="H434" s="756"/>
      <c r="I434" s="755"/>
      <c r="J434" s="754"/>
      <c r="K434" s="755"/>
      <c r="L434" s="755"/>
      <c r="M434" s="756"/>
      <c r="N434" s="755"/>
      <c r="O434" s="754"/>
      <c r="P434" s="755"/>
      <c r="Q434" s="755"/>
      <c r="R434" s="756"/>
    </row>
    <row r="435" spans="1:18" s="1071" customFormat="1">
      <c r="A435" s="750"/>
      <c r="B435" s="751"/>
      <c r="C435" s="752"/>
      <c r="D435" s="753"/>
      <c r="E435" s="754"/>
      <c r="F435" s="755"/>
      <c r="G435" s="755"/>
      <c r="H435" s="756"/>
      <c r="I435" s="755"/>
      <c r="J435" s="754"/>
      <c r="K435" s="755"/>
      <c r="L435" s="755"/>
      <c r="M435" s="756"/>
      <c r="N435" s="755"/>
      <c r="O435" s="754"/>
      <c r="P435" s="755"/>
      <c r="Q435" s="755"/>
      <c r="R435" s="756"/>
    </row>
    <row r="436" spans="1:18" s="1071" customFormat="1">
      <c r="A436" s="750"/>
      <c r="B436" s="751"/>
      <c r="C436" s="752"/>
      <c r="D436" s="753"/>
      <c r="E436" s="754"/>
      <c r="F436" s="755"/>
      <c r="G436" s="755"/>
      <c r="H436" s="756"/>
      <c r="I436" s="755"/>
      <c r="J436" s="754"/>
      <c r="K436" s="755"/>
      <c r="L436" s="755"/>
      <c r="M436" s="756"/>
      <c r="N436" s="755"/>
      <c r="O436" s="754"/>
      <c r="P436" s="755"/>
      <c r="Q436" s="755"/>
      <c r="R436" s="756"/>
    </row>
    <row r="437" spans="1:18" s="1071" customFormat="1">
      <c r="A437" s="750"/>
      <c r="B437" s="751"/>
      <c r="C437" s="752"/>
      <c r="D437" s="753"/>
      <c r="E437" s="754"/>
      <c r="F437" s="755"/>
      <c r="G437" s="755"/>
      <c r="H437" s="756"/>
      <c r="I437" s="755"/>
      <c r="J437" s="754"/>
      <c r="K437" s="755"/>
      <c r="L437" s="755"/>
      <c r="M437" s="756"/>
      <c r="N437" s="755"/>
      <c r="O437" s="754"/>
      <c r="P437" s="755"/>
      <c r="Q437" s="755"/>
      <c r="R437" s="756"/>
    </row>
    <row r="438" spans="1:18" s="1071" customFormat="1">
      <c r="A438" s="750"/>
      <c r="B438" s="751"/>
      <c r="C438" s="752"/>
      <c r="D438" s="753"/>
      <c r="E438" s="754"/>
      <c r="F438" s="755"/>
      <c r="G438" s="755"/>
      <c r="H438" s="756"/>
      <c r="I438" s="755"/>
      <c r="J438" s="754"/>
      <c r="K438" s="755"/>
      <c r="L438" s="755"/>
      <c r="M438" s="756"/>
      <c r="N438" s="755"/>
      <c r="O438" s="754"/>
      <c r="P438" s="755"/>
      <c r="Q438" s="755"/>
      <c r="R438" s="756"/>
    </row>
    <row r="439" spans="1:18" s="1071" customFormat="1">
      <c r="A439" s="750"/>
      <c r="B439" s="751"/>
      <c r="C439" s="752"/>
      <c r="D439" s="753"/>
      <c r="E439" s="754"/>
      <c r="F439" s="755"/>
      <c r="G439" s="755"/>
      <c r="H439" s="756"/>
      <c r="I439" s="755"/>
      <c r="J439" s="754"/>
      <c r="K439" s="755"/>
      <c r="L439" s="755"/>
      <c r="M439" s="756"/>
      <c r="N439" s="755"/>
      <c r="O439" s="754"/>
      <c r="P439" s="755"/>
      <c r="Q439" s="755"/>
      <c r="R439" s="756"/>
    </row>
    <row r="440" spans="1:18" s="1071" customFormat="1">
      <c r="A440" s="750"/>
      <c r="B440" s="751"/>
      <c r="C440" s="752"/>
      <c r="D440" s="753"/>
      <c r="E440" s="754"/>
      <c r="F440" s="755"/>
      <c r="G440" s="755"/>
      <c r="H440" s="756"/>
      <c r="I440" s="755"/>
      <c r="J440" s="754"/>
      <c r="K440" s="755"/>
      <c r="L440" s="755"/>
      <c r="M440" s="756"/>
      <c r="N440" s="755"/>
      <c r="O440" s="754"/>
      <c r="P440" s="755"/>
      <c r="Q440" s="755"/>
      <c r="R440" s="756"/>
    </row>
    <row r="441" spans="1:18" s="1071" customFormat="1">
      <c r="A441" s="750"/>
      <c r="B441" s="751"/>
      <c r="C441" s="752"/>
      <c r="D441" s="753"/>
      <c r="E441" s="754"/>
      <c r="F441" s="755"/>
      <c r="G441" s="755"/>
      <c r="H441" s="756"/>
      <c r="I441" s="755"/>
      <c r="J441" s="754"/>
      <c r="K441" s="755"/>
      <c r="L441" s="755"/>
      <c r="M441" s="756"/>
      <c r="N441" s="755"/>
      <c r="O441" s="754"/>
      <c r="P441" s="755"/>
      <c r="Q441" s="755"/>
      <c r="R441" s="756"/>
    </row>
    <row r="442" spans="1:18" s="1071" customFormat="1">
      <c r="A442" s="750"/>
      <c r="B442" s="751"/>
      <c r="C442" s="752"/>
      <c r="D442" s="753"/>
      <c r="E442" s="754"/>
      <c r="F442" s="755"/>
      <c r="G442" s="755"/>
      <c r="H442" s="756"/>
      <c r="I442" s="755"/>
      <c r="J442" s="754"/>
      <c r="K442" s="755"/>
      <c r="L442" s="755"/>
      <c r="M442" s="756"/>
      <c r="N442" s="755"/>
      <c r="O442" s="754"/>
      <c r="P442" s="755"/>
      <c r="Q442" s="755"/>
      <c r="R442" s="756"/>
    </row>
    <row r="443" spans="1:18" s="1071" customFormat="1">
      <c r="A443" s="750"/>
      <c r="B443" s="751"/>
      <c r="C443" s="752"/>
      <c r="D443" s="753"/>
      <c r="E443" s="754"/>
      <c r="F443" s="755"/>
      <c r="G443" s="755"/>
      <c r="H443" s="756"/>
      <c r="I443" s="755"/>
      <c r="J443" s="754"/>
      <c r="K443" s="755"/>
      <c r="L443" s="755"/>
      <c r="M443" s="756"/>
      <c r="N443" s="755"/>
      <c r="O443" s="754"/>
      <c r="P443" s="755"/>
      <c r="Q443" s="755"/>
      <c r="R443" s="756"/>
    </row>
    <row r="444" spans="1:18" s="1071" customFormat="1">
      <c r="A444" s="750"/>
      <c r="B444" s="751"/>
      <c r="C444" s="752"/>
      <c r="D444" s="753"/>
      <c r="E444" s="754"/>
      <c r="F444" s="755"/>
      <c r="G444" s="755"/>
      <c r="H444" s="756"/>
      <c r="I444" s="755"/>
      <c r="J444" s="754"/>
      <c r="K444" s="755"/>
      <c r="L444" s="755"/>
      <c r="M444" s="756"/>
      <c r="N444" s="755"/>
      <c r="O444" s="754"/>
      <c r="P444" s="755"/>
      <c r="Q444" s="755"/>
      <c r="R444" s="756"/>
    </row>
    <row r="445" spans="1:18" s="1071" customFormat="1">
      <c r="A445" s="750"/>
      <c r="B445" s="751"/>
      <c r="C445" s="752"/>
      <c r="D445" s="753"/>
      <c r="E445" s="754"/>
      <c r="F445" s="755"/>
      <c r="G445" s="755"/>
      <c r="H445" s="756"/>
      <c r="I445" s="755"/>
      <c r="J445" s="754"/>
      <c r="K445" s="755"/>
      <c r="L445" s="755"/>
      <c r="M445" s="756"/>
      <c r="N445" s="755"/>
      <c r="O445" s="754"/>
      <c r="P445" s="755"/>
      <c r="Q445" s="755"/>
      <c r="R445" s="756"/>
    </row>
    <row r="446" spans="1:18" s="1071" customFormat="1">
      <c r="A446" s="750"/>
      <c r="B446" s="751"/>
      <c r="C446" s="752"/>
      <c r="D446" s="753"/>
      <c r="E446" s="754"/>
      <c r="F446" s="755"/>
      <c r="G446" s="755"/>
      <c r="H446" s="756"/>
      <c r="I446" s="755"/>
      <c r="J446" s="754"/>
      <c r="K446" s="755"/>
      <c r="L446" s="755"/>
      <c r="M446" s="756"/>
      <c r="N446" s="755"/>
      <c r="O446" s="754"/>
      <c r="P446" s="755"/>
      <c r="Q446" s="755"/>
      <c r="R446" s="756"/>
    </row>
    <row r="447" spans="1:18">
      <c r="A447" s="750"/>
      <c r="B447" s="751"/>
      <c r="C447" s="752"/>
      <c r="D447" s="753"/>
      <c r="E447" s="754"/>
      <c r="F447" s="755"/>
      <c r="G447" s="755"/>
      <c r="H447" s="756"/>
      <c r="I447" s="755"/>
      <c r="J447" s="754"/>
      <c r="K447" s="755"/>
      <c r="L447" s="755"/>
      <c r="M447" s="756"/>
      <c r="N447" s="755"/>
      <c r="O447" s="754"/>
      <c r="P447" s="755"/>
      <c r="Q447" s="755"/>
      <c r="R447" s="756"/>
    </row>
    <row r="448" spans="1:18">
      <c r="A448" s="750"/>
      <c r="B448" s="751"/>
      <c r="C448" s="752"/>
      <c r="D448" s="753"/>
      <c r="E448" s="754"/>
      <c r="F448" s="755"/>
      <c r="G448" s="755"/>
      <c r="H448" s="756"/>
      <c r="I448" s="755"/>
      <c r="J448" s="754"/>
      <c r="K448" s="755"/>
      <c r="L448" s="755"/>
      <c r="M448" s="756"/>
      <c r="N448" s="755"/>
      <c r="O448" s="754"/>
      <c r="P448" s="755"/>
      <c r="Q448" s="755"/>
      <c r="R448" s="756"/>
    </row>
    <row r="449" spans="1:18">
      <c r="A449" s="750"/>
      <c r="B449" s="751"/>
      <c r="C449" s="752"/>
      <c r="D449" s="753"/>
      <c r="E449" s="754"/>
      <c r="F449" s="755"/>
      <c r="G449" s="755"/>
      <c r="H449" s="756"/>
      <c r="I449" s="755"/>
      <c r="J449" s="754"/>
      <c r="K449" s="755"/>
      <c r="L449" s="755"/>
      <c r="M449" s="756"/>
      <c r="N449" s="755"/>
      <c r="O449" s="754"/>
      <c r="P449" s="755"/>
      <c r="Q449" s="755"/>
      <c r="R449" s="756"/>
    </row>
    <row r="450" spans="1:18">
      <c r="A450" s="750"/>
      <c r="B450" s="751"/>
      <c r="C450" s="752"/>
      <c r="D450" s="753"/>
      <c r="E450" s="754"/>
      <c r="F450" s="755"/>
      <c r="G450" s="755"/>
      <c r="H450" s="756"/>
      <c r="I450" s="755"/>
      <c r="J450" s="754"/>
      <c r="K450" s="755"/>
      <c r="L450" s="755"/>
      <c r="M450" s="756"/>
      <c r="N450" s="755"/>
      <c r="O450" s="754"/>
      <c r="P450" s="755"/>
      <c r="Q450" s="755"/>
      <c r="R450" s="756"/>
    </row>
    <row r="451" spans="1:18">
      <c r="A451" s="750"/>
      <c r="B451" s="751"/>
      <c r="C451" s="752"/>
      <c r="D451" s="753"/>
      <c r="E451" s="754"/>
      <c r="F451" s="755"/>
      <c r="G451" s="755"/>
      <c r="H451" s="756"/>
      <c r="I451" s="755"/>
      <c r="J451" s="754"/>
      <c r="K451" s="755"/>
      <c r="L451" s="755"/>
      <c r="M451" s="756"/>
      <c r="N451" s="755"/>
      <c r="O451" s="754"/>
      <c r="P451" s="755"/>
      <c r="Q451" s="755"/>
      <c r="R451" s="756"/>
    </row>
    <row r="452" spans="1:18">
      <c r="A452" s="750"/>
      <c r="B452" s="751"/>
      <c r="C452" s="752"/>
      <c r="D452" s="753"/>
      <c r="E452" s="754"/>
      <c r="F452" s="755"/>
      <c r="G452" s="755"/>
      <c r="H452" s="756"/>
      <c r="I452" s="755"/>
      <c r="J452" s="754"/>
      <c r="K452" s="755"/>
      <c r="L452" s="755"/>
      <c r="M452" s="756"/>
      <c r="N452" s="755"/>
      <c r="O452" s="754"/>
      <c r="P452" s="755"/>
      <c r="Q452" s="755"/>
      <c r="R452" s="756"/>
    </row>
    <row r="453" spans="1:18">
      <c r="A453" s="750"/>
      <c r="B453" s="751"/>
      <c r="C453" s="752"/>
      <c r="D453" s="753"/>
      <c r="E453" s="754"/>
      <c r="F453" s="755"/>
      <c r="G453" s="755"/>
      <c r="H453" s="756"/>
      <c r="I453" s="755"/>
      <c r="J453" s="754"/>
      <c r="K453" s="755"/>
      <c r="L453" s="755"/>
      <c r="M453" s="756"/>
      <c r="N453" s="755"/>
      <c r="O453" s="754"/>
      <c r="P453" s="755"/>
      <c r="Q453" s="755"/>
      <c r="R453" s="756"/>
    </row>
    <row r="454" spans="1:18">
      <c r="A454" s="750"/>
      <c r="B454" s="751"/>
      <c r="C454" s="752"/>
      <c r="D454" s="753"/>
      <c r="E454" s="754"/>
      <c r="F454" s="755"/>
      <c r="G454" s="755"/>
      <c r="H454" s="756"/>
      <c r="I454" s="755"/>
      <c r="J454" s="754"/>
      <c r="K454" s="755"/>
      <c r="L454" s="755"/>
      <c r="M454" s="756"/>
      <c r="N454" s="755"/>
      <c r="O454" s="754"/>
      <c r="P454" s="755"/>
      <c r="Q454" s="755"/>
      <c r="R454" s="756"/>
    </row>
    <row r="455" spans="1:18">
      <c r="A455" s="750"/>
      <c r="B455" s="751"/>
      <c r="C455" s="752"/>
      <c r="D455" s="753"/>
      <c r="E455" s="754"/>
      <c r="F455" s="755"/>
      <c r="G455" s="755"/>
      <c r="H455" s="756"/>
      <c r="I455" s="755"/>
      <c r="J455" s="754"/>
      <c r="K455" s="755"/>
      <c r="L455" s="755"/>
      <c r="M455" s="756"/>
      <c r="N455" s="755"/>
      <c r="O455" s="754"/>
      <c r="P455" s="755"/>
      <c r="Q455" s="755"/>
      <c r="R455" s="756"/>
    </row>
    <row r="456" spans="1:18">
      <c r="A456" s="750"/>
      <c r="B456" s="751"/>
      <c r="C456" s="752"/>
      <c r="D456" s="753"/>
      <c r="E456" s="754"/>
      <c r="F456" s="755"/>
      <c r="G456" s="755"/>
      <c r="H456" s="756"/>
      <c r="I456" s="755"/>
      <c r="J456" s="754"/>
      <c r="K456" s="755"/>
      <c r="L456" s="755"/>
      <c r="M456" s="756"/>
      <c r="N456" s="755"/>
      <c r="O456" s="754"/>
      <c r="P456" s="755"/>
      <c r="Q456" s="755"/>
      <c r="R456" s="756"/>
    </row>
    <row r="457" spans="1:18">
      <c r="A457" s="750"/>
      <c r="B457" s="751"/>
      <c r="C457" s="752"/>
      <c r="D457" s="753"/>
      <c r="E457" s="754"/>
      <c r="F457" s="755"/>
      <c r="G457" s="755"/>
      <c r="H457" s="756"/>
      <c r="I457" s="755"/>
      <c r="J457" s="754"/>
      <c r="K457" s="755"/>
      <c r="L457" s="755"/>
      <c r="M457" s="756"/>
      <c r="N457" s="755"/>
      <c r="O457" s="754"/>
      <c r="P457" s="755"/>
      <c r="Q457" s="755"/>
      <c r="R457" s="756"/>
    </row>
    <row r="458" spans="1:18">
      <c r="A458" s="750"/>
      <c r="B458" s="751"/>
      <c r="C458" s="752"/>
      <c r="D458" s="753"/>
      <c r="E458" s="754"/>
      <c r="F458" s="755"/>
      <c r="G458" s="755"/>
      <c r="H458" s="756"/>
      <c r="I458" s="755"/>
      <c r="J458" s="754"/>
      <c r="K458" s="755"/>
      <c r="L458" s="755"/>
      <c r="M458" s="756"/>
      <c r="N458" s="755"/>
      <c r="O458" s="754"/>
      <c r="P458" s="755"/>
      <c r="Q458" s="755"/>
      <c r="R458" s="756"/>
    </row>
    <row r="459" spans="1:18">
      <c r="A459" s="750"/>
      <c r="B459" s="751"/>
      <c r="C459" s="752"/>
      <c r="D459" s="753"/>
      <c r="E459" s="754"/>
      <c r="F459" s="755"/>
      <c r="G459" s="755"/>
      <c r="H459" s="756"/>
      <c r="I459" s="755"/>
      <c r="J459" s="754"/>
      <c r="K459" s="755"/>
      <c r="L459" s="755"/>
      <c r="M459" s="756"/>
      <c r="N459" s="755"/>
      <c r="O459" s="754"/>
      <c r="P459" s="755"/>
      <c r="Q459" s="755"/>
      <c r="R459" s="756"/>
    </row>
    <row r="460" spans="1:18">
      <c r="A460" s="750"/>
      <c r="B460" s="751"/>
      <c r="C460" s="752"/>
      <c r="D460" s="753"/>
      <c r="E460" s="754"/>
      <c r="F460" s="755"/>
      <c r="G460" s="755"/>
      <c r="H460" s="756"/>
      <c r="I460" s="755"/>
      <c r="J460" s="754"/>
      <c r="K460" s="755"/>
      <c r="L460" s="755"/>
      <c r="M460" s="756"/>
      <c r="N460" s="755"/>
      <c r="O460" s="754"/>
      <c r="P460" s="755"/>
      <c r="Q460" s="755"/>
      <c r="R460" s="756"/>
    </row>
    <row r="461" spans="1:18">
      <c r="A461" s="750"/>
      <c r="B461" s="751"/>
      <c r="C461" s="752"/>
      <c r="D461" s="753"/>
      <c r="E461" s="754"/>
      <c r="F461" s="755"/>
      <c r="G461" s="755"/>
      <c r="H461" s="756"/>
      <c r="I461" s="755"/>
      <c r="J461" s="754"/>
      <c r="K461" s="755"/>
      <c r="L461" s="755"/>
      <c r="M461" s="756"/>
      <c r="N461" s="755"/>
      <c r="O461" s="754"/>
      <c r="P461" s="755"/>
      <c r="Q461" s="755"/>
      <c r="R461" s="756"/>
    </row>
    <row r="462" spans="1:18">
      <c r="A462" s="750"/>
      <c r="B462" s="751"/>
      <c r="C462" s="752"/>
      <c r="D462" s="753"/>
      <c r="E462" s="754"/>
      <c r="F462" s="755"/>
      <c r="G462" s="755"/>
      <c r="H462" s="756"/>
      <c r="I462" s="755"/>
      <c r="J462" s="754"/>
      <c r="K462" s="755"/>
      <c r="L462" s="755"/>
      <c r="M462" s="756"/>
      <c r="N462" s="755"/>
      <c r="O462" s="754"/>
      <c r="P462" s="755"/>
      <c r="Q462" s="755"/>
      <c r="R462" s="756"/>
    </row>
    <row r="463" spans="1:18">
      <c r="A463" s="750"/>
      <c r="B463" s="751"/>
      <c r="C463" s="752"/>
      <c r="D463" s="753"/>
      <c r="E463" s="754"/>
      <c r="F463" s="755"/>
      <c r="G463" s="755"/>
      <c r="H463" s="756"/>
      <c r="I463" s="755"/>
      <c r="J463" s="754"/>
      <c r="K463" s="755"/>
      <c r="L463" s="755"/>
      <c r="M463" s="756"/>
      <c r="N463" s="755"/>
      <c r="O463" s="754"/>
      <c r="P463" s="755"/>
      <c r="Q463" s="755"/>
      <c r="R463" s="756"/>
    </row>
    <row r="464" spans="1:18">
      <c r="A464" s="750"/>
      <c r="B464" s="751"/>
      <c r="C464" s="752"/>
      <c r="D464" s="753"/>
      <c r="E464" s="754"/>
      <c r="F464" s="755"/>
      <c r="G464" s="755"/>
      <c r="H464" s="756"/>
      <c r="I464" s="755"/>
      <c r="J464" s="754"/>
      <c r="K464" s="755"/>
      <c r="L464" s="755"/>
      <c r="M464" s="756"/>
      <c r="N464" s="755"/>
      <c r="O464" s="754"/>
      <c r="P464" s="755"/>
      <c r="Q464" s="755"/>
      <c r="R464" s="756"/>
    </row>
    <row r="465" spans="1:18">
      <c r="A465" s="750"/>
      <c r="B465" s="751"/>
      <c r="C465" s="752"/>
      <c r="D465" s="753"/>
      <c r="E465" s="754"/>
      <c r="F465" s="755"/>
      <c r="G465" s="755"/>
      <c r="H465" s="756"/>
      <c r="I465" s="755"/>
      <c r="J465" s="754"/>
      <c r="K465" s="755"/>
      <c r="L465" s="755"/>
      <c r="M465" s="756"/>
      <c r="N465" s="755"/>
      <c r="O465" s="754"/>
      <c r="P465" s="755"/>
      <c r="Q465" s="755"/>
      <c r="R465" s="756"/>
    </row>
    <row r="466" spans="1:18">
      <c r="A466" s="750"/>
      <c r="B466" s="751"/>
      <c r="C466" s="752"/>
      <c r="D466" s="753"/>
      <c r="E466" s="754"/>
      <c r="F466" s="755"/>
      <c r="G466" s="755"/>
      <c r="H466" s="756"/>
      <c r="I466" s="755"/>
      <c r="J466" s="754"/>
      <c r="K466" s="755"/>
      <c r="L466" s="755"/>
      <c r="M466" s="756"/>
      <c r="N466" s="755"/>
      <c r="O466" s="754"/>
      <c r="P466" s="755"/>
      <c r="Q466" s="755"/>
      <c r="R466" s="756"/>
    </row>
    <row r="467" spans="1:18">
      <c r="A467" s="750"/>
      <c r="B467" s="751"/>
      <c r="C467" s="752"/>
      <c r="D467" s="753"/>
      <c r="E467" s="754"/>
      <c r="F467" s="755"/>
      <c r="G467" s="755"/>
      <c r="H467" s="756"/>
      <c r="I467" s="755"/>
      <c r="J467" s="754"/>
      <c r="K467" s="755"/>
      <c r="L467" s="755"/>
      <c r="M467" s="756"/>
      <c r="N467" s="755"/>
      <c r="O467" s="754"/>
      <c r="P467" s="755"/>
      <c r="Q467" s="755"/>
      <c r="R467" s="756"/>
    </row>
    <row r="468" spans="1:18">
      <c r="A468" s="750"/>
      <c r="B468" s="751"/>
      <c r="C468" s="752"/>
      <c r="D468" s="753"/>
      <c r="E468" s="754"/>
      <c r="F468" s="755"/>
      <c r="G468" s="755"/>
      <c r="H468" s="756"/>
      <c r="I468" s="755"/>
      <c r="J468" s="754"/>
      <c r="K468" s="755"/>
      <c r="L468" s="755"/>
      <c r="M468" s="756"/>
      <c r="N468" s="755"/>
      <c r="O468" s="754"/>
      <c r="P468" s="755"/>
      <c r="Q468" s="755"/>
      <c r="R468" s="756"/>
    </row>
    <row r="469" spans="1:18">
      <c r="E469" s="761"/>
      <c r="F469" s="762"/>
      <c r="G469" s="762"/>
      <c r="H469" s="763"/>
      <c r="I469" s="762"/>
      <c r="J469" s="761"/>
      <c r="K469" s="762"/>
      <c r="L469" s="762"/>
      <c r="M469" s="763"/>
      <c r="N469" s="762"/>
      <c r="O469" s="761"/>
      <c r="P469" s="762"/>
      <c r="Q469" s="762"/>
      <c r="R469" s="763"/>
    </row>
    <row r="470" spans="1:18">
      <c r="E470" s="761"/>
      <c r="F470" s="762"/>
      <c r="G470" s="762"/>
      <c r="H470" s="763"/>
      <c r="I470" s="762"/>
      <c r="J470" s="761"/>
      <c r="K470" s="762"/>
      <c r="L470" s="762"/>
      <c r="M470" s="763"/>
      <c r="N470" s="762"/>
      <c r="O470" s="761"/>
      <c r="P470" s="762"/>
      <c r="Q470" s="762"/>
      <c r="R470" s="763"/>
    </row>
    <row r="471" spans="1:18">
      <c r="E471" s="761"/>
      <c r="F471" s="762"/>
      <c r="G471" s="762"/>
      <c r="H471" s="763"/>
      <c r="I471" s="762"/>
      <c r="J471" s="761"/>
      <c r="K471" s="762"/>
      <c r="L471" s="762"/>
      <c r="M471" s="763"/>
      <c r="N471" s="762"/>
      <c r="O471" s="761"/>
      <c r="P471" s="762"/>
      <c r="Q471" s="762"/>
      <c r="R471" s="763"/>
    </row>
    <row r="472" spans="1:18">
      <c r="E472" s="761"/>
      <c r="F472" s="762"/>
      <c r="G472" s="762"/>
      <c r="H472" s="763"/>
      <c r="I472" s="762"/>
      <c r="J472" s="761"/>
      <c r="K472" s="762"/>
      <c r="L472" s="762"/>
      <c r="M472" s="763"/>
      <c r="N472" s="762"/>
      <c r="O472" s="761"/>
      <c r="P472" s="762"/>
      <c r="Q472" s="762"/>
      <c r="R472" s="763"/>
    </row>
    <row r="473" spans="1:18">
      <c r="E473" s="761"/>
      <c r="F473" s="762"/>
      <c r="G473" s="762"/>
      <c r="H473" s="763"/>
      <c r="I473" s="762"/>
      <c r="J473" s="761"/>
      <c r="K473" s="762"/>
      <c r="L473" s="762"/>
      <c r="M473" s="763"/>
      <c r="N473" s="762"/>
      <c r="O473" s="761"/>
      <c r="P473" s="762"/>
      <c r="Q473" s="762"/>
      <c r="R473" s="763"/>
    </row>
    <row r="474" spans="1:18">
      <c r="E474" s="761"/>
      <c r="F474" s="762"/>
      <c r="G474" s="762"/>
      <c r="H474" s="763"/>
      <c r="I474" s="762"/>
      <c r="J474" s="761"/>
      <c r="K474" s="762"/>
      <c r="L474" s="762"/>
      <c r="M474" s="763"/>
      <c r="N474" s="762"/>
      <c r="O474" s="761"/>
      <c r="P474" s="762"/>
      <c r="Q474" s="762"/>
      <c r="R474" s="763"/>
    </row>
  </sheetData>
  <mergeCells count="23">
    <mergeCell ref="O5:Q5"/>
    <mergeCell ref="A5:A7"/>
    <mergeCell ref="B5:B7"/>
    <mergeCell ref="C5:C7"/>
    <mergeCell ref="R5:R7"/>
    <mergeCell ref="L6:L7"/>
    <mergeCell ref="O6:O7"/>
    <mergeCell ref="Q6:Q7"/>
    <mergeCell ref="J6:J7"/>
    <mergeCell ref="I5:I7"/>
    <mergeCell ref="J5:L5"/>
    <mergeCell ref="M5:M7"/>
    <mergeCell ref="N5:N7"/>
    <mergeCell ref="P6:P7"/>
    <mergeCell ref="K6:K7"/>
    <mergeCell ref="F6:F7"/>
    <mergeCell ref="B2:H2"/>
    <mergeCell ref="B3:H3"/>
    <mergeCell ref="D5:D7"/>
    <mergeCell ref="E5:G5"/>
    <mergeCell ref="H5:H7"/>
    <mergeCell ref="E6:E7"/>
    <mergeCell ref="G6:G7"/>
  </mergeCells>
  <phoneticPr fontId="27" type="noConversion"/>
  <pageMargins left="0.27559055118110237" right="0.27559055118110237" top="0.19685039370078741" bottom="0.31496062992125984" header="0.15748031496062992" footer="0.15748031496062992"/>
  <pageSetup paperSize="9" scale="60" orientation="landscape" r:id="rId1"/>
  <headerFooter alignWithMargins="0">
    <oddFooter>&amp;L&amp;F&amp;C&amp;P</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enableFormatConditionsCalculation="0">
    <tabColor rgb="FFFFC000"/>
  </sheetPr>
  <dimension ref="A1:R444"/>
  <sheetViews>
    <sheetView topLeftCell="A298" zoomScale="70" zoomScaleNormal="70" workbookViewId="0">
      <selection activeCell="A304" sqref="A304:A305"/>
    </sheetView>
  </sheetViews>
  <sheetFormatPr defaultColWidth="9.109375" defaultRowHeight="10.199999999999999"/>
  <cols>
    <col min="1" max="1" width="11.44140625" style="21" bestFit="1" customWidth="1"/>
    <col min="2" max="2" width="40.33203125" style="1" customWidth="1"/>
    <col min="3" max="3" width="13" style="22" customWidth="1"/>
    <col min="4" max="4" width="12" style="22" customWidth="1"/>
    <col min="5" max="5" width="12" style="274" customWidth="1"/>
    <col min="6" max="7" width="11.44140625" style="273" customWidth="1"/>
    <col min="8" max="8" width="11.6640625" style="273" customWidth="1"/>
    <col min="9" max="9" width="11.44140625" style="273" customWidth="1"/>
    <col min="10" max="10" width="12" style="274" customWidth="1"/>
    <col min="11" max="12" width="11.44140625" style="273" customWidth="1"/>
    <col min="13" max="13" width="11.6640625" style="273" customWidth="1"/>
    <col min="14" max="14" width="11.44140625" style="273" customWidth="1"/>
    <col min="15" max="15" width="12" style="274" customWidth="1"/>
    <col min="16" max="17" width="11.44140625" style="273" customWidth="1"/>
    <col min="18" max="18" width="11.6640625" style="273" customWidth="1"/>
    <col min="19" max="16384" width="9.109375" style="3"/>
  </cols>
  <sheetData>
    <row r="1" spans="1:18" ht="13.2">
      <c r="A1" s="216"/>
      <c r="B1" s="216"/>
      <c r="C1" s="216"/>
      <c r="D1" s="216"/>
      <c r="E1" s="216"/>
      <c r="F1" s="216"/>
      <c r="G1" s="216"/>
      <c r="H1" s="570"/>
      <c r="I1" s="216"/>
      <c r="J1" s="216"/>
      <c r="K1" s="216"/>
      <c r="L1" s="216"/>
      <c r="M1" s="570"/>
      <c r="N1" s="216"/>
      <c r="O1" s="216"/>
      <c r="P1" s="216"/>
      <c r="Q1" s="216"/>
      <c r="R1" s="570"/>
    </row>
    <row r="2" spans="1:18" ht="13.2">
      <c r="A2" s="219"/>
      <c r="B2" s="1399"/>
      <c r="C2" s="1399"/>
      <c r="D2" s="1399"/>
      <c r="E2" s="1399"/>
      <c r="F2" s="1399"/>
      <c r="G2" s="1399"/>
      <c r="H2" s="1399"/>
      <c r="I2" s="571"/>
      <c r="J2" s="571"/>
      <c r="K2" s="571"/>
      <c r="L2" s="571"/>
      <c r="M2" s="220"/>
      <c r="N2" s="571"/>
      <c r="O2" s="571"/>
      <c r="P2" s="571"/>
      <c r="Q2" s="571"/>
      <c r="R2" s="220"/>
    </row>
    <row r="3" spans="1:18" s="1" customFormat="1" ht="12.75" customHeight="1">
      <c r="A3" s="221"/>
      <c r="B3" s="1400" t="s">
        <v>489</v>
      </c>
      <c r="C3" s="1400"/>
      <c r="D3" s="1400"/>
      <c r="E3" s="1400"/>
      <c r="F3" s="1400"/>
      <c r="G3" s="1400"/>
      <c r="H3" s="1400"/>
      <c r="I3" s="578"/>
      <c r="J3" s="578"/>
      <c r="K3" s="578"/>
      <c r="L3" s="578"/>
      <c r="M3" s="220"/>
      <c r="N3" s="578"/>
      <c r="O3" s="578"/>
      <c r="P3" s="578"/>
      <c r="Q3" s="578"/>
      <c r="R3" s="220"/>
    </row>
    <row r="4" spans="1:18" s="1" customFormat="1" ht="13.2">
      <c r="A4" s="221"/>
      <c r="B4" s="578"/>
      <c r="C4" s="222"/>
      <c r="D4" s="578"/>
      <c r="E4" s="578"/>
      <c r="F4" s="578"/>
      <c r="G4" s="578"/>
      <c r="H4" s="578"/>
      <c r="I4" s="578"/>
      <c r="J4" s="578"/>
      <c r="K4" s="578"/>
      <c r="L4" s="578"/>
      <c r="M4" s="578"/>
      <c r="N4" s="578"/>
      <c r="O4" s="578"/>
      <c r="P4" s="578"/>
      <c r="Q4" s="578"/>
      <c r="R4" s="578"/>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8"/>
      <c r="B9" s="392" t="s">
        <v>3</v>
      </c>
      <c r="C9" s="387"/>
      <c r="D9" s="387"/>
      <c r="E9" s="572"/>
      <c r="F9" s="572"/>
      <c r="G9" s="572"/>
      <c r="H9" s="572"/>
      <c r="I9" s="573"/>
      <c r="J9" s="572"/>
      <c r="K9" s="572"/>
      <c r="L9" s="572"/>
      <c r="M9" s="572"/>
      <c r="N9" s="573"/>
      <c r="O9" s="572"/>
      <c r="P9" s="572"/>
      <c r="Q9" s="572"/>
      <c r="R9" s="572"/>
    </row>
    <row r="10" spans="1:18" s="4" customFormat="1" ht="20.399999999999999">
      <c r="A10" s="129" t="s">
        <v>201</v>
      </c>
      <c r="B10" s="123" t="s">
        <v>88</v>
      </c>
      <c r="C10" s="200">
        <v>215048333</v>
      </c>
      <c r="D10" s="200">
        <v>208946068</v>
      </c>
      <c r="E10" s="432">
        <f>E11+E12+E14+E32</f>
        <v>21504536</v>
      </c>
      <c r="F10" s="432">
        <f>F11+F12+F14+F32</f>
        <v>5373931</v>
      </c>
      <c r="G10" s="432">
        <f>G11+G12+G14+G32</f>
        <v>10158503</v>
      </c>
      <c r="H10" s="270">
        <f t="shared" ref="H10:H73" si="0">SUM(D10:G10)</f>
        <v>245983038</v>
      </c>
      <c r="I10" s="432">
        <v>300296555</v>
      </c>
      <c r="J10" s="432">
        <f>J11+J12+J14+J32</f>
        <v>18744852</v>
      </c>
      <c r="K10" s="432">
        <f>K11+K12+K14+K32</f>
        <v>5222028</v>
      </c>
      <c r="L10" s="432">
        <f>L11+L12+L14+L32</f>
        <v>17789443</v>
      </c>
      <c r="M10" s="270">
        <f t="shared" ref="M10:M73" si="1">SUM(I10:L10)</f>
        <v>342052878</v>
      </c>
      <c r="N10" s="432">
        <v>294967974</v>
      </c>
      <c r="O10" s="432">
        <f>O11+O12+O14+O32</f>
        <v>3734123</v>
      </c>
      <c r="P10" s="432">
        <f>P11+P12+P14+P32</f>
        <v>24234937</v>
      </c>
      <c r="Q10" s="432">
        <f>Q11+Q12+Q14+Q32</f>
        <v>17789443</v>
      </c>
      <c r="R10" s="270">
        <f t="shared" ref="R10:R73" si="2">SUM(N10:Q10)</f>
        <v>340726477</v>
      </c>
    </row>
    <row r="11" spans="1:18" ht="22.8">
      <c r="A11" s="130" t="s">
        <v>177</v>
      </c>
      <c r="B11" s="124" t="s">
        <v>90</v>
      </c>
      <c r="C11" s="98">
        <v>6635988</v>
      </c>
      <c r="D11" s="98">
        <v>6635988</v>
      </c>
      <c r="E11" s="433"/>
      <c r="F11" s="433"/>
      <c r="G11" s="433"/>
      <c r="H11" s="434">
        <f t="shared" si="0"/>
        <v>6635988</v>
      </c>
      <c r="I11" s="433">
        <v>6635988</v>
      </c>
      <c r="J11" s="433"/>
      <c r="K11" s="433"/>
      <c r="L11" s="433"/>
      <c r="M11" s="434">
        <f t="shared" si="1"/>
        <v>6635988</v>
      </c>
      <c r="N11" s="433">
        <v>6635988</v>
      </c>
      <c r="O11" s="433"/>
      <c r="P11" s="433"/>
      <c r="Q11" s="433"/>
      <c r="R11" s="434">
        <f t="shared" si="2"/>
        <v>6635988</v>
      </c>
    </row>
    <row r="12" spans="1:18" ht="12">
      <c r="A12" s="130" t="s">
        <v>91</v>
      </c>
      <c r="B12" s="124" t="s">
        <v>92</v>
      </c>
      <c r="C12" s="98">
        <v>13899</v>
      </c>
      <c r="D12" s="98">
        <v>0</v>
      </c>
      <c r="E12" s="433"/>
      <c r="F12" s="433"/>
      <c r="G12" s="433"/>
      <c r="H12" s="434">
        <f t="shared" si="0"/>
        <v>0</v>
      </c>
      <c r="I12" s="433">
        <v>0</v>
      </c>
      <c r="J12" s="433"/>
      <c r="K12" s="433"/>
      <c r="L12" s="433"/>
      <c r="M12" s="434">
        <f t="shared" si="1"/>
        <v>0</v>
      </c>
      <c r="N12" s="433">
        <v>0</v>
      </c>
      <c r="O12" s="433"/>
      <c r="P12" s="433"/>
      <c r="Q12" s="433"/>
      <c r="R12" s="434">
        <f t="shared" si="2"/>
        <v>0</v>
      </c>
    </row>
    <row r="13" spans="1:18" ht="24" hidden="1" customHeight="1">
      <c r="A13" s="131">
        <v>21210</v>
      </c>
      <c r="B13" s="125" t="s">
        <v>93</v>
      </c>
      <c r="C13" s="98"/>
      <c r="D13" s="98">
        <v>0</v>
      </c>
      <c r="E13" s="433"/>
      <c r="F13" s="433"/>
      <c r="G13" s="433"/>
      <c r="H13" s="434">
        <f t="shared" si="0"/>
        <v>0</v>
      </c>
      <c r="I13" s="433">
        <v>0</v>
      </c>
      <c r="J13" s="433"/>
      <c r="K13" s="433"/>
      <c r="L13" s="433"/>
      <c r="M13" s="434">
        <f t="shared" si="1"/>
        <v>0</v>
      </c>
      <c r="N13" s="433">
        <v>0</v>
      </c>
      <c r="O13" s="433"/>
      <c r="P13" s="433"/>
      <c r="Q13" s="433"/>
      <c r="R13" s="434">
        <f t="shared" si="2"/>
        <v>0</v>
      </c>
    </row>
    <row r="14" spans="1:18" ht="20.399999999999999">
      <c r="A14" s="130" t="s">
        <v>178</v>
      </c>
      <c r="B14" s="124" t="s">
        <v>94</v>
      </c>
      <c r="C14" s="170">
        <v>824495</v>
      </c>
      <c r="D14" s="170">
        <v>92771</v>
      </c>
      <c r="E14" s="404">
        <f>E15+E21</f>
        <v>-73</v>
      </c>
      <c r="F14" s="404">
        <f>F15+F21</f>
        <v>0</v>
      </c>
      <c r="G14" s="404">
        <f>G15+G21</f>
        <v>0</v>
      </c>
      <c r="H14" s="434">
        <f t="shared" si="0"/>
        <v>92698</v>
      </c>
      <c r="I14" s="404">
        <v>77760</v>
      </c>
      <c r="J14" s="404">
        <f>J15+J21</f>
        <v>0</v>
      </c>
      <c r="K14" s="404">
        <f>K15+K21</f>
        <v>0</v>
      </c>
      <c r="L14" s="404">
        <f>L15+L21</f>
        <v>0</v>
      </c>
      <c r="M14" s="434">
        <f t="shared" si="1"/>
        <v>77760</v>
      </c>
      <c r="N14" s="404">
        <v>0</v>
      </c>
      <c r="O14" s="404">
        <f>O15+O21</f>
        <v>0</v>
      </c>
      <c r="P14" s="404">
        <f>P15+P21</f>
        <v>0</v>
      </c>
      <c r="Q14" s="404">
        <f>Q15+Q21</f>
        <v>0</v>
      </c>
      <c r="R14" s="434">
        <f t="shared" si="2"/>
        <v>0</v>
      </c>
    </row>
    <row r="15" spans="1:18" ht="12">
      <c r="A15" s="132">
        <v>18000</v>
      </c>
      <c r="B15" s="125" t="s">
        <v>95</v>
      </c>
      <c r="C15" s="170">
        <v>824495</v>
      </c>
      <c r="D15" s="170">
        <v>92771</v>
      </c>
      <c r="E15" s="404">
        <f t="shared" ref="E15:G16" si="3">E16</f>
        <v>-73</v>
      </c>
      <c r="F15" s="404">
        <f t="shared" si="3"/>
        <v>0</v>
      </c>
      <c r="G15" s="404">
        <f t="shared" si="3"/>
        <v>0</v>
      </c>
      <c r="H15" s="434">
        <f t="shared" si="0"/>
        <v>92698</v>
      </c>
      <c r="I15" s="404">
        <v>77760</v>
      </c>
      <c r="J15" s="404">
        <f t="shared" ref="J15:L16" si="4">J16</f>
        <v>0</v>
      </c>
      <c r="K15" s="404">
        <f t="shared" si="4"/>
        <v>0</v>
      </c>
      <c r="L15" s="404">
        <f t="shared" si="4"/>
        <v>0</v>
      </c>
      <c r="M15" s="434">
        <f t="shared" si="1"/>
        <v>77760</v>
      </c>
      <c r="N15" s="404">
        <v>0</v>
      </c>
      <c r="O15" s="404">
        <f t="shared" ref="O15:Q16" si="5">O16</f>
        <v>0</v>
      </c>
      <c r="P15" s="404">
        <f t="shared" si="5"/>
        <v>0</v>
      </c>
      <c r="Q15" s="404">
        <f t="shared" si="5"/>
        <v>0</v>
      </c>
      <c r="R15" s="434">
        <f t="shared" si="2"/>
        <v>0</v>
      </c>
    </row>
    <row r="16" spans="1:18" ht="12">
      <c r="A16" s="132">
        <v>18100</v>
      </c>
      <c r="B16" s="125" t="s">
        <v>96</v>
      </c>
      <c r="C16" s="170">
        <v>824495</v>
      </c>
      <c r="D16" s="170">
        <v>92771</v>
      </c>
      <c r="E16" s="404">
        <f t="shared" si="3"/>
        <v>-73</v>
      </c>
      <c r="F16" s="404">
        <f t="shared" si="3"/>
        <v>0</v>
      </c>
      <c r="G16" s="404">
        <f t="shared" si="3"/>
        <v>0</v>
      </c>
      <c r="H16" s="434">
        <f t="shared" si="0"/>
        <v>92698</v>
      </c>
      <c r="I16" s="404">
        <v>77760</v>
      </c>
      <c r="J16" s="404">
        <f t="shared" si="4"/>
        <v>0</v>
      </c>
      <c r="K16" s="404">
        <f t="shared" si="4"/>
        <v>0</v>
      </c>
      <c r="L16" s="404">
        <f t="shared" si="4"/>
        <v>0</v>
      </c>
      <c r="M16" s="434">
        <f t="shared" si="1"/>
        <v>77760</v>
      </c>
      <c r="N16" s="404">
        <v>0</v>
      </c>
      <c r="O16" s="404">
        <f t="shared" si="5"/>
        <v>0</v>
      </c>
      <c r="P16" s="404">
        <f t="shared" si="5"/>
        <v>0</v>
      </c>
      <c r="Q16" s="404">
        <f t="shared" si="5"/>
        <v>0</v>
      </c>
      <c r="R16" s="434">
        <f t="shared" si="2"/>
        <v>0</v>
      </c>
    </row>
    <row r="17" spans="1:18" s="4" customFormat="1" ht="24">
      <c r="A17" s="133">
        <v>18130</v>
      </c>
      <c r="B17" s="172" t="s">
        <v>159</v>
      </c>
      <c r="C17" s="170">
        <v>824495</v>
      </c>
      <c r="D17" s="170">
        <v>92771</v>
      </c>
      <c r="E17" s="404">
        <f>SUM(E18:E20)</f>
        <v>-73</v>
      </c>
      <c r="F17" s="404">
        <f>SUM(F18:F20)</f>
        <v>0</v>
      </c>
      <c r="G17" s="404">
        <f>SUM(G18:G20)</f>
        <v>0</v>
      </c>
      <c r="H17" s="434">
        <f t="shared" si="0"/>
        <v>92698</v>
      </c>
      <c r="I17" s="404">
        <v>77760</v>
      </c>
      <c r="J17" s="404">
        <f>SUM(J18:J20)</f>
        <v>0</v>
      </c>
      <c r="K17" s="404">
        <f>SUM(K18:K20)</f>
        <v>0</v>
      </c>
      <c r="L17" s="404">
        <f>SUM(L18:L20)</f>
        <v>0</v>
      </c>
      <c r="M17" s="434">
        <f t="shared" si="1"/>
        <v>77760</v>
      </c>
      <c r="N17" s="404">
        <v>0</v>
      </c>
      <c r="O17" s="404">
        <f>SUM(O18:O20)</f>
        <v>0</v>
      </c>
      <c r="P17" s="404">
        <f>SUM(P18:P20)</f>
        <v>0</v>
      </c>
      <c r="Q17" s="404">
        <f>SUM(Q18:Q20)</f>
        <v>0</v>
      </c>
      <c r="R17" s="434">
        <f t="shared" si="2"/>
        <v>0</v>
      </c>
    </row>
    <row r="18" spans="1:18" s="6" customFormat="1" ht="24">
      <c r="A18" s="134">
        <v>18131</v>
      </c>
      <c r="B18" s="172" t="s">
        <v>160</v>
      </c>
      <c r="C18" s="170">
        <v>822834</v>
      </c>
      <c r="D18" s="170">
        <v>92771</v>
      </c>
      <c r="E18" s="404">
        <f>E186</f>
        <v>-73</v>
      </c>
      <c r="F18" s="404"/>
      <c r="G18" s="404"/>
      <c r="H18" s="434">
        <f t="shared" si="0"/>
        <v>92698</v>
      </c>
      <c r="I18" s="404">
        <v>77760</v>
      </c>
      <c r="J18" s="404"/>
      <c r="K18" s="404"/>
      <c r="L18" s="404"/>
      <c r="M18" s="434">
        <f t="shared" si="1"/>
        <v>77760</v>
      </c>
      <c r="N18" s="404">
        <v>0</v>
      </c>
      <c r="O18" s="404"/>
      <c r="P18" s="404"/>
      <c r="Q18" s="404"/>
      <c r="R18" s="434">
        <f t="shared" si="2"/>
        <v>0</v>
      </c>
    </row>
    <row r="19" spans="1:18" s="6" customFormat="1" ht="24">
      <c r="A19" s="134">
        <v>18132</v>
      </c>
      <c r="B19" s="172" t="s">
        <v>169</v>
      </c>
      <c r="C19" s="170">
        <v>1661</v>
      </c>
      <c r="D19" s="170">
        <v>0</v>
      </c>
      <c r="E19" s="404"/>
      <c r="F19" s="404"/>
      <c r="G19" s="404"/>
      <c r="H19" s="434">
        <f t="shared" si="0"/>
        <v>0</v>
      </c>
      <c r="I19" s="404">
        <v>0</v>
      </c>
      <c r="J19" s="404"/>
      <c r="K19" s="404"/>
      <c r="L19" s="404"/>
      <c r="M19" s="434">
        <f t="shared" si="1"/>
        <v>0</v>
      </c>
      <c r="N19" s="404">
        <v>0</v>
      </c>
      <c r="O19" s="404"/>
      <c r="P19" s="404"/>
      <c r="Q19" s="404"/>
      <c r="R19" s="434">
        <f t="shared" si="2"/>
        <v>0</v>
      </c>
    </row>
    <row r="20" spans="1:18" s="6" customFormat="1" ht="24" hidden="1" customHeight="1">
      <c r="A20" s="134">
        <v>18139</v>
      </c>
      <c r="B20" s="172" t="s">
        <v>179</v>
      </c>
      <c r="C20" s="170"/>
      <c r="D20" s="170">
        <v>0</v>
      </c>
      <c r="E20" s="404"/>
      <c r="F20" s="404"/>
      <c r="G20" s="404"/>
      <c r="H20" s="434">
        <f t="shared" si="0"/>
        <v>0</v>
      </c>
      <c r="I20" s="404">
        <v>0</v>
      </c>
      <c r="J20" s="404"/>
      <c r="K20" s="404"/>
      <c r="L20" s="404"/>
      <c r="M20" s="434">
        <f t="shared" si="1"/>
        <v>0</v>
      </c>
      <c r="N20" s="404">
        <v>0</v>
      </c>
      <c r="O20" s="404"/>
      <c r="P20" s="404"/>
      <c r="Q20" s="404"/>
      <c r="R20" s="434">
        <f t="shared" si="2"/>
        <v>0</v>
      </c>
    </row>
    <row r="21" spans="1:18" s="6" customFormat="1" ht="12" hidden="1" customHeight="1">
      <c r="A21" s="135" t="s">
        <v>180</v>
      </c>
      <c r="B21" s="173" t="s">
        <v>173</v>
      </c>
      <c r="C21" s="201">
        <v>0</v>
      </c>
      <c r="D21" s="201">
        <v>0</v>
      </c>
      <c r="E21" s="436">
        <f>E22</f>
        <v>0</v>
      </c>
      <c r="F21" s="436">
        <f>F22</f>
        <v>0</v>
      </c>
      <c r="G21" s="436">
        <f>G22</f>
        <v>0</v>
      </c>
      <c r="H21" s="434">
        <f t="shared" si="0"/>
        <v>0</v>
      </c>
      <c r="I21" s="436">
        <v>0</v>
      </c>
      <c r="J21" s="436">
        <f>J22</f>
        <v>0</v>
      </c>
      <c r="K21" s="436">
        <f>K22</f>
        <v>0</v>
      </c>
      <c r="L21" s="436">
        <f>L22</f>
        <v>0</v>
      </c>
      <c r="M21" s="434">
        <f t="shared" si="1"/>
        <v>0</v>
      </c>
      <c r="N21" s="436">
        <v>0</v>
      </c>
      <c r="O21" s="436">
        <f>O22</f>
        <v>0</v>
      </c>
      <c r="P21" s="436">
        <f>P22</f>
        <v>0</v>
      </c>
      <c r="Q21" s="436">
        <f>Q22</f>
        <v>0</v>
      </c>
      <c r="R21" s="434">
        <f t="shared" si="2"/>
        <v>0</v>
      </c>
    </row>
    <row r="22" spans="1:18" s="6" customFormat="1" ht="24" hidden="1" customHeight="1">
      <c r="A22" s="135">
        <v>19500</v>
      </c>
      <c r="B22" s="172" t="s">
        <v>174</v>
      </c>
      <c r="C22" s="170">
        <v>0</v>
      </c>
      <c r="D22" s="170">
        <v>0</v>
      </c>
      <c r="E22" s="404">
        <f>SUM(E23:E25)</f>
        <v>0</v>
      </c>
      <c r="F22" s="404">
        <f>SUM(F23:F25)</f>
        <v>0</v>
      </c>
      <c r="G22" s="404">
        <f>SUM(G23:G25)</f>
        <v>0</v>
      </c>
      <c r="H22" s="434">
        <f t="shared" si="0"/>
        <v>0</v>
      </c>
      <c r="I22" s="404">
        <v>0</v>
      </c>
      <c r="J22" s="404">
        <f>SUM(J23:J25)</f>
        <v>0</v>
      </c>
      <c r="K22" s="404">
        <f>SUM(K23:K25)</f>
        <v>0</v>
      </c>
      <c r="L22" s="404">
        <f>SUM(L23:L25)</f>
        <v>0</v>
      </c>
      <c r="M22" s="434">
        <f t="shared" si="1"/>
        <v>0</v>
      </c>
      <c r="N22" s="404">
        <v>0</v>
      </c>
      <c r="O22" s="404">
        <f>SUM(O23:O25)</f>
        <v>0</v>
      </c>
      <c r="P22" s="404">
        <f>SUM(P23:P25)</f>
        <v>0</v>
      </c>
      <c r="Q22" s="404">
        <f>SUM(Q23:Q25)</f>
        <v>0</v>
      </c>
      <c r="R22" s="434">
        <f t="shared" si="2"/>
        <v>0</v>
      </c>
    </row>
    <row r="23" spans="1:18" s="6" customFormat="1" ht="24" hidden="1" customHeight="1">
      <c r="A23" s="136">
        <v>19550</v>
      </c>
      <c r="B23" s="172" t="s">
        <v>175</v>
      </c>
      <c r="C23" s="170"/>
      <c r="D23" s="170">
        <v>0</v>
      </c>
      <c r="E23" s="404"/>
      <c r="F23" s="404"/>
      <c r="G23" s="404"/>
      <c r="H23" s="434">
        <f t="shared" si="0"/>
        <v>0</v>
      </c>
      <c r="I23" s="404">
        <v>0</v>
      </c>
      <c r="J23" s="404"/>
      <c r="K23" s="404"/>
      <c r="L23" s="404"/>
      <c r="M23" s="434">
        <f t="shared" si="1"/>
        <v>0</v>
      </c>
      <c r="N23" s="404">
        <v>0</v>
      </c>
      <c r="O23" s="404"/>
      <c r="P23" s="404"/>
      <c r="Q23" s="404"/>
      <c r="R23" s="434">
        <f t="shared" si="2"/>
        <v>0</v>
      </c>
    </row>
    <row r="24" spans="1:18" s="6" customFormat="1" ht="36" hidden="1" customHeight="1">
      <c r="A24" s="136">
        <v>19560</v>
      </c>
      <c r="B24" s="172" t="s">
        <v>181</v>
      </c>
      <c r="C24" s="170"/>
      <c r="D24" s="170">
        <v>0</v>
      </c>
      <c r="E24" s="404"/>
      <c r="F24" s="404"/>
      <c r="G24" s="404"/>
      <c r="H24" s="434">
        <f t="shared" si="0"/>
        <v>0</v>
      </c>
      <c r="I24" s="404">
        <v>0</v>
      </c>
      <c r="J24" s="404"/>
      <c r="K24" s="404"/>
      <c r="L24" s="404"/>
      <c r="M24" s="434">
        <f t="shared" si="1"/>
        <v>0</v>
      </c>
      <c r="N24" s="404">
        <v>0</v>
      </c>
      <c r="O24" s="404"/>
      <c r="P24" s="404"/>
      <c r="Q24" s="404"/>
      <c r="R24" s="434">
        <f t="shared" si="2"/>
        <v>0</v>
      </c>
    </row>
    <row r="25" spans="1:18" s="6" customFormat="1" ht="72" hidden="1" customHeight="1">
      <c r="A25" s="136">
        <v>19570</v>
      </c>
      <c r="B25" s="172" t="s">
        <v>182</v>
      </c>
      <c r="C25" s="170"/>
      <c r="D25" s="170">
        <v>0</v>
      </c>
      <c r="E25" s="404"/>
      <c r="F25" s="404"/>
      <c r="G25" s="404"/>
      <c r="H25" s="434">
        <f t="shared" si="0"/>
        <v>0</v>
      </c>
      <c r="I25" s="404">
        <v>0</v>
      </c>
      <c r="J25" s="404"/>
      <c r="K25" s="404"/>
      <c r="L25" s="404"/>
      <c r="M25" s="434">
        <f t="shared" si="1"/>
        <v>0</v>
      </c>
      <c r="N25" s="404">
        <v>0</v>
      </c>
      <c r="O25" s="404"/>
      <c r="P25" s="404"/>
      <c r="Q25" s="404"/>
      <c r="R25" s="434">
        <f t="shared" si="2"/>
        <v>0</v>
      </c>
    </row>
    <row r="26" spans="1:18" s="6" customFormat="1" ht="24" hidden="1" customHeight="1">
      <c r="A26" s="209" t="s">
        <v>222</v>
      </c>
      <c r="B26" s="208" t="s">
        <v>216</v>
      </c>
      <c r="C26" s="106">
        <f>C27</f>
        <v>0</v>
      </c>
      <c r="D26" s="106">
        <v>0</v>
      </c>
      <c r="E26" s="434">
        <f>E27</f>
        <v>0</v>
      </c>
      <c r="F26" s="434">
        <f>F27</f>
        <v>0</v>
      </c>
      <c r="G26" s="434">
        <f>G27</f>
        <v>0</v>
      </c>
      <c r="H26" s="434">
        <f t="shared" si="0"/>
        <v>0</v>
      </c>
      <c r="I26" s="404">
        <v>0</v>
      </c>
      <c r="J26" s="434">
        <f>J27</f>
        <v>0</v>
      </c>
      <c r="K26" s="434">
        <f>K27</f>
        <v>0</v>
      </c>
      <c r="L26" s="434">
        <f>L27</f>
        <v>0</v>
      </c>
      <c r="M26" s="434">
        <f t="shared" si="1"/>
        <v>0</v>
      </c>
      <c r="N26" s="404">
        <v>0</v>
      </c>
      <c r="O26" s="434">
        <f>O27</f>
        <v>0</v>
      </c>
      <c r="P26" s="434">
        <f>P27</f>
        <v>0</v>
      </c>
      <c r="Q26" s="434">
        <f>Q27</f>
        <v>0</v>
      </c>
      <c r="R26" s="434">
        <f t="shared" si="2"/>
        <v>0</v>
      </c>
    </row>
    <row r="27" spans="1:18" s="6" customFormat="1" ht="36" hidden="1" customHeight="1">
      <c r="A27" s="209">
        <v>17100</v>
      </c>
      <c r="B27" s="208" t="s">
        <v>217</v>
      </c>
      <c r="C27" s="106">
        <f>SUM(C28:C31)</f>
        <v>0</v>
      </c>
      <c r="D27" s="106">
        <v>0</v>
      </c>
      <c r="E27" s="434">
        <f>SUM(E28:E31)</f>
        <v>0</v>
      </c>
      <c r="F27" s="434">
        <f>SUM(F28:F31)</f>
        <v>0</v>
      </c>
      <c r="G27" s="434">
        <f>SUM(G28:G31)</f>
        <v>0</v>
      </c>
      <c r="H27" s="434">
        <f t="shared" si="0"/>
        <v>0</v>
      </c>
      <c r="I27" s="404">
        <v>0</v>
      </c>
      <c r="J27" s="434">
        <f>SUM(J28:J31)</f>
        <v>0</v>
      </c>
      <c r="K27" s="434">
        <f>SUM(K28:K31)</f>
        <v>0</v>
      </c>
      <c r="L27" s="434">
        <f>SUM(L28:L31)</f>
        <v>0</v>
      </c>
      <c r="M27" s="434">
        <f t="shared" si="1"/>
        <v>0</v>
      </c>
      <c r="N27" s="404">
        <v>0</v>
      </c>
      <c r="O27" s="434">
        <f>SUM(O28:O31)</f>
        <v>0</v>
      </c>
      <c r="P27" s="434">
        <f>SUM(P28:P31)</f>
        <v>0</v>
      </c>
      <c r="Q27" s="434">
        <f>SUM(Q28:Q31)</f>
        <v>0</v>
      </c>
      <c r="R27" s="434">
        <f t="shared" si="2"/>
        <v>0</v>
      </c>
    </row>
    <row r="28" spans="1:18" s="6" customFormat="1" ht="48" hidden="1" customHeight="1">
      <c r="A28" s="149">
        <v>17110</v>
      </c>
      <c r="B28" s="208" t="s">
        <v>218</v>
      </c>
      <c r="C28" s="106"/>
      <c r="D28" s="106">
        <v>0</v>
      </c>
      <c r="E28" s="404"/>
      <c r="F28" s="404"/>
      <c r="G28" s="404"/>
      <c r="H28" s="434">
        <f t="shared" si="0"/>
        <v>0</v>
      </c>
      <c r="I28" s="404">
        <v>0</v>
      </c>
      <c r="J28" s="404"/>
      <c r="K28" s="404"/>
      <c r="L28" s="404"/>
      <c r="M28" s="434">
        <f t="shared" si="1"/>
        <v>0</v>
      </c>
      <c r="N28" s="404">
        <v>0</v>
      </c>
      <c r="O28" s="404"/>
      <c r="P28" s="404"/>
      <c r="Q28" s="404"/>
      <c r="R28" s="434">
        <f t="shared" si="2"/>
        <v>0</v>
      </c>
    </row>
    <row r="29" spans="1:18" s="6" customFormat="1" ht="48" hidden="1" customHeight="1">
      <c r="A29" s="149">
        <v>17120</v>
      </c>
      <c r="B29" s="208" t="s">
        <v>219</v>
      </c>
      <c r="C29" s="106"/>
      <c r="D29" s="106">
        <v>0</v>
      </c>
      <c r="E29" s="404"/>
      <c r="F29" s="404"/>
      <c r="G29" s="404"/>
      <c r="H29" s="434">
        <f t="shared" si="0"/>
        <v>0</v>
      </c>
      <c r="I29" s="404">
        <v>0</v>
      </c>
      <c r="J29" s="404"/>
      <c r="K29" s="404"/>
      <c r="L29" s="404"/>
      <c r="M29" s="434">
        <f t="shared" si="1"/>
        <v>0</v>
      </c>
      <c r="N29" s="404">
        <v>0</v>
      </c>
      <c r="O29" s="404"/>
      <c r="P29" s="404"/>
      <c r="Q29" s="404"/>
      <c r="R29" s="434">
        <f t="shared" si="2"/>
        <v>0</v>
      </c>
    </row>
    <row r="30" spans="1:18" s="6" customFormat="1" ht="96" hidden="1" customHeight="1">
      <c r="A30" s="149">
        <v>17130</v>
      </c>
      <c r="B30" s="208" t="s">
        <v>220</v>
      </c>
      <c r="C30" s="106"/>
      <c r="D30" s="106">
        <v>0</v>
      </c>
      <c r="E30" s="404"/>
      <c r="F30" s="404"/>
      <c r="G30" s="404"/>
      <c r="H30" s="434">
        <f t="shared" si="0"/>
        <v>0</v>
      </c>
      <c r="I30" s="404">
        <v>0</v>
      </c>
      <c r="J30" s="404"/>
      <c r="K30" s="404"/>
      <c r="L30" s="404"/>
      <c r="M30" s="434">
        <f t="shared" si="1"/>
        <v>0</v>
      </c>
      <c r="N30" s="404">
        <v>0</v>
      </c>
      <c r="O30" s="404"/>
      <c r="P30" s="404"/>
      <c r="Q30" s="404"/>
      <c r="R30" s="434">
        <f t="shared" si="2"/>
        <v>0</v>
      </c>
    </row>
    <row r="31" spans="1:18" s="6" customFormat="1" ht="96" hidden="1" customHeight="1">
      <c r="A31" s="149">
        <v>17140</v>
      </c>
      <c r="B31" s="208" t="s">
        <v>221</v>
      </c>
      <c r="C31" s="106"/>
      <c r="D31" s="106">
        <v>0</v>
      </c>
      <c r="E31" s="404"/>
      <c r="F31" s="404"/>
      <c r="G31" s="404"/>
      <c r="H31" s="434">
        <f t="shared" si="0"/>
        <v>0</v>
      </c>
      <c r="I31" s="404">
        <v>0</v>
      </c>
      <c r="J31" s="404"/>
      <c r="K31" s="404"/>
      <c r="L31" s="404"/>
      <c r="M31" s="434">
        <f t="shared" si="1"/>
        <v>0</v>
      </c>
      <c r="N31" s="404">
        <v>0</v>
      </c>
      <c r="O31" s="404"/>
      <c r="P31" s="404"/>
      <c r="Q31" s="404"/>
      <c r="R31" s="434">
        <f t="shared" si="2"/>
        <v>0</v>
      </c>
    </row>
    <row r="32" spans="1:18" s="6" customFormat="1" ht="12">
      <c r="A32" s="137">
        <v>21700</v>
      </c>
      <c r="B32" s="124" t="s">
        <v>97</v>
      </c>
      <c r="C32" s="170">
        <v>207573951</v>
      </c>
      <c r="D32" s="170">
        <v>202217309</v>
      </c>
      <c r="E32" s="404">
        <f>E33+E34</f>
        <v>21504609</v>
      </c>
      <c r="F32" s="404">
        <f>F33+F34</f>
        <v>5373931</v>
      </c>
      <c r="G32" s="404">
        <f>G33+G34</f>
        <v>10158503</v>
      </c>
      <c r="H32" s="434">
        <f t="shared" si="0"/>
        <v>239254352</v>
      </c>
      <c r="I32" s="404">
        <v>293582807</v>
      </c>
      <c r="J32" s="404">
        <f>J33+J34</f>
        <v>18744852</v>
      </c>
      <c r="K32" s="404">
        <f>K33+K34</f>
        <v>5222028</v>
      </c>
      <c r="L32" s="404">
        <f>L33+L34</f>
        <v>17789443</v>
      </c>
      <c r="M32" s="434">
        <f t="shared" si="1"/>
        <v>335339130</v>
      </c>
      <c r="N32" s="404">
        <v>288331986</v>
      </c>
      <c r="O32" s="404">
        <f>O33+O34</f>
        <v>3734123</v>
      </c>
      <c r="P32" s="404">
        <f>P33+P34</f>
        <v>24234937</v>
      </c>
      <c r="Q32" s="404">
        <f>Q33+Q34</f>
        <v>17789443</v>
      </c>
      <c r="R32" s="434">
        <f t="shared" si="2"/>
        <v>334090489</v>
      </c>
    </row>
    <row r="33" spans="1:18" s="6" customFormat="1" ht="24">
      <c r="A33" s="138">
        <v>21710</v>
      </c>
      <c r="B33" s="125" t="s">
        <v>98</v>
      </c>
      <c r="C33" s="170">
        <v>191113069</v>
      </c>
      <c r="D33" s="170">
        <v>181194048</v>
      </c>
      <c r="E33" s="404">
        <f>E117+E201</f>
        <v>10484491</v>
      </c>
      <c r="F33" s="404">
        <f>F117</f>
        <v>5373931</v>
      </c>
      <c r="G33" s="404">
        <f>G117</f>
        <v>10158503</v>
      </c>
      <c r="H33" s="434">
        <f t="shared" si="0"/>
        <v>207210973</v>
      </c>
      <c r="I33" s="404">
        <v>291874075</v>
      </c>
      <c r="J33" s="404">
        <f>J117+J201</f>
        <v>9203247</v>
      </c>
      <c r="K33" s="404">
        <f>K117</f>
        <v>5222028</v>
      </c>
      <c r="L33" s="404">
        <f>L117</f>
        <v>17789443</v>
      </c>
      <c r="M33" s="434">
        <f t="shared" si="1"/>
        <v>324088793</v>
      </c>
      <c r="N33" s="404">
        <v>288331986</v>
      </c>
      <c r="O33" s="404">
        <f>O117+O201</f>
        <v>1074193</v>
      </c>
      <c r="P33" s="404">
        <f>P117</f>
        <v>24234937</v>
      </c>
      <c r="Q33" s="404">
        <f>Q117</f>
        <v>17789443</v>
      </c>
      <c r="R33" s="434">
        <f t="shared" si="2"/>
        <v>331430559</v>
      </c>
    </row>
    <row r="34" spans="1:18" s="6" customFormat="1" ht="24">
      <c r="A34" s="138">
        <v>21720</v>
      </c>
      <c r="B34" s="125" t="s">
        <v>99</v>
      </c>
      <c r="C34" s="170">
        <v>16460882</v>
      </c>
      <c r="D34" s="170">
        <v>21023261</v>
      </c>
      <c r="E34" s="404">
        <f>E202</f>
        <v>11020118</v>
      </c>
      <c r="F34" s="404"/>
      <c r="G34" s="404"/>
      <c r="H34" s="434">
        <f t="shared" si="0"/>
        <v>32043379</v>
      </c>
      <c r="I34" s="404">
        <v>1708732</v>
      </c>
      <c r="J34" s="404">
        <f>J202</f>
        <v>9541605</v>
      </c>
      <c r="K34" s="404"/>
      <c r="L34" s="404"/>
      <c r="M34" s="434">
        <f t="shared" si="1"/>
        <v>11250337</v>
      </c>
      <c r="N34" s="404">
        <v>0</v>
      </c>
      <c r="O34" s="404">
        <f>O202</f>
        <v>2659930</v>
      </c>
      <c r="P34" s="404"/>
      <c r="Q34" s="404"/>
      <c r="R34" s="434">
        <f t="shared" si="2"/>
        <v>2659930</v>
      </c>
    </row>
    <row r="35" spans="1:18" s="6" customFormat="1" ht="11.4">
      <c r="A35" s="129" t="s">
        <v>100</v>
      </c>
      <c r="B35" s="123" t="s">
        <v>101</v>
      </c>
      <c r="C35" s="168">
        <v>215048333</v>
      </c>
      <c r="D35" s="168">
        <v>208946068</v>
      </c>
      <c r="E35" s="403">
        <f>E36+E63</f>
        <v>21504536</v>
      </c>
      <c r="F35" s="403">
        <f>F36+F63</f>
        <v>5373931</v>
      </c>
      <c r="G35" s="403">
        <f>G36+G63</f>
        <v>10158503</v>
      </c>
      <c r="H35" s="270">
        <f t="shared" si="0"/>
        <v>245983038</v>
      </c>
      <c r="I35" s="403">
        <v>300296555</v>
      </c>
      <c r="J35" s="403">
        <f>J36+J63</f>
        <v>18744852</v>
      </c>
      <c r="K35" s="403">
        <f>K36+K63</f>
        <v>5222028</v>
      </c>
      <c r="L35" s="403">
        <f>L36+L63</f>
        <v>17789443</v>
      </c>
      <c r="M35" s="270">
        <f t="shared" si="1"/>
        <v>342052878</v>
      </c>
      <c r="N35" s="403">
        <v>294967974</v>
      </c>
      <c r="O35" s="403">
        <f>O36+O63</f>
        <v>3734123</v>
      </c>
      <c r="P35" s="403">
        <f>P36+P63</f>
        <v>24234937</v>
      </c>
      <c r="Q35" s="403">
        <f>Q36+Q63</f>
        <v>17789443</v>
      </c>
      <c r="R35" s="270">
        <f t="shared" si="2"/>
        <v>340726477</v>
      </c>
    </row>
    <row r="36" spans="1:18" s="6" customFormat="1" ht="20.399999999999999">
      <c r="A36" s="130" t="s">
        <v>102</v>
      </c>
      <c r="B36" s="124" t="s">
        <v>103</v>
      </c>
      <c r="C36" s="170">
        <v>210820009</v>
      </c>
      <c r="D36" s="170">
        <v>208575594</v>
      </c>
      <c r="E36" s="404">
        <f>E37+E41+E42+E45+E48</f>
        <v>20454871</v>
      </c>
      <c r="F36" s="404">
        <f>F37+F41+F42+F45+F48</f>
        <v>5373931</v>
      </c>
      <c r="G36" s="404">
        <f>G37+G41+G42+G45+G48</f>
        <v>10158503</v>
      </c>
      <c r="H36" s="434">
        <f t="shared" si="0"/>
        <v>244562899</v>
      </c>
      <c r="I36" s="404">
        <v>299926081</v>
      </c>
      <c r="J36" s="404">
        <f>J37+J41+J42+J45+J48</f>
        <v>17384852</v>
      </c>
      <c r="K36" s="404">
        <f>K37+K41+K42+K45+K48</f>
        <v>5222028</v>
      </c>
      <c r="L36" s="404">
        <f>L37+L41+L42+L45+L48</f>
        <v>17789443</v>
      </c>
      <c r="M36" s="434">
        <f t="shared" si="1"/>
        <v>340322404</v>
      </c>
      <c r="N36" s="404">
        <v>294597500</v>
      </c>
      <c r="O36" s="404">
        <f>O37+O41+O42+O45+O48</f>
        <v>3515595</v>
      </c>
      <c r="P36" s="404">
        <f>P37+P41+P42+P45+P48</f>
        <v>24234937</v>
      </c>
      <c r="Q36" s="404">
        <f>Q37+Q41+Q42+Q45+Q48</f>
        <v>17789443</v>
      </c>
      <c r="R36" s="434">
        <f t="shared" si="2"/>
        <v>340137475</v>
      </c>
    </row>
    <row r="37" spans="1:18" s="6" customFormat="1" ht="12">
      <c r="A37" s="130" t="s">
        <v>104</v>
      </c>
      <c r="B37" s="124" t="s">
        <v>105</v>
      </c>
      <c r="C37" s="170">
        <v>36591413</v>
      </c>
      <c r="D37" s="170">
        <v>35791630</v>
      </c>
      <c r="E37" s="404">
        <f>E38+E40</f>
        <v>529968</v>
      </c>
      <c r="F37" s="404">
        <f>F38+F40</f>
        <v>89949</v>
      </c>
      <c r="G37" s="404">
        <f>G38+G40</f>
        <v>4103857</v>
      </c>
      <c r="H37" s="434">
        <f t="shared" si="0"/>
        <v>40515404</v>
      </c>
      <c r="I37" s="404">
        <v>32183756</v>
      </c>
      <c r="J37" s="404">
        <f>J38+J40</f>
        <v>1310501</v>
      </c>
      <c r="K37" s="404">
        <f>K38+K40</f>
        <v>75537</v>
      </c>
      <c r="L37" s="404">
        <f>L38+L40</f>
        <v>4076797</v>
      </c>
      <c r="M37" s="434">
        <f t="shared" si="1"/>
        <v>37646591</v>
      </c>
      <c r="N37" s="404">
        <v>31409828</v>
      </c>
      <c r="O37" s="404">
        <f>O38+O40</f>
        <v>617780</v>
      </c>
      <c r="P37" s="404">
        <f>P38+P40</f>
        <v>49635</v>
      </c>
      <c r="Q37" s="404">
        <f>Q38+Q40</f>
        <v>4076797</v>
      </c>
      <c r="R37" s="434">
        <f t="shared" si="2"/>
        <v>36154040</v>
      </c>
    </row>
    <row r="38" spans="1:18" s="6" customFormat="1" ht="12">
      <c r="A38" s="132">
        <v>1000</v>
      </c>
      <c r="B38" s="125" t="s">
        <v>106</v>
      </c>
      <c r="C38" s="170">
        <v>23516147</v>
      </c>
      <c r="D38" s="170">
        <v>24056393</v>
      </c>
      <c r="E38" s="404">
        <f>E206</f>
        <v>-203047</v>
      </c>
      <c r="F38" s="404">
        <f t="shared" ref="F38:G40" si="6">F122</f>
        <v>31750</v>
      </c>
      <c r="G38" s="404">
        <f t="shared" si="6"/>
        <v>3664308</v>
      </c>
      <c r="H38" s="434">
        <f t="shared" si="0"/>
        <v>27549404</v>
      </c>
      <c r="I38" s="404">
        <v>21775479</v>
      </c>
      <c r="J38" s="404">
        <f>J206</f>
        <v>852373</v>
      </c>
      <c r="K38" s="404">
        <f t="shared" ref="K38:L40" si="7">K122</f>
        <v>50755</v>
      </c>
      <c r="L38" s="404">
        <f t="shared" si="7"/>
        <v>3674166</v>
      </c>
      <c r="M38" s="434">
        <f t="shared" si="1"/>
        <v>26352773</v>
      </c>
      <c r="N38" s="404">
        <v>21086227</v>
      </c>
      <c r="O38" s="404">
        <f>O206</f>
        <v>484727</v>
      </c>
      <c r="P38" s="404">
        <f t="shared" ref="P38:Q40" si="8">P122</f>
        <v>34105</v>
      </c>
      <c r="Q38" s="404">
        <f t="shared" si="8"/>
        <v>3674166</v>
      </c>
      <c r="R38" s="434">
        <f t="shared" si="2"/>
        <v>25279225</v>
      </c>
    </row>
    <row r="39" spans="1:18" s="6" customFormat="1" ht="12">
      <c r="A39" s="139">
        <v>1100</v>
      </c>
      <c r="B39" s="125" t="s">
        <v>107</v>
      </c>
      <c r="C39" s="170">
        <v>18660251</v>
      </c>
      <c r="D39" s="170">
        <v>19106350</v>
      </c>
      <c r="E39" s="404">
        <f>E207</f>
        <v>-163633</v>
      </c>
      <c r="F39" s="404">
        <f t="shared" si="6"/>
        <v>14526</v>
      </c>
      <c r="G39" s="404">
        <f t="shared" si="6"/>
        <v>2952358</v>
      </c>
      <c r="H39" s="434">
        <f t="shared" si="0"/>
        <v>21909601</v>
      </c>
      <c r="I39" s="404">
        <v>17283810</v>
      </c>
      <c r="J39" s="404">
        <f>J207</f>
        <v>685529</v>
      </c>
      <c r="K39" s="404">
        <f t="shared" si="7"/>
        <v>20352</v>
      </c>
      <c r="L39" s="404">
        <f t="shared" si="7"/>
        <v>2959637</v>
      </c>
      <c r="M39" s="434">
        <f t="shared" si="1"/>
        <v>20949328</v>
      </c>
      <c r="N39" s="404">
        <v>16741930</v>
      </c>
      <c r="O39" s="404">
        <f>O207</f>
        <v>390160</v>
      </c>
      <c r="P39" s="404">
        <f t="shared" si="8"/>
        <v>15497</v>
      </c>
      <c r="Q39" s="404">
        <f t="shared" si="8"/>
        <v>2959637</v>
      </c>
      <c r="R39" s="434">
        <f t="shared" si="2"/>
        <v>20107224</v>
      </c>
    </row>
    <row r="40" spans="1:18" s="6" customFormat="1" ht="12">
      <c r="A40" s="132">
        <v>2000</v>
      </c>
      <c r="B40" s="125" t="s">
        <v>108</v>
      </c>
      <c r="C40" s="170">
        <v>13075266</v>
      </c>
      <c r="D40" s="170">
        <v>11735237</v>
      </c>
      <c r="E40" s="404">
        <f>E208</f>
        <v>733015</v>
      </c>
      <c r="F40" s="404">
        <f t="shared" si="6"/>
        <v>58199</v>
      </c>
      <c r="G40" s="404">
        <f t="shared" si="6"/>
        <v>439549</v>
      </c>
      <c r="H40" s="434">
        <f t="shared" si="0"/>
        <v>12966000</v>
      </c>
      <c r="I40" s="404">
        <v>10408277</v>
      </c>
      <c r="J40" s="404">
        <f>J208</f>
        <v>458128</v>
      </c>
      <c r="K40" s="404">
        <f t="shared" si="7"/>
        <v>24782</v>
      </c>
      <c r="L40" s="404">
        <f t="shared" si="7"/>
        <v>402631</v>
      </c>
      <c r="M40" s="434">
        <f t="shared" si="1"/>
        <v>11293818</v>
      </c>
      <c r="N40" s="404">
        <v>10323601</v>
      </c>
      <c r="O40" s="404">
        <f>O208</f>
        <v>133053</v>
      </c>
      <c r="P40" s="404">
        <f t="shared" si="8"/>
        <v>15530</v>
      </c>
      <c r="Q40" s="404">
        <f t="shared" si="8"/>
        <v>402631</v>
      </c>
      <c r="R40" s="434">
        <f t="shared" si="2"/>
        <v>10874815</v>
      </c>
    </row>
    <row r="41" spans="1:18" s="6" customFormat="1" ht="12" hidden="1" customHeight="1">
      <c r="A41" s="140">
        <v>4000</v>
      </c>
      <c r="B41" s="124" t="s">
        <v>132</v>
      </c>
      <c r="C41" s="170"/>
      <c r="D41" s="170">
        <v>0</v>
      </c>
      <c r="E41" s="437"/>
      <c r="F41" s="437"/>
      <c r="G41" s="437"/>
      <c r="H41" s="434">
        <f t="shared" si="0"/>
        <v>0</v>
      </c>
      <c r="I41" s="404">
        <v>0</v>
      </c>
      <c r="J41" s="437"/>
      <c r="K41" s="437"/>
      <c r="L41" s="437"/>
      <c r="M41" s="434">
        <f t="shared" si="1"/>
        <v>0</v>
      </c>
      <c r="N41" s="404">
        <v>0</v>
      </c>
      <c r="O41" s="437"/>
      <c r="P41" s="437"/>
      <c r="Q41" s="437"/>
      <c r="R41" s="434">
        <f t="shared" si="2"/>
        <v>0</v>
      </c>
    </row>
    <row r="42" spans="1:18" s="6" customFormat="1" ht="12">
      <c r="A42" s="140" t="s">
        <v>109</v>
      </c>
      <c r="B42" s="124" t="s">
        <v>110</v>
      </c>
      <c r="C42" s="170">
        <v>126263133</v>
      </c>
      <c r="D42" s="170">
        <v>130714492</v>
      </c>
      <c r="E42" s="404">
        <f>E43+E44</f>
        <v>2061340</v>
      </c>
      <c r="F42" s="404">
        <f>F43+F44</f>
        <v>500619</v>
      </c>
      <c r="G42" s="404">
        <f>G43+G44</f>
        <v>4578646</v>
      </c>
      <c r="H42" s="434">
        <f t="shared" si="0"/>
        <v>137855097</v>
      </c>
      <c r="I42" s="404">
        <v>250673174</v>
      </c>
      <c r="J42" s="404">
        <f>J43+J44</f>
        <v>-122623647</v>
      </c>
      <c r="K42" s="404">
        <f>K43+K44</f>
        <v>688584</v>
      </c>
      <c r="L42" s="404">
        <f>L43+L44</f>
        <v>12236646</v>
      </c>
      <c r="M42" s="434">
        <f t="shared" si="1"/>
        <v>140974757</v>
      </c>
      <c r="N42" s="404">
        <v>248269455</v>
      </c>
      <c r="O42" s="404">
        <f>O43+O44</f>
        <v>-122510136</v>
      </c>
      <c r="P42" s="404">
        <f>P43+P44</f>
        <v>18838236</v>
      </c>
      <c r="Q42" s="404">
        <f>Q43+Q44</f>
        <v>12236646</v>
      </c>
      <c r="R42" s="434">
        <f t="shared" si="2"/>
        <v>156834201</v>
      </c>
    </row>
    <row r="43" spans="1:18" s="6" customFormat="1" ht="12">
      <c r="A43" s="132">
        <v>3000</v>
      </c>
      <c r="B43" s="125" t="s">
        <v>111</v>
      </c>
      <c r="C43" s="202">
        <v>15198118</v>
      </c>
      <c r="D43" s="202">
        <v>18757843</v>
      </c>
      <c r="E43" s="438">
        <f>E211</f>
        <v>1305344</v>
      </c>
      <c r="F43" s="574"/>
      <c r="G43" s="438">
        <f>G127</f>
        <v>4578646</v>
      </c>
      <c r="H43" s="434">
        <f t="shared" si="0"/>
        <v>24641833</v>
      </c>
      <c r="I43" s="438">
        <v>5946974</v>
      </c>
      <c r="J43" s="438">
        <f>J211</f>
        <v>6814081</v>
      </c>
      <c r="K43" s="574"/>
      <c r="L43" s="438">
        <f>L127</f>
        <v>12236646</v>
      </c>
      <c r="M43" s="434">
        <f t="shared" si="1"/>
        <v>24997701</v>
      </c>
      <c r="N43" s="438">
        <v>4920832</v>
      </c>
      <c r="O43" s="438">
        <f>O211</f>
        <v>2441002</v>
      </c>
      <c r="P43" s="574"/>
      <c r="Q43" s="438">
        <f>Q127</f>
        <v>12236646</v>
      </c>
      <c r="R43" s="434">
        <f t="shared" si="2"/>
        <v>19598480</v>
      </c>
    </row>
    <row r="44" spans="1:18" s="6" customFormat="1" ht="12">
      <c r="A44" s="132">
        <v>6000</v>
      </c>
      <c r="B44" s="125" t="s">
        <v>112</v>
      </c>
      <c r="C44" s="203">
        <v>111065015</v>
      </c>
      <c r="D44" s="203">
        <v>111956649</v>
      </c>
      <c r="E44" s="523">
        <f>E128</f>
        <v>755996</v>
      </c>
      <c r="F44" s="523">
        <f>F128</f>
        <v>500619</v>
      </c>
      <c r="G44" s="523">
        <f>G128</f>
        <v>0</v>
      </c>
      <c r="H44" s="434">
        <f t="shared" si="0"/>
        <v>113213264</v>
      </c>
      <c r="I44" s="523">
        <v>244726200</v>
      </c>
      <c r="J44" s="523">
        <f>J128</f>
        <v>-129437728</v>
      </c>
      <c r="K44" s="523">
        <f>K128</f>
        <v>688584</v>
      </c>
      <c r="L44" s="523">
        <f>L128</f>
        <v>0</v>
      </c>
      <c r="M44" s="434">
        <f t="shared" si="1"/>
        <v>115977056</v>
      </c>
      <c r="N44" s="523">
        <v>243348623</v>
      </c>
      <c r="O44" s="523">
        <f>O128</f>
        <v>-124951138</v>
      </c>
      <c r="P44" s="523">
        <f>P128</f>
        <v>18838236</v>
      </c>
      <c r="Q44" s="523">
        <f>Q128</f>
        <v>0</v>
      </c>
      <c r="R44" s="434">
        <f t="shared" si="2"/>
        <v>137235721</v>
      </c>
    </row>
    <row r="45" spans="1:18" s="6" customFormat="1" ht="22.8">
      <c r="A45" s="140" t="s">
        <v>113</v>
      </c>
      <c r="B45" s="124" t="s">
        <v>183</v>
      </c>
      <c r="C45" s="170">
        <v>88653</v>
      </c>
      <c r="D45" s="170">
        <v>91732</v>
      </c>
      <c r="E45" s="404">
        <f>E46+E47</f>
        <v>0</v>
      </c>
      <c r="F45" s="404">
        <f>F46+F47</f>
        <v>0</v>
      </c>
      <c r="G45" s="404">
        <f>G46+G47</f>
        <v>0</v>
      </c>
      <c r="H45" s="434">
        <f t="shared" si="0"/>
        <v>91732</v>
      </c>
      <c r="I45" s="404">
        <v>91732</v>
      </c>
      <c r="J45" s="404">
        <f>J46+J47</f>
        <v>0</v>
      </c>
      <c r="K45" s="404">
        <f>K46+K47</f>
        <v>0</v>
      </c>
      <c r="L45" s="404">
        <f>L46+L47</f>
        <v>0</v>
      </c>
      <c r="M45" s="434">
        <f t="shared" si="1"/>
        <v>91732</v>
      </c>
      <c r="N45" s="404">
        <v>91732</v>
      </c>
      <c r="O45" s="404">
        <f>O46+O47</f>
        <v>0</v>
      </c>
      <c r="P45" s="404">
        <f>P46+P47</f>
        <v>0</v>
      </c>
      <c r="Q45" s="404">
        <f>Q46+Q47</f>
        <v>0</v>
      </c>
      <c r="R45" s="434">
        <f t="shared" si="2"/>
        <v>91732</v>
      </c>
    </row>
    <row r="46" spans="1:18" s="6" customFormat="1" ht="12" hidden="1" customHeight="1">
      <c r="A46" s="132">
        <v>7600</v>
      </c>
      <c r="B46" s="179" t="s">
        <v>184</v>
      </c>
      <c r="C46" s="170"/>
      <c r="D46" s="170">
        <v>0</v>
      </c>
      <c r="E46" s="437"/>
      <c r="F46" s="437"/>
      <c r="G46" s="437"/>
      <c r="H46" s="434">
        <f t="shared" si="0"/>
        <v>0</v>
      </c>
      <c r="I46" s="404">
        <v>0</v>
      </c>
      <c r="J46" s="437"/>
      <c r="K46" s="437"/>
      <c r="L46" s="437"/>
      <c r="M46" s="434">
        <f t="shared" si="1"/>
        <v>0</v>
      </c>
      <c r="N46" s="404">
        <v>0</v>
      </c>
      <c r="O46" s="437"/>
      <c r="P46" s="437"/>
      <c r="Q46" s="437"/>
      <c r="R46" s="434">
        <f t="shared" si="2"/>
        <v>0</v>
      </c>
    </row>
    <row r="47" spans="1:18" s="6" customFormat="1" ht="12">
      <c r="A47" s="132">
        <v>7700</v>
      </c>
      <c r="B47" s="126" t="s">
        <v>114</v>
      </c>
      <c r="C47" s="170">
        <v>88653</v>
      </c>
      <c r="D47" s="170">
        <v>91732</v>
      </c>
      <c r="E47" s="437"/>
      <c r="F47" s="437"/>
      <c r="G47" s="437"/>
      <c r="H47" s="434">
        <f t="shared" si="0"/>
        <v>91732</v>
      </c>
      <c r="I47" s="404">
        <v>91732</v>
      </c>
      <c r="J47" s="437"/>
      <c r="K47" s="437"/>
      <c r="L47" s="437"/>
      <c r="M47" s="434">
        <f t="shared" si="1"/>
        <v>91732</v>
      </c>
      <c r="N47" s="404">
        <v>91732</v>
      </c>
      <c r="O47" s="437"/>
      <c r="P47" s="437"/>
      <c r="Q47" s="437"/>
      <c r="R47" s="434">
        <f t="shared" si="2"/>
        <v>91732</v>
      </c>
    </row>
    <row r="48" spans="1:18" s="6" customFormat="1" ht="20.399999999999999">
      <c r="A48" s="140" t="s">
        <v>185</v>
      </c>
      <c r="B48" s="124" t="s">
        <v>115</v>
      </c>
      <c r="C48" s="170">
        <v>47876810</v>
      </c>
      <c r="D48" s="170">
        <v>41977740</v>
      </c>
      <c r="E48" s="404">
        <f>E49+E55+E59+E62</f>
        <v>17863563</v>
      </c>
      <c r="F48" s="404">
        <f>F49+F55+F59+F62</f>
        <v>4783363</v>
      </c>
      <c r="G48" s="404">
        <f>G49+G55+G59+G62</f>
        <v>1476000</v>
      </c>
      <c r="H48" s="434">
        <f t="shared" si="0"/>
        <v>66100666</v>
      </c>
      <c r="I48" s="404">
        <v>16977419</v>
      </c>
      <c r="J48" s="404">
        <f>J49+J55+J59+J62</f>
        <v>138697998</v>
      </c>
      <c r="K48" s="404">
        <f>K49+K55+K59+K62</f>
        <v>4457907</v>
      </c>
      <c r="L48" s="404">
        <f>L49+L55+L59+L62</f>
        <v>1476000</v>
      </c>
      <c r="M48" s="434">
        <f t="shared" si="1"/>
        <v>161609324</v>
      </c>
      <c r="N48" s="404">
        <v>14826485</v>
      </c>
      <c r="O48" s="404">
        <f>O49+O55+O59+O62</f>
        <v>125407951</v>
      </c>
      <c r="P48" s="404">
        <f>P49+P55+P59+P62</f>
        <v>5347066</v>
      </c>
      <c r="Q48" s="404">
        <f>Q49+Q55+Q59+Q62</f>
        <v>1476000</v>
      </c>
      <c r="R48" s="434">
        <f t="shared" si="2"/>
        <v>147057502</v>
      </c>
    </row>
    <row r="49" spans="1:18" s="6" customFormat="1" ht="12">
      <c r="A49" s="132">
        <v>7100</v>
      </c>
      <c r="B49" s="179" t="s">
        <v>116</v>
      </c>
      <c r="C49" s="170">
        <v>15002174</v>
      </c>
      <c r="D49" s="170">
        <v>14937214</v>
      </c>
      <c r="E49" s="404">
        <f>E50+E51</f>
        <v>538667</v>
      </c>
      <c r="F49" s="404">
        <f>F50+F51</f>
        <v>2457230</v>
      </c>
      <c r="G49" s="404">
        <f>G50+G51</f>
        <v>1476000</v>
      </c>
      <c r="H49" s="434">
        <f t="shared" si="0"/>
        <v>19409111</v>
      </c>
      <c r="I49" s="404">
        <v>14263917</v>
      </c>
      <c r="J49" s="404">
        <f>J50+J51</f>
        <v>127365954</v>
      </c>
      <c r="K49" s="404">
        <f>K50+K51</f>
        <v>2094445</v>
      </c>
      <c r="L49" s="404">
        <f>L50+L51</f>
        <v>1476000</v>
      </c>
      <c r="M49" s="434">
        <f t="shared" si="1"/>
        <v>145200316</v>
      </c>
      <c r="N49" s="404">
        <v>14021487</v>
      </c>
      <c r="O49" s="404">
        <f>O50+O51</f>
        <v>122448021</v>
      </c>
      <c r="P49" s="404">
        <f>P50+P51</f>
        <v>1703419</v>
      </c>
      <c r="Q49" s="404">
        <f>Q50+Q51</f>
        <v>1476000</v>
      </c>
      <c r="R49" s="434">
        <f t="shared" si="2"/>
        <v>139648927</v>
      </c>
    </row>
    <row r="50" spans="1:18" s="6" customFormat="1" ht="24">
      <c r="A50" s="133" t="s">
        <v>117</v>
      </c>
      <c r="B50" s="179" t="s">
        <v>118</v>
      </c>
      <c r="C50" s="170">
        <v>15002174</v>
      </c>
      <c r="D50" s="170">
        <v>14937214</v>
      </c>
      <c r="E50" s="404">
        <f>E134+E218</f>
        <v>538667</v>
      </c>
      <c r="F50" s="404">
        <f>F134</f>
        <v>2457230</v>
      </c>
      <c r="G50" s="404">
        <f>G134</f>
        <v>1476000</v>
      </c>
      <c r="H50" s="434">
        <f t="shared" si="0"/>
        <v>19409111</v>
      </c>
      <c r="I50" s="404">
        <v>14263917</v>
      </c>
      <c r="J50" s="404">
        <f>J134+J218</f>
        <v>127365954</v>
      </c>
      <c r="K50" s="404">
        <f>K134</f>
        <v>2094445</v>
      </c>
      <c r="L50" s="404">
        <f>L134</f>
        <v>1476000</v>
      </c>
      <c r="M50" s="434">
        <f t="shared" si="1"/>
        <v>145200316</v>
      </c>
      <c r="N50" s="404">
        <v>14021487</v>
      </c>
      <c r="O50" s="404">
        <f>O134</f>
        <v>122448021</v>
      </c>
      <c r="P50" s="404">
        <f>P134</f>
        <v>1703419</v>
      </c>
      <c r="Q50" s="404">
        <f>Q134</f>
        <v>1476000</v>
      </c>
      <c r="R50" s="434">
        <f t="shared" si="2"/>
        <v>139648927</v>
      </c>
    </row>
    <row r="51" spans="1:18" s="6" customFormat="1" ht="24" hidden="1" customHeight="1">
      <c r="A51" s="133">
        <v>7130</v>
      </c>
      <c r="B51" s="179" t="s">
        <v>119</v>
      </c>
      <c r="C51" s="170">
        <v>0</v>
      </c>
      <c r="D51" s="170">
        <v>0</v>
      </c>
      <c r="E51" s="404">
        <f>SUM(E52:E54)</f>
        <v>0</v>
      </c>
      <c r="F51" s="404">
        <f>SUM(F52:F54)</f>
        <v>0</v>
      </c>
      <c r="G51" s="404">
        <f>SUM(G52:G54)</f>
        <v>0</v>
      </c>
      <c r="H51" s="434">
        <f t="shared" si="0"/>
        <v>0</v>
      </c>
      <c r="I51" s="404">
        <v>0</v>
      </c>
      <c r="J51" s="404">
        <f>SUM(J52:J54)</f>
        <v>0</v>
      </c>
      <c r="K51" s="404">
        <f>SUM(K52:K54)</f>
        <v>0</v>
      </c>
      <c r="L51" s="404">
        <f>SUM(L52:L54)</f>
        <v>0</v>
      </c>
      <c r="M51" s="434">
        <f t="shared" si="1"/>
        <v>0</v>
      </c>
      <c r="N51" s="404">
        <v>0</v>
      </c>
      <c r="O51" s="404">
        <f>SUM(O52:O54)</f>
        <v>0</v>
      </c>
      <c r="P51" s="404">
        <f>SUM(P52:P54)</f>
        <v>0</v>
      </c>
      <c r="Q51" s="404">
        <f>SUM(Q52:Q54)</f>
        <v>0</v>
      </c>
      <c r="R51" s="434">
        <f t="shared" si="2"/>
        <v>0</v>
      </c>
    </row>
    <row r="52" spans="1:18" s="6" customFormat="1" ht="36" hidden="1" customHeight="1">
      <c r="A52" s="134">
        <v>7131</v>
      </c>
      <c r="B52" s="179" t="s">
        <v>120</v>
      </c>
      <c r="C52" s="170"/>
      <c r="D52" s="170">
        <v>0</v>
      </c>
      <c r="E52" s="404"/>
      <c r="F52" s="404"/>
      <c r="G52" s="404"/>
      <c r="H52" s="434">
        <f t="shared" si="0"/>
        <v>0</v>
      </c>
      <c r="I52" s="404">
        <v>0</v>
      </c>
      <c r="J52" s="404"/>
      <c r="K52" s="404"/>
      <c r="L52" s="404"/>
      <c r="M52" s="434">
        <f t="shared" si="1"/>
        <v>0</v>
      </c>
      <c r="N52" s="404">
        <v>0</v>
      </c>
      <c r="O52" s="404"/>
      <c r="P52" s="404"/>
      <c r="Q52" s="404"/>
      <c r="R52" s="434">
        <f t="shared" si="2"/>
        <v>0</v>
      </c>
    </row>
    <row r="53" spans="1:18" s="6" customFormat="1" ht="36" hidden="1" customHeight="1">
      <c r="A53" s="134">
        <v>7132</v>
      </c>
      <c r="B53" s="179" t="s">
        <v>121</v>
      </c>
      <c r="C53" s="170"/>
      <c r="D53" s="170">
        <v>0</v>
      </c>
      <c r="E53" s="404"/>
      <c r="F53" s="404"/>
      <c r="G53" s="404"/>
      <c r="H53" s="434">
        <f t="shared" si="0"/>
        <v>0</v>
      </c>
      <c r="I53" s="404">
        <v>0</v>
      </c>
      <c r="J53" s="404"/>
      <c r="K53" s="404"/>
      <c r="L53" s="404"/>
      <c r="M53" s="434">
        <f t="shared" si="1"/>
        <v>0</v>
      </c>
      <c r="N53" s="404">
        <v>0</v>
      </c>
      <c r="O53" s="404"/>
      <c r="P53" s="404"/>
      <c r="Q53" s="404"/>
      <c r="R53" s="434">
        <f t="shared" si="2"/>
        <v>0</v>
      </c>
    </row>
    <row r="54" spans="1:18" s="6" customFormat="1" ht="24" hidden="1" customHeight="1">
      <c r="A54" s="134" t="s">
        <v>186</v>
      </c>
      <c r="B54" s="179" t="s">
        <v>187</v>
      </c>
      <c r="C54" s="170"/>
      <c r="D54" s="170">
        <v>0</v>
      </c>
      <c r="E54" s="404"/>
      <c r="F54" s="404"/>
      <c r="G54" s="404"/>
      <c r="H54" s="434">
        <f t="shared" si="0"/>
        <v>0</v>
      </c>
      <c r="I54" s="404">
        <v>0</v>
      </c>
      <c r="J54" s="404"/>
      <c r="K54" s="404"/>
      <c r="L54" s="404"/>
      <c r="M54" s="434">
        <f t="shared" si="1"/>
        <v>0</v>
      </c>
      <c r="N54" s="404">
        <v>0</v>
      </c>
      <c r="O54" s="404"/>
      <c r="P54" s="404"/>
      <c r="Q54" s="404"/>
      <c r="R54" s="434">
        <f t="shared" si="2"/>
        <v>0</v>
      </c>
    </row>
    <row r="55" spans="1:18" s="6" customFormat="1" ht="24">
      <c r="A55" s="132">
        <v>7300</v>
      </c>
      <c r="B55" s="172" t="s">
        <v>155</v>
      </c>
      <c r="C55" s="170">
        <v>15626410</v>
      </c>
      <c r="D55" s="170">
        <v>5212267</v>
      </c>
      <c r="E55" s="404">
        <f>SUM(E56:E58)</f>
        <v>6304778</v>
      </c>
      <c r="F55" s="404">
        <f>SUM(F56:F58)</f>
        <v>2326133</v>
      </c>
      <c r="G55" s="404">
        <f>SUM(G56:G58)</f>
        <v>0</v>
      </c>
      <c r="H55" s="434">
        <f t="shared" si="0"/>
        <v>13843178</v>
      </c>
      <c r="I55" s="404">
        <v>199772</v>
      </c>
      <c r="J55" s="404">
        <f>SUM(J56:J58)</f>
        <v>1790439</v>
      </c>
      <c r="K55" s="404">
        <f>SUM(K56:K58)</f>
        <v>2363462</v>
      </c>
      <c r="L55" s="404">
        <f>SUM(L56:L58)</f>
        <v>0</v>
      </c>
      <c r="M55" s="434">
        <f t="shared" si="1"/>
        <v>4353673</v>
      </c>
      <c r="N55" s="404">
        <v>0</v>
      </c>
      <c r="O55" s="404">
        <f>SUM(O56:O58)</f>
        <v>300000</v>
      </c>
      <c r="P55" s="404">
        <f>SUM(P56:P58)</f>
        <v>3643647</v>
      </c>
      <c r="Q55" s="404">
        <f>SUM(Q56:Q58)</f>
        <v>0</v>
      </c>
      <c r="R55" s="434">
        <f t="shared" si="2"/>
        <v>3943647</v>
      </c>
    </row>
    <row r="56" spans="1:18" s="6" customFormat="1" ht="24">
      <c r="A56" s="133" t="s">
        <v>188</v>
      </c>
      <c r="B56" s="179" t="s">
        <v>170</v>
      </c>
      <c r="C56" s="204">
        <v>13582752</v>
      </c>
      <c r="D56" s="204">
        <v>937318</v>
      </c>
      <c r="E56" s="443"/>
      <c r="F56" s="443">
        <f>F140</f>
        <v>2326133</v>
      </c>
      <c r="G56" s="443">
        <f>G140</f>
        <v>0</v>
      </c>
      <c r="H56" s="434">
        <f t="shared" si="0"/>
        <v>3263451</v>
      </c>
      <c r="I56" s="443">
        <v>0</v>
      </c>
      <c r="J56" s="443"/>
      <c r="K56" s="443">
        <f>K140</f>
        <v>2363462</v>
      </c>
      <c r="L56" s="443">
        <f>L140</f>
        <v>0</v>
      </c>
      <c r="M56" s="434">
        <f t="shared" si="1"/>
        <v>2363462</v>
      </c>
      <c r="N56" s="443">
        <v>0</v>
      </c>
      <c r="O56" s="443"/>
      <c r="P56" s="443">
        <f>P140</f>
        <v>3643647</v>
      </c>
      <c r="Q56" s="443">
        <f>Q140</f>
        <v>0</v>
      </c>
      <c r="R56" s="434">
        <f t="shared" si="2"/>
        <v>3643647</v>
      </c>
    </row>
    <row r="57" spans="1:18" s="29" customFormat="1" ht="48">
      <c r="A57" s="133" t="s">
        <v>189</v>
      </c>
      <c r="B57" s="179" t="s">
        <v>156</v>
      </c>
      <c r="C57" s="204">
        <v>1952766</v>
      </c>
      <c r="D57" s="204">
        <v>4269949</v>
      </c>
      <c r="E57" s="443">
        <f>E225</f>
        <v>6304778</v>
      </c>
      <c r="F57" s="443"/>
      <c r="G57" s="443"/>
      <c r="H57" s="434">
        <f t="shared" si="0"/>
        <v>10574727</v>
      </c>
      <c r="I57" s="443">
        <v>199772</v>
      </c>
      <c r="J57" s="443">
        <f>J225</f>
        <v>1790439</v>
      </c>
      <c r="K57" s="443"/>
      <c r="L57" s="443"/>
      <c r="M57" s="434">
        <f t="shared" si="1"/>
        <v>1990211</v>
      </c>
      <c r="N57" s="443">
        <v>0</v>
      </c>
      <c r="O57" s="443">
        <f>O225</f>
        <v>300000</v>
      </c>
      <c r="P57" s="443"/>
      <c r="Q57" s="443"/>
      <c r="R57" s="434">
        <f t="shared" si="2"/>
        <v>300000</v>
      </c>
    </row>
    <row r="58" spans="1:18" s="89" customFormat="1" ht="36">
      <c r="A58" s="133">
        <v>7350</v>
      </c>
      <c r="B58" s="179" t="s">
        <v>163</v>
      </c>
      <c r="C58" s="204">
        <v>90892</v>
      </c>
      <c r="D58" s="204">
        <v>5000</v>
      </c>
      <c r="E58" s="443"/>
      <c r="F58" s="443"/>
      <c r="G58" s="443"/>
      <c r="H58" s="434">
        <f t="shared" si="0"/>
        <v>5000</v>
      </c>
      <c r="I58" s="443">
        <v>0</v>
      </c>
      <c r="J58" s="443"/>
      <c r="K58" s="443"/>
      <c r="L58" s="443"/>
      <c r="M58" s="434">
        <f t="shared" si="1"/>
        <v>0</v>
      </c>
      <c r="N58" s="443">
        <v>0</v>
      </c>
      <c r="O58" s="443"/>
      <c r="P58" s="443"/>
      <c r="Q58" s="443"/>
      <c r="R58" s="434">
        <f t="shared" si="2"/>
        <v>0</v>
      </c>
    </row>
    <row r="59" spans="1:18" s="89" customFormat="1" ht="24">
      <c r="A59" s="132">
        <v>7400</v>
      </c>
      <c r="B59" s="172" t="s">
        <v>161</v>
      </c>
      <c r="C59" s="170">
        <v>787344</v>
      </c>
      <c r="D59" s="170">
        <v>804998</v>
      </c>
      <c r="E59" s="404">
        <f>SUM(E60:E61)</f>
        <v>0</v>
      </c>
      <c r="F59" s="404">
        <f>SUM(F60:F61)</f>
        <v>0</v>
      </c>
      <c r="G59" s="404">
        <f>SUM(G60:G61)</f>
        <v>0</v>
      </c>
      <c r="H59" s="434">
        <f t="shared" si="0"/>
        <v>804998</v>
      </c>
      <c r="I59" s="404">
        <v>804998</v>
      </c>
      <c r="J59" s="404">
        <f>SUM(J60:J61)</f>
        <v>0</v>
      </c>
      <c r="K59" s="404">
        <f>SUM(K60:K61)</f>
        <v>0</v>
      </c>
      <c r="L59" s="404">
        <f>SUM(L60:L61)</f>
        <v>0</v>
      </c>
      <c r="M59" s="434">
        <f t="shared" si="1"/>
        <v>804998</v>
      </c>
      <c r="N59" s="404">
        <v>804998</v>
      </c>
      <c r="O59" s="404">
        <f>SUM(O60:O61)</f>
        <v>0</v>
      </c>
      <c r="P59" s="404">
        <f>SUM(P60:P61)</f>
        <v>0</v>
      </c>
      <c r="Q59" s="404">
        <f>SUM(Q60:Q61)</f>
        <v>0</v>
      </c>
      <c r="R59" s="434">
        <f t="shared" si="2"/>
        <v>804998</v>
      </c>
    </row>
    <row r="60" spans="1:18" s="89" customFormat="1" ht="24">
      <c r="A60" s="133">
        <v>7460</v>
      </c>
      <c r="B60" s="172" t="s">
        <v>162</v>
      </c>
      <c r="C60" s="204">
        <v>787344</v>
      </c>
      <c r="D60" s="204">
        <v>804998</v>
      </c>
      <c r="E60" s="443"/>
      <c r="F60" s="443"/>
      <c r="G60" s="443"/>
      <c r="H60" s="434">
        <f t="shared" si="0"/>
        <v>804998</v>
      </c>
      <c r="I60" s="443">
        <v>804998</v>
      </c>
      <c r="J60" s="443"/>
      <c r="K60" s="443"/>
      <c r="L60" s="443"/>
      <c r="M60" s="434">
        <f t="shared" si="1"/>
        <v>804998</v>
      </c>
      <c r="N60" s="443">
        <v>804998</v>
      </c>
      <c r="O60" s="443"/>
      <c r="P60" s="443"/>
      <c r="Q60" s="443"/>
      <c r="R60" s="434">
        <f t="shared" si="2"/>
        <v>804998</v>
      </c>
    </row>
    <row r="61" spans="1:18" s="89" customFormat="1" ht="48" hidden="1" customHeight="1">
      <c r="A61" s="133">
        <v>7470</v>
      </c>
      <c r="B61" s="179" t="s">
        <v>167</v>
      </c>
      <c r="C61" s="204"/>
      <c r="D61" s="204">
        <v>0</v>
      </c>
      <c r="E61" s="443"/>
      <c r="F61" s="443"/>
      <c r="G61" s="443"/>
      <c r="H61" s="434">
        <f t="shared" si="0"/>
        <v>0</v>
      </c>
      <c r="I61" s="443">
        <v>0</v>
      </c>
      <c r="J61" s="443"/>
      <c r="K61" s="443"/>
      <c r="L61" s="443"/>
      <c r="M61" s="434">
        <f t="shared" si="1"/>
        <v>0</v>
      </c>
      <c r="N61" s="443">
        <v>0</v>
      </c>
      <c r="O61" s="443"/>
      <c r="P61" s="443"/>
      <c r="Q61" s="443"/>
      <c r="R61" s="434">
        <f t="shared" si="2"/>
        <v>0</v>
      </c>
    </row>
    <row r="62" spans="1:18" s="89" customFormat="1" ht="24">
      <c r="A62" s="132">
        <v>7500</v>
      </c>
      <c r="B62" s="179" t="s">
        <v>157</v>
      </c>
      <c r="C62" s="170">
        <v>16460882</v>
      </c>
      <c r="D62" s="170">
        <v>21023261</v>
      </c>
      <c r="E62" s="404">
        <f>E230</f>
        <v>11020118</v>
      </c>
      <c r="F62" s="404"/>
      <c r="G62" s="404"/>
      <c r="H62" s="434">
        <f t="shared" si="0"/>
        <v>32043379</v>
      </c>
      <c r="I62" s="404">
        <v>1708732</v>
      </c>
      <c r="J62" s="404">
        <f>J230</f>
        <v>9541605</v>
      </c>
      <c r="K62" s="404"/>
      <c r="L62" s="404"/>
      <c r="M62" s="434">
        <f t="shared" si="1"/>
        <v>11250337</v>
      </c>
      <c r="N62" s="404">
        <v>0</v>
      </c>
      <c r="O62" s="404">
        <f>O230</f>
        <v>2659930</v>
      </c>
      <c r="P62" s="404"/>
      <c r="Q62" s="404"/>
      <c r="R62" s="434">
        <f t="shared" si="2"/>
        <v>2659930</v>
      </c>
    </row>
    <row r="63" spans="1:18" s="89" customFormat="1" ht="12">
      <c r="A63" s="140" t="s">
        <v>133</v>
      </c>
      <c r="B63" s="124" t="s">
        <v>122</v>
      </c>
      <c r="C63" s="205">
        <v>4228324</v>
      </c>
      <c r="D63" s="205">
        <v>370474</v>
      </c>
      <c r="E63" s="445">
        <f>E64+E65</f>
        <v>1049665</v>
      </c>
      <c r="F63" s="445">
        <f>F64+F65</f>
        <v>0</v>
      </c>
      <c r="G63" s="445">
        <f>G64+G65</f>
        <v>0</v>
      </c>
      <c r="H63" s="434">
        <f t="shared" si="0"/>
        <v>1420139</v>
      </c>
      <c r="I63" s="445">
        <v>370474</v>
      </c>
      <c r="J63" s="445">
        <f>J64+J65</f>
        <v>1360000</v>
      </c>
      <c r="K63" s="445">
        <f>K64+K65</f>
        <v>0</v>
      </c>
      <c r="L63" s="445">
        <f>L64+L65</f>
        <v>0</v>
      </c>
      <c r="M63" s="434">
        <f t="shared" si="1"/>
        <v>1730474</v>
      </c>
      <c r="N63" s="445">
        <v>370474</v>
      </c>
      <c r="O63" s="445">
        <f>O64+O65</f>
        <v>218528</v>
      </c>
      <c r="P63" s="445">
        <f>P64+P65</f>
        <v>0</v>
      </c>
      <c r="Q63" s="445">
        <f>Q64+Q65</f>
        <v>0</v>
      </c>
      <c r="R63" s="434">
        <f t="shared" si="2"/>
        <v>589002</v>
      </c>
    </row>
    <row r="64" spans="1:18" s="89" customFormat="1" ht="12">
      <c r="A64" s="140">
        <v>5000</v>
      </c>
      <c r="B64" s="124" t="s">
        <v>123</v>
      </c>
      <c r="C64" s="170">
        <v>4228324</v>
      </c>
      <c r="D64" s="170">
        <v>370474</v>
      </c>
      <c r="E64" s="404">
        <f>E232</f>
        <v>1049665</v>
      </c>
      <c r="F64" s="437"/>
      <c r="G64" s="437"/>
      <c r="H64" s="434">
        <f t="shared" si="0"/>
        <v>1420139</v>
      </c>
      <c r="I64" s="404">
        <v>370474</v>
      </c>
      <c r="J64" s="404">
        <f>J232</f>
        <v>1360000</v>
      </c>
      <c r="K64" s="437"/>
      <c r="L64" s="437"/>
      <c r="M64" s="434">
        <f t="shared" si="1"/>
        <v>1730474</v>
      </c>
      <c r="N64" s="404">
        <v>370474</v>
      </c>
      <c r="O64" s="404">
        <f>O232</f>
        <v>218528</v>
      </c>
      <c r="P64" s="437"/>
      <c r="Q64" s="437"/>
      <c r="R64" s="434">
        <f t="shared" si="2"/>
        <v>589002</v>
      </c>
    </row>
    <row r="65" spans="1:18" s="89" customFormat="1" ht="12" hidden="1" customHeight="1">
      <c r="A65" s="140">
        <v>9000</v>
      </c>
      <c r="B65" s="182" t="s">
        <v>164</v>
      </c>
      <c r="C65" s="170">
        <v>0</v>
      </c>
      <c r="D65" s="170">
        <v>0</v>
      </c>
      <c r="E65" s="404">
        <f>E66+E72+E76+E79</f>
        <v>0</v>
      </c>
      <c r="F65" s="404">
        <f>F66+F72+F76+F79</f>
        <v>0</v>
      </c>
      <c r="G65" s="404">
        <f>G66+G72+G76+G79</f>
        <v>0</v>
      </c>
      <c r="H65" s="434">
        <f t="shared" si="0"/>
        <v>0</v>
      </c>
      <c r="I65" s="404">
        <v>0</v>
      </c>
      <c r="J65" s="404">
        <f>J66+J72+J76+J79</f>
        <v>0</v>
      </c>
      <c r="K65" s="404">
        <f>K66+K72+K76+K79</f>
        <v>0</v>
      </c>
      <c r="L65" s="404">
        <f>L66+L72+L76+L79</f>
        <v>0</v>
      </c>
      <c r="M65" s="434">
        <f t="shared" si="1"/>
        <v>0</v>
      </c>
      <c r="N65" s="404">
        <v>0</v>
      </c>
      <c r="O65" s="404">
        <f>O66+O72+O76+O79</f>
        <v>0</v>
      </c>
      <c r="P65" s="404">
        <f>P66+P72+P76+P79</f>
        <v>0</v>
      </c>
      <c r="Q65" s="404">
        <f>Q66+Q72+Q76+Q79</f>
        <v>0</v>
      </c>
      <c r="R65" s="434">
        <f t="shared" si="2"/>
        <v>0</v>
      </c>
    </row>
    <row r="66" spans="1:18" s="89" customFormat="1" ht="12" hidden="1" customHeight="1">
      <c r="A66" s="141">
        <v>9100</v>
      </c>
      <c r="B66" s="179" t="s">
        <v>124</v>
      </c>
      <c r="C66" s="170">
        <v>0</v>
      </c>
      <c r="D66" s="170">
        <v>0</v>
      </c>
      <c r="E66" s="404">
        <f>SUM(E67:E68)</f>
        <v>0</v>
      </c>
      <c r="F66" s="404">
        <f>SUM(F67:F68)</f>
        <v>0</v>
      </c>
      <c r="G66" s="404">
        <f>SUM(G67:G68)</f>
        <v>0</v>
      </c>
      <c r="H66" s="434">
        <f t="shared" si="0"/>
        <v>0</v>
      </c>
      <c r="I66" s="404">
        <v>0</v>
      </c>
      <c r="J66" s="404">
        <f>SUM(J67:J68)</f>
        <v>0</v>
      </c>
      <c r="K66" s="404">
        <f>SUM(K67:K68)</f>
        <v>0</v>
      </c>
      <c r="L66" s="404">
        <f>SUM(L67:L68)</f>
        <v>0</v>
      </c>
      <c r="M66" s="434">
        <f t="shared" si="1"/>
        <v>0</v>
      </c>
      <c r="N66" s="404">
        <v>0</v>
      </c>
      <c r="O66" s="404">
        <f>SUM(O67:O68)</f>
        <v>0</v>
      </c>
      <c r="P66" s="404">
        <f>SUM(P67:P68)</f>
        <v>0</v>
      </c>
      <c r="Q66" s="404">
        <f>SUM(Q67:Q68)</f>
        <v>0</v>
      </c>
      <c r="R66" s="434">
        <f t="shared" si="2"/>
        <v>0</v>
      </c>
    </row>
    <row r="67" spans="1:18" s="89" customFormat="1" ht="24" hidden="1" customHeight="1">
      <c r="A67" s="133" t="s">
        <v>125</v>
      </c>
      <c r="B67" s="179" t="s">
        <v>214</v>
      </c>
      <c r="C67" s="170"/>
      <c r="D67" s="170">
        <v>0</v>
      </c>
      <c r="E67" s="404"/>
      <c r="F67" s="404"/>
      <c r="G67" s="404"/>
      <c r="H67" s="434">
        <f t="shared" si="0"/>
        <v>0</v>
      </c>
      <c r="I67" s="404">
        <v>0</v>
      </c>
      <c r="J67" s="404"/>
      <c r="K67" s="404"/>
      <c r="L67" s="404"/>
      <c r="M67" s="434">
        <f t="shared" si="1"/>
        <v>0</v>
      </c>
      <c r="N67" s="404">
        <v>0</v>
      </c>
      <c r="O67" s="404"/>
      <c r="P67" s="404"/>
      <c r="Q67" s="404"/>
      <c r="R67" s="434">
        <f t="shared" si="2"/>
        <v>0</v>
      </c>
    </row>
    <row r="68" spans="1:18" s="89" customFormat="1" ht="24" hidden="1" customHeight="1">
      <c r="A68" s="133">
        <v>9140</v>
      </c>
      <c r="B68" s="179" t="s">
        <v>215</v>
      </c>
      <c r="C68" s="170">
        <v>0</v>
      </c>
      <c r="D68" s="170">
        <v>0</v>
      </c>
      <c r="E68" s="404">
        <f>SUM(E69:E71)</f>
        <v>0</v>
      </c>
      <c r="F68" s="404">
        <f>SUM(F69:F71)</f>
        <v>0</v>
      </c>
      <c r="G68" s="404">
        <f>SUM(G69:G71)</f>
        <v>0</v>
      </c>
      <c r="H68" s="434">
        <f t="shared" si="0"/>
        <v>0</v>
      </c>
      <c r="I68" s="404">
        <v>0</v>
      </c>
      <c r="J68" s="404">
        <f>SUM(J69:J71)</f>
        <v>0</v>
      </c>
      <c r="K68" s="404">
        <f>SUM(K69:K71)</f>
        <v>0</v>
      </c>
      <c r="L68" s="404">
        <f>SUM(L69:L71)</f>
        <v>0</v>
      </c>
      <c r="M68" s="434">
        <f t="shared" si="1"/>
        <v>0</v>
      </c>
      <c r="N68" s="404">
        <v>0</v>
      </c>
      <c r="O68" s="404">
        <f>SUM(O69:O71)</f>
        <v>0</v>
      </c>
      <c r="P68" s="404">
        <f>SUM(P69:P71)</f>
        <v>0</v>
      </c>
      <c r="Q68" s="404">
        <f>SUM(Q69:Q71)</f>
        <v>0</v>
      </c>
      <c r="R68" s="434">
        <f t="shared" si="2"/>
        <v>0</v>
      </c>
    </row>
    <row r="69" spans="1:18" s="89" customFormat="1" ht="36" hidden="1" customHeight="1">
      <c r="A69" s="134">
        <v>9141</v>
      </c>
      <c r="B69" s="172" t="s">
        <v>190</v>
      </c>
      <c r="C69" s="204"/>
      <c r="D69" s="204">
        <v>0</v>
      </c>
      <c r="E69" s="443"/>
      <c r="F69" s="443"/>
      <c r="G69" s="443"/>
      <c r="H69" s="434">
        <f t="shared" si="0"/>
        <v>0</v>
      </c>
      <c r="I69" s="443">
        <v>0</v>
      </c>
      <c r="J69" s="443"/>
      <c r="K69" s="443"/>
      <c r="L69" s="443"/>
      <c r="M69" s="434">
        <f t="shared" si="1"/>
        <v>0</v>
      </c>
      <c r="N69" s="443">
        <v>0</v>
      </c>
      <c r="O69" s="443"/>
      <c r="P69" s="443"/>
      <c r="Q69" s="443"/>
      <c r="R69" s="434">
        <f t="shared" si="2"/>
        <v>0</v>
      </c>
    </row>
    <row r="70" spans="1:18" s="89" customFormat="1" ht="36" hidden="1" customHeight="1">
      <c r="A70" s="134">
        <v>9142</v>
      </c>
      <c r="B70" s="172" t="s">
        <v>191</v>
      </c>
      <c r="C70" s="204"/>
      <c r="D70" s="204">
        <v>0</v>
      </c>
      <c r="E70" s="443"/>
      <c r="F70" s="443"/>
      <c r="G70" s="443"/>
      <c r="H70" s="434">
        <f t="shared" si="0"/>
        <v>0</v>
      </c>
      <c r="I70" s="443">
        <v>0</v>
      </c>
      <c r="J70" s="443"/>
      <c r="K70" s="443"/>
      <c r="L70" s="443"/>
      <c r="M70" s="434">
        <f t="shared" si="1"/>
        <v>0</v>
      </c>
      <c r="N70" s="443">
        <v>0</v>
      </c>
      <c r="O70" s="443"/>
      <c r="P70" s="443"/>
      <c r="Q70" s="443"/>
      <c r="R70" s="434">
        <f t="shared" si="2"/>
        <v>0</v>
      </c>
    </row>
    <row r="71" spans="1:18" s="89" customFormat="1" ht="24" hidden="1" customHeight="1">
      <c r="A71" s="134">
        <v>9149</v>
      </c>
      <c r="B71" s="172" t="s">
        <v>192</v>
      </c>
      <c r="C71" s="204"/>
      <c r="D71" s="204">
        <v>0</v>
      </c>
      <c r="E71" s="443"/>
      <c r="F71" s="443"/>
      <c r="G71" s="443"/>
      <c r="H71" s="434">
        <f t="shared" si="0"/>
        <v>0</v>
      </c>
      <c r="I71" s="443">
        <v>0</v>
      </c>
      <c r="J71" s="443"/>
      <c r="K71" s="443"/>
      <c r="L71" s="443"/>
      <c r="M71" s="434">
        <f t="shared" si="1"/>
        <v>0</v>
      </c>
      <c r="N71" s="443">
        <v>0</v>
      </c>
      <c r="O71" s="443"/>
      <c r="P71" s="443"/>
      <c r="Q71" s="443"/>
      <c r="R71" s="434">
        <f t="shared" si="2"/>
        <v>0</v>
      </c>
    </row>
    <row r="72" spans="1:18" s="29" customFormat="1" ht="24" hidden="1" customHeight="1">
      <c r="A72" s="141">
        <v>9500</v>
      </c>
      <c r="B72" s="172" t="s">
        <v>165</v>
      </c>
      <c r="C72" s="170">
        <v>0</v>
      </c>
      <c r="D72" s="170">
        <v>0</v>
      </c>
      <c r="E72" s="404">
        <f>SUM(E73:E75)</f>
        <v>0</v>
      </c>
      <c r="F72" s="404">
        <f>SUM(F73:F75)</f>
        <v>0</v>
      </c>
      <c r="G72" s="404">
        <f>SUM(G73:G75)</f>
        <v>0</v>
      </c>
      <c r="H72" s="434">
        <f t="shared" si="0"/>
        <v>0</v>
      </c>
      <c r="I72" s="404">
        <v>0</v>
      </c>
      <c r="J72" s="404">
        <f>SUM(J73:J75)</f>
        <v>0</v>
      </c>
      <c r="K72" s="404">
        <f>SUM(K73:K75)</f>
        <v>0</v>
      </c>
      <c r="L72" s="404">
        <f>SUM(L73:L75)</f>
        <v>0</v>
      </c>
      <c r="M72" s="434">
        <f t="shared" si="1"/>
        <v>0</v>
      </c>
      <c r="N72" s="404">
        <v>0</v>
      </c>
      <c r="O72" s="404">
        <f>SUM(O73:O75)</f>
        <v>0</v>
      </c>
      <c r="P72" s="404">
        <f>SUM(P73:P75)</f>
        <v>0</v>
      </c>
      <c r="Q72" s="404">
        <f>SUM(Q73:Q75)</f>
        <v>0</v>
      </c>
      <c r="R72" s="434">
        <f t="shared" si="2"/>
        <v>0</v>
      </c>
    </row>
    <row r="73" spans="1:18" s="29" customFormat="1" ht="24" hidden="1" customHeight="1">
      <c r="A73" s="133" t="s">
        <v>193</v>
      </c>
      <c r="B73" s="172" t="s">
        <v>171</v>
      </c>
      <c r="C73" s="170"/>
      <c r="D73" s="170">
        <v>0</v>
      </c>
      <c r="E73" s="404"/>
      <c r="F73" s="404"/>
      <c r="G73" s="404"/>
      <c r="H73" s="434">
        <f t="shared" si="0"/>
        <v>0</v>
      </c>
      <c r="I73" s="404">
        <v>0</v>
      </c>
      <c r="J73" s="404"/>
      <c r="K73" s="404"/>
      <c r="L73" s="404"/>
      <c r="M73" s="434">
        <f t="shared" si="1"/>
        <v>0</v>
      </c>
      <c r="N73" s="404">
        <v>0</v>
      </c>
      <c r="O73" s="404"/>
      <c r="P73" s="404"/>
      <c r="Q73" s="404"/>
      <c r="R73" s="434">
        <f t="shared" si="2"/>
        <v>0</v>
      </c>
    </row>
    <row r="74" spans="1:18" s="28" customFormat="1" ht="48" hidden="1" customHeight="1">
      <c r="A74" s="133">
        <v>9580</v>
      </c>
      <c r="B74" s="172" t="s">
        <v>166</v>
      </c>
      <c r="C74" s="204"/>
      <c r="D74" s="204">
        <v>0</v>
      </c>
      <c r="E74" s="443"/>
      <c r="F74" s="443"/>
      <c r="G74" s="443"/>
      <c r="H74" s="434">
        <f t="shared" ref="H74:H137" si="9">SUM(D74:G74)</f>
        <v>0</v>
      </c>
      <c r="I74" s="443">
        <v>0</v>
      </c>
      <c r="J74" s="443"/>
      <c r="K74" s="443"/>
      <c r="L74" s="443"/>
      <c r="M74" s="434">
        <f t="shared" ref="M74:M137" si="10">SUM(I74:L74)</f>
        <v>0</v>
      </c>
      <c r="N74" s="443">
        <v>0</v>
      </c>
      <c r="O74" s="443"/>
      <c r="P74" s="443"/>
      <c r="Q74" s="443"/>
      <c r="R74" s="434">
        <f t="shared" ref="R74:R137" si="11">SUM(N74:Q74)</f>
        <v>0</v>
      </c>
    </row>
    <row r="75" spans="1:18" s="4" customFormat="1" ht="48" hidden="1" customHeight="1">
      <c r="A75" s="133">
        <v>9590</v>
      </c>
      <c r="B75" s="179" t="s">
        <v>172</v>
      </c>
      <c r="C75" s="204"/>
      <c r="D75" s="204">
        <v>0</v>
      </c>
      <c r="E75" s="443"/>
      <c r="F75" s="443"/>
      <c r="G75" s="443"/>
      <c r="H75" s="434">
        <f t="shared" si="9"/>
        <v>0</v>
      </c>
      <c r="I75" s="443">
        <v>0</v>
      </c>
      <c r="J75" s="443"/>
      <c r="K75" s="443"/>
      <c r="L75" s="443"/>
      <c r="M75" s="434">
        <f t="shared" si="10"/>
        <v>0</v>
      </c>
      <c r="N75" s="443">
        <v>0</v>
      </c>
      <c r="O75" s="443"/>
      <c r="P75" s="443"/>
      <c r="Q75" s="443"/>
      <c r="R75" s="434">
        <f t="shared" si="11"/>
        <v>0</v>
      </c>
    </row>
    <row r="76" spans="1:18" ht="24" hidden="1" customHeight="1">
      <c r="A76" s="141">
        <v>9700</v>
      </c>
      <c r="B76" s="183" t="s">
        <v>194</v>
      </c>
      <c r="C76" s="170">
        <v>0</v>
      </c>
      <c r="D76" s="170">
        <v>0</v>
      </c>
      <c r="E76" s="404">
        <f>SUM(E77:E78)</f>
        <v>0</v>
      </c>
      <c r="F76" s="404">
        <f>SUM(F77:F78)</f>
        <v>0</v>
      </c>
      <c r="G76" s="404">
        <f>SUM(G77:G78)</f>
        <v>0</v>
      </c>
      <c r="H76" s="434">
        <f t="shared" si="9"/>
        <v>0</v>
      </c>
      <c r="I76" s="404">
        <v>0</v>
      </c>
      <c r="J76" s="404">
        <f>SUM(J77:J78)</f>
        <v>0</v>
      </c>
      <c r="K76" s="404">
        <f>SUM(K77:K78)</f>
        <v>0</v>
      </c>
      <c r="L76" s="404">
        <f>SUM(L77:L78)</f>
        <v>0</v>
      </c>
      <c r="M76" s="434">
        <f t="shared" si="10"/>
        <v>0</v>
      </c>
      <c r="N76" s="404">
        <v>0</v>
      </c>
      <c r="O76" s="404">
        <f>SUM(O77:O78)</f>
        <v>0</v>
      </c>
      <c r="P76" s="404">
        <f>SUM(P77:P78)</f>
        <v>0</v>
      </c>
      <c r="Q76" s="404">
        <f>SUM(Q77:Q78)</f>
        <v>0</v>
      </c>
      <c r="R76" s="434">
        <f t="shared" si="11"/>
        <v>0</v>
      </c>
    </row>
    <row r="77" spans="1:18" ht="24" hidden="1" customHeight="1">
      <c r="A77" s="133">
        <v>9710</v>
      </c>
      <c r="B77" s="184" t="s">
        <v>195</v>
      </c>
      <c r="C77" s="204"/>
      <c r="D77" s="204">
        <v>0</v>
      </c>
      <c r="E77" s="443"/>
      <c r="F77" s="443"/>
      <c r="G77" s="443"/>
      <c r="H77" s="434">
        <f t="shared" si="9"/>
        <v>0</v>
      </c>
      <c r="I77" s="443">
        <v>0</v>
      </c>
      <c r="J77" s="443"/>
      <c r="K77" s="443"/>
      <c r="L77" s="443"/>
      <c r="M77" s="434">
        <f t="shared" si="10"/>
        <v>0</v>
      </c>
      <c r="N77" s="443">
        <v>0</v>
      </c>
      <c r="O77" s="443"/>
      <c r="P77" s="443"/>
      <c r="Q77" s="443"/>
      <c r="R77" s="434">
        <f t="shared" si="11"/>
        <v>0</v>
      </c>
    </row>
    <row r="78" spans="1:18" ht="48" hidden="1" customHeight="1">
      <c r="A78" s="142">
        <v>9720</v>
      </c>
      <c r="B78" s="183" t="s">
        <v>196</v>
      </c>
      <c r="C78" s="204"/>
      <c r="D78" s="204">
        <v>0</v>
      </c>
      <c r="E78" s="443"/>
      <c r="F78" s="443"/>
      <c r="G78" s="443"/>
      <c r="H78" s="434">
        <f t="shared" si="9"/>
        <v>0</v>
      </c>
      <c r="I78" s="443">
        <v>0</v>
      </c>
      <c r="J78" s="443"/>
      <c r="K78" s="443"/>
      <c r="L78" s="443"/>
      <c r="M78" s="434">
        <f t="shared" si="10"/>
        <v>0</v>
      </c>
      <c r="N78" s="443">
        <v>0</v>
      </c>
      <c r="O78" s="443"/>
      <c r="P78" s="443"/>
      <c r="Q78" s="443"/>
      <c r="R78" s="434">
        <f t="shared" si="11"/>
        <v>0</v>
      </c>
    </row>
    <row r="79" spans="1:18" ht="24" hidden="1" customHeight="1">
      <c r="A79" s="141">
        <v>9600</v>
      </c>
      <c r="B79" s="179" t="s">
        <v>134</v>
      </c>
      <c r="C79" s="204"/>
      <c r="D79" s="204">
        <v>0</v>
      </c>
      <c r="E79" s="443"/>
      <c r="F79" s="443"/>
      <c r="G79" s="443"/>
      <c r="H79" s="434">
        <f t="shared" si="9"/>
        <v>0</v>
      </c>
      <c r="I79" s="443">
        <v>0</v>
      </c>
      <c r="J79" s="443"/>
      <c r="K79" s="443"/>
      <c r="L79" s="443"/>
      <c r="M79" s="434">
        <f t="shared" si="10"/>
        <v>0</v>
      </c>
      <c r="N79" s="443">
        <v>0</v>
      </c>
      <c r="O79" s="443"/>
      <c r="P79" s="443"/>
      <c r="Q79" s="443"/>
      <c r="R79" s="434">
        <f t="shared" si="11"/>
        <v>0</v>
      </c>
    </row>
    <row r="80" spans="1:18" ht="52.5" hidden="1" customHeight="1">
      <c r="A80" s="130" t="s">
        <v>197</v>
      </c>
      <c r="B80" s="185" t="s">
        <v>47</v>
      </c>
      <c r="C80" s="206">
        <v>0</v>
      </c>
      <c r="D80" s="206">
        <v>0</v>
      </c>
      <c r="E80" s="450">
        <f>E10-E35</f>
        <v>0</v>
      </c>
      <c r="F80" s="450">
        <f>F10-F35</f>
        <v>0</v>
      </c>
      <c r="G80" s="450">
        <f>G10-G35</f>
        <v>0</v>
      </c>
      <c r="H80" s="434">
        <f t="shared" si="9"/>
        <v>0</v>
      </c>
      <c r="I80" s="450">
        <v>0</v>
      </c>
      <c r="J80" s="450">
        <f>J10-J35</f>
        <v>0</v>
      </c>
      <c r="K80" s="450">
        <f>K10-K35</f>
        <v>0</v>
      </c>
      <c r="L80" s="450">
        <f>L10-L35</f>
        <v>0</v>
      </c>
      <c r="M80" s="434">
        <f t="shared" si="10"/>
        <v>0</v>
      </c>
      <c r="N80" s="450">
        <v>0</v>
      </c>
      <c r="O80" s="450">
        <f>O10-O35</f>
        <v>0</v>
      </c>
      <c r="P80" s="450">
        <f>P10-P35</f>
        <v>0</v>
      </c>
      <c r="Q80" s="450">
        <f>Q10-Q35</f>
        <v>0</v>
      </c>
      <c r="R80" s="434">
        <f t="shared" si="11"/>
        <v>0</v>
      </c>
    </row>
    <row r="81" spans="1:18" ht="12" hidden="1" customHeight="1">
      <c r="A81" s="143" t="s">
        <v>48</v>
      </c>
      <c r="B81" s="185" t="s">
        <v>49</v>
      </c>
      <c r="C81" s="206">
        <v>0</v>
      </c>
      <c r="D81" s="206">
        <v>0</v>
      </c>
      <c r="E81" s="450">
        <f>E82+E85+E89+E88</f>
        <v>0</v>
      </c>
      <c r="F81" s="450">
        <f>F82+F85+F89+F88</f>
        <v>0</v>
      </c>
      <c r="G81" s="450">
        <f>G82+G85+G89+G88</f>
        <v>0</v>
      </c>
      <c r="H81" s="434">
        <f t="shared" si="9"/>
        <v>0</v>
      </c>
      <c r="I81" s="450">
        <v>0</v>
      </c>
      <c r="J81" s="450">
        <f>J82+J85+J89+J88</f>
        <v>0</v>
      </c>
      <c r="K81" s="450">
        <f>K82+K85+K89+K88</f>
        <v>0</v>
      </c>
      <c r="L81" s="450">
        <f>L82+L85+L89+L88</f>
        <v>0</v>
      </c>
      <c r="M81" s="434">
        <f t="shared" si="10"/>
        <v>0</v>
      </c>
      <c r="N81" s="450">
        <v>0</v>
      </c>
      <c r="O81" s="450">
        <f>O82+O85+O89+O88</f>
        <v>0</v>
      </c>
      <c r="P81" s="450">
        <f>P82+P85+P89+P88</f>
        <v>0</v>
      </c>
      <c r="Q81" s="450">
        <f>Q82+Q85+Q89+Q88</f>
        <v>0</v>
      </c>
      <c r="R81" s="434">
        <f t="shared" si="11"/>
        <v>0</v>
      </c>
    </row>
    <row r="82" spans="1:18" s="4" customFormat="1" ht="12" hidden="1" customHeight="1">
      <c r="A82" s="141" t="s">
        <v>50</v>
      </c>
      <c r="B82" s="179" t="s">
        <v>51</v>
      </c>
      <c r="C82" s="98">
        <v>0</v>
      </c>
      <c r="D82" s="98">
        <v>0</v>
      </c>
      <c r="E82" s="433">
        <f>E83+E84</f>
        <v>0</v>
      </c>
      <c r="F82" s="433">
        <f>F83+F84</f>
        <v>0</v>
      </c>
      <c r="G82" s="433">
        <f>G83+G84</f>
        <v>0</v>
      </c>
      <c r="H82" s="434">
        <f t="shared" si="9"/>
        <v>0</v>
      </c>
      <c r="I82" s="433">
        <v>0</v>
      </c>
      <c r="J82" s="433">
        <f>J83+J84</f>
        <v>0</v>
      </c>
      <c r="K82" s="433">
        <f>K83+K84</f>
        <v>0</v>
      </c>
      <c r="L82" s="433">
        <f>L83+L84</f>
        <v>0</v>
      </c>
      <c r="M82" s="434">
        <f t="shared" si="10"/>
        <v>0</v>
      </c>
      <c r="N82" s="433">
        <v>0</v>
      </c>
      <c r="O82" s="433">
        <f>O83+O84</f>
        <v>0</v>
      </c>
      <c r="P82" s="433">
        <f>P83+P84</f>
        <v>0</v>
      </c>
      <c r="Q82" s="433">
        <f>Q83+Q84</f>
        <v>0</v>
      </c>
      <c r="R82" s="434">
        <f t="shared" si="11"/>
        <v>0</v>
      </c>
    </row>
    <row r="83" spans="1:18" s="6" customFormat="1" ht="12" hidden="1" customHeight="1">
      <c r="A83" s="141" t="s">
        <v>52</v>
      </c>
      <c r="B83" s="179" t="s">
        <v>53</v>
      </c>
      <c r="C83" s="98"/>
      <c r="D83" s="98">
        <v>0</v>
      </c>
      <c r="E83" s="433"/>
      <c r="F83" s="433"/>
      <c r="G83" s="433"/>
      <c r="H83" s="434">
        <f t="shared" si="9"/>
        <v>0</v>
      </c>
      <c r="I83" s="433">
        <v>0</v>
      </c>
      <c r="J83" s="433"/>
      <c r="K83" s="433"/>
      <c r="L83" s="433"/>
      <c r="M83" s="434">
        <f t="shared" si="10"/>
        <v>0</v>
      </c>
      <c r="N83" s="433">
        <v>0</v>
      </c>
      <c r="O83" s="433"/>
      <c r="P83" s="433"/>
      <c r="Q83" s="433"/>
      <c r="R83" s="434">
        <f t="shared" si="11"/>
        <v>0</v>
      </c>
    </row>
    <row r="84" spans="1:18" s="6" customFormat="1" ht="12" hidden="1" customHeight="1">
      <c r="A84" s="141" t="s">
        <v>54</v>
      </c>
      <c r="B84" s="179" t="s">
        <v>55</v>
      </c>
      <c r="C84" s="98"/>
      <c r="D84" s="98">
        <v>0</v>
      </c>
      <c r="E84" s="433"/>
      <c r="F84" s="433"/>
      <c r="G84" s="433"/>
      <c r="H84" s="434">
        <f t="shared" si="9"/>
        <v>0</v>
      </c>
      <c r="I84" s="433">
        <v>0</v>
      </c>
      <c r="J84" s="433"/>
      <c r="K84" s="433"/>
      <c r="L84" s="433"/>
      <c r="M84" s="434">
        <f t="shared" si="10"/>
        <v>0</v>
      </c>
      <c r="N84" s="433">
        <v>0</v>
      </c>
      <c r="O84" s="433"/>
      <c r="P84" s="433"/>
      <c r="Q84" s="433"/>
      <c r="R84" s="434">
        <f t="shared" si="11"/>
        <v>0</v>
      </c>
    </row>
    <row r="85" spans="1:18" s="6" customFormat="1" ht="12" hidden="1" customHeight="1">
      <c r="A85" s="141" t="s">
        <v>56</v>
      </c>
      <c r="B85" s="179" t="s">
        <v>57</v>
      </c>
      <c r="C85" s="98">
        <v>0</v>
      </c>
      <c r="D85" s="98">
        <v>0</v>
      </c>
      <c r="E85" s="433">
        <f>E86+E87</f>
        <v>0</v>
      </c>
      <c r="F85" s="433">
        <f>F86+F87</f>
        <v>0</v>
      </c>
      <c r="G85" s="433">
        <f>G86+G87</f>
        <v>0</v>
      </c>
      <c r="H85" s="434">
        <f t="shared" si="9"/>
        <v>0</v>
      </c>
      <c r="I85" s="433">
        <v>0</v>
      </c>
      <c r="J85" s="433">
        <f>J86+J87</f>
        <v>0</v>
      </c>
      <c r="K85" s="433">
        <f>K86+K87</f>
        <v>0</v>
      </c>
      <c r="L85" s="433">
        <f>L86+L87</f>
        <v>0</v>
      </c>
      <c r="M85" s="434">
        <f t="shared" si="10"/>
        <v>0</v>
      </c>
      <c r="N85" s="433">
        <v>0</v>
      </c>
      <c r="O85" s="433">
        <f>O86+O87</f>
        <v>0</v>
      </c>
      <c r="P85" s="433">
        <f>P86+P87</f>
        <v>0</v>
      </c>
      <c r="Q85" s="433">
        <f>Q86+Q87</f>
        <v>0</v>
      </c>
      <c r="R85" s="434">
        <f t="shared" si="11"/>
        <v>0</v>
      </c>
    </row>
    <row r="86" spans="1:18" s="6" customFormat="1" ht="12" hidden="1" customHeight="1">
      <c r="A86" s="141" t="s">
        <v>58</v>
      </c>
      <c r="B86" s="179" t="s">
        <v>59</v>
      </c>
      <c r="C86" s="98"/>
      <c r="D86" s="98">
        <v>0</v>
      </c>
      <c r="E86" s="433"/>
      <c r="F86" s="433"/>
      <c r="G86" s="433"/>
      <c r="H86" s="434">
        <f t="shared" si="9"/>
        <v>0</v>
      </c>
      <c r="I86" s="433">
        <v>0</v>
      </c>
      <c r="J86" s="433"/>
      <c r="K86" s="433"/>
      <c r="L86" s="433"/>
      <c r="M86" s="434">
        <f t="shared" si="10"/>
        <v>0</v>
      </c>
      <c r="N86" s="433">
        <v>0</v>
      </c>
      <c r="O86" s="433"/>
      <c r="P86" s="433"/>
      <c r="Q86" s="433"/>
      <c r="R86" s="434">
        <f t="shared" si="11"/>
        <v>0</v>
      </c>
    </row>
    <row r="87" spans="1:18" s="6" customFormat="1" ht="12" hidden="1" customHeight="1">
      <c r="A87" s="141" t="s">
        <v>60</v>
      </c>
      <c r="B87" s="179" t="s">
        <v>61</v>
      </c>
      <c r="C87" s="98"/>
      <c r="D87" s="98">
        <v>0</v>
      </c>
      <c r="E87" s="433"/>
      <c r="F87" s="433"/>
      <c r="G87" s="433"/>
      <c r="H87" s="434">
        <f t="shared" si="9"/>
        <v>0</v>
      </c>
      <c r="I87" s="433">
        <v>0</v>
      </c>
      <c r="J87" s="433"/>
      <c r="K87" s="433"/>
      <c r="L87" s="433"/>
      <c r="M87" s="434">
        <f t="shared" si="10"/>
        <v>0</v>
      </c>
      <c r="N87" s="433">
        <v>0</v>
      </c>
      <c r="O87" s="433"/>
      <c r="P87" s="433"/>
      <c r="Q87" s="433"/>
      <c r="R87" s="434">
        <f t="shared" si="11"/>
        <v>0</v>
      </c>
    </row>
    <row r="88" spans="1:18" s="6" customFormat="1" ht="12" hidden="1" customHeight="1">
      <c r="A88" s="141" t="s">
        <v>198</v>
      </c>
      <c r="B88" s="187" t="s">
        <v>168</v>
      </c>
      <c r="C88" s="98"/>
      <c r="D88" s="98">
        <v>0</v>
      </c>
      <c r="E88" s="433"/>
      <c r="F88" s="433"/>
      <c r="G88" s="433"/>
      <c r="H88" s="434">
        <f t="shared" si="9"/>
        <v>0</v>
      </c>
      <c r="I88" s="433">
        <v>0</v>
      </c>
      <c r="J88" s="433"/>
      <c r="K88" s="433"/>
      <c r="L88" s="433"/>
      <c r="M88" s="434">
        <f t="shared" si="10"/>
        <v>0</v>
      </c>
      <c r="N88" s="433">
        <v>0</v>
      </c>
      <c r="O88" s="433"/>
      <c r="P88" s="433"/>
      <c r="Q88" s="433"/>
      <c r="R88" s="434">
        <f t="shared" si="11"/>
        <v>0</v>
      </c>
    </row>
    <row r="89" spans="1:18" s="6" customFormat="1" ht="12" hidden="1" customHeight="1">
      <c r="A89" s="144" t="s">
        <v>62</v>
      </c>
      <c r="B89" s="125" t="s">
        <v>63</v>
      </c>
      <c r="C89" s="170">
        <v>0</v>
      </c>
      <c r="D89" s="170">
        <v>0</v>
      </c>
      <c r="E89" s="404">
        <f>E90+E91+E92</f>
        <v>0</v>
      </c>
      <c r="F89" s="404">
        <f>F90+F91+F92</f>
        <v>0</v>
      </c>
      <c r="G89" s="404">
        <f>G90+G91+G92</f>
        <v>0</v>
      </c>
      <c r="H89" s="434">
        <f t="shared" si="9"/>
        <v>0</v>
      </c>
      <c r="I89" s="404">
        <v>0</v>
      </c>
      <c r="J89" s="404">
        <f>J90+J91+J92</f>
        <v>0</v>
      </c>
      <c r="K89" s="404">
        <f>K90+K91+K92</f>
        <v>0</v>
      </c>
      <c r="L89" s="404">
        <f>L90+L91+L92</f>
        <v>0</v>
      </c>
      <c r="M89" s="434">
        <f t="shared" si="10"/>
        <v>0</v>
      </c>
      <c r="N89" s="404">
        <v>0</v>
      </c>
      <c r="O89" s="404">
        <f>O90+O91+O92</f>
        <v>0</v>
      </c>
      <c r="P89" s="404">
        <f>P90+P91+P92</f>
        <v>0</v>
      </c>
      <c r="Q89" s="404">
        <f>Q90+Q91+Q92</f>
        <v>0</v>
      </c>
      <c r="R89" s="434">
        <f t="shared" si="11"/>
        <v>0</v>
      </c>
    </row>
    <row r="90" spans="1:18" s="6" customFormat="1" ht="36" hidden="1" customHeight="1">
      <c r="A90" s="144" t="s">
        <v>64</v>
      </c>
      <c r="B90" s="179" t="s">
        <v>65</v>
      </c>
      <c r="C90" s="98"/>
      <c r="D90" s="98">
        <v>0</v>
      </c>
      <c r="E90" s="433"/>
      <c r="F90" s="433"/>
      <c r="G90" s="433"/>
      <c r="H90" s="434">
        <f t="shared" si="9"/>
        <v>0</v>
      </c>
      <c r="I90" s="433">
        <v>0</v>
      </c>
      <c r="J90" s="433"/>
      <c r="K90" s="433"/>
      <c r="L90" s="433"/>
      <c r="M90" s="434">
        <f t="shared" si="10"/>
        <v>0</v>
      </c>
      <c r="N90" s="433">
        <v>0</v>
      </c>
      <c r="O90" s="433"/>
      <c r="P90" s="433"/>
      <c r="Q90" s="433"/>
      <c r="R90" s="434">
        <f t="shared" si="11"/>
        <v>0</v>
      </c>
    </row>
    <row r="91" spans="1:18" s="6" customFormat="1" ht="24" hidden="1" customHeight="1">
      <c r="A91" s="144" t="s">
        <v>66</v>
      </c>
      <c r="B91" s="179" t="s">
        <v>67</v>
      </c>
      <c r="C91" s="98"/>
      <c r="D91" s="98">
        <v>0</v>
      </c>
      <c r="E91" s="433"/>
      <c r="F91" s="433"/>
      <c r="G91" s="433"/>
      <c r="H91" s="434">
        <f t="shared" si="9"/>
        <v>0</v>
      </c>
      <c r="I91" s="433">
        <v>0</v>
      </c>
      <c r="J91" s="433"/>
      <c r="K91" s="433"/>
      <c r="L91" s="433"/>
      <c r="M91" s="434">
        <f t="shared" si="10"/>
        <v>0</v>
      </c>
      <c r="N91" s="433">
        <v>0</v>
      </c>
      <c r="O91" s="433"/>
      <c r="P91" s="433"/>
      <c r="Q91" s="433"/>
      <c r="R91" s="434">
        <f t="shared" si="11"/>
        <v>0</v>
      </c>
    </row>
    <row r="92" spans="1:18" s="6" customFormat="1" ht="24" hidden="1" customHeight="1">
      <c r="A92" s="144" t="s">
        <v>68</v>
      </c>
      <c r="B92" s="125" t="s">
        <v>69</v>
      </c>
      <c r="C92" s="98"/>
      <c r="D92" s="98">
        <v>0</v>
      </c>
      <c r="E92" s="433"/>
      <c r="F92" s="433"/>
      <c r="G92" s="433"/>
      <c r="H92" s="434">
        <f t="shared" si="9"/>
        <v>0</v>
      </c>
      <c r="I92" s="433">
        <v>0</v>
      </c>
      <c r="J92" s="433"/>
      <c r="K92" s="433"/>
      <c r="L92" s="433"/>
      <c r="M92" s="434">
        <f t="shared" si="10"/>
        <v>0</v>
      </c>
      <c r="N92" s="433">
        <v>0</v>
      </c>
      <c r="O92" s="433"/>
      <c r="P92" s="433"/>
      <c r="Q92" s="433"/>
      <c r="R92" s="434">
        <f t="shared" si="11"/>
        <v>0</v>
      </c>
    </row>
    <row r="93" spans="1:18" s="6" customFormat="1" ht="12">
      <c r="A93" s="145"/>
      <c r="B93" s="188" t="s">
        <v>199</v>
      </c>
      <c r="C93" s="207"/>
      <c r="D93" s="190">
        <v>0</v>
      </c>
      <c r="E93" s="452"/>
      <c r="F93" s="452"/>
      <c r="G93" s="452"/>
      <c r="H93" s="575">
        <f t="shared" si="9"/>
        <v>0</v>
      </c>
      <c r="I93" s="576">
        <v>0</v>
      </c>
      <c r="J93" s="452"/>
      <c r="K93" s="452"/>
      <c r="L93" s="452"/>
      <c r="M93" s="575">
        <f t="shared" si="10"/>
        <v>0</v>
      </c>
      <c r="N93" s="576">
        <v>0</v>
      </c>
      <c r="O93" s="452"/>
      <c r="P93" s="452"/>
      <c r="Q93" s="452"/>
      <c r="R93" s="575">
        <f t="shared" si="11"/>
        <v>0</v>
      </c>
    </row>
    <row r="94" spans="1:18" s="6" customFormat="1" ht="20.399999999999999">
      <c r="A94" s="129" t="s">
        <v>201</v>
      </c>
      <c r="B94" s="123" t="s">
        <v>88</v>
      </c>
      <c r="C94" s="200">
        <v>176963866</v>
      </c>
      <c r="D94" s="200">
        <v>165110284</v>
      </c>
      <c r="E94" s="432">
        <f>E95+E96+E98+E116</f>
        <v>764113</v>
      </c>
      <c r="F94" s="432">
        <f>F95+F96+F98+F116</f>
        <v>5373931</v>
      </c>
      <c r="G94" s="432">
        <f>G95+G96+G98+G116</f>
        <v>10158503</v>
      </c>
      <c r="H94" s="270">
        <f t="shared" si="9"/>
        <v>181406831</v>
      </c>
      <c r="I94" s="432">
        <v>296666332</v>
      </c>
      <c r="J94" s="432">
        <f>J95+J96+J98+J116</f>
        <v>-2345618</v>
      </c>
      <c r="K94" s="432">
        <f>K95+K96+K98+K116</f>
        <v>5222028</v>
      </c>
      <c r="L94" s="432">
        <f>L95+L96+L98+L116</f>
        <v>17789443</v>
      </c>
      <c r="M94" s="270">
        <f t="shared" si="10"/>
        <v>317332185</v>
      </c>
      <c r="N94" s="432">
        <v>294967974</v>
      </c>
      <c r="O94" s="432">
        <f>O95+O96+O98+O116</f>
        <v>-2503117</v>
      </c>
      <c r="P94" s="432">
        <f>P95+P96+P98+P116</f>
        <v>24234937</v>
      </c>
      <c r="Q94" s="432">
        <f>Q95+Q96+Q98+Q116</f>
        <v>17789443</v>
      </c>
      <c r="R94" s="270">
        <f t="shared" si="11"/>
        <v>334489237</v>
      </c>
    </row>
    <row r="95" spans="1:18" s="6" customFormat="1" ht="22.8">
      <c r="A95" s="130" t="s">
        <v>177</v>
      </c>
      <c r="B95" s="124" t="s">
        <v>90</v>
      </c>
      <c r="C95" s="98">
        <v>6635988</v>
      </c>
      <c r="D95" s="98">
        <v>6635988</v>
      </c>
      <c r="E95" s="433"/>
      <c r="F95" s="433"/>
      <c r="G95" s="433"/>
      <c r="H95" s="434">
        <f t="shared" si="9"/>
        <v>6635988</v>
      </c>
      <c r="I95" s="433">
        <v>6635988</v>
      </c>
      <c r="J95" s="433"/>
      <c r="K95" s="433"/>
      <c r="L95" s="433"/>
      <c r="M95" s="434">
        <f t="shared" si="10"/>
        <v>6635988</v>
      </c>
      <c r="N95" s="433">
        <v>6635988</v>
      </c>
      <c r="O95" s="433"/>
      <c r="P95" s="433"/>
      <c r="Q95" s="433"/>
      <c r="R95" s="434">
        <f t="shared" si="11"/>
        <v>6635988</v>
      </c>
    </row>
    <row r="96" spans="1:18" s="6" customFormat="1" ht="12" hidden="1" customHeight="1">
      <c r="A96" s="130" t="s">
        <v>91</v>
      </c>
      <c r="B96" s="124" t="s">
        <v>92</v>
      </c>
      <c r="C96" s="98"/>
      <c r="D96" s="98">
        <v>0</v>
      </c>
      <c r="E96" s="433"/>
      <c r="F96" s="433"/>
      <c r="G96" s="433"/>
      <c r="H96" s="434">
        <f t="shared" si="9"/>
        <v>0</v>
      </c>
      <c r="I96" s="433">
        <v>0</v>
      </c>
      <c r="J96" s="433"/>
      <c r="K96" s="433"/>
      <c r="L96" s="433"/>
      <c r="M96" s="434">
        <f t="shared" si="10"/>
        <v>0</v>
      </c>
      <c r="N96" s="433">
        <v>0</v>
      </c>
      <c r="O96" s="433"/>
      <c r="P96" s="433"/>
      <c r="Q96" s="433"/>
      <c r="R96" s="434">
        <f t="shared" si="11"/>
        <v>0</v>
      </c>
    </row>
    <row r="97" spans="1:18" s="6" customFormat="1" ht="24" hidden="1" customHeight="1">
      <c r="A97" s="131">
        <v>21210</v>
      </c>
      <c r="B97" s="125" t="s">
        <v>93</v>
      </c>
      <c r="C97" s="98"/>
      <c r="D97" s="98">
        <v>0</v>
      </c>
      <c r="E97" s="433"/>
      <c r="F97" s="433"/>
      <c r="G97" s="433"/>
      <c r="H97" s="434">
        <f t="shared" si="9"/>
        <v>0</v>
      </c>
      <c r="I97" s="433">
        <v>0</v>
      </c>
      <c r="J97" s="433"/>
      <c r="K97" s="433"/>
      <c r="L97" s="433"/>
      <c r="M97" s="434">
        <f t="shared" si="10"/>
        <v>0</v>
      </c>
      <c r="N97" s="433">
        <v>0</v>
      </c>
      <c r="O97" s="433"/>
      <c r="P97" s="433"/>
      <c r="Q97" s="433"/>
      <c r="R97" s="434">
        <f t="shared" si="11"/>
        <v>0</v>
      </c>
    </row>
    <row r="98" spans="1:18" s="6" customFormat="1" ht="20.399999999999999">
      <c r="A98" s="130" t="s">
        <v>178</v>
      </c>
      <c r="B98" s="124" t="s">
        <v>94</v>
      </c>
      <c r="C98" s="170">
        <v>801303</v>
      </c>
      <c r="D98" s="170">
        <v>77760</v>
      </c>
      <c r="E98" s="404">
        <f>E99+E105</f>
        <v>0</v>
      </c>
      <c r="F98" s="404">
        <f>F99+F105</f>
        <v>0</v>
      </c>
      <c r="G98" s="404">
        <f>G99+G105</f>
        <v>0</v>
      </c>
      <c r="H98" s="434">
        <f t="shared" si="9"/>
        <v>77760</v>
      </c>
      <c r="I98" s="404">
        <v>77760</v>
      </c>
      <c r="J98" s="404">
        <f>J99+J105</f>
        <v>0</v>
      </c>
      <c r="K98" s="404">
        <f>K99+K105</f>
        <v>0</v>
      </c>
      <c r="L98" s="404">
        <f>L99+L105</f>
        <v>0</v>
      </c>
      <c r="M98" s="434">
        <f t="shared" si="10"/>
        <v>77760</v>
      </c>
      <c r="N98" s="404">
        <v>0</v>
      </c>
      <c r="O98" s="404">
        <f>O99+O105</f>
        <v>0</v>
      </c>
      <c r="P98" s="404">
        <f>P99+P105</f>
        <v>0</v>
      </c>
      <c r="Q98" s="404">
        <f>Q99+Q105</f>
        <v>0</v>
      </c>
      <c r="R98" s="434">
        <f t="shared" si="11"/>
        <v>0</v>
      </c>
    </row>
    <row r="99" spans="1:18" s="6" customFormat="1" ht="12">
      <c r="A99" s="132">
        <v>18000</v>
      </c>
      <c r="B99" s="125" t="s">
        <v>95</v>
      </c>
      <c r="C99" s="170">
        <v>801303</v>
      </c>
      <c r="D99" s="170">
        <v>77760</v>
      </c>
      <c r="E99" s="404">
        <f t="shared" ref="E99:G100" si="12">E100</f>
        <v>0</v>
      </c>
      <c r="F99" s="404">
        <f t="shared" si="12"/>
        <v>0</v>
      </c>
      <c r="G99" s="404">
        <f t="shared" si="12"/>
        <v>0</v>
      </c>
      <c r="H99" s="434">
        <f t="shared" si="9"/>
        <v>77760</v>
      </c>
      <c r="I99" s="404">
        <v>77760</v>
      </c>
      <c r="J99" s="404">
        <f t="shared" ref="J99:L100" si="13">J100</f>
        <v>0</v>
      </c>
      <c r="K99" s="404">
        <f t="shared" si="13"/>
        <v>0</v>
      </c>
      <c r="L99" s="404">
        <f t="shared" si="13"/>
        <v>0</v>
      </c>
      <c r="M99" s="434">
        <f t="shared" si="10"/>
        <v>77760</v>
      </c>
      <c r="N99" s="404">
        <v>0</v>
      </c>
      <c r="O99" s="404">
        <f t="shared" ref="O99:Q100" si="14">O100</f>
        <v>0</v>
      </c>
      <c r="P99" s="404">
        <f t="shared" si="14"/>
        <v>0</v>
      </c>
      <c r="Q99" s="404">
        <f t="shared" si="14"/>
        <v>0</v>
      </c>
      <c r="R99" s="434">
        <f t="shared" si="11"/>
        <v>0</v>
      </c>
    </row>
    <row r="100" spans="1:18" s="6" customFormat="1" ht="12">
      <c r="A100" s="132">
        <v>18100</v>
      </c>
      <c r="B100" s="125" t="s">
        <v>96</v>
      </c>
      <c r="C100" s="170">
        <v>801303</v>
      </c>
      <c r="D100" s="170">
        <v>77760</v>
      </c>
      <c r="E100" s="404">
        <f t="shared" si="12"/>
        <v>0</v>
      </c>
      <c r="F100" s="404">
        <f t="shared" si="12"/>
        <v>0</v>
      </c>
      <c r="G100" s="404">
        <f t="shared" si="12"/>
        <v>0</v>
      </c>
      <c r="H100" s="434">
        <f t="shared" si="9"/>
        <v>77760</v>
      </c>
      <c r="I100" s="404">
        <v>77760</v>
      </c>
      <c r="J100" s="404">
        <f t="shared" si="13"/>
        <v>0</v>
      </c>
      <c r="K100" s="404">
        <f t="shared" si="13"/>
        <v>0</v>
      </c>
      <c r="L100" s="404">
        <f t="shared" si="13"/>
        <v>0</v>
      </c>
      <c r="M100" s="434">
        <f t="shared" si="10"/>
        <v>77760</v>
      </c>
      <c r="N100" s="404">
        <v>0</v>
      </c>
      <c r="O100" s="404">
        <f t="shared" si="14"/>
        <v>0</v>
      </c>
      <c r="P100" s="404">
        <f t="shared" si="14"/>
        <v>0</v>
      </c>
      <c r="Q100" s="404">
        <f t="shared" si="14"/>
        <v>0</v>
      </c>
      <c r="R100" s="434">
        <f t="shared" si="11"/>
        <v>0</v>
      </c>
    </row>
    <row r="101" spans="1:18" s="6" customFormat="1" ht="24">
      <c r="A101" s="133">
        <v>18130</v>
      </c>
      <c r="B101" s="172" t="s">
        <v>159</v>
      </c>
      <c r="C101" s="170">
        <v>801303</v>
      </c>
      <c r="D101" s="170">
        <v>77760</v>
      </c>
      <c r="E101" s="404">
        <f>SUM(E102:E104)</f>
        <v>0</v>
      </c>
      <c r="F101" s="404">
        <f>SUM(F102:F104)</f>
        <v>0</v>
      </c>
      <c r="G101" s="404">
        <f>SUM(G102:G104)</f>
        <v>0</v>
      </c>
      <c r="H101" s="434">
        <f t="shared" si="9"/>
        <v>77760</v>
      </c>
      <c r="I101" s="404">
        <v>77760</v>
      </c>
      <c r="J101" s="404">
        <f>SUM(J102:J104)</f>
        <v>0</v>
      </c>
      <c r="K101" s="404">
        <f>SUM(K102:K104)</f>
        <v>0</v>
      </c>
      <c r="L101" s="404">
        <f>SUM(L102:L104)</f>
        <v>0</v>
      </c>
      <c r="M101" s="434">
        <f t="shared" si="10"/>
        <v>77760</v>
      </c>
      <c r="N101" s="404">
        <v>0</v>
      </c>
      <c r="O101" s="404">
        <f>SUM(O102:O104)</f>
        <v>0</v>
      </c>
      <c r="P101" s="404">
        <f>SUM(P102:P104)</f>
        <v>0</v>
      </c>
      <c r="Q101" s="404">
        <f>SUM(Q102:Q104)</f>
        <v>0</v>
      </c>
      <c r="R101" s="434">
        <f t="shared" si="11"/>
        <v>0</v>
      </c>
    </row>
    <row r="102" spans="1:18" s="6" customFormat="1" ht="24">
      <c r="A102" s="134">
        <v>18131</v>
      </c>
      <c r="B102" s="172" t="s">
        <v>160</v>
      </c>
      <c r="C102" s="170">
        <v>801303</v>
      </c>
      <c r="D102" s="170">
        <v>77760</v>
      </c>
      <c r="E102" s="404"/>
      <c r="F102" s="404"/>
      <c r="G102" s="404"/>
      <c r="H102" s="434">
        <f t="shared" si="9"/>
        <v>77760</v>
      </c>
      <c r="I102" s="404">
        <v>77760</v>
      </c>
      <c r="J102" s="404"/>
      <c r="K102" s="404"/>
      <c r="L102" s="404"/>
      <c r="M102" s="434">
        <f t="shared" si="10"/>
        <v>77760</v>
      </c>
      <c r="N102" s="404">
        <v>0</v>
      </c>
      <c r="O102" s="404"/>
      <c r="P102" s="404"/>
      <c r="Q102" s="404"/>
      <c r="R102" s="434">
        <f t="shared" si="11"/>
        <v>0</v>
      </c>
    </row>
    <row r="103" spans="1:18" s="6" customFormat="1" ht="24" hidden="1" customHeight="1">
      <c r="A103" s="134">
        <v>18132</v>
      </c>
      <c r="B103" s="172" t="s">
        <v>169</v>
      </c>
      <c r="C103" s="170"/>
      <c r="D103" s="170">
        <v>0</v>
      </c>
      <c r="E103" s="404"/>
      <c r="F103" s="404"/>
      <c r="G103" s="404"/>
      <c r="H103" s="434">
        <f t="shared" si="9"/>
        <v>0</v>
      </c>
      <c r="I103" s="404">
        <v>0</v>
      </c>
      <c r="J103" s="404"/>
      <c r="K103" s="404"/>
      <c r="L103" s="404"/>
      <c r="M103" s="434">
        <f t="shared" si="10"/>
        <v>0</v>
      </c>
      <c r="N103" s="404">
        <v>0</v>
      </c>
      <c r="O103" s="404"/>
      <c r="P103" s="404"/>
      <c r="Q103" s="404"/>
      <c r="R103" s="434">
        <f t="shared" si="11"/>
        <v>0</v>
      </c>
    </row>
    <row r="104" spans="1:18" s="6" customFormat="1" ht="24" hidden="1" customHeight="1">
      <c r="A104" s="134">
        <v>18139</v>
      </c>
      <c r="B104" s="172" t="s">
        <v>179</v>
      </c>
      <c r="C104" s="170"/>
      <c r="D104" s="170">
        <v>0</v>
      </c>
      <c r="E104" s="404"/>
      <c r="F104" s="404"/>
      <c r="G104" s="404"/>
      <c r="H104" s="434">
        <f t="shared" si="9"/>
        <v>0</v>
      </c>
      <c r="I104" s="404">
        <v>0</v>
      </c>
      <c r="J104" s="404"/>
      <c r="K104" s="404"/>
      <c r="L104" s="404"/>
      <c r="M104" s="434">
        <f t="shared" si="10"/>
        <v>0</v>
      </c>
      <c r="N104" s="404">
        <v>0</v>
      </c>
      <c r="O104" s="404"/>
      <c r="P104" s="404"/>
      <c r="Q104" s="404"/>
      <c r="R104" s="434">
        <f t="shared" si="11"/>
        <v>0</v>
      </c>
    </row>
    <row r="105" spans="1:18" s="6" customFormat="1" ht="12" hidden="1" customHeight="1">
      <c r="A105" s="135" t="s">
        <v>180</v>
      </c>
      <c r="B105" s="173" t="s">
        <v>173</v>
      </c>
      <c r="C105" s="201">
        <v>0</v>
      </c>
      <c r="D105" s="201">
        <v>0</v>
      </c>
      <c r="E105" s="436">
        <f>E106</f>
        <v>0</v>
      </c>
      <c r="F105" s="436">
        <f>F106</f>
        <v>0</v>
      </c>
      <c r="G105" s="436">
        <f>G106</f>
        <v>0</v>
      </c>
      <c r="H105" s="434">
        <f t="shared" si="9"/>
        <v>0</v>
      </c>
      <c r="I105" s="436">
        <v>0</v>
      </c>
      <c r="J105" s="436">
        <f>J106</f>
        <v>0</v>
      </c>
      <c r="K105" s="436">
        <f>K106</f>
        <v>0</v>
      </c>
      <c r="L105" s="436">
        <f>L106</f>
        <v>0</v>
      </c>
      <c r="M105" s="434">
        <f t="shared" si="10"/>
        <v>0</v>
      </c>
      <c r="N105" s="436">
        <v>0</v>
      </c>
      <c r="O105" s="436">
        <f>O106</f>
        <v>0</v>
      </c>
      <c r="P105" s="436">
        <f>P106</f>
        <v>0</v>
      </c>
      <c r="Q105" s="436">
        <f>Q106</f>
        <v>0</v>
      </c>
      <c r="R105" s="434">
        <f t="shared" si="11"/>
        <v>0</v>
      </c>
    </row>
    <row r="106" spans="1:18" s="6" customFormat="1" ht="24" hidden="1" customHeight="1">
      <c r="A106" s="135">
        <v>19500</v>
      </c>
      <c r="B106" s="172" t="s">
        <v>174</v>
      </c>
      <c r="C106" s="170">
        <v>0</v>
      </c>
      <c r="D106" s="170">
        <v>0</v>
      </c>
      <c r="E106" s="404">
        <f>SUM(E107:E109)</f>
        <v>0</v>
      </c>
      <c r="F106" s="404">
        <f>SUM(F107:F109)</f>
        <v>0</v>
      </c>
      <c r="G106" s="404">
        <f>SUM(G107:G109)</f>
        <v>0</v>
      </c>
      <c r="H106" s="434">
        <f t="shared" si="9"/>
        <v>0</v>
      </c>
      <c r="I106" s="404">
        <v>0</v>
      </c>
      <c r="J106" s="404">
        <f>SUM(J107:J109)</f>
        <v>0</v>
      </c>
      <c r="K106" s="404">
        <f>SUM(K107:K109)</f>
        <v>0</v>
      </c>
      <c r="L106" s="404">
        <f>SUM(L107:L109)</f>
        <v>0</v>
      </c>
      <c r="M106" s="434">
        <f t="shared" si="10"/>
        <v>0</v>
      </c>
      <c r="N106" s="404">
        <v>0</v>
      </c>
      <c r="O106" s="404">
        <f>SUM(O107:O109)</f>
        <v>0</v>
      </c>
      <c r="P106" s="404">
        <f>SUM(P107:P109)</f>
        <v>0</v>
      </c>
      <c r="Q106" s="404">
        <f>SUM(Q107:Q109)</f>
        <v>0</v>
      </c>
      <c r="R106" s="434">
        <f t="shared" si="11"/>
        <v>0</v>
      </c>
    </row>
    <row r="107" spans="1:18" s="6" customFormat="1" ht="24" hidden="1" customHeight="1">
      <c r="A107" s="136">
        <v>19550</v>
      </c>
      <c r="B107" s="172" t="s">
        <v>175</v>
      </c>
      <c r="C107" s="170"/>
      <c r="D107" s="170">
        <v>0</v>
      </c>
      <c r="E107" s="404"/>
      <c r="F107" s="404"/>
      <c r="G107" s="404"/>
      <c r="H107" s="434">
        <f t="shared" si="9"/>
        <v>0</v>
      </c>
      <c r="I107" s="404">
        <v>0</v>
      </c>
      <c r="J107" s="404"/>
      <c r="K107" s="404"/>
      <c r="L107" s="404"/>
      <c r="M107" s="434">
        <f t="shared" si="10"/>
        <v>0</v>
      </c>
      <c r="N107" s="404">
        <v>0</v>
      </c>
      <c r="O107" s="404"/>
      <c r="P107" s="404"/>
      <c r="Q107" s="404"/>
      <c r="R107" s="434">
        <f t="shared" si="11"/>
        <v>0</v>
      </c>
    </row>
    <row r="108" spans="1:18" s="6" customFormat="1" ht="36" hidden="1" customHeight="1">
      <c r="A108" s="136">
        <v>19560</v>
      </c>
      <c r="B108" s="172" t="s">
        <v>181</v>
      </c>
      <c r="C108" s="170"/>
      <c r="D108" s="170">
        <v>0</v>
      </c>
      <c r="E108" s="404"/>
      <c r="F108" s="404"/>
      <c r="G108" s="404"/>
      <c r="H108" s="434">
        <f t="shared" si="9"/>
        <v>0</v>
      </c>
      <c r="I108" s="404">
        <v>0</v>
      </c>
      <c r="J108" s="404"/>
      <c r="K108" s="404"/>
      <c r="L108" s="404"/>
      <c r="M108" s="434">
        <f t="shared" si="10"/>
        <v>0</v>
      </c>
      <c r="N108" s="404">
        <v>0</v>
      </c>
      <c r="O108" s="404"/>
      <c r="P108" s="404"/>
      <c r="Q108" s="404"/>
      <c r="R108" s="434">
        <f t="shared" si="11"/>
        <v>0</v>
      </c>
    </row>
    <row r="109" spans="1:18" s="6" customFormat="1" ht="72" hidden="1" customHeight="1">
      <c r="A109" s="136">
        <v>19570</v>
      </c>
      <c r="B109" s="172" t="s">
        <v>182</v>
      </c>
      <c r="C109" s="170"/>
      <c r="D109" s="170">
        <v>0</v>
      </c>
      <c r="E109" s="404"/>
      <c r="F109" s="404"/>
      <c r="G109" s="404"/>
      <c r="H109" s="434">
        <f t="shared" si="9"/>
        <v>0</v>
      </c>
      <c r="I109" s="404">
        <v>0</v>
      </c>
      <c r="J109" s="404"/>
      <c r="K109" s="404"/>
      <c r="L109" s="404"/>
      <c r="M109" s="434">
        <f t="shared" si="10"/>
        <v>0</v>
      </c>
      <c r="N109" s="404">
        <v>0</v>
      </c>
      <c r="O109" s="404"/>
      <c r="P109" s="404"/>
      <c r="Q109" s="404"/>
      <c r="R109" s="434">
        <f t="shared" si="11"/>
        <v>0</v>
      </c>
    </row>
    <row r="110" spans="1:18" s="6" customFormat="1" ht="24" hidden="1" customHeight="1">
      <c r="A110" s="209" t="s">
        <v>222</v>
      </c>
      <c r="B110" s="208" t="s">
        <v>216</v>
      </c>
      <c r="C110" s="106">
        <f>C111</f>
        <v>0</v>
      </c>
      <c r="D110" s="106">
        <v>0</v>
      </c>
      <c r="E110" s="434">
        <f>E111</f>
        <v>0</v>
      </c>
      <c r="F110" s="434">
        <f>F111</f>
        <v>0</v>
      </c>
      <c r="G110" s="434">
        <f>G111</f>
        <v>0</v>
      </c>
      <c r="H110" s="434">
        <f t="shared" si="9"/>
        <v>0</v>
      </c>
      <c r="I110" s="404">
        <v>0</v>
      </c>
      <c r="J110" s="434">
        <f>J111</f>
        <v>0</v>
      </c>
      <c r="K110" s="434">
        <f>K111</f>
        <v>0</v>
      </c>
      <c r="L110" s="434">
        <f>L111</f>
        <v>0</v>
      </c>
      <c r="M110" s="434">
        <f t="shared" si="10"/>
        <v>0</v>
      </c>
      <c r="N110" s="404">
        <v>0</v>
      </c>
      <c r="O110" s="434">
        <f>O111</f>
        <v>0</v>
      </c>
      <c r="P110" s="434">
        <f>P111</f>
        <v>0</v>
      </c>
      <c r="Q110" s="434">
        <f>Q111</f>
        <v>0</v>
      </c>
      <c r="R110" s="434">
        <f t="shared" si="11"/>
        <v>0</v>
      </c>
    </row>
    <row r="111" spans="1:18" s="6" customFormat="1" ht="36" hidden="1" customHeight="1">
      <c r="A111" s="209">
        <v>17100</v>
      </c>
      <c r="B111" s="208" t="s">
        <v>217</v>
      </c>
      <c r="C111" s="106">
        <f>SUM(C112:C115)</f>
        <v>0</v>
      </c>
      <c r="D111" s="106">
        <v>0</v>
      </c>
      <c r="E111" s="434">
        <f>SUM(E112:E115)</f>
        <v>0</v>
      </c>
      <c r="F111" s="434">
        <f>SUM(F112:F115)</f>
        <v>0</v>
      </c>
      <c r="G111" s="434">
        <f>SUM(G112:G115)</f>
        <v>0</v>
      </c>
      <c r="H111" s="434">
        <f t="shared" si="9"/>
        <v>0</v>
      </c>
      <c r="I111" s="404">
        <v>0</v>
      </c>
      <c r="J111" s="434">
        <f>SUM(J112:J115)</f>
        <v>0</v>
      </c>
      <c r="K111" s="434">
        <f>SUM(K112:K115)</f>
        <v>0</v>
      </c>
      <c r="L111" s="434">
        <f>SUM(L112:L115)</f>
        <v>0</v>
      </c>
      <c r="M111" s="434">
        <f t="shared" si="10"/>
        <v>0</v>
      </c>
      <c r="N111" s="404">
        <v>0</v>
      </c>
      <c r="O111" s="434">
        <f>SUM(O112:O115)</f>
        <v>0</v>
      </c>
      <c r="P111" s="434">
        <f>SUM(P112:P115)</f>
        <v>0</v>
      </c>
      <c r="Q111" s="434">
        <f>SUM(Q112:Q115)</f>
        <v>0</v>
      </c>
      <c r="R111" s="434">
        <f t="shared" si="11"/>
        <v>0</v>
      </c>
    </row>
    <row r="112" spans="1:18" s="6" customFormat="1" ht="48" hidden="1" customHeight="1">
      <c r="A112" s="149">
        <v>17110</v>
      </c>
      <c r="B112" s="208" t="s">
        <v>218</v>
      </c>
      <c r="C112" s="106"/>
      <c r="D112" s="106">
        <v>0</v>
      </c>
      <c r="E112" s="404"/>
      <c r="F112" s="404"/>
      <c r="G112" s="404"/>
      <c r="H112" s="434">
        <f t="shared" si="9"/>
        <v>0</v>
      </c>
      <c r="I112" s="404">
        <v>0</v>
      </c>
      <c r="J112" s="404"/>
      <c r="K112" s="404"/>
      <c r="L112" s="404"/>
      <c r="M112" s="434">
        <f t="shared" si="10"/>
        <v>0</v>
      </c>
      <c r="N112" s="404">
        <v>0</v>
      </c>
      <c r="O112" s="404"/>
      <c r="P112" s="404"/>
      <c r="Q112" s="404"/>
      <c r="R112" s="434">
        <f t="shared" si="11"/>
        <v>0</v>
      </c>
    </row>
    <row r="113" spans="1:18" s="6" customFormat="1" ht="48" hidden="1" customHeight="1">
      <c r="A113" s="149">
        <v>17120</v>
      </c>
      <c r="B113" s="208" t="s">
        <v>219</v>
      </c>
      <c r="C113" s="106"/>
      <c r="D113" s="106">
        <v>0</v>
      </c>
      <c r="E113" s="404"/>
      <c r="F113" s="404"/>
      <c r="G113" s="404"/>
      <c r="H113" s="434">
        <f t="shared" si="9"/>
        <v>0</v>
      </c>
      <c r="I113" s="404">
        <v>0</v>
      </c>
      <c r="J113" s="404"/>
      <c r="K113" s="404"/>
      <c r="L113" s="404"/>
      <c r="M113" s="434">
        <f t="shared" si="10"/>
        <v>0</v>
      </c>
      <c r="N113" s="404">
        <v>0</v>
      </c>
      <c r="O113" s="404"/>
      <c r="P113" s="404"/>
      <c r="Q113" s="404"/>
      <c r="R113" s="434">
        <f t="shared" si="11"/>
        <v>0</v>
      </c>
    </row>
    <row r="114" spans="1:18" s="6" customFormat="1" ht="96" hidden="1" customHeight="1">
      <c r="A114" s="149">
        <v>17130</v>
      </c>
      <c r="B114" s="208" t="s">
        <v>220</v>
      </c>
      <c r="C114" s="106"/>
      <c r="D114" s="106">
        <v>0</v>
      </c>
      <c r="E114" s="404"/>
      <c r="F114" s="404"/>
      <c r="G114" s="404"/>
      <c r="H114" s="434">
        <f t="shared" si="9"/>
        <v>0</v>
      </c>
      <c r="I114" s="404">
        <v>0</v>
      </c>
      <c r="J114" s="404"/>
      <c r="K114" s="404"/>
      <c r="L114" s="404"/>
      <c r="M114" s="434">
        <f t="shared" si="10"/>
        <v>0</v>
      </c>
      <c r="N114" s="404">
        <v>0</v>
      </c>
      <c r="O114" s="404"/>
      <c r="P114" s="404"/>
      <c r="Q114" s="404"/>
      <c r="R114" s="434">
        <f t="shared" si="11"/>
        <v>0</v>
      </c>
    </row>
    <row r="115" spans="1:18" s="6" customFormat="1" ht="96" hidden="1" customHeight="1">
      <c r="A115" s="149">
        <v>17140</v>
      </c>
      <c r="B115" s="208" t="s">
        <v>221</v>
      </c>
      <c r="C115" s="106"/>
      <c r="D115" s="106">
        <v>0</v>
      </c>
      <c r="E115" s="404"/>
      <c r="F115" s="404"/>
      <c r="G115" s="404"/>
      <c r="H115" s="434">
        <f t="shared" si="9"/>
        <v>0</v>
      </c>
      <c r="I115" s="404">
        <v>0</v>
      </c>
      <c r="J115" s="404"/>
      <c r="K115" s="404"/>
      <c r="L115" s="404"/>
      <c r="M115" s="434">
        <f t="shared" si="10"/>
        <v>0</v>
      </c>
      <c r="N115" s="404">
        <v>0</v>
      </c>
      <c r="O115" s="404"/>
      <c r="P115" s="404"/>
      <c r="Q115" s="404"/>
      <c r="R115" s="434">
        <f t="shared" si="11"/>
        <v>0</v>
      </c>
    </row>
    <row r="116" spans="1:18" s="6" customFormat="1" ht="12">
      <c r="A116" s="137">
        <v>21700</v>
      </c>
      <c r="B116" s="124" t="s">
        <v>97</v>
      </c>
      <c r="C116" s="170">
        <v>169526575</v>
      </c>
      <c r="D116" s="170">
        <v>158396536</v>
      </c>
      <c r="E116" s="404">
        <f>E117+E118</f>
        <v>764113</v>
      </c>
      <c r="F116" s="404">
        <f>F117+F118</f>
        <v>5373931</v>
      </c>
      <c r="G116" s="404">
        <f>G117+G118</f>
        <v>10158503</v>
      </c>
      <c r="H116" s="434">
        <f t="shared" si="9"/>
        <v>174693083</v>
      </c>
      <c r="I116" s="404">
        <v>289952584</v>
      </c>
      <c r="J116" s="404">
        <f>J117+J118</f>
        <v>-2345618</v>
      </c>
      <c r="K116" s="404">
        <f>K117+K118</f>
        <v>5222028</v>
      </c>
      <c r="L116" s="404">
        <f>L117+L118</f>
        <v>17789443</v>
      </c>
      <c r="M116" s="434">
        <f t="shared" si="10"/>
        <v>310618437</v>
      </c>
      <c r="N116" s="404">
        <v>288331986</v>
      </c>
      <c r="O116" s="404">
        <f>O117+O118</f>
        <v>-2503117</v>
      </c>
      <c r="P116" s="404">
        <f>P117+P118</f>
        <v>24234937</v>
      </c>
      <c r="Q116" s="404">
        <f>Q117+Q118</f>
        <v>17789443</v>
      </c>
      <c r="R116" s="434">
        <f t="shared" si="11"/>
        <v>327853249</v>
      </c>
    </row>
    <row r="117" spans="1:18" s="6" customFormat="1" ht="24">
      <c r="A117" s="138">
        <v>21710</v>
      </c>
      <c r="B117" s="125" t="s">
        <v>98</v>
      </c>
      <c r="C117" s="170">
        <v>169526575</v>
      </c>
      <c r="D117" s="170">
        <v>158396536</v>
      </c>
      <c r="E117" s="404">
        <f>178669+577327+8117</f>
        <v>764113</v>
      </c>
      <c r="F117" s="404">
        <f>2457230+500619+10796+79153+2326133</f>
        <v>5373931</v>
      </c>
      <c r="G117" s="404">
        <f>1476000+749646+3685299+411961+1934+3829000+4663</f>
        <v>10158503</v>
      </c>
      <c r="H117" s="434">
        <f t="shared" si="9"/>
        <v>174693083</v>
      </c>
      <c r="I117" s="404">
        <v>289952584</v>
      </c>
      <c r="J117" s="404">
        <f>-3168196-8549+795725+35402</f>
        <v>-2345618</v>
      </c>
      <c r="K117" s="404">
        <f>2094445+688584+10796+64741+2363462</f>
        <v>5222028</v>
      </c>
      <c r="L117" s="404">
        <f>1476000+749646+3648381+422614+5802+11487000</f>
        <v>17789443</v>
      </c>
      <c r="M117" s="434">
        <f t="shared" si="10"/>
        <v>310618437</v>
      </c>
      <c r="N117" s="404">
        <v>288331986</v>
      </c>
      <c r="O117" s="404">
        <f>-3537821-65284+1066661+33327</f>
        <v>-2503117</v>
      </c>
      <c r="P117" s="404">
        <f>1703419+843060+10796+38839+2363462+1280185+17995176</f>
        <v>24234937</v>
      </c>
      <c r="Q117" s="404">
        <f>1476000+749646+3648381+422614+5802+11487000</f>
        <v>17789443</v>
      </c>
      <c r="R117" s="434">
        <f t="shared" si="11"/>
        <v>327853249</v>
      </c>
    </row>
    <row r="118" spans="1:18" s="6" customFormat="1" ht="24" hidden="1" customHeight="1">
      <c r="A118" s="138">
        <v>21720</v>
      </c>
      <c r="B118" s="125" t="s">
        <v>99</v>
      </c>
      <c r="C118" s="170"/>
      <c r="D118" s="170">
        <v>0</v>
      </c>
      <c r="E118" s="404"/>
      <c r="F118" s="404"/>
      <c r="G118" s="404"/>
      <c r="H118" s="434">
        <f t="shared" si="9"/>
        <v>0</v>
      </c>
      <c r="I118" s="404">
        <v>0</v>
      </c>
      <c r="J118" s="404"/>
      <c r="K118" s="404"/>
      <c r="L118" s="404"/>
      <c r="M118" s="434">
        <f t="shared" si="10"/>
        <v>0</v>
      </c>
      <c r="N118" s="404">
        <v>0</v>
      </c>
      <c r="O118" s="404"/>
      <c r="P118" s="404"/>
      <c r="Q118" s="404"/>
      <c r="R118" s="434">
        <f t="shared" si="11"/>
        <v>0</v>
      </c>
    </row>
    <row r="119" spans="1:18" s="6" customFormat="1" ht="11.4">
      <c r="A119" s="129" t="s">
        <v>100</v>
      </c>
      <c r="B119" s="123" t="s">
        <v>101</v>
      </c>
      <c r="C119" s="168">
        <v>176963866</v>
      </c>
      <c r="D119" s="168">
        <v>165110284</v>
      </c>
      <c r="E119" s="403">
        <f>E120+E147</f>
        <v>764113</v>
      </c>
      <c r="F119" s="403">
        <f>F120+F147</f>
        <v>5373931</v>
      </c>
      <c r="G119" s="403">
        <f>G120+G147</f>
        <v>10158503</v>
      </c>
      <c r="H119" s="270">
        <f t="shared" si="9"/>
        <v>181406831</v>
      </c>
      <c r="I119" s="403">
        <v>296666332</v>
      </c>
      <c r="J119" s="403">
        <f>J120+J147</f>
        <v>-2345618</v>
      </c>
      <c r="K119" s="403">
        <f>K120+K147</f>
        <v>5222028</v>
      </c>
      <c r="L119" s="403">
        <f>L120+L147</f>
        <v>17789443</v>
      </c>
      <c r="M119" s="270">
        <f t="shared" si="10"/>
        <v>317332185</v>
      </c>
      <c r="N119" s="403">
        <v>294967974</v>
      </c>
      <c r="O119" s="403">
        <f>O120+O147</f>
        <v>-2503117</v>
      </c>
      <c r="P119" s="403">
        <f>P120+P147</f>
        <v>24234937</v>
      </c>
      <c r="Q119" s="403">
        <f>Q120+Q147</f>
        <v>17789443</v>
      </c>
      <c r="R119" s="270">
        <f t="shared" si="11"/>
        <v>334489237</v>
      </c>
    </row>
    <row r="120" spans="1:18" s="6" customFormat="1" ht="20.399999999999999">
      <c r="A120" s="130" t="s">
        <v>102</v>
      </c>
      <c r="B120" s="124" t="s">
        <v>103</v>
      </c>
      <c r="C120" s="170">
        <v>175802837</v>
      </c>
      <c r="D120" s="170">
        <v>164739810</v>
      </c>
      <c r="E120" s="404">
        <f>E121+E125+E126+E129+E132</f>
        <v>764113</v>
      </c>
      <c r="F120" s="404">
        <f>F121+F125+F126+F129+F132</f>
        <v>5373931</v>
      </c>
      <c r="G120" s="404">
        <f>G121+G125+G126+G129+G132</f>
        <v>10158503</v>
      </c>
      <c r="H120" s="434">
        <f t="shared" si="9"/>
        <v>181036357</v>
      </c>
      <c r="I120" s="404">
        <v>296295858</v>
      </c>
      <c r="J120" s="404">
        <f>J121+J125+J126+J129+J132</f>
        <v>-2345618</v>
      </c>
      <c r="K120" s="404">
        <f>K121+K125+K126+K129+K132</f>
        <v>5222028</v>
      </c>
      <c r="L120" s="404">
        <f>L121+L125+L126+L129+L132</f>
        <v>17789443</v>
      </c>
      <c r="M120" s="434">
        <f t="shared" si="10"/>
        <v>316961711</v>
      </c>
      <c r="N120" s="404">
        <v>294597500</v>
      </c>
      <c r="O120" s="404">
        <f>O121+O125+O126+O129+O132</f>
        <v>-2503117</v>
      </c>
      <c r="P120" s="404">
        <f>P121+P125+P126+P129+P132</f>
        <v>24234937</v>
      </c>
      <c r="Q120" s="404">
        <f>Q121+Q125+Q126+Q129+Q132</f>
        <v>17789443</v>
      </c>
      <c r="R120" s="434">
        <f t="shared" si="11"/>
        <v>334118763</v>
      </c>
    </row>
    <row r="121" spans="1:18" s="6" customFormat="1" ht="12">
      <c r="A121" s="130" t="s">
        <v>104</v>
      </c>
      <c r="B121" s="124" t="s">
        <v>105</v>
      </c>
      <c r="C121" s="170">
        <v>31064575</v>
      </c>
      <c r="D121" s="170">
        <v>31491539</v>
      </c>
      <c r="E121" s="404">
        <f>E122+E124</f>
        <v>0</v>
      </c>
      <c r="F121" s="404">
        <f>F122+F124</f>
        <v>89949</v>
      </c>
      <c r="G121" s="404">
        <f>G122+G124</f>
        <v>4103857</v>
      </c>
      <c r="H121" s="434">
        <f t="shared" si="9"/>
        <v>35685345</v>
      </c>
      <c r="I121" s="404">
        <v>31488179</v>
      </c>
      <c r="J121" s="404">
        <f>J122+J124</f>
        <v>0</v>
      </c>
      <c r="K121" s="404">
        <f>K122+K124</f>
        <v>75537</v>
      </c>
      <c r="L121" s="404">
        <f>L122+L124</f>
        <v>4076797</v>
      </c>
      <c r="M121" s="434">
        <f t="shared" si="10"/>
        <v>35640513</v>
      </c>
      <c r="N121" s="404">
        <v>31409828</v>
      </c>
      <c r="O121" s="404">
        <f>O122+O124</f>
        <v>0</v>
      </c>
      <c r="P121" s="404">
        <f>P122+P124</f>
        <v>49635</v>
      </c>
      <c r="Q121" s="404">
        <f>Q122+Q124</f>
        <v>4076797</v>
      </c>
      <c r="R121" s="434">
        <f t="shared" si="11"/>
        <v>35536260</v>
      </c>
    </row>
    <row r="122" spans="1:18" s="29" customFormat="1" ht="12">
      <c r="A122" s="132">
        <v>1000</v>
      </c>
      <c r="B122" s="125" t="s">
        <v>106</v>
      </c>
      <c r="C122" s="170">
        <v>20841000</v>
      </c>
      <c r="D122" s="170">
        <v>21115462</v>
      </c>
      <c r="E122" s="437"/>
      <c r="F122" s="404">
        <f>10796+20954</f>
        <v>31750</v>
      </c>
      <c r="G122" s="404">
        <f>3378470+279241+4663+1934</f>
        <v>3664308</v>
      </c>
      <c r="H122" s="434">
        <f t="shared" si="9"/>
        <v>24811520</v>
      </c>
      <c r="I122" s="404">
        <v>21115462</v>
      </c>
      <c r="J122" s="437"/>
      <c r="K122" s="404">
        <f>10796+39959</f>
        <v>50755</v>
      </c>
      <c r="L122" s="404">
        <f>3378470+289894+5802</f>
        <v>3674166</v>
      </c>
      <c r="M122" s="434">
        <f t="shared" si="10"/>
        <v>24840383</v>
      </c>
      <c r="N122" s="404">
        <v>21086227</v>
      </c>
      <c r="O122" s="437"/>
      <c r="P122" s="404">
        <f>10796+23309</f>
        <v>34105</v>
      </c>
      <c r="Q122" s="404">
        <f>3378470+289894+5802</f>
        <v>3674166</v>
      </c>
      <c r="R122" s="434">
        <f t="shared" si="11"/>
        <v>24794498</v>
      </c>
    </row>
    <row r="123" spans="1:18" s="89" customFormat="1" ht="12">
      <c r="A123" s="139">
        <v>1100</v>
      </c>
      <c r="B123" s="125" t="s">
        <v>107</v>
      </c>
      <c r="C123" s="170">
        <v>16533305</v>
      </c>
      <c r="D123" s="170">
        <v>16765490</v>
      </c>
      <c r="E123" s="437"/>
      <c r="F123" s="404">
        <f>8700+5826</f>
        <v>14526</v>
      </c>
      <c r="G123" s="404">
        <f>2722597+224444+1559+3758</f>
        <v>2952358</v>
      </c>
      <c r="H123" s="434">
        <f t="shared" si="9"/>
        <v>19732374</v>
      </c>
      <c r="I123" s="404">
        <v>16765490</v>
      </c>
      <c r="J123" s="437"/>
      <c r="K123" s="404">
        <f>8700+11652</f>
        <v>20352</v>
      </c>
      <c r="L123" s="404">
        <f>2722597+232364+4676</f>
        <v>2959637</v>
      </c>
      <c r="M123" s="434">
        <f t="shared" si="10"/>
        <v>19745479</v>
      </c>
      <c r="N123" s="404">
        <v>16741930</v>
      </c>
      <c r="O123" s="437"/>
      <c r="P123" s="404">
        <f>8700+6797</f>
        <v>15497</v>
      </c>
      <c r="Q123" s="404">
        <f>2722597+232364+4676</f>
        <v>2959637</v>
      </c>
      <c r="R123" s="434">
        <f t="shared" si="11"/>
        <v>19717064</v>
      </c>
    </row>
    <row r="124" spans="1:18" s="89" customFormat="1" ht="12">
      <c r="A124" s="132">
        <v>2000</v>
      </c>
      <c r="B124" s="125" t="s">
        <v>108</v>
      </c>
      <c r="C124" s="170">
        <v>10223575</v>
      </c>
      <c r="D124" s="170">
        <v>10376077</v>
      </c>
      <c r="E124" s="437"/>
      <c r="F124" s="404">
        <v>58199</v>
      </c>
      <c r="G124" s="404">
        <f>36918+269911+132720</f>
        <v>439549</v>
      </c>
      <c r="H124" s="434">
        <f t="shared" si="9"/>
        <v>10873825</v>
      </c>
      <c r="I124" s="404">
        <v>10372717</v>
      </c>
      <c r="J124" s="437"/>
      <c r="K124" s="404">
        <v>24782</v>
      </c>
      <c r="L124" s="404">
        <f>269911+132720</f>
        <v>402631</v>
      </c>
      <c r="M124" s="434">
        <f t="shared" si="10"/>
        <v>10800130</v>
      </c>
      <c r="N124" s="404">
        <v>10323601</v>
      </c>
      <c r="O124" s="437"/>
      <c r="P124" s="404">
        <v>15530</v>
      </c>
      <c r="Q124" s="404">
        <f>269911+132720</f>
        <v>402631</v>
      </c>
      <c r="R124" s="434">
        <f t="shared" si="11"/>
        <v>10741762</v>
      </c>
    </row>
    <row r="125" spans="1:18" s="89" customFormat="1" ht="12" hidden="1" customHeight="1">
      <c r="A125" s="140">
        <v>4000</v>
      </c>
      <c r="B125" s="124" t="s">
        <v>132</v>
      </c>
      <c r="C125" s="170"/>
      <c r="D125" s="170">
        <v>0</v>
      </c>
      <c r="E125" s="437"/>
      <c r="F125" s="437"/>
      <c r="G125" s="437"/>
      <c r="H125" s="434">
        <f t="shared" si="9"/>
        <v>0</v>
      </c>
      <c r="I125" s="404">
        <v>0</v>
      </c>
      <c r="J125" s="437"/>
      <c r="K125" s="437"/>
      <c r="L125" s="437"/>
      <c r="M125" s="434">
        <f t="shared" si="10"/>
        <v>0</v>
      </c>
      <c r="N125" s="404">
        <v>0</v>
      </c>
      <c r="O125" s="437"/>
      <c r="P125" s="437"/>
      <c r="Q125" s="437"/>
      <c r="R125" s="434">
        <f t="shared" si="11"/>
        <v>0</v>
      </c>
    </row>
    <row r="126" spans="1:18" s="89" customFormat="1" ht="12">
      <c r="A126" s="140" t="s">
        <v>109</v>
      </c>
      <c r="B126" s="124" t="s">
        <v>110</v>
      </c>
      <c r="C126" s="170">
        <v>115277339</v>
      </c>
      <c r="D126" s="170">
        <v>116866292</v>
      </c>
      <c r="E126" s="404">
        <f>E127+E128</f>
        <v>755996</v>
      </c>
      <c r="F126" s="404">
        <f>F127+F128</f>
        <v>500619</v>
      </c>
      <c r="G126" s="404">
        <f>G127+G128</f>
        <v>4578646</v>
      </c>
      <c r="H126" s="434">
        <f t="shared" si="9"/>
        <v>122701553</v>
      </c>
      <c r="I126" s="404">
        <v>249647032</v>
      </c>
      <c r="J126" s="404">
        <f>J127+J128</f>
        <v>-129437728</v>
      </c>
      <c r="K126" s="404">
        <f>K127+K128</f>
        <v>688584</v>
      </c>
      <c r="L126" s="404">
        <f>L127+L128</f>
        <v>12236646</v>
      </c>
      <c r="M126" s="434">
        <f t="shared" si="10"/>
        <v>133134534</v>
      </c>
      <c r="N126" s="404">
        <v>248269455</v>
      </c>
      <c r="O126" s="404">
        <f>O127+O128</f>
        <v>-124951138</v>
      </c>
      <c r="P126" s="404">
        <f>P127+P128</f>
        <v>18838236</v>
      </c>
      <c r="Q126" s="404">
        <f>Q127+Q128</f>
        <v>12236646</v>
      </c>
      <c r="R126" s="434">
        <f t="shared" si="11"/>
        <v>154393199</v>
      </c>
    </row>
    <row r="127" spans="1:18" s="89" customFormat="1" ht="12">
      <c r="A127" s="132">
        <v>3000</v>
      </c>
      <c r="B127" s="125" t="s">
        <v>111</v>
      </c>
      <c r="C127" s="202">
        <v>5212948</v>
      </c>
      <c r="D127" s="202">
        <v>4920832</v>
      </c>
      <c r="E127" s="574"/>
      <c r="F127" s="574"/>
      <c r="G127" s="438">
        <f>749646+3829000</f>
        <v>4578646</v>
      </c>
      <c r="H127" s="434">
        <f t="shared" si="9"/>
        <v>9499478</v>
      </c>
      <c r="I127" s="438">
        <v>4920832</v>
      </c>
      <c r="J127" s="574"/>
      <c r="K127" s="574"/>
      <c r="L127" s="438">
        <f>749646+11487000</f>
        <v>12236646</v>
      </c>
      <c r="M127" s="434">
        <f t="shared" si="10"/>
        <v>17157478</v>
      </c>
      <c r="N127" s="438">
        <v>4920832</v>
      </c>
      <c r="O127" s="574"/>
      <c r="P127" s="574"/>
      <c r="Q127" s="438">
        <f>749646+11487000</f>
        <v>12236646</v>
      </c>
      <c r="R127" s="434">
        <f t="shared" si="11"/>
        <v>17157478</v>
      </c>
    </row>
    <row r="128" spans="1:18" s="89" customFormat="1" ht="12">
      <c r="A128" s="132">
        <v>6000</v>
      </c>
      <c r="B128" s="125" t="s">
        <v>112</v>
      </c>
      <c r="C128" s="203">
        <v>110064391</v>
      </c>
      <c r="D128" s="203">
        <v>111945460</v>
      </c>
      <c r="E128" s="523">
        <f>178669+577327</f>
        <v>755996</v>
      </c>
      <c r="F128" s="523">
        <v>500619</v>
      </c>
      <c r="G128" s="523"/>
      <c r="H128" s="434">
        <f t="shared" si="9"/>
        <v>113202075</v>
      </c>
      <c r="I128" s="523">
        <v>244726200</v>
      </c>
      <c r="J128" s="440">
        <f>-127056708-3168196-8549+795725</f>
        <v>-129437728</v>
      </c>
      <c r="K128" s="523">
        <v>688584</v>
      </c>
      <c r="L128" s="523"/>
      <c r="M128" s="434">
        <f t="shared" si="10"/>
        <v>115977056</v>
      </c>
      <c r="N128" s="523">
        <v>243348623</v>
      </c>
      <c r="O128" s="523">
        <f>-122414694-3537821-65284+1066661</f>
        <v>-124951138</v>
      </c>
      <c r="P128" s="523">
        <f>843060+17995176</f>
        <v>18838236</v>
      </c>
      <c r="Q128" s="523"/>
      <c r="R128" s="434">
        <f t="shared" si="11"/>
        <v>137235721</v>
      </c>
    </row>
    <row r="129" spans="1:18" s="89" customFormat="1" ht="22.8">
      <c r="A129" s="140" t="s">
        <v>113</v>
      </c>
      <c r="B129" s="124" t="s">
        <v>183</v>
      </c>
      <c r="C129" s="170">
        <v>88653</v>
      </c>
      <c r="D129" s="170">
        <v>91732</v>
      </c>
      <c r="E129" s="404">
        <f>E130+E131</f>
        <v>0</v>
      </c>
      <c r="F129" s="404">
        <f>F130+F131</f>
        <v>0</v>
      </c>
      <c r="G129" s="404"/>
      <c r="H129" s="434">
        <f t="shared" si="9"/>
        <v>91732</v>
      </c>
      <c r="I129" s="404">
        <v>91732</v>
      </c>
      <c r="J129" s="404">
        <f>J130+J131</f>
        <v>0</v>
      </c>
      <c r="K129" s="404">
        <f>K130+K131</f>
        <v>0</v>
      </c>
      <c r="L129" s="404"/>
      <c r="M129" s="434">
        <f t="shared" si="10"/>
        <v>91732</v>
      </c>
      <c r="N129" s="404">
        <v>91732</v>
      </c>
      <c r="O129" s="404">
        <f>O130+O131</f>
        <v>0</v>
      </c>
      <c r="P129" s="404">
        <f>P130+P131</f>
        <v>0</v>
      </c>
      <c r="Q129" s="404">
        <f>Q130+Q131</f>
        <v>0</v>
      </c>
      <c r="R129" s="434">
        <f t="shared" si="11"/>
        <v>91732</v>
      </c>
    </row>
    <row r="130" spans="1:18" s="89" customFormat="1" ht="12" hidden="1" customHeight="1">
      <c r="A130" s="132">
        <v>7600</v>
      </c>
      <c r="B130" s="179" t="s">
        <v>184</v>
      </c>
      <c r="C130" s="170"/>
      <c r="D130" s="170">
        <v>0</v>
      </c>
      <c r="E130" s="437"/>
      <c r="F130" s="437"/>
      <c r="G130" s="437"/>
      <c r="H130" s="434">
        <f t="shared" si="9"/>
        <v>0</v>
      </c>
      <c r="I130" s="404">
        <v>0</v>
      </c>
      <c r="J130" s="437"/>
      <c r="K130" s="437"/>
      <c r="L130" s="437"/>
      <c r="M130" s="434">
        <f t="shared" si="10"/>
        <v>0</v>
      </c>
      <c r="N130" s="404">
        <v>0</v>
      </c>
      <c r="O130" s="437"/>
      <c r="P130" s="437"/>
      <c r="Q130" s="437"/>
      <c r="R130" s="434">
        <f t="shared" si="11"/>
        <v>0</v>
      </c>
    </row>
    <row r="131" spans="1:18" s="89" customFormat="1" ht="12">
      <c r="A131" s="132">
        <v>7700</v>
      </c>
      <c r="B131" s="126" t="s">
        <v>114</v>
      </c>
      <c r="C131" s="170">
        <v>88653</v>
      </c>
      <c r="D131" s="170">
        <v>91732</v>
      </c>
      <c r="E131" s="437"/>
      <c r="F131" s="437"/>
      <c r="G131" s="437"/>
      <c r="H131" s="434">
        <f t="shared" si="9"/>
        <v>91732</v>
      </c>
      <c r="I131" s="404">
        <v>91732</v>
      </c>
      <c r="J131" s="437"/>
      <c r="K131" s="437"/>
      <c r="L131" s="437"/>
      <c r="M131" s="434">
        <f t="shared" si="10"/>
        <v>91732</v>
      </c>
      <c r="N131" s="404">
        <v>91732</v>
      </c>
      <c r="O131" s="437"/>
      <c r="P131" s="437"/>
      <c r="Q131" s="437"/>
      <c r="R131" s="434">
        <f t="shared" si="11"/>
        <v>91732</v>
      </c>
    </row>
    <row r="132" spans="1:18" s="89" customFormat="1" ht="20.399999999999999">
      <c r="A132" s="140" t="s">
        <v>185</v>
      </c>
      <c r="B132" s="124" t="s">
        <v>115</v>
      </c>
      <c r="C132" s="170">
        <v>29372270</v>
      </c>
      <c r="D132" s="170">
        <v>16290247</v>
      </c>
      <c r="E132" s="404">
        <f>E133+E139+E143+E146</f>
        <v>8117</v>
      </c>
      <c r="F132" s="404">
        <f>F133+F139+F143+F146</f>
        <v>4783363</v>
      </c>
      <c r="G132" s="404">
        <f>G133+G139+G143+G146</f>
        <v>1476000</v>
      </c>
      <c r="H132" s="434">
        <f t="shared" si="9"/>
        <v>22557727</v>
      </c>
      <c r="I132" s="404">
        <v>15068915</v>
      </c>
      <c r="J132" s="404">
        <f>J133+J139+J143+J146</f>
        <v>127092110</v>
      </c>
      <c r="K132" s="404">
        <f>K133+K139+K143+K146</f>
        <v>4457907</v>
      </c>
      <c r="L132" s="404">
        <f>L133+L139+L143+L146</f>
        <v>1476000</v>
      </c>
      <c r="M132" s="434">
        <f t="shared" si="10"/>
        <v>148094932</v>
      </c>
      <c r="N132" s="404">
        <v>14826485</v>
      </c>
      <c r="O132" s="404">
        <f>O133+O139+O143+O146</f>
        <v>122448021</v>
      </c>
      <c r="P132" s="404">
        <f>P133+P139+P143+P146</f>
        <v>5347066</v>
      </c>
      <c r="Q132" s="404">
        <f>Q133+Q139+Q143+Q146</f>
        <v>1476000</v>
      </c>
      <c r="R132" s="434">
        <f t="shared" si="11"/>
        <v>144097572</v>
      </c>
    </row>
    <row r="133" spans="1:18" s="89" customFormat="1" ht="12">
      <c r="A133" s="132">
        <v>7100</v>
      </c>
      <c r="B133" s="179" t="s">
        <v>116</v>
      </c>
      <c r="C133" s="170">
        <v>15002174</v>
      </c>
      <c r="D133" s="170">
        <v>14547931</v>
      </c>
      <c r="E133" s="404">
        <f>E134+E135</f>
        <v>8117</v>
      </c>
      <c r="F133" s="404">
        <f>F134+F135</f>
        <v>2457230</v>
      </c>
      <c r="G133" s="404">
        <f>G134+G135</f>
        <v>1476000</v>
      </c>
      <c r="H133" s="434">
        <f t="shared" si="9"/>
        <v>18489278</v>
      </c>
      <c r="I133" s="404">
        <v>14263917</v>
      </c>
      <c r="J133" s="404">
        <f>J134+J135</f>
        <v>127092110</v>
      </c>
      <c r="K133" s="404">
        <f>K134+K135</f>
        <v>2094445</v>
      </c>
      <c r="L133" s="404">
        <f>L134+L135</f>
        <v>1476000</v>
      </c>
      <c r="M133" s="434">
        <f t="shared" si="10"/>
        <v>144926472</v>
      </c>
      <c r="N133" s="404">
        <v>14021487</v>
      </c>
      <c r="O133" s="404">
        <f>O134+O135</f>
        <v>122448021</v>
      </c>
      <c r="P133" s="404">
        <f>P134+P135</f>
        <v>1703419</v>
      </c>
      <c r="Q133" s="404">
        <f>Q134+Q135</f>
        <v>1476000</v>
      </c>
      <c r="R133" s="434">
        <f t="shared" si="11"/>
        <v>139648927</v>
      </c>
    </row>
    <row r="134" spans="1:18" s="89" customFormat="1" ht="24">
      <c r="A134" s="133" t="s">
        <v>117</v>
      </c>
      <c r="B134" s="179" t="s">
        <v>118</v>
      </c>
      <c r="C134" s="170">
        <v>15002174</v>
      </c>
      <c r="D134" s="170">
        <v>14547931</v>
      </c>
      <c r="E134" s="404">
        <v>8117</v>
      </c>
      <c r="F134" s="404">
        <f>2457230</f>
        <v>2457230</v>
      </c>
      <c r="G134" s="404">
        <f>1476000</f>
        <v>1476000</v>
      </c>
      <c r="H134" s="434">
        <f t="shared" si="9"/>
        <v>18489278</v>
      </c>
      <c r="I134" s="404">
        <v>14263917</v>
      </c>
      <c r="J134" s="404">
        <f>127056708+35402</f>
        <v>127092110</v>
      </c>
      <c r="K134" s="404">
        <f>2094445</f>
        <v>2094445</v>
      </c>
      <c r="L134" s="404">
        <f>1476000</f>
        <v>1476000</v>
      </c>
      <c r="M134" s="434">
        <f t="shared" si="10"/>
        <v>144926472</v>
      </c>
      <c r="N134" s="404">
        <v>14021487</v>
      </c>
      <c r="O134" s="404">
        <f>122414694+33327</f>
        <v>122448021</v>
      </c>
      <c r="P134" s="404">
        <f>1703419</f>
        <v>1703419</v>
      </c>
      <c r="Q134" s="404">
        <f>1476000</f>
        <v>1476000</v>
      </c>
      <c r="R134" s="434">
        <f t="shared" si="11"/>
        <v>139648927</v>
      </c>
    </row>
    <row r="135" spans="1:18" s="89" customFormat="1" ht="24" hidden="1" customHeight="1">
      <c r="A135" s="133">
        <v>7130</v>
      </c>
      <c r="B135" s="179" t="s">
        <v>119</v>
      </c>
      <c r="C135" s="170">
        <v>0</v>
      </c>
      <c r="D135" s="170">
        <v>0</v>
      </c>
      <c r="E135" s="404">
        <f>SUM(E136:E138)</f>
        <v>0</v>
      </c>
      <c r="F135" s="404">
        <f>SUM(F136:F138)</f>
        <v>0</v>
      </c>
      <c r="G135" s="404">
        <f>SUM(G136:G138)</f>
        <v>0</v>
      </c>
      <c r="H135" s="434">
        <f t="shared" si="9"/>
        <v>0</v>
      </c>
      <c r="I135" s="404">
        <v>0</v>
      </c>
      <c r="J135" s="404">
        <f>SUM(J136:J138)</f>
        <v>0</v>
      </c>
      <c r="K135" s="404">
        <f>SUM(K136:K138)</f>
        <v>0</v>
      </c>
      <c r="L135" s="404">
        <f>SUM(L136:L138)</f>
        <v>0</v>
      </c>
      <c r="M135" s="434">
        <f t="shared" si="10"/>
        <v>0</v>
      </c>
      <c r="N135" s="404">
        <v>0</v>
      </c>
      <c r="O135" s="404">
        <f>SUM(O136:O138)</f>
        <v>0</v>
      </c>
      <c r="P135" s="404">
        <f>SUM(P136:P138)</f>
        <v>0</v>
      </c>
      <c r="Q135" s="404">
        <f>SUM(Q136:Q138)</f>
        <v>0</v>
      </c>
      <c r="R135" s="434">
        <f t="shared" si="11"/>
        <v>0</v>
      </c>
    </row>
    <row r="136" spans="1:18" s="89" customFormat="1" ht="36" hidden="1" customHeight="1">
      <c r="A136" s="134">
        <v>7131</v>
      </c>
      <c r="B136" s="179" t="s">
        <v>120</v>
      </c>
      <c r="C136" s="170"/>
      <c r="D136" s="170">
        <v>0</v>
      </c>
      <c r="E136" s="404"/>
      <c r="F136" s="404"/>
      <c r="G136" s="404"/>
      <c r="H136" s="434">
        <f t="shared" si="9"/>
        <v>0</v>
      </c>
      <c r="I136" s="404">
        <v>0</v>
      </c>
      <c r="J136" s="404"/>
      <c r="K136" s="404"/>
      <c r="L136" s="404"/>
      <c r="M136" s="434">
        <f t="shared" si="10"/>
        <v>0</v>
      </c>
      <c r="N136" s="404">
        <v>0</v>
      </c>
      <c r="O136" s="404"/>
      <c r="P136" s="404"/>
      <c r="Q136" s="404"/>
      <c r="R136" s="434">
        <f t="shared" si="11"/>
        <v>0</v>
      </c>
    </row>
    <row r="137" spans="1:18" s="29" customFormat="1" ht="36" hidden="1" customHeight="1">
      <c r="A137" s="134">
        <v>7132</v>
      </c>
      <c r="B137" s="179" t="s">
        <v>121</v>
      </c>
      <c r="C137" s="170"/>
      <c r="D137" s="170">
        <v>0</v>
      </c>
      <c r="E137" s="404"/>
      <c r="F137" s="404"/>
      <c r="G137" s="404"/>
      <c r="H137" s="434">
        <f t="shared" si="9"/>
        <v>0</v>
      </c>
      <c r="I137" s="404">
        <v>0</v>
      </c>
      <c r="J137" s="404"/>
      <c r="K137" s="404"/>
      <c r="L137" s="404"/>
      <c r="M137" s="434">
        <f t="shared" si="10"/>
        <v>0</v>
      </c>
      <c r="N137" s="404">
        <v>0</v>
      </c>
      <c r="O137" s="404"/>
      <c r="P137" s="404"/>
      <c r="Q137" s="404"/>
      <c r="R137" s="434">
        <f t="shared" si="11"/>
        <v>0</v>
      </c>
    </row>
    <row r="138" spans="1:18" s="29" customFormat="1" ht="24" hidden="1" customHeight="1">
      <c r="A138" s="134" t="s">
        <v>186</v>
      </c>
      <c r="B138" s="179" t="s">
        <v>187</v>
      </c>
      <c r="C138" s="170"/>
      <c r="D138" s="170">
        <v>0</v>
      </c>
      <c r="E138" s="404"/>
      <c r="F138" s="404"/>
      <c r="G138" s="404"/>
      <c r="H138" s="434">
        <f t="shared" ref="H138:H201" si="15">SUM(D138:G138)</f>
        <v>0</v>
      </c>
      <c r="I138" s="404">
        <v>0</v>
      </c>
      <c r="J138" s="404"/>
      <c r="K138" s="404"/>
      <c r="L138" s="404"/>
      <c r="M138" s="434">
        <f t="shared" ref="M138:M201" si="16">SUM(I138:L138)</f>
        <v>0</v>
      </c>
      <c r="N138" s="404">
        <v>0</v>
      </c>
      <c r="O138" s="404"/>
      <c r="P138" s="404"/>
      <c r="Q138" s="404"/>
      <c r="R138" s="434">
        <f t="shared" ref="R138:R201" si="17">SUM(N138:Q138)</f>
        <v>0</v>
      </c>
    </row>
    <row r="139" spans="1:18" s="29" customFormat="1" ht="24">
      <c r="A139" s="132">
        <v>7300</v>
      </c>
      <c r="B139" s="172" t="s">
        <v>155</v>
      </c>
      <c r="C139" s="170">
        <v>13582752</v>
      </c>
      <c r="D139" s="170">
        <v>937318</v>
      </c>
      <c r="E139" s="404">
        <f>SUM(E140:E142)</f>
        <v>0</v>
      </c>
      <c r="F139" s="404">
        <f>SUM(F140:F142)</f>
        <v>2326133</v>
      </c>
      <c r="G139" s="404">
        <f>SUM(G140:G142)</f>
        <v>0</v>
      </c>
      <c r="H139" s="434">
        <f t="shared" si="15"/>
        <v>3263451</v>
      </c>
      <c r="I139" s="404">
        <v>0</v>
      </c>
      <c r="J139" s="404">
        <f>SUM(J140:J142)</f>
        <v>0</v>
      </c>
      <c r="K139" s="404">
        <f>SUM(K140:K142)</f>
        <v>2363462</v>
      </c>
      <c r="L139" s="404">
        <f>SUM(L140:L142)</f>
        <v>0</v>
      </c>
      <c r="M139" s="434">
        <f t="shared" si="16"/>
        <v>2363462</v>
      </c>
      <c r="N139" s="404">
        <v>0</v>
      </c>
      <c r="O139" s="404">
        <f>SUM(O140:O142)</f>
        <v>0</v>
      </c>
      <c r="P139" s="404">
        <f>SUM(P140:P142)</f>
        <v>3643647</v>
      </c>
      <c r="Q139" s="404">
        <f>SUM(Q140:Q142)</f>
        <v>0</v>
      </c>
      <c r="R139" s="434">
        <f t="shared" si="17"/>
        <v>3643647</v>
      </c>
    </row>
    <row r="140" spans="1:18" s="4" customFormat="1" ht="24">
      <c r="A140" s="133" t="s">
        <v>188</v>
      </c>
      <c r="B140" s="179" t="s">
        <v>170</v>
      </c>
      <c r="C140" s="204">
        <v>13582752</v>
      </c>
      <c r="D140" s="204">
        <v>937318</v>
      </c>
      <c r="E140" s="443"/>
      <c r="F140" s="443">
        <f>2326133</f>
        <v>2326133</v>
      </c>
      <c r="G140" s="443"/>
      <c r="H140" s="434">
        <f t="shared" si="15"/>
        <v>3263451</v>
      </c>
      <c r="I140" s="443">
        <v>0</v>
      </c>
      <c r="J140" s="443"/>
      <c r="K140" s="443">
        <f>2363462</f>
        <v>2363462</v>
      </c>
      <c r="L140" s="443"/>
      <c r="M140" s="434">
        <f t="shared" si="16"/>
        <v>2363462</v>
      </c>
      <c r="N140" s="443">
        <v>0</v>
      </c>
      <c r="O140" s="443"/>
      <c r="P140" s="443">
        <f>2363462+1280185</f>
        <v>3643647</v>
      </c>
      <c r="Q140" s="443"/>
      <c r="R140" s="434">
        <f t="shared" si="17"/>
        <v>3643647</v>
      </c>
    </row>
    <row r="141" spans="1:18" ht="48" hidden="1" customHeight="1">
      <c r="A141" s="133" t="s">
        <v>189</v>
      </c>
      <c r="B141" s="179" t="s">
        <v>156</v>
      </c>
      <c r="C141" s="204"/>
      <c r="D141" s="204">
        <v>0</v>
      </c>
      <c r="E141" s="443"/>
      <c r="F141" s="443"/>
      <c r="G141" s="443"/>
      <c r="H141" s="434">
        <f t="shared" si="15"/>
        <v>0</v>
      </c>
      <c r="I141" s="443">
        <v>0</v>
      </c>
      <c r="J141" s="443"/>
      <c r="K141" s="443"/>
      <c r="L141" s="443"/>
      <c r="M141" s="434">
        <f t="shared" si="16"/>
        <v>0</v>
      </c>
      <c r="N141" s="443">
        <v>0</v>
      </c>
      <c r="O141" s="443"/>
      <c r="P141" s="443"/>
      <c r="Q141" s="443"/>
      <c r="R141" s="434">
        <f t="shared" si="17"/>
        <v>0</v>
      </c>
    </row>
    <row r="142" spans="1:18" ht="36" hidden="1" customHeight="1">
      <c r="A142" s="133">
        <v>7350</v>
      </c>
      <c r="B142" s="179" t="s">
        <v>163</v>
      </c>
      <c r="C142" s="204"/>
      <c r="D142" s="204">
        <v>0</v>
      </c>
      <c r="E142" s="443"/>
      <c r="F142" s="443"/>
      <c r="G142" s="443"/>
      <c r="H142" s="434">
        <f t="shared" si="15"/>
        <v>0</v>
      </c>
      <c r="I142" s="443">
        <v>0</v>
      </c>
      <c r="J142" s="443"/>
      <c r="K142" s="443"/>
      <c r="L142" s="443"/>
      <c r="M142" s="434">
        <f t="shared" si="16"/>
        <v>0</v>
      </c>
      <c r="N142" s="443">
        <v>0</v>
      </c>
      <c r="O142" s="443"/>
      <c r="P142" s="443"/>
      <c r="Q142" s="443"/>
      <c r="R142" s="434">
        <f t="shared" si="17"/>
        <v>0</v>
      </c>
    </row>
    <row r="143" spans="1:18" ht="24">
      <c r="A143" s="132">
        <v>7400</v>
      </c>
      <c r="B143" s="172" t="s">
        <v>161</v>
      </c>
      <c r="C143" s="170">
        <v>787344</v>
      </c>
      <c r="D143" s="170">
        <v>804998</v>
      </c>
      <c r="E143" s="404">
        <f>SUM(E144:E145)</f>
        <v>0</v>
      </c>
      <c r="F143" s="404">
        <f>SUM(F144:F145)</f>
        <v>0</v>
      </c>
      <c r="G143" s="404">
        <f>SUM(G144:G145)</f>
        <v>0</v>
      </c>
      <c r="H143" s="434">
        <f t="shared" si="15"/>
        <v>804998</v>
      </c>
      <c r="I143" s="404">
        <v>804998</v>
      </c>
      <c r="J143" s="404">
        <f>SUM(J144:J145)</f>
        <v>0</v>
      </c>
      <c r="K143" s="404">
        <f>SUM(K144:K145)</f>
        <v>0</v>
      </c>
      <c r="L143" s="404">
        <f>SUM(L144:L145)</f>
        <v>0</v>
      </c>
      <c r="M143" s="434">
        <f t="shared" si="16"/>
        <v>804998</v>
      </c>
      <c r="N143" s="404">
        <v>804998</v>
      </c>
      <c r="O143" s="404">
        <f>SUM(O144:O145)</f>
        <v>0</v>
      </c>
      <c r="P143" s="404">
        <f>SUM(P144:P145)</f>
        <v>0</v>
      </c>
      <c r="Q143" s="404">
        <f>SUM(Q144:Q145)</f>
        <v>0</v>
      </c>
      <c r="R143" s="434">
        <f t="shared" si="17"/>
        <v>804998</v>
      </c>
    </row>
    <row r="144" spans="1:18" ht="24">
      <c r="A144" s="133">
        <v>7460</v>
      </c>
      <c r="B144" s="172" t="s">
        <v>162</v>
      </c>
      <c r="C144" s="204">
        <v>787344</v>
      </c>
      <c r="D144" s="204">
        <v>804998</v>
      </c>
      <c r="E144" s="443"/>
      <c r="F144" s="443"/>
      <c r="G144" s="443"/>
      <c r="H144" s="434">
        <f t="shared" si="15"/>
        <v>804998</v>
      </c>
      <c r="I144" s="443">
        <v>804998</v>
      </c>
      <c r="J144" s="443"/>
      <c r="K144" s="443"/>
      <c r="L144" s="443"/>
      <c r="M144" s="434">
        <f t="shared" si="16"/>
        <v>804998</v>
      </c>
      <c r="N144" s="443">
        <v>804998</v>
      </c>
      <c r="O144" s="443"/>
      <c r="P144" s="443"/>
      <c r="Q144" s="443"/>
      <c r="R144" s="434">
        <f t="shared" si="17"/>
        <v>804998</v>
      </c>
    </row>
    <row r="145" spans="1:18" ht="48" hidden="1" customHeight="1">
      <c r="A145" s="133">
        <v>7470</v>
      </c>
      <c r="B145" s="179" t="s">
        <v>167</v>
      </c>
      <c r="C145" s="204"/>
      <c r="D145" s="204">
        <v>0</v>
      </c>
      <c r="E145" s="443"/>
      <c r="F145" s="443"/>
      <c r="G145" s="443"/>
      <c r="H145" s="434">
        <f t="shared" si="15"/>
        <v>0</v>
      </c>
      <c r="I145" s="443">
        <v>0</v>
      </c>
      <c r="J145" s="443"/>
      <c r="K145" s="443"/>
      <c r="L145" s="443"/>
      <c r="M145" s="434">
        <f t="shared" si="16"/>
        <v>0</v>
      </c>
      <c r="N145" s="443">
        <v>0</v>
      </c>
      <c r="O145" s="443"/>
      <c r="P145" s="443"/>
      <c r="Q145" s="443"/>
      <c r="R145" s="434">
        <f t="shared" si="17"/>
        <v>0</v>
      </c>
    </row>
    <row r="146" spans="1:18" ht="24" hidden="1" customHeight="1">
      <c r="A146" s="132">
        <v>7500</v>
      </c>
      <c r="B146" s="179" t="s">
        <v>157</v>
      </c>
      <c r="C146" s="170"/>
      <c r="D146" s="170">
        <v>0</v>
      </c>
      <c r="E146" s="404"/>
      <c r="F146" s="404"/>
      <c r="G146" s="404"/>
      <c r="H146" s="434">
        <f t="shared" si="15"/>
        <v>0</v>
      </c>
      <c r="I146" s="404">
        <v>0</v>
      </c>
      <c r="J146" s="404"/>
      <c r="K146" s="404"/>
      <c r="L146" s="404"/>
      <c r="M146" s="434">
        <f t="shared" si="16"/>
        <v>0</v>
      </c>
      <c r="N146" s="404">
        <v>0</v>
      </c>
      <c r="O146" s="404"/>
      <c r="P146" s="404"/>
      <c r="Q146" s="404"/>
      <c r="R146" s="434">
        <f t="shared" si="17"/>
        <v>0</v>
      </c>
    </row>
    <row r="147" spans="1:18" s="4" customFormat="1" ht="12">
      <c r="A147" s="140" t="s">
        <v>133</v>
      </c>
      <c r="B147" s="124" t="s">
        <v>122</v>
      </c>
      <c r="C147" s="205">
        <v>1161029</v>
      </c>
      <c r="D147" s="205">
        <v>370474</v>
      </c>
      <c r="E147" s="445">
        <f>E148+E149</f>
        <v>0</v>
      </c>
      <c r="F147" s="445">
        <f>F148+F149</f>
        <v>0</v>
      </c>
      <c r="G147" s="445">
        <f>G148+G149</f>
        <v>0</v>
      </c>
      <c r="H147" s="434">
        <f t="shared" si="15"/>
        <v>370474</v>
      </c>
      <c r="I147" s="445">
        <v>370474</v>
      </c>
      <c r="J147" s="445">
        <f>J148+J149</f>
        <v>0</v>
      </c>
      <c r="K147" s="445">
        <f>K148+K149</f>
        <v>0</v>
      </c>
      <c r="L147" s="445">
        <f>L148+L149</f>
        <v>0</v>
      </c>
      <c r="M147" s="434">
        <f t="shared" si="16"/>
        <v>370474</v>
      </c>
      <c r="N147" s="445">
        <v>370474</v>
      </c>
      <c r="O147" s="445">
        <f>O148+O149</f>
        <v>0</v>
      </c>
      <c r="P147" s="445">
        <f>P148+P149</f>
        <v>0</v>
      </c>
      <c r="Q147" s="445">
        <f>Q148+Q149</f>
        <v>0</v>
      </c>
      <c r="R147" s="434">
        <f t="shared" si="17"/>
        <v>370474</v>
      </c>
    </row>
    <row r="148" spans="1:18" s="6" customFormat="1" ht="12">
      <c r="A148" s="140">
        <v>5000</v>
      </c>
      <c r="B148" s="124" t="s">
        <v>123</v>
      </c>
      <c r="C148" s="170">
        <v>1161029</v>
      </c>
      <c r="D148" s="170">
        <v>370474</v>
      </c>
      <c r="E148" s="437"/>
      <c r="F148" s="437"/>
      <c r="G148" s="437"/>
      <c r="H148" s="434">
        <f t="shared" si="15"/>
        <v>370474</v>
      </c>
      <c r="I148" s="404">
        <v>370474</v>
      </c>
      <c r="J148" s="437"/>
      <c r="K148" s="437"/>
      <c r="L148" s="437"/>
      <c r="M148" s="434">
        <f t="shared" si="16"/>
        <v>370474</v>
      </c>
      <c r="N148" s="404">
        <v>370474</v>
      </c>
      <c r="O148" s="437"/>
      <c r="P148" s="437"/>
      <c r="Q148" s="437"/>
      <c r="R148" s="434">
        <f t="shared" si="17"/>
        <v>370474</v>
      </c>
    </row>
    <row r="149" spans="1:18" s="6" customFormat="1" ht="12" hidden="1" customHeight="1">
      <c r="A149" s="140">
        <v>9000</v>
      </c>
      <c r="B149" s="182" t="s">
        <v>164</v>
      </c>
      <c r="C149" s="170">
        <v>0</v>
      </c>
      <c r="D149" s="170">
        <v>0</v>
      </c>
      <c r="E149" s="404">
        <f>E150+E156+E160+E163</f>
        <v>0</v>
      </c>
      <c r="F149" s="404">
        <f>F150+F156+F160+F163</f>
        <v>0</v>
      </c>
      <c r="G149" s="404">
        <f>G150+G156+G160+G163</f>
        <v>0</v>
      </c>
      <c r="H149" s="434">
        <f t="shared" si="15"/>
        <v>0</v>
      </c>
      <c r="I149" s="404">
        <v>0</v>
      </c>
      <c r="J149" s="404">
        <f>J150+J156+J160+J163</f>
        <v>0</v>
      </c>
      <c r="K149" s="404">
        <f>K150+K156+K160+K163</f>
        <v>0</v>
      </c>
      <c r="L149" s="404">
        <f>L150+L156+L160+L163</f>
        <v>0</v>
      </c>
      <c r="M149" s="434">
        <f t="shared" si="16"/>
        <v>0</v>
      </c>
      <c r="N149" s="404">
        <v>0</v>
      </c>
      <c r="O149" s="404">
        <f>O150+O156+O160+O163</f>
        <v>0</v>
      </c>
      <c r="P149" s="404">
        <f>P150+P156+P160+P163</f>
        <v>0</v>
      </c>
      <c r="Q149" s="404">
        <f>Q150+Q156+Q160+Q163</f>
        <v>0</v>
      </c>
      <c r="R149" s="434">
        <f t="shared" si="17"/>
        <v>0</v>
      </c>
    </row>
    <row r="150" spans="1:18" s="6" customFormat="1" ht="12" hidden="1" customHeight="1">
      <c r="A150" s="141">
        <v>9100</v>
      </c>
      <c r="B150" s="179" t="s">
        <v>124</v>
      </c>
      <c r="C150" s="170">
        <v>0</v>
      </c>
      <c r="D150" s="170">
        <v>0</v>
      </c>
      <c r="E150" s="404">
        <f>SUM(E151:E152)</f>
        <v>0</v>
      </c>
      <c r="F150" s="404">
        <f>SUM(F151:F152)</f>
        <v>0</v>
      </c>
      <c r="G150" s="404">
        <f>SUM(G151:G152)</f>
        <v>0</v>
      </c>
      <c r="H150" s="434">
        <f t="shared" si="15"/>
        <v>0</v>
      </c>
      <c r="I150" s="404">
        <v>0</v>
      </c>
      <c r="J150" s="404">
        <f>SUM(J151:J152)</f>
        <v>0</v>
      </c>
      <c r="K150" s="404">
        <f>SUM(K151:K152)</f>
        <v>0</v>
      </c>
      <c r="L150" s="404">
        <f>SUM(L151:L152)</f>
        <v>0</v>
      </c>
      <c r="M150" s="434">
        <f t="shared" si="16"/>
        <v>0</v>
      </c>
      <c r="N150" s="404">
        <v>0</v>
      </c>
      <c r="O150" s="404">
        <f>SUM(O151:O152)</f>
        <v>0</v>
      </c>
      <c r="P150" s="404">
        <f>SUM(P151:P152)</f>
        <v>0</v>
      </c>
      <c r="Q150" s="404">
        <f>SUM(Q151:Q152)</f>
        <v>0</v>
      </c>
      <c r="R150" s="434">
        <f t="shared" si="17"/>
        <v>0</v>
      </c>
    </row>
    <row r="151" spans="1:18" s="6" customFormat="1" ht="24" hidden="1" customHeight="1">
      <c r="A151" s="133" t="s">
        <v>125</v>
      </c>
      <c r="B151" s="179" t="s">
        <v>214</v>
      </c>
      <c r="C151" s="170"/>
      <c r="D151" s="170">
        <v>0</v>
      </c>
      <c r="E151" s="404"/>
      <c r="F151" s="404"/>
      <c r="G151" s="404"/>
      <c r="H151" s="434">
        <f t="shared" si="15"/>
        <v>0</v>
      </c>
      <c r="I151" s="404">
        <v>0</v>
      </c>
      <c r="J151" s="404"/>
      <c r="K151" s="404"/>
      <c r="L151" s="404"/>
      <c r="M151" s="434">
        <f t="shared" si="16"/>
        <v>0</v>
      </c>
      <c r="N151" s="404">
        <v>0</v>
      </c>
      <c r="O151" s="404"/>
      <c r="P151" s="404"/>
      <c r="Q151" s="404"/>
      <c r="R151" s="434">
        <f t="shared" si="17"/>
        <v>0</v>
      </c>
    </row>
    <row r="152" spans="1:18" s="6" customFormat="1" ht="24" hidden="1" customHeight="1">
      <c r="A152" s="133">
        <v>9140</v>
      </c>
      <c r="B152" s="179" t="s">
        <v>215</v>
      </c>
      <c r="C152" s="170">
        <v>0</v>
      </c>
      <c r="D152" s="170">
        <v>0</v>
      </c>
      <c r="E152" s="404">
        <f>SUM(E153:E155)</f>
        <v>0</v>
      </c>
      <c r="F152" s="404">
        <f>SUM(F153:F155)</f>
        <v>0</v>
      </c>
      <c r="G152" s="404">
        <f>SUM(G153:G155)</f>
        <v>0</v>
      </c>
      <c r="H152" s="434">
        <f t="shared" si="15"/>
        <v>0</v>
      </c>
      <c r="I152" s="404">
        <v>0</v>
      </c>
      <c r="J152" s="404">
        <f>SUM(J153:J155)</f>
        <v>0</v>
      </c>
      <c r="K152" s="404">
        <f>SUM(K153:K155)</f>
        <v>0</v>
      </c>
      <c r="L152" s="404">
        <f>SUM(L153:L155)</f>
        <v>0</v>
      </c>
      <c r="M152" s="434">
        <f t="shared" si="16"/>
        <v>0</v>
      </c>
      <c r="N152" s="404">
        <v>0</v>
      </c>
      <c r="O152" s="404">
        <f>SUM(O153:O155)</f>
        <v>0</v>
      </c>
      <c r="P152" s="404">
        <f>SUM(P153:P155)</f>
        <v>0</v>
      </c>
      <c r="Q152" s="404">
        <f>SUM(Q153:Q155)</f>
        <v>0</v>
      </c>
      <c r="R152" s="434">
        <f t="shared" si="17"/>
        <v>0</v>
      </c>
    </row>
    <row r="153" spans="1:18" s="6" customFormat="1" ht="36" hidden="1" customHeight="1">
      <c r="A153" s="134">
        <v>9141</v>
      </c>
      <c r="B153" s="172" t="s">
        <v>190</v>
      </c>
      <c r="C153" s="204"/>
      <c r="D153" s="204">
        <v>0</v>
      </c>
      <c r="E153" s="443"/>
      <c r="F153" s="443"/>
      <c r="G153" s="443"/>
      <c r="H153" s="434">
        <f t="shared" si="15"/>
        <v>0</v>
      </c>
      <c r="I153" s="443">
        <v>0</v>
      </c>
      <c r="J153" s="443"/>
      <c r="K153" s="443"/>
      <c r="L153" s="443"/>
      <c r="M153" s="434">
        <f t="shared" si="16"/>
        <v>0</v>
      </c>
      <c r="N153" s="443">
        <v>0</v>
      </c>
      <c r="O153" s="443"/>
      <c r="P153" s="443"/>
      <c r="Q153" s="443"/>
      <c r="R153" s="434">
        <f t="shared" si="17"/>
        <v>0</v>
      </c>
    </row>
    <row r="154" spans="1:18" s="6" customFormat="1" ht="36" hidden="1" customHeight="1">
      <c r="A154" s="134">
        <v>9142</v>
      </c>
      <c r="B154" s="172" t="s">
        <v>191</v>
      </c>
      <c r="C154" s="204"/>
      <c r="D154" s="204">
        <v>0</v>
      </c>
      <c r="E154" s="443"/>
      <c r="F154" s="443"/>
      <c r="G154" s="443"/>
      <c r="H154" s="434">
        <f t="shared" si="15"/>
        <v>0</v>
      </c>
      <c r="I154" s="443">
        <v>0</v>
      </c>
      <c r="J154" s="443"/>
      <c r="K154" s="443"/>
      <c r="L154" s="443"/>
      <c r="M154" s="434">
        <f t="shared" si="16"/>
        <v>0</v>
      </c>
      <c r="N154" s="443">
        <v>0</v>
      </c>
      <c r="O154" s="443"/>
      <c r="P154" s="443"/>
      <c r="Q154" s="443"/>
      <c r="R154" s="434">
        <f t="shared" si="17"/>
        <v>0</v>
      </c>
    </row>
    <row r="155" spans="1:18" s="6" customFormat="1" ht="24" hidden="1" customHeight="1">
      <c r="A155" s="134">
        <v>9149</v>
      </c>
      <c r="B155" s="172" t="s">
        <v>192</v>
      </c>
      <c r="C155" s="204"/>
      <c r="D155" s="204">
        <v>0</v>
      </c>
      <c r="E155" s="443"/>
      <c r="F155" s="443"/>
      <c r="G155" s="443"/>
      <c r="H155" s="434">
        <f t="shared" si="15"/>
        <v>0</v>
      </c>
      <c r="I155" s="443">
        <v>0</v>
      </c>
      <c r="J155" s="443"/>
      <c r="K155" s="443"/>
      <c r="L155" s="443"/>
      <c r="M155" s="434">
        <f t="shared" si="16"/>
        <v>0</v>
      </c>
      <c r="N155" s="443">
        <v>0</v>
      </c>
      <c r="O155" s="443"/>
      <c r="P155" s="443"/>
      <c r="Q155" s="443"/>
      <c r="R155" s="434">
        <f t="shared" si="17"/>
        <v>0</v>
      </c>
    </row>
    <row r="156" spans="1:18" s="6" customFormat="1" ht="24" hidden="1" customHeight="1">
      <c r="A156" s="141">
        <v>9500</v>
      </c>
      <c r="B156" s="172" t="s">
        <v>165</v>
      </c>
      <c r="C156" s="170">
        <v>0</v>
      </c>
      <c r="D156" s="170">
        <v>0</v>
      </c>
      <c r="E156" s="404">
        <f>SUM(E157:E159)</f>
        <v>0</v>
      </c>
      <c r="F156" s="404">
        <f>SUM(F157:F159)</f>
        <v>0</v>
      </c>
      <c r="G156" s="404">
        <f>SUM(G157:G159)</f>
        <v>0</v>
      </c>
      <c r="H156" s="434">
        <f t="shared" si="15"/>
        <v>0</v>
      </c>
      <c r="I156" s="404">
        <v>0</v>
      </c>
      <c r="J156" s="404">
        <f>SUM(J157:J159)</f>
        <v>0</v>
      </c>
      <c r="K156" s="404">
        <f>SUM(K157:K159)</f>
        <v>0</v>
      </c>
      <c r="L156" s="404">
        <f>SUM(L157:L159)</f>
        <v>0</v>
      </c>
      <c r="M156" s="434">
        <f t="shared" si="16"/>
        <v>0</v>
      </c>
      <c r="N156" s="404">
        <v>0</v>
      </c>
      <c r="O156" s="404">
        <f>SUM(O157:O159)</f>
        <v>0</v>
      </c>
      <c r="P156" s="404">
        <f>SUM(P157:P159)</f>
        <v>0</v>
      </c>
      <c r="Q156" s="404">
        <f>SUM(Q157:Q159)</f>
        <v>0</v>
      </c>
      <c r="R156" s="434">
        <f t="shared" si="17"/>
        <v>0</v>
      </c>
    </row>
    <row r="157" spans="1:18" s="6" customFormat="1" ht="24" hidden="1" customHeight="1">
      <c r="A157" s="133" t="s">
        <v>193</v>
      </c>
      <c r="B157" s="172" t="s">
        <v>171</v>
      </c>
      <c r="C157" s="170"/>
      <c r="D157" s="170">
        <v>0</v>
      </c>
      <c r="E157" s="404"/>
      <c r="F157" s="404"/>
      <c r="G157" s="404"/>
      <c r="H157" s="434">
        <f t="shared" si="15"/>
        <v>0</v>
      </c>
      <c r="I157" s="404">
        <v>0</v>
      </c>
      <c r="J157" s="404"/>
      <c r="K157" s="404"/>
      <c r="L157" s="404"/>
      <c r="M157" s="434">
        <f t="shared" si="16"/>
        <v>0</v>
      </c>
      <c r="N157" s="404">
        <v>0</v>
      </c>
      <c r="O157" s="404"/>
      <c r="P157" s="404"/>
      <c r="Q157" s="404"/>
      <c r="R157" s="434">
        <f t="shared" si="17"/>
        <v>0</v>
      </c>
    </row>
    <row r="158" spans="1:18" s="6" customFormat="1" ht="48" hidden="1" customHeight="1">
      <c r="A158" s="133">
        <v>9580</v>
      </c>
      <c r="B158" s="172" t="s">
        <v>166</v>
      </c>
      <c r="C158" s="204"/>
      <c r="D158" s="204">
        <v>0</v>
      </c>
      <c r="E158" s="443"/>
      <c r="F158" s="443"/>
      <c r="G158" s="443"/>
      <c r="H158" s="434">
        <f t="shared" si="15"/>
        <v>0</v>
      </c>
      <c r="I158" s="443">
        <v>0</v>
      </c>
      <c r="J158" s="443"/>
      <c r="K158" s="443"/>
      <c r="L158" s="443"/>
      <c r="M158" s="434">
        <f t="shared" si="16"/>
        <v>0</v>
      </c>
      <c r="N158" s="443">
        <v>0</v>
      </c>
      <c r="O158" s="443"/>
      <c r="P158" s="443"/>
      <c r="Q158" s="443"/>
      <c r="R158" s="434">
        <f t="shared" si="17"/>
        <v>0</v>
      </c>
    </row>
    <row r="159" spans="1:18" s="6" customFormat="1" ht="48" hidden="1" customHeight="1">
      <c r="A159" s="133">
        <v>9590</v>
      </c>
      <c r="B159" s="179" t="s">
        <v>172</v>
      </c>
      <c r="C159" s="204"/>
      <c r="D159" s="204">
        <v>0</v>
      </c>
      <c r="E159" s="443"/>
      <c r="F159" s="443"/>
      <c r="G159" s="443"/>
      <c r="H159" s="434">
        <f t="shared" si="15"/>
        <v>0</v>
      </c>
      <c r="I159" s="443">
        <v>0</v>
      </c>
      <c r="J159" s="443"/>
      <c r="K159" s="443"/>
      <c r="L159" s="443"/>
      <c r="M159" s="434">
        <f t="shared" si="16"/>
        <v>0</v>
      </c>
      <c r="N159" s="443">
        <v>0</v>
      </c>
      <c r="O159" s="443"/>
      <c r="P159" s="443"/>
      <c r="Q159" s="443"/>
      <c r="R159" s="434">
        <f t="shared" si="17"/>
        <v>0</v>
      </c>
    </row>
    <row r="160" spans="1:18" s="6" customFormat="1" ht="24" hidden="1" customHeight="1">
      <c r="A160" s="141">
        <v>9700</v>
      </c>
      <c r="B160" s="183" t="s">
        <v>194</v>
      </c>
      <c r="C160" s="170">
        <v>0</v>
      </c>
      <c r="D160" s="170">
        <v>0</v>
      </c>
      <c r="E160" s="404">
        <f>SUM(E161:E162)</f>
        <v>0</v>
      </c>
      <c r="F160" s="404">
        <f>SUM(F161:F162)</f>
        <v>0</v>
      </c>
      <c r="G160" s="404">
        <f>SUM(G161:G162)</f>
        <v>0</v>
      </c>
      <c r="H160" s="434">
        <f t="shared" si="15"/>
        <v>0</v>
      </c>
      <c r="I160" s="404">
        <v>0</v>
      </c>
      <c r="J160" s="404">
        <f>SUM(J161:J162)</f>
        <v>0</v>
      </c>
      <c r="K160" s="404">
        <f>SUM(K161:K162)</f>
        <v>0</v>
      </c>
      <c r="L160" s="404">
        <f>SUM(L161:L162)</f>
        <v>0</v>
      </c>
      <c r="M160" s="434">
        <f t="shared" si="16"/>
        <v>0</v>
      </c>
      <c r="N160" s="404">
        <v>0</v>
      </c>
      <c r="O160" s="404">
        <f>SUM(O161:O162)</f>
        <v>0</v>
      </c>
      <c r="P160" s="404">
        <f>SUM(P161:P162)</f>
        <v>0</v>
      </c>
      <c r="Q160" s="404">
        <f>SUM(Q161:Q162)</f>
        <v>0</v>
      </c>
      <c r="R160" s="434">
        <f t="shared" si="17"/>
        <v>0</v>
      </c>
    </row>
    <row r="161" spans="1:18" s="6" customFormat="1" ht="24" hidden="1" customHeight="1">
      <c r="A161" s="133">
        <v>9710</v>
      </c>
      <c r="B161" s="184" t="s">
        <v>195</v>
      </c>
      <c r="C161" s="204"/>
      <c r="D161" s="204">
        <v>0</v>
      </c>
      <c r="E161" s="443"/>
      <c r="F161" s="443"/>
      <c r="G161" s="443"/>
      <c r="H161" s="434">
        <f t="shared" si="15"/>
        <v>0</v>
      </c>
      <c r="I161" s="443">
        <v>0</v>
      </c>
      <c r="J161" s="443"/>
      <c r="K161" s="443"/>
      <c r="L161" s="443"/>
      <c r="M161" s="434">
        <f t="shared" si="16"/>
        <v>0</v>
      </c>
      <c r="N161" s="443">
        <v>0</v>
      </c>
      <c r="O161" s="443"/>
      <c r="P161" s="443"/>
      <c r="Q161" s="443"/>
      <c r="R161" s="434">
        <f t="shared" si="17"/>
        <v>0</v>
      </c>
    </row>
    <row r="162" spans="1:18" s="6" customFormat="1" ht="48" hidden="1" customHeight="1">
      <c r="A162" s="142">
        <v>9720</v>
      </c>
      <c r="B162" s="183" t="s">
        <v>196</v>
      </c>
      <c r="C162" s="204"/>
      <c r="D162" s="204">
        <v>0</v>
      </c>
      <c r="E162" s="443"/>
      <c r="F162" s="443"/>
      <c r="G162" s="443"/>
      <c r="H162" s="434">
        <f t="shared" si="15"/>
        <v>0</v>
      </c>
      <c r="I162" s="443">
        <v>0</v>
      </c>
      <c r="J162" s="443"/>
      <c r="K162" s="443"/>
      <c r="L162" s="443"/>
      <c r="M162" s="434">
        <f t="shared" si="16"/>
        <v>0</v>
      </c>
      <c r="N162" s="443">
        <v>0</v>
      </c>
      <c r="O162" s="443"/>
      <c r="P162" s="443"/>
      <c r="Q162" s="443"/>
      <c r="R162" s="434">
        <f t="shared" si="17"/>
        <v>0</v>
      </c>
    </row>
    <row r="163" spans="1:18" s="6" customFormat="1" ht="24" hidden="1" customHeight="1">
      <c r="A163" s="141">
        <v>9600</v>
      </c>
      <c r="B163" s="179" t="s">
        <v>134</v>
      </c>
      <c r="C163" s="204"/>
      <c r="D163" s="204">
        <v>0</v>
      </c>
      <c r="E163" s="443"/>
      <c r="F163" s="443"/>
      <c r="G163" s="443"/>
      <c r="H163" s="434">
        <f t="shared" si="15"/>
        <v>0</v>
      </c>
      <c r="I163" s="443">
        <v>0</v>
      </c>
      <c r="J163" s="443"/>
      <c r="K163" s="443"/>
      <c r="L163" s="443"/>
      <c r="M163" s="434">
        <f t="shared" si="16"/>
        <v>0</v>
      </c>
      <c r="N163" s="443">
        <v>0</v>
      </c>
      <c r="O163" s="443"/>
      <c r="P163" s="443"/>
      <c r="Q163" s="443"/>
      <c r="R163" s="434">
        <f t="shared" si="17"/>
        <v>0</v>
      </c>
    </row>
    <row r="164" spans="1:18" s="6" customFormat="1" ht="52.5" hidden="1" customHeight="1">
      <c r="A164" s="130" t="s">
        <v>197</v>
      </c>
      <c r="B164" s="185" t="s">
        <v>47</v>
      </c>
      <c r="C164" s="206">
        <v>0</v>
      </c>
      <c r="D164" s="206">
        <v>0</v>
      </c>
      <c r="E164" s="450">
        <f>E94-E119</f>
        <v>0</v>
      </c>
      <c r="F164" s="450">
        <f>F94-F119</f>
        <v>0</v>
      </c>
      <c r="G164" s="450">
        <f>G94-G119</f>
        <v>0</v>
      </c>
      <c r="H164" s="434">
        <f t="shared" si="15"/>
        <v>0</v>
      </c>
      <c r="I164" s="450">
        <v>0</v>
      </c>
      <c r="J164" s="450">
        <f>J94-J119</f>
        <v>0</v>
      </c>
      <c r="K164" s="450">
        <f>K94-K119</f>
        <v>0</v>
      </c>
      <c r="L164" s="450">
        <f>L94-L119</f>
        <v>0</v>
      </c>
      <c r="M164" s="434">
        <f t="shared" si="16"/>
        <v>0</v>
      </c>
      <c r="N164" s="450">
        <v>0</v>
      </c>
      <c r="O164" s="450">
        <f>O94-O119</f>
        <v>0</v>
      </c>
      <c r="P164" s="450">
        <f>P94-P119</f>
        <v>0</v>
      </c>
      <c r="Q164" s="450">
        <f>Q94-Q119</f>
        <v>0</v>
      </c>
      <c r="R164" s="434">
        <f t="shared" si="17"/>
        <v>0</v>
      </c>
    </row>
    <row r="165" spans="1:18" s="6" customFormat="1" ht="12" hidden="1" customHeight="1">
      <c r="A165" s="143" t="s">
        <v>48</v>
      </c>
      <c r="B165" s="185" t="s">
        <v>49</v>
      </c>
      <c r="C165" s="206">
        <v>0</v>
      </c>
      <c r="D165" s="206">
        <v>0</v>
      </c>
      <c r="E165" s="450">
        <f>E166+E169+E173+E172</f>
        <v>0</v>
      </c>
      <c r="F165" s="450">
        <f>F166+F169+F173+F172</f>
        <v>0</v>
      </c>
      <c r="G165" s="450">
        <f>G166+G169+G173+G172</f>
        <v>0</v>
      </c>
      <c r="H165" s="434">
        <f t="shared" si="15"/>
        <v>0</v>
      </c>
      <c r="I165" s="450">
        <v>0</v>
      </c>
      <c r="J165" s="450">
        <f>J166+J169+J173+J172</f>
        <v>0</v>
      </c>
      <c r="K165" s="450">
        <f>K166+K169+K173+K172</f>
        <v>0</v>
      </c>
      <c r="L165" s="450">
        <f>L166+L169+L173+L172</f>
        <v>0</v>
      </c>
      <c r="M165" s="434">
        <f t="shared" si="16"/>
        <v>0</v>
      </c>
      <c r="N165" s="450">
        <v>0</v>
      </c>
      <c r="O165" s="450">
        <f>O166+O169+O173+O172</f>
        <v>0</v>
      </c>
      <c r="P165" s="450">
        <f>P166+P169+P173+P172</f>
        <v>0</v>
      </c>
      <c r="Q165" s="450">
        <f>Q166+Q169+Q173+Q172</f>
        <v>0</v>
      </c>
      <c r="R165" s="434">
        <f t="shared" si="17"/>
        <v>0</v>
      </c>
    </row>
    <row r="166" spans="1:18" s="6" customFormat="1" ht="12" hidden="1" customHeight="1">
      <c r="A166" s="141" t="s">
        <v>50</v>
      </c>
      <c r="B166" s="179" t="s">
        <v>51</v>
      </c>
      <c r="C166" s="98">
        <v>0</v>
      </c>
      <c r="D166" s="98">
        <v>0</v>
      </c>
      <c r="E166" s="433">
        <f>E167+E168</f>
        <v>0</v>
      </c>
      <c r="F166" s="433">
        <f>F167+F168</f>
        <v>0</v>
      </c>
      <c r="G166" s="433">
        <f>G167+G168</f>
        <v>0</v>
      </c>
      <c r="H166" s="434">
        <f t="shared" si="15"/>
        <v>0</v>
      </c>
      <c r="I166" s="433">
        <v>0</v>
      </c>
      <c r="J166" s="433">
        <f>J167+J168</f>
        <v>0</v>
      </c>
      <c r="K166" s="433">
        <f>K167+K168</f>
        <v>0</v>
      </c>
      <c r="L166" s="433">
        <f>L167+L168</f>
        <v>0</v>
      </c>
      <c r="M166" s="434">
        <f t="shared" si="16"/>
        <v>0</v>
      </c>
      <c r="N166" s="433">
        <v>0</v>
      </c>
      <c r="O166" s="433">
        <f>O167+O168</f>
        <v>0</v>
      </c>
      <c r="P166" s="433">
        <f>P167+P168</f>
        <v>0</v>
      </c>
      <c r="Q166" s="433">
        <f>Q167+Q168</f>
        <v>0</v>
      </c>
      <c r="R166" s="434">
        <f t="shared" si="17"/>
        <v>0</v>
      </c>
    </row>
    <row r="167" spans="1:18" s="6" customFormat="1" ht="12" hidden="1" customHeight="1">
      <c r="A167" s="141" t="s">
        <v>52</v>
      </c>
      <c r="B167" s="179" t="s">
        <v>53</v>
      </c>
      <c r="C167" s="98"/>
      <c r="D167" s="98">
        <v>0</v>
      </c>
      <c r="E167" s="433"/>
      <c r="F167" s="433"/>
      <c r="G167" s="433"/>
      <c r="H167" s="434">
        <f t="shared" si="15"/>
        <v>0</v>
      </c>
      <c r="I167" s="433">
        <v>0</v>
      </c>
      <c r="J167" s="433"/>
      <c r="K167" s="433"/>
      <c r="L167" s="433"/>
      <c r="M167" s="434">
        <f t="shared" si="16"/>
        <v>0</v>
      </c>
      <c r="N167" s="433">
        <v>0</v>
      </c>
      <c r="O167" s="433"/>
      <c r="P167" s="433"/>
      <c r="Q167" s="433"/>
      <c r="R167" s="434">
        <f t="shared" si="17"/>
        <v>0</v>
      </c>
    </row>
    <row r="168" spans="1:18" s="6" customFormat="1" ht="12" hidden="1" customHeight="1">
      <c r="A168" s="141" t="s">
        <v>54</v>
      </c>
      <c r="B168" s="179" t="s">
        <v>55</v>
      </c>
      <c r="C168" s="98"/>
      <c r="D168" s="98">
        <v>0</v>
      </c>
      <c r="E168" s="433"/>
      <c r="F168" s="433"/>
      <c r="G168" s="433"/>
      <c r="H168" s="434">
        <f t="shared" si="15"/>
        <v>0</v>
      </c>
      <c r="I168" s="433">
        <v>0</v>
      </c>
      <c r="J168" s="433"/>
      <c r="K168" s="433"/>
      <c r="L168" s="433"/>
      <c r="M168" s="434">
        <f t="shared" si="16"/>
        <v>0</v>
      </c>
      <c r="N168" s="433">
        <v>0</v>
      </c>
      <c r="O168" s="433"/>
      <c r="P168" s="433"/>
      <c r="Q168" s="433"/>
      <c r="R168" s="434">
        <f t="shared" si="17"/>
        <v>0</v>
      </c>
    </row>
    <row r="169" spans="1:18" s="6" customFormat="1" ht="12" hidden="1" customHeight="1">
      <c r="A169" s="141" t="s">
        <v>56</v>
      </c>
      <c r="B169" s="179" t="s">
        <v>57</v>
      </c>
      <c r="C169" s="98">
        <v>0</v>
      </c>
      <c r="D169" s="98">
        <v>0</v>
      </c>
      <c r="E169" s="433">
        <f>E170+E171</f>
        <v>0</v>
      </c>
      <c r="F169" s="433">
        <f>F170+F171</f>
        <v>0</v>
      </c>
      <c r="G169" s="433">
        <f>G170+G171</f>
        <v>0</v>
      </c>
      <c r="H169" s="434">
        <f t="shared" si="15"/>
        <v>0</v>
      </c>
      <c r="I169" s="433">
        <v>0</v>
      </c>
      <c r="J169" s="433">
        <f>J170+J171</f>
        <v>0</v>
      </c>
      <c r="K169" s="433">
        <f>K170+K171</f>
        <v>0</v>
      </c>
      <c r="L169" s="433">
        <f>L170+L171</f>
        <v>0</v>
      </c>
      <c r="M169" s="434">
        <f t="shared" si="16"/>
        <v>0</v>
      </c>
      <c r="N169" s="433">
        <v>0</v>
      </c>
      <c r="O169" s="433">
        <f>O170+O171</f>
        <v>0</v>
      </c>
      <c r="P169" s="433">
        <f>P170+P171</f>
        <v>0</v>
      </c>
      <c r="Q169" s="433">
        <f>Q170+Q171</f>
        <v>0</v>
      </c>
      <c r="R169" s="434">
        <f t="shared" si="17"/>
        <v>0</v>
      </c>
    </row>
    <row r="170" spans="1:18" s="6" customFormat="1" ht="12" hidden="1" customHeight="1">
      <c r="A170" s="141" t="s">
        <v>58</v>
      </c>
      <c r="B170" s="179" t="s">
        <v>59</v>
      </c>
      <c r="C170" s="98"/>
      <c r="D170" s="98">
        <v>0</v>
      </c>
      <c r="E170" s="433"/>
      <c r="F170" s="433"/>
      <c r="G170" s="433"/>
      <c r="H170" s="434">
        <f t="shared" si="15"/>
        <v>0</v>
      </c>
      <c r="I170" s="433">
        <v>0</v>
      </c>
      <c r="J170" s="433"/>
      <c r="K170" s="433"/>
      <c r="L170" s="433"/>
      <c r="M170" s="434">
        <f t="shared" si="16"/>
        <v>0</v>
      </c>
      <c r="N170" s="433">
        <v>0</v>
      </c>
      <c r="O170" s="433"/>
      <c r="P170" s="433"/>
      <c r="Q170" s="433"/>
      <c r="R170" s="434">
        <f t="shared" si="17"/>
        <v>0</v>
      </c>
    </row>
    <row r="171" spans="1:18" s="6" customFormat="1" ht="12" hidden="1" customHeight="1">
      <c r="A171" s="141" t="s">
        <v>60</v>
      </c>
      <c r="B171" s="179" t="s">
        <v>61</v>
      </c>
      <c r="C171" s="98"/>
      <c r="D171" s="98">
        <v>0</v>
      </c>
      <c r="E171" s="433"/>
      <c r="F171" s="433"/>
      <c r="G171" s="433"/>
      <c r="H171" s="434">
        <f t="shared" si="15"/>
        <v>0</v>
      </c>
      <c r="I171" s="433">
        <v>0</v>
      </c>
      <c r="J171" s="433"/>
      <c r="K171" s="433"/>
      <c r="L171" s="433"/>
      <c r="M171" s="434">
        <f t="shared" si="16"/>
        <v>0</v>
      </c>
      <c r="N171" s="433">
        <v>0</v>
      </c>
      <c r="O171" s="433"/>
      <c r="P171" s="433"/>
      <c r="Q171" s="433"/>
      <c r="R171" s="434">
        <f t="shared" si="17"/>
        <v>0</v>
      </c>
    </row>
    <row r="172" spans="1:18" s="6" customFormat="1" ht="12" hidden="1" customHeight="1">
      <c r="A172" s="141" t="s">
        <v>198</v>
      </c>
      <c r="B172" s="187" t="s">
        <v>168</v>
      </c>
      <c r="C172" s="98"/>
      <c r="D172" s="98">
        <v>0</v>
      </c>
      <c r="E172" s="433"/>
      <c r="F172" s="433"/>
      <c r="G172" s="433"/>
      <c r="H172" s="434">
        <f t="shared" si="15"/>
        <v>0</v>
      </c>
      <c r="I172" s="433">
        <v>0</v>
      </c>
      <c r="J172" s="433"/>
      <c r="K172" s="433"/>
      <c r="L172" s="433"/>
      <c r="M172" s="434">
        <f t="shared" si="16"/>
        <v>0</v>
      </c>
      <c r="N172" s="433">
        <v>0</v>
      </c>
      <c r="O172" s="433"/>
      <c r="P172" s="433"/>
      <c r="Q172" s="433"/>
      <c r="R172" s="434">
        <f t="shared" si="17"/>
        <v>0</v>
      </c>
    </row>
    <row r="173" spans="1:18" s="6" customFormat="1" ht="12" hidden="1" customHeight="1">
      <c r="A173" s="144" t="s">
        <v>62</v>
      </c>
      <c r="B173" s="125" t="s">
        <v>63</v>
      </c>
      <c r="C173" s="170">
        <v>0</v>
      </c>
      <c r="D173" s="170">
        <v>0</v>
      </c>
      <c r="E173" s="404">
        <f>E174+E175+E176</f>
        <v>0</v>
      </c>
      <c r="F173" s="404">
        <f>F174+F175+F176</f>
        <v>0</v>
      </c>
      <c r="G173" s="404">
        <f>G174+G175+G176</f>
        <v>0</v>
      </c>
      <c r="H173" s="434">
        <f t="shared" si="15"/>
        <v>0</v>
      </c>
      <c r="I173" s="404">
        <v>0</v>
      </c>
      <c r="J173" s="404">
        <f>J174+J175+J176</f>
        <v>0</v>
      </c>
      <c r="K173" s="404">
        <f>K174+K175+K176</f>
        <v>0</v>
      </c>
      <c r="L173" s="404">
        <f>L174+L175+L176</f>
        <v>0</v>
      </c>
      <c r="M173" s="434">
        <f t="shared" si="16"/>
        <v>0</v>
      </c>
      <c r="N173" s="404">
        <v>0</v>
      </c>
      <c r="O173" s="404">
        <f>O174+O175+O176</f>
        <v>0</v>
      </c>
      <c r="P173" s="404">
        <f>P174+P175+P176</f>
        <v>0</v>
      </c>
      <c r="Q173" s="404">
        <f>Q174+Q175+Q176</f>
        <v>0</v>
      </c>
      <c r="R173" s="434">
        <f t="shared" si="17"/>
        <v>0</v>
      </c>
    </row>
    <row r="174" spans="1:18" s="6" customFormat="1" ht="36" hidden="1" customHeight="1">
      <c r="A174" s="144" t="s">
        <v>64</v>
      </c>
      <c r="B174" s="179" t="s">
        <v>65</v>
      </c>
      <c r="C174" s="98"/>
      <c r="D174" s="98">
        <v>0</v>
      </c>
      <c r="E174" s="433"/>
      <c r="F174" s="433"/>
      <c r="G174" s="433"/>
      <c r="H174" s="434">
        <f t="shared" si="15"/>
        <v>0</v>
      </c>
      <c r="I174" s="433">
        <v>0</v>
      </c>
      <c r="J174" s="433"/>
      <c r="K174" s="433"/>
      <c r="L174" s="433"/>
      <c r="M174" s="434">
        <f t="shared" si="16"/>
        <v>0</v>
      </c>
      <c r="N174" s="433">
        <v>0</v>
      </c>
      <c r="O174" s="433"/>
      <c r="P174" s="433"/>
      <c r="Q174" s="433"/>
      <c r="R174" s="434">
        <f t="shared" si="17"/>
        <v>0</v>
      </c>
    </row>
    <row r="175" spans="1:18" s="6" customFormat="1" ht="24" hidden="1" customHeight="1">
      <c r="A175" s="144" t="s">
        <v>66</v>
      </c>
      <c r="B175" s="179" t="s">
        <v>67</v>
      </c>
      <c r="C175" s="98"/>
      <c r="D175" s="98">
        <v>0</v>
      </c>
      <c r="E175" s="433"/>
      <c r="F175" s="433"/>
      <c r="G175" s="433"/>
      <c r="H175" s="434">
        <f t="shared" si="15"/>
        <v>0</v>
      </c>
      <c r="I175" s="433">
        <v>0</v>
      </c>
      <c r="J175" s="433"/>
      <c r="K175" s="433"/>
      <c r="L175" s="433"/>
      <c r="M175" s="434">
        <f t="shared" si="16"/>
        <v>0</v>
      </c>
      <c r="N175" s="433">
        <v>0</v>
      </c>
      <c r="O175" s="433"/>
      <c r="P175" s="433"/>
      <c r="Q175" s="433"/>
      <c r="R175" s="434">
        <f t="shared" si="17"/>
        <v>0</v>
      </c>
    </row>
    <row r="176" spans="1:18" s="6" customFormat="1" ht="24" hidden="1" customHeight="1">
      <c r="A176" s="144" t="s">
        <v>68</v>
      </c>
      <c r="B176" s="125" t="s">
        <v>69</v>
      </c>
      <c r="C176" s="98"/>
      <c r="D176" s="98">
        <v>0</v>
      </c>
      <c r="E176" s="433"/>
      <c r="F176" s="433"/>
      <c r="G176" s="433"/>
      <c r="H176" s="434">
        <f t="shared" si="15"/>
        <v>0</v>
      </c>
      <c r="I176" s="433">
        <v>0</v>
      </c>
      <c r="J176" s="433"/>
      <c r="K176" s="433"/>
      <c r="L176" s="433"/>
      <c r="M176" s="434">
        <f t="shared" si="16"/>
        <v>0</v>
      </c>
      <c r="N176" s="433">
        <v>0</v>
      </c>
      <c r="O176" s="433"/>
      <c r="P176" s="433"/>
      <c r="Q176" s="433"/>
      <c r="R176" s="434">
        <f t="shared" si="17"/>
        <v>0</v>
      </c>
    </row>
    <row r="177" spans="1:18" s="6" customFormat="1" ht="34.200000000000003">
      <c r="A177" s="145"/>
      <c r="B177" s="188" t="s">
        <v>200</v>
      </c>
      <c r="C177" s="207"/>
      <c r="D177" s="190">
        <v>0</v>
      </c>
      <c r="E177" s="452"/>
      <c r="F177" s="452"/>
      <c r="G177" s="452"/>
      <c r="H177" s="575">
        <f t="shared" si="15"/>
        <v>0</v>
      </c>
      <c r="I177" s="576">
        <v>0</v>
      </c>
      <c r="J177" s="452"/>
      <c r="K177" s="452"/>
      <c r="L177" s="452"/>
      <c r="M177" s="575">
        <f t="shared" si="16"/>
        <v>0</v>
      </c>
      <c r="N177" s="576">
        <v>0</v>
      </c>
      <c r="O177" s="452"/>
      <c r="P177" s="452"/>
      <c r="Q177" s="452"/>
      <c r="R177" s="575">
        <f t="shared" si="17"/>
        <v>0</v>
      </c>
    </row>
    <row r="178" spans="1:18" s="6" customFormat="1" ht="20.399999999999999">
      <c r="A178" s="129" t="s">
        <v>201</v>
      </c>
      <c r="B178" s="123" t="s">
        <v>88</v>
      </c>
      <c r="C178" s="200">
        <v>38084467</v>
      </c>
      <c r="D178" s="200">
        <v>43835784</v>
      </c>
      <c r="E178" s="432">
        <f>E179+E180+E182+E200</f>
        <v>20740423</v>
      </c>
      <c r="F178" s="432">
        <f>F179+F180+F182+F200</f>
        <v>0</v>
      </c>
      <c r="G178" s="432">
        <f>G179+G180+G182+G200</f>
        <v>0</v>
      </c>
      <c r="H178" s="270">
        <f t="shared" si="15"/>
        <v>64576207</v>
      </c>
      <c r="I178" s="432">
        <v>3630223</v>
      </c>
      <c r="J178" s="432">
        <f>J179+J180+J182+J200</f>
        <v>21090470</v>
      </c>
      <c r="K178" s="432">
        <f>K179+K180+K182+K200</f>
        <v>0</v>
      </c>
      <c r="L178" s="432">
        <f>L179+L180+L182+L200</f>
        <v>0</v>
      </c>
      <c r="M178" s="270">
        <f t="shared" si="16"/>
        <v>24720693</v>
      </c>
      <c r="N178" s="432">
        <v>0</v>
      </c>
      <c r="O178" s="432">
        <f>O179+O180+O182+O200</f>
        <v>6237240</v>
      </c>
      <c r="P178" s="432">
        <f>P179+P180+P182+P200</f>
        <v>0</v>
      </c>
      <c r="Q178" s="432">
        <f>Q179+Q180+Q182+Q200</f>
        <v>0</v>
      </c>
      <c r="R178" s="270">
        <f t="shared" si="17"/>
        <v>6237240</v>
      </c>
    </row>
    <row r="179" spans="1:18" s="6" customFormat="1" ht="24" hidden="1" customHeight="1">
      <c r="A179" s="130" t="s">
        <v>177</v>
      </c>
      <c r="B179" s="124" t="s">
        <v>90</v>
      </c>
      <c r="C179" s="98"/>
      <c r="D179" s="98">
        <v>0</v>
      </c>
      <c r="E179" s="433"/>
      <c r="F179" s="433"/>
      <c r="G179" s="433"/>
      <c r="H179" s="434">
        <f t="shared" si="15"/>
        <v>0</v>
      </c>
      <c r="I179" s="433">
        <v>0</v>
      </c>
      <c r="J179" s="433"/>
      <c r="K179" s="433"/>
      <c r="L179" s="433"/>
      <c r="M179" s="434">
        <f t="shared" si="16"/>
        <v>0</v>
      </c>
      <c r="N179" s="433">
        <v>0</v>
      </c>
      <c r="O179" s="433"/>
      <c r="P179" s="433"/>
      <c r="Q179" s="433"/>
      <c r="R179" s="434">
        <f t="shared" si="17"/>
        <v>0</v>
      </c>
    </row>
    <row r="180" spans="1:18" s="6" customFormat="1" ht="12">
      <c r="A180" s="130" t="s">
        <v>91</v>
      </c>
      <c r="B180" s="124" t="s">
        <v>92</v>
      </c>
      <c r="C180" s="98">
        <v>13899</v>
      </c>
      <c r="D180" s="98">
        <v>0</v>
      </c>
      <c r="E180" s="433"/>
      <c r="F180" s="433"/>
      <c r="G180" s="433"/>
      <c r="H180" s="434">
        <f t="shared" si="15"/>
        <v>0</v>
      </c>
      <c r="I180" s="433">
        <v>0</v>
      </c>
      <c r="J180" s="433"/>
      <c r="K180" s="433"/>
      <c r="L180" s="433"/>
      <c r="M180" s="434">
        <f t="shared" si="16"/>
        <v>0</v>
      </c>
      <c r="N180" s="433">
        <v>0</v>
      </c>
      <c r="O180" s="433"/>
      <c r="P180" s="433"/>
      <c r="Q180" s="433"/>
      <c r="R180" s="434">
        <f t="shared" si="17"/>
        <v>0</v>
      </c>
    </row>
    <row r="181" spans="1:18" s="29" customFormat="1" ht="24" hidden="1" customHeight="1">
      <c r="A181" s="131">
        <v>21210</v>
      </c>
      <c r="B181" s="125" t="s">
        <v>93</v>
      </c>
      <c r="C181" s="98"/>
      <c r="D181" s="98">
        <v>0</v>
      </c>
      <c r="E181" s="433"/>
      <c r="F181" s="433"/>
      <c r="G181" s="433"/>
      <c r="H181" s="434">
        <f t="shared" si="15"/>
        <v>0</v>
      </c>
      <c r="I181" s="433">
        <v>0</v>
      </c>
      <c r="J181" s="433"/>
      <c r="K181" s="433"/>
      <c r="L181" s="433"/>
      <c r="M181" s="434">
        <f t="shared" si="16"/>
        <v>0</v>
      </c>
      <c r="N181" s="433">
        <v>0</v>
      </c>
      <c r="O181" s="433"/>
      <c r="P181" s="433"/>
      <c r="Q181" s="433"/>
      <c r="R181" s="434">
        <f t="shared" si="17"/>
        <v>0</v>
      </c>
    </row>
    <row r="182" spans="1:18" s="89" customFormat="1" ht="20.399999999999999">
      <c r="A182" s="130" t="s">
        <v>178</v>
      </c>
      <c r="B182" s="124" t="s">
        <v>94</v>
      </c>
      <c r="C182" s="170">
        <v>23192</v>
      </c>
      <c r="D182" s="170">
        <v>15011</v>
      </c>
      <c r="E182" s="404">
        <f>E183+E189</f>
        <v>-73</v>
      </c>
      <c r="F182" s="404">
        <f>F183+F189</f>
        <v>0</v>
      </c>
      <c r="G182" s="404">
        <f>G183+G189</f>
        <v>0</v>
      </c>
      <c r="H182" s="434">
        <f t="shared" si="15"/>
        <v>14938</v>
      </c>
      <c r="I182" s="404">
        <v>0</v>
      </c>
      <c r="J182" s="404">
        <f>J183+J189</f>
        <v>0</v>
      </c>
      <c r="K182" s="404">
        <f>K183+K189</f>
        <v>0</v>
      </c>
      <c r="L182" s="404">
        <f>L183+L189</f>
        <v>0</v>
      </c>
      <c r="M182" s="434">
        <f t="shared" si="16"/>
        <v>0</v>
      </c>
      <c r="N182" s="404">
        <v>0</v>
      </c>
      <c r="O182" s="404">
        <f>O183+O189</f>
        <v>0</v>
      </c>
      <c r="P182" s="404">
        <f>P183+P189</f>
        <v>0</v>
      </c>
      <c r="Q182" s="404">
        <f>Q183+Q189</f>
        <v>0</v>
      </c>
      <c r="R182" s="434">
        <f t="shared" si="17"/>
        <v>0</v>
      </c>
    </row>
    <row r="183" spans="1:18" s="89" customFormat="1" ht="12">
      <c r="A183" s="132">
        <v>18000</v>
      </c>
      <c r="B183" s="125" t="s">
        <v>95</v>
      </c>
      <c r="C183" s="170">
        <v>23192</v>
      </c>
      <c r="D183" s="170">
        <v>15011</v>
      </c>
      <c r="E183" s="404">
        <f t="shared" ref="E183:G184" si="18">E184</f>
        <v>-73</v>
      </c>
      <c r="F183" s="404">
        <f t="shared" si="18"/>
        <v>0</v>
      </c>
      <c r="G183" s="404">
        <f t="shared" si="18"/>
        <v>0</v>
      </c>
      <c r="H183" s="434">
        <f t="shared" si="15"/>
        <v>14938</v>
      </c>
      <c r="I183" s="404">
        <v>0</v>
      </c>
      <c r="J183" s="404">
        <f t="shared" ref="J183:L184" si="19">J184</f>
        <v>0</v>
      </c>
      <c r="K183" s="404">
        <f t="shared" si="19"/>
        <v>0</v>
      </c>
      <c r="L183" s="404">
        <f t="shared" si="19"/>
        <v>0</v>
      </c>
      <c r="M183" s="434">
        <f t="shared" si="16"/>
        <v>0</v>
      </c>
      <c r="N183" s="404">
        <v>0</v>
      </c>
      <c r="O183" s="404">
        <f t="shared" ref="O183:Q184" si="20">O184</f>
        <v>0</v>
      </c>
      <c r="P183" s="404">
        <f t="shared" si="20"/>
        <v>0</v>
      </c>
      <c r="Q183" s="404">
        <f t="shared" si="20"/>
        <v>0</v>
      </c>
      <c r="R183" s="434">
        <f t="shared" si="17"/>
        <v>0</v>
      </c>
    </row>
    <row r="184" spans="1:18" s="89" customFormat="1" ht="12">
      <c r="A184" s="132">
        <v>18100</v>
      </c>
      <c r="B184" s="125" t="s">
        <v>96</v>
      </c>
      <c r="C184" s="170">
        <v>23192</v>
      </c>
      <c r="D184" s="170">
        <v>15011</v>
      </c>
      <c r="E184" s="404">
        <f t="shared" si="18"/>
        <v>-73</v>
      </c>
      <c r="F184" s="404">
        <f t="shared" si="18"/>
        <v>0</v>
      </c>
      <c r="G184" s="404">
        <f t="shared" si="18"/>
        <v>0</v>
      </c>
      <c r="H184" s="434">
        <f t="shared" si="15"/>
        <v>14938</v>
      </c>
      <c r="I184" s="404">
        <v>0</v>
      </c>
      <c r="J184" s="404">
        <f t="shared" si="19"/>
        <v>0</v>
      </c>
      <c r="K184" s="404">
        <f t="shared" si="19"/>
        <v>0</v>
      </c>
      <c r="L184" s="404">
        <f t="shared" si="19"/>
        <v>0</v>
      </c>
      <c r="M184" s="434">
        <f t="shared" si="16"/>
        <v>0</v>
      </c>
      <c r="N184" s="404">
        <v>0</v>
      </c>
      <c r="O184" s="404">
        <f t="shared" si="20"/>
        <v>0</v>
      </c>
      <c r="P184" s="404">
        <f t="shared" si="20"/>
        <v>0</v>
      </c>
      <c r="Q184" s="404">
        <f t="shared" si="20"/>
        <v>0</v>
      </c>
      <c r="R184" s="434">
        <f t="shared" si="17"/>
        <v>0</v>
      </c>
    </row>
    <row r="185" spans="1:18" s="89" customFormat="1" ht="24">
      <c r="A185" s="133">
        <v>18130</v>
      </c>
      <c r="B185" s="172" t="s">
        <v>159</v>
      </c>
      <c r="C185" s="170">
        <v>23192</v>
      </c>
      <c r="D185" s="170">
        <v>15011</v>
      </c>
      <c r="E185" s="404">
        <f>SUM(E186:E188)</f>
        <v>-73</v>
      </c>
      <c r="F185" s="404">
        <f>SUM(F186:F188)</f>
        <v>0</v>
      </c>
      <c r="G185" s="404">
        <f>SUM(G186:G188)</f>
        <v>0</v>
      </c>
      <c r="H185" s="434">
        <f t="shared" si="15"/>
        <v>14938</v>
      </c>
      <c r="I185" s="404">
        <v>0</v>
      </c>
      <c r="J185" s="404">
        <f>SUM(J186:J188)</f>
        <v>0</v>
      </c>
      <c r="K185" s="404">
        <f>SUM(K186:K188)</f>
        <v>0</v>
      </c>
      <c r="L185" s="404">
        <f>SUM(L186:L188)</f>
        <v>0</v>
      </c>
      <c r="M185" s="434">
        <f t="shared" si="16"/>
        <v>0</v>
      </c>
      <c r="N185" s="404">
        <v>0</v>
      </c>
      <c r="O185" s="404">
        <f>SUM(O186:O188)</f>
        <v>0</v>
      </c>
      <c r="P185" s="404">
        <f>SUM(P186:P188)</f>
        <v>0</v>
      </c>
      <c r="Q185" s="404">
        <f>SUM(Q186:Q188)</f>
        <v>0</v>
      </c>
      <c r="R185" s="434">
        <f t="shared" si="17"/>
        <v>0</v>
      </c>
    </row>
    <row r="186" spans="1:18" s="89" customFormat="1" ht="24">
      <c r="A186" s="134">
        <v>18131</v>
      </c>
      <c r="B186" s="172" t="s">
        <v>160</v>
      </c>
      <c r="C186" s="170">
        <v>21531</v>
      </c>
      <c r="D186" s="170">
        <v>15011</v>
      </c>
      <c r="E186" s="404">
        <v>-73</v>
      </c>
      <c r="F186" s="404"/>
      <c r="G186" s="404"/>
      <c r="H186" s="434">
        <f t="shared" si="15"/>
        <v>14938</v>
      </c>
      <c r="I186" s="404">
        <v>0</v>
      </c>
      <c r="J186" s="404"/>
      <c r="K186" s="404"/>
      <c r="L186" s="404"/>
      <c r="M186" s="434">
        <f t="shared" si="16"/>
        <v>0</v>
      </c>
      <c r="N186" s="404">
        <v>0</v>
      </c>
      <c r="O186" s="404"/>
      <c r="P186" s="404"/>
      <c r="Q186" s="404"/>
      <c r="R186" s="434">
        <f t="shared" si="17"/>
        <v>0</v>
      </c>
    </row>
    <row r="187" spans="1:18" s="89" customFormat="1" ht="24">
      <c r="A187" s="134">
        <v>18132</v>
      </c>
      <c r="B187" s="172" t="s">
        <v>169</v>
      </c>
      <c r="C187" s="170">
        <v>1661</v>
      </c>
      <c r="D187" s="170">
        <v>0</v>
      </c>
      <c r="E187" s="404"/>
      <c r="F187" s="404"/>
      <c r="G187" s="404"/>
      <c r="H187" s="434">
        <f t="shared" si="15"/>
        <v>0</v>
      </c>
      <c r="I187" s="404">
        <v>0</v>
      </c>
      <c r="J187" s="404"/>
      <c r="K187" s="404"/>
      <c r="L187" s="404"/>
      <c r="M187" s="434">
        <f t="shared" si="16"/>
        <v>0</v>
      </c>
      <c r="N187" s="404">
        <v>0</v>
      </c>
      <c r="O187" s="404"/>
      <c r="P187" s="404"/>
      <c r="Q187" s="404"/>
      <c r="R187" s="434">
        <f t="shared" si="17"/>
        <v>0</v>
      </c>
    </row>
    <row r="188" spans="1:18" s="89" customFormat="1" ht="24" hidden="1" customHeight="1">
      <c r="A188" s="134">
        <v>18139</v>
      </c>
      <c r="B188" s="172" t="s">
        <v>179</v>
      </c>
      <c r="C188" s="170"/>
      <c r="D188" s="170">
        <v>0</v>
      </c>
      <c r="E188" s="404"/>
      <c r="F188" s="404"/>
      <c r="G188" s="404"/>
      <c r="H188" s="434">
        <f t="shared" si="15"/>
        <v>0</v>
      </c>
      <c r="I188" s="404">
        <v>0</v>
      </c>
      <c r="J188" s="404"/>
      <c r="K188" s="404"/>
      <c r="L188" s="404"/>
      <c r="M188" s="434">
        <f t="shared" si="16"/>
        <v>0</v>
      </c>
      <c r="N188" s="404">
        <v>0</v>
      </c>
      <c r="O188" s="404"/>
      <c r="P188" s="404"/>
      <c r="Q188" s="404"/>
      <c r="R188" s="434">
        <f t="shared" si="17"/>
        <v>0</v>
      </c>
    </row>
    <row r="189" spans="1:18" s="89" customFormat="1" ht="12" hidden="1" customHeight="1">
      <c r="A189" s="135" t="s">
        <v>180</v>
      </c>
      <c r="B189" s="173" t="s">
        <v>173</v>
      </c>
      <c r="C189" s="201">
        <v>0</v>
      </c>
      <c r="D189" s="201">
        <v>0</v>
      </c>
      <c r="E189" s="436">
        <f>E190</f>
        <v>0</v>
      </c>
      <c r="F189" s="436">
        <f>F190</f>
        <v>0</v>
      </c>
      <c r="G189" s="436">
        <f>G190</f>
        <v>0</v>
      </c>
      <c r="H189" s="434">
        <f t="shared" si="15"/>
        <v>0</v>
      </c>
      <c r="I189" s="436">
        <v>0</v>
      </c>
      <c r="J189" s="436">
        <f>J190</f>
        <v>0</v>
      </c>
      <c r="K189" s="436">
        <f>K190</f>
        <v>0</v>
      </c>
      <c r="L189" s="436">
        <f>L190</f>
        <v>0</v>
      </c>
      <c r="M189" s="434">
        <f t="shared" si="16"/>
        <v>0</v>
      </c>
      <c r="N189" s="436">
        <v>0</v>
      </c>
      <c r="O189" s="436">
        <f>O190</f>
        <v>0</v>
      </c>
      <c r="P189" s="436">
        <f>P190</f>
        <v>0</v>
      </c>
      <c r="Q189" s="436">
        <f>Q190</f>
        <v>0</v>
      </c>
      <c r="R189" s="434">
        <f t="shared" si="17"/>
        <v>0</v>
      </c>
    </row>
    <row r="190" spans="1:18" s="89" customFormat="1" ht="24" hidden="1" customHeight="1">
      <c r="A190" s="135">
        <v>19500</v>
      </c>
      <c r="B190" s="172" t="s">
        <v>174</v>
      </c>
      <c r="C190" s="170">
        <v>0</v>
      </c>
      <c r="D190" s="170">
        <v>0</v>
      </c>
      <c r="E190" s="404">
        <f>SUM(E191:E193)</f>
        <v>0</v>
      </c>
      <c r="F190" s="404">
        <f>SUM(F191:F193)</f>
        <v>0</v>
      </c>
      <c r="G190" s="404">
        <f>SUM(G191:G193)</f>
        <v>0</v>
      </c>
      <c r="H190" s="434">
        <f t="shared" si="15"/>
        <v>0</v>
      </c>
      <c r="I190" s="404">
        <v>0</v>
      </c>
      <c r="J190" s="404">
        <f>SUM(J191:J193)</f>
        <v>0</v>
      </c>
      <c r="K190" s="404">
        <f>SUM(K191:K193)</f>
        <v>0</v>
      </c>
      <c r="L190" s="404">
        <f>SUM(L191:L193)</f>
        <v>0</v>
      </c>
      <c r="M190" s="434">
        <f t="shared" si="16"/>
        <v>0</v>
      </c>
      <c r="N190" s="404">
        <v>0</v>
      </c>
      <c r="O190" s="404">
        <f>SUM(O191:O193)</f>
        <v>0</v>
      </c>
      <c r="P190" s="404">
        <f>SUM(P191:P193)</f>
        <v>0</v>
      </c>
      <c r="Q190" s="404">
        <f>SUM(Q191:Q193)</f>
        <v>0</v>
      </c>
      <c r="R190" s="434">
        <f t="shared" si="17"/>
        <v>0</v>
      </c>
    </row>
    <row r="191" spans="1:18" s="89" customFormat="1" ht="24" hidden="1" customHeight="1">
      <c r="A191" s="136">
        <v>19550</v>
      </c>
      <c r="B191" s="172" t="s">
        <v>175</v>
      </c>
      <c r="C191" s="170"/>
      <c r="D191" s="170">
        <v>0</v>
      </c>
      <c r="E191" s="404"/>
      <c r="F191" s="404"/>
      <c r="G191" s="404"/>
      <c r="H191" s="434">
        <f t="shared" si="15"/>
        <v>0</v>
      </c>
      <c r="I191" s="404">
        <v>0</v>
      </c>
      <c r="J191" s="404"/>
      <c r="K191" s="404"/>
      <c r="L191" s="404"/>
      <c r="M191" s="434">
        <f t="shared" si="16"/>
        <v>0</v>
      </c>
      <c r="N191" s="404">
        <v>0</v>
      </c>
      <c r="O191" s="404"/>
      <c r="P191" s="404"/>
      <c r="Q191" s="404"/>
      <c r="R191" s="434">
        <f t="shared" si="17"/>
        <v>0</v>
      </c>
    </row>
    <row r="192" spans="1:18" s="89" customFormat="1" ht="36" hidden="1" customHeight="1">
      <c r="A192" s="136">
        <v>19560</v>
      </c>
      <c r="B192" s="172" t="s">
        <v>181</v>
      </c>
      <c r="C192" s="170"/>
      <c r="D192" s="170">
        <v>0</v>
      </c>
      <c r="E192" s="404"/>
      <c r="F192" s="404"/>
      <c r="G192" s="404"/>
      <c r="H192" s="434">
        <f t="shared" si="15"/>
        <v>0</v>
      </c>
      <c r="I192" s="404">
        <v>0</v>
      </c>
      <c r="J192" s="404"/>
      <c r="K192" s="404"/>
      <c r="L192" s="404"/>
      <c r="M192" s="434">
        <f t="shared" si="16"/>
        <v>0</v>
      </c>
      <c r="N192" s="404">
        <v>0</v>
      </c>
      <c r="O192" s="404"/>
      <c r="P192" s="404"/>
      <c r="Q192" s="404"/>
      <c r="R192" s="434">
        <f t="shared" si="17"/>
        <v>0</v>
      </c>
    </row>
    <row r="193" spans="1:18" s="89" customFormat="1" ht="72" hidden="1" customHeight="1">
      <c r="A193" s="136">
        <v>19570</v>
      </c>
      <c r="B193" s="172" t="s">
        <v>182</v>
      </c>
      <c r="C193" s="170"/>
      <c r="D193" s="170">
        <v>0</v>
      </c>
      <c r="E193" s="404"/>
      <c r="F193" s="404"/>
      <c r="G193" s="404"/>
      <c r="H193" s="434">
        <f t="shared" si="15"/>
        <v>0</v>
      </c>
      <c r="I193" s="404">
        <v>0</v>
      </c>
      <c r="J193" s="404"/>
      <c r="K193" s="404"/>
      <c r="L193" s="404"/>
      <c r="M193" s="434">
        <f t="shared" si="16"/>
        <v>0</v>
      </c>
      <c r="N193" s="404">
        <v>0</v>
      </c>
      <c r="O193" s="404"/>
      <c r="P193" s="404"/>
      <c r="Q193" s="404"/>
      <c r="R193" s="434">
        <f t="shared" si="17"/>
        <v>0</v>
      </c>
    </row>
    <row r="194" spans="1:18" s="6" customFormat="1" ht="24" hidden="1" customHeight="1">
      <c r="A194" s="209" t="s">
        <v>222</v>
      </c>
      <c r="B194" s="208" t="s">
        <v>216</v>
      </c>
      <c r="C194" s="106">
        <f>C195</f>
        <v>0</v>
      </c>
      <c r="D194" s="106">
        <v>0</v>
      </c>
      <c r="E194" s="434">
        <f>E195</f>
        <v>0</v>
      </c>
      <c r="F194" s="434">
        <f>F195</f>
        <v>0</v>
      </c>
      <c r="G194" s="434">
        <f>G195</f>
        <v>0</v>
      </c>
      <c r="H194" s="434">
        <f t="shared" si="15"/>
        <v>0</v>
      </c>
      <c r="I194" s="404">
        <v>0</v>
      </c>
      <c r="J194" s="434">
        <f>J195</f>
        <v>0</v>
      </c>
      <c r="K194" s="434">
        <f>K195</f>
        <v>0</v>
      </c>
      <c r="L194" s="434">
        <f>L195</f>
        <v>0</v>
      </c>
      <c r="M194" s="434">
        <f t="shared" si="16"/>
        <v>0</v>
      </c>
      <c r="N194" s="404">
        <v>0</v>
      </c>
      <c r="O194" s="434">
        <f>O195</f>
        <v>0</v>
      </c>
      <c r="P194" s="434">
        <f>P195</f>
        <v>0</v>
      </c>
      <c r="Q194" s="434">
        <f>Q195</f>
        <v>0</v>
      </c>
      <c r="R194" s="434">
        <f t="shared" si="17"/>
        <v>0</v>
      </c>
    </row>
    <row r="195" spans="1:18" s="6" customFormat="1" ht="36" hidden="1" customHeight="1">
      <c r="A195" s="209">
        <v>17100</v>
      </c>
      <c r="B195" s="208" t="s">
        <v>217</v>
      </c>
      <c r="C195" s="106">
        <f>SUM(C196:C199)</f>
        <v>0</v>
      </c>
      <c r="D195" s="106">
        <v>0</v>
      </c>
      <c r="E195" s="434">
        <f>SUM(E196:E199)</f>
        <v>0</v>
      </c>
      <c r="F195" s="434">
        <f>SUM(F196:F199)</f>
        <v>0</v>
      </c>
      <c r="G195" s="434">
        <f>SUM(G196:G199)</f>
        <v>0</v>
      </c>
      <c r="H195" s="434">
        <f t="shared" si="15"/>
        <v>0</v>
      </c>
      <c r="I195" s="404">
        <v>0</v>
      </c>
      <c r="J195" s="434">
        <f>SUM(J196:J199)</f>
        <v>0</v>
      </c>
      <c r="K195" s="434">
        <f>SUM(K196:K199)</f>
        <v>0</v>
      </c>
      <c r="L195" s="434">
        <f>SUM(L196:L199)</f>
        <v>0</v>
      </c>
      <c r="M195" s="434">
        <f t="shared" si="16"/>
        <v>0</v>
      </c>
      <c r="N195" s="404">
        <v>0</v>
      </c>
      <c r="O195" s="434">
        <f>SUM(O196:O199)</f>
        <v>0</v>
      </c>
      <c r="P195" s="434">
        <f>SUM(P196:P199)</f>
        <v>0</v>
      </c>
      <c r="Q195" s="434">
        <f>SUM(Q196:Q199)</f>
        <v>0</v>
      </c>
      <c r="R195" s="434">
        <f t="shared" si="17"/>
        <v>0</v>
      </c>
    </row>
    <row r="196" spans="1:18" s="6" customFormat="1" ht="48" hidden="1" customHeight="1">
      <c r="A196" s="149">
        <v>17110</v>
      </c>
      <c r="B196" s="208" t="s">
        <v>218</v>
      </c>
      <c r="C196" s="106"/>
      <c r="D196" s="106">
        <v>0</v>
      </c>
      <c r="E196" s="404"/>
      <c r="F196" s="404"/>
      <c r="G196" s="404"/>
      <c r="H196" s="434">
        <f t="shared" si="15"/>
        <v>0</v>
      </c>
      <c r="I196" s="404">
        <v>0</v>
      </c>
      <c r="J196" s="404"/>
      <c r="K196" s="404"/>
      <c r="L196" s="404"/>
      <c r="M196" s="434">
        <f t="shared" si="16"/>
        <v>0</v>
      </c>
      <c r="N196" s="404">
        <v>0</v>
      </c>
      <c r="O196" s="404"/>
      <c r="P196" s="404"/>
      <c r="Q196" s="404"/>
      <c r="R196" s="434">
        <f t="shared" si="17"/>
        <v>0</v>
      </c>
    </row>
    <row r="197" spans="1:18" s="6" customFormat="1" ht="48" hidden="1" customHeight="1">
      <c r="A197" s="149">
        <v>17120</v>
      </c>
      <c r="B197" s="208" t="s">
        <v>219</v>
      </c>
      <c r="C197" s="106"/>
      <c r="D197" s="106">
        <v>0</v>
      </c>
      <c r="E197" s="404"/>
      <c r="F197" s="404"/>
      <c r="G197" s="404"/>
      <c r="H197" s="434">
        <f t="shared" si="15"/>
        <v>0</v>
      </c>
      <c r="I197" s="404">
        <v>0</v>
      </c>
      <c r="J197" s="404"/>
      <c r="K197" s="404"/>
      <c r="L197" s="404"/>
      <c r="M197" s="434">
        <f t="shared" si="16"/>
        <v>0</v>
      </c>
      <c r="N197" s="404">
        <v>0</v>
      </c>
      <c r="O197" s="404"/>
      <c r="P197" s="404"/>
      <c r="Q197" s="404"/>
      <c r="R197" s="434">
        <f t="shared" si="17"/>
        <v>0</v>
      </c>
    </row>
    <row r="198" spans="1:18" s="6" customFormat="1" ht="96" hidden="1" customHeight="1">
      <c r="A198" s="149">
        <v>17130</v>
      </c>
      <c r="B198" s="208" t="s">
        <v>220</v>
      </c>
      <c r="C198" s="106"/>
      <c r="D198" s="106">
        <v>0</v>
      </c>
      <c r="E198" s="404"/>
      <c r="F198" s="404"/>
      <c r="G198" s="404"/>
      <c r="H198" s="434">
        <f t="shared" si="15"/>
        <v>0</v>
      </c>
      <c r="I198" s="404">
        <v>0</v>
      </c>
      <c r="J198" s="404"/>
      <c r="K198" s="404"/>
      <c r="L198" s="404"/>
      <c r="M198" s="434">
        <f t="shared" si="16"/>
        <v>0</v>
      </c>
      <c r="N198" s="404">
        <v>0</v>
      </c>
      <c r="O198" s="404"/>
      <c r="P198" s="404"/>
      <c r="Q198" s="404"/>
      <c r="R198" s="434">
        <f t="shared" si="17"/>
        <v>0</v>
      </c>
    </row>
    <row r="199" spans="1:18" s="6" customFormat="1" ht="96" hidden="1" customHeight="1">
      <c r="A199" s="149">
        <v>17140</v>
      </c>
      <c r="B199" s="208" t="s">
        <v>221</v>
      </c>
      <c r="C199" s="106"/>
      <c r="D199" s="106">
        <v>0</v>
      </c>
      <c r="E199" s="404"/>
      <c r="F199" s="404"/>
      <c r="G199" s="404"/>
      <c r="H199" s="434">
        <f t="shared" si="15"/>
        <v>0</v>
      </c>
      <c r="I199" s="404">
        <v>0</v>
      </c>
      <c r="J199" s="404"/>
      <c r="K199" s="404"/>
      <c r="L199" s="404"/>
      <c r="M199" s="434">
        <f t="shared" si="16"/>
        <v>0</v>
      </c>
      <c r="N199" s="404">
        <v>0</v>
      </c>
      <c r="O199" s="404"/>
      <c r="P199" s="404"/>
      <c r="Q199" s="404"/>
      <c r="R199" s="434">
        <f t="shared" si="17"/>
        <v>0</v>
      </c>
    </row>
    <row r="200" spans="1:18" s="89" customFormat="1" ht="12">
      <c r="A200" s="137">
        <v>21700</v>
      </c>
      <c r="B200" s="124" t="s">
        <v>97</v>
      </c>
      <c r="C200" s="170">
        <v>38047376</v>
      </c>
      <c r="D200" s="170">
        <v>43820773</v>
      </c>
      <c r="E200" s="404">
        <f>E201+E202</f>
        <v>20740496</v>
      </c>
      <c r="F200" s="404">
        <f>F201+F202</f>
        <v>0</v>
      </c>
      <c r="G200" s="404">
        <f>G201+G202</f>
        <v>0</v>
      </c>
      <c r="H200" s="434">
        <f t="shared" si="15"/>
        <v>64561269</v>
      </c>
      <c r="I200" s="404">
        <v>3630223</v>
      </c>
      <c r="J200" s="404">
        <f>J201+J202</f>
        <v>21090470</v>
      </c>
      <c r="K200" s="404">
        <f>K201+K202</f>
        <v>0</v>
      </c>
      <c r="L200" s="404">
        <f>L201+L202</f>
        <v>0</v>
      </c>
      <c r="M200" s="434">
        <f t="shared" si="16"/>
        <v>24720693</v>
      </c>
      <c r="N200" s="404">
        <v>0</v>
      </c>
      <c r="O200" s="404">
        <f>O201+O202</f>
        <v>6237240</v>
      </c>
      <c r="P200" s="404">
        <f>P201+P202</f>
        <v>0</v>
      </c>
      <c r="Q200" s="404">
        <f>Q201+Q202</f>
        <v>0</v>
      </c>
      <c r="R200" s="434">
        <f t="shared" si="17"/>
        <v>6237240</v>
      </c>
    </row>
    <row r="201" spans="1:18" s="89" customFormat="1" ht="24">
      <c r="A201" s="138">
        <v>21710</v>
      </c>
      <c r="B201" s="125" t="s">
        <v>98</v>
      </c>
      <c r="C201" s="170">
        <v>21586494</v>
      </c>
      <c r="D201" s="170">
        <v>22797512</v>
      </c>
      <c r="E201" s="404">
        <f>1050000+516173+73+165+115642+465972+63501+1013064+5651+6234000+256137</f>
        <v>9720378</v>
      </c>
      <c r="F201" s="404"/>
      <c r="G201" s="404"/>
      <c r="H201" s="434">
        <f t="shared" si="15"/>
        <v>32517890</v>
      </c>
      <c r="I201" s="404">
        <v>1921491</v>
      </c>
      <c r="J201" s="404">
        <f>1360000+47365+8257868+76030+1899010+14322-100244-5486</f>
        <v>11548865</v>
      </c>
      <c r="K201" s="404"/>
      <c r="L201" s="404"/>
      <c r="M201" s="434">
        <f t="shared" si="16"/>
        <v>13470356</v>
      </c>
      <c r="N201" s="404">
        <v>0</v>
      </c>
      <c r="O201" s="404">
        <f>250028+206740+3120542</f>
        <v>3577310</v>
      </c>
      <c r="P201" s="404"/>
      <c r="Q201" s="404"/>
      <c r="R201" s="434">
        <f t="shared" si="17"/>
        <v>3577310</v>
      </c>
    </row>
    <row r="202" spans="1:18" s="29" customFormat="1" ht="24">
      <c r="A202" s="138">
        <v>21720</v>
      </c>
      <c r="B202" s="125" t="s">
        <v>99</v>
      </c>
      <c r="C202" s="170">
        <v>16460882</v>
      </c>
      <c r="D202" s="170">
        <v>21023261</v>
      </c>
      <c r="E202" s="404">
        <v>11020118</v>
      </c>
      <c r="F202" s="404"/>
      <c r="G202" s="404"/>
      <c r="H202" s="434">
        <f t="shared" ref="H202:H260" si="21">SUM(D202:G202)</f>
        <v>32043379</v>
      </c>
      <c r="I202" s="404">
        <v>1708732</v>
      </c>
      <c r="J202" s="404">
        <v>9541605</v>
      </c>
      <c r="K202" s="404"/>
      <c r="L202" s="404"/>
      <c r="M202" s="434">
        <f t="shared" ref="M202:M260" si="22">SUM(I202:L202)</f>
        <v>11250337</v>
      </c>
      <c r="N202" s="404">
        <v>0</v>
      </c>
      <c r="O202" s="404">
        <v>2659930</v>
      </c>
      <c r="P202" s="404"/>
      <c r="Q202" s="404"/>
      <c r="R202" s="434">
        <f t="shared" ref="R202:R260" si="23">SUM(N202:Q202)</f>
        <v>2659930</v>
      </c>
    </row>
    <row r="203" spans="1:18" s="29" customFormat="1" ht="11.4">
      <c r="A203" s="129" t="s">
        <v>100</v>
      </c>
      <c r="B203" s="123" t="s">
        <v>101</v>
      </c>
      <c r="C203" s="168">
        <v>38084467</v>
      </c>
      <c r="D203" s="168">
        <v>43835784</v>
      </c>
      <c r="E203" s="403">
        <f>E204+E231</f>
        <v>20740423</v>
      </c>
      <c r="F203" s="403">
        <f>F204+F231</f>
        <v>0</v>
      </c>
      <c r="G203" s="403">
        <f>G204+G231</f>
        <v>0</v>
      </c>
      <c r="H203" s="270">
        <f t="shared" si="21"/>
        <v>64576207</v>
      </c>
      <c r="I203" s="403">
        <v>3630223</v>
      </c>
      <c r="J203" s="403">
        <f>J204+J231</f>
        <v>21090470</v>
      </c>
      <c r="K203" s="403">
        <f>K204+K231</f>
        <v>0</v>
      </c>
      <c r="L203" s="403">
        <f>L204+L231</f>
        <v>0</v>
      </c>
      <c r="M203" s="270">
        <f t="shared" si="22"/>
        <v>24720693</v>
      </c>
      <c r="N203" s="403">
        <v>0</v>
      </c>
      <c r="O203" s="403">
        <f>O204+O231</f>
        <v>6237240</v>
      </c>
      <c r="P203" s="403">
        <f>P204+P231</f>
        <v>0</v>
      </c>
      <c r="Q203" s="403">
        <f>Q204+Q231</f>
        <v>0</v>
      </c>
      <c r="R203" s="270">
        <f t="shared" si="23"/>
        <v>6237240</v>
      </c>
    </row>
    <row r="204" spans="1:18" s="29" customFormat="1" ht="20.399999999999999">
      <c r="A204" s="130" t="s">
        <v>102</v>
      </c>
      <c r="B204" s="124" t="s">
        <v>103</v>
      </c>
      <c r="C204" s="170">
        <v>35017172</v>
      </c>
      <c r="D204" s="170">
        <v>43835784</v>
      </c>
      <c r="E204" s="404">
        <f>E205+E209+E210+E213+E216</f>
        <v>19690758</v>
      </c>
      <c r="F204" s="404">
        <f>F205+F209+F210+F213+F216</f>
        <v>0</v>
      </c>
      <c r="G204" s="404">
        <f>G205+G209+G210+G213+G216</f>
        <v>0</v>
      </c>
      <c r="H204" s="434">
        <f t="shared" si="21"/>
        <v>63526542</v>
      </c>
      <c r="I204" s="404">
        <v>3630223</v>
      </c>
      <c r="J204" s="404">
        <f>J205+J209+J210+J213+J216</f>
        <v>19730470</v>
      </c>
      <c r="K204" s="404">
        <f>K205+K209+K210+K213+K216</f>
        <v>0</v>
      </c>
      <c r="L204" s="404">
        <f>L205+L209+L210+L213+L216</f>
        <v>0</v>
      </c>
      <c r="M204" s="434">
        <f t="shared" si="22"/>
        <v>23360693</v>
      </c>
      <c r="N204" s="404">
        <v>0</v>
      </c>
      <c r="O204" s="404">
        <f>O205+O209+O210+O213+O216</f>
        <v>6018712</v>
      </c>
      <c r="P204" s="404">
        <f>P205+P209+P210+P213+P216</f>
        <v>0</v>
      </c>
      <c r="Q204" s="404">
        <f>Q205+Q209+Q210+Q213+Q216</f>
        <v>0</v>
      </c>
      <c r="R204" s="434">
        <f t="shared" si="23"/>
        <v>6018712</v>
      </c>
    </row>
    <row r="205" spans="1:18" s="29" customFormat="1" ht="12">
      <c r="A205" s="130" t="s">
        <v>104</v>
      </c>
      <c r="B205" s="124" t="s">
        <v>105</v>
      </c>
      <c r="C205" s="170">
        <v>5526838</v>
      </c>
      <c r="D205" s="170">
        <v>4300091</v>
      </c>
      <c r="E205" s="404">
        <f>E206+E208</f>
        <v>529968</v>
      </c>
      <c r="F205" s="404">
        <f>F206+F208</f>
        <v>0</v>
      </c>
      <c r="G205" s="404">
        <f>G206+G208</f>
        <v>0</v>
      </c>
      <c r="H205" s="434">
        <f t="shared" si="21"/>
        <v>4830059</v>
      </c>
      <c r="I205" s="404">
        <v>695577</v>
      </c>
      <c r="J205" s="404">
        <f>J206+J208</f>
        <v>1310501</v>
      </c>
      <c r="K205" s="404">
        <f>K206+K208</f>
        <v>0</v>
      </c>
      <c r="L205" s="404">
        <f>L206+L208</f>
        <v>0</v>
      </c>
      <c r="M205" s="434">
        <f t="shared" si="22"/>
        <v>2006078</v>
      </c>
      <c r="N205" s="404">
        <v>0</v>
      </c>
      <c r="O205" s="404">
        <f>O206+O208</f>
        <v>617780</v>
      </c>
      <c r="P205" s="404">
        <f>P206+P208</f>
        <v>0</v>
      </c>
      <c r="Q205" s="404">
        <f>Q206+Q208</f>
        <v>0</v>
      </c>
      <c r="R205" s="434">
        <f t="shared" si="23"/>
        <v>617780</v>
      </c>
    </row>
    <row r="206" spans="1:18" s="29" customFormat="1" ht="12">
      <c r="A206" s="132">
        <v>1000</v>
      </c>
      <c r="B206" s="125" t="s">
        <v>106</v>
      </c>
      <c r="C206" s="170">
        <v>2675147</v>
      </c>
      <c r="D206" s="170">
        <v>2940931</v>
      </c>
      <c r="E206" s="404">
        <f>1356-4207+6238-216161+9727</f>
        <v>-203047</v>
      </c>
      <c r="F206" s="437"/>
      <c r="G206" s="437"/>
      <c r="H206" s="434">
        <f t="shared" si="21"/>
        <v>2737884</v>
      </c>
      <c r="I206" s="404">
        <v>660017</v>
      </c>
      <c r="J206" s="404">
        <f>-1060+47365+335+594359+211374</f>
        <v>852373</v>
      </c>
      <c r="K206" s="437"/>
      <c r="L206" s="437"/>
      <c r="M206" s="434">
        <f t="shared" si="22"/>
        <v>1512390</v>
      </c>
      <c r="N206" s="404">
        <v>0</v>
      </c>
      <c r="O206" s="404">
        <f>279540+205187</f>
        <v>484727</v>
      </c>
      <c r="P206" s="437"/>
      <c r="Q206" s="437"/>
      <c r="R206" s="434">
        <f t="shared" si="23"/>
        <v>484727</v>
      </c>
    </row>
    <row r="207" spans="1:18" s="29" customFormat="1" ht="12">
      <c r="A207" s="139">
        <v>1100</v>
      </c>
      <c r="B207" s="125" t="s">
        <v>107</v>
      </c>
      <c r="C207" s="170">
        <v>2126946</v>
      </c>
      <c r="D207" s="170">
        <v>2340860</v>
      </c>
      <c r="E207" s="404">
        <f>1090-3391+5027-174197+7838</f>
        <v>-163633</v>
      </c>
      <c r="F207" s="437"/>
      <c r="G207" s="437"/>
      <c r="H207" s="434">
        <f t="shared" si="21"/>
        <v>2177227</v>
      </c>
      <c r="I207" s="404">
        <v>518320</v>
      </c>
      <c r="J207" s="404">
        <f>-854+37070+478974+170339</f>
        <v>685529</v>
      </c>
      <c r="K207" s="437"/>
      <c r="L207" s="437"/>
      <c r="M207" s="434">
        <f t="shared" si="22"/>
        <v>1203849</v>
      </c>
      <c r="N207" s="404">
        <v>0</v>
      </c>
      <c r="O207" s="404">
        <f>225272+164888</f>
        <v>390160</v>
      </c>
      <c r="P207" s="437"/>
      <c r="Q207" s="437"/>
      <c r="R207" s="434">
        <f t="shared" si="23"/>
        <v>390160</v>
      </c>
    </row>
    <row r="208" spans="1:18" s="29" customFormat="1" ht="12">
      <c r="A208" s="132">
        <v>2000</v>
      </c>
      <c r="B208" s="125" t="s">
        <v>108</v>
      </c>
      <c r="C208" s="170">
        <v>2851691</v>
      </c>
      <c r="D208" s="170">
        <v>1359160</v>
      </c>
      <c r="E208" s="404">
        <f>500+514817-20000+4207+57263+167082+5651+3495</f>
        <v>733015</v>
      </c>
      <c r="F208" s="437"/>
      <c r="G208" s="437"/>
      <c r="H208" s="434">
        <f t="shared" si="21"/>
        <v>2092175</v>
      </c>
      <c r="I208" s="404">
        <v>35560</v>
      </c>
      <c r="J208" s="404">
        <f>1060-335+350000+76030+31373</f>
        <v>458128</v>
      </c>
      <c r="K208" s="437"/>
      <c r="L208" s="437"/>
      <c r="M208" s="434">
        <f t="shared" si="22"/>
        <v>493688</v>
      </c>
      <c r="N208" s="404">
        <v>0</v>
      </c>
      <c r="O208" s="404">
        <f>31500+1553+100000</f>
        <v>133053</v>
      </c>
      <c r="P208" s="437"/>
      <c r="Q208" s="437"/>
      <c r="R208" s="434">
        <f t="shared" si="23"/>
        <v>133053</v>
      </c>
    </row>
    <row r="209" spans="1:18" s="29" customFormat="1" ht="12" hidden="1" customHeight="1">
      <c r="A209" s="140">
        <v>4000</v>
      </c>
      <c r="B209" s="124" t="s">
        <v>132</v>
      </c>
      <c r="C209" s="170"/>
      <c r="D209" s="170">
        <v>0</v>
      </c>
      <c r="E209" s="437"/>
      <c r="F209" s="437"/>
      <c r="G209" s="437"/>
      <c r="H209" s="434">
        <f t="shared" si="21"/>
        <v>0</v>
      </c>
      <c r="I209" s="404">
        <v>0</v>
      </c>
      <c r="J209" s="437"/>
      <c r="K209" s="437"/>
      <c r="L209" s="437"/>
      <c r="M209" s="434">
        <f t="shared" si="22"/>
        <v>0</v>
      </c>
      <c r="N209" s="404">
        <v>0</v>
      </c>
      <c r="O209" s="437"/>
      <c r="P209" s="437"/>
      <c r="Q209" s="437"/>
      <c r="R209" s="434">
        <f t="shared" si="23"/>
        <v>0</v>
      </c>
    </row>
    <row r="210" spans="1:18" s="29" customFormat="1" ht="12">
      <c r="A210" s="140" t="s">
        <v>109</v>
      </c>
      <c r="B210" s="124" t="s">
        <v>110</v>
      </c>
      <c r="C210" s="170">
        <v>10985794</v>
      </c>
      <c r="D210" s="170">
        <v>13848200</v>
      </c>
      <c r="E210" s="404">
        <f>E211+E212</f>
        <v>1305344</v>
      </c>
      <c r="F210" s="404">
        <f>F211+F212</f>
        <v>0</v>
      </c>
      <c r="G210" s="404">
        <f>G211+G212</f>
        <v>0</v>
      </c>
      <c r="H210" s="434">
        <f t="shared" si="21"/>
        <v>15153544</v>
      </c>
      <c r="I210" s="404">
        <v>1026142</v>
      </c>
      <c r="J210" s="404">
        <f>J211+J212</f>
        <v>6814081</v>
      </c>
      <c r="K210" s="404">
        <f>K211+K212</f>
        <v>0</v>
      </c>
      <c r="L210" s="404">
        <f>L211+L212</f>
        <v>0</v>
      </c>
      <c r="M210" s="434">
        <f t="shared" si="22"/>
        <v>7840223</v>
      </c>
      <c r="N210" s="404">
        <v>0</v>
      </c>
      <c r="O210" s="404">
        <f>O211+O212</f>
        <v>2441002</v>
      </c>
      <c r="P210" s="404">
        <f>P211+P212</f>
        <v>0</v>
      </c>
      <c r="Q210" s="404">
        <f>Q211+Q212</f>
        <v>0</v>
      </c>
      <c r="R210" s="434">
        <f t="shared" si="23"/>
        <v>2441002</v>
      </c>
    </row>
    <row r="211" spans="1:18" s="29" customFormat="1" ht="12">
      <c r="A211" s="132">
        <v>3000</v>
      </c>
      <c r="B211" s="125" t="s">
        <v>111</v>
      </c>
      <c r="C211" s="202">
        <v>9985170</v>
      </c>
      <c r="D211" s="202">
        <v>13837011</v>
      </c>
      <c r="E211" s="438">
        <f>20000+115642+465972+245982+216161+241587</f>
        <v>1305344</v>
      </c>
      <c r="F211" s="574"/>
      <c r="G211" s="574"/>
      <c r="H211" s="434">
        <f t="shared" si="21"/>
        <v>15142355</v>
      </c>
      <c r="I211" s="438">
        <v>1026142</v>
      </c>
      <c r="J211" s="438">
        <f>6908509+11302-100244-5486</f>
        <v>6814081</v>
      </c>
      <c r="K211" s="574"/>
      <c r="L211" s="574"/>
      <c r="M211" s="434">
        <f t="shared" si="22"/>
        <v>7840223</v>
      </c>
      <c r="N211" s="438">
        <v>0</v>
      </c>
      <c r="O211" s="438">
        <v>2441002</v>
      </c>
      <c r="P211" s="574"/>
      <c r="Q211" s="574"/>
      <c r="R211" s="434">
        <f t="shared" si="23"/>
        <v>2441002</v>
      </c>
    </row>
    <row r="212" spans="1:18" s="29" customFormat="1" ht="12">
      <c r="A212" s="132">
        <v>6000</v>
      </c>
      <c r="B212" s="125" t="s">
        <v>112</v>
      </c>
      <c r="C212" s="203">
        <v>1000624</v>
      </c>
      <c r="D212" s="203">
        <v>11189</v>
      </c>
      <c r="E212" s="440"/>
      <c r="F212" s="440"/>
      <c r="G212" s="440"/>
      <c r="H212" s="434">
        <f t="shared" si="21"/>
        <v>11189</v>
      </c>
      <c r="I212" s="523">
        <v>0</v>
      </c>
      <c r="J212" s="440"/>
      <c r="K212" s="440"/>
      <c r="L212" s="440"/>
      <c r="M212" s="434">
        <f t="shared" si="22"/>
        <v>0</v>
      </c>
      <c r="N212" s="523">
        <v>0</v>
      </c>
      <c r="O212" s="440"/>
      <c r="P212" s="440"/>
      <c r="Q212" s="440"/>
      <c r="R212" s="434">
        <f t="shared" si="23"/>
        <v>0</v>
      </c>
    </row>
    <row r="213" spans="1:18" s="29" customFormat="1" ht="24" hidden="1" customHeight="1">
      <c r="A213" s="140" t="s">
        <v>113</v>
      </c>
      <c r="B213" s="124" t="s">
        <v>183</v>
      </c>
      <c r="C213" s="170">
        <v>0</v>
      </c>
      <c r="D213" s="170">
        <v>0</v>
      </c>
      <c r="E213" s="404">
        <f>E214+E215</f>
        <v>0</v>
      </c>
      <c r="F213" s="404">
        <f>F214+F215</f>
        <v>0</v>
      </c>
      <c r="G213" s="404">
        <f>G214+G215</f>
        <v>0</v>
      </c>
      <c r="H213" s="434">
        <f t="shared" si="21"/>
        <v>0</v>
      </c>
      <c r="I213" s="404">
        <v>0</v>
      </c>
      <c r="J213" s="404">
        <f>J214+J215</f>
        <v>0</v>
      </c>
      <c r="K213" s="404">
        <f>K214+K215</f>
        <v>0</v>
      </c>
      <c r="L213" s="404">
        <f>L214+L215</f>
        <v>0</v>
      </c>
      <c r="M213" s="434">
        <f t="shared" si="22"/>
        <v>0</v>
      </c>
      <c r="N213" s="404">
        <v>0</v>
      </c>
      <c r="O213" s="404">
        <f>O214+O215</f>
        <v>0</v>
      </c>
      <c r="P213" s="404">
        <f>P214+P215</f>
        <v>0</v>
      </c>
      <c r="Q213" s="404">
        <f>Q214+Q215</f>
        <v>0</v>
      </c>
      <c r="R213" s="434">
        <f t="shared" si="23"/>
        <v>0</v>
      </c>
    </row>
    <row r="214" spans="1:18" s="29" customFormat="1" ht="12" hidden="1" customHeight="1">
      <c r="A214" s="132">
        <v>7600</v>
      </c>
      <c r="B214" s="179" t="s">
        <v>184</v>
      </c>
      <c r="C214" s="170"/>
      <c r="D214" s="170">
        <v>0</v>
      </c>
      <c r="E214" s="437"/>
      <c r="F214" s="437"/>
      <c r="G214" s="437"/>
      <c r="H214" s="434">
        <f t="shared" si="21"/>
        <v>0</v>
      </c>
      <c r="I214" s="404">
        <v>0</v>
      </c>
      <c r="J214" s="437"/>
      <c r="K214" s="437"/>
      <c r="L214" s="437"/>
      <c r="M214" s="434">
        <f t="shared" si="22"/>
        <v>0</v>
      </c>
      <c r="N214" s="404">
        <v>0</v>
      </c>
      <c r="O214" s="437"/>
      <c r="P214" s="437"/>
      <c r="Q214" s="437"/>
      <c r="R214" s="434">
        <f t="shared" si="23"/>
        <v>0</v>
      </c>
    </row>
    <row r="215" spans="1:18" s="29" customFormat="1" ht="12" hidden="1" customHeight="1">
      <c r="A215" s="132">
        <v>7700</v>
      </c>
      <c r="B215" s="126" t="s">
        <v>114</v>
      </c>
      <c r="C215" s="170"/>
      <c r="D215" s="170">
        <v>0</v>
      </c>
      <c r="E215" s="437"/>
      <c r="F215" s="437"/>
      <c r="G215" s="437"/>
      <c r="H215" s="434">
        <f t="shared" si="21"/>
        <v>0</v>
      </c>
      <c r="I215" s="404">
        <v>0</v>
      </c>
      <c r="J215" s="437"/>
      <c r="K215" s="437"/>
      <c r="L215" s="437"/>
      <c r="M215" s="434">
        <f t="shared" si="22"/>
        <v>0</v>
      </c>
      <c r="N215" s="404">
        <v>0</v>
      </c>
      <c r="O215" s="437"/>
      <c r="P215" s="437"/>
      <c r="Q215" s="437"/>
      <c r="R215" s="434">
        <f t="shared" si="23"/>
        <v>0</v>
      </c>
    </row>
    <row r="216" spans="1:18" s="29" customFormat="1" ht="20.399999999999999">
      <c r="A216" s="140" t="s">
        <v>185</v>
      </c>
      <c r="B216" s="124" t="s">
        <v>115</v>
      </c>
      <c r="C216" s="170">
        <v>18504540</v>
      </c>
      <c r="D216" s="170">
        <v>25687493</v>
      </c>
      <c r="E216" s="404">
        <f>E217+E223+E227+E230</f>
        <v>17855446</v>
      </c>
      <c r="F216" s="404">
        <f>F217+F223+F227+F230</f>
        <v>0</v>
      </c>
      <c r="G216" s="404">
        <f>G217+G223+G227+G230</f>
        <v>0</v>
      </c>
      <c r="H216" s="434">
        <f t="shared" si="21"/>
        <v>43542939</v>
      </c>
      <c r="I216" s="404">
        <v>1908504</v>
      </c>
      <c r="J216" s="404">
        <f>J217+J223+J227+J230</f>
        <v>11605888</v>
      </c>
      <c r="K216" s="404">
        <f>K217+K223+K227+K230</f>
        <v>0</v>
      </c>
      <c r="L216" s="404">
        <f>L217+L223+L227+L230</f>
        <v>0</v>
      </c>
      <c r="M216" s="434">
        <f t="shared" si="22"/>
        <v>13514392</v>
      </c>
      <c r="N216" s="404">
        <v>0</v>
      </c>
      <c r="O216" s="404">
        <f>O217+O223+O227+O230</f>
        <v>2959930</v>
      </c>
      <c r="P216" s="404">
        <f>P217+P223+P227+P230</f>
        <v>0</v>
      </c>
      <c r="Q216" s="404">
        <f>Q217+Q223+Q227+Q230</f>
        <v>0</v>
      </c>
      <c r="R216" s="434">
        <f t="shared" si="23"/>
        <v>2959930</v>
      </c>
    </row>
    <row r="217" spans="1:18" s="29" customFormat="1" ht="12">
      <c r="A217" s="132">
        <v>7100</v>
      </c>
      <c r="B217" s="179" t="s">
        <v>116</v>
      </c>
      <c r="C217" s="170">
        <v>0</v>
      </c>
      <c r="D217" s="170">
        <v>389283</v>
      </c>
      <c r="E217" s="404">
        <f>E218+E219</f>
        <v>530550</v>
      </c>
      <c r="F217" s="404">
        <f>F218+F219</f>
        <v>0</v>
      </c>
      <c r="G217" s="404">
        <f>G218+G219</f>
        <v>0</v>
      </c>
      <c r="H217" s="434">
        <f t="shared" si="21"/>
        <v>919833</v>
      </c>
      <c r="I217" s="404">
        <v>0</v>
      </c>
      <c r="J217" s="404">
        <f>J218+J219</f>
        <v>273844</v>
      </c>
      <c r="K217" s="404">
        <f>K218+K219</f>
        <v>0</v>
      </c>
      <c r="L217" s="404">
        <f>L218+L219</f>
        <v>0</v>
      </c>
      <c r="M217" s="434">
        <f t="shared" si="22"/>
        <v>273844</v>
      </c>
      <c r="N217" s="404">
        <v>0</v>
      </c>
      <c r="O217" s="404">
        <f>O218+O219</f>
        <v>0</v>
      </c>
      <c r="P217" s="404">
        <f>P218+P219</f>
        <v>0</v>
      </c>
      <c r="Q217" s="404">
        <f>Q218+Q219</f>
        <v>0</v>
      </c>
      <c r="R217" s="434">
        <f t="shared" si="23"/>
        <v>0</v>
      </c>
    </row>
    <row r="218" spans="1:18" s="29" customFormat="1" ht="24">
      <c r="A218" s="133" t="s">
        <v>117</v>
      </c>
      <c r="B218" s="179" t="s">
        <v>118</v>
      </c>
      <c r="C218" s="170"/>
      <c r="D218" s="170">
        <v>389283</v>
      </c>
      <c r="E218" s="404">
        <v>530550</v>
      </c>
      <c r="F218" s="404"/>
      <c r="G218" s="404"/>
      <c r="H218" s="434">
        <f t="shared" si="21"/>
        <v>919833</v>
      </c>
      <c r="I218" s="404">
        <v>0</v>
      </c>
      <c r="J218" s="404">
        <v>273844</v>
      </c>
      <c r="K218" s="404"/>
      <c r="L218" s="404"/>
      <c r="M218" s="434">
        <f t="shared" si="22"/>
        <v>273844</v>
      </c>
      <c r="N218" s="404">
        <v>0</v>
      </c>
      <c r="O218" s="404"/>
      <c r="P218" s="404"/>
      <c r="Q218" s="404"/>
      <c r="R218" s="434">
        <f t="shared" si="23"/>
        <v>0</v>
      </c>
    </row>
    <row r="219" spans="1:18" s="29" customFormat="1" ht="24" hidden="1" customHeight="1">
      <c r="A219" s="133">
        <v>7130</v>
      </c>
      <c r="B219" s="179" t="s">
        <v>119</v>
      </c>
      <c r="C219" s="170">
        <v>0</v>
      </c>
      <c r="D219" s="170">
        <v>0</v>
      </c>
      <c r="E219" s="404">
        <f>SUM(E220:E222)</f>
        <v>0</v>
      </c>
      <c r="F219" s="404">
        <f>SUM(F220:F222)</f>
        <v>0</v>
      </c>
      <c r="G219" s="404">
        <f>SUM(G220:G222)</f>
        <v>0</v>
      </c>
      <c r="H219" s="434">
        <f t="shared" si="21"/>
        <v>0</v>
      </c>
      <c r="I219" s="404">
        <v>0</v>
      </c>
      <c r="J219" s="404">
        <f>SUM(J220:J222)</f>
        <v>0</v>
      </c>
      <c r="K219" s="404">
        <f>SUM(K220:K222)</f>
        <v>0</v>
      </c>
      <c r="L219" s="404">
        <f>SUM(L220:L222)</f>
        <v>0</v>
      </c>
      <c r="M219" s="434">
        <f t="shared" si="22"/>
        <v>0</v>
      </c>
      <c r="N219" s="404">
        <v>0</v>
      </c>
      <c r="O219" s="404">
        <f>SUM(O220:O222)</f>
        <v>0</v>
      </c>
      <c r="P219" s="404">
        <f>SUM(P220:P222)</f>
        <v>0</v>
      </c>
      <c r="Q219" s="404">
        <f>SUM(Q220:Q222)</f>
        <v>0</v>
      </c>
      <c r="R219" s="434">
        <f t="shared" si="23"/>
        <v>0</v>
      </c>
    </row>
    <row r="220" spans="1:18" s="29" customFormat="1" ht="36" hidden="1" customHeight="1">
      <c r="A220" s="134">
        <v>7131</v>
      </c>
      <c r="B220" s="179" t="s">
        <v>120</v>
      </c>
      <c r="C220" s="170"/>
      <c r="D220" s="170">
        <v>0</v>
      </c>
      <c r="E220" s="404"/>
      <c r="F220" s="404"/>
      <c r="G220" s="404"/>
      <c r="H220" s="434">
        <f t="shared" si="21"/>
        <v>0</v>
      </c>
      <c r="I220" s="404">
        <v>0</v>
      </c>
      <c r="J220" s="404"/>
      <c r="K220" s="404"/>
      <c r="L220" s="404"/>
      <c r="M220" s="434">
        <f t="shared" si="22"/>
        <v>0</v>
      </c>
      <c r="N220" s="404">
        <v>0</v>
      </c>
      <c r="O220" s="404"/>
      <c r="P220" s="404"/>
      <c r="Q220" s="404"/>
      <c r="R220" s="434">
        <f t="shared" si="23"/>
        <v>0</v>
      </c>
    </row>
    <row r="221" spans="1:18" s="29" customFormat="1" ht="36" hidden="1" customHeight="1">
      <c r="A221" s="134">
        <v>7132</v>
      </c>
      <c r="B221" s="179" t="s">
        <v>121</v>
      </c>
      <c r="C221" s="170"/>
      <c r="D221" s="170">
        <v>0</v>
      </c>
      <c r="E221" s="404"/>
      <c r="F221" s="404"/>
      <c r="G221" s="404"/>
      <c r="H221" s="434">
        <f t="shared" si="21"/>
        <v>0</v>
      </c>
      <c r="I221" s="404">
        <v>0</v>
      </c>
      <c r="J221" s="404"/>
      <c r="K221" s="404"/>
      <c r="L221" s="404"/>
      <c r="M221" s="434">
        <f t="shared" si="22"/>
        <v>0</v>
      </c>
      <c r="N221" s="404">
        <v>0</v>
      </c>
      <c r="O221" s="404"/>
      <c r="P221" s="404"/>
      <c r="Q221" s="404"/>
      <c r="R221" s="434">
        <f t="shared" si="23"/>
        <v>0</v>
      </c>
    </row>
    <row r="222" spans="1:18" s="29" customFormat="1" ht="24" hidden="1" customHeight="1">
      <c r="A222" s="134" t="s">
        <v>186</v>
      </c>
      <c r="B222" s="179" t="s">
        <v>187</v>
      </c>
      <c r="C222" s="170"/>
      <c r="D222" s="170">
        <v>0</v>
      </c>
      <c r="E222" s="404"/>
      <c r="F222" s="404"/>
      <c r="G222" s="404"/>
      <c r="H222" s="434">
        <f t="shared" si="21"/>
        <v>0</v>
      </c>
      <c r="I222" s="404">
        <v>0</v>
      </c>
      <c r="J222" s="404"/>
      <c r="K222" s="404"/>
      <c r="L222" s="404"/>
      <c r="M222" s="434">
        <f t="shared" si="22"/>
        <v>0</v>
      </c>
      <c r="N222" s="404">
        <v>0</v>
      </c>
      <c r="O222" s="404"/>
      <c r="P222" s="404"/>
      <c r="Q222" s="404"/>
      <c r="R222" s="434">
        <f t="shared" si="23"/>
        <v>0</v>
      </c>
    </row>
    <row r="223" spans="1:18" s="29" customFormat="1" ht="24">
      <c r="A223" s="132">
        <v>7300</v>
      </c>
      <c r="B223" s="172" t="s">
        <v>155</v>
      </c>
      <c r="C223" s="170">
        <v>2043658</v>
      </c>
      <c r="D223" s="170">
        <v>4274949</v>
      </c>
      <c r="E223" s="404">
        <f>SUM(E224:E226)</f>
        <v>6304778</v>
      </c>
      <c r="F223" s="404">
        <f>SUM(F224:F226)</f>
        <v>0</v>
      </c>
      <c r="G223" s="404">
        <f>SUM(G224:G226)</f>
        <v>0</v>
      </c>
      <c r="H223" s="434">
        <f t="shared" si="21"/>
        <v>10579727</v>
      </c>
      <c r="I223" s="404">
        <v>199772</v>
      </c>
      <c r="J223" s="404">
        <f>SUM(J224:J226)</f>
        <v>1790439</v>
      </c>
      <c r="K223" s="404">
        <f>SUM(K224:K226)</f>
        <v>0</v>
      </c>
      <c r="L223" s="404">
        <f>SUM(L224:L226)</f>
        <v>0</v>
      </c>
      <c r="M223" s="434">
        <f t="shared" si="22"/>
        <v>1990211</v>
      </c>
      <c r="N223" s="404">
        <v>0</v>
      </c>
      <c r="O223" s="404">
        <f>SUM(O224:O226)</f>
        <v>300000</v>
      </c>
      <c r="P223" s="404">
        <f>SUM(P224:P226)</f>
        <v>0</v>
      </c>
      <c r="Q223" s="404">
        <f>SUM(Q224:Q226)</f>
        <v>0</v>
      </c>
      <c r="R223" s="434">
        <f t="shared" si="23"/>
        <v>300000</v>
      </c>
    </row>
    <row r="224" spans="1:18" s="29" customFormat="1" ht="24" hidden="1" customHeight="1">
      <c r="A224" s="133" t="s">
        <v>188</v>
      </c>
      <c r="B224" s="179" t="s">
        <v>170</v>
      </c>
      <c r="C224" s="204"/>
      <c r="D224" s="204">
        <v>0</v>
      </c>
      <c r="E224" s="443"/>
      <c r="F224" s="443"/>
      <c r="G224" s="443"/>
      <c r="H224" s="434">
        <f t="shared" si="21"/>
        <v>0</v>
      </c>
      <c r="I224" s="443">
        <v>0</v>
      </c>
      <c r="J224" s="443"/>
      <c r="K224" s="443"/>
      <c r="L224" s="443"/>
      <c r="M224" s="434">
        <f t="shared" si="22"/>
        <v>0</v>
      </c>
      <c r="N224" s="443">
        <v>0</v>
      </c>
      <c r="O224" s="443"/>
      <c r="P224" s="443"/>
      <c r="Q224" s="443"/>
      <c r="R224" s="434">
        <f t="shared" si="23"/>
        <v>0</v>
      </c>
    </row>
    <row r="225" spans="1:18" s="29" customFormat="1" ht="48">
      <c r="A225" s="133" t="s">
        <v>189</v>
      </c>
      <c r="B225" s="179" t="s">
        <v>156</v>
      </c>
      <c r="C225" s="204">
        <v>1952766</v>
      </c>
      <c r="D225" s="204">
        <v>4269949</v>
      </c>
      <c r="E225" s="443">
        <f>600000+5690228+14550</f>
        <v>6304778</v>
      </c>
      <c r="F225" s="443"/>
      <c r="G225" s="443"/>
      <c r="H225" s="434">
        <f t="shared" si="21"/>
        <v>10574727</v>
      </c>
      <c r="I225" s="443">
        <v>199772</v>
      </c>
      <c r="J225" s="443">
        <f>405000+1382419+3020</f>
        <v>1790439</v>
      </c>
      <c r="K225" s="443"/>
      <c r="L225" s="443"/>
      <c r="M225" s="434">
        <f t="shared" si="22"/>
        <v>1990211</v>
      </c>
      <c r="N225" s="443">
        <v>0</v>
      </c>
      <c r="O225" s="443">
        <f>300000</f>
        <v>300000</v>
      </c>
      <c r="P225" s="443"/>
      <c r="Q225" s="443"/>
      <c r="R225" s="434">
        <f t="shared" si="23"/>
        <v>300000</v>
      </c>
    </row>
    <row r="226" spans="1:18" s="29" customFormat="1" ht="36">
      <c r="A226" s="133">
        <v>7350</v>
      </c>
      <c r="B226" s="179" t="s">
        <v>163</v>
      </c>
      <c r="C226" s="204">
        <v>90892</v>
      </c>
      <c r="D226" s="204">
        <v>5000</v>
      </c>
      <c r="E226" s="443"/>
      <c r="F226" s="443"/>
      <c r="G226" s="443"/>
      <c r="H226" s="434">
        <f t="shared" si="21"/>
        <v>5000</v>
      </c>
      <c r="I226" s="443">
        <v>0</v>
      </c>
      <c r="J226" s="443"/>
      <c r="K226" s="443"/>
      <c r="L226" s="443"/>
      <c r="M226" s="434">
        <f t="shared" si="22"/>
        <v>0</v>
      </c>
      <c r="N226" s="443">
        <v>0</v>
      </c>
      <c r="O226" s="443"/>
      <c r="P226" s="443"/>
      <c r="Q226" s="443"/>
      <c r="R226" s="434">
        <f t="shared" si="23"/>
        <v>0</v>
      </c>
    </row>
    <row r="227" spans="1:18" s="29" customFormat="1" ht="24" hidden="1" customHeight="1">
      <c r="A227" s="132">
        <v>7400</v>
      </c>
      <c r="B227" s="172" t="s">
        <v>161</v>
      </c>
      <c r="C227" s="170">
        <v>0</v>
      </c>
      <c r="D227" s="170">
        <v>0</v>
      </c>
      <c r="E227" s="404">
        <f>SUM(E228:E229)</f>
        <v>0</v>
      </c>
      <c r="F227" s="404">
        <f>SUM(F228:F229)</f>
        <v>0</v>
      </c>
      <c r="G227" s="404">
        <f>SUM(G228:G229)</f>
        <v>0</v>
      </c>
      <c r="H227" s="434">
        <f t="shared" si="21"/>
        <v>0</v>
      </c>
      <c r="I227" s="404">
        <v>0</v>
      </c>
      <c r="J227" s="404">
        <f>SUM(J228:J229)</f>
        <v>0</v>
      </c>
      <c r="K227" s="404">
        <f>SUM(K228:K229)</f>
        <v>0</v>
      </c>
      <c r="L227" s="404">
        <f>SUM(L228:L229)</f>
        <v>0</v>
      </c>
      <c r="M227" s="434">
        <f t="shared" si="22"/>
        <v>0</v>
      </c>
      <c r="N227" s="404">
        <v>0</v>
      </c>
      <c r="O227" s="404">
        <f>SUM(O228:O229)</f>
        <v>0</v>
      </c>
      <c r="P227" s="404">
        <f>SUM(P228:P229)</f>
        <v>0</v>
      </c>
      <c r="Q227" s="404">
        <f>SUM(Q228:Q229)</f>
        <v>0</v>
      </c>
      <c r="R227" s="434">
        <f t="shared" si="23"/>
        <v>0</v>
      </c>
    </row>
    <row r="228" spans="1:18" s="29" customFormat="1" ht="24" hidden="1" customHeight="1">
      <c r="A228" s="133">
        <v>7460</v>
      </c>
      <c r="B228" s="172" t="s">
        <v>162</v>
      </c>
      <c r="C228" s="204"/>
      <c r="D228" s="204">
        <v>0</v>
      </c>
      <c r="E228" s="443"/>
      <c r="F228" s="443"/>
      <c r="G228" s="443"/>
      <c r="H228" s="434">
        <f t="shared" si="21"/>
        <v>0</v>
      </c>
      <c r="I228" s="443">
        <v>0</v>
      </c>
      <c r="J228" s="443"/>
      <c r="K228" s="443"/>
      <c r="L228" s="443"/>
      <c r="M228" s="434">
        <f t="shared" si="22"/>
        <v>0</v>
      </c>
      <c r="N228" s="443">
        <v>0</v>
      </c>
      <c r="O228" s="443"/>
      <c r="P228" s="443"/>
      <c r="Q228" s="443"/>
      <c r="R228" s="434">
        <f t="shared" si="23"/>
        <v>0</v>
      </c>
    </row>
    <row r="229" spans="1:18" s="29" customFormat="1" ht="48" hidden="1" customHeight="1">
      <c r="A229" s="133">
        <v>7470</v>
      </c>
      <c r="B229" s="179" t="s">
        <v>167</v>
      </c>
      <c r="C229" s="204"/>
      <c r="D229" s="204">
        <v>0</v>
      </c>
      <c r="E229" s="443"/>
      <c r="F229" s="443"/>
      <c r="G229" s="443"/>
      <c r="H229" s="434">
        <f t="shared" si="21"/>
        <v>0</v>
      </c>
      <c r="I229" s="443">
        <v>0</v>
      </c>
      <c r="J229" s="443"/>
      <c r="K229" s="443"/>
      <c r="L229" s="443"/>
      <c r="M229" s="434">
        <f t="shared" si="22"/>
        <v>0</v>
      </c>
      <c r="N229" s="443">
        <v>0</v>
      </c>
      <c r="O229" s="443"/>
      <c r="P229" s="443"/>
      <c r="Q229" s="443"/>
      <c r="R229" s="434">
        <f t="shared" si="23"/>
        <v>0</v>
      </c>
    </row>
    <row r="230" spans="1:18" s="29" customFormat="1" ht="24">
      <c r="A230" s="132">
        <v>7500</v>
      </c>
      <c r="B230" s="179" t="s">
        <v>157</v>
      </c>
      <c r="C230" s="170">
        <v>16460882</v>
      </c>
      <c r="D230" s="170">
        <v>21023261</v>
      </c>
      <c r="E230" s="404">
        <v>11020118</v>
      </c>
      <c r="F230" s="404"/>
      <c r="G230" s="404"/>
      <c r="H230" s="434">
        <f t="shared" si="21"/>
        <v>32043379</v>
      </c>
      <c r="I230" s="404">
        <v>1708732</v>
      </c>
      <c r="J230" s="404">
        <v>9541605</v>
      </c>
      <c r="K230" s="404"/>
      <c r="L230" s="404"/>
      <c r="M230" s="434">
        <f t="shared" si="22"/>
        <v>11250337</v>
      </c>
      <c r="N230" s="404">
        <v>0</v>
      </c>
      <c r="O230" s="404">
        <v>2659930</v>
      </c>
      <c r="P230" s="404"/>
      <c r="Q230" s="404"/>
      <c r="R230" s="434">
        <f t="shared" si="23"/>
        <v>2659930</v>
      </c>
    </row>
    <row r="231" spans="1:18" s="29" customFormat="1" ht="12">
      <c r="A231" s="140" t="s">
        <v>133</v>
      </c>
      <c r="B231" s="124" t="s">
        <v>122</v>
      </c>
      <c r="C231" s="205">
        <v>3067295</v>
      </c>
      <c r="D231" s="205">
        <v>0</v>
      </c>
      <c r="E231" s="445">
        <f>E232+E233</f>
        <v>1049665</v>
      </c>
      <c r="F231" s="445">
        <f>F232+F233</f>
        <v>0</v>
      </c>
      <c r="G231" s="445">
        <f>G232+G233</f>
        <v>0</v>
      </c>
      <c r="H231" s="434">
        <f t="shared" si="21"/>
        <v>1049665</v>
      </c>
      <c r="I231" s="445">
        <v>0</v>
      </c>
      <c r="J231" s="445">
        <f>J232+J233</f>
        <v>1360000</v>
      </c>
      <c r="K231" s="445">
        <f>K232+K233</f>
        <v>0</v>
      </c>
      <c r="L231" s="445">
        <f>L232+L233</f>
        <v>0</v>
      </c>
      <c r="M231" s="434">
        <f t="shared" si="22"/>
        <v>1360000</v>
      </c>
      <c r="N231" s="445">
        <v>0</v>
      </c>
      <c r="O231" s="445">
        <f>O232+O233</f>
        <v>218528</v>
      </c>
      <c r="P231" s="445">
        <f>P232+P233</f>
        <v>0</v>
      </c>
      <c r="Q231" s="445">
        <f>Q232+Q233</f>
        <v>0</v>
      </c>
      <c r="R231" s="434">
        <f t="shared" si="23"/>
        <v>218528</v>
      </c>
    </row>
    <row r="232" spans="1:18" s="29" customFormat="1" ht="12">
      <c r="A232" s="140">
        <v>5000</v>
      </c>
      <c r="B232" s="124" t="s">
        <v>123</v>
      </c>
      <c r="C232" s="170">
        <v>3067295</v>
      </c>
      <c r="D232" s="170">
        <v>0</v>
      </c>
      <c r="E232" s="404">
        <f>1049500+165</f>
        <v>1049665</v>
      </c>
      <c r="F232" s="437"/>
      <c r="G232" s="437"/>
      <c r="H232" s="434">
        <f t="shared" si="21"/>
        <v>1049665</v>
      </c>
      <c r="I232" s="404">
        <v>0</v>
      </c>
      <c r="J232" s="404">
        <v>1360000</v>
      </c>
      <c r="K232" s="437"/>
      <c r="L232" s="437"/>
      <c r="M232" s="434">
        <f t="shared" si="22"/>
        <v>1360000</v>
      </c>
      <c r="N232" s="404">
        <v>0</v>
      </c>
      <c r="O232" s="404">
        <f>218528</f>
        <v>218528</v>
      </c>
      <c r="P232" s="437"/>
      <c r="Q232" s="437"/>
      <c r="R232" s="434">
        <f t="shared" si="23"/>
        <v>218528</v>
      </c>
    </row>
    <row r="233" spans="1:18" s="29" customFormat="1" ht="12" hidden="1" customHeight="1">
      <c r="A233" s="140">
        <v>9000</v>
      </c>
      <c r="B233" s="182" t="s">
        <v>164</v>
      </c>
      <c r="C233" s="170">
        <v>0</v>
      </c>
      <c r="D233" s="170">
        <v>0</v>
      </c>
      <c r="E233" s="404">
        <f>E234+E240+E244+E247</f>
        <v>0</v>
      </c>
      <c r="F233" s="404">
        <f>F234+F240+F244+F247</f>
        <v>0</v>
      </c>
      <c r="G233" s="404">
        <f>G234+G240+G244+G247</f>
        <v>0</v>
      </c>
      <c r="H233" s="434">
        <f t="shared" si="21"/>
        <v>0</v>
      </c>
      <c r="I233" s="404">
        <v>0</v>
      </c>
      <c r="J233" s="404">
        <f>J234+J240+J244+J247</f>
        <v>0</v>
      </c>
      <c r="K233" s="404">
        <f>K234+K240+K244+K247</f>
        <v>0</v>
      </c>
      <c r="L233" s="404">
        <f>L234+L240+L244+L247</f>
        <v>0</v>
      </c>
      <c r="M233" s="434">
        <f t="shared" si="22"/>
        <v>0</v>
      </c>
      <c r="N233" s="404">
        <v>0</v>
      </c>
      <c r="O233" s="404">
        <f>O234+O240+O244+O247</f>
        <v>0</v>
      </c>
      <c r="P233" s="404">
        <f>P234+P240+P244+P247</f>
        <v>0</v>
      </c>
      <c r="Q233" s="404">
        <f>Q234+Q240+Q244+Q247</f>
        <v>0</v>
      </c>
      <c r="R233" s="434">
        <f t="shared" si="23"/>
        <v>0</v>
      </c>
    </row>
    <row r="234" spans="1:18" s="29" customFormat="1" ht="12" hidden="1" customHeight="1">
      <c r="A234" s="141">
        <v>9100</v>
      </c>
      <c r="B234" s="179" t="s">
        <v>124</v>
      </c>
      <c r="C234" s="170">
        <v>0</v>
      </c>
      <c r="D234" s="170">
        <v>0</v>
      </c>
      <c r="E234" s="404">
        <f>SUM(E235:E236)</f>
        <v>0</v>
      </c>
      <c r="F234" s="404">
        <f>SUM(F235:F236)</f>
        <v>0</v>
      </c>
      <c r="G234" s="404">
        <f>SUM(G235:G236)</f>
        <v>0</v>
      </c>
      <c r="H234" s="434">
        <f t="shared" si="21"/>
        <v>0</v>
      </c>
      <c r="I234" s="404">
        <v>0</v>
      </c>
      <c r="J234" s="404">
        <f>SUM(J235:J236)</f>
        <v>0</v>
      </c>
      <c r="K234" s="404">
        <f>SUM(K235:K236)</f>
        <v>0</v>
      </c>
      <c r="L234" s="404">
        <f>SUM(L235:L236)</f>
        <v>0</v>
      </c>
      <c r="M234" s="434">
        <f t="shared" si="22"/>
        <v>0</v>
      </c>
      <c r="N234" s="404">
        <v>0</v>
      </c>
      <c r="O234" s="404">
        <f>SUM(O235:O236)</f>
        <v>0</v>
      </c>
      <c r="P234" s="404">
        <f>SUM(P235:P236)</f>
        <v>0</v>
      </c>
      <c r="Q234" s="404">
        <f>SUM(Q235:Q236)</f>
        <v>0</v>
      </c>
      <c r="R234" s="434">
        <f t="shared" si="23"/>
        <v>0</v>
      </c>
    </row>
    <row r="235" spans="1:18" s="29" customFormat="1" ht="24" hidden="1" customHeight="1">
      <c r="A235" s="133" t="s">
        <v>125</v>
      </c>
      <c r="B235" s="179" t="s">
        <v>214</v>
      </c>
      <c r="C235" s="170"/>
      <c r="D235" s="170">
        <v>0</v>
      </c>
      <c r="E235" s="404"/>
      <c r="F235" s="404"/>
      <c r="G235" s="404"/>
      <c r="H235" s="434">
        <f t="shared" si="21"/>
        <v>0</v>
      </c>
      <c r="I235" s="404">
        <v>0</v>
      </c>
      <c r="J235" s="404"/>
      <c r="K235" s="404"/>
      <c r="L235" s="404"/>
      <c r="M235" s="434">
        <f t="shared" si="22"/>
        <v>0</v>
      </c>
      <c r="N235" s="404">
        <v>0</v>
      </c>
      <c r="O235" s="404"/>
      <c r="P235" s="404"/>
      <c r="Q235" s="404"/>
      <c r="R235" s="434">
        <f t="shared" si="23"/>
        <v>0</v>
      </c>
    </row>
    <row r="236" spans="1:18" s="29" customFormat="1" ht="24" hidden="1" customHeight="1">
      <c r="A236" s="133">
        <v>9140</v>
      </c>
      <c r="B236" s="179" t="s">
        <v>215</v>
      </c>
      <c r="C236" s="170">
        <v>0</v>
      </c>
      <c r="D236" s="170">
        <v>0</v>
      </c>
      <c r="E236" s="404">
        <f>SUM(E237:E239)</f>
        <v>0</v>
      </c>
      <c r="F236" s="404">
        <f>SUM(F237:F239)</f>
        <v>0</v>
      </c>
      <c r="G236" s="404">
        <f>SUM(G237:G239)</f>
        <v>0</v>
      </c>
      <c r="H236" s="434">
        <f t="shared" si="21"/>
        <v>0</v>
      </c>
      <c r="I236" s="404">
        <v>0</v>
      </c>
      <c r="J236" s="404">
        <f>SUM(J237:J239)</f>
        <v>0</v>
      </c>
      <c r="K236" s="404">
        <f>SUM(K237:K239)</f>
        <v>0</v>
      </c>
      <c r="L236" s="404">
        <f>SUM(L237:L239)</f>
        <v>0</v>
      </c>
      <c r="M236" s="434">
        <f t="shared" si="22"/>
        <v>0</v>
      </c>
      <c r="N236" s="404">
        <v>0</v>
      </c>
      <c r="O236" s="404">
        <f>SUM(O237:O239)</f>
        <v>0</v>
      </c>
      <c r="P236" s="404">
        <f>SUM(P237:P239)</f>
        <v>0</v>
      </c>
      <c r="Q236" s="404">
        <f>SUM(Q237:Q239)</f>
        <v>0</v>
      </c>
      <c r="R236" s="434">
        <f t="shared" si="23"/>
        <v>0</v>
      </c>
    </row>
    <row r="237" spans="1:18" s="29" customFormat="1" ht="36" hidden="1" customHeight="1">
      <c r="A237" s="134">
        <v>9141</v>
      </c>
      <c r="B237" s="172" t="s">
        <v>190</v>
      </c>
      <c r="C237" s="204"/>
      <c r="D237" s="204">
        <v>0</v>
      </c>
      <c r="E237" s="443"/>
      <c r="F237" s="443"/>
      <c r="G237" s="443"/>
      <c r="H237" s="434">
        <f t="shared" si="21"/>
        <v>0</v>
      </c>
      <c r="I237" s="443">
        <v>0</v>
      </c>
      <c r="J237" s="443"/>
      <c r="K237" s="443"/>
      <c r="L237" s="443"/>
      <c r="M237" s="434">
        <f t="shared" si="22"/>
        <v>0</v>
      </c>
      <c r="N237" s="443">
        <v>0</v>
      </c>
      <c r="O237" s="443"/>
      <c r="P237" s="443"/>
      <c r="Q237" s="443"/>
      <c r="R237" s="434">
        <f t="shared" si="23"/>
        <v>0</v>
      </c>
    </row>
    <row r="238" spans="1:18" s="29" customFormat="1" ht="36" hidden="1" customHeight="1">
      <c r="A238" s="134">
        <v>9142</v>
      </c>
      <c r="B238" s="172" t="s">
        <v>191</v>
      </c>
      <c r="C238" s="204"/>
      <c r="D238" s="204">
        <v>0</v>
      </c>
      <c r="E238" s="443"/>
      <c r="F238" s="443"/>
      <c r="G238" s="443"/>
      <c r="H238" s="434">
        <f t="shared" si="21"/>
        <v>0</v>
      </c>
      <c r="I238" s="443">
        <v>0</v>
      </c>
      <c r="J238" s="443"/>
      <c r="K238" s="443"/>
      <c r="L238" s="443"/>
      <c r="M238" s="434">
        <f t="shared" si="22"/>
        <v>0</v>
      </c>
      <c r="N238" s="443">
        <v>0</v>
      </c>
      <c r="O238" s="443"/>
      <c r="P238" s="443"/>
      <c r="Q238" s="443"/>
      <c r="R238" s="434">
        <f t="shared" si="23"/>
        <v>0</v>
      </c>
    </row>
    <row r="239" spans="1:18" s="29" customFormat="1" ht="24" hidden="1" customHeight="1">
      <c r="A239" s="134">
        <v>9149</v>
      </c>
      <c r="B239" s="172" t="s">
        <v>192</v>
      </c>
      <c r="C239" s="204"/>
      <c r="D239" s="204">
        <v>0</v>
      </c>
      <c r="E239" s="443"/>
      <c r="F239" s="443"/>
      <c r="G239" s="443"/>
      <c r="H239" s="434">
        <f t="shared" si="21"/>
        <v>0</v>
      </c>
      <c r="I239" s="443">
        <v>0</v>
      </c>
      <c r="J239" s="443"/>
      <c r="K239" s="443"/>
      <c r="L239" s="443"/>
      <c r="M239" s="434">
        <f t="shared" si="22"/>
        <v>0</v>
      </c>
      <c r="N239" s="443">
        <v>0</v>
      </c>
      <c r="O239" s="443"/>
      <c r="P239" s="443"/>
      <c r="Q239" s="443"/>
      <c r="R239" s="434">
        <f t="shared" si="23"/>
        <v>0</v>
      </c>
    </row>
    <row r="240" spans="1:18" s="29" customFormat="1" ht="24" hidden="1" customHeight="1">
      <c r="A240" s="141">
        <v>9500</v>
      </c>
      <c r="B240" s="172" t="s">
        <v>165</v>
      </c>
      <c r="C240" s="170">
        <v>0</v>
      </c>
      <c r="D240" s="170">
        <v>0</v>
      </c>
      <c r="E240" s="404">
        <f>SUM(E241:E243)</f>
        <v>0</v>
      </c>
      <c r="F240" s="404">
        <f>SUM(F241:F243)</f>
        <v>0</v>
      </c>
      <c r="G240" s="404">
        <f>SUM(G241:G243)</f>
        <v>0</v>
      </c>
      <c r="H240" s="434">
        <f t="shared" si="21"/>
        <v>0</v>
      </c>
      <c r="I240" s="404">
        <v>0</v>
      </c>
      <c r="J240" s="404">
        <f>SUM(J241:J243)</f>
        <v>0</v>
      </c>
      <c r="K240" s="404">
        <f>SUM(K241:K243)</f>
        <v>0</v>
      </c>
      <c r="L240" s="404">
        <f>SUM(L241:L243)</f>
        <v>0</v>
      </c>
      <c r="M240" s="434">
        <f t="shared" si="22"/>
        <v>0</v>
      </c>
      <c r="N240" s="404">
        <v>0</v>
      </c>
      <c r="O240" s="404">
        <f>SUM(O241:O243)</f>
        <v>0</v>
      </c>
      <c r="P240" s="404">
        <f>SUM(P241:P243)</f>
        <v>0</v>
      </c>
      <c r="Q240" s="404">
        <f>SUM(Q241:Q243)</f>
        <v>0</v>
      </c>
      <c r="R240" s="434">
        <f t="shared" si="23"/>
        <v>0</v>
      </c>
    </row>
    <row r="241" spans="1:18" s="29" customFormat="1" ht="24" hidden="1" customHeight="1">
      <c r="A241" s="133" t="s">
        <v>193</v>
      </c>
      <c r="B241" s="172" t="s">
        <v>171</v>
      </c>
      <c r="C241" s="170"/>
      <c r="D241" s="170">
        <v>0</v>
      </c>
      <c r="E241" s="404"/>
      <c r="F241" s="404"/>
      <c r="G241" s="404"/>
      <c r="H241" s="434">
        <f t="shared" si="21"/>
        <v>0</v>
      </c>
      <c r="I241" s="404">
        <v>0</v>
      </c>
      <c r="J241" s="404"/>
      <c r="K241" s="404"/>
      <c r="L241" s="404"/>
      <c r="M241" s="434">
        <f t="shared" si="22"/>
        <v>0</v>
      </c>
      <c r="N241" s="404">
        <v>0</v>
      </c>
      <c r="O241" s="404"/>
      <c r="P241" s="404"/>
      <c r="Q241" s="404"/>
      <c r="R241" s="434">
        <f t="shared" si="23"/>
        <v>0</v>
      </c>
    </row>
    <row r="242" spans="1:18" s="29" customFormat="1" ht="48" hidden="1" customHeight="1">
      <c r="A242" s="133">
        <v>9580</v>
      </c>
      <c r="B242" s="172" t="s">
        <v>166</v>
      </c>
      <c r="C242" s="204"/>
      <c r="D242" s="204">
        <v>0</v>
      </c>
      <c r="E242" s="443"/>
      <c r="F242" s="443"/>
      <c r="G242" s="443"/>
      <c r="H242" s="434">
        <f t="shared" si="21"/>
        <v>0</v>
      </c>
      <c r="I242" s="443">
        <v>0</v>
      </c>
      <c r="J242" s="443"/>
      <c r="K242" s="443"/>
      <c r="L242" s="443"/>
      <c r="M242" s="434">
        <f t="shared" si="22"/>
        <v>0</v>
      </c>
      <c r="N242" s="443">
        <v>0</v>
      </c>
      <c r="O242" s="443"/>
      <c r="P242" s="443"/>
      <c r="Q242" s="443"/>
      <c r="R242" s="434">
        <f t="shared" si="23"/>
        <v>0</v>
      </c>
    </row>
    <row r="243" spans="1:18" s="29" customFormat="1" ht="48" hidden="1" customHeight="1">
      <c r="A243" s="133">
        <v>9590</v>
      </c>
      <c r="B243" s="179" t="s">
        <v>172</v>
      </c>
      <c r="C243" s="204"/>
      <c r="D243" s="204">
        <v>0</v>
      </c>
      <c r="E243" s="443"/>
      <c r="F243" s="443"/>
      <c r="G243" s="443"/>
      <c r="H243" s="434">
        <f t="shared" si="21"/>
        <v>0</v>
      </c>
      <c r="I243" s="443">
        <v>0</v>
      </c>
      <c r="J243" s="443"/>
      <c r="K243" s="443"/>
      <c r="L243" s="443"/>
      <c r="M243" s="434">
        <f t="shared" si="22"/>
        <v>0</v>
      </c>
      <c r="N243" s="443">
        <v>0</v>
      </c>
      <c r="O243" s="443"/>
      <c r="P243" s="443"/>
      <c r="Q243" s="443"/>
      <c r="R243" s="434">
        <f t="shared" si="23"/>
        <v>0</v>
      </c>
    </row>
    <row r="244" spans="1:18" s="29" customFormat="1" ht="24" hidden="1" customHeight="1">
      <c r="A244" s="141">
        <v>9700</v>
      </c>
      <c r="B244" s="183" t="s">
        <v>194</v>
      </c>
      <c r="C244" s="170">
        <v>0</v>
      </c>
      <c r="D244" s="170">
        <v>0</v>
      </c>
      <c r="E244" s="404">
        <f>SUM(E245:E246)</f>
        <v>0</v>
      </c>
      <c r="F244" s="404">
        <f>SUM(F245:F246)</f>
        <v>0</v>
      </c>
      <c r="G244" s="404">
        <f>SUM(G245:G246)</f>
        <v>0</v>
      </c>
      <c r="H244" s="434">
        <f t="shared" si="21"/>
        <v>0</v>
      </c>
      <c r="I244" s="404">
        <v>0</v>
      </c>
      <c r="J244" s="404">
        <f>SUM(J245:J246)</f>
        <v>0</v>
      </c>
      <c r="K244" s="404">
        <f>SUM(K245:K246)</f>
        <v>0</v>
      </c>
      <c r="L244" s="404">
        <f>SUM(L245:L246)</f>
        <v>0</v>
      </c>
      <c r="M244" s="434">
        <f t="shared" si="22"/>
        <v>0</v>
      </c>
      <c r="N244" s="404">
        <v>0</v>
      </c>
      <c r="O244" s="404">
        <f>SUM(O245:O246)</f>
        <v>0</v>
      </c>
      <c r="P244" s="404">
        <f>SUM(P245:P246)</f>
        <v>0</v>
      </c>
      <c r="Q244" s="404">
        <f>SUM(Q245:Q246)</f>
        <v>0</v>
      </c>
      <c r="R244" s="434">
        <f t="shared" si="23"/>
        <v>0</v>
      </c>
    </row>
    <row r="245" spans="1:18" s="29" customFormat="1" ht="24" hidden="1" customHeight="1">
      <c r="A245" s="133">
        <v>9710</v>
      </c>
      <c r="B245" s="184" t="s">
        <v>195</v>
      </c>
      <c r="C245" s="204"/>
      <c r="D245" s="204">
        <v>0</v>
      </c>
      <c r="E245" s="443"/>
      <c r="F245" s="443"/>
      <c r="G245" s="443"/>
      <c r="H245" s="434">
        <f t="shared" si="21"/>
        <v>0</v>
      </c>
      <c r="I245" s="443">
        <v>0</v>
      </c>
      <c r="J245" s="443"/>
      <c r="K245" s="443"/>
      <c r="L245" s="443"/>
      <c r="M245" s="434">
        <f t="shared" si="22"/>
        <v>0</v>
      </c>
      <c r="N245" s="443">
        <v>0</v>
      </c>
      <c r="O245" s="443"/>
      <c r="P245" s="443"/>
      <c r="Q245" s="443"/>
      <c r="R245" s="434">
        <f t="shared" si="23"/>
        <v>0</v>
      </c>
    </row>
    <row r="246" spans="1:18" s="29" customFormat="1" ht="48" hidden="1" customHeight="1">
      <c r="A246" s="142">
        <v>9720</v>
      </c>
      <c r="B246" s="183" t="s">
        <v>196</v>
      </c>
      <c r="C246" s="204"/>
      <c r="D246" s="204">
        <v>0</v>
      </c>
      <c r="E246" s="443"/>
      <c r="F246" s="443"/>
      <c r="G246" s="443"/>
      <c r="H246" s="434">
        <f t="shared" si="21"/>
        <v>0</v>
      </c>
      <c r="I246" s="443">
        <v>0</v>
      </c>
      <c r="J246" s="443"/>
      <c r="K246" s="443"/>
      <c r="L246" s="443"/>
      <c r="M246" s="434">
        <f t="shared" si="22"/>
        <v>0</v>
      </c>
      <c r="N246" s="443">
        <v>0</v>
      </c>
      <c r="O246" s="443"/>
      <c r="P246" s="443"/>
      <c r="Q246" s="443"/>
      <c r="R246" s="434">
        <f t="shared" si="23"/>
        <v>0</v>
      </c>
    </row>
    <row r="247" spans="1:18" s="29" customFormat="1" ht="24" hidden="1" customHeight="1">
      <c r="A247" s="141">
        <v>9600</v>
      </c>
      <c r="B247" s="179" t="s">
        <v>134</v>
      </c>
      <c r="C247" s="204"/>
      <c r="D247" s="204">
        <v>0</v>
      </c>
      <c r="E247" s="443"/>
      <c r="F247" s="443"/>
      <c r="G247" s="443"/>
      <c r="H247" s="434">
        <f t="shared" si="21"/>
        <v>0</v>
      </c>
      <c r="I247" s="443">
        <v>0</v>
      </c>
      <c r="J247" s="443"/>
      <c r="K247" s="443"/>
      <c r="L247" s="443"/>
      <c r="M247" s="434">
        <f t="shared" si="22"/>
        <v>0</v>
      </c>
      <c r="N247" s="443">
        <v>0</v>
      </c>
      <c r="O247" s="443"/>
      <c r="P247" s="443"/>
      <c r="Q247" s="443"/>
      <c r="R247" s="434">
        <f t="shared" si="23"/>
        <v>0</v>
      </c>
    </row>
    <row r="248" spans="1:18" s="29" customFormat="1" ht="52.5" hidden="1" customHeight="1">
      <c r="A248" s="130" t="s">
        <v>197</v>
      </c>
      <c r="B248" s="185" t="s">
        <v>47</v>
      </c>
      <c r="C248" s="206">
        <v>0</v>
      </c>
      <c r="D248" s="206">
        <v>0</v>
      </c>
      <c r="E248" s="450">
        <f>E178-E203</f>
        <v>0</v>
      </c>
      <c r="F248" s="450">
        <f>F178-F203</f>
        <v>0</v>
      </c>
      <c r="G248" s="450">
        <f>G178-G203</f>
        <v>0</v>
      </c>
      <c r="H248" s="434">
        <f t="shared" si="21"/>
        <v>0</v>
      </c>
      <c r="I248" s="450">
        <v>0</v>
      </c>
      <c r="J248" s="450">
        <f>J178-J203</f>
        <v>0</v>
      </c>
      <c r="K248" s="450">
        <f>K178-K203</f>
        <v>0</v>
      </c>
      <c r="L248" s="450">
        <f>L178-L203</f>
        <v>0</v>
      </c>
      <c r="M248" s="434">
        <f t="shared" si="22"/>
        <v>0</v>
      </c>
      <c r="N248" s="450">
        <v>0</v>
      </c>
      <c r="O248" s="450">
        <f>O178-O203</f>
        <v>0</v>
      </c>
      <c r="P248" s="450">
        <f>P178-P203</f>
        <v>0</v>
      </c>
      <c r="Q248" s="450">
        <f>Q178-Q203</f>
        <v>0</v>
      </c>
      <c r="R248" s="434">
        <f t="shared" si="23"/>
        <v>0</v>
      </c>
    </row>
    <row r="249" spans="1:18" s="29" customFormat="1" ht="12" hidden="1" customHeight="1">
      <c r="A249" s="143" t="s">
        <v>48</v>
      </c>
      <c r="B249" s="185" t="s">
        <v>49</v>
      </c>
      <c r="C249" s="206">
        <v>0</v>
      </c>
      <c r="D249" s="206">
        <v>0</v>
      </c>
      <c r="E249" s="450">
        <f>E250+E253+E257+E256</f>
        <v>0</v>
      </c>
      <c r="F249" s="450">
        <f>F250+F253+F257+F256</f>
        <v>0</v>
      </c>
      <c r="G249" s="450">
        <f>G250+G253+G257+G256</f>
        <v>0</v>
      </c>
      <c r="H249" s="434">
        <f t="shared" si="21"/>
        <v>0</v>
      </c>
      <c r="I249" s="450">
        <v>0</v>
      </c>
      <c r="J249" s="450">
        <f>J250+J253+J257+J256</f>
        <v>0</v>
      </c>
      <c r="K249" s="450">
        <f>K250+K253+K257+K256</f>
        <v>0</v>
      </c>
      <c r="L249" s="450">
        <f>L250+L253+L257+L256</f>
        <v>0</v>
      </c>
      <c r="M249" s="434">
        <f t="shared" si="22"/>
        <v>0</v>
      </c>
      <c r="N249" s="450">
        <v>0</v>
      </c>
      <c r="O249" s="450">
        <f>O250+O253+O257+O256</f>
        <v>0</v>
      </c>
      <c r="P249" s="450">
        <f>P250+P253+P257+P256</f>
        <v>0</v>
      </c>
      <c r="Q249" s="450">
        <f>Q250+Q253+Q257+Q256</f>
        <v>0</v>
      </c>
      <c r="R249" s="434">
        <f t="shared" si="23"/>
        <v>0</v>
      </c>
    </row>
    <row r="250" spans="1:18" s="29" customFormat="1" ht="12" hidden="1" customHeight="1">
      <c r="A250" s="141" t="s">
        <v>50</v>
      </c>
      <c r="B250" s="179" t="s">
        <v>51</v>
      </c>
      <c r="C250" s="98">
        <v>0</v>
      </c>
      <c r="D250" s="98">
        <v>0</v>
      </c>
      <c r="E250" s="433">
        <f>E251+E252</f>
        <v>0</v>
      </c>
      <c r="F250" s="433">
        <f>F251+F252</f>
        <v>0</v>
      </c>
      <c r="G250" s="433">
        <f>G251+G252</f>
        <v>0</v>
      </c>
      <c r="H250" s="434">
        <f t="shared" si="21"/>
        <v>0</v>
      </c>
      <c r="I250" s="433">
        <v>0</v>
      </c>
      <c r="J250" s="433">
        <f>J251+J252</f>
        <v>0</v>
      </c>
      <c r="K250" s="433">
        <f>K251+K252</f>
        <v>0</v>
      </c>
      <c r="L250" s="433">
        <f>L251+L252</f>
        <v>0</v>
      </c>
      <c r="M250" s="434">
        <f t="shared" si="22"/>
        <v>0</v>
      </c>
      <c r="N250" s="433">
        <v>0</v>
      </c>
      <c r="O250" s="433">
        <f>O251+O252</f>
        <v>0</v>
      </c>
      <c r="P250" s="433">
        <f>P251+P252</f>
        <v>0</v>
      </c>
      <c r="Q250" s="433">
        <f>Q251+Q252</f>
        <v>0</v>
      </c>
      <c r="R250" s="434">
        <f t="shared" si="23"/>
        <v>0</v>
      </c>
    </row>
    <row r="251" spans="1:18" s="29" customFormat="1" ht="12" hidden="1" customHeight="1">
      <c r="A251" s="141" t="s">
        <v>52</v>
      </c>
      <c r="B251" s="179" t="s">
        <v>53</v>
      </c>
      <c r="C251" s="98"/>
      <c r="D251" s="98">
        <v>0</v>
      </c>
      <c r="E251" s="433"/>
      <c r="F251" s="433"/>
      <c r="G251" s="433"/>
      <c r="H251" s="434">
        <f t="shared" si="21"/>
        <v>0</v>
      </c>
      <c r="I251" s="433">
        <v>0</v>
      </c>
      <c r="J251" s="433"/>
      <c r="K251" s="433"/>
      <c r="L251" s="433"/>
      <c r="M251" s="434">
        <f t="shared" si="22"/>
        <v>0</v>
      </c>
      <c r="N251" s="433">
        <v>0</v>
      </c>
      <c r="O251" s="433"/>
      <c r="P251" s="433"/>
      <c r="Q251" s="433"/>
      <c r="R251" s="434">
        <f t="shared" si="23"/>
        <v>0</v>
      </c>
    </row>
    <row r="252" spans="1:18" s="29" customFormat="1" ht="12" hidden="1" customHeight="1">
      <c r="A252" s="141" t="s">
        <v>54</v>
      </c>
      <c r="B252" s="179" t="s">
        <v>55</v>
      </c>
      <c r="C252" s="98"/>
      <c r="D252" s="98">
        <v>0</v>
      </c>
      <c r="E252" s="433"/>
      <c r="F252" s="433"/>
      <c r="G252" s="433"/>
      <c r="H252" s="434">
        <f t="shared" si="21"/>
        <v>0</v>
      </c>
      <c r="I252" s="433">
        <v>0</v>
      </c>
      <c r="J252" s="433"/>
      <c r="K252" s="433"/>
      <c r="L252" s="433"/>
      <c r="M252" s="434">
        <f t="shared" si="22"/>
        <v>0</v>
      </c>
      <c r="N252" s="433">
        <v>0</v>
      </c>
      <c r="O252" s="433"/>
      <c r="P252" s="433"/>
      <c r="Q252" s="433"/>
      <c r="R252" s="434">
        <f t="shared" si="23"/>
        <v>0</v>
      </c>
    </row>
    <row r="253" spans="1:18" s="29" customFormat="1" ht="12" hidden="1" customHeight="1">
      <c r="A253" s="141" t="s">
        <v>56</v>
      </c>
      <c r="B253" s="179" t="s">
        <v>57</v>
      </c>
      <c r="C253" s="98">
        <v>0</v>
      </c>
      <c r="D253" s="98">
        <v>0</v>
      </c>
      <c r="E253" s="433">
        <f>E254+E255</f>
        <v>0</v>
      </c>
      <c r="F253" s="433">
        <f>F254+F255</f>
        <v>0</v>
      </c>
      <c r="G253" s="433">
        <f>G254+G255</f>
        <v>0</v>
      </c>
      <c r="H253" s="434">
        <f t="shared" si="21"/>
        <v>0</v>
      </c>
      <c r="I253" s="433">
        <v>0</v>
      </c>
      <c r="J253" s="433">
        <f>J254+J255</f>
        <v>0</v>
      </c>
      <c r="K253" s="433">
        <f>K254+K255</f>
        <v>0</v>
      </c>
      <c r="L253" s="433">
        <f>L254+L255</f>
        <v>0</v>
      </c>
      <c r="M253" s="434">
        <f t="shared" si="22"/>
        <v>0</v>
      </c>
      <c r="N253" s="433">
        <v>0</v>
      </c>
      <c r="O253" s="433">
        <f>O254+O255</f>
        <v>0</v>
      </c>
      <c r="P253" s="433">
        <f>P254+P255</f>
        <v>0</v>
      </c>
      <c r="Q253" s="433">
        <f>Q254+Q255</f>
        <v>0</v>
      </c>
      <c r="R253" s="434">
        <f t="shared" si="23"/>
        <v>0</v>
      </c>
    </row>
    <row r="254" spans="1:18" s="29" customFormat="1" ht="12" hidden="1" customHeight="1">
      <c r="A254" s="141" t="s">
        <v>58</v>
      </c>
      <c r="B254" s="179" t="s">
        <v>59</v>
      </c>
      <c r="C254" s="98"/>
      <c r="D254" s="98">
        <v>0</v>
      </c>
      <c r="E254" s="433"/>
      <c r="F254" s="433"/>
      <c r="G254" s="433"/>
      <c r="H254" s="434">
        <f t="shared" si="21"/>
        <v>0</v>
      </c>
      <c r="I254" s="433">
        <v>0</v>
      </c>
      <c r="J254" s="433"/>
      <c r="K254" s="433"/>
      <c r="L254" s="433"/>
      <c r="M254" s="434">
        <f t="shared" si="22"/>
        <v>0</v>
      </c>
      <c r="N254" s="433">
        <v>0</v>
      </c>
      <c r="O254" s="433"/>
      <c r="P254" s="433"/>
      <c r="Q254" s="433"/>
      <c r="R254" s="434">
        <f t="shared" si="23"/>
        <v>0</v>
      </c>
    </row>
    <row r="255" spans="1:18" s="29" customFormat="1" ht="12" hidden="1" customHeight="1">
      <c r="A255" s="141" t="s">
        <v>60</v>
      </c>
      <c r="B255" s="179" t="s">
        <v>61</v>
      </c>
      <c r="C255" s="98"/>
      <c r="D255" s="98">
        <v>0</v>
      </c>
      <c r="E255" s="433"/>
      <c r="F255" s="433"/>
      <c r="G255" s="433"/>
      <c r="H255" s="434">
        <f t="shared" si="21"/>
        <v>0</v>
      </c>
      <c r="I255" s="433">
        <v>0</v>
      </c>
      <c r="J255" s="433"/>
      <c r="K255" s="433"/>
      <c r="L255" s="433"/>
      <c r="M255" s="434">
        <f t="shared" si="22"/>
        <v>0</v>
      </c>
      <c r="N255" s="433">
        <v>0</v>
      </c>
      <c r="O255" s="433"/>
      <c r="P255" s="433"/>
      <c r="Q255" s="433"/>
      <c r="R255" s="434">
        <f t="shared" si="23"/>
        <v>0</v>
      </c>
    </row>
    <row r="256" spans="1:18" s="29" customFormat="1" ht="12" hidden="1" customHeight="1">
      <c r="A256" s="141" t="s">
        <v>198</v>
      </c>
      <c r="B256" s="187" t="s">
        <v>168</v>
      </c>
      <c r="C256" s="98"/>
      <c r="D256" s="98">
        <v>0</v>
      </c>
      <c r="E256" s="433"/>
      <c r="F256" s="433"/>
      <c r="G256" s="433"/>
      <c r="H256" s="434">
        <f t="shared" si="21"/>
        <v>0</v>
      </c>
      <c r="I256" s="433">
        <v>0</v>
      </c>
      <c r="J256" s="433"/>
      <c r="K256" s="433"/>
      <c r="L256" s="433"/>
      <c r="M256" s="434">
        <f t="shared" si="22"/>
        <v>0</v>
      </c>
      <c r="N256" s="433">
        <v>0</v>
      </c>
      <c r="O256" s="433"/>
      <c r="P256" s="433"/>
      <c r="Q256" s="433"/>
      <c r="R256" s="434">
        <f t="shared" si="23"/>
        <v>0</v>
      </c>
    </row>
    <row r="257" spans="1:18" s="29" customFormat="1" ht="12" hidden="1" customHeight="1">
      <c r="A257" s="144" t="s">
        <v>62</v>
      </c>
      <c r="B257" s="125" t="s">
        <v>63</v>
      </c>
      <c r="C257" s="170">
        <v>0</v>
      </c>
      <c r="D257" s="170">
        <v>0</v>
      </c>
      <c r="E257" s="404">
        <f>E258+E259+E260</f>
        <v>0</v>
      </c>
      <c r="F257" s="404">
        <f>F258+F259+F260</f>
        <v>0</v>
      </c>
      <c r="G257" s="404">
        <f>G258+G259+G260</f>
        <v>0</v>
      </c>
      <c r="H257" s="434">
        <f t="shared" si="21"/>
        <v>0</v>
      </c>
      <c r="I257" s="404">
        <v>0</v>
      </c>
      <c r="J257" s="404">
        <f>J258+J259+J260</f>
        <v>0</v>
      </c>
      <c r="K257" s="404">
        <f>K258+K259+K260</f>
        <v>0</v>
      </c>
      <c r="L257" s="404">
        <f>L258+L259+L260</f>
        <v>0</v>
      </c>
      <c r="M257" s="434">
        <f t="shared" si="22"/>
        <v>0</v>
      </c>
      <c r="N257" s="404">
        <v>0</v>
      </c>
      <c r="O257" s="404">
        <f>O258+O259+O260</f>
        <v>0</v>
      </c>
      <c r="P257" s="404">
        <f>P258+P259+P260</f>
        <v>0</v>
      </c>
      <c r="Q257" s="404">
        <f>Q258+Q259+Q260</f>
        <v>0</v>
      </c>
      <c r="R257" s="434">
        <f t="shared" si="23"/>
        <v>0</v>
      </c>
    </row>
    <row r="258" spans="1:18" s="29" customFormat="1" ht="36" hidden="1" customHeight="1">
      <c r="A258" s="144" t="s">
        <v>64</v>
      </c>
      <c r="B258" s="179" t="s">
        <v>65</v>
      </c>
      <c r="C258" s="98"/>
      <c r="D258" s="98">
        <v>0</v>
      </c>
      <c r="E258" s="433"/>
      <c r="F258" s="433"/>
      <c r="G258" s="433"/>
      <c r="H258" s="434">
        <f t="shared" si="21"/>
        <v>0</v>
      </c>
      <c r="I258" s="433">
        <v>0</v>
      </c>
      <c r="J258" s="433"/>
      <c r="K258" s="433"/>
      <c r="L258" s="433"/>
      <c r="M258" s="434">
        <f t="shared" si="22"/>
        <v>0</v>
      </c>
      <c r="N258" s="433">
        <v>0</v>
      </c>
      <c r="O258" s="433"/>
      <c r="P258" s="433"/>
      <c r="Q258" s="433"/>
      <c r="R258" s="434">
        <f t="shared" si="23"/>
        <v>0</v>
      </c>
    </row>
    <row r="259" spans="1:18" s="29" customFormat="1" ht="24" hidden="1" customHeight="1">
      <c r="A259" s="144" t="s">
        <v>66</v>
      </c>
      <c r="B259" s="179" t="s">
        <v>67</v>
      </c>
      <c r="C259" s="98"/>
      <c r="D259" s="98">
        <v>0</v>
      </c>
      <c r="E259" s="433"/>
      <c r="F259" s="433"/>
      <c r="G259" s="433"/>
      <c r="H259" s="434">
        <f t="shared" si="21"/>
        <v>0</v>
      </c>
      <c r="I259" s="433">
        <v>0</v>
      </c>
      <c r="J259" s="433"/>
      <c r="K259" s="433"/>
      <c r="L259" s="433"/>
      <c r="M259" s="434">
        <f t="shared" si="22"/>
        <v>0</v>
      </c>
      <c r="N259" s="433">
        <v>0</v>
      </c>
      <c r="O259" s="433"/>
      <c r="P259" s="433"/>
      <c r="Q259" s="433"/>
      <c r="R259" s="434">
        <f t="shared" si="23"/>
        <v>0</v>
      </c>
    </row>
    <row r="260" spans="1:18" s="29" customFormat="1" ht="24" hidden="1" customHeight="1">
      <c r="A260" s="144" t="s">
        <v>68</v>
      </c>
      <c r="B260" s="125" t="s">
        <v>69</v>
      </c>
      <c r="C260" s="98"/>
      <c r="D260" s="98">
        <v>0</v>
      </c>
      <c r="E260" s="433"/>
      <c r="F260" s="433"/>
      <c r="G260" s="433"/>
      <c r="H260" s="434">
        <f t="shared" si="21"/>
        <v>0</v>
      </c>
      <c r="I260" s="433">
        <v>0</v>
      </c>
      <c r="J260" s="433"/>
      <c r="K260" s="433"/>
      <c r="L260" s="433"/>
      <c r="M260" s="434">
        <f t="shared" si="22"/>
        <v>0</v>
      </c>
      <c r="N260" s="433">
        <v>0</v>
      </c>
      <c r="O260" s="433"/>
      <c r="P260" s="433"/>
      <c r="Q260" s="433"/>
      <c r="R260" s="434">
        <f t="shared" si="23"/>
        <v>0</v>
      </c>
    </row>
    <row r="261" spans="1:18" s="29" customFormat="1" ht="12">
      <c r="A261" s="271"/>
      <c r="B261" s="272"/>
      <c r="C261" s="253"/>
      <c r="D261" s="254"/>
      <c r="E261" s="444"/>
      <c r="F261" s="444"/>
      <c r="G261" s="444"/>
      <c r="H261" s="434"/>
      <c r="I261" s="445"/>
      <c r="J261" s="444"/>
      <c r="K261" s="444"/>
      <c r="L261" s="444"/>
      <c r="M261" s="434"/>
      <c r="N261" s="445"/>
      <c r="O261" s="444"/>
      <c r="P261" s="444"/>
      <c r="Q261" s="444"/>
      <c r="R261" s="434"/>
    </row>
    <row r="262" spans="1:18" ht="12">
      <c r="A262" s="33"/>
      <c r="B262" s="164"/>
      <c r="C262" s="165"/>
      <c r="D262" s="163"/>
      <c r="E262" s="166"/>
      <c r="F262" s="127"/>
      <c r="G262" s="127"/>
      <c r="H262" s="127"/>
      <c r="I262" s="127"/>
      <c r="J262" s="166"/>
      <c r="K262" s="127"/>
      <c r="L262" s="127"/>
      <c r="M262" s="127"/>
      <c r="N262" s="127"/>
      <c r="O262" s="166"/>
      <c r="P262" s="127"/>
      <c r="Q262" s="127"/>
      <c r="R262" s="127"/>
    </row>
    <row r="263" spans="1:18" ht="12">
      <c r="A263" s="33"/>
      <c r="B263" s="164"/>
      <c r="C263" s="165"/>
      <c r="D263" s="163"/>
      <c r="E263" s="166"/>
      <c r="F263" s="127"/>
      <c r="G263" s="127"/>
      <c r="H263" s="127"/>
      <c r="I263" s="127"/>
      <c r="J263" s="166"/>
      <c r="K263" s="127"/>
      <c r="L263" s="127"/>
      <c r="M263" s="127"/>
      <c r="N263" s="127"/>
      <c r="O263" s="166"/>
      <c r="P263" s="127"/>
      <c r="Q263" s="127"/>
      <c r="R263" s="127"/>
    </row>
    <row r="264" spans="1:18" s="868" customFormat="1" ht="12">
      <c r="A264" s="866" t="s">
        <v>236</v>
      </c>
      <c r="B264" s="867" t="s">
        <v>237</v>
      </c>
      <c r="C264" s="165"/>
      <c r="D264" s="163"/>
      <c r="E264" s="165"/>
      <c r="F264" s="163"/>
      <c r="G264" s="163"/>
      <c r="H264" s="163"/>
      <c r="I264" s="163"/>
      <c r="J264" s="165"/>
      <c r="K264" s="163"/>
      <c r="L264" s="163"/>
      <c r="M264" s="163"/>
      <c r="N264" s="163"/>
      <c r="O264" s="165"/>
      <c r="P264" s="163"/>
      <c r="Q264" s="163"/>
      <c r="R264" s="163"/>
    </row>
    <row r="265" spans="1:18" s="868" customFormat="1" ht="12">
      <c r="A265" s="869"/>
      <c r="B265" s="870" t="s">
        <v>238</v>
      </c>
      <c r="C265" s="165"/>
      <c r="D265" s="163"/>
      <c r="E265" s="165"/>
      <c r="F265" s="163"/>
      <c r="G265" s="163"/>
      <c r="H265" s="163"/>
      <c r="I265" s="163"/>
      <c r="J265" s="165"/>
      <c r="K265" s="163"/>
      <c r="L265" s="163"/>
      <c r="M265" s="163"/>
      <c r="N265" s="163"/>
      <c r="O265" s="165"/>
      <c r="P265" s="163"/>
      <c r="Q265" s="163"/>
      <c r="R265" s="163"/>
    </row>
    <row r="266" spans="1:18" s="868" customFormat="1" ht="12">
      <c r="A266" s="871" t="s">
        <v>223</v>
      </c>
      <c r="B266" s="872" t="s">
        <v>434</v>
      </c>
      <c r="C266" s="165"/>
      <c r="D266" s="163"/>
      <c r="E266" s="165"/>
      <c r="F266" s="163"/>
      <c r="G266" s="163"/>
      <c r="H266" s="163"/>
      <c r="I266" s="163"/>
      <c r="J266" s="165"/>
      <c r="K266" s="163"/>
      <c r="L266" s="163"/>
      <c r="M266" s="163"/>
      <c r="N266" s="163"/>
      <c r="O266" s="165"/>
      <c r="P266" s="163"/>
      <c r="Q266" s="163"/>
      <c r="R266" s="163"/>
    </row>
    <row r="267" spans="1:18" s="868" customFormat="1" ht="209.4" customHeight="1">
      <c r="A267" s="873" t="s">
        <v>240</v>
      </c>
      <c r="B267" s="874" t="s">
        <v>464</v>
      </c>
      <c r="C267" s="165"/>
      <c r="D267" s="875"/>
      <c r="E267" s="165">
        <v>0</v>
      </c>
      <c r="F267" s="163"/>
      <c r="G267" s="163"/>
      <c r="H267" s="163"/>
      <c r="I267" s="163"/>
      <c r="J267" s="165">
        <v>0</v>
      </c>
      <c r="K267" s="163"/>
      <c r="L267" s="163"/>
      <c r="M267" s="163"/>
      <c r="N267" s="163"/>
      <c r="O267" s="165">
        <v>0</v>
      </c>
      <c r="P267" s="163"/>
      <c r="Q267" s="163"/>
      <c r="R267" s="163"/>
    </row>
    <row r="268" spans="1:18" s="868" customFormat="1" ht="109.8" customHeight="1">
      <c r="A268" s="876" t="s">
        <v>253</v>
      </c>
      <c r="B268" s="164" t="s">
        <v>465</v>
      </c>
      <c r="C268" s="165"/>
      <c r="D268" s="875"/>
      <c r="E268" s="165"/>
      <c r="F268" s="163"/>
      <c r="G268" s="163"/>
      <c r="H268" s="163"/>
      <c r="I268" s="163"/>
      <c r="J268" s="165">
        <v>-3168196</v>
      </c>
      <c r="K268" s="163"/>
      <c r="L268" s="163"/>
      <c r="M268" s="163"/>
      <c r="N268" s="163"/>
      <c r="O268" s="165">
        <v>-3537821</v>
      </c>
      <c r="P268" s="163"/>
      <c r="Q268" s="163"/>
      <c r="R268" s="163"/>
    </row>
    <row r="269" spans="1:18" s="868" customFormat="1" ht="102.6" customHeight="1">
      <c r="A269" s="876" t="s">
        <v>255</v>
      </c>
      <c r="B269" s="164" t="s">
        <v>466</v>
      </c>
      <c r="C269" s="165"/>
      <c r="D269" s="875"/>
      <c r="E269" s="165">
        <v>178669</v>
      </c>
      <c r="F269" s="163"/>
      <c r="G269" s="163"/>
      <c r="H269" s="163"/>
      <c r="I269" s="163"/>
      <c r="J269" s="165">
        <v>-8549</v>
      </c>
      <c r="K269" s="163"/>
      <c r="L269" s="163"/>
      <c r="M269" s="163"/>
      <c r="N269" s="163"/>
      <c r="O269" s="165">
        <v>-65284</v>
      </c>
      <c r="P269" s="163"/>
      <c r="Q269" s="163"/>
      <c r="R269" s="163"/>
    </row>
    <row r="270" spans="1:18" s="868" customFormat="1" ht="98.4" customHeight="1">
      <c r="A270" s="876" t="s">
        <v>281</v>
      </c>
      <c r="B270" s="164" t="s">
        <v>467</v>
      </c>
      <c r="C270" s="165"/>
      <c r="D270" s="875"/>
      <c r="E270" s="165">
        <v>577327</v>
      </c>
      <c r="F270" s="163"/>
      <c r="G270" s="163"/>
      <c r="H270" s="163"/>
      <c r="I270" s="163"/>
      <c r="J270" s="165">
        <v>795725</v>
      </c>
      <c r="K270" s="163"/>
      <c r="L270" s="163"/>
      <c r="M270" s="163"/>
      <c r="N270" s="163"/>
      <c r="O270" s="165">
        <v>1066661</v>
      </c>
      <c r="P270" s="163"/>
      <c r="Q270" s="163"/>
      <c r="R270" s="163"/>
    </row>
    <row r="271" spans="1:18" s="868" customFormat="1" ht="12">
      <c r="A271" s="835" t="s">
        <v>224</v>
      </c>
      <c r="B271" s="872" t="s">
        <v>242</v>
      </c>
      <c r="C271" s="165"/>
      <c r="D271" s="163"/>
      <c r="E271" s="165"/>
      <c r="F271" s="163"/>
      <c r="G271" s="163"/>
      <c r="H271" s="163"/>
      <c r="I271" s="163"/>
      <c r="J271" s="165"/>
      <c r="K271" s="163"/>
      <c r="L271" s="163"/>
      <c r="M271" s="163"/>
      <c r="N271" s="163"/>
      <c r="O271" s="165"/>
      <c r="P271" s="163"/>
      <c r="Q271" s="163"/>
      <c r="R271" s="163"/>
    </row>
    <row r="272" spans="1:18" s="868" customFormat="1" ht="154.19999999999999" customHeight="1">
      <c r="A272" s="873" t="s">
        <v>243</v>
      </c>
      <c r="B272" s="874" t="s">
        <v>427</v>
      </c>
      <c r="C272" s="165"/>
      <c r="D272" s="165"/>
      <c r="E272" s="165"/>
      <c r="F272" s="165">
        <v>2457230</v>
      </c>
      <c r="G272" s="165"/>
      <c r="H272" s="165"/>
      <c r="I272" s="165"/>
      <c r="J272" s="165"/>
      <c r="K272" s="165">
        <v>2094445</v>
      </c>
      <c r="L272" s="165"/>
      <c r="M272" s="165"/>
      <c r="N272" s="165"/>
      <c r="O272" s="165"/>
      <c r="P272" s="165">
        <v>1703419</v>
      </c>
      <c r="Q272" s="165"/>
      <c r="R272" s="165"/>
    </row>
    <row r="273" spans="1:18" s="868" customFormat="1" ht="95.4" customHeight="1">
      <c r="A273" s="873" t="s">
        <v>250</v>
      </c>
      <c r="B273" s="874" t="s">
        <v>377</v>
      </c>
      <c r="C273" s="165"/>
      <c r="D273" s="165"/>
      <c r="E273" s="165"/>
      <c r="F273" s="165">
        <v>500619</v>
      </c>
      <c r="G273" s="165"/>
      <c r="H273" s="165"/>
      <c r="I273" s="165"/>
      <c r="J273" s="165"/>
      <c r="K273" s="165">
        <v>688584</v>
      </c>
      <c r="L273" s="165"/>
      <c r="M273" s="165"/>
      <c r="N273" s="165"/>
      <c r="O273" s="165"/>
      <c r="P273" s="165">
        <v>843060</v>
      </c>
      <c r="Q273" s="165"/>
      <c r="R273" s="165"/>
    </row>
    <row r="274" spans="1:18" s="868" customFormat="1" ht="99" customHeight="1">
      <c r="A274" s="873" t="s">
        <v>257</v>
      </c>
      <c r="B274" s="874" t="s">
        <v>378</v>
      </c>
      <c r="C274" s="165"/>
      <c r="D274" s="165"/>
      <c r="E274" s="165"/>
      <c r="F274" s="165">
        <v>10796</v>
      </c>
      <c r="G274" s="165"/>
      <c r="H274" s="165"/>
      <c r="I274" s="165"/>
      <c r="J274" s="165"/>
      <c r="K274" s="165">
        <v>10796</v>
      </c>
      <c r="L274" s="165"/>
      <c r="M274" s="165"/>
      <c r="N274" s="165"/>
      <c r="O274" s="165"/>
      <c r="P274" s="165">
        <v>10796</v>
      </c>
      <c r="Q274" s="165"/>
      <c r="R274" s="165"/>
    </row>
    <row r="275" spans="1:18" s="868" customFormat="1" ht="220.2" customHeight="1">
      <c r="A275" s="873" t="s">
        <v>324</v>
      </c>
      <c r="B275" s="874" t="s">
        <v>750</v>
      </c>
      <c r="C275" s="165"/>
      <c r="D275" s="165"/>
      <c r="E275" s="165"/>
      <c r="F275" s="165">
        <f>42103+37050</f>
        <v>79153</v>
      </c>
      <c r="G275" s="165"/>
      <c r="H275" s="165"/>
      <c r="I275" s="165"/>
      <c r="J275" s="165"/>
      <c r="K275" s="165">
        <f>64741</f>
        <v>64741</v>
      </c>
      <c r="L275" s="165"/>
      <c r="M275" s="165"/>
      <c r="N275" s="165"/>
      <c r="O275" s="165"/>
      <c r="P275" s="165">
        <v>38839</v>
      </c>
      <c r="Q275" s="165"/>
      <c r="R275" s="165"/>
    </row>
    <row r="276" spans="1:18" s="868" customFormat="1" ht="174" customHeight="1">
      <c r="A276" s="873" t="s">
        <v>326</v>
      </c>
      <c r="B276" s="874" t="s">
        <v>931</v>
      </c>
      <c r="C276" s="165"/>
      <c r="D276" s="165"/>
      <c r="E276" s="165"/>
      <c r="F276" s="165">
        <f>459679+1866454</f>
        <v>2326133</v>
      </c>
      <c r="G276" s="165"/>
      <c r="H276" s="165"/>
      <c r="I276" s="165"/>
      <c r="J276" s="165"/>
      <c r="K276" s="165">
        <f>459679+1903783</f>
        <v>2363462</v>
      </c>
      <c r="L276" s="165"/>
      <c r="M276" s="165"/>
      <c r="N276" s="165"/>
      <c r="O276" s="165"/>
      <c r="P276" s="165">
        <f>459679+1903783+1280185</f>
        <v>3643647</v>
      </c>
      <c r="Q276" s="165"/>
      <c r="R276" s="165"/>
    </row>
    <row r="277" spans="1:18" s="868" customFormat="1" ht="177.6" customHeight="1">
      <c r="A277" s="873" t="s">
        <v>327</v>
      </c>
      <c r="B277" s="874" t="s">
        <v>468</v>
      </c>
      <c r="C277" s="877"/>
      <c r="D277" s="877"/>
      <c r="E277" s="165"/>
      <c r="F277" s="165"/>
      <c r="G277" s="165"/>
      <c r="H277" s="165"/>
      <c r="I277" s="165"/>
      <c r="J277" s="165"/>
      <c r="K277" s="165"/>
      <c r="L277" s="165"/>
      <c r="M277" s="165"/>
      <c r="N277" s="165"/>
      <c r="O277" s="165"/>
      <c r="P277" s="165">
        <v>17995176</v>
      </c>
      <c r="Q277" s="165"/>
      <c r="R277" s="165"/>
    </row>
    <row r="278" spans="1:18" s="868" customFormat="1" ht="207" customHeight="1">
      <c r="A278" s="873" t="s">
        <v>328</v>
      </c>
      <c r="B278" s="874" t="s">
        <v>428</v>
      </c>
      <c r="C278" s="877"/>
      <c r="D278" s="877"/>
      <c r="E278" s="165">
        <v>8117</v>
      </c>
      <c r="F278" s="165"/>
      <c r="G278" s="165"/>
      <c r="H278" s="165"/>
      <c r="I278" s="165"/>
      <c r="J278" s="165">
        <v>35402</v>
      </c>
      <c r="K278" s="165"/>
      <c r="L278" s="165"/>
      <c r="M278" s="165"/>
      <c r="N278" s="165"/>
      <c r="O278" s="165">
        <v>33327</v>
      </c>
      <c r="P278" s="165"/>
      <c r="Q278" s="165"/>
      <c r="R278" s="165"/>
    </row>
    <row r="279" spans="1:18" s="868" customFormat="1" ht="106.8" customHeight="1">
      <c r="A279" s="873" t="s">
        <v>329</v>
      </c>
      <c r="B279" s="874" t="s">
        <v>751</v>
      </c>
      <c r="C279" s="877"/>
      <c r="D279" s="877"/>
      <c r="E279" s="165"/>
      <c r="F279" s="165"/>
      <c r="G279" s="165">
        <v>1476000</v>
      </c>
      <c r="H279" s="165"/>
      <c r="I279" s="165"/>
      <c r="J279" s="165"/>
      <c r="K279" s="165"/>
      <c r="L279" s="165">
        <v>1476000</v>
      </c>
      <c r="M279" s="165"/>
      <c r="N279" s="165"/>
      <c r="O279" s="165"/>
      <c r="P279" s="165"/>
      <c r="Q279" s="165">
        <v>1476000</v>
      </c>
      <c r="R279" s="165"/>
    </row>
    <row r="280" spans="1:18" s="868" customFormat="1" ht="54" customHeight="1">
      <c r="A280" s="873" t="s">
        <v>330</v>
      </c>
      <c r="B280" s="874" t="s">
        <v>752</v>
      </c>
      <c r="C280" s="877"/>
      <c r="D280" s="877"/>
      <c r="E280" s="165"/>
      <c r="F280" s="165"/>
      <c r="G280" s="165">
        <v>749646</v>
      </c>
      <c r="H280" s="165"/>
      <c r="I280" s="165"/>
      <c r="J280" s="165"/>
      <c r="K280" s="165"/>
      <c r="L280" s="165">
        <v>749646</v>
      </c>
      <c r="M280" s="165"/>
      <c r="N280" s="165"/>
      <c r="O280" s="165"/>
      <c r="P280" s="165"/>
      <c r="Q280" s="165">
        <v>749646</v>
      </c>
      <c r="R280" s="165"/>
    </row>
    <row r="281" spans="1:18" s="868" customFormat="1" ht="177.6" customHeight="1">
      <c r="A281" s="873" t="s">
        <v>331</v>
      </c>
      <c r="B281" s="874" t="s">
        <v>1049</v>
      </c>
      <c r="C281" s="877"/>
      <c r="D281" s="877"/>
      <c r="E281" s="165"/>
      <c r="F281" s="165"/>
      <c r="G281" s="165">
        <f>G282+G283+G284</f>
        <v>3685299</v>
      </c>
      <c r="H281" s="165"/>
      <c r="I281" s="165"/>
      <c r="J281" s="165"/>
      <c r="K281" s="165"/>
      <c r="L281" s="165">
        <f>L282+L284</f>
        <v>3648381</v>
      </c>
      <c r="M281" s="165"/>
      <c r="N281" s="165"/>
      <c r="O281" s="165"/>
      <c r="P281" s="165"/>
      <c r="Q281" s="165">
        <f>Q282+Q284</f>
        <v>3648381</v>
      </c>
      <c r="R281" s="165"/>
    </row>
    <row r="282" spans="1:18" s="868" customFormat="1" ht="92.4" customHeight="1">
      <c r="A282" s="878" t="s">
        <v>753</v>
      </c>
      <c r="B282" s="879" t="s">
        <v>754</v>
      </c>
      <c r="C282" s="812"/>
      <c r="D282" s="812"/>
      <c r="E282" s="560"/>
      <c r="F282" s="560"/>
      <c r="G282" s="560">
        <v>3378470</v>
      </c>
      <c r="H282" s="560"/>
      <c r="I282" s="560"/>
      <c r="J282" s="560"/>
      <c r="K282" s="560"/>
      <c r="L282" s="560">
        <v>3378470</v>
      </c>
      <c r="M282" s="560"/>
      <c r="N282" s="560"/>
      <c r="O282" s="560"/>
      <c r="P282" s="560"/>
      <c r="Q282" s="560">
        <v>3378470</v>
      </c>
      <c r="R282" s="560"/>
    </row>
    <row r="283" spans="1:18" s="868" customFormat="1" ht="102" customHeight="1">
      <c r="A283" s="878" t="s">
        <v>755</v>
      </c>
      <c r="B283" s="879" t="s">
        <v>756</v>
      </c>
      <c r="C283" s="812"/>
      <c r="D283" s="812"/>
      <c r="E283" s="560"/>
      <c r="F283" s="560"/>
      <c r="G283" s="560">
        <v>36918</v>
      </c>
      <c r="H283" s="560"/>
      <c r="I283" s="560"/>
      <c r="J283" s="560"/>
      <c r="K283" s="560"/>
      <c r="L283" s="560"/>
      <c r="M283" s="560"/>
      <c r="N283" s="560"/>
      <c r="O283" s="560"/>
      <c r="P283" s="560"/>
      <c r="Q283" s="560"/>
      <c r="R283" s="560"/>
    </row>
    <row r="284" spans="1:18" s="868" customFormat="1" ht="51.6" customHeight="1">
      <c r="A284" s="878" t="s">
        <v>757</v>
      </c>
      <c r="B284" s="879" t="s">
        <v>758</v>
      </c>
      <c r="C284" s="812"/>
      <c r="D284" s="812"/>
      <c r="E284" s="560"/>
      <c r="F284" s="560"/>
      <c r="G284" s="560">
        <v>269911</v>
      </c>
      <c r="H284" s="560"/>
      <c r="I284" s="560"/>
      <c r="J284" s="560"/>
      <c r="K284" s="560"/>
      <c r="L284" s="560">
        <v>269911</v>
      </c>
      <c r="M284" s="560"/>
      <c r="N284" s="560"/>
      <c r="O284" s="560"/>
      <c r="P284" s="560"/>
      <c r="Q284" s="560">
        <v>269911</v>
      </c>
      <c r="R284" s="560"/>
    </row>
    <row r="285" spans="1:18" s="868" customFormat="1" ht="180">
      <c r="A285" s="873" t="s">
        <v>356</v>
      </c>
      <c r="B285" s="874" t="s">
        <v>759</v>
      </c>
      <c r="C285" s="877"/>
      <c r="D285" s="877"/>
      <c r="E285" s="165"/>
      <c r="F285" s="165"/>
      <c r="G285" s="165">
        <f>G286+G287+G288+G289</f>
        <v>411961</v>
      </c>
      <c r="H285" s="165"/>
      <c r="I285" s="165"/>
      <c r="J285" s="165"/>
      <c r="K285" s="165"/>
      <c r="L285" s="165">
        <f>L286+L287+L288+L289</f>
        <v>422614</v>
      </c>
      <c r="M285" s="165"/>
      <c r="N285" s="165"/>
      <c r="O285" s="165"/>
      <c r="P285" s="165"/>
      <c r="Q285" s="165">
        <f>Q286+Q287+Q288+Q289</f>
        <v>422614</v>
      </c>
      <c r="R285" s="165"/>
    </row>
    <row r="286" spans="1:18" s="868" customFormat="1" ht="60">
      <c r="A286" s="878" t="s">
        <v>760</v>
      </c>
      <c r="B286" s="879" t="s">
        <v>761</v>
      </c>
      <c r="C286" s="812"/>
      <c r="D286" s="812"/>
      <c r="E286" s="560"/>
      <c r="F286" s="560"/>
      <c r="G286" s="560">
        <v>150950</v>
      </c>
      <c r="H286" s="560"/>
      <c r="I286" s="560"/>
      <c r="J286" s="560"/>
      <c r="K286" s="560"/>
      <c r="L286" s="560">
        <v>150950</v>
      </c>
      <c r="M286" s="560"/>
      <c r="N286" s="560"/>
      <c r="O286" s="560"/>
      <c r="P286" s="560"/>
      <c r="Q286" s="560">
        <v>150950</v>
      </c>
      <c r="R286" s="560"/>
    </row>
    <row r="287" spans="1:18" s="868" customFormat="1" ht="84">
      <c r="A287" s="878" t="s">
        <v>762</v>
      </c>
      <c r="B287" s="879" t="s">
        <v>763</v>
      </c>
      <c r="C287" s="812"/>
      <c r="D287" s="812"/>
      <c r="E287" s="560"/>
      <c r="F287" s="560"/>
      <c r="G287" s="560">
        <v>113921</v>
      </c>
      <c r="H287" s="560"/>
      <c r="I287" s="560"/>
      <c r="J287" s="560"/>
      <c r="K287" s="560"/>
      <c r="L287" s="560">
        <v>123605</v>
      </c>
      <c r="M287" s="560"/>
      <c r="N287" s="560"/>
      <c r="O287" s="560"/>
      <c r="P287" s="560"/>
      <c r="Q287" s="560">
        <v>123605</v>
      </c>
      <c r="R287" s="560"/>
    </row>
    <row r="288" spans="1:18" s="868" customFormat="1" ht="102" customHeight="1">
      <c r="A288" s="878" t="s">
        <v>764</v>
      </c>
      <c r="B288" s="879" t="s">
        <v>765</v>
      </c>
      <c r="C288" s="812"/>
      <c r="D288" s="812"/>
      <c r="E288" s="560"/>
      <c r="F288" s="560"/>
      <c r="G288" s="560">
        <v>14370</v>
      </c>
      <c r="H288" s="560"/>
      <c r="I288" s="560"/>
      <c r="J288" s="560"/>
      <c r="K288" s="560"/>
      <c r="L288" s="560">
        <v>15339</v>
      </c>
      <c r="M288" s="560"/>
      <c r="N288" s="560"/>
      <c r="O288" s="560"/>
      <c r="P288" s="560"/>
      <c r="Q288" s="560">
        <v>15339</v>
      </c>
      <c r="R288" s="560"/>
    </row>
    <row r="289" spans="1:18" s="868" customFormat="1" ht="72" customHeight="1">
      <c r="A289" s="878" t="s">
        <v>766</v>
      </c>
      <c r="B289" s="879" t="s">
        <v>767</v>
      </c>
      <c r="C289" s="812"/>
      <c r="D289" s="812"/>
      <c r="E289" s="560"/>
      <c r="F289" s="560"/>
      <c r="G289" s="560">
        <v>132720</v>
      </c>
      <c r="H289" s="560"/>
      <c r="I289" s="560"/>
      <c r="J289" s="560"/>
      <c r="K289" s="560"/>
      <c r="L289" s="560">
        <v>132720</v>
      </c>
      <c r="M289" s="560"/>
      <c r="N289" s="560"/>
      <c r="O289" s="560"/>
      <c r="P289" s="560"/>
      <c r="Q289" s="560">
        <v>132720</v>
      </c>
      <c r="R289" s="560"/>
    </row>
    <row r="290" spans="1:18" s="868" customFormat="1" ht="124.8" customHeight="1">
      <c r="A290" s="873" t="s">
        <v>358</v>
      </c>
      <c r="B290" s="874" t="s">
        <v>768</v>
      </c>
      <c r="C290" s="877"/>
      <c r="D290" s="877"/>
      <c r="E290" s="165"/>
      <c r="F290" s="165"/>
      <c r="G290" s="165">
        <v>1934</v>
      </c>
      <c r="H290" s="165"/>
      <c r="I290" s="165"/>
      <c r="J290" s="165"/>
      <c r="K290" s="165"/>
      <c r="L290" s="165">
        <v>5802</v>
      </c>
      <c r="M290" s="165"/>
      <c r="N290" s="165"/>
      <c r="O290" s="165"/>
      <c r="P290" s="165"/>
      <c r="Q290" s="165">
        <v>5802</v>
      </c>
      <c r="R290" s="165"/>
    </row>
    <row r="291" spans="1:18" s="868" customFormat="1" ht="106.2" customHeight="1">
      <c r="A291" s="873" t="s">
        <v>542</v>
      </c>
      <c r="B291" s="874" t="s">
        <v>769</v>
      </c>
      <c r="C291" s="877"/>
      <c r="D291" s="877"/>
      <c r="E291" s="165"/>
      <c r="F291" s="165"/>
      <c r="G291" s="165">
        <v>3829000</v>
      </c>
      <c r="H291" s="165"/>
      <c r="I291" s="165"/>
      <c r="J291" s="165"/>
      <c r="K291" s="165"/>
      <c r="L291" s="165">
        <v>11487000</v>
      </c>
      <c r="M291" s="165"/>
      <c r="N291" s="165"/>
      <c r="O291" s="165"/>
      <c r="P291" s="165"/>
      <c r="Q291" s="165">
        <v>11487000</v>
      </c>
      <c r="R291" s="165"/>
    </row>
    <row r="292" spans="1:18" s="868" customFormat="1" ht="91.8" customHeight="1">
      <c r="A292" s="873" t="s">
        <v>544</v>
      </c>
      <c r="B292" s="874" t="s">
        <v>770</v>
      </c>
      <c r="C292" s="877"/>
      <c r="D292" s="877"/>
      <c r="E292" s="165"/>
      <c r="F292" s="165"/>
      <c r="G292" s="165">
        <v>4663</v>
      </c>
      <c r="H292" s="165"/>
      <c r="I292" s="165"/>
      <c r="J292" s="165"/>
      <c r="K292" s="165"/>
      <c r="L292" s="165"/>
      <c r="M292" s="165"/>
      <c r="N292" s="165"/>
      <c r="O292" s="165"/>
      <c r="P292" s="165"/>
      <c r="Q292" s="165"/>
      <c r="R292" s="165"/>
    </row>
    <row r="293" spans="1:18" s="868" customFormat="1" ht="12">
      <c r="A293" s="873"/>
      <c r="B293" s="874"/>
      <c r="C293" s="877"/>
      <c r="D293" s="877"/>
      <c r="E293" s="165"/>
      <c r="F293" s="165"/>
      <c r="G293" s="165"/>
      <c r="H293" s="165"/>
      <c r="I293" s="165"/>
      <c r="J293" s="165"/>
      <c r="K293" s="165"/>
      <c r="L293" s="165"/>
      <c r="M293" s="165"/>
      <c r="N293" s="165"/>
      <c r="O293" s="165"/>
      <c r="P293" s="165"/>
      <c r="Q293" s="165"/>
      <c r="R293" s="165"/>
    </row>
    <row r="294" spans="1:18" s="868" customFormat="1" ht="12">
      <c r="A294" s="873"/>
      <c r="B294" s="874"/>
      <c r="C294" s="877"/>
      <c r="D294" s="877"/>
      <c r="E294" s="165"/>
      <c r="F294" s="165"/>
      <c r="G294" s="165"/>
      <c r="H294" s="165"/>
      <c r="I294" s="165"/>
      <c r="J294" s="165"/>
      <c r="K294" s="165"/>
      <c r="L294" s="165"/>
      <c r="M294" s="165"/>
      <c r="N294" s="165"/>
      <c r="O294" s="165"/>
      <c r="P294" s="165"/>
      <c r="Q294" s="165"/>
      <c r="R294" s="165"/>
    </row>
    <row r="295" spans="1:18" s="868" customFormat="1" ht="12">
      <c r="A295" s="866" t="s">
        <v>245</v>
      </c>
      <c r="B295" s="867" t="s">
        <v>140</v>
      </c>
      <c r="C295" s="165"/>
      <c r="D295" s="163"/>
      <c r="E295" s="165"/>
      <c r="F295" s="163"/>
      <c r="G295" s="163"/>
      <c r="H295" s="163"/>
      <c r="I295" s="163"/>
      <c r="J295" s="165"/>
      <c r="K295" s="163"/>
      <c r="L295" s="163"/>
      <c r="M295" s="163"/>
      <c r="N295" s="163"/>
      <c r="O295" s="165"/>
      <c r="P295" s="163"/>
      <c r="Q295" s="163"/>
      <c r="R295" s="163"/>
    </row>
    <row r="296" spans="1:18" s="868" customFormat="1" ht="12">
      <c r="A296" s="869"/>
      <c r="B296" s="870" t="s">
        <v>238</v>
      </c>
      <c r="C296" s="165"/>
      <c r="D296" s="163"/>
      <c r="E296" s="165"/>
      <c r="F296" s="163"/>
      <c r="G296" s="163"/>
      <c r="H296" s="163"/>
      <c r="I296" s="163"/>
      <c r="J296" s="165"/>
      <c r="K296" s="163"/>
      <c r="L296" s="163"/>
      <c r="M296" s="163"/>
      <c r="N296" s="163"/>
      <c r="O296" s="165"/>
      <c r="P296" s="163"/>
      <c r="Q296" s="163"/>
      <c r="R296" s="163"/>
    </row>
    <row r="297" spans="1:18" s="868" customFormat="1" ht="12">
      <c r="A297" s="871" t="s">
        <v>223</v>
      </c>
      <c r="B297" s="872" t="s">
        <v>434</v>
      </c>
      <c r="C297" s="165"/>
      <c r="D297" s="163"/>
      <c r="E297" s="165"/>
      <c r="F297" s="163"/>
      <c r="G297" s="163"/>
      <c r="H297" s="163"/>
      <c r="I297" s="163"/>
      <c r="J297" s="165"/>
      <c r="K297" s="163"/>
      <c r="L297" s="163"/>
      <c r="M297" s="163"/>
      <c r="N297" s="163"/>
      <c r="O297" s="165"/>
      <c r="P297" s="163"/>
      <c r="Q297" s="163"/>
      <c r="R297" s="163"/>
    </row>
    <row r="298" spans="1:18" s="868" customFormat="1" ht="190.2" customHeight="1">
      <c r="A298" s="873" t="s">
        <v>240</v>
      </c>
      <c r="B298" s="874" t="s">
        <v>930</v>
      </c>
      <c r="C298" s="165"/>
      <c r="D298" s="163"/>
      <c r="E298" s="880">
        <v>1050000</v>
      </c>
      <c r="F298" s="881"/>
      <c r="G298" s="881"/>
      <c r="H298" s="881"/>
      <c r="I298" s="881"/>
      <c r="J298" s="880">
        <v>1360000</v>
      </c>
      <c r="K298" s="881"/>
      <c r="L298" s="881"/>
      <c r="M298" s="881"/>
      <c r="N298" s="881"/>
      <c r="O298" s="880">
        <v>250028</v>
      </c>
      <c r="P298" s="163"/>
      <c r="Q298" s="163"/>
      <c r="R298" s="163"/>
    </row>
    <row r="299" spans="1:18" s="868" customFormat="1" ht="102.6" customHeight="1">
      <c r="A299" s="873" t="s">
        <v>253</v>
      </c>
      <c r="B299" s="164" t="s">
        <v>771</v>
      </c>
      <c r="C299" s="165"/>
      <c r="D299" s="163"/>
      <c r="E299" s="880">
        <v>516173</v>
      </c>
      <c r="F299" s="881"/>
      <c r="G299" s="881"/>
      <c r="H299" s="881"/>
      <c r="I299" s="881"/>
      <c r="J299" s="880"/>
      <c r="K299" s="881"/>
      <c r="L299" s="881"/>
      <c r="M299" s="881"/>
      <c r="N299" s="881"/>
      <c r="O299" s="880"/>
      <c r="P299" s="163"/>
      <c r="Q299" s="163"/>
      <c r="R299" s="163"/>
    </row>
    <row r="300" spans="1:18" s="868" customFormat="1" ht="334.8" customHeight="1">
      <c r="A300" s="873" t="s">
        <v>255</v>
      </c>
      <c r="B300" s="874" t="s">
        <v>772</v>
      </c>
      <c r="C300" s="165"/>
      <c r="D300" s="163"/>
      <c r="E300" s="165"/>
      <c r="F300" s="163"/>
      <c r="G300" s="163"/>
      <c r="H300" s="163"/>
      <c r="I300" s="163"/>
      <c r="J300" s="165"/>
      <c r="K300" s="163"/>
      <c r="L300" s="163"/>
      <c r="M300" s="163"/>
      <c r="N300" s="163"/>
      <c r="O300" s="165"/>
      <c r="P300" s="163"/>
      <c r="Q300" s="163"/>
      <c r="R300" s="163"/>
    </row>
    <row r="301" spans="1:18" s="868" customFormat="1" ht="117" customHeight="1">
      <c r="A301" s="882" t="s">
        <v>281</v>
      </c>
      <c r="B301" s="883" t="s">
        <v>773</v>
      </c>
      <c r="C301" s="165"/>
      <c r="D301" s="163"/>
      <c r="E301" s="165"/>
      <c r="F301" s="163"/>
      <c r="G301" s="163"/>
      <c r="H301" s="163"/>
      <c r="I301" s="163"/>
      <c r="J301" s="165"/>
      <c r="K301" s="163"/>
      <c r="L301" s="163"/>
      <c r="M301" s="163"/>
      <c r="N301" s="163"/>
      <c r="O301" s="165"/>
      <c r="P301" s="163"/>
      <c r="Q301" s="163"/>
      <c r="R301" s="163"/>
    </row>
    <row r="302" spans="1:18" s="868" customFormat="1" ht="218.4" customHeight="1">
      <c r="A302" s="882" t="s">
        <v>283</v>
      </c>
      <c r="B302" s="883" t="s">
        <v>774</v>
      </c>
      <c r="C302" s="165"/>
      <c r="D302" s="163"/>
      <c r="E302" s="880">
        <v>165</v>
      </c>
      <c r="F302" s="163"/>
      <c r="G302" s="163"/>
      <c r="H302" s="163"/>
      <c r="I302" s="163"/>
      <c r="J302" s="880">
        <v>47365</v>
      </c>
      <c r="K302" s="163"/>
      <c r="L302" s="163"/>
      <c r="M302" s="163"/>
      <c r="N302" s="163"/>
      <c r="O302" s="880">
        <v>206740</v>
      </c>
      <c r="P302" s="163"/>
      <c r="Q302" s="163"/>
      <c r="R302" s="163"/>
    </row>
    <row r="303" spans="1:18" s="868" customFormat="1" ht="104.4" customHeight="1">
      <c r="A303" s="873" t="s">
        <v>285</v>
      </c>
      <c r="B303" s="874" t="s">
        <v>775</v>
      </c>
      <c r="C303" s="165"/>
      <c r="D303" s="163"/>
      <c r="E303" s="880">
        <v>11020118</v>
      </c>
      <c r="F303" s="163"/>
      <c r="G303" s="163"/>
      <c r="H303" s="163"/>
      <c r="I303" s="163"/>
      <c r="J303" s="880">
        <v>9541605</v>
      </c>
      <c r="K303" s="163"/>
      <c r="L303" s="163"/>
      <c r="M303" s="163"/>
      <c r="N303" s="163"/>
      <c r="O303" s="880">
        <v>2659930</v>
      </c>
      <c r="P303" s="163"/>
      <c r="Q303" s="163"/>
      <c r="R303" s="163"/>
    </row>
    <row r="304" spans="1:18" s="868" customFormat="1" ht="340.8" customHeight="1">
      <c r="A304" s="1461" t="s">
        <v>287</v>
      </c>
      <c r="B304" s="874" t="s">
        <v>1089</v>
      </c>
      <c r="C304" s="1462"/>
      <c r="D304" s="1463"/>
      <c r="E304" s="1464">
        <v>8153967</v>
      </c>
      <c r="F304" s="1463"/>
      <c r="G304" s="1463"/>
      <c r="H304" s="1463"/>
      <c r="I304" s="1463"/>
      <c r="J304" s="1462"/>
      <c r="K304" s="1463"/>
      <c r="L304" s="1463"/>
      <c r="M304" s="1463"/>
      <c r="N304" s="1463"/>
      <c r="O304" s="1462"/>
      <c r="P304" s="1463"/>
      <c r="Q304" s="1463"/>
      <c r="R304" s="1463"/>
    </row>
    <row r="305" spans="1:18" s="868" customFormat="1" ht="253.2" customHeight="1">
      <c r="A305" s="1461"/>
      <c r="B305" s="874" t="s">
        <v>1090</v>
      </c>
      <c r="C305" s="1462"/>
      <c r="D305" s="1463"/>
      <c r="E305" s="1464"/>
      <c r="F305" s="1463"/>
      <c r="G305" s="1463"/>
      <c r="H305" s="1463"/>
      <c r="I305" s="1463"/>
      <c r="J305" s="1462"/>
      <c r="K305" s="1463"/>
      <c r="L305" s="1463"/>
      <c r="M305" s="1463"/>
      <c r="N305" s="1463"/>
      <c r="O305" s="1462"/>
      <c r="P305" s="1463"/>
      <c r="Q305" s="1463"/>
      <c r="R305" s="1463"/>
    </row>
    <row r="306" spans="1:18" s="868" customFormat="1" ht="327" customHeight="1">
      <c r="A306" s="1465" t="s">
        <v>289</v>
      </c>
      <c r="B306" s="874" t="s">
        <v>1091</v>
      </c>
      <c r="C306" s="1462"/>
      <c r="D306" s="1463"/>
      <c r="E306" s="1462"/>
      <c r="F306" s="1463"/>
      <c r="G306" s="1463"/>
      <c r="H306" s="1463"/>
      <c r="I306" s="1463"/>
      <c r="J306" s="1464">
        <f>10247230-105730</f>
        <v>10141500</v>
      </c>
      <c r="K306" s="1463"/>
      <c r="L306" s="1463"/>
      <c r="M306" s="1463"/>
      <c r="N306" s="1463"/>
      <c r="O306" s="1462"/>
      <c r="P306" s="1463"/>
      <c r="Q306" s="1463"/>
      <c r="R306" s="1463"/>
    </row>
    <row r="307" spans="1:18" s="868" customFormat="1" ht="249" customHeight="1">
      <c r="A307" s="1465"/>
      <c r="B307" s="874" t="s">
        <v>1092</v>
      </c>
      <c r="C307" s="1462"/>
      <c r="D307" s="1463"/>
      <c r="E307" s="1462"/>
      <c r="F307" s="1463"/>
      <c r="G307" s="1463"/>
      <c r="H307" s="1463"/>
      <c r="I307" s="1463"/>
      <c r="J307" s="1464"/>
      <c r="K307" s="1463"/>
      <c r="L307" s="1463"/>
      <c r="M307" s="1463"/>
      <c r="N307" s="1463"/>
      <c r="O307" s="1462"/>
      <c r="P307" s="1463"/>
      <c r="Q307" s="1463"/>
      <c r="R307" s="1463"/>
    </row>
    <row r="308" spans="1:18" s="868" customFormat="1" ht="149.4" customHeight="1">
      <c r="A308" s="873" t="s">
        <v>776</v>
      </c>
      <c r="B308" s="874" t="s">
        <v>777</v>
      </c>
      <c r="C308" s="165"/>
      <c r="D308" s="163"/>
      <c r="E308" s="165"/>
      <c r="F308" s="163"/>
      <c r="G308" s="163"/>
      <c r="H308" s="163"/>
      <c r="I308" s="163"/>
      <c r="J308" s="165"/>
      <c r="K308" s="163"/>
      <c r="L308" s="163"/>
      <c r="M308" s="163"/>
      <c r="N308" s="163"/>
      <c r="O308" s="165">
        <v>3120542</v>
      </c>
      <c r="P308" s="163"/>
      <c r="Q308" s="880"/>
      <c r="R308" s="163"/>
    </row>
    <row r="309" spans="1:18" s="868" customFormat="1" ht="12">
      <c r="A309" s="876"/>
      <c r="B309" s="164"/>
      <c r="C309" s="165"/>
      <c r="D309" s="163"/>
      <c r="E309" s="165"/>
      <c r="F309" s="163"/>
      <c r="G309" s="163"/>
      <c r="H309" s="163"/>
      <c r="I309" s="163"/>
      <c r="J309" s="165"/>
      <c r="K309" s="163"/>
      <c r="L309" s="163"/>
      <c r="M309" s="163"/>
      <c r="N309" s="163"/>
      <c r="O309" s="165"/>
      <c r="P309" s="163"/>
      <c r="Q309" s="163"/>
      <c r="R309" s="163"/>
    </row>
    <row r="310" spans="1:18" s="868" customFormat="1" ht="12">
      <c r="A310" s="876"/>
      <c r="B310" s="164"/>
      <c r="C310" s="165"/>
      <c r="D310" s="163"/>
      <c r="E310" s="165"/>
      <c r="F310" s="163"/>
      <c r="G310" s="163"/>
      <c r="H310" s="163"/>
      <c r="I310" s="163"/>
      <c r="J310" s="165"/>
      <c r="K310" s="163"/>
      <c r="L310" s="163"/>
      <c r="M310" s="163"/>
      <c r="N310" s="163"/>
      <c r="O310" s="165"/>
      <c r="P310" s="163"/>
      <c r="Q310" s="163"/>
      <c r="R310" s="163"/>
    </row>
    <row r="311" spans="1:18" s="868" customFormat="1" ht="12">
      <c r="A311" s="163"/>
      <c r="B311" s="164"/>
      <c r="C311" s="165"/>
      <c r="D311" s="163"/>
      <c r="E311" s="165"/>
      <c r="F311" s="163"/>
      <c r="G311" s="163"/>
      <c r="H311" s="163"/>
      <c r="I311" s="163"/>
      <c r="J311" s="165"/>
      <c r="K311" s="163"/>
      <c r="L311" s="163"/>
      <c r="M311" s="163"/>
      <c r="N311" s="163"/>
      <c r="O311" s="165"/>
      <c r="P311" s="163"/>
      <c r="Q311" s="163"/>
      <c r="R311" s="163"/>
    </row>
    <row r="312" spans="1:18" s="868" customFormat="1" ht="12">
      <c r="A312" s="835" t="s">
        <v>224</v>
      </c>
      <c r="B312" s="872" t="s">
        <v>242</v>
      </c>
      <c r="C312" s="165"/>
      <c r="D312" s="163"/>
      <c r="E312" s="165"/>
      <c r="F312" s="163"/>
      <c r="G312" s="163"/>
      <c r="H312" s="163"/>
      <c r="I312" s="163"/>
      <c r="J312" s="165"/>
      <c r="K312" s="163"/>
      <c r="L312" s="163"/>
      <c r="M312" s="163"/>
      <c r="N312" s="163"/>
      <c r="O312" s="165"/>
      <c r="P312" s="163"/>
      <c r="Q312" s="163"/>
      <c r="R312" s="163"/>
    </row>
    <row r="313" spans="1:18" s="868" customFormat="1" ht="12">
      <c r="A313" s="876" t="s">
        <v>243</v>
      </c>
      <c r="B313" s="164" t="s">
        <v>244</v>
      </c>
      <c r="C313" s="165"/>
      <c r="D313" s="163"/>
      <c r="E313" s="165"/>
      <c r="F313" s="163"/>
      <c r="G313" s="163"/>
      <c r="H313" s="163"/>
      <c r="I313" s="163"/>
      <c r="J313" s="165"/>
      <c r="K313" s="163"/>
      <c r="L313" s="163"/>
      <c r="M313" s="163"/>
      <c r="N313" s="163"/>
      <c r="O313" s="165"/>
      <c r="P313" s="163"/>
      <c r="Q313" s="163"/>
      <c r="R313" s="163"/>
    </row>
    <row r="314" spans="1:18" s="868" customFormat="1" ht="12">
      <c r="A314" s="163"/>
      <c r="B314" s="164"/>
      <c r="C314" s="165"/>
      <c r="D314" s="163"/>
      <c r="E314" s="165"/>
      <c r="F314" s="163"/>
      <c r="G314" s="163"/>
      <c r="H314" s="163"/>
      <c r="I314" s="163"/>
      <c r="J314" s="165"/>
      <c r="K314" s="163"/>
      <c r="L314" s="163"/>
      <c r="M314" s="163"/>
      <c r="N314" s="163"/>
      <c r="O314" s="165"/>
      <c r="P314" s="163"/>
      <c r="Q314" s="163"/>
      <c r="R314" s="163"/>
    </row>
    <row r="315" spans="1:18" s="868" customFormat="1" ht="12">
      <c r="A315" s="163"/>
      <c r="B315" s="164"/>
      <c r="C315" s="165"/>
      <c r="D315" s="163"/>
      <c r="E315" s="165"/>
      <c r="F315" s="163"/>
      <c r="G315" s="163"/>
      <c r="H315" s="163"/>
      <c r="I315" s="163"/>
      <c r="J315" s="165"/>
      <c r="K315" s="163"/>
      <c r="L315" s="163"/>
      <c r="M315" s="163"/>
      <c r="N315" s="163"/>
      <c r="O315" s="165"/>
      <c r="P315" s="163"/>
      <c r="Q315" s="163"/>
      <c r="R315" s="163"/>
    </row>
    <row r="316" spans="1:18" s="868" customFormat="1" ht="12">
      <c r="A316" s="163"/>
      <c r="B316" s="884"/>
      <c r="C316" s="165"/>
      <c r="D316" s="163"/>
      <c r="E316" s="165"/>
      <c r="F316" s="163"/>
      <c r="G316" s="163"/>
      <c r="H316" s="163"/>
      <c r="I316" s="163"/>
      <c r="J316" s="165"/>
      <c r="K316" s="163"/>
      <c r="L316" s="163"/>
      <c r="M316" s="163"/>
      <c r="N316" s="163"/>
      <c r="O316" s="165"/>
      <c r="P316" s="163"/>
      <c r="Q316" s="163"/>
      <c r="R316" s="163"/>
    </row>
    <row r="317" spans="1:18" s="868" customFormat="1" ht="12">
      <c r="A317" s="885"/>
      <c r="B317" s="886"/>
      <c r="C317" s="887"/>
      <c r="D317" s="887"/>
      <c r="E317" s="165"/>
      <c r="F317" s="163"/>
      <c r="G317" s="163"/>
      <c r="H317" s="163"/>
      <c r="I317" s="163"/>
      <c r="J317" s="165"/>
      <c r="K317" s="163"/>
      <c r="L317" s="163"/>
      <c r="M317" s="163"/>
      <c r="N317" s="163"/>
      <c r="O317" s="165"/>
      <c r="P317" s="163"/>
      <c r="Q317" s="163"/>
      <c r="R317" s="163"/>
    </row>
    <row r="318" spans="1:18" s="868" customFormat="1" ht="12">
      <c r="A318" s="885"/>
      <c r="B318" s="886"/>
      <c r="C318" s="887"/>
      <c r="D318" s="887"/>
      <c r="E318" s="165"/>
      <c r="F318" s="163"/>
      <c r="G318" s="163"/>
      <c r="H318" s="163"/>
      <c r="I318" s="163"/>
      <c r="J318" s="165"/>
      <c r="K318" s="163"/>
      <c r="L318" s="163"/>
      <c r="M318" s="163"/>
      <c r="N318" s="163"/>
      <c r="O318" s="165"/>
      <c r="P318" s="163"/>
      <c r="Q318" s="163"/>
      <c r="R318" s="163"/>
    </row>
    <row r="319" spans="1:18" s="868" customFormat="1" ht="12">
      <c r="A319" s="885"/>
      <c r="B319" s="886"/>
      <c r="C319" s="887"/>
      <c r="D319" s="887"/>
      <c r="E319" s="165"/>
      <c r="F319" s="163"/>
      <c r="G319" s="163"/>
      <c r="H319" s="163"/>
      <c r="I319" s="163"/>
      <c r="J319" s="165"/>
      <c r="K319" s="163"/>
      <c r="L319" s="163"/>
      <c r="M319" s="163"/>
      <c r="N319" s="163"/>
      <c r="O319" s="165"/>
      <c r="P319" s="163"/>
      <c r="Q319" s="163"/>
      <c r="R319" s="163"/>
    </row>
    <row r="320" spans="1:18" s="868" customFormat="1" ht="12">
      <c r="A320" s="885"/>
      <c r="B320" s="886"/>
      <c r="C320" s="887"/>
      <c r="D320" s="887"/>
      <c r="E320" s="165"/>
      <c r="F320" s="163"/>
      <c r="G320" s="163"/>
      <c r="H320" s="163"/>
      <c r="I320" s="163"/>
      <c r="J320" s="165"/>
      <c r="K320" s="163"/>
      <c r="L320" s="163"/>
      <c r="M320" s="163"/>
      <c r="N320" s="163"/>
      <c r="O320" s="165"/>
      <c r="P320" s="163"/>
      <c r="Q320" s="163"/>
      <c r="R320" s="163"/>
    </row>
    <row r="321" spans="1:18" s="868" customFormat="1" ht="12">
      <c r="A321" s="885"/>
      <c r="B321" s="886"/>
      <c r="C321" s="887"/>
      <c r="D321" s="887"/>
      <c r="E321" s="165"/>
      <c r="F321" s="163"/>
      <c r="G321" s="163"/>
      <c r="H321" s="163"/>
      <c r="I321" s="163"/>
      <c r="J321" s="165"/>
      <c r="K321" s="163"/>
      <c r="L321" s="163"/>
      <c r="M321" s="163"/>
      <c r="N321" s="163"/>
      <c r="O321" s="165"/>
      <c r="P321" s="163"/>
      <c r="Q321" s="163"/>
      <c r="R321" s="163"/>
    </row>
    <row r="322" spans="1:18" s="868" customFormat="1" ht="12">
      <c r="A322" s="885"/>
      <c r="B322" s="886"/>
      <c r="C322" s="887"/>
      <c r="D322" s="887"/>
      <c r="E322" s="165"/>
      <c r="F322" s="163"/>
      <c r="G322" s="163"/>
      <c r="H322" s="163"/>
      <c r="I322" s="163"/>
      <c r="J322" s="165"/>
      <c r="K322" s="163"/>
      <c r="L322" s="163"/>
      <c r="M322" s="163"/>
      <c r="N322" s="163"/>
      <c r="O322" s="165"/>
      <c r="P322" s="163"/>
      <c r="Q322" s="163"/>
      <c r="R322" s="163"/>
    </row>
    <row r="323" spans="1:18" s="868" customFormat="1" ht="12">
      <c r="A323" s="885"/>
      <c r="B323" s="886"/>
      <c r="C323" s="887"/>
      <c r="D323" s="887"/>
      <c r="E323" s="165"/>
      <c r="F323" s="163"/>
      <c r="G323" s="163"/>
      <c r="H323" s="163"/>
      <c r="I323" s="163"/>
      <c r="J323" s="165"/>
      <c r="K323" s="163"/>
      <c r="L323" s="163"/>
      <c r="M323" s="163"/>
      <c r="N323" s="163"/>
      <c r="O323" s="165"/>
      <c r="P323" s="163"/>
      <c r="Q323" s="163"/>
      <c r="R323" s="163"/>
    </row>
    <row r="324" spans="1:18" s="868" customFormat="1" ht="12">
      <c r="A324" s="885"/>
      <c r="B324" s="886"/>
      <c r="C324" s="887"/>
      <c r="D324" s="887"/>
      <c r="E324" s="165"/>
      <c r="F324" s="163"/>
      <c r="G324" s="163"/>
      <c r="H324" s="163"/>
      <c r="I324" s="163"/>
      <c r="J324" s="165"/>
      <c r="K324" s="163"/>
      <c r="L324" s="163"/>
      <c r="M324" s="163"/>
      <c r="N324" s="163"/>
      <c r="O324" s="165"/>
      <c r="P324" s="163"/>
      <c r="Q324" s="163"/>
      <c r="R324" s="163"/>
    </row>
    <row r="325" spans="1:18" s="868" customFormat="1" ht="12">
      <c r="A325" s="885"/>
      <c r="B325" s="886"/>
      <c r="C325" s="887"/>
      <c r="D325" s="887"/>
      <c r="E325" s="165"/>
      <c r="F325" s="163"/>
      <c r="G325" s="163"/>
      <c r="H325" s="163"/>
      <c r="I325" s="163"/>
      <c r="J325" s="165"/>
      <c r="K325" s="163"/>
      <c r="L325" s="163"/>
      <c r="M325" s="163"/>
      <c r="N325" s="163"/>
      <c r="O325" s="165"/>
      <c r="P325" s="163"/>
      <c r="Q325" s="163"/>
      <c r="R325" s="163"/>
    </row>
    <row r="326" spans="1:18" s="868" customFormat="1" ht="12">
      <c r="A326" s="885"/>
      <c r="B326" s="886"/>
      <c r="C326" s="887"/>
      <c r="D326" s="887"/>
      <c r="E326" s="165"/>
      <c r="F326" s="163"/>
      <c r="G326" s="163"/>
      <c r="H326" s="163"/>
      <c r="I326" s="163"/>
      <c r="J326" s="165"/>
      <c r="K326" s="163"/>
      <c r="L326" s="163"/>
      <c r="M326" s="163"/>
      <c r="N326" s="163"/>
      <c r="O326" s="165"/>
      <c r="P326" s="163"/>
      <c r="Q326" s="163"/>
      <c r="R326" s="163"/>
    </row>
    <row r="327" spans="1:18" s="868" customFormat="1" ht="12">
      <c r="A327" s="885"/>
      <c r="B327" s="886"/>
      <c r="C327" s="887"/>
      <c r="D327" s="887"/>
      <c r="E327" s="165"/>
      <c r="F327" s="163"/>
      <c r="G327" s="163"/>
      <c r="H327" s="163"/>
      <c r="I327" s="163"/>
      <c r="J327" s="165"/>
      <c r="K327" s="163"/>
      <c r="L327" s="163"/>
      <c r="M327" s="163"/>
      <c r="N327" s="163"/>
      <c r="O327" s="165"/>
      <c r="P327" s="163"/>
      <c r="Q327" s="163"/>
      <c r="R327" s="163"/>
    </row>
    <row r="328" spans="1:18" s="868" customFormat="1" ht="12">
      <c r="A328" s="885"/>
      <c r="B328" s="886"/>
      <c r="C328" s="887"/>
      <c r="D328" s="887"/>
      <c r="E328" s="165"/>
      <c r="F328" s="163"/>
      <c r="G328" s="163"/>
      <c r="H328" s="163"/>
      <c r="I328" s="163"/>
      <c r="J328" s="165"/>
      <c r="K328" s="163"/>
      <c r="L328" s="163"/>
      <c r="M328" s="163"/>
      <c r="N328" s="163"/>
      <c r="O328" s="165"/>
      <c r="P328" s="163"/>
      <c r="Q328" s="163"/>
      <c r="R328" s="163"/>
    </row>
    <row r="329" spans="1:18" s="868" customFormat="1" ht="12">
      <c r="A329" s="885"/>
      <c r="B329" s="886"/>
      <c r="C329" s="887"/>
      <c r="D329" s="887"/>
      <c r="E329" s="165"/>
      <c r="F329" s="163"/>
      <c r="G329" s="163"/>
      <c r="H329" s="163"/>
      <c r="I329" s="163"/>
      <c r="J329" s="165"/>
      <c r="K329" s="163"/>
      <c r="L329" s="163"/>
      <c r="M329" s="163"/>
      <c r="N329" s="163"/>
      <c r="O329" s="165"/>
      <c r="P329" s="163"/>
      <c r="Q329" s="163"/>
      <c r="R329" s="163"/>
    </row>
    <row r="330" spans="1:18" s="868" customFormat="1" ht="12">
      <c r="A330" s="885"/>
      <c r="B330" s="886"/>
      <c r="C330" s="887"/>
      <c r="D330" s="887"/>
      <c r="E330" s="165"/>
      <c r="F330" s="163"/>
      <c r="G330" s="163"/>
      <c r="H330" s="163"/>
      <c r="I330" s="163"/>
      <c r="J330" s="165"/>
      <c r="K330" s="163"/>
      <c r="L330" s="163"/>
      <c r="M330" s="163"/>
      <c r="N330" s="163"/>
      <c r="O330" s="165"/>
      <c r="P330" s="163"/>
      <c r="Q330" s="163"/>
      <c r="R330" s="163"/>
    </row>
    <row r="331" spans="1:18" s="868" customFormat="1" ht="12">
      <c r="A331" s="885"/>
      <c r="B331" s="886"/>
      <c r="C331" s="887"/>
      <c r="D331" s="887"/>
      <c r="E331" s="165"/>
      <c r="F331" s="163"/>
      <c r="G331" s="163"/>
      <c r="H331" s="163"/>
      <c r="I331" s="163"/>
      <c r="J331" s="165"/>
      <c r="K331" s="163"/>
      <c r="L331" s="163"/>
      <c r="M331" s="163"/>
      <c r="N331" s="163"/>
      <c r="O331" s="165"/>
      <c r="P331" s="163"/>
      <c r="Q331" s="163"/>
      <c r="R331" s="163"/>
    </row>
    <row r="332" spans="1:18" s="868" customFormat="1" ht="12">
      <c r="A332" s="885"/>
      <c r="B332" s="886"/>
      <c r="C332" s="887"/>
      <c r="D332" s="887"/>
      <c r="E332" s="165"/>
      <c r="F332" s="163"/>
      <c r="G332" s="163"/>
      <c r="H332" s="163"/>
      <c r="I332" s="163"/>
      <c r="J332" s="165"/>
      <c r="K332" s="163"/>
      <c r="L332" s="163"/>
      <c r="M332" s="163"/>
      <c r="N332" s="163"/>
      <c r="O332" s="165"/>
      <c r="P332" s="163"/>
      <c r="Q332" s="163"/>
      <c r="R332" s="163"/>
    </row>
    <row r="333" spans="1:18" s="868" customFormat="1" ht="12">
      <c r="A333" s="885"/>
      <c r="B333" s="886"/>
      <c r="C333" s="887"/>
      <c r="D333" s="887"/>
      <c r="E333" s="165"/>
      <c r="F333" s="163"/>
      <c r="G333" s="163"/>
      <c r="H333" s="163"/>
      <c r="I333" s="163"/>
      <c r="J333" s="165"/>
      <c r="K333" s="163"/>
      <c r="L333" s="163"/>
      <c r="M333" s="163"/>
      <c r="N333" s="163"/>
      <c r="O333" s="165"/>
      <c r="P333" s="163"/>
      <c r="Q333" s="163"/>
      <c r="R333" s="163"/>
    </row>
    <row r="334" spans="1:18" s="868" customFormat="1" ht="12">
      <c r="A334" s="885"/>
      <c r="B334" s="886"/>
      <c r="C334" s="887"/>
      <c r="D334" s="887"/>
      <c r="E334" s="165"/>
      <c r="F334" s="163"/>
      <c r="G334" s="163"/>
      <c r="H334" s="163"/>
      <c r="I334" s="163"/>
      <c r="J334" s="165"/>
      <c r="K334" s="163"/>
      <c r="L334" s="163"/>
      <c r="M334" s="163"/>
      <c r="N334" s="163"/>
      <c r="O334" s="165"/>
      <c r="P334" s="163"/>
      <c r="Q334" s="163"/>
      <c r="R334" s="163"/>
    </row>
    <row r="335" spans="1:18" s="868" customFormat="1" ht="12">
      <c r="A335" s="885"/>
      <c r="B335" s="886"/>
      <c r="C335" s="887"/>
      <c r="D335" s="887"/>
      <c r="E335" s="165"/>
      <c r="F335" s="163"/>
      <c r="G335" s="163"/>
      <c r="H335" s="163"/>
      <c r="I335" s="163"/>
      <c r="J335" s="165"/>
      <c r="K335" s="163"/>
      <c r="L335" s="163"/>
      <c r="M335" s="163"/>
      <c r="N335" s="163"/>
      <c r="O335" s="165"/>
      <c r="P335" s="163"/>
      <c r="Q335" s="163"/>
      <c r="R335" s="163"/>
    </row>
    <row r="336" spans="1:18" s="868" customFormat="1" ht="12">
      <c r="A336" s="885"/>
      <c r="B336" s="886"/>
      <c r="C336" s="887"/>
      <c r="D336" s="887"/>
      <c r="E336" s="165"/>
      <c r="F336" s="163"/>
      <c r="G336" s="163"/>
      <c r="H336" s="163"/>
      <c r="I336" s="163"/>
      <c r="J336" s="165"/>
      <c r="K336" s="163"/>
      <c r="L336" s="163"/>
      <c r="M336" s="163"/>
      <c r="N336" s="163"/>
      <c r="O336" s="165"/>
      <c r="P336" s="163"/>
      <c r="Q336" s="163"/>
      <c r="R336" s="163"/>
    </row>
    <row r="337" spans="1:18" s="868" customFormat="1" ht="12">
      <c r="A337" s="885"/>
      <c r="B337" s="886"/>
      <c r="C337" s="887"/>
      <c r="D337" s="887"/>
      <c r="E337" s="165"/>
      <c r="F337" s="163"/>
      <c r="G337" s="163"/>
      <c r="H337" s="163"/>
      <c r="I337" s="163"/>
      <c r="J337" s="165"/>
      <c r="K337" s="163"/>
      <c r="L337" s="163"/>
      <c r="M337" s="163"/>
      <c r="N337" s="163"/>
      <c r="O337" s="165"/>
      <c r="P337" s="163"/>
      <c r="Q337" s="163"/>
      <c r="R337" s="163"/>
    </row>
    <row r="338" spans="1:18" s="868" customFormat="1" ht="12">
      <c r="A338" s="885"/>
      <c r="B338" s="886"/>
      <c r="C338" s="887"/>
      <c r="D338" s="887"/>
      <c r="E338" s="165"/>
      <c r="F338" s="163"/>
      <c r="G338" s="163"/>
      <c r="H338" s="163"/>
      <c r="I338" s="163"/>
      <c r="J338" s="165"/>
      <c r="K338" s="163"/>
      <c r="L338" s="163"/>
      <c r="M338" s="163"/>
      <c r="N338" s="163"/>
      <c r="O338" s="165"/>
      <c r="P338" s="163"/>
      <c r="Q338" s="163"/>
      <c r="R338" s="163"/>
    </row>
    <row r="339" spans="1:18" s="868" customFormat="1" ht="12">
      <c r="A339" s="885"/>
      <c r="B339" s="886"/>
      <c r="C339" s="887"/>
      <c r="D339" s="887"/>
      <c r="E339" s="165"/>
      <c r="F339" s="163"/>
      <c r="G339" s="163"/>
      <c r="H339" s="163"/>
      <c r="I339" s="163"/>
      <c r="J339" s="165"/>
      <c r="K339" s="163"/>
      <c r="L339" s="163"/>
      <c r="M339" s="163"/>
      <c r="N339" s="163"/>
      <c r="O339" s="165"/>
      <c r="P339" s="163"/>
      <c r="Q339" s="163"/>
      <c r="R339" s="163"/>
    </row>
    <row r="340" spans="1:18" s="868" customFormat="1" ht="12">
      <c r="A340" s="885"/>
      <c r="B340" s="886"/>
      <c r="C340" s="887"/>
      <c r="D340" s="887"/>
      <c r="E340" s="165"/>
      <c r="F340" s="163"/>
      <c r="G340" s="163"/>
      <c r="H340" s="163"/>
      <c r="I340" s="163"/>
      <c r="J340" s="165"/>
      <c r="K340" s="163"/>
      <c r="L340" s="163"/>
      <c r="M340" s="163"/>
      <c r="N340" s="163"/>
      <c r="O340" s="165"/>
      <c r="P340" s="163"/>
      <c r="Q340" s="163"/>
      <c r="R340" s="163"/>
    </row>
    <row r="341" spans="1:18" s="868" customFormat="1" ht="12">
      <c r="A341" s="885"/>
      <c r="B341" s="886"/>
      <c r="C341" s="887"/>
      <c r="D341" s="887"/>
      <c r="E341" s="165"/>
      <c r="F341" s="163"/>
      <c r="G341" s="163"/>
      <c r="H341" s="163"/>
      <c r="I341" s="163"/>
      <c r="J341" s="165"/>
      <c r="K341" s="163"/>
      <c r="L341" s="163"/>
      <c r="M341" s="163"/>
      <c r="N341" s="163"/>
      <c r="O341" s="165"/>
      <c r="P341" s="163"/>
      <c r="Q341" s="163"/>
      <c r="R341" s="163"/>
    </row>
    <row r="342" spans="1:18" s="868" customFormat="1" ht="12">
      <c r="A342" s="885"/>
      <c r="B342" s="886"/>
      <c r="C342" s="887"/>
      <c r="D342" s="887"/>
      <c r="E342" s="165"/>
      <c r="F342" s="163"/>
      <c r="G342" s="163"/>
      <c r="H342" s="163"/>
      <c r="I342" s="163"/>
      <c r="J342" s="165"/>
      <c r="K342" s="163"/>
      <c r="L342" s="163"/>
      <c r="M342" s="163"/>
      <c r="N342" s="163"/>
      <c r="O342" s="165"/>
      <c r="P342" s="163"/>
      <c r="Q342" s="163"/>
      <c r="R342" s="163"/>
    </row>
    <row r="343" spans="1:18" s="868" customFormat="1" ht="12">
      <c r="A343" s="885"/>
      <c r="B343" s="886"/>
      <c r="C343" s="887"/>
      <c r="D343" s="887"/>
      <c r="E343" s="165"/>
      <c r="F343" s="163"/>
      <c r="G343" s="163"/>
      <c r="H343" s="163"/>
      <c r="I343" s="163"/>
      <c r="J343" s="165"/>
      <c r="K343" s="163"/>
      <c r="L343" s="163"/>
      <c r="M343" s="163"/>
      <c r="N343" s="163"/>
      <c r="O343" s="165"/>
      <c r="P343" s="163"/>
      <c r="Q343" s="163"/>
      <c r="R343" s="163"/>
    </row>
    <row r="344" spans="1:18" s="868" customFormat="1" ht="12">
      <c r="A344" s="885"/>
      <c r="B344" s="886"/>
      <c r="C344" s="887"/>
      <c r="D344" s="887"/>
      <c r="E344" s="165"/>
      <c r="F344" s="163"/>
      <c r="G344" s="163"/>
      <c r="H344" s="163"/>
      <c r="I344" s="163"/>
      <c r="J344" s="165"/>
      <c r="K344" s="163"/>
      <c r="L344" s="163"/>
      <c r="M344" s="163"/>
      <c r="N344" s="163"/>
      <c r="O344" s="165"/>
      <c r="P344" s="163"/>
      <c r="Q344" s="163"/>
      <c r="R344" s="163"/>
    </row>
    <row r="345" spans="1:18" s="868" customFormat="1" ht="12">
      <c r="A345" s="885"/>
      <c r="B345" s="886"/>
      <c r="C345" s="887"/>
      <c r="D345" s="887"/>
      <c r="E345" s="165"/>
      <c r="F345" s="163"/>
      <c r="G345" s="163"/>
      <c r="H345" s="163"/>
      <c r="I345" s="163"/>
      <c r="J345" s="165"/>
      <c r="K345" s="163"/>
      <c r="L345" s="163"/>
      <c r="M345" s="163"/>
      <c r="N345" s="163"/>
      <c r="O345" s="165"/>
      <c r="P345" s="163"/>
      <c r="Q345" s="163"/>
      <c r="R345" s="163"/>
    </row>
    <row r="346" spans="1:18" s="868" customFormat="1" ht="12">
      <c r="A346" s="885"/>
      <c r="B346" s="886"/>
      <c r="C346" s="887"/>
      <c r="D346" s="887"/>
      <c r="E346" s="165"/>
      <c r="F346" s="163"/>
      <c r="G346" s="163"/>
      <c r="H346" s="163"/>
      <c r="I346" s="163"/>
      <c r="J346" s="165"/>
      <c r="K346" s="163"/>
      <c r="L346" s="163"/>
      <c r="M346" s="163"/>
      <c r="N346" s="163"/>
      <c r="O346" s="165"/>
      <c r="P346" s="163"/>
      <c r="Q346" s="163"/>
      <c r="R346" s="163"/>
    </row>
    <row r="347" spans="1:18" s="868" customFormat="1" ht="12">
      <c r="A347" s="885"/>
      <c r="B347" s="886"/>
      <c r="C347" s="887"/>
      <c r="D347" s="887"/>
      <c r="E347" s="165"/>
      <c r="F347" s="163"/>
      <c r="G347" s="163"/>
      <c r="H347" s="163"/>
      <c r="I347" s="163"/>
      <c r="J347" s="165"/>
      <c r="K347" s="163"/>
      <c r="L347" s="163"/>
      <c r="M347" s="163"/>
      <c r="N347" s="163"/>
      <c r="O347" s="165"/>
      <c r="P347" s="163"/>
      <c r="Q347" s="163"/>
      <c r="R347" s="163"/>
    </row>
    <row r="348" spans="1:18" s="868" customFormat="1" ht="12">
      <c r="A348" s="885"/>
      <c r="B348" s="886"/>
      <c r="C348" s="887"/>
      <c r="D348" s="887"/>
      <c r="E348" s="165"/>
      <c r="F348" s="163"/>
      <c r="G348" s="163"/>
      <c r="H348" s="163"/>
      <c r="I348" s="163"/>
      <c r="J348" s="165"/>
      <c r="K348" s="163"/>
      <c r="L348" s="163"/>
      <c r="M348" s="163"/>
      <c r="N348" s="163"/>
      <c r="O348" s="165"/>
      <c r="P348" s="163"/>
      <c r="Q348" s="163"/>
      <c r="R348" s="163"/>
    </row>
    <row r="349" spans="1:18" s="868" customFormat="1" ht="12">
      <c r="A349" s="885"/>
      <c r="B349" s="886"/>
      <c r="C349" s="887"/>
      <c r="D349" s="887"/>
      <c r="E349" s="165"/>
      <c r="F349" s="163"/>
      <c r="G349" s="163"/>
      <c r="H349" s="163"/>
      <c r="I349" s="163"/>
      <c r="J349" s="165"/>
      <c r="K349" s="163"/>
      <c r="L349" s="163"/>
      <c r="M349" s="163"/>
      <c r="N349" s="163"/>
      <c r="O349" s="165"/>
      <c r="P349" s="163"/>
      <c r="Q349" s="163"/>
      <c r="R349" s="163"/>
    </row>
    <row r="350" spans="1:18" s="868" customFormat="1" ht="12">
      <c r="A350" s="885"/>
      <c r="B350" s="886"/>
      <c r="C350" s="887"/>
      <c r="D350" s="887"/>
      <c r="E350" s="165"/>
      <c r="F350" s="163"/>
      <c r="G350" s="163"/>
      <c r="H350" s="163"/>
      <c r="I350" s="163"/>
      <c r="J350" s="165"/>
      <c r="K350" s="163"/>
      <c r="L350" s="163"/>
      <c r="M350" s="163"/>
      <c r="N350" s="163"/>
      <c r="O350" s="165"/>
      <c r="P350" s="163"/>
      <c r="Q350" s="163"/>
      <c r="R350" s="163"/>
    </row>
    <row r="351" spans="1:18" s="868" customFormat="1" ht="12">
      <c r="A351" s="885"/>
      <c r="B351" s="886"/>
      <c r="C351" s="887"/>
      <c r="D351" s="887"/>
      <c r="E351" s="165"/>
      <c r="F351" s="163"/>
      <c r="G351" s="163"/>
      <c r="H351" s="163"/>
      <c r="I351" s="163"/>
      <c r="J351" s="165"/>
      <c r="K351" s="163"/>
      <c r="L351" s="163"/>
      <c r="M351" s="163"/>
      <c r="N351" s="163"/>
      <c r="O351" s="165"/>
      <c r="P351" s="163"/>
      <c r="Q351" s="163"/>
      <c r="R351" s="163"/>
    </row>
    <row r="352" spans="1:18" s="868" customFormat="1" ht="12">
      <c r="A352" s="885"/>
      <c r="B352" s="886"/>
      <c r="C352" s="887"/>
      <c r="D352" s="887"/>
      <c r="E352" s="165"/>
      <c r="F352" s="163"/>
      <c r="G352" s="163"/>
      <c r="H352" s="163"/>
      <c r="I352" s="163"/>
      <c r="J352" s="165"/>
      <c r="K352" s="163"/>
      <c r="L352" s="163"/>
      <c r="M352" s="163"/>
      <c r="N352" s="163"/>
      <c r="O352" s="165"/>
      <c r="P352" s="163"/>
      <c r="Q352" s="163"/>
      <c r="R352" s="163"/>
    </row>
    <row r="353" spans="1:18" s="868" customFormat="1" ht="12">
      <c r="A353" s="885"/>
      <c r="B353" s="886"/>
      <c r="C353" s="887"/>
      <c r="D353" s="887"/>
      <c r="E353" s="165"/>
      <c r="F353" s="163"/>
      <c r="G353" s="163"/>
      <c r="H353" s="163"/>
      <c r="I353" s="163"/>
      <c r="J353" s="165"/>
      <c r="K353" s="163"/>
      <c r="L353" s="163"/>
      <c r="M353" s="163"/>
      <c r="N353" s="163"/>
      <c r="O353" s="165"/>
      <c r="P353" s="163"/>
      <c r="Q353" s="163"/>
      <c r="R353" s="163"/>
    </row>
    <row r="354" spans="1:18" s="868" customFormat="1" ht="12">
      <c r="A354" s="885"/>
      <c r="B354" s="886"/>
      <c r="C354" s="887"/>
      <c r="D354" s="887"/>
      <c r="E354" s="165"/>
      <c r="F354" s="163"/>
      <c r="G354" s="163"/>
      <c r="H354" s="163"/>
      <c r="I354" s="163"/>
      <c r="J354" s="165"/>
      <c r="K354" s="163"/>
      <c r="L354" s="163"/>
      <c r="M354" s="163"/>
      <c r="N354" s="163"/>
      <c r="O354" s="165"/>
      <c r="P354" s="163"/>
      <c r="Q354" s="163"/>
      <c r="R354" s="163"/>
    </row>
    <row r="355" spans="1:18" s="868" customFormat="1" ht="12">
      <c r="A355" s="885"/>
      <c r="B355" s="886"/>
      <c r="C355" s="887"/>
      <c r="D355" s="887"/>
      <c r="E355" s="165"/>
      <c r="F355" s="163"/>
      <c r="G355" s="163"/>
      <c r="H355" s="163"/>
      <c r="I355" s="163"/>
      <c r="J355" s="165"/>
      <c r="K355" s="163"/>
      <c r="L355" s="163"/>
      <c r="M355" s="163"/>
      <c r="N355" s="163"/>
      <c r="O355" s="165"/>
      <c r="P355" s="163"/>
      <c r="Q355" s="163"/>
      <c r="R355" s="163"/>
    </row>
    <row r="356" spans="1:18" s="868" customFormat="1" ht="12">
      <c r="A356" s="885"/>
      <c r="B356" s="886"/>
      <c r="C356" s="887"/>
      <c r="D356" s="887"/>
      <c r="E356" s="165"/>
      <c r="F356" s="163"/>
      <c r="G356" s="163"/>
      <c r="H356" s="163"/>
      <c r="I356" s="163"/>
      <c r="J356" s="165"/>
      <c r="K356" s="163"/>
      <c r="L356" s="163"/>
      <c r="M356" s="163"/>
      <c r="N356" s="163"/>
      <c r="O356" s="165"/>
      <c r="P356" s="163"/>
      <c r="Q356" s="163"/>
      <c r="R356" s="163"/>
    </row>
    <row r="357" spans="1:18" s="868" customFormat="1" ht="12">
      <c r="A357" s="885"/>
      <c r="B357" s="886"/>
      <c r="C357" s="887"/>
      <c r="D357" s="887"/>
      <c r="E357" s="165"/>
      <c r="F357" s="163"/>
      <c r="G357" s="163"/>
      <c r="H357" s="163"/>
      <c r="I357" s="163"/>
      <c r="J357" s="165"/>
      <c r="K357" s="163"/>
      <c r="L357" s="163"/>
      <c r="M357" s="163"/>
      <c r="N357" s="163"/>
      <c r="O357" s="165"/>
      <c r="P357" s="163"/>
      <c r="Q357" s="163"/>
      <c r="R357" s="163"/>
    </row>
    <row r="358" spans="1:18" s="868" customFormat="1" ht="12">
      <c r="A358" s="885"/>
      <c r="B358" s="886"/>
      <c r="C358" s="887"/>
      <c r="D358" s="887"/>
      <c r="E358" s="165"/>
      <c r="F358" s="163"/>
      <c r="G358" s="163"/>
      <c r="H358" s="163"/>
      <c r="I358" s="163"/>
      <c r="J358" s="165"/>
      <c r="K358" s="163"/>
      <c r="L358" s="163"/>
      <c r="M358" s="163"/>
      <c r="N358" s="163"/>
      <c r="O358" s="165"/>
      <c r="P358" s="163"/>
      <c r="Q358" s="163"/>
      <c r="R358" s="163"/>
    </row>
    <row r="359" spans="1:18" s="868" customFormat="1" ht="12">
      <c r="A359" s="885"/>
      <c r="B359" s="886"/>
      <c r="C359" s="887"/>
      <c r="D359" s="887"/>
      <c r="E359" s="165"/>
      <c r="F359" s="163"/>
      <c r="G359" s="163"/>
      <c r="H359" s="163"/>
      <c r="I359" s="163"/>
      <c r="J359" s="165"/>
      <c r="K359" s="163"/>
      <c r="L359" s="163"/>
      <c r="M359" s="163"/>
      <c r="N359" s="163"/>
      <c r="O359" s="165"/>
      <c r="P359" s="163"/>
      <c r="Q359" s="163"/>
      <c r="R359" s="163"/>
    </row>
    <row r="360" spans="1:18" s="868" customFormat="1" ht="12">
      <c r="A360" s="885"/>
      <c r="B360" s="886"/>
      <c r="C360" s="887"/>
      <c r="D360" s="887"/>
      <c r="E360" s="165"/>
      <c r="F360" s="163"/>
      <c r="G360" s="163"/>
      <c r="H360" s="163"/>
      <c r="I360" s="163"/>
      <c r="J360" s="165"/>
      <c r="K360" s="163"/>
      <c r="L360" s="163"/>
      <c r="M360" s="163"/>
      <c r="N360" s="163"/>
      <c r="O360" s="165"/>
      <c r="P360" s="163"/>
      <c r="Q360" s="163"/>
      <c r="R360" s="163"/>
    </row>
    <row r="361" spans="1:18" s="868" customFormat="1" ht="12">
      <c r="A361" s="885"/>
      <c r="B361" s="886"/>
      <c r="C361" s="887"/>
      <c r="D361" s="887"/>
      <c r="E361" s="165"/>
      <c r="F361" s="163"/>
      <c r="G361" s="163"/>
      <c r="H361" s="163"/>
      <c r="I361" s="163"/>
      <c r="J361" s="165"/>
      <c r="K361" s="163"/>
      <c r="L361" s="163"/>
      <c r="M361" s="163"/>
      <c r="N361" s="163"/>
      <c r="O361" s="165"/>
      <c r="P361" s="163"/>
      <c r="Q361" s="163"/>
      <c r="R361" s="163"/>
    </row>
    <row r="362" spans="1:18" s="868" customFormat="1" ht="12">
      <c r="A362" s="885"/>
      <c r="B362" s="886"/>
      <c r="C362" s="887"/>
      <c r="D362" s="887"/>
      <c r="E362" s="165"/>
      <c r="F362" s="163"/>
      <c r="G362" s="163"/>
      <c r="H362" s="163"/>
      <c r="I362" s="163"/>
      <c r="J362" s="165"/>
      <c r="K362" s="163"/>
      <c r="L362" s="163"/>
      <c r="M362" s="163"/>
      <c r="N362" s="163"/>
      <c r="O362" s="165"/>
      <c r="P362" s="163"/>
      <c r="Q362" s="163"/>
      <c r="R362" s="163"/>
    </row>
    <row r="363" spans="1:18" s="868" customFormat="1" ht="12">
      <c r="A363" s="885"/>
      <c r="B363" s="886"/>
      <c r="C363" s="887"/>
      <c r="D363" s="887"/>
      <c r="E363" s="165"/>
      <c r="F363" s="163"/>
      <c r="G363" s="163"/>
      <c r="H363" s="163"/>
      <c r="I363" s="163"/>
      <c r="J363" s="165"/>
      <c r="K363" s="163"/>
      <c r="L363" s="163"/>
      <c r="M363" s="163"/>
      <c r="N363" s="163"/>
      <c r="O363" s="165"/>
      <c r="P363" s="163"/>
      <c r="Q363" s="163"/>
      <c r="R363" s="163"/>
    </row>
    <row r="364" spans="1:18" s="868" customFormat="1" ht="12">
      <c r="A364" s="885"/>
      <c r="B364" s="886"/>
      <c r="C364" s="887"/>
      <c r="D364" s="887"/>
      <c r="E364" s="165"/>
      <c r="F364" s="163"/>
      <c r="G364" s="163"/>
      <c r="H364" s="163"/>
      <c r="I364" s="163"/>
      <c r="J364" s="165"/>
      <c r="K364" s="163"/>
      <c r="L364" s="163"/>
      <c r="M364" s="163"/>
      <c r="N364" s="163"/>
      <c r="O364" s="165"/>
      <c r="P364" s="163"/>
      <c r="Q364" s="163"/>
      <c r="R364" s="163"/>
    </row>
    <row r="365" spans="1:18" s="868" customFormat="1" ht="12">
      <c r="A365" s="885"/>
      <c r="B365" s="886"/>
      <c r="C365" s="887"/>
      <c r="D365" s="887"/>
      <c r="E365" s="165"/>
      <c r="F365" s="163"/>
      <c r="G365" s="163"/>
      <c r="H365" s="163"/>
      <c r="I365" s="163"/>
      <c r="J365" s="165"/>
      <c r="K365" s="163"/>
      <c r="L365" s="163"/>
      <c r="M365" s="163"/>
      <c r="N365" s="163"/>
      <c r="O365" s="165"/>
      <c r="P365" s="163"/>
      <c r="Q365" s="163"/>
      <c r="R365" s="163"/>
    </row>
    <row r="366" spans="1:18" s="868" customFormat="1" ht="12">
      <c r="A366" s="885"/>
      <c r="B366" s="886"/>
      <c r="C366" s="887"/>
      <c r="D366" s="887"/>
      <c r="E366" s="165"/>
      <c r="F366" s="163"/>
      <c r="G366" s="163"/>
      <c r="H366" s="163"/>
      <c r="I366" s="163"/>
      <c r="J366" s="165"/>
      <c r="K366" s="163"/>
      <c r="L366" s="163"/>
      <c r="M366" s="163"/>
      <c r="N366" s="163"/>
      <c r="O366" s="165"/>
      <c r="P366" s="163"/>
      <c r="Q366" s="163"/>
      <c r="R366" s="163"/>
    </row>
    <row r="367" spans="1:18" s="868" customFormat="1" ht="12">
      <c r="A367" s="885"/>
      <c r="B367" s="886"/>
      <c r="C367" s="887"/>
      <c r="D367" s="887"/>
      <c r="E367" s="165"/>
      <c r="F367" s="163"/>
      <c r="G367" s="163"/>
      <c r="H367" s="163"/>
      <c r="I367" s="163"/>
      <c r="J367" s="165"/>
      <c r="K367" s="163"/>
      <c r="L367" s="163"/>
      <c r="M367" s="163"/>
      <c r="N367" s="163"/>
      <c r="O367" s="165"/>
      <c r="P367" s="163"/>
      <c r="Q367" s="163"/>
      <c r="R367" s="163"/>
    </row>
    <row r="368" spans="1:18" s="868" customFormat="1" ht="12">
      <c r="A368" s="885"/>
      <c r="B368" s="886"/>
      <c r="C368" s="887"/>
      <c r="D368" s="887"/>
      <c r="E368" s="165"/>
      <c r="F368" s="163"/>
      <c r="G368" s="163"/>
      <c r="H368" s="163"/>
      <c r="I368" s="163"/>
      <c r="J368" s="165"/>
      <c r="K368" s="163"/>
      <c r="L368" s="163"/>
      <c r="M368" s="163"/>
      <c r="N368" s="163"/>
      <c r="O368" s="165"/>
      <c r="P368" s="163"/>
      <c r="Q368" s="163"/>
      <c r="R368" s="163"/>
    </row>
    <row r="369" spans="1:18" s="868" customFormat="1" ht="12">
      <c r="A369" s="885"/>
      <c r="B369" s="886"/>
      <c r="C369" s="887"/>
      <c r="D369" s="887"/>
      <c r="E369" s="165"/>
      <c r="F369" s="163"/>
      <c r="G369" s="163"/>
      <c r="H369" s="163"/>
      <c r="I369" s="163"/>
      <c r="J369" s="165"/>
      <c r="K369" s="163"/>
      <c r="L369" s="163"/>
      <c r="M369" s="163"/>
      <c r="N369" s="163"/>
      <c r="O369" s="165"/>
      <c r="P369" s="163"/>
      <c r="Q369" s="163"/>
      <c r="R369" s="163"/>
    </row>
    <row r="370" spans="1:18" s="868" customFormat="1" ht="12">
      <c r="A370" s="885"/>
      <c r="B370" s="886"/>
      <c r="C370" s="887"/>
      <c r="D370" s="887"/>
      <c r="E370" s="165"/>
      <c r="F370" s="163"/>
      <c r="G370" s="163"/>
      <c r="H370" s="163"/>
      <c r="I370" s="163"/>
      <c r="J370" s="165"/>
      <c r="K370" s="163"/>
      <c r="L370" s="163"/>
      <c r="M370" s="163"/>
      <c r="N370" s="163"/>
      <c r="O370" s="165"/>
      <c r="P370" s="163"/>
      <c r="Q370" s="163"/>
      <c r="R370" s="163"/>
    </row>
    <row r="371" spans="1:18" s="868" customFormat="1" ht="12">
      <c r="A371" s="885"/>
      <c r="B371" s="886"/>
      <c r="C371" s="887"/>
      <c r="D371" s="887"/>
      <c r="E371" s="165"/>
      <c r="F371" s="163"/>
      <c r="G371" s="163"/>
      <c r="H371" s="163"/>
      <c r="I371" s="163"/>
      <c r="J371" s="165"/>
      <c r="K371" s="163"/>
      <c r="L371" s="163"/>
      <c r="M371" s="163"/>
      <c r="N371" s="163"/>
      <c r="O371" s="165"/>
      <c r="P371" s="163"/>
      <c r="Q371" s="163"/>
      <c r="R371" s="163"/>
    </row>
    <row r="372" spans="1:18" s="868" customFormat="1" ht="12">
      <c r="A372" s="885"/>
      <c r="B372" s="886"/>
      <c r="C372" s="887"/>
      <c r="D372" s="887"/>
      <c r="E372" s="165"/>
      <c r="F372" s="163"/>
      <c r="G372" s="163"/>
      <c r="H372" s="163"/>
      <c r="I372" s="163"/>
      <c r="J372" s="165"/>
      <c r="K372" s="163"/>
      <c r="L372" s="163"/>
      <c r="M372" s="163"/>
      <c r="N372" s="163"/>
      <c r="O372" s="165"/>
      <c r="P372" s="163"/>
      <c r="Q372" s="163"/>
      <c r="R372" s="163"/>
    </row>
    <row r="373" spans="1:18" s="868" customFormat="1" ht="12">
      <c r="A373" s="885"/>
      <c r="B373" s="886"/>
      <c r="C373" s="887"/>
      <c r="D373" s="887"/>
      <c r="E373" s="165"/>
      <c r="F373" s="163"/>
      <c r="G373" s="163"/>
      <c r="H373" s="163"/>
      <c r="I373" s="163"/>
      <c r="J373" s="165"/>
      <c r="K373" s="163"/>
      <c r="L373" s="163"/>
      <c r="M373" s="163"/>
      <c r="N373" s="163"/>
      <c r="O373" s="165"/>
      <c r="P373" s="163"/>
      <c r="Q373" s="163"/>
      <c r="R373" s="163"/>
    </row>
    <row r="374" spans="1:18" s="868" customFormat="1" ht="12">
      <c r="A374" s="885"/>
      <c r="B374" s="886"/>
      <c r="C374" s="887"/>
      <c r="D374" s="887"/>
      <c r="E374" s="165"/>
      <c r="F374" s="163"/>
      <c r="G374" s="163"/>
      <c r="H374" s="163"/>
      <c r="I374" s="163"/>
      <c r="J374" s="165"/>
      <c r="K374" s="163"/>
      <c r="L374" s="163"/>
      <c r="M374" s="163"/>
      <c r="N374" s="163"/>
      <c r="O374" s="165"/>
      <c r="P374" s="163"/>
      <c r="Q374" s="163"/>
      <c r="R374" s="163"/>
    </row>
    <row r="375" spans="1:18" s="868" customFormat="1" ht="12">
      <c r="A375" s="885"/>
      <c r="B375" s="886"/>
      <c r="C375" s="887"/>
      <c r="D375" s="887"/>
      <c r="E375" s="165"/>
      <c r="F375" s="163"/>
      <c r="G375" s="163"/>
      <c r="H375" s="163"/>
      <c r="I375" s="163"/>
      <c r="J375" s="165"/>
      <c r="K375" s="163"/>
      <c r="L375" s="163"/>
      <c r="M375" s="163"/>
      <c r="N375" s="163"/>
      <c r="O375" s="165"/>
      <c r="P375" s="163"/>
      <c r="Q375" s="163"/>
      <c r="R375" s="163"/>
    </row>
    <row r="376" spans="1:18" s="868" customFormat="1" ht="12">
      <c r="A376" s="885"/>
      <c r="B376" s="886"/>
      <c r="C376" s="887"/>
      <c r="D376" s="887"/>
      <c r="E376" s="165"/>
      <c r="F376" s="163"/>
      <c r="G376" s="163"/>
      <c r="H376" s="163"/>
      <c r="I376" s="163"/>
      <c r="J376" s="165"/>
      <c r="K376" s="163"/>
      <c r="L376" s="163"/>
      <c r="M376" s="163"/>
      <c r="N376" s="163"/>
      <c r="O376" s="165"/>
      <c r="P376" s="163"/>
      <c r="Q376" s="163"/>
      <c r="R376" s="163"/>
    </row>
    <row r="377" spans="1:18" s="868" customFormat="1" ht="12">
      <c r="A377" s="885"/>
      <c r="B377" s="886"/>
      <c r="C377" s="887"/>
      <c r="D377" s="887"/>
      <c r="E377" s="165"/>
      <c r="F377" s="163"/>
      <c r="G377" s="163"/>
      <c r="H377" s="163"/>
      <c r="I377" s="163"/>
      <c r="J377" s="165"/>
      <c r="K377" s="163"/>
      <c r="L377" s="163"/>
      <c r="M377" s="163"/>
      <c r="N377" s="163"/>
      <c r="O377" s="165"/>
      <c r="P377" s="163"/>
      <c r="Q377" s="163"/>
      <c r="R377" s="163"/>
    </row>
    <row r="378" spans="1:18" s="868" customFormat="1" ht="12">
      <c r="A378" s="885"/>
      <c r="B378" s="886"/>
      <c r="C378" s="887"/>
      <c r="D378" s="887"/>
      <c r="E378" s="165"/>
      <c r="F378" s="163"/>
      <c r="G378" s="163"/>
      <c r="H378" s="163"/>
      <c r="I378" s="163"/>
      <c r="J378" s="165"/>
      <c r="K378" s="163"/>
      <c r="L378" s="163"/>
      <c r="M378" s="163"/>
      <c r="N378" s="163"/>
      <c r="O378" s="165"/>
      <c r="P378" s="163"/>
      <c r="Q378" s="163"/>
      <c r="R378" s="163"/>
    </row>
    <row r="379" spans="1:18" s="868" customFormat="1" ht="12">
      <c r="A379" s="885"/>
      <c r="B379" s="886"/>
      <c r="C379" s="887"/>
      <c r="D379" s="887"/>
      <c r="E379" s="165"/>
      <c r="F379" s="163"/>
      <c r="G379" s="163"/>
      <c r="H379" s="163"/>
      <c r="I379" s="163"/>
      <c r="J379" s="165"/>
      <c r="K379" s="163"/>
      <c r="L379" s="163"/>
      <c r="M379" s="163"/>
      <c r="N379" s="163"/>
      <c r="O379" s="165"/>
      <c r="P379" s="163"/>
      <c r="Q379" s="163"/>
      <c r="R379" s="163"/>
    </row>
    <row r="380" spans="1:18" s="868" customFormat="1" ht="12">
      <c r="A380" s="885"/>
      <c r="B380" s="886"/>
      <c r="C380" s="887"/>
      <c r="D380" s="887"/>
      <c r="E380" s="165"/>
      <c r="F380" s="163"/>
      <c r="G380" s="163"/>
      <c r="H380" s="163"/>
      <c r="I380" s="163"/>
      <c r="J380" s="165"/>
      <c r="K380" s="163"/>
      <c r="L380" s="163"/>
      <c r="M380" s="163"/>
      <c r="N380" s="163"/>
      <c r="O380" s="165"/>
      <c r="P380" s="163"/>
      <c r="Q380" s="163"/>
      <c r="R380" s="163"/>
    </row>
    <row r="381" spans="1:18" s="868" customFormat="1" ht="12">
      <c r="A381" s="885"/>
      <c r="B381" s="886"/>
      <c r="C381" s="887"/>
      <c r="D381" s="887"/>
      <c r="E381" s="165"/>
      <c r="F381" s="163"/>
      <c r="G381" s="163"/>
      <c r="H381" s="163"/>
      <c r="I381" s="163"/>
      <c r="J381" s="165"/>
      <c r="K381" s="163"/>
      <c r="L381" s="163"/>
      <c r="M381" s="163"/>
      <c r="N381" s="163"/>
      <c r="O381" s="165"/>
      <c r="P381" s="163"/>
      <c r="Q381" s="163"/>
      <c r="R381" s="163"/>
    </row>
    <row r="382" spans="1:18" s="868" customFormat="1" ht="12">
      <c r="A382" s="885"/>
      <c r="B382" s="886"/>
      <c r="C382" s="887"/>
      <c r="D382" s="887"/>
      <c r="E382" s="165"/>
      <c r="F382" s="163"/>
      <c r="G382" s="163"/>
      <c r="H382" s="163"/>
      <c r="I382" s="163"/>
      <c r="J382" s="165"/>
      <c r="K382" s="163"/>
      <c r="L382" s="163"/>
      <c r="M382" s="163"/>
      <c r="N382" s="163"/>
      <c r="O382" s="165"/>
      <c r="P382" s="163"/>
      <c r="Q382" s="163"/>
      <c r="R382" s="163"/>
    </row>
    <row r="383" spans="1:18" s="868" customFormat="1" ht="12">
      <c r="A383" s="885"/>
      <c r="B383" s="886"/>
      <c r="C383" s="887"/>
      <c r="D383" s="887"/>
      <c r="E383" s="165"/>
      <c r="F383" s="163"/>
      <c r="G383" s="163"/>
      <c r="H383" s="163"/>
      <c r="I383" s="163"/>
      <c r="J383" s="165"/>
      <c r="K383" s="163"/>
      <c r="L383" s="163"/>
      <c r="M383" s="163"/>
      <c r="N383" s="163"/>
      <c r="O383" s="165"/>
      <c r="P383" s="163"/>
      <c r="Q383" s="163"/>
      <c r="R383" s="163"/>
    </row>
    <row r="384" spans="1:18" s="868" customFormat="1" ht="12">
      <c r="A384" s="885"/>
      <c r="B384" s="886"/>
      <c r="C384" s="887"/>
      <c r="D384" s="887"/>
      <c r="E384" s="165"/>
      <c r="F384" s="163"/>
      <c r="G384" s="163"/>
      <c r="H384" s="163"/>
      <c r="I384" s="163"/>
      <c r="J384" s="165"/>
      <c r="K384" s="163"/>
      <c r="L384" s="163"/>
      <c r="M384" s="163"/>
      <c r="N384" s="163"/>
      <c r="O384" s="165"/>
      <c r="P384" s="163"/>
      <c r="Q384" s="163"/>
      <c r="R384" s="163"/>
    </row>
    <row r="385" spans="1:18" s="868" customFormat="1" ht="12">
      <c r="A385" s="885"/>
      <c r="B385" s="886"/>
      <c r="C385" s="887"/>
      <c r="D385" s="887"/>
      <c r="E385" s="165"/>
      <c r="F385" s="163"/>
      <c r="G385" s="163"/>
      <c r="H385" s="163"/>
      <c r="I385" s="163"/>
      <c r="J385" s="165"/>
      <c r="K385" s="163"/>
      <c r="L385" s="163"/>
      <c r="M385" s="163"/>
      <c r="N385" s="163"/>
      <c r="O385" s="165"/>
      <c r="P385" s="163"/>
      <c r="Q385" s="163"/>
      <c r="R385" s="163"/>
    </row>
    <row r="386" spans="1:18" s="868" customFormat="1" ht="12">
      <c r="A386" s="885"/>
      <c r="B386" s="886"/>
      <c r="C386" s="887"/>
      <c r="D386" s="887"/>
      <c r="E386" s="165"/>
      <c r="F386" s="163"/>
      <c r="G386" s="163"/>
      <c r="H386" s="163"/>
      <c r="I386" s="163"/>
      <c r="J386" s="165"/>
      <c r="K386" s="163"/>
      <c r="L386" s="163"/>
      <c r="M386" s="163"/>
      <c r="N386" s="163"/>
      <c r="O386" s="165"/>
      <c r="P386" s="163"/>
      <c r="Q386" s="163"/>
      <c r="R386" s="163"/>
    </row>
    <row r="387" spans="1:18" s="868" customFormat="1" ht="12">
      <c r="A387" s="885"/>
      <c r="B387" s="886"/>
      <c r="C387" s="887"/>
      <c r="D387" s="887"/>
      <c r="E387" s="165"/>
      <c r="F387" s="163"/>
      <c r="G387" s="163"/>
      <c r="H387" s="163"/>
      <c r="I387" s="163"/>
      <c r="J387" s="165"/>
      <c r="K387" s="163"/>
      <c r="L387" s="163"/>
      <c r="M387" s="163"/>
      <c r="N387" s="163"/>
      <c r="O387" s="165"/>
      <c r="P387" s="163"/>
      <c r="Q387" s="163"/>
      <c r="R387" s="163"/>
    </row>
    <row r="388" spans="1:18" s="868" customFormat="1" ht="12">
      <c r="A388" s="885"/>
      <c r="B388" s="886"/>
      <c r="C388" s="887"/>
      <c r="D388" s="887"/>
      <c r="E388" s="165"/>
      <c r="F388" s="163"/>
      <c r="G388" s="163"/>
      <c r="H388" s="163"/>
      <c r="I388" s="163"/>
      <c r="J388" s="165"/>
      <c r="K388" s="163"/>
      <c r="L388" s="163"/>
      <c r="M388" s="163"/>
      <c r="N388" s="163"/>
      <c r="O388" s="165"/>
      <c r="P388" s="163"/>
      <c r="Q388" s="163"/>
      <c r="R388" s="163"/>
    </row>
    <row r="389" spans="1:18" s="868" customFormat="1" ht="12">
      <c r="A389" s="885"/>
      <c r="B389" s="886"/>
      <c r="C389" s="887"/>
      <c r="D389" s="887"/>
      <c r="E389" s="165"/>
      <c r="F389" s="163"/>
      <c r="G389" s="163"/>
      <c r="H389" s="163"/>
      <c r="I389" s="163"/>
      <c r="J389" s="165"/>
      <c r="K389" s="163"/>
      <c r="L389" s="163"/>
      <c r="M389" s="163"/>
      <c r="N389" s="163"/>
      <c r="O389" s="165"/>
      <c r="P389" s="163"/>
      <c r="Q389" s="163"/>
      <c r="R389" s="163"/>
    </row>
    <row r="390" spans="1:18" s="868" customFormat="1" ht="12">
      <c r="A390" s="885"/>
      <c r="B390" s="886"/>
      <c r="C390" s="887"/>
      <c r="D390" s="887"/>
      <c r="E390" s="165"/>
      <c r="F390" s="163"/>
      <c r="G390" s="163"/>
      <c r="H390" s="163"/>
      <c r="I390" s="163"/>
      <c r="J390" s="165"/>
      <c r="K390" s="163"/>
      <c r="L390" s="163"/>
      <c r="M390" s="163"/>
      <c r="N390" s="163"/>
      <c r="O390" s="165"/>
      <c r="P390" s="163"/>
      <c r="Q390" s="163"/>
      <c r="R390" s="163"/>
    </row>
    <row r="391" spans="1:18" s="868" customFormat="1" ht="12">
      <c r="A391" s="885"/>
      <c r="B391" s="886"/>
      <c r="C391" s="887"/>
      <c r="D391" s="887"/>
      <c r="E391" s="165"/>
      <c r="F391" s="163"/>
      <c r="G391" s="163"/>
      <c r="H391" s="163"/>
      <c r="I391" s="163"/>
      <c r="J391" s="165"/>
      <c r="K391" s="163"/>
      <c r="L391" s="163"/>
      <c r="M391" s="163"/>
      <c r="N391" s="163"/>
      <c r="O391" s="165"/>
      <c r="P391" s="163"/>
      <c r="Q391" s="163"/>
      <c r="R391" s="163"/>
    </row>
    <row r="392" spans="1:18" s="868" customFormat="1" ht="12">
      <c r="A392" s="885"/>
      <c r="B392" s="886"/>
      <c r="C392" s="887"/>
      <c r="D392" s="887"/>
      <c r="E392" s="165"/>
      <c r="F392" s="163"/>
      <c r="G392" s="163"/>
      <c r="H392" s="163"/>
      <c r="I392" s="163"/>
      <c r="J392" s="165"/>
      <c r="K392" s="163"/>
      <c r="L392" s="163"/>
      <c r="M392" s="163"/>
      <c r="N392" s="163"/>
      <c r="O392" s="165"/>
      <c r="P392" s="163"/>
      <c r="Q392" s="163"/>
      <c r="R392" s="163"/>
    </row>
    <row r="393" spans="1:18" s="868" customFormat="1" ht="12">
      <c r="A393" s="885"/>
      <c r="B393" s="886"/>
      <c r="C393" s="887"/>
      <c r="D393" s="887"/>
      <c r="E393" s="165"/>
      <c r="F393" s="163"/>
      <c r="G393" s="163"/>
      <c r="H393" s="163"/>
      <c r="I393" s="163"/>
      <c r="J393" s="165"/>
      <c r="K393" s="163"/>
      <c r="L393" s="163"/>
      <c r="M393" s="163"/>
      <c r="N393" s="163"/>
      <c r="O393" s="165"/>
      <c r="P393" s="163"/>
      <c r="Q393" s="163"/>
      <c r="R393" s="163"/>
    </row>
    <row r="394" spans="1:18" s="868" customFormat="1" ht="12">
      <c r="A394" s="885"/>
      <c r="B394" s="886"/>
      <c r="C394" s="887"/>
      <c r="D394" s="887"/>
      <c r="E394" s="165"/>
      <c r="F394" s="163"/>
      <c r="G394" s="163"/>
      <c r="H394" s="163"/>
      <c r="I394" s="163"/>
      <c r="J394" s="165"/>
      <c r="K394" s="163"/>
      <c r="L394" s="163"/>
      <c r="M394" s="163"/>
      <c r="N394" s="163"/>
      <c r="O394" s="165"/>
      <c r="P394" s="163"/>
      <c r="Q394" s="163"/>
      <c r="R394" s="163"/>
    </row>
    <row r="395" spans="1:18" s="868" customFormat="1" ht="12">
      <c r="A395" s="885"/>
      <c r="B395" s="886"/>
      <c r="C395" s="887"/>
      <c r="D395" s="887"/>
      <c r="E395" s="165"/>
      <c r="F395" s="163"/>
      <c r="G395" s="163"/>
      <c r="H395" s="163"/>
      <c r="I395" s="163"/>
      <c r="J395" s="165"/>
      <c r="K395" s="163"/>
      <c r="L395" s="163"/>
      <c r="M395" s="163"/>
      <c r="N395" s="163"/>
      <c r="O395" s="165"/>
      <c r="P395" s="163"/>
      <c r="Q395" s="163"/>
      <c r="R395" s="163"/>
    </row>
    <row r="396" spans="1:18" s="868" customFormat="1" ht="12">
      <c r="A396" s="885"/>
      <c r="B396" s="886"/>
      <c r="C396" s="887"/>
      <c r="D396" s="887"/>
      <c r="E396" s="165"/>
      <c r="F396" s="163"/>
      <c r="G396" s="163"/>
      <c r="H396" s="163"/>
      <c r="I396" s="163"/>
      <c r="J396" s="165"/>
      <c r="K396" s="163"/>
      <c r="L396" s="163"/>
      <c r="M396" s="163"/>
      <c r="N396" s="163"/>
      <c r="O396" s="165"/>
      <c r="P396" s="163"/>
      <c r="Q396" s="163"/>
      <c r="R396" s="163"/>
    </row>
    <row r="397" spans="1:18" s="868" customFormat="1" ht="12">
      <c r="A397" s="885"/>
      <c r="B397" s="886"/>
      <c r="C397" s="887"/>
      <c r="D397" s="887"/>
      <c r="E397" s="165"/>
      <c r="F397" s="163"/>
      <c r="G397" s="163"/>
      <c r="H397" s="163"/>
      <c r="I397" s="163"/>
      <c r="J397" s="165"/>
      <c r="K397" s="163"/>
      <c r="L397" s="163"/>
      <c r="M397" s="163"/>
      <c r="N397" s="163"/>
      <c r="O397" s="165"/>
      <c r="P397" s="163"/>
      <c r="Q397" s="163"/>
      <c r="R397" s="163"/>
    </row>
    <row r="398" spans="1:18" s="868" customFormat="1" ht="12">
      <c r="A398" s="885"/>
      <c r="B398" s="886"/>
      <c r="C398" s="887"/>
      <c r="D398" s="887"/>
      <c r="E398" s="165"/>
      <c r="F398" s="163"/>
      <c r="G398" s="163"/>
      <c r="H398" s="163"/>
      <c r="I398" s="163"/>
      <c r="J398" s="165"/>
      <c r="K398" s="163"/>
      <c r="L398" s="163"/>
      <c r="M398" s="163"/>
      <c r="N398" s="163"/>
      <c r="O398" s="165"/>
      <c r="P398" s="163"/>
      <c r="Q398" s="163"/>
      <c r="R398" s="163"/>
    </row>
    <row r="399" spans="1:18" s="868" customFormat="1" ht="12">
      <c r="A399" s="885"/>
      <c r="B399" s="886"/>
      <c r="C399" s="887"/>
      <c r="D399" s="887"/>
      <c r="E399" s="165"/>
      <c r="F399" s="163"/>
      <c r="G399" s="163"/>
      <c r="H399" s="163"/>
      <c r="I399" s="163"/>
      <c r="J399" s="165"/>
      <c r="K399" s="163"/>
      <c r="L399" s="163"/>
      <c r="M399" s="163"/>
      <c r="N399" s="163"/>
      <c r="O399" s="165"/>
      <c r="P399" s="163"/>
      <c r="Q399" s="163"/>
      <c r="R399" s="163"/>
    </row>
    <row r="400" spans="1:18" s="868" customFormat="1" ht="12">
      <c r="A400" s="885"/>
      <c r="B400" s="886"/>
      <c r="C400" s="887"/>
      <c r="D400" s="887"/>
      <c r="E400" s="165"/>
      <c r="F400" s="163"/>
      <c r="G400" s="163"/>
      <c r="H400" s="163"/>
      <c r="I400" s="163"/>
      <c r="J400" s="165"/>
      <c r="K400" s="163"/>
      <c r="L400" s="163"/>
      <c r="M400" s="163"/>
      <c r="N400" s="163"/>
      <c r="O400" s="165"/>
      <c r="P400" s="163"/>
      <c r="Q400" s="163"/>
      <c r="R400" s="163"/>
    </row>
    <row r="401" spans="1:18" s="868" customFormat="1" ht="12">
      <c r="A401" s="885"/>
      <c r="B401" s="886"/>
      <c r="C401" s="887"/>
      <c r="D401" s="887"/>
      <c r="E401" s="165"/>
      <c r="F401" s="163"/>
      <c r="G401" s="163"/>
      <c r="H401" s="163"/>
      <c r="I401" s="163"/>
      <c r="J401" s="165"/>
      <c r="K401" s="163"/>
      <c r="L401" s="163"/>
      <c r="M401" s="163"/>
      <c r="N401" s="163"/>
      <c r="O401" s="165"/>
      <c r="P401" s="163"/>
      <c r="Q401" s="163"/>
      <c r="R401" s="163"/>
    </row>
    <row r="402" spans="1:18" s="868" customFormat="1" ht="12">
      <c r="A402" s="885"/>
      <c r="B402" s="886"/>
      <c r="C402" s="887"/>
      <c r="D402" s="887"/>
      <c r="E402" s="165"/>
      <c r="F402" s="163"/>
      <c r="G402" s="163"/>
      <c r="H402" s="163"/>
      <c r="I402" s="163"/>
      <c r="J402" s="165"/>
      <c r="K402" s="163"/>
      <c r="L402" s="163"/>
      <c r="M402" s="163"/>
      <c r="N402" s="163"/>
      <c r="O402" s="165"/>
      <c r="P402" s="163"/>
      <c r="Q402" s="163"/>
      <c r="R402" s="163"/>
    </row>
    <row r="403" spans="1:18" s="868" customFormat="1" ht="12">
      <c r="A403" s="885"/>
      <c r="B403" s="886"/>
      <c r="C403" s="887"/>
      <c r="D403" s="887"/>
      <c r="E403" s="165"/>
      <c r="F403" s="163"/>
      <c r="G403" s="163"/>
      <c r="H403" s="163"/>
      <c r="I403" s="163"/>
      <c r="J403" s="165"/>
      <c r="K403" s="163"/>
      <c r="L403" s="163"/>
      <c r="M403" s="163"/>
      <c r="N403" s="163"/>
      <c r="O403" s="165"/>
      <c r="P403" s="163"/>
      <c r="Q403" s="163"/>
      <c r="R403" s="163"/>
    </row>
    <row r="404" spans="1:18" s="868" customFormat="1" ht="12">
      <c r="A404" s="885"/>
      <c r="B404" s="886"/>
      <c r="C404" s="887"/>
      <c r="D404" s="887"/>
      <c r="E404" s="165"/>
      <c r="F404" s="163"/>
      <c r="G404" s="163"/>
      <c r="H404" s="163"/>
      <c r="I404" s="163"/>
      <c r="J404" s="165"/>
      <c r="K404" s="163"/>
      <c r="L404" s="163"/>
      <c r="M404" s="163"/>
      <c r="N404" s="163"/>
      <c r="O404" s="165"/>
      <c r="P404" s="163"/>
      <c r="Q404" s="163"/>
      <c r="R404" s="163"/>
    </row>
    <row r="405" spans="1:18" s="868" customFormat="1" ht="12">
      <c r="A405" s="885"/>
      <c r="B405" s="886"/>
      <c r="C405" s="887"/>
      <c r="D405" s="887"/>
      <c r="E405" s="165"/>
      <c r="F405" s="163"/>
      <c r="G405" s="163"/>
      <c r="H405" s="163"/>
      <c r="I405" s="163"/>
      <c r="J405" s="165"/>
      <c r="K405" s="163"/>
      <c r="L405" s="163"/>
      <c r="M405" s="163"/>
      <c r="N405" s="163"/>
      <c r="O405" s="165"/>
      <c r="P405" s="163"/>
      <c r="Q405" s="163"/>
      <c r="R405" s="163"/>
    </row>
    <row r="406" spans="1:18" s="868" customFormat="1" ht="12">
      <c r="A406" s="885"/>
      <c r="B406" s="886"/>
      <c r="C406" s="887"/>
      <c r="D406" s="887"/>
      <c r="E406" s="165"/>
      <c r="F406" s="163"/>
      <c r="G406" s="163"/>
      <c r="H406" s="163"/>
      <c r="I406" s="163"/>
      <c r="J406" s="165"/>
      <c r="K406" s="163"/>
      <c r="L406" s="163"/>
      <c r="M406" s="163"/>
      <c r="N406" s="163"/>
      <c r="O406" s="165"/>
      <c r="P406" s="163"/>
      <c r="Q406" s="163"/>
      <c r="R406" s="163"/>
    </row>
    <row r="407" spans="1:18" s="868" customFormat="1" ht="12">
      <c r="A407" s="885"/>
      <c r="B407" s="886"/>
      <c r="C407" s="887"/>
      <c r="D407" s="887"/>
      <c r="E407" s="165"/>
      <c r="F407" s="163"/>
      <c r="G407" s="163"/>
      <c r="H407" s="163"/>
      <c r="I407" s="163"/>
      <c r="J407" s="165"/>
      <c r="K407" s="163"/>
      <c r="L407" s="163"/>
      <c r="M407" s="163"/>
      <c r="N407" s="163"/>
      <c r="O407" s="165"/>
      <c r="P407" s="163"/>
      <c r="Q407" s="163"/>
      <c r="R407" s="163"/>
    </row>
    <row r="408" spans="1:18" s="868" customFormat="1" ht="12">
      <c r="A408" s="885"/>
      <c r="B408" s="886"/>
      <c r="C408" s="887"/>
      <c r="D408" s="887"/>
      <c r="E408" s="165"/>
      <c r="F408" s="163"/>
      <c r="G408" s="163"/>
      <c r="H408" s="163"/>
      <c r="I408" s="163"/>
      <c r="J408" s="165"/>
      <c r="K408" s="163"/>
      <c r="L408" s="163"/>
      <c r="M408" s="163"/>
      <c r="N408" s="163"/>
      <c r="O408" s="165"/>
      <c r="P408" s="163"/>
      <c r="Q408" s="163"/>
      <c r="R408" s="163"/>
    </row>
    <row r="409" spans="1:18" s="868" customFormat="1" ht="12">
      <c r="A409" s="885"/>
      <c r="B409" s="886"/>
      <c r="C409" s="887"/>
      <c r="D409" s="887"/>
      <c r="E409" s="165"/>
      <c r="F409" s="163"/>
      <c r="G409" s="163"/>
      <c r="H409" s="163"/>
      <c r="I409" s="163"/>
      <c r="J409" s="165"/>
      <c r="K409" s="163"/>
      <c r="L409" s="163"/>
      <c r="M409" s="163"/>
      <c r="N409" s="163"/>
      <c r="O409" s="165"/>
      <c r="P409" s="163"/>
      <c r="Q409" s="163"/>
      <c r="R409" s="163"/>
    </row>
    <row r="410" spans="1:18" s="868" customFormat="1" ht="12">
      <c r="A410" s="885"/>
      <c r="B410" s="886"/>
      <c r="C410" s="887"/>
      <c r="D410" s="887"/>
      <c r="E410" s="165"/>
      <c r="F410" s="163"/>
      <c r="G410" s="163"/>
      <c r="H410" s="163"/>
      <c r="I410" s="163"/>
      <c r="J410" s="165"/>
      <c r="K410" s="163"/>
      <c r="L410" s="163"/>
      <c r="M410" s="163"/>
      <c r="N410" s="163"/>
      <c r="O410" s="165"/>
      <c r="P410" s="163"/>
      <c r="Q410" s="163"/>
      <c r="R410" s="163"/>
    </row>
    <row r="411" spans="1:18" s="868" customFormat="1" ht="12">
      <c r="A411" s="885"/>
      <c r="B411" s="886"/>
      <c r="C411" s="887"/>
      <c r="D411" s="887"/>
      <c r="E411" s="165"/>
      <c r="F411" s="163"/>
      <c r="G411" s="163"/>
      <c r="H411" s="163"/>
      <c r="I411" s="163"/>
      <c r="J411" s="165"/>
      <c r="K411" s="163"/>
      <c r="L411" s="163"/>
      <c r="M411" s="163"/>
      <c r="N411" s="163"/>
      <c r="O411" s="165"/>
      <c r="P411" s="163"/>
      <c r="Q411" s="163"/>
      <c r="R411" s="163"/>
    </row>
    <row r="412" spans="1:18" s="868" customFormat="1" ht="12">
      <c r="A412" s="885"/>
      <c r="B412" s="886"/>
      <c r="C412" s="887"/>
      <c r="D412" s="887"/>
      <c r="E412" s="165"/>
      <c r="F412" s="163"/>
      <c r="G412" s="163"/>
      <c r="H412" s="163"/>
      <c r="I412" s="163"/>
      <c r="J412" s="165"/>
      <c r="K412" s="163"/>
      <c r="L412" s="163"/>
      <c r="M412" s="163"/>
      <c r="N412" s="163"/>
      <c r="O412" s="165"/>
      <c r="P412" s="163"/>
      <c r="Q412" s="163"/>
      <c r="R412" s="163"/>
    </row>
    <row r="413" spans="1:18" s="868" customFormat="1" ht="12">
      <c r="A413" s="885"/>
      <c r="B413" s="886"/>
      <c r="C413" s="887"/>
      <c r="D413" s="887"/>
      <c r="E413" s="165"/>
      <c r="F413" s="163"/>
      <c r="G413" s="163"/>
      <c r="H413" s="163"/>
      <c r="I413" s="163"/>
      <c r="J413" s="165"/>
      <c r="K413" s="163"/>
      <c r="L413" s="163"/>
      <c r="M413" s="163"/>
      <c r="N413" s="163"/>
      <c r="O413" s="165"/>
      <c r="P413" s="163"/>
      <c r="Q413" s="163"/>
      <c r="R413" s="163"/>
    </row>
    <row r="414" spans="1:18" s="868" customFormat="1" ht="12">
      <c r="A414" s="885"/>
      <c r="B414" s="886"/>
      <c r="C414" s="887"/>
      <c r="D414" s="887"/>
      <c r="E414" s="165"/>
      <c r="F414" s="163"/>
      <c r="G414" s="163"/>
      <c r="H414" s="163"/>
      <c r="I414" s="163"/>
      <c r="J414" s="165"/>
      <c r="K414" s="163"/>
      <c r="L414" s="163"/>
      <c r="M414" s="163"/>
      <c r="N414" s="163"/>
      <c r="O414" s="165"/>
      <c r="P414" s="163"/>
      <c r="Q414" s="163"/>
      <c r="R414" s="163"/>
    </row>
    <row r="415" spans="1:18" s="868" customFormat="1" ht="12">
      <c r="A415" s="885"/>
      <c r="B415" s="886"/>
      <c r="C415" s="887"/>
      <c r="D415" s="887"/>
      <c r="E415" s="165"/>
      <c r="F415" s="163"/>
      <c r="G415" s="163"/>
      <c r="H415" s="163"/>
      <c r="I415" s="163"/>
      <c r="J415" s="165"/>
      <c r="K415" s="163"/>
      <c r="L415" s="163"/>
      <c r="M415" s="163"/>
      <c r="N415" s="163"/>
      <c r="O415" s="165"/>
      <c r="P415" s="163"/>
      <c r="Q415" s="163"/>
      <c r="R415" s="163"/>
    </row>
    <row r="416" spans="1:18" s="868" customFormat="1" ht="12">
      <c r="A416" s="885"/>
      <c r="B416" s="886"/>
      <c r="C416" s="887"/>
      <c r="D416" s="887"/>
      <c r="E416" s="165"/>
      <c r="F416" s="163"/>
      <c r="G416" s="163"/>
      <c r="H416" s="163"/>
      <c r="I416" s="163"/>
      <c r="J416" s="165"/>
      <c r="K416" s="163"/>
      <c r="L416" s="163"/>
      <c r="M416" s="163"/>
      <c r="N416" s="163"/>
      <c r="O416" s="165"/>
      <c r="P416" s="163"/>
      <c r="Q416" s="163"/>
      <c r="R416" s="163"/>
    </row>
    <row r="417" spans="1:18" s="868" customFormat="1" ht="12">
      <c r="A417" s="885"/>
      <c r="B417" s="886"/>
      <c r="C417" s="887"/>
      <c r="D417" s="887"/>
      <c r="E417" s="165"/>
      <c r="F417" s="163"/>
      <c r="G417" s="163"/>
      <c r="H417" s="163"/>
      <c r="I417" s="163"/>
      <c r="J417" s="165"/>
      <c r="K417" s="163"/>
      <c r="L417" s="163"/>
      <c r="M417" s="163"/>
      <c r="N417" s="163"/>
      <c r="O417" s="165"/>
      <c r="P417" s="163"/>
      <c r="Q417" s="163"/>
      <c r="R417" s="163"/>
    </row>
    <row r="418" spans="1:18" s="868" customFormat="1" ht="12">
      <c r="A418" s="885"/>
      <c r="B418" s="886"/>
      <c r="C418" s="887"/>
      <c r="D418" s="887"/>
      <c r="E418" s="165"/>
      <c r="F418" s="163"/>
      <c r="G418" s="163"/>
      <c r="H418" s="163"/>
      <c r="I418" s="163"/>
      <c r="J418" s="165"/>
      <c r="K418" s="163"/>
      <c r="L418" s="163"/>
      <c r="M418" s="163"/>
      <c r="N418" s="163"/>
      <c r="O418" s="165"/>
      <c r="P418" s="163"/>
      <c r="Q418" s="163"/>
      <c r="R418" s="163"/>
    </row>
    <row r="419" spans="1:18" s="868" customFormat="1" ht="12">
      <c r="A419" s="885"/>
      <c r="B419" s="886"/>
      <c r="C419" s="887"/>
      <c r="D419" s="887"/>
      <c r="E419" s="165"/>
      <c r="F419" s="163"/>
      <c r="G419" s="163"/>
      <c r="H419" s="163"/>
      <c r="I419" s="163"/>
      <c r="J419" s="165"/>
      <c r="K419" s="163"/>
      <c r="L419" s="163"/>
      <c r="M419" s="163"/>
      <c r="N419" s="163"/>
      <c r="O419" s="165"/>
      <c r="P419" s="163"/>
      <c r="Q419" s="163"/>
      <c r="R419" s="163"/>
    </row>
    <row r="420" spans="1:18" s="868" customFormat="1" ht="12">
      <c r="A420" s="885"/>
      <c r="B420" s="886"/>
      <c r="C420" s="887"/>
      <c r="D420" s="887"/>
      <c r="E420" s="165"/>
      <c r="F420" s="163"/>
      <c r="G420" s="163"/>
      <c r="H420" s="163"/>
      <c r="I420" s="163"/>
      <c r="J420" s="165"/>
      <c r="K420" s="163"/>
      <c r="L420" s="163"/>
      <c r="M420" s="163"/>
      <c r="N420" s="163"/>
      <c r="O420" s="165"/>
      <c r="P420" s="163"/>
      <c r="Q420" s="163"/>
      <c r="R420" s="163"/>
    </row>
    <row r="421" spans="1:18" s="868" customFormat="1" ht="12">
      <c r="A421" s="885"/>
      <c r="B421" s="886"/>
      <c r="C421" s="887"/>
      <c r="D421" s="887"/>
      <c r="E421" s="165"/>
      <c r="F421" s="163"/>
      <c r="G421" s="163"/>
      <c r="H421" s="163"/>
      <c r="I421" s="163"/>
      <c r="J421" s="165"/>
      <c r="K421" s="163"/>
      <c r="L421" s="163"/>
      <c r="M421" s="163"/>
      <c r="N421" s="163"/>
      <c r="O421" s="165"/>
      <c r="P421" s="163"/>
      <c r="Q421" s="163"/>
      <c r="R421" s="163"/>
    </row>
    <row r="422" spans="1:18" s="868" customFormat="1" ht="12">
      <c r="A422" s="885"/>
      <c r="B422" s="886"/>
      <c r="C422" s="887"/>
      <c r="D422" s="887"/>
      <c r="E422" s="165"/>
      <c r="F422" s="163"/>
      <c r="G422" s="163"/>
      <c r="H422" s="163"/>
      <c r="I422" s="163"/>
      <c r="J422" s="165"/>
      <c r="K422" s="163"/>
      <c r="L422" s="163"/>
      <c r="M422" s="163"/>
      <c r="N422" s="163"/>
      <c r="O422" s="165"/>
      <c r="P422" s="163"/>
      <c r="Q422" s="163"/>
      <c r="R422" s="163"/>
    </row>
    <row r="423" spans="1:18" s="868" customFormat="1" ht="12">
      <c r="A423" s="885"/>
      <c r="B423" s="886"/>
      <c r="C423" s="887"/>
      <c r="D423" s="887"/>
      <c r="E423" s="165"/>
      <c r="F423" s="163"/>
      <c r="G423" s="163"/>
      <c r="H423" s="163"/>
      <c r="I423" s="163"/>
      <c r="J423" s="165"/>
      <c r="K423" s="163"/>
      <c r="L423" s="163"/>
      <c r="M423" s="163"/>
      <c r="N423" s="163"/>
      <c r="O423" s="165"/>
      <c r="P423" s="163"/>
      <c r="Q423" s="163"/>
      <c r="R423" s="163"/>
    </row>
    <row r="424" spans="1:18" s="868" customFormat="1" ht="12">
      <c r="A424" s="885"/>
      <c r="B424" s="886"/>
      <c r="C424" s="887"/>
      <c r="D424" s="887"/>
      <c r="E424" s="165"/>
      <c r="F424" s="163"/>
      <c r="G424" s="163"/>
      <c r="H424" s="163"/>
      <c r="I424" s="163"/>
      <c r="J424" s="165"/>
      <c r="K424" s="163"/>
      <c r="L424" s="163"/>
      <c r="M424" s="163"/>
      <c r="N424" s="163"/>
      <c r="O424" s="165"/>
      <c r="P424" s="163"/>
      <c r="Q424" s="163"/>
      <c r="R424" s="163"/>
    </row>
    <row r="425" spans="1:18" s="868" customFormat="1" ht="12">
      <c r="A425" s="885"/>
      <c r="B425" s="886"/>
      <c r="C425" s="887"/>
      <c r="D425" s="887"/>
      <c r="E425" s="165"/>
      <c r="F425" s="163"/>
      <c r="G425" s="163"/>
      <c r="H425" s="163"/>
      <c r="I425" s="163"/>
      <c r="J425" s="165"/>
      <c r="K425" s="163"/>
      <c r="L425" s="163"/>
      <c r="M425" s="163"/>
      <c r="N425" s="163"/>
      <c r="O425" s="165"/>
      <c r="P425" s="163"/>
      <c r="Q425" s="163"/>
      <c r="R425" s="163"/>
    </row>
    <row r="426" spans="1:18" s="868" customFormat="1" ht="12">
      <c r="A426" s="885"/>
      <c r="B426" s="886"/>
      <c r="C426" s="887"/>
      <c r="D426" s="887"/>
      <c r="E426" s="165"/>
      <c r="F426" s="163"/>
      <c r="G426" s="163"/>
      <c r="H426" s="163"/>
      <c r="I426" s="163"/>
      <c r="J426" s="165"/>
      <c r="K426" s="163"/>
      <c r="L426" s="163"/>
      <c r="M426" s="163"/>
      <c r="N426" s="163"/>
      <c r="O426" s="165"/>
      <c r="P426" s="163"/>
      <c r="Q426" s="163"/>
      <c r="R426" s="163"/>
    </row>
    <row r="427" spans="1:18" s="868" customFormat="1" ht="12">
      <c r="A427" s="885"/>
      <c r="B427" s="886"/>
      <c r="C427" s="887"/>
      <c r="D427" s="887"/>
      <c r="E427" s="165"/>
      <c r="F427" s="163"/>
      <c r="G427" s="163"/>
      <c r="H427" s="163"/>
      <c r="I427" s="163"/>
      <c r="J427" s="165"/>
      <c r="K427" s="163"/>
      <c r="L427" s="163"/>
      <c r="M427" s="163"/>
      <c r="N427" s="163"/>
      <c r="O427" s="165"/>
      <c r="P427" s="163"/>
      <c r="Q427" s="163"/>
      <c r="R427" s="163"/>
    </row>
    <row r="428" spans="1:18" s="868" customFormat="1" ht="12">
      <c r="A428" s="885"/>
      <c r="B428" s="886"/>
      <c r="C428" s="887"/>
      <c r="D428" s="887"/>
      <c r="E428" s="165"/>
      <c r="F428" s="163"/>
      <c r="G428" s="163"/>
      <c r="H428" s="163"/>
      <c r="I428" s="163"/>
      <c r="J428" s="165"/>
      <c r="K428" s="163"/>
      <c r="L428" s="163"/>
      <c r="M428" s="163"/>
      <c r="N428" s="163"/>
      <c r="O428" s="165"/>
      <c r="P428" s="163"/>
      <c r="Q428" s="163"/>
      <c r="R428" s="163"/>
    </row>
    <row r="429" spans="1:18" s="868" customFormat="1" ht="12">
      <c r="A429" s="885"/>
      <c r="B429" s="886"/>
      <c r="C429" s="887"/>
      <c r="D429" s="887"/>
      <c r="E429" s="165"/>
      <c r="F429" s="163"/>
      <c r="G429" s="163"/>
      <c r="H429" s="163"/>
      <c r="I429" s="163"/>
      <c r="J429" s="165"/>
      <c r="K429" s="163"/>
      <c r="L429" s="163"/>
      <c r="M429" s="163"/>
      <c r="N429" s="163"/>
      <c r="O429" s="165"/>
      <c r="P429" s="163"/>
      <c r="Q429" s="163"/>
      <c r="R429" s="163"/>
    </row>
    <row r="430" spans="1:18" s="868" customFormat="1" ht="12">
      <c r="A430" s="885"/>
      <c r="B430" s="886"/>
      <c r="C430" s="887"/>
      <c r="D430" s="887"/>
      <c r="E430" s="165"/>
      <c r="F430" s="163"/>
      <c r="G430" s="163"/>
      <c r="H430" s="163"/>
      <c r="I430" s="163"/>
      <c r="J430" s="165"/>
      <c r="K430" s="163"/>
      <c r="L430" s="163"/>
      <c r="M430" s="163"/>
      <c r="N430" s="163"/>
      <c r="O430" s="165"/>
      <c r="P430" s="163"/>
      <c r="Q430" s="163"/>
      <c r="R430" s="163"/>
    </row>
    <row r="431" spans="1:18" s="868" customFormat="1" ht="12">
      <c r="A431" s="885"/>
      <c r="B431" s="886"/>
      <c r="C431" s="887"/>
      <c r="D431" s="887"/>
      <c r="E431" s="165"/>
      <c r="F431" s="163"/>
      <c r="G431" s="163"/>
      <c r="H431" s="163"/>
      <c r="I431" s="163"/>
      <c r="J431" s="165"/>
      <c r="K431" s="163"/>
      <c r="L431" s="163"/>
      <c r="M431" s="163"/>
      <c r="N431" s="163"/>
      <c r="O431" s="165"/>
      <c r="P431" s="163"/>
      <c r="Q431" s="163"/>
      <c r="R431" s="163"/>
    </row>
    <row r="432" spans="1:18" s="868" customFormat="1" ht="12">
      <c r="A432" s="885"/>
      <c r="B432" s="886"/>
      <c r="C432" s="887"/>
      <c r="D432" s="887"/>
      <c r="E432" s="165"/>
      <c r="F432" s="163"/>
      <c r="G432" s="163"/>
      <c r="H432" s="163"/>
      <c r="I432" s="163"/>
      <c r="J432" s="165"/>
      <c r="K432" s="163"/>
      <c r="L432" s="163"/>
      <c r="M432" s="163"/>
      <c r="N432" s="163"/>
      <c r="O432" s="165"/>
      <c r="P432" s="163"/>
      <c r="Q432" s="163"/>
      <c r="R432" s="163"/>
    </row>
    <row r="433" spans="1:18" s="868" customFormat="1" ht="12">
      <c r="A433" s="885"/>
      <c r="B433" s="886"/>
      <c r="C433" s="887"/>
      <c r="D433" s="887"/>
      <c r="E433" s="165"/>
      <c r="F433" s="163"/>
      <c r="G433" s="163"/>
      <c r="H433" s="163"/>
      <c r="I433" s="163"/>
      <c r="J433" s="165"/>
      <c r="K433" s="163"/>
      <c r="L433" s="163"/>
      <c r="M433" s="163"/>
      <c r="N433" s="163"/>
      <c r="O433" s="165"/>
      <c r="P433" s="163"/>
      <c r="Q433" s="163"/>
      <c r="R433" s="163"/>
    </row>
    <row r="434" spans="1:18" s="868" customFormat="1" ht="12">
      <c r="A434" s="885"/>
      <c r="B434" s="886"/>
      <c r="C434" s="887"/>
      <c r="D434" s="887"/>
      <c r="E434" s="165"/>
      <c r="F434" s="163"/>
      <c r="G434" s="163"/>
      <c r="H434" s="163"/>
      <c r="I434" s="163"/>
      <c r="J434" s="165"/>
      <c r="K434" s="163"/>
      <c r="L434" s="163"/>
      <c r="M434" s="163"/>
      <c r="N434" s="163"/>
      <c r="O434" s="165"/>
      <c r="P434" s="163"/>
      <c r="Q434" s="163"/>
      <c r="R434" s="163"/>
    </row>
    <row r="435" spans="1:18" s="868" customFormat="1" ht="12">
      <c r="A435" s="885"/>
      <c r="B435" s="886"/>
      <c r="C435" s="887"/>
      <c r="D435" s="887"/>
      <c r="E435" s="165"/>
      <c r="F435" s="163"/>
      <c r="G435" s="163"/>
      <c r="H435" s="163"/>
      <c r="I435" s="163"/>
      <c r="J435" s="165"/>
      <c r="K435" s="163"/>
      <c r="L435" s="163"/>
      <c r="M435" s="163"/>
      <c r="N435" s="163"/>
      <c r="O435" s="165"/>
      <c r="P435" s="163"/>
      <c r="Q435" s="163"/>
      <c r="R435" s="163"/>
    </row>
    <row r="436" spans="1:18" s="868" customFormat="1" ht="12">
      <c r="A436" s="885"/>
      <c r="B436" s="886"/>
      <c r="C436" s="887"/>
      <c r="D436" s="887"/>
      <c r="E436" s="165"/>
      <c r="F436" s="163"/>
      <c r="G436" s="163"/>
      <c r="H436" s="163"/>
      <c r="I436" s="163"/>
      <c r="J436" s="165"/>
      <c r="K436" s="163"/>
      <c r="L436" s="163"/>
      <c r="M436" s="163"/>
      <c r="N436" s="163"/>
      <c r="O436" s="165"/>
      <c r="P436" s="163"/>
      <c r="Q436" s="163"/>
      <c r="R436" s="163"/>
    </row>
    <row r="437" spans="1:18" s="868" customFormat="1" ht="12">
      <c r="A437" s="885"/>
      <c r="B437" s="886"/>
      <c r="C437" s="887"/>
      <c r="D437" s="887"/>
      <c r="E437" s="165"/>
      <c r="F437" s="163"/>
      <c r="G437" s="163"/>
      <c r="H437" s="163"/>
      <c r="I437" s="163"/>
      <c r="J437" s="165"/>
      <c r="K437" s="163"/>
      <c r="L437" s="163"/>
      <c r="M437" s="163"/>
      <c r="N437" s="163"/>
      <c r="O437" s="165"/>
      <c r="P437" s="163"/>
      <c r="Q437" s="163"/>
      <c r="R437" s="163"/>
    </row>
    <row r="438" spans="1:18" s="868" customFormat="1" ht="12">
      <c r="A438" s="885"/>
      <c r="B438" s="886"/>
      <c r="C438" s="887"/>
      <c r="D438" s="887"/>
      <c r="E438" s="165"/>
      <c r="F438" s="163"/>
      <c r="G438" s="163"/>
      <c r="H438" s="163"/>
      <c r="I438" s="163"/>
      <c r="J438" s="165"/>
      <c r="K438" s="163"/>
      <c r="L438" s="163"/>
      <c r="M438" s="163"/>
      <c r="N438" s="163"/>
      <c r="O438" s="165"/>
      <c r="P438" s="163"/>
      <c r="Q438" s="163"/>
      <c r="R438" s="163"/>
    </row>
    <row r="439" spans="1:18" s="868" customFormat="1" ht="12">
      <c r="A439" s="885"/>
      <c r="B439" s="886"/>
      <c r="C439" s="887"/>
      <c r="D439" s="887"/>
      <c r="E439" s="165"/>
      <c r="F439" s="163"/>
      <c r="G439" s="163"/>
      <c r="H439" s="163"/>
      <c r="I439" s="163"/>
      <c r="J439" s="165"/>
      <c r="K439" s="163"/>
      <c r="L439" s="163"/>
      <c r="M439" s="163"/>
      <c r="N439" s="163"/>
      <c r="O439" s="165"/>
      <c r="P439" s="163"/>
      <c r="Q439" s="163"/>
      <c r="R439" s="163"/>
    </row>
    <row r="440" spans="1:18" s="868" customFormat="1" ht="12">
      <c r="A440" s="885"/>
      <c r="B440" s="886"/>
      <c r="C440" s="887"/>
      <c r="D440" s="887"/>
      <c r="E440" s="165"/>
      <c r="F440" s="163"/>
      <c r="G440" s="163"/>
      <c r="H440" s="163"/>
      <c r="I440" s="163"/>
      <c r="J440" s="165"/>
      <c r="K440" s="163"/>
      <c r="L440" s="163"/>
      <c r="M440" s="163"/>
      <c r="N440" s="163"/>
      <c r="O440" s="165"/>
      <c r="P440" s="163"/>
      <c r="Q440" s="163"/>
      <c r="R440" s="163"/>
    </row>
    <row r="441" spans="1:18" s="868" customFormat="1" ht="12">
      <c r="A441" s="885"/>
      <c r="B441" s="886"/>
      <c r="C441" s="887"/>
      <c r="D441" s="887"/>
      <c r="E441" s="165"/>
      <c r="F441" s="163"/>
      <c r="G441" s="163"/>
      <c r="H441" s="163"/>
      <c r="I441" s="163"/>
      <c r="J441" s="165"/>
      <c r="K441" s="163"/>
      <c r="L441" s="163"/>
      <c r="M441" s="163"/>
      <c r="N441" s="163"/>
      <c r="O441" s="165"/>
      <c r="P441" s="163"/>
      <c r="Q441" s="163"/>
      <c r="R441" s="163"/>
    </row>
    <row r="442" spans="1:18" s="868" customFormat="1" ht="12">
      <c r="A442" s="885"/>
      <c r="B442" s="886"/>
      <c r="C442" s="887"/>
      <c r="D442" s="887"/>
      <c r="E442" s="165"/>
      <c r="F442" s="163"/>
      <c r="G442" s="163"/>
      <c r="H442" s="163"/>
      <c r="I442" s="163"/>
      <c r="J442" s="165"/>
      <c r="K442" s="163"/>
      <c r="L442" s="163"/>
      <c r="M442" s="163"/>
      <c r="N442" s="163"/>
      <c r="O442" s="165"/>
      <c r="P442" s="163"/>
      <c r="Q442" s="163"/>
      <c r="R442" s="163"/>
    </row>
    <row r="443" spans="1:18" s="868" customFormat="1" ht="12">
      <c r="A443" s="885"/>
      <c r="B443" s="886"/>
      <c r="C443" s="887"/>
      <c r="D443" s="887"/>
      <c r="E443" s="165"/>
      <c r="F443" s="163"/>
      <c r="G443" s="163"/>
      <c r="H443" s="163"/>
      <c r="I443" s="163"/>
      <c r="J443" s="165"/>
      <c r="K443" s="163"/>
      <c r="L443" s="163"/>
      <c r="M443" s="163"/>
      <c r="N443" s="163"/>
      <c r="O443" s="165"/>
      <c r="P443" s="163"/>
      <c r="Q443" s="163"/>
      <c r="R443" s="163"/>
    </row>
    <row r="444" spans="1:18">
      <c r="E444" s="35"/>
      <c r="F444" s="33"/>
      <c r="G444" s="33"/>
      <c r="H444" s="33"/>
      <c r="I444" s="33"/>
      <c r="J444" s="35"/>
      <c r="K444" s="33"/>
      <c r="L444" s="33"/>
      <c r="M444" s="33"/>
      <c r="N444" s="33"/>
      <c r="O444" s="35"/>
      <c r="P444" s="33"/>
      <c r="Q444" s="33"/>
      <c r="R444" s="33"/>
    </row>
  </sheetData>
  <mergeCells count="57">
    <mergeCell ref="P306:P307"/>
    <mergeCell ref="Q306:Q307"/>
    <mergeCell ref="R306:R307"/>
    <mergeCell ref="R304:R305"/>
    <mergeCell ref="A306:A307"/>
    <mergeCell ref="C306:C307"/>
    <mergeCell ref="D306:D307"/>
    <mergeCell ref="E306:E307"/>
    <mergeCell ref="F306:F307"/>
    <mergeCell ref="G306:G307"/>
    <mergeCell ref="H306:H307"/>
    <mergeCell ref="I306:I307"/>
    <mergeCell ref="J306:J307"/>
    <mergeCell ref="K306:K307"/>
    <mergeCell ref="L306:L307"/>
    <mergeCell ref="M306:M307"/>
    <mergeCell ref="K304:K305"/>
    <mergeCell ref="N306:N307"/>
    <mergeCell ref="O306:O307"/>
    <mergeCell ref="H304:H305"/>
    <mergeCell ref="I304:I305"/>
    <mergeCell ref="J304:J305"/>
    <mergeCell ref="P304:P305"/>
    <mergeCell ref="Q304:Q305"/>
    <mergeCell ref="A304:A305"/>
    <mergeCell ref="C304:C305"/>
    <mergeCell ref="D304:D305"/>
    <mergeCell ref="E304:E305"/>
    <mergeCell ref="O5:Q5"/>
    <mergeCell ref="A5:A7"/>
    <mergeCell ref="B5:B7"/>
    <mergeCell ref="C5:C7"/>
    <mergeCell ref="I5:I7"/>
    <mergeCell ref="F6:F7"/>
    <mergeCell ref="L304:L305"/>
    <mergeCell ref="M304:M305"/>
    <mergeCell ref="N304:N305"/>
    <mergeCell ref="O304:O305"/>
    <mergeCell ref="F304:F305"/>
    <mergeCell ref="G304:G305"/>
    <mergeCell ref="R5:R7"/>
    <mergeCell ref="L6:L7"/>
    <mergeCell ref="O6:O7"/>
    <mergeCell ref="Q6:Q7"/>
    <mergeCell ref="J6:J7"/>
    <mergeCell ref="J5:L5"/>
    <mergeCell ref="M5:M7"/>
    <mergeCell ref="N5:N7"/>
    <mergeCell ref="P6:P7"/>
    <mergeCell ref="K6:K7"/>
    <mergeCell ref="B2:H2"/>
    <mergeCell ref="B3:H3"/>
    <mergeCell ref="D5:D7"/>
    <mergeCell ref="E5:G5"/>
    <mergeCell ref="H5:H7"/>
    <mergeCell ref="E6:E7"/>
    <mergeCell ref="G6:G7"/>
  </mergeCells>
  <phoneticPr fontId="27" type="noConversion"/>
  <pageMargins left="0.27559055118110237" right="0.27559055118110237" top="0.39370078740157483" bottom="0.35433070866141736" header="0.23622047244094491" footer="0.19685039370078741"/>
  <pageSetup paperSize="9" scale="60" orientation="landscape" r:id="rId1"/>
  <headerFooter alignWithMargins="0">
    <oddFooter>&amp;L&amp;F&amp;C&amp;P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enableFormatConditionsCalculation="0">
    <tabColor rgb="FFFFC000"/>
  </sheetPr>
  <dimension ref="A1:S3495"/>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C9" sqref="C9"/>
    </sheetView>
  </sheetViews>
  <sheetFormatPr defaultColWidth="9.109375" defaultRowHeight="12"/>
  <cols>
    <col min="1" max="1" width="11.44140625" style="128" bestFit="1" customWidth="1"/>
    <col min="2" max="2" width="38.109375" style="191" customWidth="1"/>
    <col min="3" max="3" width="12.44140625" style="192" customWidth="1"/>
    <col min="4" max="4" width="11.44140625" style="128"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12"/>
  </cols>
  <sheetData>
    <row r="1" spans="1:18" s="3" customFormat="1" ht="13.2">
      <c r="A1" s="216"/>
      <c r="B1" s="216"/>
      <c r="C1" s="216"/>
      <c r="D1" s="216"/>
      <c r="E1" s="216"/>
      <c r="F1" s="216"/>
      <c r="G1" s="216"/>
      <c r="H1" s="217"/>
      <c r="I1" s="216"/>
      <c r="J1" s="216"/>
      <c r="K1" s="216"/>
      <c r="L1" s="216"/>
      <c r="M1" s="217"/>
      <c r="N1" s="216"/>
      <c r="O1" s="216"/>
      <c r="P1" s="216"/>
      <c r="Q1" s="216"/>
      <c r="R1" s="217"/>
    </row>
    <row r="2" spans="1:18" s="3" customFormat="1" ht="13.2">
      <c r="A2" s="219"/>
      <c r="B2" s="1399"/>
      <c r="C2" s="1399"/>
      <c r="D2" s="1399"/>
      <c r="E2" s="1399"/>
      <c r="F2" s="1399"/>
      <c r="G2" s="1399"/>
      <c r="H2" s="1399"/>
      <c r="I2" s="577"/>
      <c r="J2" s="577"/>
      <c r="K2" s="577"/>
      <c r="L2" s="577"/>
      <c r="M2" s="220"/>
      <c r="N2" s="577"/>
      <c r="O2" s="577"/>
      <c r="P2" s="577"/>
      <c r="Q2" s="577"/>
      <c r="R2" s="220"/>
    </row>
    <row r="3" spans="1:18" s="1" customFormat="1" ht="12.75" customHeight="1">
      <c r="A3" s="221"/>
      <c r="B3" s="1400" t="s">
        <v>489</v>
      </c>
      <c r="C3" s="1400"/>
      <c r="D3" s="1400"/>
      <c r="E3" s="1400"/>
      <c r="F3" s="1400"/>
      <c r="G3" s="1400"/>
      <c r="H3" s="1400"/>
      <c r="I3" s="578"/>
      <c r="J3" s="578"/>
      <c r="K3" s="578"/>
      <c r="L3" s="578"/>
      <c r="M3" s="220"/>
      <c r="N3" s="578"/>
      <c r="O3" s="578"/>
      <c r="P3" s="578"/>
      <c r="Q3" s="578"/>
      <c r="R3" s="220"/>
    </row>
    <row r="4" spans="1:18" s="1" customFormat="1" ht="13.2">
      <c r="A4" s="221"/>
      <c r="B4" s="578"/>
      <c r="C4" s="222"/>
      <c r="D4" s="578"/>
      <c r="E4" s="578"/>
      <c r="F4" s="222"/>
      <c r="G4" s="578"/>
      <c r="H4" s="578"/>
      <c r="I4" s="578"/>
      <c r="J4" s="578"/>
      <c r="K4" s="578"/>
      <c r="L4" s="578"/>
      <c r="M4" s="578"/>
      <c r="N4" s="578"/>
      <c r="O4" s="578"/>
      <c r="P4" s="578"/>
      <c r="Q4" s="578"/>
      <c r="R4" s="578"/>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ht="10.199999999999999">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c r="A9" s="397"/>
      <c r="B9" s="398" t="s">
        <v>129</v>
      </c>
      <c r="C9" s="399"/>
      <c r="D9" s="399"/>
      <c r="E9" s="226"/>
      <c r="F9" s="226"/>
      <c r="G9" s="226"/>
      <c r="H9" s="226"/>
      <c r="I9" s="365"/>
      <c r="J9" s="226"/>
      <c r="K9" s="226"/>
      <c r="L9" s="226"/>
      <c r="M9" s="226"/>
      <c r="N9" s="365"/>
      <c r="O9" s="226"/>
      <c r="P9" s="226"/>
      <c r="Q9" s="226"/>
      <c r="R9" s="226"/>
    </row>
    <row r="10" spans="1:18" s="4" customFormat="1" ht="22.8">
      <c r="A10" s="123" t="s">
        <v>201</v>
      </c>
      <c r="B10" s="123" t="s">
        <v>88</v>
      </c>
      <c r="C10" s="167">
        <v>99576191</v>
      </c>
      <c r="D10" s="167">
        <v>92912368</v>
      </c>
      <c r="E10" s="227">
        <f>E11+E12+E14+E32</f>
        <v>2145277</v>
      </c>
      <c r="F10" s="228">
        <f t="shared" ref="F10:G10" si="0">F11+F12+F14+F32</f>
        <v>4934740</v>
      </c>
      <c r="G10" s="228">
        <f t="shared" si="0"/>
        <v>2699728</v>
      </c>
      <c r="H10" s="229">
        <f>SUM(D10:G10)</f>
        <v>102692113</v>
      </c>
      <c r="I10" s="228">
        <v>90607995</v>
      </c>
      <c r="J10" s="228">
        <f>J11+J12+J14+J32</f>
        <v>3083</v>
      </c>
      <c r="K10" s="228">
        <f t="shared" ref="K10:L10" si="1">K11+K12+K14+K32</f>
        <v>4834388</v>
      </c>
      <c r="L10" s="228">
        <f t="shared" si="1"/>
        <v>8535952</v>
      </c>
      <c r="M10" s="229">
        <f t="shared" ref="M10:M73" si="2">SUM(I10:L10)</f>
        <v>103981418</v>
      </c>
      <c r="N10" s="228">
        <v>90524526</v>
      </c>
      <c r="O10" s="228">
        <f>O11+O12+O14+O32</f>
        <v>0</v>
      </c>
      <c r="P10" s="228">
        <f t="shared" ref="P10:Q10" si="3">P11+P12+P14+P32</f>
        <v>4811823</v>
      </c>
      <c r="Q10" s="228">
        <f t="shared" si="3"/>
        <v>8321677</v>
      </c>
      <c r="R10" s="229">
        <f t="shared" ref="R10:R73" si="4">SUM(N10:Q10)</f>
        <v>103658026</v>
      </c>
    </row>
    <row r="11" spans="1:18" s="3" customFormat="1" ht="22.8">
      <c r="A11" s="124" t="s">
        <v>177</v>
      </c>
      <c r="B11" s="124" t="s">
        <v>90</v>
      </c>
      <c r="C11" s="169">
        <v>11546977</v>
      </c>
      <c r="D11" s="169">
        <v>11546977</v>
      </c>
      <c r="E11" s="230"/>
      <c r="F11" s="231"/>
      <c r="G11" s="231"/>
      <c r="H11" s="232">
        <f t="shared" ref="H11:H74" si="5">SUM(D11:G11)</f>
        <v>11546977</v>
      </c>
      <c r="I11" s="231">
        <v>11366981</v>
      </c>
      <c r="J11" s="231"/>
      <c r="K11" s="231"/>
      <c r="L11" s="231"/>
      <c r="M11" s="232">
        <f t="shared" si="2"/>
        <v>11366981</v>
      </c>
      <c r="N11" s="231">
        <v>11366981</v>
      </c>
      <c r="O11" s="231"/>
      <c r="P11" s="231"/>
      <c r="Q11" s="231"/>
      <c r="R11" s="232">
        <f t="shared" si="4"/>
        <v>11366981</v>
      </c>
    </row>
    <row r="12" spans="1:18" s="3" customFormat="1">
      <c r="A12" s="124" t="s">
        <v>91</v>
      </c>
      <c r="B12" s="124" t="s">
        <v>92</v>
      </c>
      <c r="C12" s="169">
        <v>552026</v>
      </c>
      <c r="D12" s="169">
        <v>380900</v>
      </c>
      <c r="E12" s="230">
        <f>E180</f>
        <v>97664</v>
      </c>
      <c r="F12" s="231"/>
      <c r="G12" s="231"/>
      <c r="H12" s="232">
        <f t="shared" si="5"/>
        <v>478564</v>
      </c>
      <c r="I12" s="231">
        <v>102352</v>
      </c>
      <c r="J12" s="230">
        <f>J180</f>
        <v>3083</v>
      </c>
      <c r="K12" s="231"/>
      <c r="L12" s="231"/>
      <c r="M12" s="232">
        <f t="shared" si="2"/>
        <v>105435</v>
      </c>
      <c r="N12" s="231">
        <v>0</v>
      </c>
      <c r="O12" s="230">
        <f>O180</f>
        <v>0</v>
      </c>
      <c r="P12" s="231"/>
      <c r="Q12" s="231"/>
      <c r="R12" s="232">
        <f t="shared" si="4"/>
        <v>0</v>
      </c>
    </row>
    <row r="13" spans="1:18" s="3" customFormat="1" ht="24">
      <c r="A13" s="125">
        <v>21210</v>
      </c>
      <c r="B13" s="125" t="s">
        <v>93</v>
      </c>
      <c r="C13" s="169">
        <v>48041</v>
      </c>
      <c r="D13" s="169">
        <v>137542</v>
      </c>
      <c r="E13" s="230"/>
      <c r="F13" s="231"/>
      <c r="G13" s="231"/>
      <c r="H13" s="232">
        <f t="shared" si="5"/>
        <v>137542</v>
      </c>
      <c r="I13" s="231">
        <v>83260</v>
      </c>
      <c r="J13" s="231"/>
      <c r="K13" s="231"/>
      <c r="L13" s="231"/>
      <c r="M13" s="232">
        <f t="shared" si="2"/>
        <v>83260</v>
      </c>
      <c r="N13" s="231">
        <v>0</v>
      </c>
      <c r="O13" s="231"/>
      <c r="P13" s="231"/>
      <c r="Q13" s="231"/>
      <c r="R13" s="232">
        <f t="shared" si="4"/>
        <v>0</v>
      </c>
    </row>
    <row r="14" spans="1:18" s="3" customFormat="1" ht="22.8">
      <c r="A14" s="124" t="s">
        <v>178</v>
      </c>
      <c r="B14" s="124" t="s">
        <v>94</v>
      </c>
      <c r="C14" s="171">
        <v>192712</v>
      </c>
      <c r="D14" s="171">
        <v>0</v>
      </c>
      <c r="E14" s="232">
        <f>E15+E21</f>
        <v>0</v>
      </c>
      <c r="F14" s="233">
        <f t="shared" ref="F14:G14" si="6">F15+F21</f>
        <v>0</v>
      </c>
      <c r="G14" s="233">
        <f t="shared" si="6"/>
        <v>0</v>
      </c>
      <c r="H14" s="232">
        <f t="shared" si="5"/>
        <v>0</v>
      </c>
      <c r="I14" s="233">
        <v>0</v>
      </c>
      <c r="J14" s="233">
        <f>J15+J21</f>
        <v>0</v>
      </c>
      <c r="K14" s="233">
        <f t="shared" ref="K14:L14" si="7">K15+K21</f>
        <v>0</v>
      </c>
      <c r="L14" s="233">
        <f t="shared" si="7"/>
        <v>0</v>
      </c>
      <c r="M14" s="232">
        <f t="shared" si="2"/>
        <v>0</v>
      </c>
      <c r="N14" s="233">
        <v>0</v>
      </c>
      <c r="O14" s="233">
        <f>O15+O21</f>
        <v>0</v>
      </c>
      <c r="P14" s="233">
        <f t="shared" ref="P14:Q14" si="8">P15+P21</f>
        <v>0</v>
      </c>
      <c r="Q14" s="233">
        <f t="shared" si="8"/>
        <v>0</v>
      </c>
      <c r="R14" s="232">
        <f t="shared" si="4"/>
        <v>0</v>
      </c>
    </row>
    <row r="15" spans="1:18" s="3" customFormat="1">
      <c r="A15" s="276">
        <v>18000</v>
      </c>
      <c r="B15" s="125" t="s">
        <v>95</v>
      </c>
      <c r="C15" s="171">
        <v>192712</v>
      </c>
      <c r="D15" s="171">
        <v>0</v>
      </c>
      <c r="E15" s="232">
        <f t="shared" ref="E15:L16" si="9">E16</f>
        <v>0</v>
      </c>
      <c r="F15" s="233">
        <f t="shared" si="9"/>
        <v>0</v>
      </c>
      <c r="G15" s="233">
        <f t="shared" si="9"/>
        <v>0</v>
      </c>
      <c r="H15" s="232">
        <f t="shared" si="5"/>
        <v>0</v>
      </c>
      <c r="I15" s="233">
        <v>0</v>
      </c>
      <c r="J15" s="233">
        <f t="shared" si="9"/>
        <v>0</v>
      </c>
      <c r="K15" s="233">
        <f t="shared" si="9"/>
        <v>0</v>
      </c>
      <c r="L15" s="233">
        <f t="shared" si="9"/>
        <v>0</v>
      </c>
      <c r="M15" s="232">
        <f t="shared" si="2"/>
        <v>0</v>
      </c>
      <c r="N15" s="233">
        <v>0</v>
      </c>
      <c r="O15" s="233">
        <f t="shared" ref="O15:Q16" si="10">O16</f>
        <v>0</v>
      </c>
      <c r="P15" s="233">
        <f t="shared" si="10"/>
        <v>0</v>
      </c>
      <c r="Q15" s="233">
        <f t="shared" si="10"/>
        <v>0</v>
      </c>
      <c r="R15" s="232">
        <f t="shared" si="4"/>
        <v>0</v>
      </c>
    </row>
    <row r="16" spans="1:18" s="3" customFormat="1">
      <c r="A16" s="276">
        <v>18100</v>
      </c>
      <c r="B16" s="125" t="s">
        <v>96</v>
      </c>
      <c r="C16" s="171">
        <v>192712</v>
      </c>
      <c r="D16" s="171">
        <v>0</v>
      </c>
      <c r="E16" s="232">
        <f>E17</f>
        <v>0</v>
      </c>
      <c r="F16" s="233">
        <f t="shared" si="9"/>
        <v>0</v>
      </c>
      <c r="G16" s="233">
        <f t="shared" si="9"/>
        <v>0</v>
      </c>
      <c r="H16" s="232">
        <f t="shared" si="5"/>
        <v>0</v>
      </c>
      <c r="I16" s="233">
        <v>0</v>
      </c>
      <c r="J16" s="233">
        <f>J17</f>
        <v>0</v>
      </c>
      <c r="K16" s="233">
        <f t="shared" si="9"/>
        <v>0</v>
      </c>
      <c r="L16" s="233">
        <f t="shared" si="9"/>
        <v>0</v>
      </c>
      <c r="M16" s="232">
        <f t="shared" si="2"/>
        <v>0</v>
      </c>
      <c r="N16" s="233">
        <v>0</v>
      </c>
      <c r="O16" s="233">
        <f>O17</f>
        <v>0</v>
      </c>
      <c r="P16" s="233">
        <f t="shared" si="10"/>
        <v>0</v>
      </c>
      <c r="Q16" s="233">
        <f t="shared" si="10"/>
        <v>0</v>
      </c>
      <c r="R16" s="232">
        <f t="shared" si="4"/>
        <v>0</v>
      </c>
    </row>
    <row r="17" spans="1:18" s="4" customFormat="1" ht="24">
      <c r="A17" s="277">
        <v>18130</v>
      </c>
      <c r="B17" s="172" t="s">
        <v>159</v>
      </c>
      <c r="C17" s="171">
        <v>192712</v>
      </c>
      <c r="D17" s="171">
        <v>0</v>
      </c>
      <c r="E17" s="232">
        <f>SUM(E18:E20)</f>
        <v>0</v>
      </c>
      <c r="F17" s="233">
        <f t="shared" ref="F17:G17" si="11">SUM(F18:F20)</f>
        <v>0</v>
      </c>
      <c r="G17" s="233">
        <f t="shared" si="11"/>
        <v>0</v>
      </c>
      <c r="H17" s="232">
        <f t="shared" si="5"/>
        <v>0</v>
      </c>
      <c r="I17" s="233">
        <v>0</v>
      </c>
      <c r="J17" s="233">
        <f>SUM(J18:J20)</f>
        <v>0</v>
      </c>
      <c r="K17" s="233">
        <f t="shared" ref="K17:L17" si="12">SUM(K18:K20)</f>
        <v>0</v>
      </c>
      <c r="L17" s="233">
        <f t="shared" si="12"/>
        <v>0</v>
      </c>
      <c r="M17" s="232">
        <f t="shared" si="2"/>
        <v>0</v>
      </c>
      <c r="N17" s="233">
        <v>0</v>
      </c>
      <c r="O17" s="233">
        <f>SUM(O18:O20)</f>
        <v>0</v>
      </c>
      <c r="P17" s="233">
        <f t="shared" ref="P17:Q17" si="13">SUM(P18:P20)</f>
        <v>0</v>
      </c>
      <c r="Q17" s="233">
        <f t="shared" si="13"/>
        <v>0</v>
      </c>
      <c r="R17" s="232">
        <f t="shared" si="4"/>
        <v>0</v>
      </c>
    </row>
    <row r="18" spans="1:18" s="6" customFormat="1" ht="36">
      <c r="A18" s="278">
        <v>18131</v>
      </c>
      <c r="B18" s="172" t="s">
        <v>160</v>
      </c>
      <c r="C18" s="171">
        <v>188178</v>
      </c>
      <c r="D18" s="171">
        <v>0</v>
      </c>
      <c r="E18" s="232"/>
      <c r="F18" s="233"/>
      <c r="G18" s="233"/>
      <c r="H18" s="232">
        <f t="shared" si="5"/>
        <v>0</v>
      </c>
      <c r="I18" s="233">
        <v>0</v>
      </c>
      <c r="J18" s="233"/>
      <c r="K18" s="233"/>
      <c r="L18" s="233"/>
      <c r="M18" s="232">
        <f t="shared" si="2"/>
        <v>0</v>
      </c>
      <c r="N18" s="233">
        <v>0</v>
      </c>
      <c r="O18" s="233"/>
      <c r="P18" s="233"/>
      <c r="Q18" s="233"/>
      <c r="R18" s="232">
        <f t="shared" si="4"/>
        <v>0</v>
      </c>
    </row>
    <row r="19" spans="1:18" s="6" customFormat="1" ht="24">
      <c r="A19" s="278">
        <v>18132</v>
      </c>
      <c r="B19" s="172" t="s">
        <v>169</v>
      </c>
      <c r="C19" s="171">
        <v>4534</v>
      </c>
      <c r="D19" s="171">
        <v>0</v>
      </c>
      <c r="E19" s="232"/>
      <c r="F19" s="233"/>
      <c r="G19" s="233"/>
      <c r="H19" s="232">
        <f t="shared" si="5"/>
        <v>0</v>
      </c>
      <c r="I19" s="233">
        <v>0</v>
      </c>
      <c r="J19" s="233"/>
      <c r="K19" s="233"/>
      <c r="L19" s="233"/>
      <c r="M19" s="232">
        <f t="shared" si="2"/>
        <v>0</v>
      </c>
      <c r="N19" s="233">
        <v>0</v>
      </c>
      <c r="O19" s="233"/>
      <c r="P19" s="233"/>
      <c r="Q19" s="233"/>
      <c r="R19" s="232">
        <f t="shared" si="4"/>
        <v>0</v>
      </c>
    </row>
    <row r="20" spans="1:18" s="6" customFormat="1" ht="24" hidden="1" customHeight="1">
      <c r="A20" s="278">
        <v>18139</v>
      </c>
      <c r="B20" s="172" t="s">
        <v>179</v>
      </c>
      <c r="C20" s="171">
        <v>0</v>
      </c>
      <c r="D20" s="171">
        <v>0</v>
      </c>
      <c r="E20" s="232"/>
      <c r="F20" s="233"/>
      <c r="G20" s="233"/>
      <c r="H20" s="232">
        <f t="shared" si="5"/>
        <v>0</v>
      </c>
      <c r="I20" s="233">
        <v>0</v>
      </c>
      <c r="J20" s="233"/>
      <c r="K20" s="233"/>
      <c r="L20" s="233"/>
      <c r="M20" s="232">
        <f t="shared" si="2"/>
        <v>0</v>
      </c>
      <c r="N20" s="233">
        <v>0</v>
      </c>
      <c r="O20" s="233"/>
      <c r="P20" s="233"/>
      <c r="Q20" s="233"/>
      <c r="R20" s="232">
        <f t="shared" si="4"/>
        <v>0</v>
      </c>
    </row>
    <row r="21" spans="1:18" s="6" customFormat="1" ht="12" hidden="1" customHeight="1">
      <c r="A21" s="279" t="s">
        <v>180</v>
      </c>
      <c r="B21" s="173" t="s">
        <v>173</v>
      </c>
      <c r="C21" s="174">
        <v>0</v>
      </c>
      <c r="D21" s="174">
        <v>0</v>
      </c>
      <c r="E21" s="237">
        <f t="shared" ref="E21:L21" si="14">E22</f>
        <v>0</v>
      </c>
      <c r="F21" s="238">
        <f t="shared" si="14"/>
        <v>0</v>
      </c>
      <c r="G21" s="238">
        <f t="shared" si="14"/>
        <v>0</v>
      </c>
      <c r="H21" s="232">
        <f t="shared" si="5"/>
        <v>0</v>
      </c>
      <c r="I21" s="238">
        <v>0</v>
      </c>
      <c r="J21" s="238">
        <f t="shared" si="14"/>
        <v>0</v>
      </c>
      <c r="K21" s="238">
        <f t="shared" si="14"/>
        <v>0</v>
      </c>
      <c r="L21" s="238">
        <f t="shared" si="14"/>
        <v>0</v>
      </c>
      <c r="M21" s="232">
        <f t="shared" si="2"/>
        <v>0</v>
      </c>
      <c r="N21" s="238">
        <v>0</v>
      </c>
      <c r="O21" s="238">
        <f t="shared" ref="O21:Q21" si="15">O22</f>
        <v>0</v>
      </c>
      <c r="P21" s="238">
        <f t="shared" si="15"/>
        <v>0</v>
      </c>
      <c r="Q21" s="238">
        <f t="shared" si="15"/>
        <v>0</v>
      </c>
      <c r="R21" s="232">
        <f t="shared" si="4"/>
        <v>0</v>
      </c>
    </row>
    <row r="22" spans="1:18" s="6" customFormat="1" ht="24" hidden="1" customHeight="1">
      <c r="A22" s="279">
        <v>19500</v>
      </c>
      <c r="B22" s="172" t="s">
        <v>174</v>
      </c>
      <c r="C22" s="171">
        <v>0</v>
      </c>
      <c r="D22" s="171">
        <v>0</v>
      </c>
      <c r="E22" s="232">
        <f>SUM(E23:E25)</f>
        <v>0</v>
      </c>
      <c r="F22" s="233">
        <f t="shared" ref="F22:G22" si="16">SUM(F23:F25)</f>
        <v>0</v>
      </c>
      <c r="G22" s="233">
        <f t="shared" si="16"/>
        <v>0</v>
      </c>
      <c r="H22" s="232">
        <f t="shared" si="5"/>
        <v>0</v>
      </c>
      <c r="I22" s="233">
        <v>0</v>
      </c>
      <c r="J22" s="233">
        <f>SUM(J23:J25)</f>
        <v>0</v>
      </c>
      <c r="K22" s="233">
        <f t="shared" ref="K22:L22" si="17">SUM(K23:K25)</f>
        <v>0</v>
      </c>
      <c r="L22" s="233">
        <f t="shared" si="17"/>
        <v>0</v>
      </c>
      <c r="M22" s="232">
        <f t="shared" si="2"/>
        <v>0</v>
      </c>
      <c r="N22" s="233">
        <v>0</v>
      </c>
      <c r="O22" s="233">
        <f>SUM(O23:O25)</f>
        <v>0</v>
      </c>
      <c r="P22" s="233">
        <f t="shared" ref="P22:Q22" si="18">SUM(P23:P25)</f>
        <v>0</v>
      </c>
      <c r="Q22" s="233">
        <f t="shared" si="18"/>
        <v>0</v>
      </c>
      <c r="R22" s="232">
        <f t="shared" si="4"/>
        <v>0</v>
      </c>
    </row>
    <row r="23" spans="1:18" s="6" customFormat="1" ht="24" hidden="1" customHeight="1">
      <c r="A23" s="280">
        <v>19550</v>
      </c>
      <c r="B23" s="172" t="s">
        <v>175</v>
      </c>
      <c r="C23" s="171">
        <v>0</v>
      </c>
      <c r="D23" s="171">
        <v>0</v>
      </c>
      <c r="E23" s="232"/>
      <c r="F23" s="233"/>
      <c r="G23" s="233"/>
      <c r="H23" s="232">
        <f t="shared" si="5"/>
        <v>0</v>
      </c>
      <c r="I23" s="233">
        <v>0</v>
      </c>
      <c r="J23" s="233"/>
      <c r="K23" s="233"/>
      <c r="L23" s="233"/>
      <c r="M23" s="232">
        <f t="shared" si="2"/>
        <v>0</v>
      </c>
      <c r="N23" s="233">
        <v>0</v>
      </c>
      <c r="O23" s="233"/>
      <c r="P23" s="233"/>
      <c r="Q23" s="233"/>
      <c r="R23" s="232">
        <f t="shared" si="4"/>
        <v>0</v>
      </c>
    </row>
    <row r="24" spans="1:18" s="6" customFormat="1" ht="36" hidden="1" customHeight="1">
      <c r="A24" s="280">
        <v>19560</v>
      </c>
      <c r="B24" s="172" t="s">
        <v>181</v>
      </c>
      <c r="C24" s="171">
        <v>0</v>
      </c>
      <c r="D24" s="171">
        <v>0</v>
      </c>
      <c r="E24" s="232"/>
      <c r="F24" s="233"/>
      <c r="G24" s="233"/>
      <c r="H24" s="232">
        <f t="shared" si="5"/>
        <v>0</v>
      </c>
      <c r="I24" s="233">
        <v>0</v>
      </c>
      <c r="J24" s="233"/>
      <c r="K24" s="233"/>
      <c r="L24" s="233"/>
      <c r="M24" s="232">
        <f t="shared" si="2"/>
        <v>0</v>
      </c>
      <c r="N24" s="233">
        <v>0</v>
      </c>
      <c r="O24" s="233"/>
      <c r="P24" s="233"/>
      <c r="Q24" s="233"/>
      <c r="R24" s="232">
        <f t="shared" si="4"/>
        <v>0</v>
      </c>
    </row>
    <row r="25" spans="1:18" s="6" customFormat="1" ht="72" hidden="1" customHeight="1">
      <c r="A25" s="280">
        <v>19570</v>
      </c>
      <c r="B25" s="172" t="s">
        <v>182</v>
      </c>
      <c r="C25" s="171">
        <v>0</v>
      </c>
      <c r="D25" s="171">
        <v>0</v>
      </c>
      <c r="E25" s="232"/>
      <c r="F25" s="233"/>
      <c r="G25" s="233"/>
      <c r="H25" s="232">
        <f t="shared" si="5"/>
        <v>0</v>
      </c>
      <c r="I25" s="233">
        <v>0</v>
      </c>
      <c r="J25" s="233"/>
      <c r="K25" s="233"/>
      <c r="L25" s="233"/>
      <c r="M25" s="232">
        <f t="shared" si="2"/>
        <v>0</v>
      </c>
      <c r="N25" s="233">
        <v>0</v>
      </c>
      <c r="O25" s="233"/>
      <c r="P25" s="233"/>
      <c r="Q25" s="233"/>
      <c r="R25" s="232">
        <f t="shared" si="4"/>
        <v>0</v>
      </c>
    </row>
    <row r="26" spans="1:18" s="6" customFormat="1" ht="36" hidden="1" customHeight="1">
      <c r="A26" s="281" t="s">
        <v>222</v>
      </c>
      <c r="B26" s="208" t="s">
        <v>216</v>
      </c>
      <c r="C26" s="171">
        <f>C27</f>
        <v>0</v>
      </c>
      <c r="D26" s="171">
        <v>0</v>
      </c>
      <c r="E26" s="232">
        <f t="shared" ref="E26:L26" si="19">E27</f>
        <v>0</v>
      </c>
      <c r="F26" s="232">
        <f t="shared" si="19"/>
        <v>0</v>
      </c>
      <c r="G26" s="232">
        <f t="shared" si="19"/>
        <v>0</v>
      </c>
      <c r="H26" s="232">
        <f t="shared" si="5"/>
        <v>0</v>
      </c>
      <c r="I26" s="233">
        <v>0</v>
      </c>
      <c r="J26" s="232">
        <f t="shared" si="19"/>
        <v>0</v>
      </c>
      <c r="K26" s="232">
        <f t="shared" si="19"/>
        <v>0</v>
      </c>
      <c r="L26" s="232">
        <f t="shared" si="19"/>
        <v>0</v>
      </c>
      <c r="M26" s="232">
        <f t="shared" si="2"/>
        <v>0</v>
      </c>
      <c r="N26" s="233">
        <v>0</v>
      </c>
      <c r="O26" s="232">
        <f t="shared" ref="O26:Q26" si="20">O27</f>
        <v>0</v>
      </c>
      <c r="P26" s="232">
        <f t="shared" si="20"/>
        <v>0</v>
      </c>
      <c r="Q26" s="232">
        <f t="shared" si="20"/>
        <v>0</v>
      </c>
      <c r="R26" s="232">
        <f t="shared" si="4"/>
        <v>0</v>
      </c>
    </row>
    <row r="27" spans="1:18" s="6" customFormat="1" ht="36" hidden="1" customHeight="1">
      <c r="A27" s="281">
        <v>17100</v>
      </c>
      <c r="B27" s="208" t="s">
        <v>217</v>
      </c>
      <c r="C27" s="171">
        <f>SUM(C28:C31)</f>
        <v>0</v>
      </c>
      <c r="D27" s="171">
        <v>0</v>
      </c>
      <c r="E27" s="232">
        <f t="shared" ref="E27:G27" si="21">SUM(E28:E31)</f>
        <v>0</v>
      </c>
      <c r="F27" s="232">
        <f t="shared" si="21"/>
        <v>0</v>
      </c>
      <c r="G27" s="232">
        <f t="shared" si="21"/>
        <v>0</v>
      </c>
      <c r="H27" s="232">
        <f t="shared" si="5"/>
        <v>0</v>
      </c>
      <c r="I27" s="233">
        <v>0</v>
      </c>
      <c r="J27" s="232">
        <f t="shared" ref="J27:L27" si="22">SUM(J28:J31)</f>
        <v>0</v>
      </c>
      <c r="K27" s="232">
        <f t="shared" si="22"/>
        <v>0</v>
      </c>
      <c r="L27" s="232">
        <f t="shared" si="22"/>
        <v>0</v>
      </c>
      <c r="M27" s="232">
        <f t="shared" si="2"/>
        <v>0</v>
      </c>
      <c r="N27" s="233">
        <v>0</v>
      </c>
      <c r="O27" s="232">
        <f t="shared" ref="O27:Q27" si="23">SUM(O28:O31)</f>
        <v>0</v>
      </c>
      <c r="P27" s="232">
        <f t="shared" si="23"/>
        <v>0</v>
      </c>
      <c r="Q27" s="232">
        <f t="shared" si="23"/>
        <v>0</v>
      </c>
      <c r="R27" s="232">
        <f t="shared" si="4"/>
        <v>0</v>
      </c>
    </row>
    <row r="28" spans="1:18" s="6" customFormat="1" ht="60" hidden="1" customHeight="1">
      <c r="A28" s="282">
        <v>17110</v>
      </c>
      <c r="B28" s="208" t="s">
        <v>218</v>
      </c>
      <c r="C28" s="171"/>
      <c r="D28" s="171">
        <v>0</v>
      </c>
      <c r="E28" s="232"/>
      <c r="F28" s="233"/>
      <c r="G28" s="233"/>
      <c r="H28" s="232">
        <f t="shared" si="5"/>
        <v>0</v>
      </c>
      <c r="I28" s="233">
        <v>0</v>
      </c>
      <c r="J28" s="233"/>
      <c r="K28" s="233"/>
      <c r="L28" s="233"/>
      <c r="M28" s="232">
        <f t="shared" si="2"/>
        <v>0</v>
      </c>
      <c r="N28" s="233">
        <v>0</v>
      </c>
      <c r="O28" s="233"/>
      <c r="P28" s="233"/>
      <c r="Q28" s="233"/>
      <c r="R28" s="232">
        <f t="shared" si="4"/>
        <v>0</v>
      </c>
    </row>
    <row r="29" spans="1:18" s="6" customFormat="1" ht="60" hidden="1" customHeight="1">
      <c r="A29" s="282">
        <v>17120</v>
      </c>
      <c r="B29" s="208" t="s">
        <v>219</v>
      </c>
      <c r="C29" s="171"/>
      <c r="D29" s="171">
        <v>0</v>
      </c>
      <c r="E29" s="232"/>
      <c r="F29" s="233"/>
      <c r="G29" s="233"/>
      <c r="H29" s="232">
        <f t="shared" si="5"/>
        <v>0</v>
      </c>
      <c r="I29" s="233">
        <v>0</v>
      </c>
      <c r="J29" s="233"/>
      <c r="K29" s="233"/>
      <c r="L29" s="233"/>
      <c r="M29" s="232">
        <f t="shared" si="2"/>
        <v>0</v>
      </c>
      <c r="N29" s="233">
        <v>0</v>
      </c>
      <c r="O29" s="233"/>
      <c r="P29" s="233"/>
      <c r="Q29" s="233"/>
      <c r="R29" s="232">
        <f t="shared" si="4"/>
        <v>0</v>
      </c>
    </row>
    <row r="30" spans="1:18" s="6" customFormat="1" ht="108" hidden="1" customHeight="1">
      <c r="A30" s="282">
        <v>17130</v>
      </c>
      <c r="B30" s="208" t="s">
        <v>220</v>
      </c>
      <c r="C30" s="171"/>
      <c r="D30" s="171">
        <v>0</v>
      </c>
      <c r="E30" s="232"/>
      <c r="F30" s="233"/>
      <c r="G30" s="233"/>
      <c r="H30" s="232">
        <f t="shared" si="5"/>
        <v>0</v>
      </c>
      <c r="I30" s="233">
        <v>0</v>
      </c>
      <c r="J30" s="233"/>
      <c r="K30" s="233"/>
      <c r="L30" s="233"/>
      <c r="M30" s="232">
        <f t="shared" si="2"/>
        <v>0</v>
      </c>
      <c r="N30" s="233">
        <v>0</v>
      </c>
      <c r="O30" s="233"/>
      <c r="P30" s="233"/>
      <c r="Q30" s="233"/>
      <c r="R30" s="232">
        <f t="shared" si="4"/>
        <v>0</v>
      </c>
    </row>
    <row r="31" spans="1:18" s="6" customFormat="1" ht="108" hidden="1" customHeight="1">
      <c r="A31" s="282">
        <v>17140</v>
      </c>
      <c r="B31" s="208" t="s">
        <v>221</v>
      </c>
      <c r="C31" s="171"/>
      <c r="D31" s="171">
        <v>0</v>
      </c>
      <c r="E31" s="232"/>
      <c r="F31" s="233"/>
      <c r="G31" s="233"/>
      <c r="H31" s="232">
        <f t="shared" si="5"/>
        <v>0</v>
      </c>
      <c r="I31" s="233">
        <v>0</v>
      </c>
      <c r="J31" s="233"/>
      <c r="K31" s="233"/>
      <c r="L31" s="233"/>
      <c r="M31" s="232">
        <f t="shared" si="2"/>
        <v>0</v>
      </c>
      <c r="N31" s="233">
        <v>0</v>
      </c>
      <c r="O31" s="233"/>
      <c r="P31" s="233"/>
      <c r="Q31" s="233"/>
      <c r="R31" s="232">
        <f t="shared" si="4"/>
        <v>0</v>
      </c>
    </row>
    <row r="32" spans="1:18" s="6" customFormat="1">
      <c r="A32" s="283">
        <v>21700</v>
      </c>
      <c r="B32" s="124" t="s">
        <v>97</v>
      </c>
      <c r="C32" s="171">
        <v>87284476</v>
      </c>
      <c r="D32" s="171">
        <v>80984491</v>
      </c>
      <c r="E32" s="232">
        <f>E33+E34</f>
        <v>2047613</v>
      </c>
      <c r="F32" s="233">
        <f t="shared" ref="F32:G32" si="24">F33+F34</f>
        <v>4934740</v>
      </c>
      <c r="G32" s="233">
        <f t="shared" si="24"/>
        <v>2699728</v>
      </c>
      <c r="H32" s="232">
        <f t="shared" si="5"/>
        <v>90666572</v>
      </c>
      <c r="I32" s="233">
        <v>79138662</v>
      </c>
      <c r="J32" s="233">
        <f>J33+J34</f>
        <v>0</v>
      </c>
      <c r="K32" s="233">
        <f t="shared" ref="K32:L32" si="25">K33+K34</f>
        <v>4834388</v>
      </c>
      <c r="L32" s="233">
        <f t="shared" si="25"/>
        <v>8535952</v>
      </c>
      <c r="M32" s="232">
        <f t="shared" si="2"/>
        <v>92509002</v>
      </c>
      <c r="N32" s="233">
        <v>79157545</v>
      </c>
      <c r="O32" s="233">
        <f>O33+O34</f>
        <v>0</v>
      </c>
      <c r="P32" s="233">
        <f t="shared" ref="P32:Q32" si="26">P33+P34</f>
        <v>4811823</v>
      </c>
      <c r="Q32" s="233">
        <f t="shared" si="26"/>
        <v>8321677</v>
      </c>
      <c r="R32" s="232">
        <f t="shared" si="4"/>
        <v>92291045</v>
      </c>
    </row>
    <row r="33" spans="1:18" s="6" customFormat="1" ht="24">
      <c r="A33" s="284">
        <v>21710</v>
      </c>
      <c r="B33" s="125" t="s">
        <v>98</v>
      </c>
      <c r="C33" s="171">
        <v>87284476</v>
      </c>
      <c r="D33" s="171">
        <v>80984491</v>
      </c>
      <c r="E33" s="232">
        <f>E117+E201</f>
        <v>2047613</v>
      </c>
      <c r="F33" s="233">
        <f>F117+F201</f>
        <v>4934740</v>
      </c>
      <c r="G33" s="233">
        <f>G117+G201</f>
        <v>2699728</v>
      </c>
      <c r="H33" s="232">
        <f t="shared" si="5"/>
        <v>90666572</v>
      </c>
      <c r="I33" s="233">
        <v>79138662</v>
      </c>
      <c r="J33" s="233">
        <f>J117+J201</f>
        <v>0</v>
      </c>
      <c r="K33" s="233">
        <f>K117+K201</f>
        <v>4834388</v>
      </c>
      <c r="L33" s="233">
        <f>L117+L201</f>
        <v>8535952</v>
      </c>
      <c r="M33" s="232">
        <f t="shared" si="2"/>
        <v>92509002</v>
      </c>
      <c r="N33" s="233">
        <v>79157545</v>
      </c>
      <c r="O33" s="233">
        <f>O117+O201</f>
        <v>0</v>
      </c>
      <c r="P33" s="233">
        <f>P117+P201</f>
        <v>4811823</v>
      </c>
      <c r="Q33" s="233">
        <f>Q117+Q201</f>
        <v>8321677</v>
      </c>
      <c r="R33" s="232">
        <f t="shared" si="4"/>
        <v>92291045</v>
      </c>
    </row>
    <row r="34" spans="1:18" s="6" customFormat="1" ht="24" hidden="1" customHeight="1">
      <c r="A34" s="284">
        <v>21720</v>
      </c>
      <c r="B34" s="125" t="s">
        <v>99</v>
      </c>
      <c r="C34" s="171">
        <v>0</v>
      </c>
      <c r="D34" s="171">
        <v>0</v>
      </c>
      <c r="E34" s="232"/>
      <c r="F34" s="233"/>
      <c r="G34" s="233"/>
      <c r="H34" s="232">
        <f t="shared" si="5"/>
        <v>0</v>
      </c>
      <c r="I34" s="233">
        <v>0</v>
      </c>
      <c r="J34" s="233"/>
      <c r="K34" s="233"/>
      <c r="L34" s="233"/>
      <c r="M34" s="232">
        <f t="shared" si="2"/>
        <v>0</v>
      </c>
      <c r="N34" s="233">
        <v>0</v>
      </c>
      <c r="O34" s="233"/>
      <c r="P34" s="233"/>
      <c r="Q34" s="233"/>
      <c r="R34" s="232">
        <f t="shared" si="4"/>
        <v>0</v>
      </c>
    </row>
    <row r="35" spans="1:18" s="6" customFormat="1" ht="11.4">
      <c r="A35" s="123" t="s">
        <v>100</v>
      </c>
      <c r="B35" s="123" t="s">
        <v>101</v>
      </c>
      <c r="C35" s="175">
        <v>99927771</v>
      </c>
      <c r="D35" s="175">
        <v>93471168</v>
      </c>
      <c r="E35" s="229">
        <f t="shared" ref="E35:G35" si="27">E36+E63</f>
        <v>2145277</v>
      </c>
      <c r="F35" s="243">
        <f t="shared" si="27"/>
        <v>4934740</v>
      </c>
      <c r="G35" s="243">
        <f t="shared" si="27"/>
        <v>2699728</v>
      </c>
      <c r="H35" s="229">
        <f t="shared" si="5"/>
        <v>103250913</v>
      </c>
      <c r="I35" s="243">
        <v>90607995</v>
      </c>
      <c r="J35" s="243">
        <f t="shared" ref="J35:L35" si="28">J36+J63</f>
        <v>3083</v>
      </c>
      <c r="K35" s="243">
        <f t="shared" si="28"/>
        <v>4834388</v>
      </c>
      <c r="L35" s="243">
        <f t="shared" si="28"/>
        <v>8535952</v>
      </c>
      <c r="M35" s="229">
        <f t="shared" si="2"/>
        <v>103981418</v>
      </c>
      <c r="N35" s="243">
        <v>90524526</v>
      </c>
      <c r="O35" s="243">
        <f t="shared" ref="O35:Q35" si="29">O36+O63</f>
        <v>0</v>
      </c>
      <c r="P35" s="243">
        <f t="shared" si="29"/>
        <v>4811823</v>
      </c>
      <c r="Q35" s="243">
        <f t="shared" si="29"/>
        <v>8321677</v>
      </c>
      <c r="R35" s="229">
        <f t="shared" si="4"/>
        <v>103658026</v>
      </c>
    </row>
    <row r="36" spans="1:18" s="6" customFormat="1" ht="22.8">
      <c r="A36" s="124" t="s">
        <v>102</v>
      </c>
      <c r="B36" s="124" t="s">
        <v>103</v>
      </c>
      <c r="C36" s="171">
        <v>90692995</v>
      </c>
      <c r="D36" s="171">
        <v>90792633</v>
      </c>
      <c r="E36" s="232">
        <f>E37+E41+E42+E45+E48</f>
        <v>155463</v>
      </c>
      <c r="F36" s="233">
        <f t="shared" ref="F36:G36" si="30">F37+F41+F42+F45+F48</f>
        <v>4934740</v>
      </c>
      <c r="G36" s="233">
        <f t="shared" si="30"/>
        <v>2696978</v>
      </c>
      <c r="H36" s="232">
        <f t="shared" si="5"/>
        <v>98579814</v>
      </c>
      <c r="I36" s="233">
        <v>89406893</v>
      </c>
      <c r="J36" s="233">
        <f>J37+J41+J42+J45+J48</f>
        <v>3283</v>
      </c>
      <c r="K36" s="233">
        <f t="shared" ref="K36:L36" si="31">K37+K41+K42+K45+K48</f>
        <v>4834388</v>
      </c>
      <c r="L36" s="233">
        <f t="shared" si="31"/>
        <v>8535952</v>
      </c>
      <c r="M36" s="232">
        <f t="shared" si="2"/>
        <v>102780516</v>
      </c>
      <c r="N36" s="233">
        <v>89367943</v>
      </c>
      <c r="O36" s="233">
        <f>O37+O41+O42+O45+O48</f>
        <v>200</v>
      </c>
      <c r="P36" s="233">
        <f t="shared" ref="P36:Q36" si="32">P37+P41+P42+P45+P48</f>
        <v>4811823</v>
      </c>
      <c r="Q36" s="233">
        <f t="shared" si="32"/>
        <v>8321677</v>
      </c>
      <c r="R36" s="232">
        <f t="shared" si="4"/>
        <v>102501643</v>
      </c>
    </row>
    <row r="37" spans="1:18" s="6" customFormat="1">
      <c r="A37" s="124" t="s">
        <v>104</v>
      </c>
      <c r="B37" s="124" t="s">
        <v>105</v>
      </c>
      <c r="C37" s="171">
        <v>78981453</v>
      </c>
      <c r="D37" s="171">
        <v>78988789</v>
      </c>
      <c r="E37" s="232">
        <f>E38+E40</f>
        <v>155463</v>
      </c>
      <c r="F37" s="233">
        <f t="shared" ref="F37:G37" si="33">F38+F40</f>
        <v>4931340</v>
      </c>
      <c r="G37" s="233">
        <f t="shared" si="33"/>
        <v>1580523</v>
      </c>
      <c r="H37" s="232">
        <f t="shared" si="5"/>
        <v>85656115</v>
      </c>
      <c r="I37" s="233">
        <v>77684207</v>
      </c>
      <c r="J37" s="233">
        <f>J38+J40</f>
        <v>3283</v>
      </c>
      <c r="K37" s="233">
        <f t="shared" ref="K37:L37" si="34">K38+K40</f>
        <v>4830988</v>
      </c>
      <c r="L37" s="233">
        <f t="shared" si="34"/>
        <v>4013481</v>
      </c>
      <c r="M37" s="232">
        <f t="shared" si="2"/>
        <v>86531959</v>
      </c>
      <c r="N37" s="233">
        <v>77701641</v>
      </c>
      <c r="O37" s="233">
        <f>O38+O40</f>
        <v>200</v>
      </c>
      <c r="P37" s="233">
        <f t="shared" ref="P37:Q37" si="35">P38+P40</f>
        <v>4808423</v>
      </c>
      <c r="Q37" s="233">
        <f t="shared" si="35"/>
        <v>1454087</v>
      </c>
      <c r="R37" s="232">
        <f t="shared" si="4"/>
        <v>83964351</v>
      </c>
    </row>
    <row r="38" spans="1:18" s="6" customFormat="1">
      <c r="A38" s="276">
        <v>1000</v>
      </c>
      <c r="B38" s="125" t="s">
        <v>106</v>
      </c>
      <c r="C38" s="171">
        <v>51905336</v>
      </c>
      <c r="D38" s="171">
        <v>51974013</v>
      </c>
      <c r="E38" s="232">
        <f>E122+E206</f>
        <v>44900</v>
      </c>
      <c r="F38" s="232">
        <f t="shared" ref="F38:G39" si="36">F122+F206</f>
        <v>4753343</v>
      </c>
      <c r="G38" s="232">
        <f t="shared" si="36"/>
        <v>410086</v>
      </c>
      <c r="H38" s="232">
        <f t="shared" si="5"/>
        <v>57182342</v>
      </c>
      <c r="I38" s="233">
        <v>51382077</v>
      </c>
      <c r="J38" s="232">
        <f>J122+J206</f>
        <v>1379</v>
      </c>
      <c r="K38" s="232">
        <f t="shared" ref="K38:L40" si="37">K122+K206</f>
        <v>4780548</v>
      </c>
      <c r="L38" s="232">
        <f t="shared" si="37"/>
        <v>402440</v>
      </c>
      <c r="M38" s="232">
        <f t="shared" si="2"/>
        <v>56566444</v>
      </c>
      <c r="N38" s="233">
        <v>51381270</v>
      </c>
      <c r="O38" s="232">
        <f>O122+O206</f>
        <v>0</v>
      </c>
      <c r="P38" s="232">
        <f t="shared" ref="P38:Q40" si="38">P122+P206</f>
        <v>4763527</v>
      </c>
      <c r="Q38" s="232">
        <f t="shared" si="38"/>
        <v>402440</v>
      </c>
      <c r="R38" s="232">
        <f t="shared" si="4"/>
        <v>56547237</v>
      </c>
    </row>
    <row r="39" spans="1:18" s="6" customFormat="1">
      <c r="A39" s="285">
        <v>1100</v>
      </c>
      <c r="B39" s="125" t="s">
        <v>107</v>
      </c>
      <c r="C39" s="171">
        <v>40173824</v>
      </c>
      <c r="D39" s="171">
        <v>40032198</v>
      </c>
      <c r="E39" s="232">
        <f>E123+E207</f>
        <v>36183</v>
      </c>
      <c r="F39" s="232">
        <f t="shared" si="36"/>
        <v>3616477</v>
      </c>
      <c r="G39" s="232">
        <f t="shared" si="36"/>
        <v>286635</v>
      </c>
      <c r="H39" s="232">
        <f t="shared" si="5"/>
        <v>43971493</v>
      </c>
      <c r="I39" s="233">
        <v>39748586</v>
      </c>
      <c r="J39" s="232">
        <f>J123+J207</f>
        <v>1111</v>
      </c>
      <c r="K39" s="232">
        <f t="shared" si="37"/>
        <v>3626445</v>
      </c>
      <c r="L39" s="232">
        <f t="shared" si="37"/>
        <v>280473</v>
      </c>
      <c r="M39" s="232">
        <f t="shared" si="2"/>
        <v>43656615</v>
      </c>
      <c r="N39" s="233">
        <v>39747936</v>
      </c>
      <c r="O39" s="232">
        <f>O123+O207</f>
        <v>0</v>
      </c>
      <c r="P39" s="232">
        <f t="shared" si="38"/>
        <v>3619979</v>
      </c>
      <c r="Q39" s="232">
        <f t="shared" si="38"/>
        <v>280473</v>
      </c>
      <c r="R39" s="232">
        <f t="shared" si="4"/>
        <v>43648388</v>
      </c>
    </row>
    <row r="40" spans="1:18" s="6" customFormat="1">
      <c r="A40" s="276">
        <v>2000</v>
      </c>
      <c r="B40" s="125" t="s">
        <v>108</v>
      </c>
      <c r="C40" s="171">
        <v>27076117</v>
      </c>
      <c r="D40" s="171">
        <v>27014776</v>
      </c>
      <c r="E40" s="232">
        <f>E124+E208</f>
        <v>110563</v>
      </c>
      <c r="F40" s="232">
        <f>F124+F208</f>
        <v>177997</v>
      </c>
      <c r="G40" s="232">
        <f>G124+G208</f>
        <v>1170437</v>
      </c>
      <c r="H40" s="232">
        <f t="shared" si="5"/>
        <v>28473773</v>
      </c>
      <c r="I40" s="233">
        <v>26302130</v>
      </c>
      <c r="J40" s="232">
        <f>J124+J208</f>
        <v>1904</v>
      </c>
      <c r="K40" s="232">
        <f t="shared" si="37"/>
        <v>50440</v>
      </c>
      <c r="L40" s="232">
        <f t="shared" si="37"/>
        <v>3611041</v>
      </c>
      <c r="M40" s="232">
        <f t="shared" si="2"/>
        <v>29965515</v>
      </c>
      <c r="N40" s="233">
        <v>26320371</v>
      </c>
      <c r="O40" s="232">
        <f>O124+O208</f>
        <v>200</v>
      </c>
      <c r="P40" s="232">
        <f t="shared" si="38"/>
        <v>44896</v>
      </c>
      <c r="Q40" s="232">
        <f t="shared" si="38"/>
        <v>1051647</v>
      </c>
      <c r="R40" s="232">
        <f t="shared" si="4"/>
        <v>27417114</v>
      </c>
    </row>
    <row r="41" spans="1:18" s="6" customFormat="1" ht="12" hidden="1" customHeight="1">
      <c r="A41" s="286">
        <v>4000</v>
      </c>
      <c r="B41" s="124" t="s">
        <v>132</v>
      </c>
      <c r="C41" s="171">
        <v>0</v>
      </c>
      <c r="D41" s="171">
        <v>0</v>
      </c>
      <c r="E41" s="232"/>
      <c r="F41" s="244"/>
      <c r="G41" s="244"/>
      <c r="H41" s="232">
        <f t="shared" si="5"/>
        <v>0</v>
      </c>
      <c r="I41" s="233">
        <v>0</v>
      </c>
      <c r="J41" s="232"/>
      <c r="K41" s="244"/>
      <c r="L41" s="244"/>
      <c r="M41" s="232">
        <f t="shared" si="2"/>
        <v>0</v>
      </c>
      <c r="N41" s="233">
        <v>0</v>
      </c>
      <c r="O41" s="232"/>
      <c r="P41" s="244"/>
      <c r="Q41" s="244"/>
      <c r="R41" s="232">
        <f t="shared" si="4"/>
        <v>0</v>
      </c>
    </row>
    <row r="42" spans="1:18" s="6" customFormat="1">
      <c r="A42" s="286" t="s">
        <v>109</v>
      </c>
      <c r="B42" s="124" t="s">
        <v>110</v>
      </c>
      <c r="C42" s="171">
        <v>11447266</v>
      </c>
      <c r="D42" s="171">
        <v>11440357</v>
      </c>
      <c r="E42" s="232">
        <f>E43+E44</f>
        <v>0</v>
      </c>
      <c r="F42" s="233">
        <f t="shared" ref="F42:G42" si="39">F43+F44</f>
        <v>3400</v>
      </c>
      <c r="G42" s="233">
        <f t="shared" si="39"/>
        <v>1116455</v>
      </c>
      <c r="H42" s="232">
        <f t="shared" si="5"/>
        <v>12560212</v>
      </c>
      <c r="I42" s="233">
        <v>11440357</v>
      </c>
      <c r="J42" s="232">
        <f>J43+J44</f>
        <v>0</v>
      </c>
      <c r="K42" s="233">
        <f t="shared" ref="K42:L42" si="40">K43+K44</f>
        <v>3400</v>
      </c>
      <c r="L42" s="233">
        <f t="shared" si="40"/>
        <v>4522471</v>
      </c>
      <c r="M42" s="232">
        <f t="shared" si="2"/>
        <v>15966228</v>
      </c>
      <c r="N42" s="233">
        <v>11440357</v>
      </c>
      <c r="O42" s="232">
        <f>O43+O44</f>
        <v>0</v>
      </c>
      <c r="P42" s="233">
        <f t="shared" ref="P42:Q42" si="41">P43+P44</f>
        <v>3400</v>
      </c>
      <c r="Q42" s="233">
        <f t="shared" si="41"/>
        <v>6867590</v>
      </c>
      <c r="R42" s="232">
        <f t="shared" si="4"/>
        <v>18311347</v>
      </c>
    </row>
    <row r="43" spans="1:18" s="6" customFormat="1">
      <c r="A43" s="276">
        <v>3000</v>
      </c>
      <c r="B43" s="125" t="s">
        <v>111</v>
      </c>
      <c r="C43" s="213">
        <v>429598</v>
      </c>
      <c r="D43" s="213">
        <v>422689</v>
      </c>
      <c r="E43" s="245"/>
      <c r="F43" s="345">
        <f>F127</f>
        <v>3400</v>
      </c>
      <c r="G43" s="246"/>
      <c r="H43" s="232">
        <f t="shared" si="5"/>
        <v>426089</v>
      </c>
      <c r="I43" s="345">
        <v>422689</v>
      </c>
      <c r="J43" s="245"/>
      <c r="K43" s="345">
        <f>K127</f>
        <v>3400</v>
      </c>
      <c r="L43" s="246"/>
      <c r="M43" s="232">
        <f t="shared" si="2"/>
        <v>426089</v>
      </c>
      <c r="N43" s="345">
        <v>422689</v>
      </c>
      <c r="O43" s="245"/>
      <c r="P43" s="345">
        <f>P127</f>
        <v>3400</v>
      </c>
      <c r="Q43" s="246"/>
      <c r="R43" s="232">
        <f t="shared" si="4"/>
        <v>426089</v>
      </c>
    </row>
    <row r="44" spans="1:18" s="6" customFormat="1">
      <c r="A44" s="276">
        <v>6000</v>
      </c>
      <c r="B44" s="125" t="s">
        <v>112</v>
      </c>
      <c r="C44" s="287">
        <v>11017668</v>
      </c>
      <c r="D44" s="287">
        <v>11017668</v>
      </c>
      <c r="E44" s="247"/>
      <c r="F44" s="248"/>
      <c r="G44" s="346">
        <f>G128</f>
        <v>1116455</v>
      </c>
      <c r="H44" s="232">
        <f t="shared" si="5"/>
        <v>12134123</v>
      </c>
      <c r="I44" s="346">
        <v>11017668</v>
      </c>
      <c r="J44" s="247"/>
      <c r="K44" s="248"/>
      <c r="L44" s="346">
        <f>L128</f>
        <v>4522471</v>
      </c>
      <c r="M44" s="232">
        <f t="shared" si="2"/>
        <v>15540139</v>
      </c>
      <c r="N44" s="346">
        <v>11017668</v>
      </c>
      <c r="O44" s="247"/>
      <c r="P44" s="248"/>
      <c r="Q44" s="346">
        <f>Q128</f>
        <v>6867590</v>
      </c>
      <c r="R44" s="232">
        <f t="shared" si="4"/>
        <v>17885258</v>
      </c>
    </row>
    <row r="45" spans="1:18" s="6" customFormat="1" ht="22.8">
      <c r="A45" s="286" t="s">
        <v>113</v>
      </c>
      <c r="B45" s="124" t="s">
        <v>183</v>
      </c>
      <c r="C45" s="171">
        <v>216235</v>
      </c>
      <c r="D45" s="171">
        <v>225945</v>
      </c>
      <c r="E45" s="232">
        <f>E46+E47</f>
        <v>0</v>
      </c>
      <c r="F45" s="233">
        <f t="shared" ref="F45:G45" si="42">F46+F47</f>
        <v>0</v>
      </c>
      <c r="G45" s="233">
        <f t="shared" si="42"/>
        <v>0</v>
      </c>
      <c r="H45" s="232">
        <f t="shared" si="5"/>
        <v>225945</v>
      </c>
      <c r="I45" s="233">
        <v>243588</v>
      </c>
      <c r="J45" s="232">
        <f>J46+J47</f>
        <v>0</v>
      </c>
      <c r="K45" s="233">
        <f t="shared" ref="K45:L45" si="43">K46+K47</f>
        <v>0</v>
      </c>
      <c r="L45" s="233">
        <f t="shared" si="43"/>
        <v>0</v>
      </c>
      <c r="M45" s="232">
        <f t="shared" si="2"/>
        <v>243588</v>
      </c>
      <c r="N45" s="233">
        <v>225945</v>
      </c>
      <c r="O45" s="232">
        <f>O46+O47</f>
        <v>0</v>
      </c>
      <c r="P45" s="233">
        <f t="shared" ref="P45:Q45" si="44">P46+P47</f>
        <v>0</v>
      </c>
      <c r="Q45" s="233">
        <f t="shared" si="44"/>
        <v>0</v>
      </c>
      <c r="R45" s="232">
        <f t="shared" si="4"/>
        <v>225945</v>
      </c>
    </row>
    <row r="46" spans="1:18" s="6" customFormat="1" ht="12" hidden="1" customHeight="1">
      <c r="A46" s="276">
        <v>7600</v>
      </c>
      <c r="B46" s="179" t="s">
        <v>184</v>
      </c>
      <c r="C46" s="171">
        <v>0</v>
      </c>
      <c r="D46" s="171">
        <v>0</v>
      </c>
      <c r="E46" s="232"/>
      <c r="F46" s="244"/>
      <c r="G46" s="244"/>
      <c r="H46" s="232">
        <f t="shared" si="5"/>
        <v>0</v>
      </c>
      <c r="I46" s="233">
        <v>0</v>
      </c>
      <c r="J46" s="232"/>
      <c r="K46" s="244"/>
      <c r="L46" s="244"/>
      <c r="M46" s="232">
        <f t="shared" si="2"/>
        <v>0</v>
      </c>
      <c r="N46" s="233">
        <v>0</v>
      </c>
      <c r="O46" s="232"/>
      <c r="P46" s="244"/>
      <c r="Q46" s="244"/>
      <c r="R46" s="232">
        <f t="shared" si="4"/>
        <v>0</v>
      </c>
    </row>
    <row r="47" spans="1:18" s="6" customFormat="1">
      <c r="A47" s="276">
        <v>7700</v>
      </c>
      <c r="B47" s="126" t="s">
        <v>114</v>
      </c>
      <c r="C47" s="171">
        <v>216235</v>
      </c>
      <c r="D47" s="171">
        <v>225945</v>
      </c>
      <c r="E47" s="232"/>
      <c r="F47" s="244"/>
      <c r="G47" s="244"/>
      <c r="H47" s="232">
        <f t="shared" si="5"/>
        <v>225945</v>
      </c>
      <c r="I47" s="233">
        <v>243588</v>
      </c>
      <c r="J47" s="232"/>
      <c r="K47" s="244"/>
      <c r="L47" s="244"/>
      <c r="M47" s="232">
        <f t="shared" si="2"/>
        <v>243588</v>
      </c>
      <c r="N47" s="233">
        <v>225945</v>
      </c>
      <c r="O47" s="232"/>
      <c r="P47" s="244"/>
      <c r="Q47" s="244"/>
      <c r="R47" s="232">
        <f t="shared" si="4"/>
        <v>225945</v>
      </c>
    </row>
    <row r="48" spans="1:18" s="6" customFormat="1" ht="22.8">
      <c r="A48" s="286" t="s">
        <v>185</v>
      </c>
      <c r="B48" s="124" t="s">
        <v>115</v>
      </c>
      <c r="C48" s="171">
        <v>48041</v>
      </c>
      <c r="D48" s="171">
        <v>137542</v>
      </c>
      <c r="E48" s="232">
        <f t="shared" ref="E48:G48" si="45">E49+E55+E59+E62</f>
        <v>0</v>
      </c>
      <c r="F48" s="233">
        <f t="shared" si="45"/>
        <v>0</v>
      </c>
      <c r="G48" s="233">
        <f t="shared" si="45"/>
        <v>0</v>
      </c>
      <c r="H48" s="232">
        <f t="shared" si="5"/>
        <v>137542</v>
      </c>
      <c r="I48" s="233">
        <v>38741</v>
      </c>
      <c r="J48" s="232">
        <f t="shared" ref="J48:L48" si="46">J49+J55+J59+J62</f>
        <v>0</v>
      </c>
      <c r="K48" s="233">
        <f t="shared" si="46"/>
        <v>0</v>
      </c>
      <c r="L48" s="233">
        <f t="shared" si="46"/>
        <v>0</v>
      </c>
      <c r="M48" s="232">
        <f t="shared" si="2"/>
        <v>38741</v>
      </c>
      <c r="N48" s="233">
        <v>0</v>
      </c>
      <c r="O48" s="232">
        <f t="shared" ref="O48:Q48" si="47">O49+O55+O59+O62</f>
        <v>0</v>
      </c>
      <c r="P48" s="233">
        <f t="shared" si="47"/>
        <v>0</v>
      </c>
      <c r="Q48" s="233">
        <f t="shared" si="47"/>
        <v>0</v>
      </c>
      <c r="R48" s="232">
        <f t="shared" si="4"/>
        <v>0</v>
      </c>
    </row>
    <row r="49" spans="1:18" s="6" customFormat="1" ht="12" hidden="1" customHeight="1">
      <c r="A49" s="276">
        <v>7100</v>
      </c>
      <c r="B49" s="179" t="s">
        <v>116</v>
      </c>
      <c r="C49" s="171">
        <v>0</v>
      </c>
      <c r="D49" s="171">
        <v>0</v>
      </c>
      <c r="E49" s="232">
        <f>E50+E51</f>
        <v>0</v>
      </c>
      <c r="F49" s="233">
        <f t="shared" ref="F49:G49" si="48">F50+F51</f>
        <v>0</v>
      </c>
      <c r="G49" s="233">
        <f t="shared" si="48"/>
        <v>0</v>
      </c>
      <c r="H49" s="232">
        <f t="shared" si="5"/>
        <v>0</v>
      </c>
      <c r="I49" s="233">
        <v>0</v>
      </c>
      <c r="J49" s="232">
        <f>J50+J51</f>
        <v>0</v>
      </c>
      <c r="K49" s="233">
        <f t="shared" ref="K49:L49" si="49">K50+K51</f>
        <v>0</v>
      </c>
      <c r="L49" s="233">
        <f t="shared" si="49"/>
        <v>0</v>
      </c>
      <c r="M49" s="232">
        <f t="shared" si="2"/>
        <v>0</v>
      </c>
      <c r="N49" s="233">
        <v>0</v>
      </c>
      <c r="O49" s="232">
        <f>O50+O51</f>
        <v>0</v>
      </c>
      <c r="P49" s="233">
        <f t="shared" ref="P49:Q49" si="50">P50+P51</f>
        <v>0</v>
      </c>
      <c r="Q49" s="233">
        <f t="shared" si="50"/>
        <v>0</v>
      </c>
      <c r="R49" s="232">
        <f t="shared" si="4"/>
        <v>0</v>
      </c>
    </row>
    <row r="50" spans="1:18" s="6" customFormat="1" ht="24" hidden="1" customHeight="1">
      <c r="A50" s="277" t="s">
        <v>117</v>
      </c>
      <c r="B50" s="179" t="s">
        <v>118</v>
      </c>
      <c r="C50" s="171">
        <v>0</v>
      </c>
      <c r="D50" s="171">
        <v>0</v>
      </c>
      <c r="E50" s="232"/>
      <c r="F50" s="233"/>
      <c r="G50" s="233"/>
      <c r="H50" s="232">
        <f t="shared" si="5"/>
        <v>0</v>
      </c>
      <c r="I50" s="233">
        <v>0</v>
      </c>
      <c r="J50" s="232"/>
      <c r="K50" s="233"/>
      <c r="L50" s="233"/>
      <c r="M50" s="232">
        <f t="shared" si="2"/>
        <v>0</v>
      </c>
      <c r="N50" s="233">
        <v>0</v>
      </c>
      <c r="O50" s="232"/>
      <c r="P50" s="233"/>
      <c r="Q50" s="233"/>
      <c r="R50" s="232">
        <f t="shared" si="4"/>
        <v>0</v>
      </c>
    </row>
    <row r="51" spans="1:18" s="6" customFormat="1" ht="24" hidden="1" customHeight="1">
      <c r="A51" s="277">
        <v>7130</v>
      </c>
      <c r="B51" s="179" t="s">
        <v>119</v>
      </c>
      <c r="C51" s="171">
        <v>0</v>
      </c>
      <c r="D51" s="171">
        <v>0</v>
      </c>
      <c r="E51" s="232">
        <f>SUM(E52:E54)</f>
        <v>0</v>
      </c>
      <c r="F51" s="233">
        <f t="shared" ref="F51:G51" si="51">SUM(F52:F54)</f>
        <v>0</v>
      </c>
      <c r="G51" s="233">
        <f t="shared" si="51"/>
        <v>0</v>
      </c>
      <c r="H51" s="232">
        <f t="shared" si="5"/>
        <v>0</v>
      </c>
      <c r="I51" s="233">
        <v>0</v>
      </c>
      <c r="J51" s="232">
        <f>SUM(J52:J54)</f>
        <v>0</v>
      </c>
      <c r="K51" s="233">
        <f t="shared" ref="K51:L51" si="52">SUM(K52:K54)</f>
        <v>0</v>
      </c>
      <c r="L51" s="233">
        <f t="shared" si="52"/>
        <v>0</v>
      </c>
      <c r="M51" s="232">
        <f t="shared" si="2"/>
        <v>0</v>
      </c>
      <c r="N51" s="233">
        <v>0</v>
      </c>
      <c r="O51" s="232">
        <f>SUM(O52:O54)</f>
        <v>0</v>
      </c>
      <c r="P51" s="233">
        <f t="shared" ref="P51:Q51" si="53">SUM(P52:P54)</f>
        <v>0</v>
      </c>
      <c r="Q51" s="233">
        <f t="shared" si="53"/>
        <v>0</v>
      </c>
      <c r="R51" s="232">
        <f t="shared" si="4"/>
        <v>0</v>
      </c>
    </row>
    <row r="52" spans="1:18" s="6" customFormat="1" ht="36" hidden="1" customHeight="1">
      <c r="A52" s="278">
        <v>7131</v>
      </c>
      <c r="B52" s="179" t="s">
        <v>120</v>
      </c>
      <c r="C52" s="171">
        <v>0</v>
      </c>
      <c r="D52" s="171">
        <v>0</v>
      </c>
      <c r="E52" s="232"/>
      <c r="F52" s="233"/>
      <c r="G52" s="233"/>
      <c r="H52" s="232">
        <f t="shared" si="5"/>
        <v>0</v>
      </c>
      <c r="I52" s="233">
        <v>0</v>
      </c>
      <c r="J52" s="232"/>
      <c r="K52" s="233"/>
      <c r="L52" s="233"/>
      <c r="M52" s="232">
        <f t="shared" si="2"/>
        <v>0</v>
      </c>
      <c r="N52" s="233">
        <v>0</v>
      </c>
      <c r="O52" s="232"/>
      <c r="P52" s="233"/>
      <c r="Q52" s="233"/>
      <c r="R52" s="232">
        <f t="shared" si="4"/>
        <v>0</v>
      </c>
    </row>
    <row r="53" spans="1:18" s="6" customFormat="1" ht="36" hidden="1" customHeight="1">
      <c r="A53" s="278">
        <v>7132</v>
      </c>
      <c r="B53" s="179" t="s">
        <v>121</v>
      </c>
      <c r="C53" s="171">
        <v>0</v>
      </c>
      <c r="D53" s="171">
        <v>0</v>
      </c>
      <c r="E53" s="232"/>
      <c r="F53" s="233"/>
      <c r="G53" s="233"/>
      <c r="H53" s="232">
        <f t="shared" si="5"/>
        <v>0</v>
      </c>
      <c r="I53" s="233">
        <v>0</v>
      </c>
      <c r="J53" s="232"/>
      <c r="K53" s="233"/>
      <c r="L53" s="233"/>
      <c r="M53" s="232">
        <f t="shared" si="2"/>
        <v>0</v>
      </c>
      <c r="N53" s="233">
        <v>0</v>
      </c>
      <c r="O53" s="232"/>
      <c r="P53" s="233"/>
      <c r="Q53" s="233"/>
      <c r="R53" s="232">
        <f t="shared" si="4"/>
        <v>0</v>
      </c>
    </row>
    <row r="54" spans="1:18" s="6" customFormat="1" ht="36" hidden="1" customHeight="1">
      <c r="A54" s="278" t="s">
        <v>186</v>
      </c>
      <c r="B54" s="179" t="s">
        <v>187</v>
      </c>
      <c r="C54" s="171">
        <v>0</v>
      </c>
      <c r="D54" s="171">
        <v>0</v>
      </c>
      <c r="E54" s="232"/>
      <c r="F54" s="233"/>
      <c r="G54" s="233"/>
      <c r="H54" s="232">
        <f t="shared" si="5"/>
        <v>0</v>
      </c>
      <c r="I54" s="233">
        <v>0</v>
      </c>
      <c r="J54" s="232"/>
      <c r="K54" s="233"/>
      <c r="L54" s="233"/>
      <c r="M54" s="232">
        <f t="shared" si="2"/>
        <v>0</v>
      </c>
      <c r="N54" s="233">
        <v>0</v>
      </c>
      <c r="O54" s="232"/>
      <c r="P54" s="233"/>
      <c r="Q54" s="233"/>
      <c r="R54" s="232">
        <f t="shared" si="4"/>
        <v>0</v>
      </c>
    </row>
    <row r="55" spans="1:18" s="6" customFormat="1" ht="24" hidden="1" customHeight="1">
      <c r="A55" s="276">
        <v>7300</v>
      </c>
      <c r="B55" s="172" t="s">
        <v>155</v>
      </c>
      <c r="C55" s="171">
        <v>0</v>
      </c>
      <c r="D55" s="171">
        <v>0</v>
      </c>
      <c r="E55" s="232">
        <f>SUM(E56:E58)</f>
        <v>0</v>
      </c>
      <c r="F55" s="233">
        <f t="shared" ref="F55:G55" si="54">SUM(F56:F58)</f>
        <v>0</v>
      </c>
      <c r="G55" s="233">
        <f t="shared" si="54"/>
        <v>0</v>
      </c>
      <c r="H55" s="232">
        <f t="shared" si="5"/>
        <v>0</v>
      </c>
      <c r="I55" s="233">
        <v>0</v>
      </c>
      <c r="J55" s="232">
        <f>SUM(J56:J58)</f>
        <v>0</v>
      </c>
      <c r="K55" s="233">
        <f t="shared" ref="K55:L55" si="55">SUM(K56:K58)</f>
        <v>0</v>
      </c>
      <c r="L55" s="233">
        <f t="shared" si="55"/>
        <v>0</v>
      </c>
      <c r="M55" s="232">
        <f t="shared" si="2"/>
        <v>0</v>
      </c>
      <c r="N55" s="233">
        <v>0</v>
      </c>
      <c r="O55" s="232">
        <f>SUM(O56:O58)</f>
        <v>0</v>
      </c>
      <c r="P55" s="233">
        <f t="shared" ref="P55:Q55" si="56">SUM(P56:P58)</f>
        <v>0</v>
      </c>
      <c r="Q55" s="233">
        <f t="shared" si="56"/>
        <v>0</v>
      </c>
      <c r="R55" s="232">
        <f t="shared" si="4"/>
        <v>0</v>
      </c>
    </row>
    <row r="56" spans="1:18" s="6" customFormat="1" ht="24" hidden="1" customHeight="1">
      <c r="A56" s="277" t="s">
        <v>188</v>
      </c>
      <c r="B56" s="179" t="s">
        <v>170</v>
      </c>
      <c r="C56" s="180">
        <v>0</v>
      </c>
      <c r="D56" s="180">
        <v>0</v>
      </c>
      <c r="E56" s="251"/>
      <c r="F56" s="252"/>
      <c r="G56" s="252"/>
      <c r="H56" s="232">
        <f t="shared" si="5"/>
        <v>0</v>
      </c>
      <c r="I56" s="252">
        <v>0</v>
      </c>
      <c r="J56" s="251"/>
      <c r="K56" s="252"/>
      <c r="L56" s="252"/>
      <c r="M56" s="232">
        <f t="shared" si="2"/>
        <v>0</v>
      </c>
      <c r="N56" s="252">
        <v>0</v>
      </c>
      <c r="O56" s="251"/>
      <c r="P56" s="252"/>
      <c r="Q56" s="252"/>
      <c r="R56" s="232">
        <f t="shared" si="4"/>
        <v>0</v>
      </c>
    </row>
    <row r="57" spans="1:18" s="29" customFormat="1" ht="48" hidden="1" customHeight="1">
      <c r="A57" s="277" t="s">
        <v>189</v>
      </c>
      <c r="B57" s="179" t="s">
        <v>156</v>
      </c>
      <c r="C57" s="180">
        <v>0</v>
      </c>
      <c r="D57" s="180">
        <v>0</v>
      </c>
      <c r="E57" s="251"/>
      <c r="F57" s="252"/>
      <c r="G57" s="252"/>
      <c r="H57" s="232">
        <f t="shared" si="5"/>
        <v>0</v>
      </c>
      <c r="I57" s="252">
        <v>0</v>
      </c>
      <c r="J57" s="251"/>
      <c r="K57" s="252"/>
      <c r="L57" s="252"/>
      <c r="M57" s="232">
        <f t="shared" si="2"/>
        <v>0</v>
      </c>
      <c r="N57" s="252">
        <v>0</v>
      </c>
      <c r="O57" s="251"/>
      <c r="P57" s="252"/>
      <c r="Q57" s="252"/>
      <c r="R57" s="232">
        <f t="shared" si="4"/>
        <v>0</v>
      </c>
    </row>
    <row r="58" spans="1:18" s="89" customFormat="1" ht="36" hidden="1" customHeight="1">
      <c r="A58" s="277">
        <v>7350</v>
      </c>
      <c r="B58" s="179" t="s">
        <v>163</v>
      </c>
      <c r="C58" s="180">
        <v>0</v>
      </c>
      <c r="D58" s="180">
        <v>0</v>
      </c>
      <c r="E58" s="251"/>
      <c r="F58" s="252"/>
      <c r="G58" s="252"/>
      <c r="H58" s="232">
        <f t="shared" si="5"/>
        <v>0</v>
      </c>
      <c r="I58" s="252">
        <v>0</v>
      </c>
      <c r="J58" s="251"/>
      <c r="K58" s="252"/>
      <c r="L58" s="252"/>
      <c r="M58" s="232">
        <f t="shared" si="2"/>
        <v>0</v>
      </c>
      <c r="N58" s="252">
        <v>0</v>
      </c>
      <c r="O58" s="251"/>
      <c r="P58" s="252"/>
      <c r="Q58" s="252"/>
      <c r="R58" s="232">
        <f t="shared" si="4"/>
        <v>0</v>
      </c>
    </row>
    <row r="59" spans="1:18" s="89" customFormat="1" ht="24" hidden="1" customHeight="1">
      <c r="A59" s="276">
        <v>7400</v>
      </c>
      <c r="B59" s="172" t="s">
        <v>161</v>
      </c>
      <c r="C59" s="171">
        <v>0</v>
      </c>
      <c r="D59" s="171">
        <v>0</v>
      </c>
      <c r="E59" s="232">
        <f>SUM(E60:E61)</f>
        <v>0</v>
      </c>
      <c r="F59" s="233">
        <f t="shared" ref="F59:G59" si="57">SUM(F60:F61)</f>
        <v>0</v>
      </c>
      <c r="G59" s="233">
        <f t="shared" si="57"/>
        <v>0</v>
      </c>
      <c r="H59" s="232">
        <f t="shared" si="5"/>
        <v>0</v>
      </c>
      <c r="I59" s="233">
        <v>0</v>
      </c>
      <c r="J59" s="232">
        <f>SUM(J60:J61)</f>
        <v>0</v>
      </c>
      <c r="K59" s="233">
        <f t="shared" ref="K59:L59" si="58">SUM(K60:K61)</f>
        <v>0</v>
      </c>
      <c r="L59" s="233">
        <f t="shared" si="58"/>
        <v>0</v>
      </c>
      <c r="M59" s="232">
        <f t="shared" si="2"/>
        <v>0</v>
      </c>
      <c r="N59" s="233">
        <v>0</v>
      </c>
      <c r="O59" s="232">
        <f>SUM(O60:O61)</f>
        <v>0</v>
      </c>
      <c r="P59" s="233">
        <f t="shared" ref="P59:Q59" si="59">SUM(P60:P61)</f>
        <v>0</v>
      </c>
      <c r="Q59" s="233">
        <f t="shared" si="59"/>
        <v>0</v>
      </c>
      <c r="R59" s="232">
        <f t="shared" si="4"/>
        <v>0</v>
      </c>
    </row>
    <row r="60" spans="1:18" s="89" customFormat="1" ht="24" hidden="1" customHeight="1">
      <c r="A60" s="277">
        <v>7460</v>
      </c>
      <c r="B60" s="172" t="s">
        <v>162</v>
      </c>
      <c r="C60" s="180">
        <v>0</v>
      </c>
      <c r="D60" s="180">
        <v>0</v>
      </c>
      <c r="E60" s="251"/>
      <c r="F60" s="252"/>
      <c r="G60" s="252"/>
      <c r="H60" s="232">
        <f t="shared" si="5"/>
        <v>0</v>
      </c>
      <c r="I60" s="252">
        <v>0</v>
      </c>
      <c r="J60" s="251"/>
      <c r="K60" s="252"/>
      <c r="L60" s="252"/>
      <c r="M60" s="232">
        <f t="shared" si="2"/>
        <v>0</v>
      </c>
      <c r="N60" s="252">
        <v>0</v>
      </c>
      <c r="O60" s="251"/>
      <c r="P60" s="252"/>
      <c r="Q60" s="252"/>
      <c r="R60" s="232">
        <f t="shared" si="4"/>
        <v>0</v>
      </c>
    </row>
    <row r="61" spans="1:18" s="89" customFormat="1" ht="48" hidden="1" customHeight="1">
      <c r="A61" s="277">
        <v>7470</v>
      </c>
      <c r="B61" s="179" t="s">
        <v>167</v>
      </c>
      <c r="C61" s="180">
        <v>0</v>
      </c>
      <c r="D61" s="180">
        <v>0</v>
      </c>
      <c r="E61" s="251"/>
      <c r="F61" s="252"/>
      <c r="G61" s="252"/>
      <c r="H61" s="232">
        <f t="shared" si="5"/>
        <v>0</v>
      </c>
      <c r="I61" s="252">
        <v>0</v>
      </c>
      <c r="J61" s="251"/>
      <c r="K61" s="252"/>
      <c r="L61" s="252"/>
      <c r="M61" s="232">
        <f t="shared" si="2"/>
        <v>0</v>
      </c>
      <c r="N61" s="252">
        <v>0</v>
      </c>
      <c r="O61" s="251"/>
      <c r="P61" s="252"/>
      <c r="Q61" s="252"/>
      <c r="R61" s="232">
        <f t="shared" si="4"/>
        <v>0</v>
      </c>
    </row>
    <row r="62" spans="1:18" s="89" customFormat="1" ht="24">
      <c r="A62" s="276">
        <v>7500</v>
      </c>
      <c r="B62" s="179" t="s">
        <v>157</v>
      </c>
      <c r="C62" s="107">
        <v>48041</v>
      </c>
      <c r="D62" s="107">
        <v>137542</v>
      </c>
      <c r="E62" s="232"/>
      <c r="F62" s="233"/>
      <c r="G62" s="233"/>
      <c r="H62" s="232">
        <f t="shared" si="5"/>
        <v>137542</v>
      </c>
      <c r="I62" s="233">
        <v>38741</v>
      </c>
      <c r="J62" s="232"/>
      <c r="K62" s="233"/>
      <c r="L62" s="233"/>
      <c r="M62" s="232">
        <f t="shared" si="2"/>
        <v>38741</v>
      </c>
      <c r="N62" s="233">
        <v>0</v>
      </c>
      <c r="O62" s="232"/>
      <c r="P62" s="233"/>
      <c r="Q62" s="233"/>
      <c r="R62" s="232">
        <f t="shared" si="4"/>
        <v>0</v>
      </c>
    </row>
    <row r="63" spans="1:18" s="89" customFormat="1">
      <c r="A63" s="286" t="s">
        <v>133</v>
      </c>
      <c r="B63" s="124" t="s">
        <v>122</v>
      </c>
      <c r="C63" s="107">
        <v>9234776</v>
      </c>
      <c r="D63" s="107">
        <v>2678535</v>
      </c>
      <c r="E63" s="253">
        <f>E64+E65</f>
        <v>1989814</v>
      </c>
      <c r="F63" s="254">
        <f t="shared" ref="F63:G63" si="60">F64+F65</f>
        <v>0</v>
      </c>
      <c r="G63" s="254">
        <f t="shared" si="60"/>
        <v>2750</v>
      </c>
      <c r="H63" s="232">
        <f t="shared" si="5"/>
        <v>4671099</v>
      </c>
      <c r="I63" s="254">
        <v>1201102</v>
      </c>
      <c r="J63" s="253">
        <f>J64+J65</f>
        <v>-200</v>
      </c>
      <c r="K63" s="254">
        <f t="shared" ref="K63:L63" si="61">K64+K65</f>
        <v>0</v>
      </c>
      <c r="L63" s="254">
        <f t="shared" si="61"/>
        <v>0</v>
      </c>
      <c r="M63" s="232">
        <f t="shared" si="2"/>
        <v>1200902</v>
      </c>
      <c r="N63" s="254">
        <v>1156583</v>
      </c>
      <c r="O63" s="253">
        <f>O64+O65</f>
        <v>-200</v>
      </c>
      <c r="P63" s="254">
        <f t="shared" ref="P63:Q63" si="62">P64+P65</f>
        <v>0</v>
      </c>
      <c r="Q63" s="254">
        <f t="shared" si="62"/>
        <v>0</v>
      </c>
      <c r="R63" s="232">
        <f t="shared" si="4"/>
        <v>1156383</v>
      </c>
    </row>
    <row r="64" spans="1:18" s="89" customFormat="1">
      <c r="A64" s="286">
        <v>5000</v>
      </c>
      <c r="B64" s="124" t="s">
        <v>123</v>
      </c>
      <c r="C64" s="171">
        <v>9234776</v>
      </c>
      <c r="D64" s="171">
        <v>2678535</v>
      </c>
      <c r="E64" s="232">
        <f>E148+E232</f>
        <v>1989814</v>
      </c>
      <c r="F64" s="244"/>
      <c r="G64" s="233">
        <f>G148</f>
        <v>2750</v>
      </c>
      <c r="H64" s="232">
        <f t="shared" si="5"/>
        <v>4671099</v>
      </c>
      <c r="I64" s="233">
        <v>1156583</v>
      </c>
      <c r="J64" s="232">
        <f>J148+J232</f>
        <v>-200</v>
      </c>
      <c r="K64" s="244"/>
      <c r="L64" s="233">
        <f>L148</f>
        <v>0</v>
      </c>
      <c r="M64" s="232">
        <f t="shared" si="2"/>
        <v>1156383</v>
      </c>
      <c r="N64" s="233">
        <v>1156583</v>
      </c>
      <c r="O64" s="232">
        <f>O148+O232</f>
        <v>-200</v>
      </c>
      <c r="P64" s="244"/>
      <c r="Q64" s="233">
        <f>Q148</f>
        <v>0</v>
      </c>
      <c r="R64" s="232">
        <f t="shared" si="4"/>
        <v>1156383</v>
      </c>
    </row>
    <row r="65" spans="1:18" s="89" customFormat="1" ht="12" hidden="1" customHeight="1">
      <c r="A65" s="286">
        <v>9000</v>
      </c>
      <c r="B65" s="182" t="s">
        <v>164</v>
      </c>
      <c r="C65" s="171">
        <v>0</v>
      </c>
      <c r="D65" s="171">
        <v>0</v>
      </c>
      <c r="E65" s="232">
        <f t="shared" ref="E65:G65" si="63">E66+E72+E76+E79</f>
        <v>0</v>
      </c>
      <c r="F65" s="233">
        <f t="shared" si="63"/>
        <v>0</v>
      </c>
      <c r="G65" s="233">
        <f t="shared" si="63"/>
        <v>0</v>
      </c>
      <c r="H65" s="232">
        <f t="shared" si="5"/>
        <v>0</v>
      </c>
      <c r="I65" s="233">
        <v>44519</v>
      </c>
      <c r="J65" s="233">
        <f t="shared" ref="J65:L65" si="64">J66+J72+J76+J79</f>
        <v>0</v>
      </c>
      <c r="K65" s="233">
        <f t="shared" si="64"/>
        <v>0</v>
      </c>
      <c r="L65" s="233">
        <f t="shared" si="64"/>
        <v>0</v>
      </c>
      <c r="M65" s="232">
        <f t="shared" si="2"/>
        <v>44519</v>
      </c>
      <c r="N65" s="233">
        <v>0</v>
      </c>
      <c r="O65" s="233">
        <f t="shared" ref="O65:Q65" si="65">O66+O72+O76+O79</f>
        <v>0</v>
      </c>
      <c r="P65" s="233">
        <f t="shared" si="65"/>
        <v>0</v>
      </c>
      <c r="Q65" s="233">
        <f t="shared" si="65"/>
        <v>0</v>
      </c>
      <c r="R65" s="232">
        <f t="shared" si="4"/>
        <v>0</v>
      </c>
    </row>
    <row r="66" spans="1:18" s="89" customFormat="1" ht="12" hidden="1" customHeight="1">
      <c r="A66" s="126">
        <v>9100</v>
      </c>
      <c r="B66" s="179" t="s">
        <v>124</v>
      </c>
      <c r="C66" s="171">
        <v>0</v>
      </c>
      <c r="D66" s="171">
        <v>0</v>
      </c>
      <c r="E66" s="232">
        <f t="shared" ref="E66:G66" si="66">SUM(E67:E68)</f>
        <v>0</v>
      </c>
      <c r="F66" s="233">
        <f t="shared" ref="F66" si="67">SUM(F67:F68)</f>
        <v>0</v>
      </c>
      <c r="G66" s="233">
        <f t="shared" si="66"/>
        <v>0</v>
      </c>
      <c r="H66" s="232">
        <f t="shared" si="5"/>
        <v>0</v>
      </c>
      <c r="I66" s="233">
        <v>0</v>
      </c>
      <c r="J66" s="233">
        <f t="shared" ref="J66:L66" si="68">SUM(J67:J68)</f>
        <v>0</v>
      </c>
      <c r="K66" s="233">
        <f t="shared" si="68"/>
        <v>0</v>
      </c>
      <c r="L66" s="233">
        <f t="shared" si="68"/>
        <v>0</v>
      </c>
      <c r="M66" s="232">
        <f t="shared" si="2"/>
        <v>0</v>
      </c>
      <c r="N66" s="233">
        <v>0</v>
      </c>
      <c r="O66" s="233">
        <f t="shared" ref="O66:Q66" si="69">SUM(O67:O68)</f>
        <v>0</v>
      </c>
      <c r="P66" s="233">
        <f t="shared" si="69"/>
        <v>0</v>
      </c>
      <c r="Q66" s="233">
        <f t="shared" si="69"/>
        <v>0</v>
      </c>
      <c r="R66" s="232">
        <f t="shared" si="4"/>
        <v>0</v>
      </c>
    </row>
    <row r="67" spans="1:18" s="89" customFormat="1" ht="24" hidden="1" customHeight="1">
      <c r="A67" s="277" t="s">
        <v>125</v>
      </c>
      <c r="B67" s="179" t="s">
        <v>214</v>
      </c>
      <c r="C67" s="171">
        <v>0</v>
      </c>
      <c r="D67" s="171">
        <v>0</v>
      </c>
      <c r="E67" s="232"/>
      <c r="F67" s="233"/>
      <c r="G67" s="233"/>
      <c r="H67" s="232">
        <f t="shared" si="5"/>
        <v>0</v>
      </c>
      <c r="I67" s="233">
        <v>0</v>
      </c>
      <c r="J67" s="233"/>
      <c r="K67" s="233"/>
      <c r="L67" s="233"/>
      <c r="M67" s="232">
        <f t="shared" si="2"/>
        <v>0</v>
      </c>
      <c r="N67" s="233">
        <v>0</v>
      </c>
      <c r="O67" s="233"/>
      <c r="P67" s="233"/>
      <c r="Q67" s="233"/>
      <c r="R67" s="232">
        <f t="shared" si="4"/>
        <v>0</v>
      </c>
    </row>
    <row r="68" spans="1:18" s="89" customFormat="1" ht="24" hidden="1" customHeight="1">
      <c r="A68" s="277">
        <v>9140</v>
      </c>
      <c r="B68" s="179" t="s">
        <v>215</v>
      </c>
      <c r="C68" s="171">
        <v>0</v>
      </c>
      <c r="D68" s="171">
        <v>0</v>
      </c>
      <c r="E68" s="232">
        <f>SUM(E69:E71)</f>
        <v>0</v>
      </c>
      <c r="F68" s="233">
        <f t="shared" ref="F68:G68" si="70">SUM(F69:F71)</f>
        <v>0</v>
      </c>
      <c r="G68" s="233">
        <f t="shared" si="70"/>
        <v>0</v>
      </c>
      <c r="H68" s="232">
        <f t="shared" si="5"/>
        <v>0</v>
      </c>
      <c r="I68" s="233">
        <v>0</v>
      </c>
      <c r="J68" s="233">
        <f>SUM(J69:J71)</f>
        <v>0</v>
      </c>
      <c r="K68" s="233">
        <f t="shared" ref="K68:L68" si="71">SUM(K69:K71)</f>
        <v>0</v>
      </c>
      <c r="L68" s="233">
        <f t="shared" si="71"/>
        <v>0</v>
      </c>
      <c r="M68" s="232">
        <f t="shared" si="2"/>
        <v>0</v>
      </c>
      <c r="N68" s="233">
        <v>0</v>
      </c>
      <c r="O68" s="233">
        <f>SUM(O69:O71)</f>
        <v>0</v>
      </c>
      <c r="P68" s="233">
        <f t="shared" ref="P68:Q68" si="72">SUM(P69:P71)</f>
        <v>0</v>
      </c>
      <c r="Q68" s="233">
        <f t="shared" si="72"/>
        <v>0</v>
      </c>
      <c r="R68" s="232">
        <f t="shared" si="4"/>
        <v>0</v>
      </c>
    </row>
    <row r="69" spans="1:18" s="89" customFormat="1" ht="36" hidden="1" customHeight="1">
      <c r="A69" s="278">
        <v>9141</v>
      </c>
      <c r="B69" s="172" t="s">
        <v>190</v>
      </c>
      <c r="C69" s="180">
        <v>0</v>
      </c>
      <c r="D69" s="180">
        <v>0</v>
      </c>
      <c r="E69" s="251"/>
      <c r="F69" s="252"/>
      <c r="G69" s="252"/>
      <c r="H69" s="232">
        <f t="shared" si="5"/>
        <v>0</v>
      </c>
      <c r="I69" s="252">
        <v>0</v>
      </c>
      <c r="J69" s="252"/>
      <c r="K69" s="252"/>
      <c r="L69" s="252"/>
      <c r="M69" s="232">
        <f t="shared" si="2"/>
        <v>0</v>
      </c>
      <c r="N69" s="252">
        <v>0</v>
      </c>
      <c r="O69" s="252"/>
      <c r="P69" s="252"/>
      <c r="Q69" s="252"/>
      <c r="R69" s="232">
        <f t="shared" si="4"/>
        <v>0</v>
      </c>
    </row>
    <row r="70" spans="1:18" s="89" customFormat="1" ht="36" hidden="1" customHeight="1">
      <c r="A70" s="278">
        <v>9142</v>
      </c>
      <c r="B70" s="172" t="s">
        <v>191</v>
      </c>
      <c r="C70" s="180">
        <v>0</v>
      </c>
      <c r="D70" s="180">
        <v>0</v>
      </c>
      <c r="E70" s="251"/>
      <c r="F70" s="252"/>
      <c r="G70" s="252"/>
      <c r="H70" s="232">
        <f t="shared" si="5"/>
        <v>0</v>
      </c>
      <c r="I70" s="252">
        <v>0</v>
      </c>
      <c r="J70" s="252"/>
      <c r="K70" s="252"/>
      <c r="L70" s="252"/>
      <c r="M70" s="232">
        <f t="shared" si="2"/>
        <v>0</v>
      </c>
      <c r="N70" s="252">
        <v>0</v>
      </c>
      <c r="O70" s="252"/>
      <c r="P70" s="252"/>
      <c r="Q70" s="252"/>
      <c r="R70" s="232">
        <f t="shared" si="4"/>
        <v>0</v>
      </c>
    </row>
    <row r="71" spans="1:18" s="89" customFormat="1" ht="24" hidden="1" customHeight="1">
      <c r="A71" s="278">
        <v>9149</v>
      </c>
      <c r="B71" s="172" t="s">
        <v>192</v>
      </c>
      <c r="C71" s="180">
        <v>0</v>
      </c>
      <c r="D71" s="180">
        <v>0</v>
      </c>
      <c r="E71" s="251"/>
      <c r="F71" s="252"/>
      <c r="G71" s="252"/>
      <c r="H71" s="232">
        <f t="shared" si="5"/>
        <v>0</v>
      </c>
      <c r="I71" s="252">
        <v>0</v>
      </c>
      <c r="J71" s="252"/>
      <c r="K71" s="252"/>
      <c r="L71" s="252"/>
      <c r="M71" s="232">
        <f t="shared" si="2"/>
        <v>0</v>
      </c>
      <c r="N71" s="252">
        <v>0</v>
      </c>
      <c r="O71" s="252"/>
      <c r="P71" s="252"/>
      <c r="Q71" s="252"/>
      <c r="R71" s="232">
        <f t="shared" si="4"/>
        <v>0</v>
      </c>
    </row>
    <row r="72" spans="1:18" s="29" customFormat="1" ht="24" hidden="1" customHeight="1">
      <c r="A72" s="126">
        <v>9500</v>
      </c>
      <c r="B72" s="172" t="s">
        <v>165</v>
      </c>
      <c r="C72" s="171">
        <v>0</v>
      </c>
      <c r="D72" s="171">
        <v>0</v>
      </c>
      <c r="E72" s="232">
        <f>SUM(E73:E75)</f>
        <v>0</v>
      </c>
      <c r="F72" s="233">
        <f t="shared" ref="F72:G72" si="73">SUM(F73:F75)</f>
        <v>0</v>
      </c>
      <c r="G72" s="233">
        <f t="shared" si="73"/>
        <v>0</v>
      </c>
      <c r="H72" s="232">
        <f t="shared" si="5"/>
        <v>0</v>
      </c>
      <c r="I72" s="233">
        <v>0</v>
      </c>
      <c r="J72" s="233">
        <f>SUM(J73:J75)</f>
        <v>0</v>
      </c>
      <c r="K72" s="233">
        <f t="shared" ref="K72:L72" si="74">SUM(K73:K75)</f>
        <v>0</v>
      </c>
      <c r="L72" s="233">
        <f t="shared" si="74"/>
        <v>0</v>
      </c>
      <c r="M72" s="232">
        <f t="shared" si="2"/>
        <v>0</v>
      </c>
      <c r="N72" s="233">
        <v>0</v>
      </c>
      <c r="O72" s="233">
        <f>SUM(O73:O75)</f>
        <v>0</v>
      </c>
      <c r="P72" s="233">
        <f t="shared" ref="P72:Q72" si="75">SUM(P73:P75)</f>
        <v>0</v>
      </c>
      <c r="Q72" s="233">
        <f t="shared" si="75"/>
        <v>0</v>
      </c>
      <c r="R72" s="232">
        <f t="shared" si="4"/>
        <v>0</v>
      </c>
    </row>
    <row r="73" spans="1:18" s="29" customFormat="1" ht="24" hidden="1" customHeight="1">
      <c r="A73" s="277" t="s">
        <v>193</v>
      </c>
      <c r="B73" s="172" t="s">
        <v>171</v>
      </c>
      <c r="C73" s="171">
        <v>0</v>
      </c>
      <c r="D73" s="171">
        <v>0</v>
      </c>
      <c r="E73" s="232"/>
      <c r="F73" s="233"/>
      <c r="G73" s="233"/>
      <c r="H73" s="232">
        <f t="shared" si="5"/>
        <v>0</v>
      </c>
      <c r="I73" s="233">
        <v>0</v>
      </c>
      <c r="J73" s="233"/>
      <c r="K73" s="233"/>
      <c r="L73" s="233"/>
      <c r="M73" s="232">
        <f t="shared" si="2"/>
        <v>0</v>
      </c>
      <c r="N73" s="233">
        <v>0</v>
      </c>
      <c r="O73" s="233"/>
      <c r="P73" s="233"/>
      <c r="Q73" s="233"/>
      <c r="R73" s="232">
        <f t="shared" si="4"/>
        <v>0</v>
      </c>
    </row>
    <row r="74" spans="1:18" s="28" customFormat="1" ht="48" hidden="1" customHeight="1">
      <c r="A74" s="277">
        <v>9580</v>
      </c>
      <c r="B74" s="172" t="s">
        <v>166</v>
      </c>
      <c r="C74" s="180">
        <v>0</v>
      </c>
      <c r="D74" s="180">
        <v>0</v>
      </c>
      <c r="E74" s="251"/>
      <c r="F74" s="252"/>
      <c r="G74" s="252"/>
      <c r="H74" s="232">
        <f t="shared" si="5"/>
        <v>0</v>
      </c>
      <c r="I74" s="252">
        <v>0</v>
      </c>
      <c r="J74" s="252"/>
      <c r="K74" s="252"/>
      <c r="L74" s="252"/>
      <c r="M74" s="232">
        <f t="shared" ref="M74:M137" si="76">SUM(I74:L74)</f>
        <v>0</v>
      </c>
      <c r="N74" s="252">
        <v>0</v>
      </c>
      <c r="O74" s="252"/>
      <c r="P74" s="252"/>
      <c r="Q74" s="252"/>
      <c r="R74" s="232">
        <f t="shared" ref="R74:R137" si="77">SUM(N74:Q74)</f>
        <v>0</v>
      </c>
    </row>
    <row r="75" spans="1:18" s="4" customFormat="1" ht="48" hidden="1" customHeight="1">
      <c r="A75" s="277">
        <v>9590</v>
      </c>
      <c r="B75" s="179" t="s">
        <v>172</v>
      </c>
      <c r="C75" s="180">
        <v>0</v>
      </c>
      <c r="D75" s="180">
        <v>0</v>
      </c>
      <c r="E75" s="251"/>
      <c r="F75" s="252"/>
      <c r="G75" s="252"/>
      <c r="H75" s="232">
        <f t="shared" ref="H75:H138" si="78">SUM(D75:G75)</f>
        <v>0</v>
      </c>
      <c r="I75" s="252">
        <v>0</v>
      </c>
      <c r="J75" s="252"/>
      <c r="K75" s="252"/>
      <c r="L75" s="252"/>
      <c r="M75" s="232">
        <f t="shared" si="76"/>
        <v>0</v>
      </c>
      <c r="N75" s="252">
        <v>0</v>
      </c>
      <c r="O75" s="252"/>
      <c r="P75" s="252"/>
      <c r="Q75" s="252"/>
      <c r="R75" s="232">
        <f t="shared" si="77"/>
        <v>0</v>
      </c>
    </row>
    <row r="76" spans="1:18" s="3" customFormat="1" ht="24" hidden="1" customHeight="1">
      <c r="A76" s="126">
        <v>9700</v>
      </c>
      <c r="B76" s="183" t="s">
        <v>194</v>
      </c>
      <c r="C76" s="171">
        <v>0</v>
      </c>
      <c r="D76" s="171">
        <v>0</v>
      </c>
      <c r="E76" s="232">
        <f>SUM(E77:E78)</f>
        <v>0</v>
      </c>
      <c r="F76" s="233">
        <f t="shared" ref="F76:G76" si="79">SUM(F77:F78)</f>
        <v>0</v>
      </c>
      <c r="G76" s="233">
        <f t="shared" si="79"/>
        <v>0</v>
      </c>
      <c r="H76" s="232">
        <f t="shared" si="78"/>
        <v>0</v>
      </c>
      <c r="I76" s="233">
        <v>0</v>
      </c>
      <c r="J76" s="233">
        <f>SUM(J77:J78)</f>
        <v>0</v>
      </c>
      <c r="K76" s="233">
        <f t="shared" ref="K76:L76" si="80">SUM(K77:K78)</f>
        <v>0</v>
      </c>
      <c r="L76" s="233">
        <f t="shared" si="80"/>
        <v>0</v>
      </c>
      <c r="M76" s="232">
        <f t="shared" si="76"/>
        <v>0</v>
      </c>
      <c r="N76" s="233">
        <v>0</v>
      </c>
      <c r="O76" s="233">
        <f>SUM(O77:O78)</f>
        <v>0</v>
      </c>
      <c r="P76" s="233">
        <f t="shared" ref="P76:Q76" si="81">SUM(P77:P78)</f>
        <v>0</v>
      </c>
      <c r="Q76" s="233">
        <f t="shared" si="81"/>
        <v>0</v>
      </c>
      <c r="R76" s="232">
        <f t="shared" si="77"/>
        <v>0</v>
      </c>
    </row>
    <row r="77" spans="1:18" s="3" customFormat="1" ht="24" hidden="1" customHeight="1">
      <c r="A77" s="277">
        <v>9710</v>
      </c>
      <c r="B77" s="184" t="s">
        <v>195</v>
      </c>
      <c r="C77" s="180">
        <v>0</v>
      </c>
      <c r="D77" s="180">
        <v>0</v>
      </c>
      <c r="E77" s="251"/>
      <c r="F77" s="252"/>
      <c r="G77" s="252"/>
      <c r="H77" s="232">
        <f t="shared" si="78"/>
        <v>0</v>
      </c>
      <c r="I77" s="252">
        <v>0</v>
      </c>
      <c r="J77" s="252"/>
      <c r="K77" s="252"/>
      <c r="L77" s="252"/>
      <c r="M77" s="232">
        <f t="shared" si="76"/>
        <v>0</v>
      </c>
      <c r="N77" s="252">
        <v>0</v>
      </c>
      <c r="O77" s="252"/>
      <c r="P77" s="252"/>
      <c r="Q77" s="252"/>
      <c r="R77" s="232">
        <f t="shared" si="77"/>
        <v>0</v>
      </c>
    </row>
    <row r="78" spans="1:18" s="3" customFormat="1" ht="48" hidden="1" customHeight="1">
      <c r="A78" s="288">
        <v>9720</v>
      </c>
      <c r="B78" s="183" t="s">
        <v>196</v>
      </c>
      <c r="C78" s="180">
        <v>0</v>
      </c>
      <c r="D78" s="180">
        <v>0</v>
      </c>
      <c r="E78" s="251"/>
      <c r="F78" s="252"/>
      <c r="G78" s="252"/>
      <c r="H78" s="232">
        <f t="shared" si="78"/>
        <v>0</v>
      </c>
      <c r="I78" s="252">
        <v>0</v>
      </c>
      <c r="J78" s="252"/>
      <c r="K78" s="252"/>
      <c r="L78" s="252"/>
      <c r="M78" s="232">
        <f t="shared" si="76"/>
        <v>0</v>
      </c>
      <c r="N78" s="252">
        <v>0</v>
      </c>
      <c r="O78" s="252"/>
      <c r="P78" s="252"/>
      <c r="Q78" s="252"/>
      <c r="R78" s="232">
        <f t="shared" si="77"/>
        <v>0</v>
      </c>
    </row>
    <row r="79" spans="1:18" s="3" customFormat="1" ht="24" hidden="1" customHeight="1">
      <c r="A79" s="126">
        <v>9600</v>
      </c>
      <c r="B79" s="179" t="s">
        <v>134</v>
      </c>
      <c r="C79" s="180">
        <v>0</v>
      </c>
      <c r="D79" s="180">
        <v>0</v>
      </c>
      <c r="E79" s="251"/>
      <c r="F79" s="252"/>
      <c r="G79" s="252"/>
      <c r="H79" s="232">
        <f t="shared" si="78"/>
        <v>0</v>
      </c>
      <c r="I79" s="252">
        <v>44519</v>
      </c>
      <c r="J79" s="252"/>
      <c r="K79" s="252"/>
      <c r="L79" s="252"/>
      <c r="M79" s="232">
        <f t="shared" si="76"/>
        <v>44519</v>
      </c>
      <c r="N79" s="252">
        <v>0</v>
      </c>
      <c r="O79" s="252"/>
      <c r="P79" s="252"/>
      <c r="Q79" s="252"/>
      <c r="R79" s="232">
        <f t="shared" si="77"/>
        <v>0</v>
      </c>
    </row>
    <row r="80" spans="1:18" s="3" customFormat="1" ht="57">
      <c r="A80" s="124" t="s">
        <v>197</v>
      </c>
      <c r="B80" s="185" t="s">
        <v>47</v>
      </c>
      <c r="C80" s="119">
        <v>-351580</v>
      </c>
      <c r="D80" s="119">
        <v>-558800</v>
      </c>
      <c r="E80" s="261">
        <f>E10-E35</f>
        <v>0</v>
      </c>
      <c r="F80" s="262">
        <f t="shared" ref="F80:G80" si="82">F10-F35</f>
        <v>0</v>
      </c>
      <c r="G80" s="262">
        <f t="shared" si="82"/>
        <v>0</v>
      </c>
      <c r="H80" s="232">
        <f t="shared" si="78"/>
        <v>-558800</v>
      </c>
      <c r="I80" s="262">
        <v>0</v>
      </c>
      <c r="J80" s="262">
        <f>J10-J35</f>
        <v>0</v>
      </c>
      <c r="K80" s="262">
        <f t="shared" ref="K80:L80" si="83">K10-K35</f>
        <v>0</v>
      </c>
      <c r="L80" s="262">
        <f t="shared" si="83"/>
        <v>0</v>
      </c>
      <c r="M80" s="232">
        <f t="shared" si="76"/>
        <v>0</v>
      </c>
      <c r="N80" s="262">
        <v>0</v>
      </c>
      <c r="O80" s="262">
        <f>O10-O35</f>
        <v>0</v>
      </c>
      <c r="P80" s="262">
        <f t="shared" ref="P80:Q80" si="84">P10-P35</f>
        <v>0</v>
      </c>
      <c r="Q80" s="262">
        <f t="shared" si="84"/>
        <v>0</v>
      </c>
      <c r="R80" s="232">
        <f t="shared" si="77"/>
        <v>0</v>
      </c>
    </row>
    <row r="81" spans="1:18" s="3" customFormat="1">
      <c r="A81" s="289" t="s">
        <v>48</v>
      </c>
      <c r="B81" s="185" t="s">
        <v>49</v>
      </c>
      <c r="C81" s="119">
        <v>351580</v>
      </c>
      <c r="D81" s="119">
        <v>558800</v>
      </c>
      <c r="E81" s="261">
        <f>E82+E85+E89+E88</f>
        <v>0</v>
      </c>
      <c r="F81" s="262">
        <f t="shared" ref="F81:G81" si="85">F82+F85+F89+F88</f>
        <v>0</v>
      </c>
      <c r="G81" s="262">
        <f t="shared" si="85"/>
        <v>0</v>
      </c>
      <c r="H81" s="232">
        <f t="shared" si="78"/>
        <v>558800</v>
      </c>
      <c r="I81" s="262">
        <v>0</v>
      </c>
      <c r="J81" s="262">
        <f>J82+J85+J89+J88</f>
        <v>0</v>
      </c>
      <c r="K81" s="262">
        <f t="shared" ref="K81:L81" si="86">K82+K85+K89+K88</f>
        <v>0</v>
      </c>
      <c r="L81" s="262">
        <f t="shared" si="86"/>
        <v>0</v>
      </c>
      <c r="M81" s="232">
        <f t="shared" si="76"/>
        <v>0</v>
      </c>
      <c r="N81" s="262">
        <v>0</v>
      </c>
      <c r="O81" s="262">
        <f>O82+O85+O89+O88</f>
        <v>0</v>
      </c>
      <c r="P81" s="262">
        <f t="shared" ref="P81:Q81" si="87">P82+P85+P89+P88</f>
        <v>0</v>
      </c>
      <c r="Q81" s="262">
        <f t="shared" si="87"/>
        <v>0</v>
      </c>
      <c r="R81" s="232">
        <f t="shared" si="77"/>
        <v>0</v>
      </c>
    </row>
    <row r="82" spans="1:18" s="4" customFormat="1" ht="12" hidden="1" customHeight="1">
      <c r="A82" s="126" t="s">
        <v>50</v>
      </c>
      <c r="B82" s="179" t="s">
        <v>51</v>
      </c>
      <c r="C82" s="169">
        <v>0</v>
      </c>
      <c r="D82" s="169">
        <v>0</v>
      </c>
      <c r="E82" s="230">
        <f>E83+E84</f>
        <v>0</v>
      </c>
      <c r="F82" s="231">
        <f t="shared" ref="F82:G82" si="88">F83+F84</f>
        <v>0</v>
      </c>
      <c r="G82" s="231">
        <f t="shared" si="88"/>
        <v>0</v>
      </c>
      <c r="H82" s="232">
        <f t="shared" si="78"/>
        <v>0</v>
      </c>
      <c r="I82" s="231">
        <v>0</v>
      </c>
      <c r="J82" s="231">
        <f>J83+J84</f>
        <v>0</v>
      </c>
      <c r="K82" s="231">
        <f t="shared" ref="K82:L82" si="89">K83+K84</f>
        <v>0</v>
      </c>
      <c r="L82" s="231">
        <f t="shared" si="89"/>
        <v>0</v>
      </c>
      <c r="M82" s="232">
        <f t="shared" si="76"/>
        <v>0</v>
      </c>
      <c r="N82" s="231">
        <v>0</v>
      </c>
      <c r="O82" s="231">
        <f>O83+O84</f>
        <v>0</v>
      </c>
      <c r="P82" s="231">
        <f t="shared" ref="P82:Q82" si="90">P83+P84</f>
        <v>0</v>
      </c>
      <c r="Q82" s="231">
        <f t="shared" si="90"/>
        <v>0</v>
      </c>
      <c r="R82" s="232">
        <f t="shared" si="77"/>
        <v>0</v>
      </c>
    </row>
    <row r="83" spans="1:18" s="6" customFormat="1" ht="12" hidden="1" customHeight="1">
      <c r="A83" s="126" t="s">
        <v>52</v>
      </c>
      <c r="B83" s="179" t="s">
        <v>53</v>
      </c>
      <c r="C83" s="169">
        <v>0</v>
      </c>
      <c r="D83" s="169">
        <v>0</v>
      </c>
      <c r="E83" s="230"/>
      <c r="F83" s="231"/>
      <c r="G83" s="231"/>
      <c r="H83" s="232">
        <f t="shared" si="78"/>
        <v>0</v>
      </c>
      <c r="I83" s="231">
        <v>0</v>
      </c>
      <c r="J83" s="231"/>
      <c r="K83" s="231"/>
      <c r="L83" s="231"/>
      <c r="M83" s="232">
        <f t="shared" si="76"/>
        <v>0</v>
      </c>
      <c r="N83" s="231">
        <v>0</v>
      </c>
      <c r="O83" s="231"/>
      <c r="P83" s="231"/>
      <c r="Q83" s="231"/>
      <c r="R83" s="232">
        <f t="shared" si="77"/>
        <v>0</v>
      </c>
    </row>
    <row r="84" spans="1:18" s="6" customFormat="1" ht="12" hidden="1" customHeight="1">
      <c r="A84" s="126" t="s">
        <v>54</v>
      </c>
      <c r="B84" s="179" t="s">
        <v>55</v>
      </c>
      <c r="C84" s="169">
        <v>0</v>
      </c>
      <c r="D84" s="169">
        <v>0</v>
      </c>
      <c r="E84" s="230"/>
      <c r="F84" s="231"/>
      <c r="G84" s="231"/>
      <c r="H84" s="232">
        <f t="shared" si="78"/>
        <v>0</v>
      </c>
      <c r="I84" s="231">
        <v>0</v>
      </c>
      <c r="J84" s="231"/>
      <c r="K84" s="231"/>
      <c r="L84" s="231"/>
      <c r="M84" s="232">
        <f t="shared" si="76"/>
        <v>0</v>
      </c>
      <c r="N84" s="231">
        <v>0</v>
      </c>
      <c r="O84" s="231"/>
      <c r="P84" s="231"/>
      <c r="Q84" s="231"/>
      <c r="R84" s="232">
        <f t="shared" si="77"/>
        <v>0</v>
      </c>
    </row>
    <row r="85" spans="1:18" s="6" customFormat="1" ht="12" hidden="1" customHeight="1">
      <c r="A85" s="126" t="s">
        <v>56</v>
      </c>
      <c r="B85" s="179" t="s">
        <v>57</v>
      </c>
      <c r="C85" s="169">
        <v>0</v>
      </c>
      <c r="D85" s="169">
        <v>0</v>
      </c>
      <c r="E85" s="230">
        <f>E86+E87</f>
        <v>0</v>
      </c>
      <c r="F85" s="231">
        <f t="shared" ref="F85:G85" si="91">F86+F87</f>
        <v>0</v>
      </c>
      <c r="G85" s="231">
        <f t="shared" si="91"/>
        <v>0</v>
      </c>
      <c r="H85" s="232">
        <f t="shared" si="78"/>
        <v>0</v>
      </c>
      <c r="I85" s="231">
        <v>0</v>
      </c>
      <c r="J85" s="231">
        <f>J86+J87</f>
        <v>0</v>
      </c>
      <c r="K85" s="231">
        <f t="shared" ref="K85:L85" si="92">K86+K87</f>
        <v>0</v>
      </c>
      <c r="L85" s="231">
        <f t="shared" si="92"/>
        <v>0</v>
      </c>
      <c r="M85" s="232">
        <f t="shared" si="76"/>
        <v>0</v>
      </c>
      <c r="N85" s="231">
        <v>0</v>
      </c>
      <c r="O85" s="231">
        <f>O86+O87</f>
        <v>0</v>
      </c>
      <c r="P85" s="231">
        <f t="shared" ref="P85:Q85" si="93">P86+P87</f>
        <v>0</v>
      </c>
      <c r="Q85" s="231">
        <f t="shared" si="93"/>
        <v>0</v>
      </c>
      <c r="R85" s="232">
        <f t="shared" si="77"/>
        <v>0</v>
      </c>
    </row>
    <row r="86" spans="1:18" s="6" customFormat="1" ht="12" hidden="1" customHeight="1">
      <c r="A86" s="126" t="s">
        <v>58</v>
      </c>
      <c r="B86" s="179" t="s">
        <v>59</v>
      </c>
      <c r="C86" s="169">
        <v>0</v>
      </c>
      <c r="D86" s="169">
        <v>0</v>
      </c>
      <c r="E86" s="230"/>
      <c r="F86" s="231"/>
      <c r="G86" s="231"/>
      <c r="H86" s="232">
        <f t="shared" si="78"/>
        <v>0</v>
      </c>
      <c r="I86" s="231">
        <v>0</v>
      </c>
      <c r="J86" s="231"/>
      <c r="K86" s="231"/>
      <c r="L86" s="231"/>
      <c r="M86" s="232">
        <f t="shared" si="76"/>
        <v>0</v>
      </c>
      <c r="N86" s="231">
        <v>0</v>
      </c>
      <c r="O86" s="231"/>
      <c r="P86" s="231"/>
      <c r="Q86" s="231"/>
      <c r="R86" s="232">
        <f t="shared" si="77"/>
        <v>0</v>
      </c>
    </row>
    <row r="87" spans="1:18" s="6" customFormat="1" ht="12" hidden="1" customHeight="1">
      <c r="A87" s="126" t="s">
        <v>60</v>
      </c>
      <c r="B87" s="179" t="s">
        <v>61</v>
      </c>
      <c r="C87" s="169">
        <v>0</v>
      </c>
      <c r="D87" s="169">
        <v>0</v>
      </c>
      <c r="E87" s="230"/>
      <c r="F87" s="231"/>
      <c r="G87" s="231"/>
      <c r="H87" s="232">
        <f t="shared" si="78"/>
        <v>0</v>
      </c>
      <c r="I87" s="231">
        <v>0</v>
      </c>
      <c r="J87" s="231"/>
      <c r="K87" s="231"/>
      <c r="L87" s="231"/>
      <c r="M87" s="232">
        <f t="shared" si="76"/>
        <v>0</v>
      </c>
      <c r="N87" s="231">
        <v>0</v>
      </c>
      <c r="O87" s="231"/>
      <c r="P87" s="231"/>
      <c r="Q87" s="231"/>
      <c r="R87" s="232">
        <f t="shared" si="77"/>
        <v>0</v>
      </c>
    </row>
    <row r="88" spans="1:18" s="6" customFormat="1" ht="12" hidden="1" customHeight="1">
      <c r="A88" s="126" t="s">
        <v>198</v>
      </c>
      <c r="B88" s="187" t="s">
        <v>168</v>
      </c>
      <c r="C88" s="169">
        <v>0</v>
      </c>
      <c r="D88" s="169">
        <v>0</v>
      </c>
      <c r="E88" s="230"/>
      <c r="F88" s="231"/>
      <c r="G88" s="231"/>
      <c r="H88" s="232">
        <f t="shared" si="78"/>
        <v>0</v>
      </c>
      <c r="I88" s="231">
        <v>0</v>
      </c>
      <c r="J88" s="231"/>
      <c r="K88" s="231"/>
      <c r="L88" s="231"/>
      <c r="M88" s="232">
        <f t="shared" si="76"/>
        <v>0</v>
      </c>
      <c r="N88" s="231">
        <v>0</v>
      </c>
      <c r="O88" s="231"/>
      <c r="P88" s="231"/>
      <c r="Q88" s="231"/>
      <c r="R88" s="232">
        <f t="shared" si="77"/>
        <v>0</v>
      </c>
    </row>
    <row r="89" spans="1:18" s="6" customFormat="1">
      <c r="A89" s="290" t="s">
        <v>62</v>
      </c>
      <c r="B89" s="125" t="s">
        <v>63</v>
      </c>
      <c r="C89" s="171">
        <v>351580</v>
      </c>
      <c r="D89" s="171">
        <v>558800</v>
      </c>
      <c r="E89" s="232">
        <f t="shared" ref="E89:G89" si="94">E90+E91+E92</f>
        <v>0</v>
      </c>
      <c r="F89" s="233">
        <f t="shared" si="94"/>
        <v>0</v>
      </c>
      <c r="G89" s="233">
        <f t="shared" si="94"/>
        <v>0</v>
      </c>
      <c r="H89" s="232">
        <f t="shared" si="78"/>
        <v>558800</v>
      </c>
      <c r="I89" s="233">
        <v>0</v>
      </c>
      <c r="J89" s="233">
        <f t="shared" ref="J89:L89" si="95">J90+J91+J92</f>
        <v>0</v>
      </c>
      <c r="K89" s="233">
        <f t="shared" si="95"/>
        <v>0</v>
      </c>
      <c r="L89" s="233">
        <f t="shared" si="95"/>
        <v>0</v>
      </c>
      <c r="M89" s="232">
        <f t="shared" si="76"/>
        <v>0</v>
      </c>
      <c r="N89" s="233">
        <v>0</v>
      </c>
      <c r="O89" s="233">
        <f t="shared" ref="O89:Q89" si="96">O90+O91+O92</f>
        <v>0</v>
      </c>
      <c r="P89" s="233">
        <f t="shared" si="96"/>
        <v>0</v>
      </c>
      <c r="Q89" s="233">
        <f t="shared" si="96"/>
        <v>0</v>
      </c>
      <c r="R89" s="232">
        <f t="shared" si="77"/>
        <v>0</v>
      </c>
    </row>
    <row r="90" spans="1:18" s="6" customFormat="1" ht="36">
      <c r="A90" s="290" t="s">
        <v>64</v>
      </c>
      <c r="B90" s="179" t="s">
        <v>65</v>
      </c>
      <c r="C90" s="169">
        <v>351580</v>
      </c>
      <c r="D90" s="169">
        <v>558800</v>
      </c>
      <c r="E90" s="230"/>
      <c r="F90" s="231"/>
      <c r="G90" s="231"/>
      <c r="H90" s="232">
        <f t="shared" si="78"/>
        <v>558800</v>
      </c>
      <c r="I90" s="231">
        <v>0</v>
      </c>
      <c r="J90" s="231"/>
      <c r="K90" s="231"/>
      <c r="L90" s="231"/>
      <c r="M90" s="232">
        <f t="shared" si="76"/>
        <v>0</v>
      </c>
      <c r="N90" s="231">
        <v>0</v>
      </c>
      <c r="O90" s="231"/>
      <c r="P90" s="231"/>
      <c r="Q90" s="231"/>
      <c r="R90" s="232">
        <f t="shared" si="77"/>
        <v>0</v>
      </c>
    </row>
    <row r="91" spans="1:18" s="6" customFormat="1" ht="36" hidden="1" customHeight="1">
      <c r="A91" s="290" t="s">
        <v>66</v>
      </c>
      <c r="B91" s="179" t="s">
        <v>67</v>
      </c>
      <c r="C91" s="169">
        <v>0</v>
      </c>
      <c r="D91" s="169">
        <v>0</v>
      </c>
      <c r="E91" s="230"/>
      <c r="F91" s="231"/>
      <c r="G91" s="231"/>
      <c r="H91" s="232">
        <f t="shared" si="78"/>
        <v>0</v>
      </c>
      <c r="I91" s="231">
        <v>0</v>
      </c>
      <c r="J91" s="231"/>
      <c r="K91" s="231"/>
      <c r="L91" s="231"/>
      <c r="M91" s="232">
        <f t="shared" si="76"/>
        <v>0</v>
      </c>
      <c r="N91" s="231">
        <v>0</v>
      </c>
      <c r="O91" s="231"/>
      <c r="P91" s="231"/>
      <c r="Q91" s="231"/>
      <c r="R91" s="232">
        <f t="shared" si="77"/>
        <v>0</v>
      </c>
    </row>
    <row r="92" spans="1:18" s="6" customFormat="1" ht="24" hidden="1" customHeight="1">
      <c r="A92" s="290" t="s">
        <v>68</v>
      </c>
      <c r="B92" s="125" t="s">
        <v>69</v>
      </c>
      <c r="C92" s="169">
        <v>0</v>
      </c>
      <c r="D92" s="169">
        <v>0</v>
      </c>
      <c r="E92" s="230"/>
      <c r="F92" s="231"/>
      <c r="G92" s="231"/>
      <c r="H92" s="232">
        <f t="shared" si="78"/>
        <v>0</v>
      </c>
      <c r="I92" s="231">
        <v>0</v>
      </c>
      <c r="J92" s="231"/>
      <c r="K92" s="231"/>
      <c r="L92" s="231"/>
      <c r="M92" s="232">
        <f t="shared" si="76"/>
        <v>0</v>
      </c>
      <c r="N92" s="231">
        <v>0</v>
      </c>
      <c r="O92" s="231"/>
      <c r="P92" s="231"/>
      <c r="Q92" s="231"/>
      <c r="R92" s="232">
        <f t="shared" si="77"/>
        <v>0</v>
      </c>
    </row>
    <row r="93" spans="1:18" s="6" customFormat="1">
      <c r="A93" s="291"/>
      <c r="B93" s="188" t="s">
        <v>199</v>
      </c>
      <c r="C93" s="293"/>
      <c r="D93" s="294"/>
      <c r="E93" s="269"/>
      <c r="F93" s="268"/>
      <c r="G93" s="268"/>
      <c r="H93" s="269">
        <f t="shared" si="78"/>
        <v>0</v>
      </c>
      <c r="I93" s="347"/>
      <c r="J93" s="268"/>
      <c r="K93" s="268"/>
      <c r="L93" s="268"/>
      <c r="M93" s="269">
        <f t="shared" si="76"/>
        <v>0</v>
      </c>
      <c r="N93" s="347"/>
      <c r="O93" s="268"/>
      <c r="P93" s="268"/>
      <c r="Q93" s="268"/>
      <c r="R93" s="269">
        <f t="shared" si="77"/>
        <v>0</v>
      </c>
    </row>
    <row r="94" spans="1:18" s="6" customFormat="1" ht="22.8">
      <c r="A94" s="123" t="s">
        <v>201</v>
      </c>
      <c r="B94" s="123" t="s">
        <v>88</v>
      </c>
      <c r="C94" s="167">
        <v>90820474</v>
      </c>
      <c r="D94" s="167">
        <v>92217070</v>
      </c>
      <c r="E94" s="227">
        <f t="shared" ref="E94:G94" si="97">E95+E96+E98+E116</f>
        <v>-117</v>
      </c>
      <c r="F94" s="228">
        <f t="shared" si="97"/>
        <v>4934740</v>
      </c>
      <c r="G94" s="228">
        <f t="shared" si="97"/>
        <v>2699728</v>
      </c>
      <c r="H94" s="229">
        <f t="shared" si="78"/>
        <v>99851421</v>
      </c>
      <c r="I94" s="228">
        <v>90505643</v>
      </c>
      <c r="J94" s="228">
        <f t="shared" ref="J94:L94" si="98">J95+J96+J98+J116</f>
        <v>0</v>
      </c>
      <c r="K94" s="228">
        <f t="shared" si="98"/>
        <v>4834388</v>
      </c>
      <c r="L94" s="228">
        <f t="shared" si="98"/>
        <v>8535952</v>
      </c>
      <c r="M94" s="229">
        <f t="shared" si="76"/>
        <v>103875983</v>
      </c>
      <c r="N94" s="228">
        <v>90524526</v>
      </c>
      <c r="O94" s="228">
        <f t="shared" ref="O94:Q94" si="99">O95+O96+O98+O116</f>
        <v>0</v>
      </c>
      <c r="P94" s="228">
        <f t="shared" si="99"/>
        <v>4811823</v>
      </c>
      <c r="Q94" s="228">
        <f t="shared" si="99"/>
        <v>8321677</v>
      </c>
      <c r="R94" s="229">
        <f t="shared" si="77"/>
        <v>103658026</v>
      </c>
    </row>
    <row r="95" spans="1:18" s="6" customFormat="1" ht="22.8">
      <c r="A95" s="124" t="s">
        <v>177</v>
      </c>
      <c r="B95" s="124" t="s">
        <v>90</v>
      </c>
      <c r="C95" s="169">
        <v>11546977</v>
      </c>
      <c r="D95" s="169">
        <v>11546977</v>
      </c>
      <c r="E95" s="230"/>
      <c r="F95" s="231"/>
      <c r="G95" s="231"/>
      <c r="H95" s="232">
        <f t="shared" si="78"/>
        <v>11546977</v>
      </c>
      <c r="I95" s="231">
        <v>11366981</v>
      </c>
      <c r="J95" s="231"/>
      <c r="K95" s="231"/>
      <c r="L95" s="231"/>
      <c r="M95" s="232">
        <f t="shared" si="76"/>
        <v>11366981</v>
      </c>
      <c r="N95" s="231">
        <v>11366981</v>
      </c>
      <c r="O95" s="231"/>
      <c r="P95" s="231"/>
      <c r="Q95" s="231"/>
      <c r="R95" s="232">
        <f t="shared" si="77"/>
        <v>11366981</v>
      </c>
    </row>
    <row r="96" spans="1:18" s="6" customFormat="1" ht="24" hidden="1" customHeight="1">
      <c r="A96" s="124" t="s">
        <v>91</v>
      </c>
      <c r="B96" s="124" t="s">
        <v>92</v>
      </c>
      <c r="C96" s="169"/>
      <c r="D96" s="169">
        <v>0</v>
      </c>
      <c r="E96" s="230"/>
      <c r="F96" s="231"/>
      <c r="G96" s="231"/>
      <c r="H96" s="232">
        <f t="shared" si="78"/>
        <v>0</v>
      </c>
      <c r="I96" s="231">
        <v>0</v>
      </c>
      <c r="J96" s="231"/>
      <c r="K96" s="231"/>
      <c r="L96" s="231"/>
      <c r="M96" s="232">
        <f t="shared" si="76"/>
        <v>0</v>
      </c>
      <c r="N96" s="231">
        <v>0</v>
      </c>
      <c r="O96" s="231"/>
      <c r="P96" s="231"/>
      <c r="Q96" s="231"/>
      <c r="R96" s="232">
        <f t="shared" si="77"/>
        <v>0</v>
      </c>
    </row>
    <row r="97" spans="1:18" s="6" customFormat="1" ht="24" hidden="1" customHeight="1">
      <c r="A97" s="125">
        <v>21210</v>
      </c>
      <c r="B97" s="125" t="s">
        <v>93</v>
      </c>
      <c r="C97" s="169"/>
      <c r="D97" s="169">
        <v>0</v>
      </c>
      <c r="E97" s="230"/>
      <c r="F97" s="231"/>
      <c r="G97" s="231"/>
      <c r="H97" s="232">
        <f t="shared" si="78"/>
        <v>0</v>
      </c>
      <c r="I97" s="231">
        <v>0</v>
      </c>
      <c r="J97" s="231"/>
      <c r="K97" s="231"/>
      <c r="L97" s="231"/>
      <c r="M97" s="232">
        <f t="shared" si="76"/>
        <v>0</v>
      </c>
      <c r="N97" s="231">
        <v>0</v>
      </c>
      <c r="O97" s="231"/>
      <c r="P97" s="231"/>
      <c r="Q97" s="231"/>
      <c r="R97" s="232">
        <f t="shared" si="77"/>
        <v>0</v>
      </c>
    </row>
    <row r="98" spans="1:18" s="6" customFormat="1" ht="22.8">
      <c r="A98" s="124" t="s">
        <v>178</v>
      </c>
      <c r="B98" s="124" t="s">
        <v>94</v>
      </c>
      <c r="C98" s="171">
        <v>188178</v>
      </c>
      <c r="D98" s="171">
        <v>0</v>
      </c>
      <c r="E98" s="232">
        <f t="shared" ref="E98:G98" si="100">E99+E105</f>
        <v>0</v>
      </c>
      <c r="F98" s="233">
        <f t="shared" si="100"/>
        <v>0</v>
      </c>
      <c r="G98" s="233">
        <f t="shared" si="100"/>
        <v>0</v>
      </c>
      <c r="H98" s="232">
        <f t="shared" si="78"/>
        <v>0</v>
      </c>
      <c r="I98" s="233">
        <v>0</v>
      </c>
      <c r="J98" s="233">
        <f t="shared" ref="J98:L98" si="101">J99+J105</f>
        <v>0</v>
      </c>
      <c r="K98" s="233">
        <f t="shared" si="101"/>
        <v>0</v>
      </c>
      <c r="L98" s="233">
        <f t="shared" si="101"/>
        <v>0</v>
      </c>
      <c r="M98" s="232">
        <f t="shared" si="76"/>
        <v>0</v>
      </c>
      <c r="N98" s="233">
        <v>0</v>
      </c>
      <c r="O98" s="233">
        <f t="shared" ref="O98:Q98" si="102">O99+O105</f>
        <v>0</v>
      </c>
      <c r="P98" s="233">
        <f t="shared" si="102"/>
        <v>0</v>
      </c>
      <c r="Q98" s="233">
        <f t="shared" si="102"/>
        <v>0</v>
      </c>
      <c r="R98" s="232">
        <f t="shared" si="77"/>
        <v>0</v>
      </c>
    </row>
    <row r="99" spans="1:18" s="6" customFormat="1">
      <c r="A99" s="276">
        <v>18000</v>
      </c>
      <c r="B99" s="125" t="s">
        <v>95</v>
      </c>
      <c r="C99" s="171">
        <v>188178</v>
      </c>
      <c r="D99" s="171">
        <v>0</v>
      </c>
      <c r="E99" s="232">
        <f t="shared" ref="E99:L100" si="103">E100</f>
        <v>0</v>
      </c>
      <c r="F99" s="233">
        <f t="shared" si="103"/>
        <v>0</v>
      </c>
      <c r="G99" s="233">
        <f t="shared" si="103"/>
        <v>0</v>
      </c>
      <c r="H99" s="232">
        <f t="shared" si="78"/>
        <v>0</v>
      </c>
      <c r="I99" s="233">
        <v>0</v>
      </c>
      <c r="J99" s="233">
        <f t="shared" si="103"/>
        <v>0</v>
      </c>
      <c r="K99" s="233">
        <f t="shared" si="103"/>
        <v>0</v>
      </c>
      <c r="L99" s="233">
        <f t="shared" si="103"/>
        <v>0</v>
      </c>
      <c r="M99" s="232">
        <f t="shared" si="76"/>
        <v>0</v>
      </c>
      <c r="N99" s="233">
        <v>0</v>
      </c>
      <c r="O99" s="233">
        <f t="shared" ref="O99:Q100" si="104">O100</f>
        <v>0</v>
      </c>
      <c r="P99" s="233">
        <f t="shared" si="104"/>
        <v>0</v>
      </c>
      <c r="Q99" s="233">
        <f t="shared" si="104"/>
        <v>0</v>
      </c>
      <c r="R99" s="232">
        <f t="shared" si="77"/>
        <v>0</v>
      </c>
    </row>
    <row r="100" spans="1:18" s="6" customFormat="1">
      <c r="A100" s="276">
        <v>18100</v>
      </c>
      <c r="B100" s="125" t="s">
        <v>96</v>
      </c>
      <c r="C100" s="171">
        <v>188178</v>
      </c>
      <c r="D100" s="171">
        <v>0</v>
      </c>
      <c r="E100" s="232">
        <f t="shared" si="103"/>
        <v>0</v>
      </c>
      <c r="F100" s="233">
        <f t="shared" si="103"/>
        <v>0</v>
      </c>
      <c r="G100" s="233">
        <f t="shared" si="103"/>
        <v>0</v>
      </c>
      <c r="H100" s="232">
        <f t="shared" si="78"/>
        <v>0</v>
      </c>
      <c r="I100" s="233">
        <v>0</v>
      </c>
      <c r="J100" s="233">
        <f t="shared" si="103"/>
        <v>0</v>
      </c>
      <c r="K100" s="233">
        <f t="shared" si="103"/>
        <v>0</v>
      </c>
      <c r="L100" s="233">
        <f t="shared" si="103"/>
        <v>0</v>
      </c>
      <c r="M100" s="232">
        <f t="shared" si="76"/>
        <v>0</v>
      </c>
      <c r="N100" s="233">
        <v>0</v>
      </c>
      <c r="O100" s="233">
        <f t="shared" si="104"/>
        <v>0</v>
      </c>
      <c r="P100" s="233">
        <f t="shared" si="104"/>
        <v>0</v>
      </c>
      <c r="Q100" s="233">
        <f t="shared" si="104"/>
        <v>0</v>
      </c>
      <c r="R100" s="232">
        <f t="shared" si="77"/>
        <v>0</v>
      </c>
    </row>
    <row r="101" spans="1:18" s="6" customFormat="1" ht="24">
      <c r="A101" s="277">
        <v>18130</v>
      </c>
      <c r="B101" s="172" t="s">
        <v>159</v>
      </c>
      <c r="C101" s="171">
        <v>188178</v>
      </c>
      <c r="D101" s="171">
        <v>0</v>
      </c>
      <c r="E101" s="232">
        <f t="shared" ref="E101:G101" si="105">SUM(E102:E104)</f>
        <v>0</v>
      </c>
      <c r="F101" s="233">
        <f t="shared" ref="F101" si="106">SUM(F102:F104)</f>
        <v>0</v>
      </c>
      <c r="G101" s="233">
        <f t="shared" si="105"/>
        <v>0</v>
      </c>
      <c r="H101" s="232">
        <f t="shared" si="78"/>
        <v>0</v>
      </c>
      <c r="I101" s="233">
        <v>0</v>
      </c>
      <c r="J101" s="233">
        <f t="shared" ref="J101:L101" si="107">SUM(J102:J104)</f>
        <v>0</v>
      </c>
      <c r="K101" s="233">
        <f t="shared" si="107"/>
        <v>0</v>
      </c>
      <c r="L101" s="233">
        <f t="shared" si="107"/>
        <v>0</v>
      </c>
      <c r="M101" s="232">
        <f t="shared" si="76"/>
        <v>0</v>
      </c>
      <c r="N101" s="233">
        <v>0</v>
      </c>
      <c r="O101" s="233">
        <f t="shared" ref="O101:Q101" si="108">SUM(O102:O104)</f>
        <v>0</v>
      </c>
      <c r="P101" s="233">
        <f t="shared" si="108"/>
        <v>0</v>
      </c>
      <c r="Q101" s="233">
        <f t="shared" si="108"/>
        <v>0</v>
      </c>
      <c r="R101" s="232">
        <f t="shared" si="77"/>
        <v>0</v>
      </c>
    </row>
    <row r="102" spans="1:18" s="6" customFormat="1" ht="36">
      <c r="A102" s="278">
        <v>18131</v>
      </c>
      <c r="B102" s="172" t="s">
        <v>160</v>
      </c>
      <c r="C102" s="171">
        <v>188178</v>
      </c>
      <c r="D102" s="171">
        <v>0</v>
      </c>
      <c r="E102" s="232"/>
      <c r="F102" s="233"/>
      <c r="G102" s="233"/>
      <c r="H102" s="232">
        <f t="shared" si="78"/>
        <v>0</v>
      </c>
      <c r="I102" s="233">
        <v>0</v>
      </c>
      <c r="J102" s="233"/>
      <c r="K102" s="233"/>
      <c r="L102" s="233"/>
      <c r="M102" s="232">
        <f t="shared" si="76"/>
        <v>0</v>
      </c>
      <c r="N102" s="233">
        <v>0</v>
      </c>
      <c r="O102" s="233"/>
      <c r="P102" s="233"/>
      <c r="Q102" s="233"/>
      <c r="R102" s="232">
        <f t="shared" si="77"/>
        <v>0</v>
      </c>
    </row>
    <row r="103" spans="1:18" s="6" customFormat="1" ht="24" hidden="1" customHeight="1">
      <c r="A103" s="278">
        <v>18132</v>
      </c>
      <c r="B103" s="172" t="s">
        <v>169</v>
      </c>
      <c r="C103" s="171"/>
      <c r="D103" s="171">
        <v>0</v>
      </c>
      <c r="E103" s="232"/>
      <c r="F103" s="233"/>
      <c r="G103" s="233"/>
      <c r="H103" s="232">
        <f t="shared" si="78"/>
        <v>0</v>
      </c>
      <c r="I103" s="233">
        <v>0</v>
      </c>
      <c r="J103" s="233"/>
      <c r="K103" s="233"/>
      <c r="L103" s="233"/>
      <c r="M103" s="232">
        <f t="shared" si="76"/>
        <v>0</v>
      </c>
      <c r="N103" s="233">
        <v>0</v>
      </c>
      <c r="O103" s="233"/>
      <c r="P103" s="233"/>
      <c r="Q103" s="233"/>
      <c r="R103" s="232">
        <f t="shared" si="77"/>
        <v>0</v>
      </c>
    </row>
    <row r="104" spans="1:18" s="6" customFormat="1" ht="24" hidden="1" customHeight="1">
      <c r="A104" s="278">
        <v>18139</v>
      </c>
      <c r="B104" s="172" t="s">
        <v>179</v>
      </c>
      <c r="C104" s="171"/>
      <c r="D104" s="171">
        <v>0</v>
      </c>
      <c r="E104" s="232"/>
      <c r="F104" s="233"/>
      <c r="G104" s="233"/>
      <c r="H104" s="232">
        <f t="shared" si="78"/>
        <v>0</v>
      </c>
      <c r="I104" s="233">
        <v>0</v>
      </c>
      <c r="J104" s="233"/>
      <c r="K104" s="233"/>
      <c r="L104" s="233"/>
      <c r="M104" s="232">
        <f t="shared" si="76"/>
        <v>0</v>
      </c>
      <c r="N104" s="233">
        <v>0</v>
      </c>
      <c r="O104" s="233"/>
      <c r="P104" s="233"/>
      <c r="Q104" s="233"/>
      <c r="R104" s="232">
        <f t="shared" si="77"/>
        <v>0</v>
      </c>
    </row>
    <row r="105" spans="1:18" s="6" customFormat="1" ht="12" hidden="1" customHeight="1">
      <c r="A105" s="279" t="s">
        <v>180</v>
      </c>
      <c r="B105" s="173" t="s">
        <v>173</v>
      </c>
      <c r="C105" s="174">
        <v>0</v>
      </c>
      <c r="D105" s="174">
        <v>0</v>
      </c>
      <c r="E105" s="237">
        <f t="shared" ref="E105:L105" si="109">E106</f>
        <v>0</v>
      </c>
      <c r="F105" s="238">
        <f t="shared" si="109"/>
        <v>0</v>
      </c>
      <c r="G105" s="238">
        <f t="shared" si="109"/>
        <v>0</v>
      </c>
      <c r="H105" s="232">
        <f t="shared" si="78"/>
        <v>0</v>
      </c>
      <c r="I105" s="238">
        <v>0</v>
      </c>
      <c r="J105" s="238">
        <f t="shared" si="109"/>
        <v>0</v>
      </c>
      <c r="K105" s="238">
        <f t="shared" si="109"/>
        <v>0</v>
      </c>
      <c r="L105" s="238">
        <f t="shared" si="109"/>
        <v>0</v>
      </c>
      <c r="M105" s="232">
        <f t="shared" si="76"/>
        <v>0</v>
      </c>
      <c r="N105" s="238">
        <v>0</v>
      </c>
      <c r="O105" s="238">
        <f t="shared" ref="O105:Q105" si="110">O106</f>
        <v>0</v>
      </c>
      <c r="P105" s="238">
        <f t="shared" si="110"/>
        <v>0</v>
      </c>
      <c r="Q105" s="238">
        <f t="shared" si="110"/>
        <v>0</v>
      </c>
      <c r="R105" s="232">
        <f t="shared" si="77"/>
        <v>0</v>
      </c>
    </row>
    <row r="106" spans="1:18" s="6" customFormat="1" ht="24" hidden="1" customHeight="1">
      <c r="A106" s="279">
        <v>19500</v>
      </c>
      <c r="B106" s="172" t="s">
        <v>174</v>
      </c>
      <c r="C106" s="171">
        <v>0</v>
      </c>
      <c r="D106" s="171">
        <v>0</v>
      </c>
      <c r="E106" s="232">
        <f t="shared" ref="E106:G106" si="111">SUM(E107:E109)</f>
        <v>0</v>
      </c>
      <c r="F106" s="233">
        <f t="shared" si="111"/>
        <v>0</v>
      </c>
      <c r="G106" s="233">
        <f t="shared" si="111"/>
        <v>0</v>
      </c>
      <c r="H106" s="232">
        <f t="shared" si="78"/>
        <v>0</v>
      </c>
      <c r="I106" s="233">
        <v>0</v>
      </c>
      <c r="J106" s="233">
        <f t="shared" ref="J106:L106" si="112">SUM(J107:J109)</f>
        <v>0</v>
      </c>
      <c r="K106" s="233">
        <f t="shared" si="112"/>
        <v>0</v>
      </c>
      <c r="L106" s="233">
        <f t="shared" si="112"/>
        <v>0</v>
      </c>
      <c r="M106" s="232">
        <f t="shared" si="76"/>
        <v>0</v>
      </c>
      <c r="N106" s="233">
        <v>0</v>
      </c>
      <c r="O106" s="233">
        <f t="shared" ref="O106:Q106" si="113">SUM(O107:O109)</f>
        <v>0</v>
      </c>
      <c r="P106" s="233">
        <f t="shared" si="113"/>
        <v>0</v>
      </c>
      <c r="Q106" s="233">
        <f t="shared" si="113"/>
        <v>0</v>
      </c>
      <c r="R106" s="232">
        <f t="shared" si="77"/>
        <v>0</v>
      </c>
    </row>
    <row r="107" spans="1:18" s="6" customFormat="1" ht="24" hidden="1" customHeight="1">
      <c r="A107" s="280">
        <v>19550</v>
      </c>
      <c r="B107" s="172" t="s">
        <v>175</v>
      </c>
      <c r="C107" s="171"/>
      <c r="D107" s="171">
        <v>0</v>
      </c>
      <c r="E107" s="232"/>
      <c r="F107" s="233"/>
      <c r="G107" s="233"/>
      <c r="H107" s="232">
        <f t="shared" si="78"/>
        <v>0</v>
      </c>
      <c r="I107" s="233">
        <v>0</v>
      </c>
      <c r="J107" s="233"/>
      <c r="K107" s="233"/>
      <c r="L107" s="233"/>
      <c r="M107" s="232">
        <f t="shared" si="76"/>
        <v>0</v>
      </c>
      <c r="N107" s="233">
        <v>0</v>
      </c>
      <c r="O107" s="233"/>
      <c r="P107" s="233"/>
      <c r="Q107" s="233"/>
      <c r="R107" s="232">
        <f t="shared" si="77"/>
        <v>0</v>
      </c>
    </row>
    <row r="108" spans="1:18" s="6" customFormat="1" ht="36" hidden="1" customHeight="1">
      <c r="A108" s="280">
        <v>19560</v>
      </c>
      <c r="B108" s="172" t="s">
        <v>181</v>
      </c>
      <c r="C108" s="171"/>
      <c r="D108" s="171">
        <v>0</v>
      </c>
      <c r="E108" s="232"/>
      <c r="F108" s="233"/>
      <c r="G108" s="233"/>
      <c r="H108" s="232">
        <f t="shared" si="78"/>
        <v>0</v>
      </c>
      <c r="I108" s="233">
        <v>0</v>
      </c>
      <c r="J108" s="233"/>
      <c r="K108" s="233"/>
      <c r="L108" s="233"/>
      <c r="M108" s="232">
        <f t="shared" si="76"/>
        <v>0</v>
      </c>
      <c r="N108" s="233">
        <v>0</v>
      </c>
      <c r="O108" s="233"/>
      <c r="P108" s="233"/>
      <c r="Q108" s="233"/>
      <c r="R108" s="232">
        <f t="shared" si="77"/>
        <v>0</v>
      </c>
    </row>
    <row r="109" spans="1:18" s="6" customFormat="1" ht="72" hidden="1" customHeight="1">
      <c r="A109" s="280">
        <v>19570</v>
      </c>
      <c r="B109" s="172" t="s">
        <v>182</v>
      </c>
      <c r="C109" s="171"/>
      <c r="D109" s="171">
        <v>0</v>
      </c>
      <c r="E109" s="232"/>
      <c r="F109" s="233"/>
      <c r="G109" s="233"/>
      <c r="H109" s="232">
        <f t="shared" si="78"/>
        <v>0</v>
      </c>
      <c r="I109" s="233">
        <v>0</v>
      </c>
      <c r="J109" s="233"/>
      <c r="K109" s="233"/>
      <c r="L109" s="233"/>
      <c r="M109" s="232">
        <f t="shared" si="76"/>
        <v>0</v>
      </c>
      <c r="N109" s="233">
        <v>0</v>
      </c>
      <c r="O109" s="233"/>
      <c r="P109" s="233"/>
      <c r="Q109" s="233"/>
      <c r="R109" s="232">
        <f t="shared" si="77"/>
        <v>0</v>
      </c>
    </row>
    <row r="110" spans="1:18" s="6" customFormat="1" ht="36" hidden="1" customHeight="1">
      <c r="A110" s="281" t="s">
        <v>222</v>
      </c>
      <c r="B110" s="208" t="s">
        <v>216</v>
      </c>
      <c r="C110" s="171">
        <f>C111</f>
        <v>0</v>
      </c>
      <c r="D110" s="171">
        <v>0</v>
      </c>
      <c r="E110" s="232">
        <f t="shared" ref="E110:L110" si="114">E111</f>
        <v>0</v>
      </c>
      <c r="F110" s="232">
        <f t="shared" si="114"/>
        <v>0</v>
      </c>
      <c r="G110" s="232">
        <f t="shared" si="114"/>
        <v>0</v>
      </c>
      <c r="H110" s="232">
        <f t="shared" si="78"/>
        <v>0</v>
      </c>
      <c r="I110" s="233">
        <v>0</v>
      </c>
      <c r="J110" s="232">
        <f t="shared" si="114"/>
        <v>0</v>
      </c>
      <c r="K110" s="232">
        <f t="shared" si="114"/>
        <v>0</v>
      </c>
      <c r="L110" s="232">
        <f t="shared" si="114"/>
        <v>0</v>
      </c>
      <c r="M110" s="232">
        <f t="shared" si="76"/>
        <v>0</v>
      </c>
      <c r="N110" s="233">
        <v>0</v>
      </c>
      <c r="O110" s="232">
        <f t="shared" ref="O110:Q110" si="115">O111</f>
        <v>0</v>
      </c>
      <c r="P110" s="232">
        <f t="shared" si="115"/>
        <v>0</v>
      </c>
      <c r="Q110" s="232">
        <f t="shared" si="115"/>
        <v>0</v>
      </c>
      <c r="R110" s="232">
        <f t="shared" si="77"/>
        <v>0</v>
      </c>
    </row>
    <row r="111" spans="1:18" s="6" customFormat="1" ht="36" hidden="1" customHeight="1">
      <c r="A111" s="281">
        <v>17100</v>
      </c>
      <c r="B111" s="208" t="s">
        <v>217</v>
      </c>
      <c r="C111" s="171">
        <f>SUM(C112:C115)</f>
        <v>0</v>
      </c>
      <c r="D111" s="171">
        <v>0</v>
      </c>
      <c r="E111" s="232">
        <f t="shared" ref="E111:G111" si="116">SUM(E112:E115)</f>
        <v>0</v>
      </c>
      <c r="F111" s="232">
        <f t="shared" si="116"/>
        <v>0</v>
      </c>
      <c r="G111" s="232">
        <f t="shared" si="116"/>
        <v>0</v>
      </c>
      <c r="H111" s="232">
        <f t="shared" si="78"/>
        <v>0</v>
      </c>
      <c r="I111" s="233">
        <v>0</v>
      </c>
      <c r="J111" s="232">
        <f t="shared" ref="J111:L111" si="117">SUM(J112:J115)</f>
        <v>0</v>
      </c>
      <c r="K111" s="232">
        <f t="shared" si="117"/>
        <v>0</v>
      </c>
      <c r="L111" s="232">
        <f t="shared" si="117"/>
        <v>0</v>
      </c>
      <c r="M111" s="232">
        <f t="shared" si="76"/>
        <v>0</v>
      </c>
      <c r="N111" s="233">
        <v>0</v>
      </c>
      <c r="O111" s="232">
        <f t="shared" ref="O111:Q111" si="118">SUM(O112:O115)</f>
        <v>0</v>
      </c>
      <c r="P111" s="232">
        <f t="shared" si="118"/>
        <v>0</v>
      </c>
      <c r="Q111" s="232">
        <f t="shared" si="118"/>
        <v>0</v>
      </c>
      <c r="R111" s="232">
        <f t="shared" si="77"/>
        <v>0</v>
      </c>
    </row>
    <row r="112" spans="1:18" s="6" customFormat="1" ht="60" hidden="1" customHeight="1">
      <c r="A112" s="282">
        <v>17110</v>
      </c>
      <c r="B112" s="208" t="s">
        <v>218</v>
      </c>
      <c r="C112" s="171"/>
      <c r="D112" s="171">
        <v>0</v>
      </c>
      <c r="E112" s="232"/>
      <c r="F112" s="233"/>
      <c r="G112" s="233"/>
      <c r="H112" s="232">
        <f t="shared" si="78"/>
        <v>0</v>
      </c>
      <c r="I112" s="233">
        <v>0</v>
      </c>
      <c r="J112" s="233"/>
      <c r="K112" s="233"/>
      <c r="L112" s="233"/>
      <c r="M112" s="232">
        <f t="shared" si="76"/>
        <v>0</v>
      </c>
      <c r="N112" s="233">
        <v>0</v>
      </c>
      <c r="O112" s="233"/>
      <c r="P112" s="233"/>
      <c r="Q112" s="233"/>
      <c r="R112" s="232">
        <f t="shared" si="77"/>
        <v>0</v>
      </c>
    </row>
    <row r="113" spans="1:18" s="6" customFormat="1" ht="60" hidden="1" customHeight="1">
      <c r="A113" s="282">
        <v>17120</v>
      </c>
      <c r="B113" s="208" t="s">
        <v>219</v>
      </c>
      <c r="C113" s="171"/>
      <c r="D113" s="171">
        <v>0</v>
      </c>
      <c r="E113" s="232"/>
      <c r="F113" s="233"/>
      <c r="G113" s="233"/>
      <c r="H113" s="232">
        <f t="shared" si="78"/>
        <v>0</v>
      </c>
      <c r="I113" s="233">
        <v>0</v>
      </c>
      <c r="J113" s="233"/>
      <c r="K113" s="233"/>
      <c r="L113" s="233"/>
      <c r="M113" s="232">
        <f t="shared" si="76"/>
        <v>0</v>
      </c>
      <c r="N113" s="233">
        <v>0</v>
      </c>
      <c r="O113" s="233"/>
      <c r="P113" s="233"/>
      <c r="Q113" s="233"/>
      <c r="R113" s="232">
        <f t="shared" si="77"/>
        <v>0</v>
      </c>
    </row>
    <row r="114" spans="1:18" s="6" customFormat="1" ht="108" hidden="1" customHeight="1">
      <c r="A114" s="282">
        <v>17130</v>
      </c>
      <c r="B114" s="208" t="s">
        <v>220</v>
      </c>
      <c r="C114" s="171"/>
      <c r="D114" s="171">
        <v>0</v>
      </c>
      <c r="E114" s="232"/>
      <c r="F114" s="233"/>
      <c r="G114" s="233"/>
      <c r="H114" s="232">
        <f t="shared" si="78"/>
        <v>0</v>
      </c>
      <c r="I114" s="233">
        <v>0</v>
      </c>
      <c r="J114" s="233"/>
      <c r="K114" s="233"/>
      <c r="L114" s="233"/>
      <c r="M114" s="232">
        <f t="shared" si="76"/>
        <v>0</v>
      </c>
      <c r="N114" s="233">
        <v>0</v>
      </c>
      <c r="O114" s="233"/>
      <c r="P114" s="233"/>
      <c r="Q114" s="233"/>
      <c r="R114" s="232">
        <f t="shared" si="77"/>
        <v>0</v>
      </c>
    </row>
    <row r="115" spans="1:18" s="6" customFormat="1" ht="108" hidden="1" customHeight="1">
      <c r="A115" s="282">
        <v>17140</v>
      </c>
      <c r="B115" s="208" t="s">
        <v>221</v>
      </c>
      <c r="C115" s="171"/>
      <c r="D115" s="171">
        <v>0</v>
      </c>
      <c r="E115" s="232"/>
      <c r="F115" s="233"/>
      <c r="G115" s="233"/>
      <c r="H115" s="232">
        <f t="shared" si="78"/>
        <v>0</v>
      </c>
      <c r="I115" s="233">
        <v>0</v>
      </c>
      <c r="J115" s="233"/>
      <c r="K115" s="233"/>
      <c r="L115" s="233"/>
      <c r="M115" s="232">
        <f t="shared" si="76"/>
        <v>0</v>
      </c>
      <c r="N115" s="233">
        <v>0</v>
      </c>
      <c r="O115" s="233"/>
      <c r="P115" s="233"/>
      <c r="Q115" s="233"/>
      <c r="R115" s="232">
        <f t="shared" si="77"/>
        <v>0</v>
      </c>
    </row>
    <row r="116" spans="1:18" s="6" customFormat="1">
      <c r="A116" s="283">
        <v>21700</v>
      </c>
      <c r="B116" s="124" t="s">
        <v>97</v>
      </c>
      <c r="C116" s="171">
        <v>79085319</v>
      </c>
      <c r="D116" s="171">
        <v>80670093</v>
      </c>
      <c r="E116" s="232">
        <f t="shared" ref="E116:G116" si="119">E117+E118</f>
        <v>-117</v>
      </c>
      <c r="F116" s="233">
        <f t="shared" si="119"/>
        <v>4934740</v>
      </c>
      <c r="G116" s="233">
        <f t="shared" si="119"/>
        <v>2699728</v>
      </c>
      <c r="H116" s="232">
        <f t="shared" si="78"/>
        <v>88304444</v>
      </c>
      <c r="I116" s="233">
        <v>79138662</v>
      </c>
      <c r="J116" s="233">
        <f t="shared" ref="J116:L116" si="120">J117+J118</f>
        <v>0</v>
      </c>
      <c r="K116" s="233">
        <f t="shared" si="120"/>
        <v>4834388</v>
      </c>
      <c r="L116" s="233">
        <f t="shared" si="120"/>
        <v>8535952</v>
      </c>
      <c r="M116" s="232">
        <f t="shared" si="76"/>
        <v>92509002</v>
      </c>
      <c r="N116" s="233">
        <v>79157545</v>
      </c>
      <c r="O116" s="233">
        <f t="shared" ref="O116:Q116" si="121">O117+O118</f>
        <v>0</v>
      </c>
      <c r="P116" s="233">
        <f t="shared" si="121"/>
        <v>4811823</v>
      </c>
      <c r="Q116" s="233">
        <f t="shared" si="121"/>
        <v>8321677</v>
      </c>
      <c r="R116" s="232">
        <f t="shared" si="77"/>
        <v>92291045</v>
      </c>
    </row>
    <row r="117" spans="1:18" s="6" customFormat="1" ht="24">
      <c r="A117" s="284">
        <v>21710</v>
      </c>
      <c r="B117" s="125" t="s">
        <v>98</v>
      </c>
      <c r="C117" s="171">
        <v>79085319</v>
      </c>
      <c r="D117" s="171">
        <v>80670093</v>
      </c>
      <c r="E117" s="232">
        <f>E280</f>
        <v>-117</v>
      </c>
      <c r="F117" s="233">
        <f>F290+F299+F308+F318+F328+F338+F347+F355</f>
        <v>4934740</v>
      </c>
      <c r="G117" s="233">
        <f>G365+G373+G385+G394+G404+G412+G421+G430+G438</f>
        <v>2699728</v>
      </c>
      <c r="H117" s="232">
        <f t="shared" si="78"/>
        <v>88304444</v>
      </c>
      <c r="I117" s="233">
        <v>79138662</v>
      </c>
      <c r="J117" s="233"/>
      <c r="K117" s="233">
        <f>K290+K299+K308+K318+K328+K338+K347+K355</f>
        <v>4834388</v>
      </c>
      <c r="L117" s="233">
        <f>L365+L373+L385+L394+L404+L412+L421+L430+L438</f>
        <v>8535952</v>
      </c>
      <c r="M117" s="232">
        <f t="shared" si="76"/>
        <v>92509002</v>
      </c>
      <c r="N117" s="233">
        <v>79157545</v>
      </c>
      <c r="O117" s="233"/>
      <c r="P117" s="233">
        <f>P290+P299+P308+P318+P328+P338+P347+P355</f>
        <v>4811823</v>
      </c>
      <c r="Q117" s="233">
        <f>Q365+Q373+Q385+Q394+Q404+Q412+Q421+Q430+Q438</f>
        <v>8321677</v>
      </c>
      <c r="R117" s="232">
        <f>SUM(N117:Q117)</f>
        <v>92291045</v>
      </c>
    </row>
    <row r="118" spans="1:18" s="6" customFormat="1" ht="24" hidden="1" customHeight="1">
      <c r="A118" s="284">
        <v>21720</v>
      </c>
      <c r="B118" s="125" t="s">
        <v>99</v>
      </c>
      <c r="C118" s="171"/>
      <c r="D118" s="171">
        <v>0</v>
      </c>
      <c r="E118" s="232"/>
      <c r="F118" s="233"/>
      <c r="G118" s="233"/>
      <c r="H118" s="232">
        <f t="shared" si="78"/>
        <v>0</v>
      </c>
      <c r="I118" s="233">
        <v>0</v>
      </c>
      <c r="J118" s="233"/>
      <c r="K118" s="233"/>
      <c r="L118" s="233"/>
      <c r="M118" s="232">
        <f t="shared" si="76"/>
        <v>0</v>
      </c>
      <c r="N118" s="233">
        <v>0</v>
      </c>
      <c r="O118" s="233"/>
      <c r="P118" s="233"/>
      <c r="Q118" s="233"/>
      <c r="R118" s="232">
        <f t="shared" si="77"/>
        <v>0</v>
      </c>
    </row>
    <row r="119" spans="1:18" s="6" customFormat="1" ht="11.4">
      <c r="A119" s="123" t="s">
        <v>100</v>
      </c>
      <c r="B119" s="123" t="s">
        <v>101</v>
      </c>
      <c r="C119" s="175">
        <v>91172054</v>
      </c>
      <c r="D119" s="175">
        <v>92775870</v>
      </c>
      <c r="E119" s="229">
        <f t="shared" ref="E119:G119" si="122">E120+E147</f>
        <v>-117</v>
      </c>
      <c r="F119" s="243">
        <f t="shared" si="122"/>
        <v>4934740</v>
      </c>
      <c r="G119" s="243">
        <f t="shared" si="122"/>
        <v>2699728</v>
      </c>
      <c r="H119" s="229">
        <f t="shared" si="78"/>
        <v>100410221</v>
      </c>
      <c r="I119" s="243">
        <v>90505643</v>
      </c>
      <c r="J119" s="243">
        <f t="shared" ref="J119:L119" si="123">J120+J147</f>
        <v>0</v>
      </c>
      <c r="K119" s="243">
        <f t="shared" si="123"/>
        <v>4834388</v>
      </c>
      <c r="L119" s="243">
        <f t="shared" si="123"/>
        <v>8535952</v>
      </c>
      <c r="M119" s="229">
        <f t="shared" si="76"/>
        <v>103875983</v>
      </c>
      <c r="N119" s="243">
        <v>90524526</v>
      </c>
      <c r="O119" s="243">
        <f t="shared" ref="O119:Q119" si="124">O120+O147</f>
        <v>0</v>
      </c>
      <c r="P119" s="243">
        <f t="shared" si="124"/>
        <v>4811823</v>
      </c>
      <c r="Q119" s="243">
        <f t="shared" si="124"/>
        <v>8321677</v>
      </c>
      <c r="R119" s="229">
        <f>SUM(N119:Q119)</f>
        <v>103658026</v>
      </c>
    </row>
    <row r="120" spans="1:18" s="6" customFormat="1" ht="22.8">
      <c r="A120" s="124" t="s">
        <v>102</v>
      </c>
      <c r="B120" s="124" t="s">
        <v>103</v>
      </c>
      <c r="C120" s="107">
        <v>88627040</v>
      </c>
      <c r="D120" s="107">
        <v>90270583</v>
      </c>
      <c r="E120" s="232">
        <f t="shared" ref="E120:G120" si="125">E121+E125+E126+E129+E132</f>
        <v>83</v>
      </c>
      <c r="F120" s="233">
        <f t="shared" si="125"/>
        <v>4934740</v>
      </c>
      <c r="G120" s="233">
        <f t="shared" si="125"/>
        <v>2696978</v>
      </c>
      <c r="H120" s="232">
        <f t="shared" si="78"/>
        <v>97902384</v>
      </c>
      <c r="I120" s="233">
        <v>89349060</v>
      </c>
      <c r="J120" s="233">
        <f t="shared" ref="J120:L120" si="126">J121+J125+J126+J129+J132</f>
        <v>200</v>
      </c>
      <c r="K120" s="233">
        <f t="shared" si="126"/>
        <v>4834388</v>
      </c>
      <c r="L120" s="233">
        <f t="shared" si="126"/>
        <v>8535952</v>
      </c>
      <c r="M120" s="232">
        <f t="shared" si="76"/>
        <v>102719600</v>
      </c>
      <c r="N120" s="233">
        <v>89367943</v>
      </c>
      <c r="O120" s="233">
        <f t="shared" ref="O120:Q120" si="127">O121+O125+O126+O129+O132</f>
        <v>200</v>
      </c>
      <c r="P120" s="233">
        <f t="shared" si="127"/>
        <v>4811823</v>
      </c>
      <c r="Q120" s="233">
        <f t="shared" si="127"/>
        <v>8321677</v>
      </c>
      <c r="R120" s="232">
        <f t="shared" si="77"/>
        <v>102501643</v>
      </c>
    </row>
    <row r="121" spans="1:18" s="6" customFormat="1">
      <c r="A121" s="124" t="s">
        <v>104</v>
      </c>
      <c r="B121" s="124" t="s">
        <v>105</v>
      </c>
      <c r="C121" s="107">
        <v>76963539</v>
      </c>
      <c r="D121" s="107">
        <v>78604281</v>
      </c>
      <c r="E121" s="232">
        <f t="shared" ref="E121" si="128">E122+E124</f>
        <v>83</v>
      </c>
      <c r="F121" s="233">
        <f>F122+F124</f>
        <v>4931340</v>
      </c>
      <c r="G121" s="233">
        <f>G122+G124</f>
        <v>1580523</v>
      </c>
      <c r="H121" s="232">
        <f t="shared" si="78"/>
        <v>85116227</v>
      </c>
      <c r="I121" s="233">
        <v>77682758</v>
      </c>
      <c r="J121" s="233">
        <f t="shared" ref="J121" si="129">J122+J124</f>
        <v>200</v>
      </c>
      <c r="K121" s="233">
        <f>K122+K124</f>
        <v>4830988</v>
      </c>
      <c r="L121" s="233">
        <f>L122+L124</f>
        <v>4013481</v>
      </c>
      <c r="M121" s="232">
        <f t="shared" si="76"/>
        <v>86527427</v>
      </c>
      <c r="N121" s="233">
        <v>77701641</v>
      </c>
      <c r="O121" s="233">
        <f t="shared" ref="O121" si="130">O122+O124</f>
        <v>200</v>
      </c>
      <c r="P121" s="233">
        <f>P122+P124</f>
        <v>4808423</v>
      </c>
      <c r="Q121" s="233">
        <f>Q122+Q124</f>
        <v>1454087</v>
      </c>
      <c r="R121" s="232">
        <f t="shared" si="77"/>
        <v>83964351</v>
      </c>
    </row>
    <row r="122" spans="1:18" s="29" customFormat="1">
      <c r="A122" s="276">
        <v>1000</v>
      </c>
      <c r="B122" s="125" t="s">
        <v>106</v>
      </c>
      <c r="C122" s="107">
        <v>51821237</v>
      </c>
      <c r="D122" s="107">
        <v>51881790</v>
      </c>
      <c r="E122" s="232"/>
      <c r="F122" s="233">
        <f>F294+F303+F312+F322+F332+F342</f>
        <v>4753343</v>
      </c>
      <c r="G122" s="233">
        <f>G377+G389+G398+G408+G442</f>
        <v>410086</v>
      </c>
      <c r="H122" s="232">
        <f t="shared" si="78"/>
        <v>57045219</v>
      </c>
      <c r="I122" s="233">
        <v>51381270</v>
      </c>
      <c r="J122" s="244"/>
      <c r="K122" s="233">
        <f>K294+K303+K312+K322+K332+K342</f>
        <v>4780548</v>
      </c>
      <c r="L122" s="233">
        <f>L377+L389+L398+L408+L442</f>
        <v>402440</v>
      </c>
      <c r="M122" s="232">
        <f t="shared" si="76"/>
        <v>56564258</v>
      </c>
      <c r="N122" s="233">
        <v>51381270</v>
      </c>
      <c r="O122" s="244"/>
      <c r="P122" s="233">
        <f>P294+P303+P312+P322+P332+P342</f>
        <v>4763527</v>
      </c>
      <c r="Q122" s="233">
        <f>Q377+Q389+Q398+Q408+Q442</f>
        <v>402440</v>
      </c>
      <c r="R122" s="232">
        <f t="shared" si="77"/>
        <v>56547237</v>
      </c>
    </row>
    <row r="123" spans="1:18" s="89" customFormat="1">
      <c r="A123" s="285">
        <v>1100</v>
      </c>
      <c r="B123" s="125" t="s">
        <v>107</v>
      </c>
      <c r="C123" s="107">
        <v>40106053</v>
      </c>
      <c r="D123" s="107">
        <v>39957880</v>
      </c>
      <c r="E123" s="232"/>
      <c r="F123" s="233">
        <f>F295+F304+F313+F323+F333+F343</f>
        <v>3616477</v>
      </c>
      <c r="G123" s="233">
        <f>G378+G390+G399+G443</f>
        <v>286635</v>
      </c>
      <c r="H123" s="232">
        <f t="shared" si="78"/>
        <v>43860992</v>
      </c>
      <c r="I123" s="233">
        <v>39747936</v>
      </c>
      <c r="J123" s="244"/>
      <c r="K123" s="233">
        <f>K295+K304+K313+K323+K333+K343</f>
        <v>3626445</v>
      </c>
      <c r="L123" s="233">
        <f>L378+L390+L399+L443</f>
        <v>280473</v>
      </c>
      <c r="M123" s="232">
        <f t="shared" si="76"/>
        <v>43654854</v>
      </c>
      <c r="N123" s="233">
        <v>39747936</v>
      </c>
      <c r="O123" s="244"/>
      <c r="P123" s="233">
        <f>P295+P304+P313+P323+P333+P343</f>
        <v>3619979</v>
      </c>
      <c r="Q123" s="233">
        <f>Q378+Q390+Q399+Q443</f>
        <v>280473</v>
      </c>
      <c r="R123" s="232">
        <f t="shared" si="77"/>
        <v>43648388</v>
      </c>
    </row>
    <row r="124" spans="1:18" s="89" customFormat="1">
      <c r="A124" s="276">
        <v>2000</v>
      </c>
      <c r="B124" s="125" t="s">
        <v>108</v>
      </c>
      <c r="C124" s="107">
        <v>25142302</v>
      </c>
      <c r="D124" s="107">
        <v>26722491</v>
      </c>
      <c r="E124" s="232">
        <f>E274+E284</f>
        <v>83</v>
      </c>
      <c r="F124" s="233">
        <f>F314+F324+F334+F359</f>
        <v>177997</v>
      </c>
      <c r="G124" s="233">
        <f>G369+G379+G400+G434</f>
        <v>1170437</v>
      </c>
      <c r="H124" s="232">
        <f t="shared" si="78"/>
        <v>28071008</v>
      </c>
      <c r="I124" s="233">
        <v>26301488</v>
      </c>
      <c r="J124" s="232">
        <f>J274</f>
        <v>200</v>
      </c>
      <c r="K124" s="233">
        <f>K314+K324+K334+K359</f>
        <v>50440</v>
      </c>
      <c r="L124" s="233">
        <f>L369+L379+L400+L434</f>
        <v>3611041</v>
      </c>
      <c r="M124" s="232">
        <f t="shared" si="76"/>
        <v>29963169</v>
      </c>
      <c r="N124" s="233">
        <v>26320371</v>
      </c>
      <c r="O124" s="232">
        <f>O274</f>
        <v>200</v>
      </c>
      <c r="P124" s="233">
        <f>P314+P324+P334+P359</f>
        <v>44896</v>
      </c>
      <c r="Q124" s="233">
        <f>Q369+Q379+Q400+Q434</f>
        <v>1051647</v>
      </c>
      <c r="R124" s="232">
        <f t="shared" si="77"/>
        <v>27417114</v>
      </c>
    </row>
    <row r="125" spans="1:18" s="89" customFormat="1" ht="12" hidden="1" customHeight="1">
      <c r="A125" s="286">
        <v>4000</v>
      </c>
      <c r="B125" s="124" t="s">
        <v>132</v>
      </c>
      <c r="C125" s="107"/>
      <c r="D125" s="107">
        <v>0</v>
      </c>
      <c r="E125" s="232"/>
      <c r="F125" s="244"/>
      <c r="G125" s="244"/>
      <c r="H125" s="232">
        <f t="shared" si="78"/>
        <v>0</v>
      </c>
      <c r="I125" s="233">
        <v>0</v>
      </c>
      <c r="J125" s="244"/>
      <c r="K125" s="244"/>
      <c r="L125" s="244"/>
      <c r="M125" s="232">
        <f t="shared" si="76"/>
        <v>0</v>
      </c>
      <c r="N125" s="233">
        <v>0</v>
      </c>
      <c r="O125" s="244"/>
      <c r="P125" s="244"/>
      <c r="Q125" s="244"/>
      <c r="R125" s="232">
        <f t="shared" si="77"/>
        <v>0</v>
      </c>
    </row>
    <row r="126" spans="1:18" s="89" customFormat="1">
      <c r="A126" s="286" t="s">
        <v>109</v>
      </c>
      <c r="B126" s="124" t="s">
        <v>110</v>
      </c>
      <c r="C126" s="107">
        <v>11447266</v>
      </c>
      <c r="D126" s="107">
        <v>11440357</v>
      </c>
      <c r="E126" s="232">
        <f t="shared" ref="E126:G126" si="131">E127+E128</f>
        <v>0</v>
      </c>
      <c r="F126" s="233">
        <f t="shared" si="131"/>
        <v>3400</v>
      </c>
      <c r="G126" s="233">
        <f t="shared" si="131"/>
        <v>1116455</v>
      </c>
      <c r="H126" s="232">
        <f t="shared" si="78"/>
        <v>12560212</v>
      </c>
      <c r="I126" s="233">
        <v>11440357</v>
      </c>
      <c r="J126" s="233">
        <f t="shared" ref="J126:L126" si="132">J127+J128</f>
        <v>0</v>
      </c>
      <c r="K126" s="233">
        <f t="shared" si="132"/>
        <v>3400</v>
      </c>
      <c r="L126" s="233">
        <f t="shared" si="132"/>
        <v>4522471</v>
      </c>
      <c r="M126" s="232">
        <f t="shared" si="76"/>
        <v>15966228</v>
      </c>
      <c r="N126" s="233">
        <v>11440357</v>
      </c>
      <c r="O126" s="233">
        <f t="shared" ref="O126:Q126" si="133">O127+O128</f>
        <v>0</v>
      </c>
      <c r="P126" s="233">
        <f t="shared" si="133"/>
        <v>3400</v>
      </c>
      <c r="Q126" s="233">
        <f t="shared" si="133"/>
        <v>6867590</v>
      </c>
      <c r="R126" s="232">
        <f t="shared" si="77"/>
        <v>18311347</v>
      </c>
    </row>
    <row r="127" spans="1:18" s="89" customFormat="1">
      <c r="A127" s="276">
        <v>3000</v>
      </c>
      <c r="B127" s="125" t="s">
        <v>111</v>
      </c>
      <c r="C127" s="338">
        <v>429598</v>
      </c>
      <c r="D127" s="338">
        <v>422689</v>
      </c>
      <c r="E127" s="245"/>
      <c r="F127" s="345">
        <f>F351</f>
        <v>3400</v>
      </c>
      <c r="G127" s="233"/>
      <c r="H127" s="232">
        <f t="shared" si="78"/>
        <v>426089</v>
      </c>
      <c r="I127" s="345">
        <v>422689</v>
      </c>
      <c r="J127" s="246"/>
      <c r="K127" s="345">
        <f>K351</f>
        <v>3400</v>
      </c>
      <c r="L127" s="246"/>
      <c r="M127" s="232">
        <f t="shared" si="76"/>
        <v>426089</v>
      </c>
      <c r="N127" s="345">
        <v>422689</v>
      </c>
      <c r="O127" s="246"/>
      <c r="P127" s="345">
        <f>P351</f>
        <v>3400</v>
      </c>
      <c r="Q127" s="246"/>
      <c r="R127" s="232">
        <f t="shared" si="77"/>
        <v>426089</v>
      </c>
    </row>
    <row r="128" spans="1:18" s="89" customFormat="1">
      <c r="A128" s="276">
        <v>6000</v>
      </c>
      <c r="B128" s="125" t="s">
        <v>112</v>
      </c>
      <c r="C128" s="301">
        <v>11017668</v>
      </c>
      <c r="D128" s="301">
        <v>11017668</v>
      </c>
      <c r="E128" s="247"/>
      <c r="F128" s="248"/>
      <c r="G128" s="233">
        <f>G417+G426</f>
        <v>1116455</v>
      </c>
      <c r="H128" s="232">
        <f t="shared" si="78"/>
        <v>12134123</v>
      </c>
      <c r="I128" s="346">
        <v>11017668</v>
      </c>
      <c r="J128" s="248"/>
      <c r="K128" s="248"/>
      <c r="L128" s="233">
        <f>L417+L426</f>
        <v>4522471</v>
      </c>
      <c r="M128" s="232">
        <f t="shared" si="76"/>
        <v>15540139</v>
      </c>
      <c r="N128" s="346">
        <v>11017668</v>
      </c>
      <c r="O128" s="248"/>
      <c r="P128" s="248"/>
      <c r="Q128" s="233">
        <f>Q417+Q426</f>
        <v>6867590</v>
      </c>
      <c r="R128" s="232">
        <f t="shared" si="77"/>
        <v>17885258</v>
      </c>
    </row>
    <row r="129" spans="1:18" s="89" customFormat="1" ht="22.8">
      <c r="A129" s="286" t="s">
        <v>113</v>
      </c>
      <c r="B129" s="124" t="s">
        <v>183</v>
      </c>
      <c r="C129" s="107">
        <v>216235</v>
      </c>
      <c r="D129" s="107">
        <v>225945</v>
      </c>
      <c r="E129" s="232">
        <f t="shared" ref="E129:G129" si="134">E130+E131</f>
        <v>0</v>
      </c>
      <c r="F129" s="233">
        <f t="shared" si="134"/>
        <v>0</v>
      </c>
      <c r="G129" s="233">
        <f t="shared" si="134"/>
        <v>0</v>
      </c>
      <c r="H129" s="232">
        <f t="shared" si="78"/>
        <v>225945</v>
      </c>
      <c r="I129" s="233">
        <v>225945</v>
      </c>
      <c r="J129" s="233">
        <f t="shared" ref="J129:L129" si="135">J130+J131</f>
        <v>0</v>
      </c>
      <c r="K129" s="233">
        <f t="shared" si="135"/>
        <v>0</v>
      </c>
      <c r="L129" s="233">
        <f t="shared" si="135"/>
        <v>0</v>
      </c>
      <c r="M129" s="232">
        <f t="shared" si="76"/>
        <v>225945</v>
      </c>
      <c r="N129" s="233">
        <v>225945</v>
      </c>
      <c r="O129" s="233">
        <f t="shared" ref="O129:Q129" si="136">O130+O131</f>
        <v>0</v>
      </c>
      <c r="P129" s="233">
        <f t="shared" si="136"/>
        <v>0</v>
      </c>
      <c r="Q129" s="233">
        <f t="shared" si="136"/>
        <v>0</v>
      </c>
      <c r="R129" s="232">
        <f t="shared" si="77"/>
        <v>225945</v>
      </c>
    </row>
    <row r="130" spans="1:18" s="89" customFormat="1" ht="12" hidden="1" customHeight="1">
      <c r="A130" s="276">
        <v>7600</v>
      </c>
      <c r="B130" s="179" t="s">
        <v>184</v>
      </c>
      <c r="C130" s="107"/>
      <c r="D130" s="107">
        <v>0</v>
      </c>
      <c r="E130" s="232"/>
      <c r="F130" s="244"/>
      <c r="G130" s="244"/>
      <c r="H130" s="232">
        <f t="shared" si="78"/>
        <v>0</v>
      </c>
      <c r="I130" s="233">
        <v>0</v>
      </c>
      <c r="J130" s="244"/>
      <c r="K130" s="244"/>
      <c r="L130" s="244"/>
      <c r="M130" s="232">
        <f t="shared" si="76"/>
        <v>0</v>
      </c>
      <c r="N130" s="233">
        <v>0</v>
      </c>
      <c r="O130" s="244"/>
      <c r="P130" s="244"/>
      <c r="Q130" s="244"/>
      <c r="R130" s="232">
        <f t="shared" si="77"/>
        <v>0</v>
      </c>
    </row>
    <row r="131" spans="1:18" s="89" customFormat="1">
      <c r="A131" s="276">
        <v>7700</v>
      </c>
      <c r="B131" s="126" t="s">
        <v>114</v>
      </c>
      <c r="C131" s="107">
        <v>216235</v>
      </c>
      <c r="D131" s="107">
        <v>225945</v>
      </c>
      <c r="E131" s="232"/>
      <c r="F131" s="244"/>
      <c r="G131" s="244"/>
      <c r="H131" s="232">
        <f t="shared" si="78"/>
        <v>225945</v>
      </c>
      <c r="I131" s="233">
        <v>225945</v>
      </c>
      <c r="J131" s="244"/>
      <c r="K131" s="244"/>
      <c r="L131" s="244"/>
      <c r="M131" s="232">
        <f t="shared" si="76"/>
        <v>225945</v>
      </c>
      <c r="N131" s="233">
        <v>225945</v>
      </c>
      <c r="O131" s="244"/>
      <c r="P131" s="244"/>
      <c r="Q131" s="244"/>
      <c r="R131" s="232">
        <f t="shared" si="77"/>
        <v>225945</v>
      </c>
    </row>
    <row r="132" spans="1:18" s="89" customFormat="1" ht="24" hidden="1" customHeight="1">
      <c r="A132" s="286" t="s">
        <v>185</v>
      </c>
      <c r="B132" s="124" t="s">
        <v>115</v>
      </c>
      <c r="C132" s="107">
        <v>0</v>
      </c>
      <c r="D132" s="107">
        <v>0</v>
      </c>
      <c r="E132" s="232">
        <f t="shared" ref="E132:G132" si="137">E133+E139+E143+E146</f>
        <v>0</v>
      </c>
      <c r="F132" s="233">
        <f t="shared" si="137"/>
        <v>0</v>
      </c>
      <c r="G132" s="233">
        <f t="shared" si="137"/>
        <v>0</v>
      </c>
      <c r="H132" s="232">
        <f t="shared" si="78"/>
        <v>0</v>
      </c>
      <c r="I132" s="233">
        <v>0</v>
      </c>
      <c r="J132" s="233">
        <f t="shared" ref="J132:L132" si="138">J133+J139+J143+J146</f>
        <v>0</v>
      </c>
      <c r="K132" s="233">
        <f t="shared" si="138"/>
        <v>0</v>
      </c>
      <c r="L132" s="233">
        <f t="shared" si="138"/>
        <v>0</v>
      </c>
      <c r="M132" s="232">
        <f t="shared" si="76"/>
        <v>0</v>
      </c>
      <c r="N132" s="233">
        <v>0</v>
      </c>
      <c r="O132" s="233">
        <f t="shared" ref="O132:Q132" si="139">O133+O139+O143+O146</f>
        <v>0</v>
      </c>
      <c r="P132" s="233">
        <f t="shared" si="139"/>
        <v>0</v>
      </c>
      <c r="Q132" s="233">
        <f t="shared" si="139"/>
        <v>0</v>
      </c>
      <c r="R132" s="232">
        <f t="shared" si="77"/>
        <v>0</v>
      </c>
    </row>
    <row r="133" spans="1:18" s="89" customFormat="1" ht="12" hidden="1" customHeight="1">
      <c r="A133" s="276">
        <v>7100</v>
      </c>
      <c r="B133" s="179" t="s">
        <v>116</v>
      </c>
      <c r="C133" s="107">
        <v>0</v>
      </c>
      <c r="D133" s="107">
        <v>0</v>
      </c>
      <c r="E133" s="232">
        <f t="shared" ref="E133:G133" si="140">E134+E135</f>
        <v>0</v>
      </c>
      <c r="F133" s="233">
        <f t="shared" si="140"/>
        <v>0</v>
      </c>
      <c r="G133" s="233">
        <f t="shared" si="140"/>
        <v>0</v>
      </c>
      <c r="H133" s="232">
        <f t="shared" si="78"/>
        <v>0</v>
      </c>
      <c r="I133" s="233">
        <v>0</v>
      </c>
      <c r="J133" s="233">
        <f t="shared" ref="J133:L133" si="141">J134+J135</f>
        <v>0</v>
      </c>
      <c r="K133" s="233">
        <f t="shared" si="141"/>
        <v>0</v>
      </c>
      <c r="L133" s="233">
        <f t="shared" si="141"/>
        <v>0</v>
      </c>
      <c r="M133" s="232">
        <f t="shared" si="76"/>
        <v>0</v>
      </c>
      <c r="N133" s="233">
        <v>0</v>
      </c>
      <c r="O133" s="233">
        <f t="shared" ref="O133:Q133" si="142">O134+O135</f>
        <v>0</v>
      </c>
      <c r="P133" s="233">
        <f t="shared" si="142"/>
        <v>0</v>
      </c>
      <c r="Q133" s="233">
        <f t="shared" si="142"/>
        <v>0</v>
      </c>
      <c r="R133" s="232">
        <f t="shared" si="77"/>
        <v>0</v>
      </c>
    </row>
    <row r="134" spans="1:18" s="89" customFormat="1" ht="24" hidden="1" customHeight="1">
      <c r="A134" s="277" t="s">
        <v>117</v>
      </c>
      <c r="B134" s="179" t="s">
        <v>118</v>
      </c>
      <c r="C134" s="107"/>
      <c r="D134" s="107">
        <v>0</v>
      </c>
      <c r="E134" s="232"/>
      <c r="F134" s="233"/>
      <c r="G134" s="233"/>
      <c r="H134" s="232">
        <f t="shared" si="78"/>
        <v>0</v>
      </c>
      <c r="I134" s="233">
        <v>0</v>
      </c>
      <c r="J134" s="233"/>
      <c r="K134" s="233"/>
      <c r="L134" s="233"/>
      <c r="M134" s="232">
        <f t="shared" si="76"/>
        <v>0</v>
      </c>
      <c r="N134" s="233">
        <v>0</v>
      </c>
      <c r="O134" s="233"/>
      <c r="P134" s="233"/>
      <c r="Q134" s="233"/>
      <c r="R134" s="232">
        <f t="shared" si="77"/>
        <v>0</v>
      </c>
    </row>
    <row r="135" spans="1:18" s="89" customFormat="1" ht="24" hidden="1" customHeight="1">
      <c r="A135" s="277">
        <v>7130</v>
      </c>
      <c r="B135" s="179" t="s">
        <v>119</v>
      </c>
      <c r="C135" s="107">
        <v>0</v>
      </c>
      <c r="D135" s="107">
        <v>0</v>
      </c>
      <c r="E135" s="232">
        <f t="shared" ref="E135:G135" si="143">SUM(E136:E138)</f>
        <v>0</v>
      </c>
      <c r="F135" s="233">
        <f t="shared" ref="F135" si="144">SUM(F136:F138)</f>
        <v>0</v>
      </c>
      <c r="G135" s="233">
        <f t="shared" si="143"/>
        <v>0</v>
      </c>
      <c r="H135" s="232">
        <f t="shared" si="78"/>
        <v>0</v>
      </c>
      <c r="I135" s="233">
        <v>0</v>
      </c>
      <c r="J135" s="233">
        <f t="shared" ref="J135:L135" si="145">SUM(J136:J138)</f>
        <v>0</v>
      </c>
      <c r="K135" s="233">
        <f t="shared" si="145"/>
        <v>0</v>
      </c>
      <c r="L135" s="233">
        <f t="shared" si="145"/>
        <v>0</v>
      </c>
      <c r="M135" s="232">
        <f t="shared" si="76"/>
        <v>0</v>
      </c>
      <c r="N135" s="233">
        <v>0</v>
      </c>
      <c r="O135" s="233">
        <f t="shared" ref="O135:Q135" si="146">SUM(O136:O138)</f>
        <v>0</v>
      </c>
      <c r="P135" s="233">
        <f t="shared" si="146"/>
        <v>0</v>
      </c>
      <c r="Q135" s="233">
        <f t="shared" si="146"/>
        <v>0</v>
      </c>
      <c r="R135" s="232">
        <f t="shared" si="77"/>
        <v>0</v>
      </c>
    </row>
    <row r="136" spans="1:18" s="89" customFormat="1" ht="36" hidden="1" customHeight="1">
      <c r="A136" s="278">
        <v>7131</v>
      </c>
      <c r="B136" s="179" t="s">
        <v>120</v>
      </c>
      <c r="C136" s="107"/>
      <c r="D136" s="107">
        <v>0</v>
      </c>
      <c r="E136" s="232"/>
      <c r="F136" s="233"/>
      <c r="G136" s="233"/>
      <c r="H136" s="232">
        <f t="shared" si="78"/>
        <v>0</v>
      </c>
      <c r="I136" s="233">
        <v>0</v>
      </c>
      <c r="J136" s="233"/>
      <c r="K136" s="233"/>
      <c r="L136" s="233"/>
      <c r="M136" s="232">
        <f t="shared" si="76"/>
        <v>0</v>
      </c>
      <c r="N136" s="233">
        <v>0</v>
      </c>
      <c r="O136" s="233"/>
      <c r="P136" s="233"/>
      <c r="Q136" s="233"/>
      <c r="R136" s="232">
        <f t="shared" si="77"/>
        <v>0</v>
      </c>
    </row>
    <row r="137" spans="1:18" s="29" customFormat="1" ht="36" hidden="1" customHeight="1">
      <c r="A137" s="278">
        <v>7132</v>
      </c>
      <c r="B137" s="179" t="s">
        <v>121</v>
      </c>
      <c r="C137" s="107"/>
      <c r="D137" s="107">
        <v>0</v>
      </c>
      <c r="E137" s="232"/>
      <c r="F137" s="233"/>
      <c r="G137" s="233"/>
      <c r="H137" s="232">
        <f t="shared" si="78"/>
        <v>0</v>
      </c>
      <c r="I137" s="233">
        <v>0</v>
      </c>
      <c r="J137" s="233"/>
      <c r="K137" s="233"/>
      <c r="L137" s="233"/>
      <c r="M137" s="232">
        <f t="shared" si="76"/>
        <v>0</v>
      </c>
      <c r="N137" s="233">
        <v>0</v>
      </c>
      <c r="O137" s="233"/>
      <c r="P137" s="233"/>
      <c r="Q137" s="233"/>
      <c r="R137" s="232">
        <f t="shared" si="77"/>
        <v>0</v>
      </c>
    </row>
    <row r="138" spans="1:18" s="29" customFormat="1" ht="36" hidden="1" customHeight="1">
      <c r="A138" s="278" t="s">
        <v>186</v>
      </c>
      <c r="B138" s="179" t="s">
        <v>187</v>
      </c>
      <c r="C138" s="107"/>
      <c r="D138" s="107">
        <v>0</v>
      </c>
      <c r="E138" s="232"/>
      <c r="F138" s="233"/>
      <c r="G138" s="233"/>
      <c r="H138" s="232">
        <f t="shared" si="78"/>
        <v>0</v>
      </c>
      <c r="I138" s="233">
        <v>0</v>
      </c>
      <c r="J138" s="233"/>
      <c r="K138" s="233"/>
      <c r="L138" s="233"/>
      <c r="M138" s="232">
        <f t="shared" ref="M138:M201" si="147">SUM(I138:L138)</f>
        <v>0</v>
      </c>
      <c r="N138" s="233">
        <v>0</v>
      </c>
      <c r="O138" s="233"/>
      <c r="P138" s="233"/>
      <c r="Q138" s="233"/>
      <c r="R138" s="232">
        <f t="shared" ref="R138:R201" si="148">SUM(N138:Q138)</f>
        <v>0</v>
      </c>
    </row>
    <row r="139" spans="1:18" s="29" customFormat="1" ht="24" hidden="1" customHeight="1">
      <c r="A139" s="276">
        <v>7300</v>
      </c>
      <c r="B139" s="172" t="s">
        <v>155</v>
      </c>
      <c r="C139" s="107">
        <v>0</v>
      </c>
      <c r="D139" s="107">
        <v>0</v>
      </c>
      <c r="E139" s="232">
        <f t="shared" ref="E139:G139" si="149">SUM(E140:E142)</f>
        <v>0</v>
      </c>
      <c r="F139" s="233">
        <f t="shared" si="149"/>
        <v>0</v>
      </c>
      <c r="G139" s="233">
        <f t="shared" si="149"/>
        <v>0</v>
      </c>
      <c r="H139" s="232">
        <f t="shared" ref="H139:H201" si="150">SUM(D139:G139)</f>
        <v>0</v>
      </c>
      <c r="I139" s="233">
        <v>0</v>
      </c>
      <c r="J139" s="233">
        <f t="shared" ref="J139:L139" si="151">SUM(J140:J142)</f>
        <v>0</v>
      </c>
      <c r="K139" s="233">
        <f t="shared" si="151"/>
        <v>0</v>
      </c>
      <c r="L139" s="233">
        <f t="shared" si="151"/>
        <v>0</v>
      </c>
      <c r="M139" s="232">
        <f t="shared" si="147"/>
        <v>0</v>
      </c>
      <c r="N139" s="233">
        <v>0</v>
      </c>
      <c r="O139" s="233">
        <f t="shared" ref="O139:Q139" si="152">SUM(O140:O142)</f>
        <v>0</v>
      </c>
      <c r="P139" s="233">
        <f t="shared" si="152"/>
        <v>0</v>
      </c>
      <c r="Q139" s="233">
        <f t="shared" si="152"/>
        <v>0</v>
      </c>
      <c r="R139" s="232">
        <f t="shared" si="148"/>
        <v>0</v>
      </c>
    </row>
    <row r="140" spans="1:18" s="4" customFormat="1" ht="24" hidden="1" customHeight="1">
      <c r="A140" s="277" t="s">
        <v>188</v>
      </c>
      <c r="B140" s="179" t="s">
        <v>170</v>
      </c>
      <c r="C140" s="113"/>
      <c r="D140" s="113">
        <v>0</v>
      </c>
      <c r="E140" s="251"/>
      <c r="F140" s="252"/>
      <c r="G140" s="252"/>
      <c r="H140" s="232">
        <f t="shared" si="150"/>
        <v>0</v>
      </c>
      <c r="I140" s="252">
        <v>0</v>
      </c>
      <c r="J140" s="252"/>
      <c r="K140" s="252"/>
      <c r="L140" s="252"/>
      <c r="M140" s="232">
        <f t="shared" si="147"/>
        <v>0</v>
      </c>
      <c r="N140" s="252">
        <v>0</v>
      </c>
      <c r="O140" s="252"/>
      <c r="P140" s="252"/>
      <c r="Q140" s="252"/>
      <c r="R140" s="232">
        <f t="shared" si="148"/>
        <v>0</v>
      </c>
    </row>
    <row r="141" spans="1:18" s="3" customFormat="1" ht="48" hidden="1" customHeight="1">
      <c r="A141" s="277" t="s">
        <v>189</v>
      </c>
      <c r="B141" s="179" t="s">
        <v>156</v>
      </c>
      <c r="C141" s="113"/>
      <c r="D141" s="113">
        <v>0</v>
      </c>
      <c r="E141" s="251"/>
      <c r="F141" s="252"/>
      <c r="G141" s="252"/>
      <c r="H141" s="232">
        <f t="shared" si="150"/>
        <v>0</v>
      </c>
      <c r="I141" s="252">
        <v>0</v>
      </c>
      <c r="J141" s="252"/>
      <c r="K141" s="252"/>
      <c r="L141" s="252"/>
      <c r="M141" s="232">
        <f t="shared" si="147"/>
        <v>0</v>
      </c>
      <c r="N141" s="252">
        <v>0</v>
      </c>
      <c r="O141" s="252"/>
      <c r="P141" s="252"/>
      <c r="Q141" s="252"/>
      <c r="R141" s="232">
        <f t="shared" si="148"/>
        <v>0</v>
      </c>
    </row>
    <row r="142" spans="1:18" s="3" customFormat="1" ht="36" hidden="1" customHeight="1">
      <c r="A142" s="277">
        <v>7350</v>
      </c>
      <c r="B142" s="179" t="s">
        <v>163</v>
      </c>
      <c r="C142" s="113"/>
      <c r="D142" s="113">
        <v>0</v>
      </c>
      <c r="E142" s="251"/>
      <c r="F142" s="252"/>
      <c r="G142" s="252"/>
      <c r="H142" s="232">
        <f t="shared" si="150"/>
        <v>0</v>
      </c>
      <c r="I142" s="252">
        <v>0</v>
      </c>
      <c r="J142" s="252"/>
      <c r="K142" s="252"/>
      <c r="L142" s="252"/>
      <c r="M142" s="232">
        <f t="shared" si="147"/>
        <v>0</v>
      </c>
      <c r="N142" s="252">
        <v>0</v>
      </c>
      <c r="O142" s="252"/>
      <c r="P142" s="252"/>
      <c r="Q142" s="252"/>
      <c r="R142" s="232">
        <f t="shared" si="148"/>
        <v>0</v>
      </c>
    </row>
    <row r="143" spans="1:18" s="3" customFormat="1" ht="24" hidden="1" customHeight="1">
      <c r="A143" s="276">
        <v>7400</v>
      </c>
      <c r="B143" s="172" t="s">
        <v>161</v>
      </c>
      <c r="C143" s="107">
        <v>0</v>
      </c>
      <c r="D143" s="107">
        <v>0</v>
      </c>
      <c r="E143" s="232">
        <f t="shared" ref="E143:G143" si="153">SUM(E144:E145)</f>
        <v>0</v>
      </c>
      <c r="F143" s="233">
        <f t="shared" si="153"/>
        <v>0</v>
      </c>
      <c r="G143" s="233">
        <f t="shared" si="153"/>
        <v>0</v>
      </c>
      <c r="H143" s="232">
        <f t="shared" si="150"/>
        <v>0</v>
      </c>
      <c r="I143" s="233">
        <v>0</v>
      </c>
      <c r="J143" s="233">
        <f t="shared" ref="J143:L143" si="154">SUM(J144:J145)</f>
        <v>0</v>
      </c>
      <c r="K143" s="233">
        <f t="shared" si="154"/>
        <v>0</v>
      </c>
      <c r="L143" s="233">
        <f t="shared" si="154"/>
        <v>0</v>
      </c>
      <c r="M143" s="232">
        <f t="shared" si="147"/>
        <v>0</v>
      </c>
      <c r="N143" s="233">
        <v>0</v>
      </c>
      <c r="O143" s="233">
        <f t="shared" ref="O143:Q143" si="155">SUM(O144:O145)</f>
        <v>0</v>
      </c>
      <c r="P143" s="233">
        <f t="shared" si="155"/>
        <v>0</v>
      </c>
      <c r="Q143" s="233">
        <f t="shared" si="155"/>
        <v>0</v>
      </c>
      <c r="R143" s="232">
        <f t="shared" si="148"/>
        <v>0</v>
      </c>
    </row>
    <row r="144" spans="1:18" s="3" customFormat="1" ht="24" hidden="1" customHeight="1">
      <c r="A144" s="277">
        <v>7460</v>
      </c>
      <c r="B144" s="172" t="s">
        <v>162</v>
      </c>
      <c r="C144" s="113"/>
      <c r="D144" s="113">
        <v>0</v>
      </c>
      <c r="E144" s="251"/>
      <c r="F144" s="252"/>
      <c r="G144" s="252"/>
      <c r="H144" s="232">
        <f t="shared" si="150"/>
        <v>0</v>
      </c>
      <c r="I144" s="252">
        <v>0</v>
      </c>
      <c r="J144" s="252"/>
      <c r="K144" s="252"/>
      <c r="L144" s="252"/>
      <c r="M144" s="232">
        <f t="shared" si="147"/>
        <v>0</v>
      </c>
      <c r="N144" s="252">
        <v>0</v>
      </c>
      <c r="O144" s="252"/>
      <c r="P144" s="252"/>
      <c r="Q144" s="252"/>
      <c r="R144" s="232">
        <f t="shared" si="148"/>
        <v>0</v>
      </c>
    </row>
    <row r="145" spans="1:18" s="3" customFormat="1" ht="48" hidden="1" customHeight="1">
      <c r="A145" s="277">
        <v>7470</v>
      </c>
      <c r="B145" s="179" t="s">
        <v>167</v>
      </c>
      <c r="C145" s="113"/>
      <c r="D145" s="113">
        <v>0</v>
      </c>
      <c r="E145" s="251"/>
      <c r="F145" s="252"/>
      <c r="G145" s="252"/>
      <c r="H145" s="232">
        <f t="shared" si="150"/>
        <v>0</v>
      </c>
      <c r="I145" s="252">
        <v>0</v>
      </c>
      <c r="J145" s="252"/>
      <c r="K145" s="252"/>
      <c r="L145" s="252"/>
      <c r="M145" s="232">
        <f t="shared" si="147"/>
        <v>0</v>
      </c>
      <c r="N145" s="252">
        <v>0</v>
      </c>
      <c r="O145" s="252"/>
      <c r="P145" s="252"/>
      <c r="Q145" s="252"/>
      <c r="R145" s="232">
        <f t="shared" si="148"/>
        <v>0</v>
      </c>
    </row>
    <row r="146" spans="1:18" s="3" customFormat="1" ht="24" hidden="1" customHeight="1">
      <c r="A146" s="276">
        <v>7500</v>
      </c>
      <c r="B146" s="179" t="s">
        <v>157</v>
      </c>
      <c r="C146" s="107"/>
      <c r="D146" s="107">
        <v>0</v>
      </c>
      <c r="E146" s="232"/>
      <c r="F146" s="233"/>
      <c r="G146" s="233"/>
      <c r="H146" s="232">
        <f t="shared" si="150"/>
        <v>0</v>
      </c>
      <c r="I146" s="233">
        <v>0</v>
      </c>
      <c r="J146" s="233"/>
      <c r="K146" s="233"/>
      <c r="L146" s="233"/>
      <c r="M146" s="232">
        <f t="shared" si="147"/>
        <v>0</v>
      </c>
      <c r="N146" s="233">
        <v>0</v>
      </c>
      <c r="O146" s="233"/>
      <c r="P146" s="233"/>
      <c r="Q146" s="233"/>
      <c r="R146" s="232">
        <f t="shared" si="148"/>
        <v>0</v>
      </c>
    </row>
    <row r="147" spans="1:18" s="4" customFormat="1">
      <c r="A147" s="286" t="s">
        <v>133</v>
      </c>
      <c r="B147" s="124" t="s">
        <v>122</v>
      </c>
      <c r="C147" s="107">
        <v>2545014</v>
      </c>
      <c r="D147" s="107">
        <v>2505287</v>
      </c>
      <c r="E147" s="253">
        <f t="shared" ref="E147:G147" si="156">E148+E149</f>
        <v>-200</v>
      </c>
      <c r="F147" s="254">
        <f t="shared" si="156"/>
        <v>0</v>
      </c>
      <c r="G147" s="254">
        <f t="shared" si="156"/>
        <v>2750</v>
      </c>
      <c r="H147" s="232">
        <f t="shared" si="150"/>
        <v>2507837</v>
      </c>
      <c r="I147" s="254">
        <v>1156583</v>
      </c>
      <c r="J147" s="254">
        <f t="shared" ref="J147:L147" si="157">J148+J149</f>
        <v>-200</v>
      </c>
      <c r="K147" s="254">
        <f t="shared" si="157"/>
        <v>0</v>
      </c>
      <c r="L147" s="254">
        <f t="shared" si="157"/>
        <v>0</v>
      </c>
      <c r="M147" s="232">
        <f t="shared" si="147"/>
        <v>1156383</v>
      </c>
      <c r="N147" s="254">
        <v>1156583</v>
      </c>
      <c r="O147" s="254">
        <f t="shared" ref="O147:Q147" si="158">O148+O149</f>
        <v>-200</v>
      </c>
      <c r="P147" s="254">
        <f t="shared" si="158"/>
        <v>0</v>
      </c>
      <c r="Q147" s="254">
        <f t="shared" si="158"/>
        <v>0</v>
      </c>
      <c r="R147" s="232">
        <f t="shared" si="148"/>
        <v>1156383</v>
      </c>
    </row>
    <row r="148" spans="1:18" s="6" customFormat="1">
      <c r="A148" s="286">
        <v>5000</v>
      </c>
      <c r="B148" s="124" t="s">
        <v>123</v>
      </c>
      <c r="C148" s="107">
        <v>2545014</v>
      </c>
      <c r="D148" s="107">
        <v>2505287</v>
      </c>
      <c r="E148" s="232">
        <f>E276</f>
        <v>-200</v>
      </c>
      <c r="F148" s="244"/>
      <c r="G148" s="233">
        <f>G381</f>
        <v>2750</v>
      </c>
      <c r="H148" s="232">
        <f t="shared" si="150"/>
        <v>2507837</v>
      </c>
      <c r="I148" s="233">
        <v>1156583</v>
      </c>
      <c r="J148" s="232">
        <f>J276</f>
        <v>-200</v>
      </c>
      <c r="K148" s="244"/>
      <c r="L148" s="233">
        <f>L381</f>
        <v>0</v>
      </c>
      <c r="M148" s="232">
        <f t="shared" si="147"/>
        <v>1156383</v>
      </c>
      <c r="N148" s="233">
        <v>1156583</v>
      </c>
      <c r="O148" s="232">
        <f>O276</f>
        <v>-200</v>
      </c>
      <c r="P148" s="244"/>
      <c r="Q148" s="233">
        <f>Q381</f>
        <v>0</v>
      </c>
      <c r="R148" s="232">
        <f t="shared" si="148"/>
        <v>1156383</v>
      </c>
    </row>
    <row r="149" spans="1:18" s="6" customFormat="1" ht="12" hidden="1" customHeight="1">
      <c r="A149" s="286">
        <v>9000</v>
      </c>
      <c r="B149" s="182" t="s">
        <v>164</v>
      </c>
      <c r="C149" s="107">
        <v>0</v>
      </c>
      <c r="D149" s="107">
        <v>0</v>
      </c>
      <c r="E149" s="232">
        <f t="shared" ref="E149:G149" si="159">E150+E156+E160+E163</f>
        <v>0</v>
      </c>
      <c r="F149" s="233">
        <f t="shared" si="159"/>
        <v>0</v>
      </c>
      <c r="G149" s="233">
        <f t="shared" si="159"/>
        <v>0</v>
      </c>
      <c r="H149" s="232">
        <f t="shared" si="150"/>
        <v>0</v>
      </c>
      <c r="I149" s="233">
        <v>0</v>
      </c>
      <c r="J149" s="233">
        <f t="shared" ref="J149:L149" si="160">J150+J156+J160+J163</f>
        <v>0</v>
      </c>
      <c r="K149" s="233">
        <f t="shared" si="160"/>
        <v>0</v>
      </c>
      <c r="L149" s="233">
        <f t="shared" si="160"/>
        <v>0</v>
      </c>
      <c r="M149" s="232">
        <f t="shared" si="147"/>
        <v>0</v>
      </c>
      <c r="N149" s="233">
        <v>0</v>
      </c>
      <c r="O149" s="233">
        <f t="shared" ref="O149:Q149" si="161">O150+O156+O160+O163</f>
        <v>0</v>
      </c>
      <c r="P149" s="233">
        <f t="shared" si="161"/>
        <v>0</v>
      </c>
      <c r="Q149" s="233">
        <f t="shared" si="161"/>
        <v>0</v>
      </c>
      <c r="R149" s="232">
        <f t="shared" si="148"/>
        <v>0</v>
      </c>
    </row>
    <row r="150" spans="1:18" s="6" customFormat="1" ht="12" hidden="1" customHeight="1">
      <c r="A150" s="126">
        <v>9100</v>
      </c>
      <c r="B150" s="179" t="s">
        <v>124</v>
      </c>
      <c r="C150" s="107">
        <v>0</v>
      </c>
      <c r="D150" s="107">
        <v>0</v>
      </c>
      <c r="E150" s="232">
        <f t="shared" ref="E150:G150" si="162">SUM(E151:E152)</f>
        <v>0</v>
      </c>
      <c r="F150" s="233">
        <f t="shared" ref="F150" si="163">SUM(F151:F152)</f>
        <v>0</v>
      </c>
      <c r="G150" s="233">
        <f t="shared" si="162"/>
        <v>0</v>
      </c>
      <c r="H150" s="232">
        <f t="shared" si="150"/>
        <v>0</v>
      </c>
      <c r="I150" s="233">
        <v>0</v>
      </c>
      <c r="J150" s="233">
        <f t="shared" ref="J150:L150" si="164">SUM(J151:J152)</f>
        <v>0</v>
      </c>
      <c r="K150" s="233">
        <f t="shared" si="164"/>
        <v>0</v>
      </c>
      <c r="L150" s="233">
        <f t="shared" si="164"/>
        <v>0</v>
      </c>
      <c r="M150" s="232">
        <f t="shared" si="147"/>
        <v>0</v>
      </c>
      <c r="N150" s="233">
        <v>0</v>
      </c>
      <c r="O150" s="233">
        <f t="shared" ref="O150:Q150" si="165">SUM(O151:O152)</f>
        <v>0</v>
      </c>
      <c r="P150" s="233">
        <f t="shared" si="165"/>
        <v>0</v>
      </c>
      <c r="Q150" s="233">
        <f t="shared" si="165"/>
        <v>0</v>
      </c>
      <c r="R150" s="232">
        <f t="shared" si="148"/>
        <v>0</v>
      </c>
    </row>
    <row r="151" spans="1:18" s="6" customFormat="1" ht="24" hidden="1" customHeight="1">
      <c r="A151" s="277" t="s">
        <v>125</v>
      </c>
      <c r="B151" s="179" t="s">
        <v>214</v>
      </c>
      <c r="C151" s="107"/>
      <c r="D151" s="107">
        <v>0</v>
      </c>
      <c r="E151" s="232"/>
      <c r="F151" s="233"/>
      <c r="G151" s="233"/>
      <c r="H151" s="232">
        <f t="shared" si="150"/>
        <v>0</v>
      </c>
      <c r="I151" s="233">
        <v>0</v>
      </c>
      <c r="J151" s="233"/>
      <c r="K151" s="233"/>
      <c r="L151" s="233"/>
      <c r="M151" s="232">
        <f t="shared" si="147"/>
        <v>0</v>
      </c>
      <c r="N151" s="233">
        <v>0</v>
      </c>
      <c r="O151" s="233"/>
      <c r="P151" s="233"/>
      <c r="Q151" s="233"/>
      <c r="R151" s="232">
        <f t="shared" si="148"/>
        <v>0</v>
      </c>
    </row>
    <row r="152" spans="1:18" s="6" customFormat="1" ht="24" hidden="1" customHeight="1">
      <c r="A152" s="277">
        <v>9140</v>
      </c>
      <c r="B152" s="179" t="s">
        <v>215</v>
      </c>
      <c r="C152" s="107">
        <v>0</v>
      </c>
      <c r="D152" s="107">
        <v>0</v>
      </c>
      <c r="E152" s="232">
        <f t="shared" ref="E152:G152" si="166">SUM(E153:E155)</f>
        <v>0</v>
      </c>
      <c r="F152" s="233">
        <f t="shared" si="166"/>
        <v>0</v>
      </c>
      <c r="G152" s="233">
        <f t="shared" si="166"/>
        <v>0</v>
      </c>
      <c r="H152" s="232">
        <f t="shared" si="150"/>
        <v>0</v>
      </c>
      <c r="I152" s="233">
        <v>0</v>
      </c>
      <c r="J152" s="233">
        <f t="shared" ref="J152:L152" si="167">SUM(J153:J155)</f>
        <v>0</v>
      </c>
      <c r="K152" s="233">
        <f t="shared" si="167"/>
        <v>0</v>
      </c>
      <c r="L152" s="233">
        <f t="shared" si="167"/>
        <v>0</v>
      </c>
      <c r="M152" s="232">
        <f t="shared" si="147"/>
        <v>0</v>
      </c>
      <c r="N152" s="233">
        <v>0</v>
      </c>
      <c r="O152" s="233">
        <f t="shared" ref="O152:Q152" si="168">SUM(O153:O155)</f>
        <v>0</v>
      </c>
      <c r="P152" s="233">
        <f t="shared" si="168"/>
        <v>0</v>
      </c>
      <c r="Q152" s="233">
        <f t="shared" si="168"/>
        <v>0</v>
      </c>
      <c r="R152" s="232">
        <f t="shared" si="148"/>
        <v>0</v>
      </c>
    </row>
    <row r="153" spans="1:18" s="6" customFormat="1" ht="36" hidden="1" customHeight="1">
      <c r="A153" s="278">
        <v>9141</v>
      </c>
      <c r="B153" s="172" t="s">
        <v>190</v>
      </c>
      <c r="C153" s="113"/>
      <c r="D153" s="113">
        <v>0</v>
      </c>
      <c r="E153" s="251"/>
      <c r="F153" s="252"/>
      <c r="G153" s="252"/>
      <c r="H153" s="232">
        <f t="shared" si="150"/>
        <v>0</v>
      </c>
      <c r="I153" s="252">
        <v>0</v>
      </c>
      <c r="J153" s="252"/>
      <c r="K153" s="252"/>
      <c r="L153" s="252"/>
      <c r="M153" s="232">
        <f t="shared" si="147"/>
        <v>0</v>
      </c>
      <c r="N153" s="252">
        <v>0</v>
      </c>
      <c r="O153" s="252"/>
      <c r="P153" s="252"/>
      <c r="Q153" s="252"/>
      <c r="R153" s="232">
        <f t="shared" si="148"/>
        <v>0</v>
      </c>
    </row>
    <row r="154" spans="1:18" s="6" customFormat="1" ht="36" hidden="1" customHeight="1">
      <c r="A154" s="278">
        <v>9142</v>
      </c>
      <c r="B154" s="172" t="s">
        <v>191</v>
      </c>
      <c r="C154" s="113"/>
      <c r="D154" s="113">
        <v>0</v>
      </c>
      <c r="E154" s="251"/>
      <c r="F154" s="252"/>
      <c r="G154" s="252"/>
      <c r="H154" s="232">
        <f t="shared" si="150"/>
        <v>0</v>
      </c>
      <c r="I154" s="252">
        <v>0</v>
      </c>
      <c r="J154" s="252"/>
      <c r="K154" s="252"/>
      <c r="L154" s="252"/>
      <c r="M154" s="232">
        <f t="shared" si="147"/>
        <v>0</v>
      </c>
      <c r="N154" s="252">
        <v>0</v>
      </c>
      <c r="O154" s="252"/>
      <c r="P154" s="252"/>
      <c r="Q154" s="252"/>
      <c r="R154" s="232">
        <f t="shared" si="148"/>
        <v>0</v>
      </c>
    </row>
    <row r="155" spans="1:18" s="6" customFormat="1" ht="24" hidden="1" customHeight="1">
      <c r="A155" s="278">
        <v>9149</v>
      </c>
      <c r="B155" s="172" t="s">
        <v>192</v>
      </c>
      <c r="C155" s="113"/>
      <c r="D155" s="113">
        <v>0</v>
      </c>
      <c r="E155" s="251"/>
      <c r="F155" s="252"/>
      <c r="G155" s="252"/>
      <c r="H155" s="232">
        <f t="shared" si="150"/>
        <v>0</v>
      </c>
      <c r="I155" s="252">
        <v>0</v>
      </c>
      <c r="J155" s="252"/>
      <c r="K155" s="252"/>
      <c r="L155" s="252"/>
      <c r="M155" s="232">
        <f t="shared" si="147"/>
        <v>0</v>
      </c>
      <c r="N155" s="252">
        <v>0</v>
      </c>
      <c r="O155" s="252"/>
      <c r="P155" s="252"/>
      <c r="Q155" s="252"/>
      <c r="R155" s="232">
        <f t="shared" si="148"/>
        <v>0</v>
      </c>
    </row>
    <row r="156" spans="1:18" s="6" customFormat="1" ht="24" hidden="1" customHeight="1">
      <c r="A156" s="126">
        <v>9500</v>
      </c>
      <c r="B156" s="172" t="s">
        <v>165</v>
      </c>
      <c r="C156" s="107">
        <v>0</v>
      </c>
      <c r="D156" s="107">
        <v>0</v>
      </c>
      <c r="E156" s="232">
        <f t="shared" ref="E156:G156" si="169">SUM(E157:E159)</f>
        <v>0</v>
      </c>
      <c r="F156" s="233">
        <f t="shared" si="169"/>
        <v>0</v>
      </c>
      <c r="G156" s="233">
        <f t="shared" si="169"/>
        <v>0</v>
      </c>
      <c r="H156" s="232">
        <f t="shared" si="150"/>
        <v>0</v>
      </c>
      <c r="I156" s="233">
        <v>0</v>
      </c>
      <c r="J156" s="233">
        <f t="shared" ref="J156:L156" si="170">SUM(J157:J159)</f>
        <v>0</v>
      </c>
      <c r="K156" s="233">
        <f t="shared" si="170"/>
        <v>0</v>
      </c>
      <c r="L156" s="233">
        <f t="shared" si="170"/>
        <v>0</v>
      </c>
      <c r="M156" s="232">
        <f t="shared" si="147"/>
        <v>0</v>
      </c>
      <c r="N156" s="233">
        <v>0</v>
      </c>
      <c r="O156" s="233">
        <f t="shared" ref="O156:Q156" si="171">SUM(O157:O159)</f>
        <v>0</v>
      </c>
      <c r="P156" s="233">
        <f t="shared" si="171"/>
        <v>0</v>
      </c>
      <c r="Q156" s="233">
        <f t="shared" si="171"/>
        <v>0</v>
      </c>
      <c r="R156" s="232">
        <f t="shared" si="148"/>
        <v>0</v>
      </c>
    </row>
    <row r="157" spans="1:18" s="6" customFormat="1" ht="24" hidden="1" customHeight="1">
      <c r="A157" s="277" t="s">
        <v>193</v>
      </c>
      <c r="B157" s="172" t="s">
        <v>171</v>
      </c>
      <c r="C157" s="107"/>
      <c r="D157" s="107">
        <v>0</v>
      </c>
      <c r="E157" s="232"/>
      <c r="F157" s="233"/>
      <c r="G157" s="233"/>
      <c r="H157" s="232">
        <f t="shared" si="150"/>
        <v>0</v>
      </c>
      <c r="I157" s="233">
        <v>0</v>
      </c>
      <c r="J157" s="233"/>
      <c r="K157" s="233"/>
      <c r="L157" s="233"/>
      <c r="M157" s="232">
        <f t="shared" si="147"/>
        <v>0</v>
      </c>
      <c r="N157" s="233">
        <v>0</v>
      </c>
      <c r="O157" s="233"/>
      <c r="P157" s="233"/>
      <c r="Q157" s="233"/>
      <c r="R157" s="232">
        <f t="shared" si="148"/>
        <v>0</v>
      </c>
    </row>
    <row r="158" spans="1:18" s="6" customFormat="1" ht="48" hidden="1" customHeight="1">
      <c r="A158" s="277">
        <v>9580</v>
      </c>
      <c r="B158" s="172" t="s">
        <v>166</v>
      </c>
      <c r="C158" s="113"/>
      <c r="D158" s="113">
        <v>0</v>
      </c>
      <c r="E158" s="251"/>
      <c r="F158" s="252"/>
      <c r="G158" s="252"/>
      <c r="H158" s="232">
        <f t="shared" si="150"/>
        <v>0</v>
      </c>
      <c r="I158" s="252">
        <v>0</v>
      </c>
      <c r="J158" s="252"/>
      <c r="K158" s="252"/>
      <c r="L158" s="252"/>
      <c r="M158" s="232">
        <f t="shared" si="147"/>
        <v>0</v>
      </c>
      <c r="N158" s="252">
        <v>0</v>
      </c>
      <c r="O158" s="252"/>
      <c r="P158" s="252"/>
      <c r="Q158" s="252"/>
      <c r="R158" s="232">
        <f t="shared" si="148"/>
        <v>0</v>
      </c>
    </row>
    <row r="159" spans="1:18" s="6" customFormat="1" ht="48" hidden="1" customHeight="1">
      <c r="A159" s="277">
        <v>9590</v>
      </c>
      <c r="B159" s="179" t="s">
        <v>172</v>
      </c>
      <c r="C159" s="113"/>
      <c r="D159" s="113">
        <v>0</v>
      </c>
      <c r="E159" s="251"/>
      <c r="F159" s="252"/>
      <c r="G159" s="252"/>
      <c r="H159" s="232">
        <f t="shared" si="150"/>
        <v>0</v>
      </c>
      <c r="I159" s="252">
        <v>0</v>
      </c>
      <c r="J159" s="252"/>
      <c r="K159" s="252"/>
      <c r="L159" s="252"/>
      <c r="M159" s="232">
        <f t="shared" si="147"/>
        <v>0</v>
      </c>
      <c r="N159" s="252">
        <v>0</v>
      </c>
      <c r="O159" s="252"/>
      <c r="P159" s="252"/>
      <c r="Q159" s="252"/>
      <c r="R159" s="232">
        <f t="shared" si="148"/>
        <v>0</v>
      </c>
    </row>
    <row r="160" spans="1:18" s="6" customFormat="1" ht="24" hidden="1" customHeight="1">
      <c r="A160" s="126">
        <v>9700</v>
      </c>
      <c r="B160" s="183" t="s">
        <v>194</v>
      </c>
      <c r="C160" s="107">
        <v>0</v>
      </c>
      <c r="D160" s="107">
        <v>0</v>
      </c>
      <c r="E160" s="232">
        <f t="shared" ref="E160:G160" si="172">SUM(E161:E162)</f>
        <v>0</v>
      </c>
      <c r="F160" s="233">
        <f t="shared" si="172"/>
        <v>0</v>
      </c>
      <c r="G160" s="233">
        <f t="shared" si="172"/>
        <v>0</v>
      </c>
      <c r="H160" s="232">
        <f t="shared" si="150"/>
        <v>0</v>
      </c>
      <c r="I160" s="233">
        <v>0</v>
      </c>
      <c r="J160" s="233">
        <f t="shared" ref="J160:L160" si="173">SUM(J161:J162)</f>
        <v>0</v>
      </c>
      <c r="K160" s="233">
        <f t="shared" si="173"/>
        <v>0</v>
      </c>
      <c r="L160" s="233">
        <f t="shared" si="173"/>
        <v>0</v>
      </c>
      <c r="M160" s="232">
        <f t="shared" si="147"/>
        <v>0</v>
      </c>
      <c r="N160" s="233">
        <v>0</v>
      </c>
      <c r="O160" s="233">
        <f t="shared" ref="O160:Q160" si="174">SUM(O161:O162)</f>
        <v>0</v>
      </c>
      <c r="P160" s="233">
        <f t="shared" si="174"/>
        <v>0</v>
      </c>
      <c r="Q160" s="233">
        <f t="shared" si="174"/>
        <v>0</v>
      </c>
      <c r="R160" s="232">
        <f t="shared" si="148"/>
        <v>0</v>
      </c>
    </row>
    <row r="161" spans="1:18" s="6" customFormat="1" ht="24" hidden="1" customHeight="1">
      <c r="A161" s="277">
        <v>9710</v>
      </c>
      <c r="B161" s="184" t="s">
        <v>195</v>
      </c>
      <c r="C161" s="113"/>
      <c r="D161" s="113">
        <v>0</v>
      </c>
      <c r="E161" s="251"/>
      <c r="F161" s="252"/>
      <c r="G161" s="252"/>
      <c r="H161" s="232">
        <f t="shared" si="150"/>
        <v>0</v>
      </c>
      <c r="I161" s="252">
        <v>0</v>
      </c>
      <c r="J161" s="252"/>
      <c r="K161" s="252"/>
      <c r="L161" s="252"/>
      <c r="M161" s="232">
        <f t="shared" si="147"/>
        <v>0</v>
      </c>
      <c r="N161" s="252">
        <v>0</v>
      </c>
      <c r="O161" s="252"/>
      <c r="P161" s="252"/>
      <c r="Q161" s="252"/>
      <c r="R161" s="232">
        <f t="shared" si="148"/>
        <v>0</v>
      </c>
    </row>
    <row r="162" spans="1:18" s="6" customFormat="1" ht="48" hidden="1" customHeight="1">
      <c r="A162" s="288">
        <v>9720</v>
      </c>
      <c r="B162" s="183" t="s">
        <v>196</v>
      </c>
      <c r="C162" s="113"/>
      <c r="D162" s="113">
        <v>0</v>
      </c>
      <c r="E162" s="251"/>
      <c r="F162" s="252"/>
      <c r="G162" s="252"/>
      <c r="H162" s="232">
        <f t="shared" si="150"/>
        <v>0</v>
      </c>
      <c r="I162" s="252">
        <v>0</v>
      </c>
      <c r="J162" s="252"/>
      <c r="K162" s="252"/>
      <c r="L162" s="252"/>
      <c r="M162" s="232">
        <f t="shared" si="147"/>
        <v>0</v>
      </c>
      <c r="N162" s="252">
        <v>0</v>
      </c>
      <c r="O162" s="252"/>
      <c r="P162" s="252"/>
      <c r="Q162" s="252"/>
      <c r="R162" s="232">
        <f t="shared" si="148"/>
        <v>0</v>
      </c>
    </row>
    <row r="163" spans="1:18" s="6" customFormat="1" ht="24" hidden="1" customHeight="1">
      <c r="A163" s="126">
        <v>9600</v>
      </c>
      <c r="B163" s="179" t="s">
        <v>134</v>
      </c>
      <c r="C163" s="113"/>
      <c r="D163" s="113">
        <v>0</v>
      </c>
      <c r="E163" s="251"/>
      <c r="F163" s="252"/>
      <c r="G163" s="252"/>
      <c r="H163" s="232">
        <f t="shared" si="150"/>
        <v>0</v>
      </c>
      <c r="I163" s="252">
        <v>0</v>
      </c>
      <c r="J163" s="252"/>
      <c r="K163" s="252"/>
      <c r="L163" s="252"/>
      <c r="M163" s="232">
        <f t="shared" si="147"/>
        <v>0</v>
      </c>
      <c r="N163" s="252">
        <v>0</v>
      </c>
      <c r="O163" s="252"/>
      <c r="P163" s="252"/>
      <c r="Q163" s="252"/>
      <c r="R163" s="232">
        <f t="shared" si="148"/>
        <v>0</v>
      </c>
    </row>
    <row r="164" spans="1:18" s="6" customFormat="1" ht="57">
      <c r="A164" s="124" t="s">
        <v>197</v>
      </c>
      <c r="B164" s="185" t="s">
        <v>47</v>
      </c>
      <c r="C164" s="105">
        <v>-351580</v>
      </c>
      <c r="D164" s="105">
        <v>-558800</v>
      </c>
      <c r="E164" s="261">
        <f t="shared" ref="E164:G164" si="175">E94-E119</f>
        <v>0</v>
      </c>
      <c r="F164" s="262">
        <f t="shared" si="175"/>
        <v>0</v>
      </c>
      <c r="G164" s="262">
        <f t="shared" si="175"/>
        <v>0</v>
      </c>
      <c r="H164" s="232">
        <f t="shared" si="150"/>
        <v>-558800</v>
      </c>
      <c r="I164" s="262">
        <v>0</v>
      </c>
      <c r="J164" s="262">
        <f t="shared" ref="J164:L164" si="176">J94-J119</f>
        <v>0</v>
      </c>
      <c r="K164" s="262">
        <f t="shared" si="176"/>
        <v>0</v>
      </c>
      <c r="L164" s="262">
        <f t="shared" si="176"/>
        <v>0</v>
      </c>
      <c r="M164" s="232">
        <f t="shared" si="147"/>
        <v>0</v>
      </c>
      <c r="N164" s="262">
        <v>0</v>
      </c>
      <c r="O164" s="262">
        <f t="shared" ref="O164:Q164" si="177">O94-O119</f>
        <v>0</v>
      </c>
      <c r="P164" s="261">
        <f t="shared" si="177"/>
        <v>0</v>
      </c>
      <c r="Q164" s="262">
        <f t="shared" si="177"/>
        <v>0</v>
      </c>
      <c r="R164" s="232">
        <f t="shared" si="148"/>
        <v>0</v>
      </c>
    </row>
    <row r="165" spans="1:18" s="6" customFormat="1">
      <c r="A165" s="289" t="s">
        <v>48</v>
      </c>
      <c r="B165" s="185" t="s">
        <v>49</v>
      </c>
      <c r="C165" s="119">
        <v>351580</v>
      </c>
      <c r="D165" s="119">
        <v>558800</v>
      </c>
      <c r="E165" s="261">
        <f t="shared" ref="E165:G165" si="178">E166+E169+E173+E172</f>
        <v>0</v>
      </c>
      <c r="F165" s="262">
        <f t="shared" si="178"/>
        <v>0</v>
      </c>
      <c r="G165" s="262">
        <f t="shared" si="178"/>
        <v>0</v>
      </c>
      <c r="H165" s="232">
        <f t="shared" si="150"/>
        <v>558800</v>
      </c>
      <c r="I165" s="262">
        <v>0</v>
      </c>
      <c r="J165" s="262">
        <f t="shared" ref="J165:L165" si="179">J166+J169+J173+J172</f>
        <v>0</v>
      </c>
      <c r="K165" s="262">
        <f t="shared" si="179"/>
        <v>0</v>
      </c>
      <c r="L165" s="262">
        <f t="shared" si="179"/>
        <v>0</v>
      </c>
      <c r="M165" s="232">
        <f t="shared" si="147"/>
        <v>0</v>
      </c>
      <c r="N165" s="262">
        <v>0</v>
      </c>
      <c r="O165" s="262">
        <f t="shared" ref="O165:Q165" si="180">O166+O169+O173+O172</f>
        <v>0</v>
      </c>
      <c r="P165" s="262">
        <f t="shared" si="180"/>
        <v>0</v>
      </c>
      <c r="Q165" s="262">
        <f t="shared" si="180"/>
        <v>0</v>
      </c>
      <c r="R165" s="232">
        <f t="shared" si="148"/>
        <v>0</v>
      </c>
    </row>
    <row r="166" spans="1:18" s="6" customFormat="1" ht="12" hidden="1" customHeight="1">
      <c r="A166" s="126" t="s">
        <v>50</v>
      </c>
      <c r="B166" s="179" t="s">
        <v>51</v>
      </c>
      <c r="C166" s="105">
        <v>0</v>
      </c>
      <c r="D166" s="105">
        <v>0</v>
      </c>
      <c r="E166" s="230">
        <f t="shared" ref="E166:G166" si="181">E167+E168</f>
        <v>0</v>
      </c>
      <c r="F166" s="231">
        <f t="shared" si="181"/>
        <v>0</v>
      </c>
      <c r="G166" s="231">
        <f t="shared" si="181"/>
        <v>0</v>
      </c>
      <c r="H166" s="232">
        <f t="shared" si="150"/>
        <v>0</v>
      </c>
      <c r="I166" s="231">
        <v>0</v>
      </c>
      <c r="J166" s="231">
        <f t="shared" ref="J166:L166" si="182">J167+J168</f>
        <v>0</v>
      </c>
      <c r="K166" s="231">
        <f t="shared" si="182"/>
        <v>0</v>
      </c>
      <c r="L166" s="231">
        <f t="shared" si="182"/>
        <v>0</v>
      </c>
      <c r="M166" s="232">
        <f t="shared" si="147"/>
        <v>0</v>
      </c>
      <c r="N166" s="231">
        <v>0</v>
      </c>
      <c r="O166" s="231">
        <f t="shared" ref="O166:Q166" si="183">O167+O168</f>
        <v>0</v>
      </c>
      <c r="P166" s="231">
        <f t="shared" si="183"/>
        <v>0</v>
      </c>
      <c r="Q166" s="231">
        <f t="shared" si="183"/>
        <v>0</v>
      </c>
      <c r="R166" s="232">
        <f t="shared" si="148"/>
        <v>0</v>
      </c>
    </row>
    <row r="167" spans="1:18" s="6" customFormat="1" ht="12" hidden="1" customHeight="1">
      <c r="A167" s="126" t="s">
        <v>52</v>
      </c>
      <c r="B167" s="179" t="s">
        <v>53</v>
      </c>
      <c r="C167" s="105"/>
      <c r="D167" s="105">
        <v>0</v>
      </c>
      <c r="E167" s="230"/>
      <c r="F167" s="231"/>
      <c r="G167" s="231"/>
      <c r="H167" s="232">
        <f t="shared" si="150"/>
        <v>0</v>
      </c>
      <c r="I167" s="231">
        <v>0</v>
      </c>
      <c r="J167" s="231"/>
      <c r="K167" s="231"/>
      <c r="L167" s="231"/>
      <c r="M167" s="232">
        <f t="shared" si="147"/>
        <v>0</v>
      </c>
      <c r="N167" s="231">
        <v>0</v>
      </c>
      <c r="O167" s="231"/>
      <c r="P167" s="231"/>
      <c r="Q167" s="231"/>
      <c r="R167" s="232">
        <f t="shared" si="148"/>
        <v>0</v>
      </c>
    </row>
    <row r="168" spans="1:18" s="6" customFormat="1" ht="12" hidden="1" customHeight="1">
      <c r="A168" s="126" t="s">
        <v>54</v>
      </c>
      <c r="B168" s="179" t="s">
        <v>55</v>
      </c>
      <c r="C168" s="105"/>
      <c r="D168" s="105">
        <v>0</v>
      </c>
      <c r="E168" s="230"/>
      <c r="F168" s="231"/>
      <c r="G168" s="231"/>
      <c r="H168" s="232">
        <f t="shared" si="150"/>
        <v>0</v>
      </c>
      <c r="I168" s="231">
        <v>0</v>
      </c>
      <c r="J168" s="231"/>
      <c r="K168" s="231"/>
      <c r="L168" s="231"/>
      <c r="M168" s="232">
        <f t="shared" si="147"/>
        <v>0</v>
      </c>
      <c r="N168" s="231">
        <v>0</v>
      </c>
      <c r="O168" s="231"/>
      <c r="P168" s="231"/>
      <c r="Q168" s="231"/>
      <c r="R168" s="232">
        <f t="shared" si="148"/>
        <v>0</v>
      </c>
    </row>
    <row r="169" spans="1:18" s="6" customFormat="1" ht="12" hidden="1" customHeight="1">
      <c r="A169" s="126" t="s">
        <v>56</v>
      </c>
      <c r="B169" s="179" t="s">
        <v>57</v>
      </c>
      <c r="C169" s="105">
        <v>0</v>
      </c>
      <c r="D169" s="105">
        <v>0</v>
      </c>
      <c r="E169" s="230">
        <f t="shared" ref="E169:G169" si="184">E170+E171</f>
        <v>0</v>
      </c>
      <c r="F169" s="231">
        <f t="shared" si="184"/>
        <v>0</v>
      </c>
      <c r="G169" s="231">
        <f t="shared" si="184"/>
        <v>0</v>
      </c>
      <c r="H169" s="232">
        <f t="shared" si="150"/>
        <v>0</v>
      </c>
      <c r="I169" s="231">
        <v>0</v>
      </c>
      <c r="J169" s="231">
        <f t="shared" ref="J169:L169" si="185">J170+J171</f>
        <v>0</v>
      </c>
      <c r="K169" s="231">
        <f t="shared" si="185"/>
        <v>0</v>
      </c>
      <c r="L169" s="231">
        <f t="shared" si="185"/>
        <v>0</v>
      </c>
      <c r="M169" s="232">
        <f t="shared" si="147"/>
        <v>0</v>
      </c>
      <c r="N169" s="231">
        <v>0</v>
      </c>
      <c r="O169" s="231">
        <f t="shared" ref="O169:Q169" si="186">O170+O171</f>
        <v>0</v>
      </c>
      <c r="P169" s="231">
        <f t="shared" si="186"/>
        <v>0</v>
      </c>
      <c r="Q169" s="231">
        <f t="shared" si="186"/>
        <v>0</v>
      </c>
      <c r="R169" s="232">
        <f t="shared" si="148"/>
        <v>0</v>
      </c>
    </row>
    <row r="170" spans="1:18" s="6" customFormat="1" ht="12" hidden="1" customHeight="1">
      <c r="A170" s="126" t="s">
        <v>58</v>
      </c>
      <c r="B170" s="179" t="s">
        <v>59</v>
      </c>
      <c r="C170" s="105"/>
      <c r="D170" s="105">
        <v>0</v>
      </c>
      <c r="E170" s="230"/>
      <c r="F170" s="231"/>
      <c r="G170" s="231"/>
      <c r="H170" s="232">
        <f t="shared" si="150"/>
        <v>0</v>
      </c>
      <c r="I170" s="231">
        <v>0</v>
      </c>
      <c r="J170" s="231"/>
      <c r="K170" s="231"/>
      <c r="L170" s="231"/>
      <c r="M170" s="232">
        <f t="shared" si="147"/>
        <v>0</v>
      </c>
      <c r="N170" s="231">
        <v>0</v>
      </c>
      <c r="O170" s="231"/>
      <c r="P170" s="231"/>
      <c r="Q170" s="231"/>
      <c r="R170" s="232">
        <f t="shared" si="148"/>
        <v>0</v>
      </c>
    </row>
    <row r="171" spans="1:18" s="6" customFormat="1" ht="12" hidden="1" customHeight="1">
      <c r="A171" s="126" t="s">
        <v>60</v>
      </c>
      <c r="B171" s="179" t="s">
        <v>61</v>
      </c>
      <c r="C171" s="105"/>
      <c r="D171" s="105">
        <v>0</v>
      </c>
      <c r="E171" s="230"/>
      <c r="F171" s="231"/>
      <c r="G171" s="231"/>
      <c r="H171" s="232">
        <f t="shared" si="150"/>
        <v>0</v>
      </c>
      <c r="I171" s="231">
        <v>0</v>
      </c>
      <c r="J171" s="231"/>
      <c r="K171" s="231"/>
      <c r="L171" s="231"/>
      <c r="M171" s="232">
        <f t="shared" si="147"/>
        <v>0</v>
      </c>
      <c r="N171" s="231">
        <v>0</v>
      </c>
      <c r="O171" s="231"/>
      <c r="P171" s="231"/>
      <c r="Q171" s="231"/>
      <c r="R171" s="232">
        <f t="shared" si="148"/>
        <v>0</v>
      </c>
    </row>
    <row r="172" spans="1:18" s="6" customFormat="1" ht="12" hidden="1" customHeight="1">
      <c r="A172" s="126" t="s">
        <v>198</v>
      </c>
      <c r="B172" s="187" t="s">
        <v>168</v>
      </c>
      <c r="C172" s="105"/>
      <c r="D172" s="105">
        <v>0</v>
      </c>
      <c r="E172" s="230"/>
      <c r="F172" s="231"/>
      <c r="G172" s="231"/>
      <c r="H172" s="232">
        <f t="shared" si="150"/>
        <v>0</v>
      </c>
      <c r="I172" s="231">
        <v>0</v>
      </c>
      <c r="J172" s="231"/>
      <c r="K172" s="231"/>
      <c r="L172" s="231"/>
      <c r="M172" s="232">
        <f t="shared" si="147"/>
        <v>0</v>
      </c>
      <c r="N172" s="231">
        <v>0</v>
      </c>
      <c r="O172" s="231"/>
      <c r="P172" s="231"/>
      <c r="Q172" s="231"/>
      <c r="R172" s="232">
        <f t="shared" si="148"/>
        <v>0</v>
      </c>
    </row>
    <row r="173" spans="1:18" s="6" customFormat="1">
      <c r="A173" s="290" t="s">
        <v>62</v>
      </c>
      <c r="B173" s="125" t="s">
        <v>63</v>
      </c>
      <c r="C173" s="107">
        <v>351580</v>
      </c>
      <c r="D173" s="107">
        <v>558800</v>
      </c>
      <c r="E173" s="232">
        <f t="shared" ref="E173:G173" si="187">E174+E175+E176</f>
        <v>0</v>
      </c>
      <c r="F173" s="233">
        <f t="shared" si="187"/>
        <v>0</v>
      </c>
      <c r="G173" s="233">
        <f t="shared" si="187"/>
        <v>0</v>
      </c>
      <c r="H173" s="232">
        <f t="shared" si="150"/>
        <v>558800</v>
      </c>
      <c r="I173" s="233">
        <v>0</v>
      </c>
      <c r="J173" s="233">
        <f t="shared" ref="J173:L173" si="188">J174+J175+J176</f>
        <v>0</v>
      </c>
      <c r="K173" s="233">
        <f t="shared" si="188"/>
        <v>0</v>
      </c>
      <c r="L173" s="233">
        <f t="shared" si="188"/>
        <v>0</v>
      </c>
      <c r="M173" s="232">
        <f t="shared" si="147"/>
        <v>0</v>
      </c>
      <c r="N173" s="233">
        <v>0</v>
      </c>
      <c r="O173" s="233">
        <f t="shared" ref="O173:Q173" si="189">O174+O175+O176</f>
        <v>0</v>
      </c>
      <c r="P173" s="233">
        <f t="shared" si="189"/>
        <v>0</v>
      </c>
      <c r="Q173" s="233">
        <f t="shared" si="189"/>
        <v>0</v>
      </c>
      <c r="R173" s="232">
        <f t="shared" si="148"/>
        <v>0</v>
      </c>
    </row>
    <row r="174" spans="1:18" s="6" customFormat="1" ht="36">
      <c r="A174" s="290" t="s">
        <v>64</v>
      </c>
      <c r="B174" s="179" t="s">
        <v>65</v>
      </c>
      <c r="C174" s="105">
        <v>351580</v>
      </c>
      <c r="D174" s="105">
        <v>558800</v>
      </c>
      <c r="E174" s="230"/>
      <c r="F174" s="231"/>
      <c r="G174" s="231"/>
      <c r="H174" s="232">
        <f t="shared" si="150"/>
        <v>558800</v>
      </c>
      <c r="I174" s="231">
        <v>0</v>
      </c>
      <c r="J174" s="231"/>
      <c r="K174" s="231"/>
      <c r="L174" s="231"/>
      <c r="M174" s="232">
        <f t="shared" si="147"/>
        <v>0</v>
      </c>
      <c r="N174" s="231">
        <v>0</v>
      </c>
      <c r="O174" s="231"/>
      <c r="P174" s="231"/>
      <c r="Q174" s="231"/>
      <c r="R174" s="232">
        <f t="shared" si="148"/>
        <v>0</v>
      </c>
    </row>
    <row r="175" spans="1:18" s="6" customFormat="1" ht="36" hidden="1" customHeight="1">
      <c r="A175" s="290" t="s">
        <v>66</v>
      </c>
      <c r="B175" s="179" t="s">
        <v>67</v>
      </c>
      <c r="C175" s="169"/>
      <c r="D175" s="169">
        <v>0</v>
      </c>
      <c r="E175" s="230"/>
      <c r="F175" s="231"/>
      <c r="G175" s="231"/>
      <c r="H175" s="232">
        <f t="shared" si="150"/>
        <v>0</v>
      </c>
      <c r="I175" s="231">
        <v>0</v>
      </c>
      <c r="J175" s="231"/>
      <c r="K175" s="231"/>
      <c r="L175" s="231"/>
      <c r="M175" s="232">
        <f t="shared" si="147"/>
        <v>0</v>
      </c>
      <c r="N175" s="231">
        <v>0</v>
      </c>
      <c r="O175" s="231"/>
      <c r="P175" s="231"/>
      <c r="Q175" s="231"/>
      <c r="R175" s="232">
        <f t="shared" si="148"/>
        <v>0</v>
      </c>
    </row>
    <row r="176" spans="1:18" s="6" customFormat="1" ht="24" hidden="1" customHeight="1">
      <c r="A176" s="290" t="s">
        <v>68</v>
      </c>
      <c r="B176" s="125" t="s">
        <v>69</v>
      </c>
      <c r="C176" s="169"/>
      <c r="D176" s="169">
        <v>0</v>
      </c>
      <c r="E176" s="230"/>
      <c r="F176" s="231"/>
      <c r="G176" s="231"/>
      <c r="H176" s="232">
        <f t="shared" si="150"/>
        <v>0</v>
      </c>
      <c r="I176" s="231">
        <v>0</v>
      </c>
      <c r="J176" s="231"/>
      <c r="K176" s="231"/>
      <c r="L176" s="231"/>
      <c r="M176" s="232">
        <f t="shared" si="147"/>
        <v>0</v>
      </c>
      <c r="N176" s="231">
        <v>0</v>
      </c>
      <c r="O176" s="231"/>
      <c r="P176" s="231"/>
      <c r="Q176" s="231"/>
      <c r="R176" s="232">
        <f t="shared" si="148"/>
        <v>0</v>
      </c>
    </row>
    <row r="177" spans="1:18" s="6" customFormat="1" ht="34.200000000000003">
      <c r="A177" s="291"/>
      <c r="B177" s="188" t="s">
        <v>200</v>
      </c>
      <c r="C177" s="293"/>
      <c r="D177" s="294"/>
      <c r="E177" s="269"/>
      <c r="F177" s="268"/>
      <c r="G177" s="268"/>
      <c r="H177" s="269">
        <f t="shared" si="150"/>
        <v>0</v>
      </c>
      <c r="I177" s="347"/>
      <c r="J177" s="268"/>
      <c r="K177" s="268"/>
      <c r="L177" s="268"/>
      <c r="M177" s="269">
        <f t="shared" si="147"/>
        <v>0</v>
      </c>
      <c r="N177" s="347"/>
      <c r="O177" s="268"/>
      <c r="P177" s="268"/>
      <c r="Q177" s="268"/>
      <c r="R177" s="269">
        <f t="shared" si="148"/>
        <v>0</v>
      </c>
    </row>
    <row r="178" spans="1:18" s="6" customFormat="1" ht="22.8">
      <c r="A178" s="123" t="s">
        <v>201</v>
      </c>
      <c r="B178" s="123" t="s">
        <v>88</v>
      </c>
      <c r="C178" s="167">
        <v>8755717</v>
      </c>
      <c r="D178" s="167">
        <v>695298</v>
      </c>
      <c r="E178" s="227">
        <f>E179+E180+E182+E200</f>
        <v>2145394</v>
      </c>
      <c r="F178" s="228">
        <f t="shared" ref="F178:G178" si="190">F179+F180+F182+F200</f>
        <v>0</v>
      </c>
      <c r="G178" s="228">
        <f t="shared" si="190"/>
        <v>0</v>
      </c>
      <c r="H178" s="229">
        <f t="shared" si="150"/>
        <v>2840692</v>
      </c>
      <c r="I178" s="228">
        <v>102352</v>
      </c>
      <c r="J178" s="228">
        <f t="shared" ref="J178:L178" si="191">J179+J180+J182+J200</f>
        <v>3083</v>
      </c>
      <c r="K178" s="228">
        <f t="shared" si="191"/>
        <v>0</v>
      </c>
      <c r="L178" s="228">
        <f t="shared" si="191"/>
        <v>0</v>
      </c>
      <c r="M178" s="229">
        <f t="shared" si="147"/>
        <v>105435</v>
      </c>
      <c r="N178" s="228">
        <v>0</v>
      </c>
      <c r="O178" s="228">
        <f t="shared" ref="O178:Q178" si="192">O179+O180+O182+O200</f>
        <v>0</v>
      </c>
      <c r="P178" s="228">
        <f t="shared" si="192"/>
        <v>0</v>
      </c>
      <c r="Q178" s="228">
        <f t="shared" si="192"/>
        <v>0</v>
      </c>
      <c r="R178" s="229">
        <f t="shared" si="148"/>
        <v>0</v>
      </c>
    </row>
    <row r="179" spans="1:18" s="6" customFormat="1" ht="24" hidden="1" customHeight="1">
      <c r="A179" s="124" t="s">
        <v>177</v>
      </c>
      <c r="B179" s="124" t="s">
        <v>90</v>
      </c>
      <c r="C179" s="169"/>
      <c r="D179" s="169">
        <v>0</v>
      </c>
      <c r="E179" s="230"/>
      <c r="F179" s="231"/>
      <c r="G179" s="231"/>
      <c r="H179" s="232">
        <f t="shared" si="150"/>
        <v>0</v>
      </c>
      <c r="I179" s="231">
        <v>0</v>
      </c>
      <c r="J179" s="231"/>
      <c r="K179" s="231"/>
      <c r="L179" s="231"/>
      <c r="M179" s="232">
        <f t="shared" si="147"/>
        <v>0</v>
      </c>
      <c r="N179" s="231">
        <v>0</v>
      </c>
      <c r="O179" s="231"/>
      <c r="P179" s="231"/>
      <c r="Q179" s="231"/>
      <c r="R179" s="232">
        <f t="shared" si="148"/>
        <v>0</v>
      </c>
    </row>
    <row r="180" spans="1:18" s="6" customFormat="1">
      <c r="A180" s="124" t="s">
        <v>91</v>
      </c>
      <c r="B180" s="124" t="s">
        <v>92</v>
      </c>
      <c r="C180" s="105">
        <v>552026</v>
      </c>
      <c r="D180" s="105">
        <v>380900</v>
      </c>
      <c r="E180" s="230">
        <f>E480+E489</f>
        <v>97664</v>
      </c>
      <c r="F180" s="231"/>
      <c r="G180" s="231"/>
      <c r="H180" s="232">
        <f t="shared" si="150"/>
        <v>478564</v>
      </c>
      <c r="I180" s="231">
        <v>102352</v>
      </c>
      <c r="J180" s="230">
        <f>J480+J489</f>
        <v>3083</v>
      </c>
      <c r="K180" s="231"/>
      <c r="L180" s="231"/>
      <c r="M180" s="232">
        <f>SUM(I180:L180)</f>
        <v>105435</v>
      </c>
      <c r="N180" s="231">
        <v>0</v>
      </c>
      <c r="O180" s="230">
        <f>O480+O489</f>
        <v>0</v>
      </c>
      <c r="P180" s="231"/>
      <c r="Q180" s="231"/>
      <c r="R180" s="232">
        <f t="shared" si="148"/>
        <v>0</v>
      </c>
    </row>
    <row r="181" spans="1:18" s="29" customFormat="1" ht="24">
      <c r="A181" s="125">
        <v>21210</v>
      </c>
      <c r="B181" s="125" t="s">
        <v>93</v>
      </c>
      <c r="C181" s="105">
        <v>48041</v>
      </c>
      <c r="D181" s="105">
        <v>137542</v>
      </c>
      <c r="E181" s="230"/>
      <c r="F181" s="231"/>
      <c r="G181" s="231"/>
      <c r="H181" s="232">
        <f t="shared" si="150"/>
        <v>137542</v>
      </c>
      <c r="I181" s="231">
        <v>83260</v>
      </c>
      <c r="J181" s="231"/>
      <c r="K181" s="231"/>
      <c r="L181" s="231"/>
      <c r="M181" s="232">
        <f t="shared" si="147"/>
        <v>83260</v>
      </c>
      <c r="N181" s="231">
        <v>0</v>
      </c>
      <c r="O181" s="231"/>
      <c r="P181" s="231"/>
      <c r="Q181" s="231"/>
      <c r="R181" s="232">
        <f t="shared" si="148"/>
        <v>0</v>
      </c>
    </row>
    <row r="182" spans="1:18" s="89" customFormat="1" ht="22.8">
      <c r="A182" s="124" t="s">
        <v>178</v>
      </c>
      <c r="B182" s="124" t="s">
        <v>94</v>
      </c>
      <c r="C182" s="107">
        <v>4534</v>
      </c>
      <c r="D182" s="107">
        <v>0</v>
      </c>
      <c r="E182" s="232">
        <f t="shared" ref="E182:G182" si="193">E183+E189</f>
        <v>0</v>
      </c>
      <c r="F182" s="233">
        <f t="shared" si="193"/>
        <v>0</v>
      </c>
      <c r="G182" s="233">
        <f t="shared" si="193"/>
        <v>0</v>
      </c>
      <c r="H182" s="232">
        <f t="shared" si="150"/>
        <v>0</v>
      </c>
      <c r="I182" s="233">
        <v>0</v>
      </c>
      <c r="J182" s="233">
        <f t="shared" ref="J182:L182" si="194">J183+J189</f>
        <v>0</v>
      </c>
      <c r="K182" s="233">
        <f t="shared" si="194"/>
        <v>0</v>
      </c>
      <c r="L182" s="233">
        <f t="shared" si="194"/>
        <v>0</v>
      </c>
      <c r="M182" s="232">
        <f t="shared" si="147"/>
        <v>0</v>
      </c>
      <c r="N182" s="233">
        <v>0</v>
      </c>
      <c r="O182" s="233">
        <f t="shared" ref="O182:Q182" si="195">O183+O189</f>
        <v>0</v>
      </c>
      <c r="P182" s="233">
        <f t="shared" si="195"/>
        <v>0</v>
      </c>
      <c r="Q182" s="233">
        <f t="shared" si="195"/>
        <v>0</v>
      </c>
      <c r="R182" s="232">
        <f t="shared" si="148"/>
        <v>0</v>
      </c>
    </row>
    <row r="183" spans="1:18" s="89" customFormat="1">
      <c r="A183" s="276">
        <v>18000</v>
      </c>
      <c r="B183" s="125" t="s">
        <v>95</v>
      </c>
      <c r="C183" s="107">
        <v>4534</v>
      </c>
      <c r="D183" s="107">
        <v>0</v>
      </c>
      <c r="E183" s="232">
        <f t="shared" ref="E183:L184" si="196">E184</f>
        <v>0</v>
      </c>
      <c r="F183" s="233">
        <f t="shared" si="196"/>
        <v>0</v>
      </c>
      <c r="G183" s="233">
        <f t="shared" si="196"/>
        <v>0</v>
      </c>
      <c r="H183" s="232">
        <f t="shared" si="150"/>
        <v>0</v>
      </c>
      <c r="I183" s="233">
        <v>0</v>
      </c>
      <c r="J183" s="233">
        <f t="shared" si="196"/>
        <v>0</v>
      </c>
      <c r="K183" s="233">
        <f t="shared" si="196"/>
        <v>0</v>
      </c>
      <c r="L183" s="233">
        <f t="shared" si="196"/>
        <v>0</v>
      </c>
      <c r="M183" s="232">
        <f t="shared" si="147"/>
        <v>0</v>
      </c>
      <c r="N183" s="233">
        <v>0</v>
      </c>
      <c r="O183" s="233">
        <f t="shared" ref="O183:Q184" si="197">O184</f>
        <v>0</v>
      </c>
      <c r="P183" s="233">
        <f t="shared" si="197"/>
        <v>0</v>
      </c>
      <c r="Q183" s="233">
        <f t="shared" si="197"/>
        <v>0</v>
      </c>
      <c r="R183" s="232">
        <f t="shared" si="148"/>
        <v>0</v>
      </c>
    </row>
    <row r="184" spans="1:18" s="89" customFormat="1">
      <c r="A184" s="276">
        <v>18100</v>
      </c>
      <c r="B184" s="125" t="s">
        <v>96</v>
      </c>
      <c r="C184" s="107">
        <v>4534</v>
      </c>
      <c r="D184" s="107">
        <v>0</v>
      </c>
      <c r="E184" s="232">
        <f t="shared" si="196"/>
        <v>0</v>
      </c>
      <c r="F184" s="233">
        <f t="shared" si="196"/>
        <v>0</v>
      </c>
      <c r="G184" s="233">
        <f t="shared" si="196"/>
        <v>0</v>
      </c>
      <c r="H184" s="232">
        <f t="shared" si="150"/>
        <v>0</v>
      </c>
      <c r="I184" s="233">
        <v>0</v>
      </c>
      <c r="J184" s="233">
        <f t="shared" si="196"/>
        <v>0</v>
      </c>
      <c r="K184" s="233">
        <f t="shared" si="196"/>
        <v>0</v>
      </c>
      <c r="L184" s="233">
        <f t="shared" si="196"/>
        <v>0</v>
      </c>
      <c r="M184" s="232">
        <f t="shared" si="147"/>
        <v>0</v>
      </c>
      <c r="N184" s="233">
        <v>0</v>
      </c>
      <c r="O184" s="233">
        <f t="shared" si="197"/>
        <v>0</v>
      </c>
      <c r="P184" s="233">
        <f t="shared" si="197"/>
        <v>0</v>
      </c>
      <c r="Q184" s="233">
        <f t="shared" si="197"/>
        <v>0</v>
      </c>
      <c r="R184" s="232">
        <f t="shared" si="148"/>
        <v>0</v>
      </c>
    </row>
    <row r="185" spans="1:18" s="89" customFormat="1" ht="24">
      <c r="A185" s="277">
        <v>18130</v>
      </c>
      <c r="B185" s="172" t="s">
        <v>159</v>
      </c>
      <c r="C185" s="107">
        <v>4534</v>
      </c>
      <c r="D185" s="107">
        <v>0</v>
      </c>
      <c r="E185" s="232">
        <f t="shared" ref="E185:G185" si="198">SUM(E186:E188)</f>
        <v>0</v>
      </c>
      <c r="F185" s="233">
        <f t="shared" si="198"/>
        <v>0</v>
      </c>
      <c r="G185" s="233">
        <f t="shared" si="198"/>
        <v>0</v>
      </c>
      <c r="H185" s="232">
        <f t="shared" si="150"/>
        <v>0</v>
      </c>
      <c r="I185" s="233">
        <v>0</v>
      </c>
      <c r="J185" s="233">
        <f t="shared" ref="J185:L185" si="199">SUM(J186:J188)</f>
        <v>0</v>
      </c>
      <c r="K185" s="233">
        <f t="shared" si="199"/>
        <v>0</v>
      </c>
      <c r="L185" s="233">
        <f t="shared" si="199"/>
        <v>0</v>
      </c>
      <c r="M185" s="232">
        <f t="shared" si="147"/>
        <v>0</v>
      </c>
      <c r="N185" s="233">
        <v>0</v>
      </c>
      <c r="O185" s="233">
        <f t="shared" ref="O185:Q185" si="200">SUM(O186:O188)</f>
        <v>0</v>
      </c>
      <c r="P185" s="233">
        <f t="shared" si="200"/>
        <v>0</v>
      </c>
      <c r="Q185" s="233">
        <f t="shared" si="200"/>
        <v>0</v>
      </c>
      <c r="R185" s="232">
        <f t="shared" si="148"/>
        <v>0</v>
      </c>
    </row>
    <row r="186" spans="1:18" s="89" customFormat="1" ht="36" hidden="1" customHeight="1">
      <c r="A186" s="278">
        <v>18131</v>
      </c>
      <c r="B186" s="172" t="s">
        <v>160</v>
      </c>
      <c r="C186" s="107"/>
      <c r="D186" s="107">
        <v>0</v>
      </c>
      <c r="E186" s="232"/>
      <c r="F186" s="233"/>
      <c r="G186" s="233"/>
      <c r="H186" s="232">
        <f t="shared" si="150"/>
        <v>0</v>
      </c>
      <c r="I186" s="233">
        <v>0</v>
      </c>
      <c r="J186" s="233"/>
      <c r="K186" s="233"/>
      <c r="L186" s="233"/>
      <c r="M186" s="232">
        <f t="shared" si="147"/>
        <v>0</v>
      </c>
      <c r="N186" s="233">
        <v>0</v>
      </c>
      <c r="O186" s="233"/>
      <c r="P186" s="233"/>
      <c r="Q186" s="233"/>
      <c r="R186" s="232">
        <f t="shared" si="148"/>
        <v>0</v>
      </c>
    </row>
    <row r="187" spans="1:18" s="89" customFormat="1" ht="24">
      <c r="A187" s="278">
        <v>18132</v>
      </c>
      <c r="B187" s="172" t="s">
        <v>169</v>
      </c>
      <c r="C187" s="107">
        <v>4534</v>
      </c>
      <c r="D187" s="107">
        <v>0</v>
      </c>
      <c r="E187" s="232"/>
      <c r="F187" s="233"/>
      <c r="G187" s="233"/>
      <c r="H187" s="232">
        <f t="shared" si="150"/>
        <v>0</v>
      </c>
      <c r="I187" s="233">
        <v>0</v>
      </c>
      <c r="J187" s="233"/>
      <c r="K187" s="233"/>
      <c r="L187" s="233"/>
      <c r="M187" s="232">
        <f t="shared" si="147"/>
        <v>0</v>
      </c>
      <c r="N187" s="233">
        <v>0</v>
      </c>
      <c r="O187" s="233"/>
      <c r="P187" s="233"/>
      <c r="Q187" s="233"/>
      <c r="R187" s="232">
        <f t="shared" si="148"/>
        <v>0</v>
      </c>
    </row>
    <row r="188" spans="1:18" s="89" customFormat="1" ht="24" hidden="1" customHeight="1">
      <c r="A188" s="278">
        <v>18139</v>
      </c>
      <c r="B188" s="172" t="s">
        <v>179</v>
      </c>
      <c r="C188" s="107"/>
      <c r="D188" s="107">
        <v>0</v>
      </c>
      <c r="E188" s="232"/>
      <c r="F188" s="233"/>
      <c r="G188" s="233"/>
      <c r="H188" s="232">
        <f t="shared" si="150"/>
        <v>0</v>
      </c>
      <c r="I188" s="233">
        <v>0</v>
      </c>
      <c r="J188" s="233"/>
      <c r="K188" s="233"/>
      <c r="L188" s="233"/>
      <c r="M188" s="232">
        <f t="shared" si="147"/>
        <v>0</v>
      </c>
      <c r="N188" s="233">
        <v>0</v>
      </c>
      <c r="O188" s="233"/>
      <c r="P188" s="233"/>
      <c r="Q188" s="233"/>
      <c r="R188" s="232">
        <f t="shared" si="148"/>
        <v>0</v>
      </c>
    </row>
    <row r="189" spans="1:18" s="89" customFormat="1" ht="12" hidden="1" customHeight="1">
      <c r="A189" s="279" t="s">
        <v>180</v>
      </c>
      <c r="B189" s="173" t="s">
        <v>173</v>
      </c>
      <c r="C189" s="110">
        <v>0</v>
      </c>
      <c r="D189" s="110">
        <v>0</v>
      </c>
      <c r="E189" s="237">
        <f t="shared" ref="E189:L189" si="201">E190</f>
        <v>0</v>
      </c>
      <c r="F189" s="238">
        <f t="shared" si="201"/>
        <v>0</v>
      </c>
      <c r="G189" s="238">
        <f t="shared" si="201"/>
        <v>0</v>
      </c>
      <c r="H189" s="232">
        <f t="shared" si="150"/>
        <v>0</v>
      </c>
      <c r="I189" s="238">
        <v>0</v>
      </c>
      <c r="J189" s="238">
        <f t="shared" si="201"/>
        <v>0</v>
      </c>
      <c r="K189" s="238">
        <f t="shared" si="201"/>
        <v>0</v>
      </c>
      <c r="L189" s="238">
        <f t="shared" si="201"/>
        <v>0</v>
      </c>
      <c r="M189" s="232">
        <f t="shared" si="147"/>
        <v>0</v>
      </c>
      <c r="N189" s="238">
        <v>0</v>
      </c>
      <c r="O189" s="238">
        <f t="shared" ref="O189:Q189" si="202">O190</f>
        <v>0</v>
      </c>
      <c r="P189" s="238">
        <f t="shared" si="202"/>
        <v>0</v>
      </c>
      <c r="Q189" s="238">
        <f t="shared" si="202"/>
        <v>0</v>
      </c>
      <c r="R189" s="232">
        <f t="shared" si="148"/>
        <v>0</v>
      </c>
    </row>
    <row r="190" spans="1:18" s="89" customFormat="1" ht="24" hidden="1" customHeight="1">
      <c r="A190" s="279">
        <v>19500</v>
      </c>
      <c r="B190" s="172" t="s">
        <v>174</v>
      </c>
      <c r="C190" s="107">
        <v>0</v>
      </c>
      <c r="D190" s="107">
        <v>0</v>
      </c>
      <c r="E190" s="232">
        <f t="shared" ref="E190:G190" si="203">SUM(E191:E193)</f>
        <v>0</v>
      </c>
      <c r="F190" s="233">
        <f t="shared" si="203"/>
        <v>0</v>
      </c>
      <c r="G190" s="233">
        <f t="shared" si="203"/>
        <v>0</v>
      </c>
      <c r="H190" s="232">
        <f t="shared" si="150"/>
        <v>0</v>
      </c>
      <c r="I190" s="233">
        <v>0</v>
      </c>
      <c r="J190" s="233">
        <f t="shared" ref="J190:L190" si="204">SUM(J191:J193)</f>
        <v>0</v>
      </c>
      <c r="K190" s="233">
        <f t="shared" si="204"/>
        <v>0</v>
      </c>
      <c r="L190" s="233">
        <f t="shared" si="204"/>
        <v>0</v>
      </c>
      <c r="M190" s="232">
        <f t="shared" si="147"/>
        <v>0</v>
      </c>
      <c r="N190" s="233">
        <v>0</v>
      </c>
      <c r="O190" s="233">
        <f t="shared" ref="O190:Q190" si="205">SUM(O191:O193)</f>
        <v>0</v>
      </c>
      <c r="P190" s="233">
        <f t="shared" si="205"/>
        <v>0</v>
      </c>
      <c r="Q190" s="233">
        <f t="shared" si="205"/>
        <v>0</v>
      </c>
      <c r="R190" s="232">
        <f t="shared" si="148"/>
        <v>0</v>
      </c>
    </row>
    <row r="191" spans="1:18" s="89" customFormat="1" ht="24" hidden="1" customHeight="1">
      <c r="A191" s="280">
        <v>19550</v>
      </c>
      <c r="B191" s="172" t="s">
        <v>175</v>
      </c>
      <c r="C191" s="107"/>
      <c r="D191" s="107">
        <v>0</v>
      </c>
      <c r="E191" s="232"/>
      <c r="F191" s="233"/>
      <c r="G191" s="233"/>
      <c r="H191" s="232">
        <f t="shared" si="150"/>
        <v>0</v>
      </c>
      <c r="I191" s="233">
        <v>0</v>
      </c>
      <c r="J191" s="233"/>
      <c r="K191" s="233"/>
      <c r="L191" s="233"/>
      <c r="M191" s="232">
        <f t="shared" si="147"/>
        <v>0</v>
      </c>
      <c r="N191" s="233">
        <v>0</v>
      </c>
      <c r="O191" s="233"/>
      <c r="P191" s="233"/>
      <c r="Q191" s="233"/>
      <c r="R191" s="232">
        <f t="shared" si="148"/>
        <v>0</v>
      </c>
    </row>
    <row r="192" spans="1:18" s="89" customFormat="1" ht="36" hidden="1" customHeight="1">
      <c r="A192" s="280">
        <v>19560</v>
      </c>
      <c r="B192" s="172" t="s">
        <v>181</v>
      </c>
      <c r="C192" s="107"/>
      <c r="D192" s="107">
        <v>0</v>
      </c>
      <c r="E192" s="232"/>
      <c r="F192" s="233"/>
      <c r="G192" s="233"/>
      <c r="H192" s="232">
        <f t="shared" si="150"/>
        <v>0</v>
      </c>
      <c r="I192" s="233">
        <v>0</v>
      </c>
      <c r="J192" s="233"/>
      <c r="K192" s="233"/>
      <c r="L192" s="233"/>
      <c r="M192" s="232">
        <f t="shared" si="147"/>
        <v>0</v>
      </c>
      <c r="N192" s="233">
        <v>0</v>
      </c>
      <c r="O192" s="233"/>
      <c r="P192" s="233"/>
      <c r="Q192" s="233"/>
      <c r="R192" s="232">
        <f t="shared" si="148"/>
        <v>0</v>
      </c>
    </row>
    <row r="193" spans="1:18" s="89" customFormat="1" ht="72" hidden="1" customHeight="1">
      <c r="A193" s="280">
        <v>19570</v>
      </c>
      <c r="B193" s="172" t="s">
        <v>182</v>
      </c>
      <c r="C193" s="107"/>
      <c r="D193" s="107">
        <v>0</v>
      </c>
      <c r="E193" s="232"/>
      <c r="F193" s="233"/>
      <c r="G193" s="233"/>
      <c r="H193" s="232">
        <f t="shared" si="150"/>
        <v>0</v>
      </c>
      <c r="I193" s="233">
        <v>0</v>
      </c>
      <c r="J193" s="233"/>
      <c r="K193" s="233"/>
      <c r="L193" s="233"/>
      <c r="M193" s="232">
        <f t="shared" si="147"/>
        <v>0</v>
      </c>
      <c r="N193" s="233">
        <v>0</v>
      </c>
      <c r="O193" s="233"/>
      <c r="P193" s="233"/>
      <c r="Q193" s="233"/>
      <c r="R193" s="232">
        <f t="shared" si="148"/>
        <v>0</v>
      </c>
    </row>
    <row r="194" spans="1:18" s="6" customFormat="1" ht="36" hidden="1" customHeight="1">
      <c r="A194" s="281" t="s">
        <v>222</v>
      </c>
      <c r="B194" s="208" t="s">
        <v>216</v>
      </c>
      <c r="C194" s="107">
        <f>C195</f>
        <v>0</v>
      </c>
      <c r="D194" s="107">
        <v>0</v>
      </c>
      <c r="E194" s="232">
        <f t="shared" ref="E194:L194" si="206">E195</f>
        <v>0</v>
      </c>
      <c r="F194" s="232">
        <f t="shared" si="206"/>
        <v>0</v>
      </c>
      <c r="G194" s="232">
        <f t="shared" si="206"/>
        <v>0</v>
      </c>
      <c r="H194" s="232">
        <f t="shared" si="150"/>
        <v>0</v>
      </c>
      <c r="I194" s="233">
        <v>0</v>
      </c>
      <c r="J194" s="232">
        <f t="shared" si="206"/>
        <v>0</v>
      </c>
      <c r="K194" s="232">
        <f t="shared" si="206"/>
        <v>0</v>
      </c>
      <c r="L194" s="232">
        <f t="shared" si="206"/>
        <v>0</v>
      </c>
      <c r="M194" s="232">
        <f t="shared" si="147"/>
        <v>0</v>
      </c>
      <c r="N194" s="233">
        <v>0</v>
      </c>
      <c r="O194" s="232">
        <f t="shared" ref="O194:Q194" si="207">O195</f>
        <v>0</v>
      </c>
      <c r="P194" s="232">
        <f t="shared" si="207"/>
        <v>0</v>
      </c>
      <c r="Q194" s="232">
        <f t="shared" si="207"/>
        <v>0</v>
      </c>
      <c r="R194" s="232">
        <f t="shared" si="148"/>
        <v>0</v>
      </c>
    </row>
    <row r="195" spans="1:18" s="6" customFormat="1" ht="48" hidden="1" customHeight="1">
      <c r="A195" s="281">
        <v>17100</v>
      </c>
      <c r="B195" s="208" t="s">
        <v>217</v>
      </c>
      <c r="C195" s="107">
        <f>SUM(C196:C199)</f>
        <v>0</v>
      </c>
      <c r="D195" s="107">
        <v>0</v>
      </c>
      <c r="E195" s="232">
        <f t="shared" ref="E195:G195" si="208">SUM(E196:E199)</f>
        <v>0</v>
      </c>
      <c r="F195" s="232">
        <f t="shared" si="208"/>
        <v>0</v>
      </c>
      <c r="G195" s="232">
        <f t="shared" si="208"/>
        <v>0</v>
      </c>
      <c r="H195" s="232">
        <f t="shared" si="150"/>
        <v>0</v>
      </c>
      <c r="I195" s="233">
        <v>0</v>
      </c>
      <c r="J195" s="232">
        <f t="shared" ref="J195:L195" si="209">SUM(J196:J199)</f>
        <v>0</v>
      </c>
      <c r="K195" s="232">
        <f t="shared" si="209"/>
        <v>0</v>
      </c>
      <c r="L195" s="232">
        <f t="shared" si="209"/>
        <v>0</v>
      </c>
      <c r="M195" s="232">
        <f t="shared" si="147"/>
        <v>0</v>
      </c>
      <c r="N195" s="233">
        <v>0</v>
      </c>
      <c r="O195" s="232">
        <f t="shared" ref="O195:Q195" si="210">SUM(O196:O199)</f>
        <v>0</v>
      </c>
      <c r="P195" s="232">
        <f t="shared" si="210"/>
        <v>0</v>
      </c>
      <c r="Q195" s="232">
        <f t="shared" si="210"/>
        <v>0</v>
      </c>
      <c r="R195" s="232">
        <f t="shared" si="148"/>
        <v>0</v>
      </c>
    </row>
    <row r="196" spans="1:18" s="6" customFormat="1" ht="60" hidden="1" customHeight="1">
      <c r="A196" s="282">
        <v>17110</v>
      </c>
      <c r="B196" s="208" t="s">
        <v>218</v>
      </c>
      <c r="C196" s="107"/>
      <c r="D196" s="107">
        <v>0</v>
      </c>
      <c r="E196" s="232"/>
      <c r="F196" s="233"/>
      <c r="G196" s="233"/>
      <c r="H196" s="232">
        <f t="shared" si="150"/>
        <v>0</v>
      </c>
      <c r="I196" s="233">
        <v>0</v>
      </c>
      <c r="J196" s="233"/>
      <c r="K196" s="233"/>
      <c r="L196" s="233"/>
      <c r="M196" s="232">
        <f t="shared" si="147"/>
        <v>0</v>
      </c>
      <c r="N196" s="233">
        <v>0</v>
      </c>
      <c r="O196" s="233"/>
      <c r="P196" s="233"/>
      <c r="Q196" s="233"/>
      <c r="R196" s="232">
        <f t="shared" si="148"/>
        <v>0</v>
      </c>
    </row>
    <row r="197" spans="1:18" s="6" customFormat="1" ht="60" hidden="1" customHeight="1">
      <c r="A197" s="282">
        <v>17120</v>
      </c>
      <c r="B197" s="208" t="s">
        <v>219</v>
      </c>
      <c r="C197" s="107"/>
      <c r="D197" s="107">
        <v>0</v>
      </c>
      <c r="E197" s="232"/>
      <c r="F197" s="233"/>
      <c r="G197" s="233"/>
      <c r="H197" s="232">
        <f t="shared" si="150"/>
        <v>0</v>
      </c>
      <c r="I197" s="233">
        <v>0</v>
      </c>
      <c r="J197" s="233"/>
      <c r="K197" s="233"/>
      <c r="L197" s="233"/>
      <c r="M197" s="232">
        <f t="shared" si="147"/>
        <v>0</v>
      </c>
      <c r="N197" s="233">
        <v>0</v>
      </c>
      <c r="O197" s="233"/>
      <c r="P197" s="233"/>
      <c r="Q197" s="233"/>
      <c r="R197" s="232">
        <f t="shared" si="148"/>
        <v>0</v>
      </c>
    </row>
    <row r="198" spans="1:18" s="6" customFormat="1" ht="108" hidden="1" customHeight="1">
      <c r="A198" s="282">
        <v>17130</v>
      </c>
      <c r="B198" s="208" t="s">
        <v>220</v>
      </c>
      <c r="C198" s="107"/>
      <c r="D198" s="107">
        <v>0</v>
      </c>
      <c r="E198" s="232"/>
      <c r="F198" s="233"/>
      <c r="G198" s="233"/>
      <c r="H198" s="232">
        <f t="shared" si="150"/>
        <v>0</v>
      </c>
      <c r="I198" s="233">
        <v>0</v>
      </c>
      <c r="J198" s="233"/>
      <c r="K198" s="233"/>
      <c r="L198" s="233"/>
      <c r="M198" s="232">
        <f t="shared" si="147"/>
        <v>0</v>
      </c>
      <c r="N198" s="233">
        <v>0</v>
      </c>
      <c r="O198" s="233"/>
      <c r="P198" s="233"/>
      <c r="Q198" s="233"/>
      <c r="R198" s="232">
        <f t="shared" si="148"/>
        <v>0</v>
      </c>
    </row>
    <row r="199" spans="1:18" s="6" customFormat="1" ht="108" hidden="1" customHeight="1">
      <c r="A199" s="282">
        <v>17140</v>
      </c>
      <c r="B199" s="208" t="s">
        <v>221</v>
      </c>
      <c r="C199" s="107"/>
      <c r="D199" s="107">
        <v>0</v>
      </c>
      <c r="E199" s="232"/>
      <c r="F199" s="233"/>
      <c r="G199" s="233"/>
      <c r="H199" s="232">
        <f t="shared" si="150"/>
        <v>0</v>
      </c>
      <c r="I199" s="233">
        <v>0</v>
      </c>
      <c r="J199" s="233"/>
      <c r="K199" s="233"/>
      <c r="L199" s="233"/>
      <c r="M199" s="232">
        <f t="shared" si="147"/>
        <v>0</v>
      </c>
      <c r="N199" s="233">
        <v>0</v>
      </c>
      <c r="O199" s="233"/>
      <c r="P199" s="233"/>
      <c r="Q199" s="233"/>
      <c r="R199" s="232">
        <f t="shared" si="148"/>
        <v>0</v>
      </c>
    </row>
    <row r="200" spans="1:18" s="89" customFormat="1">
      <c r="A200" s="283">
        <v>21700</v>
      </c>
      <c r="B200" s="124" t="s">
        <v>97</v>
      </c>
      <c r="C200" s="107">
        <v>8199157</v>
      </c>
      <c r="D200" s="107">
        <v>314398</v>
      </c>
      <c r="E200" s="232">
        <f t="shared" ref="E200:G200" si="211">E201+E202</f>
        <v>2047730</v>
      </c>
      <c r="F200" s="233">
        <f t="shared" si="211"/>
        <v>0</v>
      </c>
      <c r="G200" s="233">
        <f t="shared" si="211"/>
        <v>0</v>
      </c>
      <c r="H200" s="232">
        <f t="shared" si="150"/>
        <v>2362128</v>
      </c>
      <c r="I200" s="233">
        <v>0</v>
      </c>
      <c r="J200" s="233">
        <f t="shared" ref="J200:L200" si="212">J201+J202</f>
        <v>0</v>
      </c>
      <c r="K200" s="233">
        <f t="shared" si="212"/>
        <v>0</v>
      </c>
      <c r="L200" s="233">
        <f t="shared" si="212"/>
        <v>0</v>
      </c>
      <c r="M200" s="232">
        <f t="shared" si="147"/>
        <v>0</v>
      </c>
      <c r="N200" s="233">
        <v>0</v>
      </c>
      <c r="O200" s="233">
        <f t="shared" ref="O200:Q200" si="213">O201+O202</f>
        <v>0</v>
      </c>
      <c r="P200" s="233">
        <f t="shared" si="213"/>
        <v>0</v>
      </c>
      <c r="Q200" s="233">
        <f t="shared" si="213"/>
        <v>0</v>
      </c>
      <c r="R200" s="232">
        <f t="shared" si="148"/>
        <v>0</v>
      </c>
    </row>
    <row r="201" spans="1:18" s="89" customFormat="1" ht="24">
      <c r="A201" s="284">
        <v>21710</v>
      </c>
      <c r="B201" s="125" t="s">
        <v>98</v>
      </c>
      <c r="C201" s="107">
        <v>8199157</v>
      </c>
      <c r="D201" s="107">
        <v>314398</v>
      </c>
      <c r="E201" s="232">
        <f>E451+E461+E471+E497</f>
        <v>2047730</v>
      </c>
      <c r="F201" s="233"/>
      <c r="G201" s="233"/>
      <c r="H201" s="232">
        <f t="shared" si="150"/>
        <v>2362128</v>
      </c>
      <c r="I201" s="233">
        <v>0</v>
      </c>
      <c r="J201" s="232">
        <f>J451+J461+J471</f>
        <v>0</v>
      </c>
      <c r="K201" s="233"/>
      <c r="L201" s="233"/>
      <c r="M201" s="232">
        <f t="shared" si="147"/>
        <v>0</v>
      </c>
      <c r="N201" s="233">
        <v>0</v>
      </c>
      <c r="O201" s="232">
        <f>O451+O461+O471</f>
        <v>0</v>
      </c>
      <c r="P201" s="233"/>
      <c r="Q201" s="233"/>
      <c r="R201" s="232">
        <f t="shared" si="148"/>
        <v>0</v>
      </c>
    </row>
    <row r="202" spans="1:18" s="29" customFormat="1" ht="24" hidden="1" customHeight="1">
      <c r="A202" s="284">
        <v>21720</v>
      </c>
      <c r="B202" s="125" t="s">
        <v>99</v>
      </c>
      <c r="C202" s="171"/>
      <c r="D202" s="171">
        <v>0</v>
      </c>
      <c r="E202" s="232"/>
      <c r="F202" s="233"/>
      <c r="G202" s="233"/>
      <c r="H202" s="232">
        <f t="shared" ref="H202:H260" si="214">SUM(D202:G202)</f>
        <v>0</v>
      </c>
      <c r="I202" s="233">
        <v>0</v>
      </c>
      <c r="J202" s="233"/>
      <c r="K202" s="233"/>
      <c r="L202" s="233"/>
      <c r="M202" s="232">
        <f t="shared" ref="M202:M260" si="215">SUM(I202:L202)</f>
        <v>0</v>
      </c>
      <c r="N202" s="233">
        <v>0</v>
      </c>
      <c r="O202" s="233"/>
      <c r="P202" s="233"/>
      <c r="Q202" s="233"/>
      <c r="R202" s="232">
        <f t="shared" ref="R202:R260" si="216">SUM(N202:Q202)</f>
        <v>0</v>
      </c>
    </row>
    <row r="203" spans="1:18" s="29" customFormat="1" ht="11.4">
      <c r="A203" s="123" t="s">
        <v>100</v>
      </c>
      <c r="B203" s="123" t="s">
        <v>101</v>
      </c>
      <c r="C203" s="175">
        <v>8755717</v>
      </c>
      <c r="D203" s="175">
        <v>695298</v>
      </c>
      <c r="E203" s="229">
        <f t="shared" ref="E203:G203" si="217">E204+E231</f>
        <v>2145394</v>
      </c>
      <c r="F203" s="243">
        <f t="shared" si="217"/>
        <v>0</v>
      </c>
      <c r="G203" s="243">
        <f t="shared" si="217"/>
        <v>0</v>
      </c>
      <c r="H203" s="270">
        <f t="shared" si="214"/>
        <v>2840692</v>
      </c>
      <c r="I203" s="243">
        <v>102352</v>
      </c>
      <c r="J203" s="243">
        <f t="shared" ref="J203:L203" si="218">J204+J231</f>
        <v>3083</v>
      </c>
      <c r="K203" s="243">
        <f t="shared" si="218"/>
        <v>0</v>
      </c>
      <c r="L203" s="243">
        <f t="shared" si="218"/>
        <v>0</v>
      </c>
      <c r="M203" s="270">
        <f t="shared" si="215"/>
        <v>105435</v>
      </c>
      <c r="N203" s="243">
        <v>0</v>
      </c>
      <c r="O203" s="243">
        <f t="shared" ref="O203:Q203" si="219">O204+O231</f>
        <v>0</v>
      </c>
      <c r="P203" s="243">
        <f t="shared" si="219"/>
        <v>0</v>
      </c>
      <c r="Q203" s="243">
        <f t="shared" si="219"/>
        <v>0</v>
      </c>
      <c r="R203" s="270">
        <f t="shared" si="216"/>
        <v>0</v>
      </c>
    </row>
    <row r="204" spans="1:18" s="29" customFormat="1" ht="22.8">
      <c r="A204" s="124" t="s">
        <v>102</v>
      </c>
      <c r="B204" s="124" t="s">
        <v>103</v>
      </c>
      <c r="C204" s="107">
        <v>2065955</v>
      </c>
      <c r="D204" s="107">
        <v>522050</v>
      </c>
      <c r="E204" s="232">
        <f t="shared" ref="E204:G204" si="220">E205+E209+E210+E213+E216</f>
        <v>155380</v>
      </c>
      <c r="F204" s="233">
        <f t="shared" si="220"/>
        <v>0</v>
      </c>
      <c r="G204" s="233">
        <f t="shared" si="220"/>
        <v>0</v>
      </c>
      <c r="H204" s="232">
        <f t="shared" si="214"/>
        <v>677430</v>
      </c>
      <c r="I204" s="233">
        <v>57833</v>
      </c>
      <c r="J204" s="233">
        <f t="shared" ref="J204:L204" si="221">J205+J209+J210+J213+J216</f>
        <v>3083</v>
      </c>
      <c r="K204" s="233">
        <f t="shared" si="221"/>
        <v>0</v>
      </c>
      <c r="L204" s="233">
        <f t="shared" si="221"/>
        <v>0</v>
      </c>
      <c r="M204" s="232">
        <f t="shared" si="215"/>
        <v>60916</v>
      </c>
      <c r="N204" s="233">
        <v>0</v>
      </c>
      <c r="O204" s="233">
        <f t="shared" ref="O204:Q204" si="222">O205+O209+O210+O213+O216</f>
        <v>0</v>
      </c>
      <c r="P204" s="233">
        <f t="shared" si="222"/>
        <v>0</v>
      </c>
      <c r="Q204" s="233">
        <f t="shared" si="222"/>
        <v>0</v>
      </c>
      <c r="R204" s="232">
        <f t="shared" si="216"/>
        <v>0</v>
      </c>
    </row>
    <row r="205" spans="1:18" s="29" customFormat="1">
      <c r="A205" s="124" t="s">
        <v>104</v>
      </c>
      <c r="B205" s="124" t="s">
        <v>105</v>
      </c>
      <c r="C205" s="107">
        <v>2017914</v>
      </c>
      <c r="D205" s="107">
        <v>384508</v>
      </c>
      <c r="E205" s="232">
        <f t="shared" ref="E205:G205" si="223">E206+E208</f>
        <v>155380</v>
      </c>
      <c r="F205" s="233">
        <f t="shared" si="223"/>
        <v>0</v>
      </c>
      <c r="G205" s="233">
        <f t="shared" si="223"/>
        <v>0</v>
      </c>
      <c r="H205" s="232">
        <f t="shared" si="214"/>
        <v>539888</v>
      </c>
      <c r="I205" s="233">
        <v>1449</v>
      </c>
      <c r="J205" s="233">
        <f t="shared" ref="J205:L205" si="224">J206+J208</f>
        <v>3083</v>
      </c>
      <c r="K205" s="233">
        <f t="shared" si="224"/>
        <v>0</v>
      </c>
      <c r="L205" s="233">
        <f t="shared" si="224"/>
        <v>0</v>
      </c>
      <c r="M205" s="232">
        <f t="shared" si="215"/>
        <v>4532</v>
      </c>
      <c r="N205" s="233">
        <v>0</v>
      </c>
      <c r="O205" s="233">
        <f t="shared" ref="O205:Q205" si="225">O206+O208</f>
        <v>0</v>
      </c>
      <c r="P205" s="233">
        <f t="shared" si="225"/>
        <v>0</v>
      </c>
      <c r="Q205" s="233">
        <f t="shared" si="225"/>
        <v>0</v>
      </c>
      <c r="R205" s="232">
        <f t="shared" si="216"/>
        <v>0</v>
      </c>
    </row>
    <row r="206" spans="1:18" s="29" customFormat="1">
      <c r="A206" s="276">
        <v>1000</v>
      </c>
      <c r="B206" s="125" t="s">
        <v>106</v>
      </c>
      <c r="C206" s="107">
        <v>84099</v>
      </c>
      <c r="D206" s="107">
        <v>92223</v>
      </c>
      <c r="E206" s="232">
        <f>E455+E484</f>
        <v>44900</v>
      </c>
      <c r="F206" s="244"/>
      <c r="G206" s="244"/>
      <c r="H206" s="232">
        <f>SUM(D206:G206)</f>
        <v>137123</v>
      </c>
      <c r="I206" s="233">
        <v>807</v>
      </c>
      <c r="J206" s="232">
        <f>J455+J484</f>
        <v>1379</v>
      </c>
      <c r="K206" s="244"/>
      <c r="L206" s="244"/>
      <c r="M206" s="232">
        <f t="shared" si="215"/>
        <v>2186</v>
      </c>
      <c r="N206" s="233">
        <v>0</v>
      </c>
      <c r="O206" s="232">
        <f>O455+O484</f>
        <v>0</v>
      </c>
      <c r="P206" s="244"/>
      <c r="Q206" s="244"/>
      <c r="R206" s="232">
        <f t="shared" si="216"/>
        <v>0</v>
      </c>
    </row>
    <row r="207" spans="1:18" s="29" customFormat="1">
      <c r="A207" s="285">
        <v>1100</v>
      </c>
      <c r="B207" s="125" t="s">
        <v>107</v>
      </c>
      <c r="C207" s="107">
        <v>67771</v>
      </c>
      <c r="D207" s="107">
        <v>74318</v>
      </c>
      <c r="E207" s="232">
        <f>E456+E485</f>
        <v>36183</v>
      </c>
      <c r="F207" s="244"/>
      <c r="G207" s="244"/>
      <c r="H207" s="232">
        <f t="shared" si="214"/>
        <v>110501</v>
      </c>
      <c r="I207" s="233">
        <v>650</v>
      </c>
      <c r="J207" s="232">
        <f>J456+J485</f>
        <v>1111</v>
      </c>
      <c r="K207" s="244"/>
      <c r="L207" s="244"/>
      <c r="M207" s="232">
        <f t="shared" si="215"/>
        <v>1761</v>
      </c>
      <c r="N207" s="233">
        <v>0</v>
      </c>
      <c r="O207" s="232">
        <f>O456+O485</f>
        <v>0</v>
      </c>
      <c r="P207" s="244"/>
      <c r="Q207" s="244"/>
      <c r="R207" s="232">
        <f t="shared" si="216"/>
        <v>0</v>
      </c>
    </row>
    <row r="208" spans="1:18" s="29" customFormat="1">
      <c r="A208" s="276">
        <v>2000</v>
      </c>
      <c r="B208" s="125" t="s">
        <v>108</v>
      </c>
      <c r="C208" s="107">
        <v>1933815</v>
      </c>
      <c r="D208" s="107">
        <v>292285</v>
      </c>
      <c r="E208" s="232">
        <f>E457+E465+E475+E486+E493+E501</f>
        <v>110480</v>
      </c>
      <c r="F208" s="244"/>
      <c r="G208" s="244"/>
      <c r="H208" s="232">
        <f t="shared" si="214"/>
        <v>402765</v>
      </c>
      <c r="I208" s="233">
        <v>642</v>
      </c>
      <c r="J208" s="232">
        <f>J457+J465+J475+J486+J493</f>
        <v>1704</v>
      </c>
      <c r="K208" s="244"/>
      <c r="L208" s="244"/>
      <c r="M208" s="232">
        <f t="shared" si="215"/>
        <v>2346</v>
      </c>
      <c r="N208" s="233">
        <v>0</v>
      </c>
      <c r="O208" s="232">
        <f>O457+O465+O475+O486+O493</f>
        <v>0</v>
      </c>
      <c r="P208" s="244"/>
      <c r="Q208" s="244"/>
      <c r="R208" s="232">
        <f t="shared" si="216"/>
        <v>0</v>
      </c>
    </row>
    <row r="209" spans="1:18" s="29" customFormat="1" ht="12" hidden="1" customHeight="1">
      <c r="A209" s="286">
        <v>4000</v>
      </c>
      <c r="B209" s="124" t="s">
        <v>132</v>
      </c>
      <c r="C209" s="107"/>
      <c r="D209" s="107">
        <v>0</v>
      </c>
      <c r="E209" s="232"/>
      <c r="F209" s="244"/>
      <c r="G209" s="244"/>
      <c r="H209" s="232">
        <f t="shared" si="214"/>
        <v>0</v>
      </c>
      <c r="I209" s="233">
        <v>0</v>
      </c>
      <c r="J209" s="244"/>
      <c r="K209" s="244"/>
      <c r="L209" s="244"/>
      <c r="M209" s="232">
        <f t="shared" si="215"/>
        <v>0</v>
      </c>
      <c r="N209" s="233">
        <v>0</v>
      </c>
      <c r="O209" s="244"/>
      <c r="P209" s="244"/>
      <c r="Q209" s="244"/>
      <c r="R209" s="232">
        <f t="shared" si="216"/>
        <v>0</v>
      </c>
    </row>
    <row r="210" spans="1:18" s="29" customFormat="1" ht="12" hidden="1" customHeight="1">
      <c r="A210" s="286" t="s">
        <v>109</v>
      </c>
      <c r="B210" s="124" t="s">
        <v>110</v>
      </c>
      <c r="C210" s="107">
        <v>0</v>
      </c>
      <c r="D210" s="107">
        <v>0</v>
      </c>
      <c r="E210" s="232">
        <f t="shared" ref="E210:G210" si="226">E211+E212</f>
        <v>0</v>
      </c>
      <c r="F210" s="233">
        <f t="shared" si="226"/>
        <v>0</v>
      </c>
      <c r="G210" s="233">
        <f t="shared" si="226"/>
        <v>0</v>
      </c>
      <c r="H210" s="232">
        <f t="shared" si="214"/>
        <v>0</v>
      </c>
      <c r="I210" s="233">
        <v>0</v>
      </c>
      <c r="J210" s="233">
        <f t="shared" ref="J210:L210" si="227">J211+J212</f>
        <v>0</v>
      </c>
      <c r="K210" s="233">
        <f t="shared" si="227"/>
        <v>0</v>
      </c>
      <c r="L210" s="233">
        <f t="shared" si="227"/>
        <v>0</v>
      </c>
      <c r="M210" s="232">
        <f t="shared" si="215"/>
        <v>0</v>
      </c>
      <c r="N210" s="233">
        <v>0</v>
      </c>
      <c r="O210" s="233">
        <f t="shared" ref="O210:Q210" si="228">O211+O212</f>
        <v>0</v>
      </c>
      <c r="P210" s="233">
        <f t="shared" si="228"/>
        <v>0</v>
      </c>
      <c r="Q210" s="233">
        <f t="shared" si="228"/>
        <v>0</v>
      </c>
      <c r="R210" s="232">
        <f t="shared" si="216"/>
        <v>0</v>
      </c>
    </row>
    <row r="211" spans="1:18" s="29" customFormat="1" ht="12" hidden="1" customHeight="1">
      <c r="A211" s="276">
        <v>3000</v>
      </c>
      <c r="B211" s="125" t="s">
        <v>111</v>
      </c>
      <c r="C211" s="338"/>
      <c r="D211" s="338">
        <v>0</v>
      </c>
      <c r="E211" s="245"/>
      <c r="F211" s="246"/>
      <c r="G211" s="246"/>
      <c r="H211" s="232">
        <f t="shared" si="214"/>
        <v>0</v>
      </c>
      <c r="I211" s="345">
        <v>0</v>
      </c>
      <c r="J211" s="246"/>
      <c r="K211" s="246"/>
      <c r="L211" s="246"/>
      <c r="M211" s="232">
        <f t="shared" si="215"/>
        <v>0</v>
      </c>
      <c r="N211" s="345">
        <v>0</v>
      </c>
      <c r="O211" s="246"/>
      <c r="P211" s="246"/>
      <c r="Q211" s="246"/>
      <c r="R211" s="232">
        <f t="shared" si="216"/>
        <v>0</v>
      </c>
    </row>
    <row r="212" spans="1:18" s="29" customFormat="1" ht="12" hidden="1" customHeight="1">
      <c r="A212" s="276">
        <v>6000</v>
      </c>
      <c r="B212" s="125" t="s">
        <v>112</v>
      </c>
      <c r="C212" s="301"/>
      <c r="D212" s="301">
        <v>0</v>
      </c>
      <c r="E212" s="247"/>
      <c r="F212" s="248"/>
      <c r="G212" s="248"/>
      <c r="H212" s="232">
        <f t="shared" si="214"/>
        <v>0</v>
      </c>
      <c r="I212" s="346">
        <v>0</v>
      </c>
      <c r="J212" s="248"/>
      <c r="K212" s="248"/>
      <c r="L212" s="248"/>
      <c r="M212" s="232">
        <f t="shared" si="215"/>
        <v>0</v>
      </c>
      <c r="N212" s="346">
        <v>0</v>
      </c>
      <c r="O212" s="248"/>
      <c r="P212" s="248"/>
      <c r="Q212" s="248"/>
      <c r="R212" s="232">
        <f t="shared" si="216"/>
        <v>0</v>
      </c>
    </row>
    <row r="213" spans="1:18" s="29" customFormat="1" ht="22.8">
      <c r="A213" s="286" t="s">
        <v>113</v>
      </c>
      <c r="B213" s="124" t="s">
        <v>183</v>
      </c>
      <c r="C213" s="107">
        <v>0</v>
      </c>
      <c r="D213" s="107">
        <v>0</v>
      </c>
      <c r="E213" s="232">
        <f t="shared" ref="E213:G213" si="229">E214+E215</f>
        <v>0</v>
      </c>
      <c r="F213" s="233">
        <f t="shared" si="229"/>
        <v>0</v>
      </c>
      <c r="G213" s="233">
        <f t="shared" si="229"/>
        <v>0</v>
      </c>
      <c r="H213" s="232">
        <f t="shared" si="214"/>
        <v>0</v>
      </c>
      <c r="I213" s="233">
        <v>17643</v>
      </c>
      <c r="J213" s="233">
        <f t="shared" ref="J213:L213" si="230">J214+J215</f>
        <v>0</v>
      </c>
      <c r="K213" s="233">
        <f t="shared" si="230"/>
        <v>0</v>
      </c>
      <c r="L213" s="233">
        <f t="shared" si="230"/>
        <v>0</v>
      </c>
      <c r="M213" s="232">
        <f t="shared" si="215"/>
        <v>17643</v>
      </c>
      <c r="N213" s="233">
        <v>0</v>
      </c>
      <c r="O213" s="233">
        <f t="shared" ref="O213:Q213" si="231">O214+O215</f>
        <v>0</v>
      </c>
      <c r="P213" s="233">
        <f t="shared" si="231"/>
        <v>0</v>
      </c>
      <c r="Q213" s="233">
        <f t="shared" si="231"/>
        <v>0</v>
      </c>
      <c r="R213" s="232">
        <f t="shared" si="216"/>
        <v>0</v>
      </c>
    </row>
    <row r="214" spans="1:18" s="29" customFormat="1" ht="12" hidden="1" customHeight="1">
      <c r="A214" s="276">
        <v>7600</v>
      </c>
      <c r="B214" s="179" t="s">
        <v>184</v>
      </c>
      <c r="C214" s="107"/>
      <c r="D214" s="107">
        <v>0</v>
      </c>
      <c r="E214" s="232"/>
      <c r="F214" s="244"/>
      <c r="G214" s="244"/>
      <c r="H214" s="232">
        <f t="shared" si="214"/>
        <v>0</v>
      </c>
      <c r="I214" s="233">
        <v>0</v>
      </c>
      <c r="J214" s="244"/>
      <c r="K214" s="244"/>
      <c r="L214" s="244"/>
      <c r="M214" s="232">
        <f t="shared" si="215"/>
        <v>0</v>
      </c>
      <c r="N214" s="233">
        <v>0</v>
      </c>
      <c r="O214" s="244"/>
      <c r="P214" s="244"/>
      <c r="Q214" s="244"/>
      <c r="R214" s="232">
        <f t="shared" si="216"/>
        <v>0</v>
      </c>
    </row>
    <row r="215" spans="1:18" s="29" customFormat="1">
      <c r="A215" s="276">
        <v>7700</v>
      </c>
      <c r="B215" s="126" t="s">
        <v>114</v>
      </c>
      <c r="C215" s="107"/>
      <c r="D215" s="107">
        <v>0</v>
      </c>
      <c r="E215" s="232"/>
      <c r="F215" s="244"/>
      <c r="G215" s="244"/>
      <c r="H215" s="232">
        <f t="shared" si="214"/>
        <v>0</v>
      </c>
      <c r="I215" s="233">
        <v>17643</v>
      </c>
      <c r="J215" s="244"/>
      <c r="K215" s="244"/>
      <c r="L215" s="244"/>
      <c r="M215" s="232">
        <f t="shared" si="215"/>
        <v>17643</v>
      </c>
      <c r="N215" s="233">
        <v>0</v>
      </c>
      <c r="O215" s="244"/>
      <c r="P215" s="244"/>
      <c r="Q215" s="244"/>
      <c r="R215" s="232">
        <f t="shared" si="216"/>
        <v>0</v>
      </c>
    </row>
    <row r="216" spans="1:18" s="29" customFormat="1" ht="22.8">
      <c r="A216" s="286" t="s">
        <v>185</v>
      </c>
      <c r="B216" s="124" t="s">
        <v>115</v>
      </c>
      <c r="C216" s="107">
        <v>48041</v>
      </c>
      <c r="D216" s="107">
        <v>137542</v>
      </c>
      <c r="E216" s="232">
        <f t="shared" ref="E216:G216" si="232">E217+E223+E227+E230</f>
        <v>0</v>
      </c>
      <c r="F216" s="233">
        <f t="shared" si="232"/>
        <v>0</v>
      </c>
      <c r="G216" s="233">
        <f t="shared" si="232"/>
        <v>0</v>
      </c>
      <c r="H216" s="232">
        <f t="shared" si="214"/>
        <v>137542</v>
      </c>
      <c r="I216" s="233">
        <v>38741</v>
      </c>
      <c r="J216" s="233">
        <f t="shared" ref="J216:L216" si="233">J217+J223+J227+J230</f>
        <v>0</v>
      </c>
      <c r="K216" s="233">
        <f t="shared" si="233"/>
        <v>0</v>
      </c>
      <c r="L216" s="233">
        <f t="shared" si="233"/>
        <v>0</v>
      </c>
      <c r="M216" s="232">
        <f t="shared" si="215"/>
        <v>38741</v>
      </c>
      <c r="N216" s="233">
        <v>0</v>
      </c>
      <c r="O216" s="233">
        <f t="shared" ref="O216:Q216" si="234">O217+O223+O227+O230</f>
        <v>0</v>
      </c>
      <c r="P216" s="233">
        <f t="shared" si="234"/>
        <v>0</v>
      </c>
      <c r="Q216" s="233">
        <f t="shared" si="234"/>
        <v>0</v>
      </c>
      <c r="R216" s="232">
        <f t="shared" si="216"/>
        <v>0</v>
      </c>
    </row>
    <row r="217" spans="1:18" s="29" customFormat="1" ht="12" hidden="1" customHeight="1">
      <c r="A217" s="276">
        <v>7100</v>
      </c>
      <c r="B217" s="179" t="s">
        <v>116</v>
      </c>
      <c r="C217" s="107">
        <v>0</v>
      </c>
      <c r="D217" s="107">
        <v>0</v>
      </c>
      <c r="E217" s="232">
        <f t="shared" ref="E217:G217" si="235">E218+E219</f>
        <v>0</v>
      </c>
      <c r="F217" s="233">
        <f t="shared" si="235"/>
        <v>0</v>
      </c>
      <c r="G217" s="233">
        <f t="shared" si="235"/>
        <v>0</v>
      </c>
      <c r="H217" s="232">
        <f t="shared" si="214"/>
        <v>0</v>
      </c>
      <c r="I217" s="233">
        <v>0</v>
      </c>
      <c r="J217" s="233">
        <f t="shared" ref="J217:L217" si="236">J218+J219</f>
        <v>0</v>
      </c>
      <c r="K217" s="233">
        <f t="shared" si="236"/>
        <v>0</v>
      </c>
      <c r="L217" s="233">
        <f t="shared" si="236"/>
        <v>0</v>
      </c>
      <c r="M217" s="232">
        <f t="shared" si="215"/>
        <v>0</v>
      </c>
      <c r="N217" s="233">
        <v>0</v>
      </c>
      <c r="O217" s="233">
        <f t="shared" ref="O217:Q217" si="237">O218+O219</f>
        <v>0</v>
      </c>
      <c r="P217" s="233">
        <f t="shared" si="237"/>
        <v>0</v>
      </c>
      <c r="Q217" s="233">
        <f t="shared" si="237"/>
        <v>0</v>
      </c>
      <c r="R217" s="232">
        <f t="shared" si="216"/>
        <v>0</v>
      </c>
    </row>
    <row r="218" spans="1:18" s="29" customFormat="1" ht="24" hidden="1" customHeight="1">
      <c r="A218" s="277" t="s">
        <v>117</v>
      </c>
      <c r="B218" s="179" t="s">
        <v>118</v>
      </c>
      <c r="C218" s="107"/>
      <c r="D218" s="107">
        <v>0</v>
      </c>
      <c r="E218" s="232"/>
      <c r="F218" s="233"/>
      <c r="G218" s="233"/>
      <c r="H218" s="232">
        <f t="shared" si="214"/>
        <v>0</v>
      </c>
      <c r="I218" s="233">
        <v>0</v>
      </c>
      <c r="J218" s="233"/>
      <c r="K218" s="233"/>
      <c r="L218" s="233"/>
      <c r="M218" s="232">
        <f t="shared" si="215"/>
        <v>0</v>
      </c>
      <c r="N218" s="233">
        <v>0</v>
      </c>
      <c r="O218" s="233"/>
      <c r="P218" s="233"/>
      <c r="Q218" s="233"/>
      <c r="R218" s="232">
        <f t="shared" si="216"/>
        <v>0</v>
      </c>
    </row>
    <row r="219" spans="1:18" s="29" customFormat="1" ht="24" hidden="1" customHeight="1">
      <c r="A219" s="277">
        <v>7130</v>
      </c>
      <c r="B219" s="179" t="s">
        <v>119</v>
      </c>
      <c r="C219" s="107">
        <v>0</v>
      </c>
      <c r="D219" s="107">
        <v>0</v>
      </c>
      <c r="E219" s="232">
        <f t="shared" ref="E219:G219" si="238">SUM(E220:E222)</f>
        <v>0</v>
      </c>
      <c r="F219" s="233">
        <f t="shared" ref="F219" si="239">SUM(F220:F222)</f>
        <v>0</v>
      </c>
      <c r="G219" s="233">
        <f t="shared" si="238"/>
        <v>0</v>
      </c>
      <c r="H219" s="232">
        <f t="shared" si="214"/>
        <v>0</v>
      </c>
      <c r="I219" s="233">
        <v>0</v>
      </c>
      <c r="J219" s="233">
        <f t="shared" ref="J219:L219" si="240">SUM(J220:J222)</f>
        <v>0</v>
      </c>
      <c r="K219" s="233">
        <f t="shared" si="240"/>
        <v>0</v>
      </c>
      <c r="L219" s="233">
        <f t="shared" si="240"/>
        <v>0</v>
      </c>
      <c r="M219" s="232">
        <f t="shared" si="215"/>
        <v>0</v>
      </c>
      <c r="N219" s="233">
        <v>0</v>
      </c>
      <c r="O219" s="233">
        <f t="shared" ref="O219:Q219" si="241">SUM(O220:O222)</f>
        <v>0</v>
      </c>
      <c r="P219" s="233">
        <f t="shared" si="241"/>
        <v>0</v>
      </c>
      <c r="Q219" s="233">
        <f t="shared" si="241"/>
        <v>0</v>
      </c>
      <c r="R219" s="232">
        <f t="shared" si="216"/>
        <v>0</v>
      </c>
    </row>
    <row r="220" spans="1:18" s="29" customFormat="1" ht="36" hidden="1" customHeight="1">
      <c r="A220" s="278">
        <v>7131</v>
      </c>
      <c r="B220" s="179" t="s">
        <v>120</v>
      </c>
      <c r="C220" s="107"/>
      <c r="D220" s="107">
        <v>0</v>
      </c>
      <c r="E220" s="232"/>
      <c r="F220" s="233"/>
      <c r="G220" s="233"/>
      <c r="H220" s="232">
        <f t="shared" si="214"/>
        <v>0</v>
      </c>
      <c r="I220" s="233">
        <v>0</v>
      </c>
      <c r="J220" s="233"/>
      <c r="K220" s="233"/>
      <c r="L220" s="233"/>
      <c r="M220" s="232">
        <f t="shared" si="215"/>
        <v>0</v>
      </c>
      <c r="N220" s="233">
        <v>0</v>
      </c>
      <c r="O220" s="233"/>
      <c r="P220" s="233"/>
      <c r="Q220" s="233"/>
      <c r="R220" s="232">
        <f t="shared" si="216"/>
        <v>0</v>
      </c>
    </row>
    <row r="221" spans="1:18" s="29" customFormat="1" ht="36" hidden="1" customHeight="1">
      <c r="A221" s="278">
        <v>7132</v>
      </c>
      <c r="B221" s="179" t="s">
        <v>121</v>
      </c>
      <c r="C221" s="107"/>
      <c r="D221" s="107">
        <v>0</v>
      </c>
      <c r="E221" s="232"/>
      <c r="F221" s="233"/>
      <c r="G221" s="233"/>
      <c r="H221" s="232">
        <f t="shared" si="214"/>
        <v>0</v>
      </c>
      <c r="I221" s="233">
        <v>0</v>
      </c>
      <c r="J221" s="233"/>
      <c r="K221" s="233"/>
      <c r="L221" s="233"/>
      <c r="M221" s="232">
        <f t="shared" si="215"/>
        <v>0</v>
      </c>
      <c r="N221" s="233">
        <v>0</v>
      </c>
      <c r="O221" s="233"/>
      <c r="P221" s="233"/>
      <c r="Q221" s="233"/>
      <c r="R221" s="232">
        <f t="shared" si="216"/>
        <v>0</v>
      </c>
    </row>
    <row r="222" spans="1:18" s="29" customFormat="1" ht="36" hidden="1" customHeight="1">
      <c r="A222" s="278" t="s">
        <v>186</v>
      </c>
      <c r="B222" s="179" t="s">
        <v>187</v>
      </c>
      <c r="C222" s="107"/>
      <c r="D222" s="107">
        <v>0</v>
      </c>
      <c r="E222" s="232"/>
      <c r="F222" s="233"/>
      <c r="G222" s="233"/>
      <c r="H222" s="232">
        <f t="shared" si="214"/>
        <v>0</v>
      </c>
      <c r="I222" s="233">
        <v>0</v>
      </c>
      <c r="J222" s="233"/>
      <c r="K222" s="233"/>
      <c r="L222" s="233"/>
      <c r="M222" s="232">
        <f t="shared" si="215"/>
        <v>0</v>
      </c>
      <c r="N222" s="233">
        <v>0</v>
      </c>
      <c r="O222" s="233"/>
      <c r="P222" s="233"/>
      <c r="Q222" s="233"/>
      <c r="R222" s="232">
        <f t="shared" si="216"/>
        <v>0</v>
      </c>
    </row>
    <row r="223" spans="1:18" s="29" customFormat="1" ht="24" hidden="1" customHeight="1">
      <c r="A223" s="276">
        <v>7300</v>
      </c>
      <c r="B223" s="172" t="s">
        <v>155</v>
      </c>
      <c r="C223" s="107">
        <v>0</v>
      </c>
      <c r="D223" s="107">
        <v>0</v>
      </c>
      <c r="E223" s="232">
        <f t="shared" ref="E223:G223" si="242">SUM(E224:E226)</f>
        <v>0</v>
      </c>
      <c r="F223" s="233">
        <f t="shared" si="242"/>
        <v>0</v>
      </c>
      <c r="G223" s="233">
        <f t="shared" si="242"/>
        <v>0</v>
      </c>
      <c r="H223" s="232">
        <f t="shared" si="214"/>
        <v>0</v>
      </c>
      <c r="I223" s="233">
        <v>0</v>
      </c>
      <c r="J223" s="233">
        <f t="shared" ref="J223:L223" si="243">SUM(J224:J226)</f>
        <v>0</v>
      </c>
      <c r="K223" s="233">
        <f t="shared" si="243"/>
        <v>0</v>
      </c>
      <c r="L223" s="233">
        <f t="shared" si="243"/>
        <v>0</v>
      </c>
      <c r="M223" s="232">
        <f t="shared" si="215"/>
        <v>0</v>
      </c>
      <c r="N223" s="233">
        <v>0</v>
      </c>
      <c r="O223" s="233">
        <f t="shared" ref="O223:Q223" si="244">SUM(O224:O226)</f>
        <v>0</v>
      </c>
      <c r="P223" s="233">
        <f t="shared" si="244"/>
        <v>0</v>
      </c>
      <c r="Q223" s="233">
        <f t="shared" si="244"/>
        <v>0</v>
      </c>
      <c r="R223" s="232">
        <f t="shared" si="216"/>
        <v>0</v>
      </c>
    </row>
    <row r="224" spans="1:18" s="29" customFormat="1" ht="24" hidden="1" customHeight="1">
      <c r="A224" s="277" t="s">
        <v>188</v>
      </c>
      <c r="B224" s="179" t="s">
        <v>170</v>
      </c>
      <c r="C224" s="113"/>
      <c r="D224" s="113">
        <v>0</v>
      </c>
      <c r="E224" s="251"/>
      <c r="F224" s="252"/>
      <c r="G224" s="252"/>
      <c r="H224" s="232">
        <f t="shared" si="214"/>
        <v>0</v>
      </c>
      <c r="I224" s="252">
        <v>0</v>
      </c>
      <c r="J224" s="252"/>
      <c r="K224" s="252"/>
      <c r="L224" s="252"/>
      <c r="M224" s="232">
        <f t="shared" si="215"/>
        <v>0</v>
      </c>
      <c r="N224" s="252">
        <v>0</v>
      </c>
      <c r="O224" s="252"/>
      <c r="P224" s="252"/>
      <c r="Q224" s="252"/>
      <c r="R224" s="232">
        <f t="shared" si="216"/>
        <v>0</v>
      </c>
    </row>
    <row r="225" spans="1:18" s="29" customFormat="1" ht="48" hidden="1" customHeight="1">
      <c r="A225" s="277" t="s">
        <v>189</v>
      </c>
      <c r="B225" s="179" t="s">
        <v>156</v>
      </c>
      <c r="C225" s="113"/>
      <c r="D225" s="113">
        <v>0</v>
      </c>
      <c r="E225" s="251"/>
      <c r="F225" s="252"/>
      <c r="G225" s="252"/>
      <c r="H225" s="232">
        <f t="shared" si="214"/>
        <v>0</v>
      </c>
      <c r="I225" s="252">
        <v>0</v>
      </c>
      <c r="J225" s="252"/>
      <c r="K225" s="252"/>
      <c r="L225" s="252"/>
      <c r="M225" s="232">
        <f t="shared" si="215"/>
        <v>0</v>
      </c>
      <c r="N225" s="252">
        <v>0</v>
      </c>
      <c r="O225" s="252"/>
      <c r="P225" s="252"/>
      <c r="Q225" s="252"/>
      <c r="R225" s="232">
        <f t="shared" si="216"/>
        <v>0</v>
      </c>
    </row>
    <row r="226" spans="1:18" s="29" customFormat="1" ht="36" hidden="1" customHeight="1">
      <c r="A226" s="277">
        <v>7350</v>
      </c>
      <c r="B226" s="179" t="s">
        <v>163</v>
      </c>
      <c r="C226" s="113"/>
      <c r="D226" s="113">
        <v>0</v>
      </c>
      <c r="E226" s="251"/>
      <c r="F226" s="252"/>
      <c r="G226" s="252"/>
      <c r="H226" s="232">
        <f t="shared" si="214"/>
        <v>0</v>
      </c>
      <c r="I226" s="252">
        <v>0</v>
      </c>
      <c r="J226" s="252"/>
      <c r="K226" s="252"/>
      <c r="L226" s="252"/>
      <c r="M226" s="232">
        <f t="shared" si="215"/>
        <v>0</v>
      </c>
      <c r="N226" s="252">
        <v>0</v>
      </c>
      <c r="O226" s="252"/>
      <c r="P226" s="252"/>
      <c r="Q226" s="252"/>
      <c r="R226" s="232">
        <f t="shared" si="216"/>
        <v>0</v>
      </c>
    </row>
    <row r="227" spans="1:18" s="29" customFormat="1" ht="24" hidden="1" customHeight="1">
      <c r="A227" s="276">
        <v>7400</v>
      </c>
      <c r="B227" s="172" t="s">
        <v>161</v>
      </c>
      <c r="C227" s="107">
        <v>0</v>
      </c>
      <c r="D227" s="107">
        <v>0</v>
      </c>
      <c r="E227" s="232">
        <f t="shared" ref="E227:G227" si="245">SUM(E228:E229)</f>
        <v>0</v>
      </c>
      <c r="F227" s="233">
        <f t="shared" si="245"/>
        <v>0</v>
      </c>
      <c r="G227" s="233">
        <f t="shared" si="245"/>
        <v>0</v>
      </c>
      <c r="H227" s="232">
        <f t="shared" si="214"/>
        <v>0</v>
      </c>
      <c r="I227" s="233">
        <v>0</v>
      </c>
      <c r="J227" s="233">
        <f t="shared" ref="J227:L227" si="246">SUM(J228:J229)</f>
        <v>0</v>
      </c>
      <c r="K227" s="233">
        <f t="shared" si="246"/>
        <v>0</v>
      </c>
      <c r="L227" s="233">
        <f t="shared" si="246"/>
        <v>0</v>
      </c>
      <c r="M227" s="232">
        <f t="shared" si="215"/>
        <v>0</v>
      </c>
      <c r="N227" s="233">
        <v>0</v>
      </c>
      <c r="O227" s="233">
        <f t="shared" ref="O227:Q227" si="247">SUM(O228:O229)</f>
        <v>0</v>
      </c>
      <c r="P227" s="233">
        <f t="shared" si="247"/>
        <v>0</v>
      </c>
      <c r="Q227" s="233">
        <f t="shared" si="247"/>
        <v>0</v>
      </c>
      <c r="R227" s="232">
        <f t="shared" si="216"/>
        <v>0</v>
      </c>
    </row>
    <row r="228" spans="1:18" s="29" customFormat="1" ht="24" hidden="1" customHeight="1">
      <c r="A228" s="277">
        <v>7460</v>
      </c>
      <c r="B228" s="172" t="s">
        <v>162</v>
      </c>
      <c r="C228" s="113"/>
      <c r="D228" s="113">
        <v>0</v>
      </c>
      <c r="E228" s="251"/>
      <c r="F228" s="252"/>
      <c r="G228" s="252"/>
      <c r="H228" s="232">
        <f t="shared" si="214"/>
        <v>0</v>
      </c>
      <c r="I228" s="252">
        <v>0</v>
      </c>
      <c r="J228" s="252"/>
      <c r="K228" s="252"/>
      <c r="L228" s="252"/>
      <c r="M228" s="232">
        <f t="shared" si="215"/>
        <v>0</v>
      </c>
      <c r="N228" s="252">
        <v>0</v>
      </c>
      <c r="O228" s="252"/>
      <c r="P228" s="252"/>
      <c r="Q228" s="252"/>
      <c r="R228" s="232">
        <f t="shared" si="216"/>
        <v>0</v>
      </c>
    </row>
    <row r="229" spans="1:18" s="29" customFormat="1" ht="48" hidden="1" customHeight="1">
      <c r="A229" s="277">
        <v>7470</v>
      </c>
      <c r="B229" s="179" t="s">
        <v>167</v>
      </c>
      <c r="C229" s="113"/>
      <c r="D229" s="113">
        <v>0</v>
      </c>
      <c r="E229" s="251"/>
      <c r="F229" s="252"/>
      <c r="G229" s="252"/>
      <c r="H229" s="232">
        <f t="shared" si="214"/>
        <v>0</v>
      </c>
      <c r="I229" s="252">
        <v>0</v>
      </c>
      <c r="J229" s="252"/>
      <c r="K229" s="252"/>
      <c r="L229" s="252"/>
      <c r="M229" s="232">
        <f t="shared" si="215"/>
        <v>0</v>
      </c>
      <c r="N229" s="252">
        <v>0</v>
      </c>
      <c r="O229" s="252"/>
      <c r="P229" s="252"/>
      <c r="Q229" s="252"/>
      <c r="R229" s="232">
        <f t="shared" si="216"/>
        <v>0</v>
      </c>
    </row>
    <row r="230" spans="1:18" s="29" customFormat="1" ht="24">
      <c r="A230" s="276">
        <v>7500</v>
      </c>
      <c r="B230" s="179" t="s">
        <v>157</v>
      </c>
      <c r="C230" s="107">
        <v>48041</v>
      </c>
      <c r="D230" s="107">
        <v>137542</v>
      </c>
      <c r="E230" s="232"/>
      <c r="F230" s="233"/>
      <c r="G230" s="233"/>
      <c r="H230" s="232">
        <f t="shared" si="214"/>
        <v>137542</v>
      </c>
      <c r="I230" s="233">
        <v>38741</v>
      </c>
      <c r="J230" s="233"/>
      <c r="K230" s="233"/>
      <c r="L230" s="233"/>
      <c r="M230" s="232">
        <f t="shared" si="215"/>
        <v>38741</v>
      </c>
      <c r="N230" s="233">
        <v>0</v>
      </c>
      <c r="O230" s="233"/>
      <c r="P230" s="233"/>
      <c r="Q230" s="233"/>
      <c r="R230" s="232">
        <f t="shared" si="216"/>
        <v>0</v>
      </c>
    </row>
    <row r="231" spans="1:18" s="29" customFormat="1">
      <c r="A231" s="286" t="s">
        <v>133</v>
      </c>
      <c r="B231" s="124" t="s">
        <v>122</v>
      </c>
      <c r="C231" s="107">
        <v>6689762</v>
      </c>
      <c r="D231" s="107">
        <v>173248</v>
      </c>
      <c r="E231" s="253">
        <f t="shared" ref="E231:G231" si="248">E232+E233</f>
        <v>1990014</v>
      </c>
      <c r="F231" s="254">
        <f t="shared" si="248"/>
        <v>0</v>
      </c>
      <c r="G231" s="254">
        <f t="shared" si="248"/>
        <v>0</v>
      </c>
      <c r="H231" s="232">
        <f t="shared" si="214"/>
        <v>2163262</v>
      </c>
      <c r="I231" s="254">
        <v>44519</v>
      </c>
      <c r="J231" s="254">
        <f t="shared" ref="J231:L231" si="249">J232+J233</f>
        <v>0</v>
      </c>
      <c r="K231" s="254">
        <f t="shared" si="249"/>
        <v>0</v>
      </c>
      <c r="L231" s="254">
        <f t="shared" si="249"/>
        <v>0</v>
      </c>
      <c r="M231" s="232">
        <f t="shared" si="215"/>
        <v>44519</v>
      </c>
      <c r="N231" s="254">
        <v>0</v>
      </c>
      <c r="O231" s="254">
        <f t="shared" ref="O231:Q231" si="250">O232+O233</f>
        <v>0</v>
      </c>
      <c r="P231" s="254">
        <f t="shared" si="250"/>
        <v>0</v>
      </c>
      <c r="Q231" s="254">
        <f t="shared" si="250"/>
        <v>0</v>
      </c>
      <c r="R231" s="232">
        <f t="shared" si="216"/>
        <v>0</v>
      </c>
    </row>
    <row r="232" spans="1:18" s="29" customFormat="1">
      <c r="A232" s="286">
        <v>5000</v>
      </c>
      <c r="B232" s="124" t="s">
        <v>123</v>
      </c>
      <c r="C232" s="107">
        <v>6689762</v>
      </c>
      <c r="D232" s="107">
        <v>173248</v>
      </c>
      <c r="E232" s="232">
        <f>E467+E477</f>
        <v>1990014</v>
      </c>
      <c r="F232" s="244"/>
      <c r="G232" s="244"/>
      <c r="H232" s="232">
        <f t="shared" si="214"/>
        <v>2163262</v>
      </c>
      <c r="I232" s="233">
        <v>0</v>
      </c>
      <c r="J232" s="232">
        <f>J467+J477</f>
        <v>0</v>
      </c>
      <c r="K232" s="244"/>
      <c r="L232" s="244"/>
      <c r="M232" s="232">
        <f t="shared" si="215"/>
        <v>0</v>
      </c>
      <c r="N232" s="233">
        <v>0</v>
      </c>
      <c r="O232" s="232">
        <f>O467+O477</f>
        <v>0</v>
      </c>
      <c r="P232" s="244"/>
      <c r="Q232" s="244"/>
      <c r="R232" s="232">
        <f t="shared" si="216"/>
        <v>0</v>
      </c>
    </row>
    <row r="233" spans="1:18" s="29" customFormat="1">
      <c r="A233" s="286">
        <v>9000</v>
      </c>
      <c r="B233" s="182" t="s">
        <v>164</v>
      </c>
      <c r="C233" s="171">
        <v>0</v>
      </c>
      <c r="D233" s="171">
        <v>0</v>
      </c>
      <c r="E233" s="232">
        <f t="shared" ref="E233:G233" si="251">E234+E240+E244+E247</f>
        <v>0</v>
      </c>
      <c r="F233" s="233">
        <f t="shared" si="251"/>
        <v>0</v>
      </c>
      <c r="G233" s="233">
        <f t="shared" si="251"/>
        <v>0</v>
      </c>
      <c r="H233" s="232">
        <f t="shared" si="214"/>
        <v>0</v>
      </c>
      <c r="I233" s="233">
        <v>44519</v>
      </c>
      <c r="J233" s="233">
        <f t="shared" ref="J233:L233" si="252">J234+J240+J244+J247</f>
        <v>0</v>
      </c>
      <c r="K233" s="233">
        <f t="shared" si="252"/>
        <v>0</v>
      </c>
      <c r="L233" s="233">
        <f t="shared" si="252"/>
        <v>0</v>
      </c>
      <c r="M233" s="232">
        <f t="shared" si="215"/>
        <v>44519</v>
      </c>
      <c r="N233" s="233">
        <v>0</v>
      </c>
      <c r="O233" s="233">
        <f t="shared" ref="O233:Q233" si="253">O234+O240+O244+O247</f>
        <v>0</v>
      </c>
      <c r="P233" s="233">
        <f t="shared" si="253"/>
        <v>0</v>
      </c>
      <c r="Q233" s="233">
        <f t="shared" si="253"/>
        <v>0</v>
      </c>
      <c r="R233" s="232">
        <f t="shared" si="216"/>
        <v>0</v>
      </c>
    </row>
    <row r="234" spans="1:18" s="29" customFormat="1" ht="12" hidden="1" customHeight="1">
      <c r="A234" s="126">
        <v>9100</v>
      </c>
      <c r="B234" s="179" t="s">
        <v>124</v>
      </c>
      <c r="C234" s="171">
        <v>0</v>
      </c>
      <c r="D234" s="171">
        <v>0</v>
      </c>
      <c r="E234" s="232">
        <f t="shared" ref="E234:G234" si="254">SUM(E235:E236)</f>
        <v>0</v>
      </c>
      <c r="F234" s="233">
        <f t="shared" ref="F234" si="255">SUM(F235:F236)</f>
        <v>0</v>
      </c>
      <c r="G234" s="233">
        <f t="shared" si="254"/>
        <v>0</v>
      </c>
      <c r="H234" s="232">
        <f t="shared" si="214"/>
        <v>0</v>
      </c>
      <c r="I234" s="233">
        <v>0</v>
      </c>
      <c r="J234" s="233">
        <f t="shared" ref="J234:L234" si="256">SUM(J235:J236)</f>
        <v>0</v>
      </c>
      <c r="K234" s="233">
        <f t="shared" si="256"/>
        <v>0</v>
      </c>
      <c r="L234" s="233">
        <f t="shared" si="256"/>
        <v>0</v>
      </c>
      <c r="M234" s="232">
        <f t="shared" si="215"/>
        <v>0</v>
      </c>
      <c r="N234" s="233">
        <v>0</v>
      </c>
      <c r="O234" s="233">
        <f t="shared" ref="O234:Q234" si="257">SUM(O235:O236)</f>
        <v>0</v>
      </c>
      <c r="P234" s="233">
        <f t="shared" si="257"/>
        <v>0</v>
      </c>
      <c r="Q234" s="233">
        <f t="shared" si="257"/>
        <v>0</v>
      </c>
      <c r="R234" s="232">
        <f t="shared" si="216"/>
        <v>0</v>
      </c>
    </row>
    <row r="235" spans="1:18" s="29" customFormat="1" ht="24" hidden="1" customHeight="1">
      <c r="A235" s="277" t="s">
        <v>125</v>
      </c>
      <c r="B235" s="179" t="s">
        <v>214</v>
      </c>
      <c r="C235" s="171"/>
      <c r="D235" s="171">
        <v>0</v>
      </c>
      <c r="E235" s="232"/>
      <c r="F235" s="233"/>
      <c r="G235" s="233"/>
      <c r="H235" s="232">
        <f t="shared" si="214"/>
        <v>0</v>
      </c>
      <c r="I235" s="233">
        <v>0</v>
      </c>
      <c r="J235" s="233"/>
      <c r="K235" s="233"/>
      <c r="L235" s="233"/>
      <c r="M235" s="232">
        <f t="shared" si="215"/>
        <v>0</v>
      </c>
      <c r="N235" s="233">
        <v>0</v>
      </c>
      <c r="O235" s="233"/>
      <c r="P235" s="233"/>
      <c r="Q235" s="233"/>
      <c r="R235" s="232">
        <f t="shared" si="216"/>
        <v>0</v>
      </c>
    </row>
    <row r="236" spans="1:18" s="29" customFormat="1" ht="24" hidden="1" customHeight="1">
      <c r="A236" s="277">
        <v>9140</v>
      </c>
      <c r="B236" s="179" t="s">
        <v>215</v>
      </c>
      <c r="C236" s="171">
        <v>0</v>
      </c>
      <c r="D236" s="171">
        <v>0</v>
      </c>
      <c r="E236" s="232">
        <f t="shared" ref="E236:G236" si="258">SUM(E237:E239)</f>
        <v>0</v>
      </c>
      <c r="F236" s="233">
        <f t="shared" si="258"/>
        <v>0</v>
      </c>
      <c r="G236" s="233">
        <f t="shared" si="258"/>
        <v>0</v>
      </c>
      <c r="H236" s="232">
        <f t="shared" si="214"/>
        <v>0</v>
      </c>
      <c r="I236" s="233">
        <v>0</v>
      </c>
      <c r="J236" s="233">
        <f t="shared" ref="J236:L236" si="259">SUM(J237:J239)</f>
        <v>0</v>
      </c>
      <c r="K236" s="233">
        <f t="shared" si="259"/>
        <v>0</v>
      </c>
      <c r="L236" s="233">
        <f t="shared" si="259"/>
        <v>0</v>
      </c>
      <c r="M236" s="232">
        <f t="shared" si="215"/>
        <v>0</v>
      </c>
      <c r="N236" s="233">
        <v>0</v>
      </c>
      <c r="O236" s="233">
        <f t="shared" ref="O236:Q236" si="260">SUM(O237:O239)</f>
        <v>0</v>
      </c>
      <c r="P236" s="233">
        <f t="shared" si="260"/>
        <v>0</v>
      </c>
      <c r="Q236" s="233">
        <f t="shared" si="260"/>
        <v>0</v>
      </c>
      <c r="R236" s="232">
        <f t="shared" si="216"/>
        <v>0</v>
      </c>
    </row>
    <row r="237" spans="1:18" s="29" customFormat="1" ht="36" hidden="1" customHeight="1">
      <c r="A237" s="278">
        <v>9141</v>
      </c>
      <c r="B237" s="172" t="s">
        <v>190</v>
      </c>
      <c r="C237" s="180"/>
      <c r="D237" s="180">
        <v>0</v>
      </c>
      <c r="E237" s="251"/>
      <c r="F237" s="252"/>
      <c r="G237" s="252"/>
      <c r="H237" s="232">
        <f t="shared" si="214"/>
        <v>0</v>
      </c>
      <c r="I237" s="252">
        <v>0</v>
      </c>
      <c r="J237" s="252"/>
      <c r="K237" s="252"/>
      <c r="L237" s="252"/>
      <c r="M237" s="232">
        <f t="shared" si="215"/>
        <v>0</v>
      </c>
      <c r="N237" s="252">
        <v>0</v>
      </c>
      <c r="O237" s="252"/>
      <c r="P237" s="252"/>
      <c r="Q237" s="252"/>
      <c r="R237" s="232">
        <f t="shared" si="216"/>
        <v>0</v>
      </c>
    </row>
    <row r="238" spans="1:18" s="29" customFormat="1" ht="36" hidden="1" customHeight="1">
      <c r="A238" s="278">
        <v>9142</v>
      </c>
      <c r="B238" s="172" t="s">
        <v>191</v>
      </c>
      <c r="C238" s="180"/>
      <c r="D238" s="180">
        <v>0</v>
      </c>
      <c r="E238" s="251"/>
      <c r="F238" s="252"/>
      <c r="G238" s="252"/>
      <c r="H238" s="232">
        <f t="shared" si="214"/>
        <v>0</v>
      </c>
      <c r="I238" s="252">
        <v>0</v>
      </c>
      <c r="J238" s="252"/>
      <c r="K238" s="252"/>
      <c r="L238" s="252"/>
      <c r="M238" s="232">
        <f t="shared" si="215"/>
        <v>0</v>
      </c>
      <c r="N238" s="252">
        <v>0</v>
      </c>
      <c r="O238" s="252"/>
      <c r="P238" s="252"/>
      <c r="Q238" s="252"/>
      <c r="R238" s="232">
        <f t="shared" si="216"/>
        <v>0</v>
      </c>
    </row>
    <row r="239" spans="1:18" s="29" customFormat="1" ht="24" hidden="1" customHeight="1">
      <c r="A239" s="278">
        <v>9149</v>
      </c>
      <c r="B239" s="172" t="s">
        <v>192</v>
      </c>
      <c r="C239" s="180"/>
      <c r="D239" s="180">
        <v>0</v>
      </c>
      <c r="E239" s="251"/>
      <c r="F239" s="252"/>
      <c r="G239" s="252"/>
      <c r="H239" s="232">
        <f t="shared" si="214"/>
        <v>0</v>
      </c>
      <c r="I239" s="252">
        <v>0</v>
      </c>
      <c r="J239" s="252"/>
      <c r="K239" s="252"/>
      <c r="L239" s="252"/>
      <c r="M239" s="232">
        <f t="shared" si="215"/>
        <v>0</v>
      </c>
      <c r="N239" s="252">
        <v>0</v>
      </c>
      <c r="O239" s="252"/>
      <c r="P239" s="252"/>
      <c r="Q239" s="252"/>
      <c r="R239" s="232">
        <f t="shared" si="216"/>
        <v>0</v>
      </c>
    </row>
    <row r="240" spans="1:18" s="29" customFormat="1" ht="24" hidden="1" customHeight="1">
      <c r="A240" s="126">
        <v>9500</v>
      </c>
      <c r="B240" s="172" t="s">
        <v>165</v>
      </c>
      <c r="C240" s="171">
        <v>0</v>
      </c>
      <c r="D240" s="171">
        <v>0</v>
      </c>
      <c r="E240" s="232">
        <f t="shared" ref="E240:G240" si="261">SUM(E241:E243)</f>
        <v>0</v>
      </c>
      <c r="F240" s="233">
        <f t="shared" si="261"/>
        <v>0</v>
      </c>
      <c r="G240" s="233">
        <f t="shared" si="261"/>
        <v>0</v>
      </c>
      <c r="H240" s="232">
        <f t="shared" si="214"/>
        <v>0</v>
      </c>
      <c r="I240" s="233">
        <v>0</v>
      </c>
      <c r="J240" s="233">
        <f t="shared" ref="J240:L240" si="262">SUM(J241:J243)</f>
        <v>0</v>
      </c>
      <c r="K240" s="233">
        <f t="shared" si="262"/>
        <v>0</v>
      </c>
      <c r="L240" s="233">
        <f t="shared" si="262"/>
        <v>0</v>
      </c>
      <c r="M240" s="232">
        <f t="shared" si="215"/>
        <v>0</v>
      </c>
      <c r="N240" s="233">
        <v>0</v>
      </c>
      <c r="O240" s="233">
        <f t="shared" ref="O240:Q240" si="263">SUM(O241:O243)</f>
        <v>0</v>
      </c>
      <c r="P240" s="233">
        <f t="shared" si="263"/>
        <v>0</v>
      </c>
      <c r="Q240" s="233">
        <f t="shared" si="263"/>
        <v>0</v>
      </c>
      <c r="R240" s="232">
        <f t="shared" si="216"/>
        <v>0</v>
      </c>
    </row>
    <row r="241" spans="1:18" s="29" customFormat="1" ht="24" hidden="1" customHeight="1">
      <c r="A241" s="277" t="s">
        <v>193</v>
      </c>
      <c r="B241" s="172" t="s">
        <v>171</v>
      </c>
      <c r="C241" s="171"/>
      <c r="D241" s="171">
        <v>0</v>
      </c>
      <c r="E241" s="232"/>
      <c r="F241" s="233"/>
      <c r="G241" s="233"/>
      <c r="H241" s="232">
        <f t="shared" si="214"/>
        <v>0</v>
      </c>
      <c r="I241" s="233">
        <v>0</v>
      </c>
      <c r="J241" s="233"/>
      <c r="K241" s="233"/>
      <c r="L241" s="233"/>
      <c r="M241" s="232">
        <f t="shared" si="215"/>
        <v>0</v>
      </c>
      <c r="N241" s="233">
        <v>0</v>
      </c>
      <c r="O241" s="233"/>
      <c r="P241" s="233"/>
      <c r="Q241" s="233"/>
      <c r="R241" s="232">
        <f t="shared" si="216"/>
        <v>0</v>
      </c>
    </row>
    <row r="242" spans="1:18" s="29" customFormat="1" ht="48" hidden="1" customHeight="1">
      <c r="A242" s="277">
        <v>9580</v>
      </c>
      <c r="B242" s="172" t="s">
        <v>166</v>
      </c>
      <c r="C242" s="180"/>
      <c r="D242" s="180">
        <v>0</v>
      </c>
      <c r="E242" s="251"/>
      <c r="F242" s="252"/>
      <c r="G242" s="252"/>
      <c r="H242" s="232">
        <f t="shared" si="214"/>
        <v>0</v>
      </c>
      <c r="I242" s="252">
        <v>0</v>
      </c>
      <c r="J242" s="252"/>
      <c r="K242" s="252"/>
      <c r="L242" s="252"/>
      <c r="M242" s="232">
        <f t="shared" si="215"/>
        <v>0</v>
      </c>
      <c r="N242" s="252">
        <v>0</v>
      </c>
      <c r="O242" s="252"/>
      <c r="P242" s="252"/>
      <c r="Q242" s="252"/>
      <c r="R242" s="232">
        <f t="shared" si="216"/>
        <v>0</v>
      </c>
    </row>
    <row r="243" spans="1:18" s="29" customFormat="1" ht="48" hidden="1" customHeight="1">
      <c r="A243" s="277">
        <v>9590</v>
      </c>
      <c r="B243" s="179" t="s">
        <v>172</v>
      </c>
      <c r="C243" s="180"/>
      <c r="D243" s="180">
        <v>0</v>
      </c>
      <c r="E243" s="251"/>
      <c r="F243" s="252"/>
      <c r="G243" s="252"/>
      <c r="H243" s="232">
        <f t="shared" si="214"/>
        <v>0</v>
      </c>
      <c r="I243" s="252">
        <v>0</v>
      </c>
      <c r="J243" s="252"/>
      <c r="K243" s="252"/>
      <c r="L243" s="252"/>
      <c r="M243" s="232">
        <f t="shared" si="215"/>
        <v>0</v>
      </c>
      <c r="N243" s="252">
        <v>0</v>
      </c>
      <c r="O243" s="252"/>
      <c r="P243" s="252"/>
      <c r="Q243" s="252"/>
      <c r="R243" s="232">
        <f t="shared" si="216"/>
        <v>0</v>
      </c>
    </row>
    <row r="244" spans="1:18" s="29" customFormat="1" ht="24" hidden="1" customHeight="1">
      <c r="A244" s="126">
        <v>9700</v>
      </c>
      <c r="B244" s="183" t="s">
        <v>194</v>
      </c>
      <c r="C244" s="171">
        <v>0</v>
      </c>
      <c r="D244" s="171">
        <v>0</v>
      </c>
      <c r="E244" s="232">
        <f t="shared" ref="E244:G244" si="264">SUM(E245:E246)</f>
        <v>0</v>
      </c>
      <c r="F244" s="233">
        <f t="shared" si="264"/>
        <v>0</v>
      </c>
      <c r="G244" s="233">
        <f t="shared" si="264"/>
        <v>0</v>
      </c>
      <c r="H244" s="232">
        <f t="shared" si="214"/>
        <v>0</v>
      </c>
      <c r="I244" s="233">
        <v>0</v>
      </c>
      <c r="J244" s="233">
        <f t="shared" ref="J244:L244" si="265">SUM(J245:J246)</f>
        <v>0</v>
      </c>
      <c r="K244" s="233">
        <f t="shared" si="265"/>
        <v>0</v>
      </c>
      <c r="L244" s="233">
        <f t="shared" si="265"/>
        <v>0</v>
      </c>
      <c r="M244" s="232">
        <f t="shared" si="215"/>
        <v>0</v>
      </c>
      <c r="N244" s="233">
        <v>0</v>
      </c>
      <c r="O244" s="233">
        <f t="shared" ref="O244:Q244" si="266">SUM(O245:O246)</f>
        <v>0</v>
      </c>
      <c r="P244" s="233">
        <f t="shared" si="266"/>
        <v>0</v>
      </c>
      <c r="Q244" s="233">
        <f t="shared" si="266"/>
        <v>0</v>
      </c>
      <c r="R244" s="232">
        <f t="shared" si="216"/>
        <v>0</v>
      </c>
    </row>
    <row r="245" spans="1:18" s="29" customFormat="1" ht="24" hidden="1" customHeight="1">
      <c r="A245" s="277">
        <v>9710</v>
      </c>
      <c r="B245" s="184" t="s">
        <v>195</v>
      </c>
      <c r="C245" s="180"/>
      <c r="D245" s="180">
        <v>0</v>
      </c>
      <c r="E245" s="251"/>
      <c r="F245" s="252"/>
      <c r="G245" s="252"/>
      <c r="H245" s="232">
        <f t="shared" si="214"/>
        <v>0</v>
      </c>
      <c r="I245" s="252">
        <v>0</v>
      </c>
      <c r="J245" s="252"/>
      <c r="K245" s="252"/>
      <c r="L245" s="252"/>
      <c r="M245" s="232">
        <f t="shared" si="215"/>
        <v>0</v>
      </c>
      <c r="N245" s="252">
        <v>0</v>
      </c>
      <c r="O245" s="252"/>
      <c r="P245" s="252"/>
      <c r="Q245" s="252"/>
      <c r="R245" s="232">
        <f t="shared" si="216"/>
        <v>0</v>
      </c>
    </row>
    <row r="246" spans="1:18" s="29" customFormat="1" ht="48" hidden="1" customHeight="1">
      <c r="A246" s="288">
        <v>9720</v>
      </c>
      <c r="B246" s="183" t="s">
        <v>196</v>
      </c>
      <c r="C246" s="180"/>
      <c r="D246" s="180">
        <v>0</v>
      </c>
      <c r="E246" s="251"/>
      <c r="F246" s="252"/>
      <c r="G246" s="252"/>
      <c r="H246" s="232">
        <f t="shared" si="214"/>
        <v>0</v>
      </c>
      <c r="I246" s="252">
        <v>0</v>
      </c>
      <c r="J246" s="252"/>
      <c r="K246" s="252"/>
      <c r="L246" s="252"/>
      <c r="M246" s="232">
        <f t="shared" si="215"/>
        <v>0</v>
      </c>
      <c r="N246" s="252">
        <v>0</v>
      </c>
      <c r="O246" s="252"/>
      <c r="P246" s="252"/>
      <c r="Q246" s="252"/>
      <c r="R246" s="232">
        <f t="shared" si="216"/>
        <v>0</v>
      </c>
    </row>
    <row r="247" spans="1:18" s="29" customFormat="1" ht="24">
      <c r="A247" s="126">
        <v>9600</v>
      </c>
      <c r="B247" s="179" t="s">
        <v>134</v>
      </c>
      <c r="C247" s="180"/>
      <c r="D247" s="180">
        <v>0</v>
      </c>
      <c r="E247" s="251"/>
      <c r="F247" s="252"/>
      <c r="G247" s="252"/>
      <c r="H247" s="232">
        <f t="shared" si="214"/>
        <v>0</v>
      </c>
      <c r="I247" s="252">
        <v>44519</v>
      </c>
      <c r="J247" s="252"/>
      <c r="K247" s="252"/>
      <c r="L247" s="252"/>
      <c r="M247" s="232">
        <f t="shared" si="215"/>
        <v>44519</v>
      </c>
      <c r="N247" s="252">
        <v>0</v>
      </c>
      <c r="O247" s="252"/>
      <c r="P247" s="252"/>
      <c r="Q247" s="252"/>
      <c r="R247" s="232">
        <f t="shared" si="216"/>
        <v>0</v>
      </c>
    </row>
    <row r="248" spans="1:18" s="29" customFormat="1" ht="60" hidden="1" customHeight="1">
      <c r="A248" s="124" t="s">
        <v>197</v>
      </c>
      <c r="B248" s="185" t="s">
        <v>47</v>
      </c>
      <c r="C248" s="186">
        <v>0</v>
      </c>
      <c r="D248" s="186">
        <v>0</v>
      </c>
      <c r="E248" s="261">
        <f t="shared" ref="E248:G248" si="267">E178-E203</f>
        <v>0</v>
      </c>
      <c r="F248" s="262">
        <f t="shared" si="267"/>
        <v>0</v>
      </c>
      <c r="G248" s="262">
        <f t="shared" si="267"/>
        <v>0</v>
      </c>
      <c r="H248" s="232">
        <f t="shared" si="214"/>
        <v>0</v>
      </c>
      <c r="I248" s="262">
        <v>0</v>
      </c>
      <c r="J248" s="262">
        <f t="shared" ref="J248:L248" si="268">J178-J203</f>
        <v>0</v>
      </c>
      <c r="K248" s="262">
        <f t="shared" si="268"/>
        <v>0</v>
      </c>
      <c r="L248" s="262">
        <f t="shared" si="268"/>
        <v>0</v>
      </c>
      <c r="M248" s="232">
        <f t="shared" si="215"/>
        <v>0</v>
      </c>
      <c r="N248" s="262">
        <v>0</v>
      </c>
      <c r="O248" s="262">
        <f t="shared" ref="O248:Q248" si="269">O178-O203</f>
        <v>0</v>
      </c>
      <c r="P248" s="262">
        <f t="shared" si="269"/>
        <v>0</v>
      </c>
      <c r="Q248" s="262">
        <f t="shared" si="269"/>
        <v>0</v>
      </c>
      <c r="R248" s="232">
        <f t="shared" si="216"/>
        <v>0</v>
      </c>
    </row>
    <row r="249" spans="1:18" s="29" customFormat="1" ht="12" hidden="1" customHeight="1">
      <c r="A249" s="289" t="s">
        <v>48</v>
      </c>
      <c r="B249" s="185" t="s">
        <v>49</v>
      </c>
      <c r="C249" s="186">
        <v>0</v>
      </c>
      <c r="D249" s="186">
        <v>0</v>
      </c>
      <c r="E249" s="261">
        <f t="shared" ref="E249:G249" si="270">E250+E253+E257+E256</f>
        <v>0</v>
      </c>
      <c r="F249" s="262">
        <f t="shared" si="270"/>
        <v>0</v>
      </c>
      <c r="G249" s="262">
        <f t="shared" si="270"/>
        <v>0</v>
      </c>
      <c r="H249" s="232">
        <f t="shared" si="214"/>
        <v>0</v>
      </c>
      <c r="I249" s="262">
        <v>0</v>
      </c>
      <c r="J249" s="262">
        <f t="shared" ref="J249:L249" si="271">J250+J253+J257+J256</f>
        <v>0</v>
      </c>
      <c r="K249" s="262">
        <f t="shared" si="271"/>
        <v>0</v>
      </c>
      <c r="L249" s="262">
        <f t="shared" si="271"/>
        <v>0</v>
      </c>
      <c r="M249" s="232">
        <f t="shared" si="215"/>
        <v>0</v>
      </c>
      <c r="N249" s="262">
        <v>0</v>
      </c>
      <c r="O249" s="262">
        <f t="shared" ref="O249:Q249" si="272">O250+O253+O257+O256</f>
        <v>0</v>
      </c>
      <c r="P249" s="262">
        <f t="shared" si="272"/>
        <v>0</v>
      </c>
      <c r="Q249" s="262">
        <f t="shared" si="272"/>
        <v>0</v>
      </c>
      <c r="R249" s="232">
        <f t="shared" si="216"/>
        <v>0</v>
      </c>
    </row>
    <row r="250" spans="1:18" s="29" customFormat="1" ht="12" hidden="1" customHeight="1">
      <c r="A250" s="126" t="s">
        <v>50</v>
      </c>
      <c r="B250" s="179" t="s">
        <v>51</v>
      </c>
      <c r="C250" s="169">
        <v>0</v>
      </c>
      <c r="D250" s="169">
        <v>0</v>
      </c>
      <c r="E250" s="230">
        <f t="shared" ref="E250:G250" si="273">E251+E252</f>
        <v>0</v>
      </c>
      <c r="F250" s="231">
        <f t="shared" si="273"/>
        <v>0</v>
      </c>
      <c r="G250" s="231">
        <f t="shared" si="273"/>
        <v>0</v>
      </c>
      <c r="H250" s="232">
        <f t="shared" si="214"/>
        <v>0</v>
      </c>
      <c r="I250" s="231">
        <v>0</v>
      </c>
      <c r="J250" s="231">
        <f t="shared" ref="J250:L250" si="274">J251+J252</f>
        <v>0</v>
      </c>
      <c r="K250" s="231">
        <f t="shared" si="274"/>
        <v>0</v>
      </c>
      <c r="L250" s="231">
        <f t="shared" si="274"/>
        <v>0</v>
      </c>
      <c r="M250" s="232">
        <f t="shared" si="215"/>
        <v>0</v>
      </c>
      <c r="N250" s="231">
        <v>0</v>
      </c>
      <c r="O250" s="231">
        <f t="shared" ref="O250:Q250" si="275">O251+O252</f>
        <v>0</v>
      </c>
      <c r="P250" s="231">
        <f t="shared" si="275"/>
        <v>0</v>
      </c>
      <c r="Q250" s="231">
        <f t="shared" si="275"/>
        <v>0</v>
      </c>
      <c r="R250" s="232">
        <f t="shared" si="216"/>
        <v>0</v>
      </c>
    </row>
    <row r="251" spans="1:18" s="29" customFormat="1" ht="12" hidden="1" customHeight="1">
      <c r="A251" s="126" t="s">
        <v>52</v>
      </c>
      <c r="B251" s="179" t="s">
        <v>53</v>
      </c>
      <c r="C251" s="169"/>
      <c r="D251" s="169">
        <v>0</v>
      </c>
      <c r="E251" s="230"/>
      <c r="F251" s="231"/>
      <c r="G251" s="231"/>
      <c r="H251" s="232">
        <f t="shared" si="214"/>
        <v>0</v>
      </c>
      <c r="I251" s="231">
        <v>0</v>
      </c>
      <c r="J251" s="231"/>
      <c r="K251" s="231"/>
      <c r="L251" s="231"/>
      <c r="M251" s="232">
        <f t="shared" si="215"/>
        <v>0</v>
      </c>
      <c r="N251" s="231">
        <v>0</v>
      </c>
      <c r="O251" s="231"/>
      <c r="P251" s="231"/>
      <c r="Q251" s="231"/>
      <c r="R251" s="232">
        <f t="shared" si="216"/>
        <v>0</v>
      </c>
    </row>
    <row r="252" spans="1:18" s="29" customFormat="1" ht="12" hidden="1" customHeight="1">
      <c r="A252" s="126" t="s">
        <v>54</v>
      </c>
      <c r="B252" s="179" t="s">
        <v>55</v>
      </c>
      <c r="C252" s="169"/>
      <c r="D252" s="169">
        <v>0</v>
      </c>
      <c r="E252" s="230"/>
      <c r="F252" s="231"/>
      <c r="G252" s="231"/>
      <c r="H252" s="232">
        <f t="shared" si="214"/>
        <v>0</v>
      </c>
      <c r="I252" s="231">
        <v>0</v>
      </c>
      <c r="J252" s="231"/>
      <c r="K252" s="231"/>
      <c r="L252" s="231"/>
      <c r="M252" s="232">
        <f t="shared" si="215"/>
        <v>0</v>
      </c>
      <c r="N252" s="231">
        <v>0</v>
      </c>
      <c r="O252" s="231"/>
      <c r="P252" s="231"/>
      <c r="Q252" s="231"/>
      <c r="R252" s="232">
        <f t="shared" si="216"/>
        <v>0</v>
      </c>
    </row>
    <row r="253" spans="1:18" s="29" customFormat="1" ht="12" hidden="1" customHeight="1">
      <c r="A253" s="126" t="s">
        <v>56</v>
      </c>
      <c r="B253" s="179" t="s">
        <v>57</v>
      </c>
      <c r="C253" s="169">
        <v>0</v>
      </c>
      <c r="D253" s="169">
        <v>0</v>
      </c>
      <c r="E253" s="230">
        <f t="shared" ref="E253:G253" si="276">E254+E255</f>
        <v>0</v>
      </c>
      <c r="F253" s="231">
        <f t="shared" si="276"/>
        <v>0</v>
      </c>
      <c r="G253" s="231">
        <f t="shared" si="276"/>
        <v>0</v>
      </c>
      <c r="H253" s="232">
        <f t="shared" si="214"/>
        <v>0</v>
      </c>
      <c r="I253" s="231">
        <v>0</v>
      </c>
      <c r="J253" s="231">
        <f t="shared" ref="J253:L253" si="277">J254+J255</f>
        <v>0</v>
      </c>
      <c r="K253" s="231">
        <f t="shared" si="277"/>
        <v>0</v>
      </c>
      <c r="L253" s="231">
        <f t="shared" si="277"/>
        <v>0</v>
      </c>
      <c r="M253" s="232">
        <f t="shared" si="215"/>
        <v>0</v>
      </c>
      <c r="N253" s="231">
        <v>0</v>
      </c>
      <c r="O253" s="231">
        <f t="shared" ref="O253:Q253" si="278">O254+O255</f>
        <v>0</v>
      </c>
      <c r="P253" s="231">
        <f t="shared" si="278"/>
        <v>0</v>
      </c>
      <c r="Q253" s="231">
        <f t="shared" si="278"/>
        <v>0</v>
      </c>
      <c r="R253" s="232">
        <f t="shared" si="216"/>
        <v>0</v>
      </c>
    </row>
    <row r="254" spans="1:18" s="29" customFormat="1" ht="12" hidden="1" customHeight="1">
      <c r="A254" s="126" t="s">
        <v>58</v>
      </c>
      <c r="B254" s="179" t="s">
        <v>59</v>
      </c>
      <c r="C254" s="169"/>
      <c r="D254" s="169">
        <v>0</v>
      </c>
      <c r="E254" s="230"/>
      <c r="F254" s="231"/>
      <c r="G254" s="231"/>
      <c r="H254" s="232">
        <f t="shared" si="214"/>
        <v>0</v>
      </c>
      <c r="I254" s="231">
        <v>0</v>
      </c>
      <c r="J254" s="231"/>
      <c r="K254" s="231"/>
      <c r="L254" s="231"/>
      <c r="M254" s="232">
        <f t="shared" si="215"/>
        <v>0</v>
      </c>
      <c r="N254" s="231">
        <v>0</v>
      </c>
      <c r="O254" s="231"/>
      <c r="P254" s="231"/>
      <c r="Q254" s="231"/>
      <c r="R254" s="232">
        <f t="shared" si="216"/>
        <v>0</v>
      </c>
    </row>
    <row r="255" spans="1:18" s="29" customFormat="1" ht="12" hidden="1" customHeight="1">
      <c r="A255" s="126" t="s">
        <v>60</v>
      </c>
      <c r="B255" s="179" t="s">
        <v>61</v>
      </c>
      <c r="C255" s="169"/>
      <c r="D255" s="169">
        <v>0</v>
      </c>
      <c r="E255" s="230"/>
      <c r="F255" s="231"/>
      <c r="G255" s="231"/>
      <c r="H255" s="232">
        <f t="shared" si="214"/>
        <v>0</v>
      </c>
      <c r="I255" s="231">
        <v>0</v>
      </c>
      <c r="J255" s="231"/>
      <c r="K255" s="231"/>
      <c r="L255" s="231"/>
      <c r="M255" s="232">
        <f t="shared" si="215"/>
        <v>0</v>
      </c>
      <c r="N255" s="231">
        <v>0</v>
      </c>
      <c r="O255" s="231"/>
      <c r="P255" s="231"/>
      <c r="Q255" s="231"/>
      <c r="R255" s="232">
        <f t="shared" si="216"/>
        <v>0</v>
      </c>
    </row>
    <row r="256" spans="1:18" s="29" customFormat="1" ht="12" hidden="1" customHeight="1">
      <c r="A256" s="126" t="s">
        <v>198</v>
      </c>
      <c r="B256" s="187" t="s">
        <v>168</v>
      </c>
      <c r="C256" s="169"/>
      <c r="D256" s="169">
        <v>0</v>
      </c>
      <c r="E256" s="230"/>
      <c r="F256" s="231"/>
      <c r="G256" s="231"/>
      <c r="H256" s="232">
        <f t="shared" si="214"/>
        <v>0</v>
      </c>
      <c r="I256" s="231">
        <v>0</v>
      </c>
      <c r="J256" s="231"/>
      <c r="K256" s="231"/>
      <c r="L256" s="231"/>
      <c r="M256" s="232">
        <f t="shared" si="215"/>
        <v>0</v>
      </c>
      <c r="N256" s="231">
        <v>0</v>
      </c>
      <c r="O256" s="231"/>
      <c r="P256" s="231"/>
      <c r="Q256" s="231"/>
      <c r="R256" s="232">
        <f t="shared" si="216"/>
        <v>0</v>
      </c>
    </row>
    <row r="257" spans="1:19" s="29" customFormat="1" ht="12" hidden="1" customHeight="1">
      <c r="A257" s="290" t="s">
        <v>62</v>
      </c>
      <c r="B257" s="125" t="s">
        <v>63</v>
      </c>
      <c r="C257" s="171">
        <v>0</v>
      </c>
      <c r="D257" s="171">
        <v>0</v>
      </c>
      <c r="E257" s="232">
        <f t="shared" ref="E257:G257" si="279">E258+E259+E260</f>
        <v>0</v>
      </c>
      <c r="F257" s="233">
        <f t="shared" si="279"/>
        <v>0</v>
      </c>
      <c r="G257" s="233">
        <f t="shared" si="279"/>
        <v>0</v>
      </c>
      <c r="H257" s="232">
        <f t="shared" si="214"/>
        <v>0</v>
      </c>
      <c r="I257" s="233">
        <v>0</v>
      </c>
      <c r="J257" s="233">
        <f t="shared" ref="J257:L257" si="280">J258+J259+J260</f>
        <v>0</v>
      </c>
      <c r="K257" s="233">
        <f t="shared" si="280"/>
        <v>0</v>
      </c>
      <c r="L257" s="233">
        <f t="shared" si="280"/>
        <v>0</v>
      </c>
      <c r="M257" s="232">
        <f t="shared" si="215"/>
        <v>0</v>
      </c>
      <c r="N257" s="233">
        <v>0</v>
      </c>
      <c r="O257" s="233">
        <f t="shared" ref="O257:Q257" si="281">O258+O259+O260</f>
        <v>0</v>
      </c>
      <c r="P257" s="233">
        <f t="shared" si="281"/>
        <v>0</v>
      </c>
      <c r="Q257" s="233">
        <f t="shared" si="281"/>
        <v>0</v>
      </c>
      <c r="R257" s="232">
        <f t="shared" si="216"/>
        <v>0</v>
      </c>
    </row>
    <row r="258" spans="1:19" s="29" customFormat="1" ht="36" hidden="1" customHeight="1">
      <c r="A258" s="290" t="s">
        <v>64</v>
      </c>
      <c r="B258" s="179" t="s">
        <v>65</v>
      </c>
      <c r="C258" s="169"/>
      <c r="D258" s="169">
        <v>0</v>
      </c>
      <c r="E258" s="230"/>
      <c r="F258" s="231"/>
      <c r="G258" s="231"/>
      <c r="H258" s="232">
        <f t="shared" si="214"/>
        <v>0</v>
      </c>
      <c r="I258" s="231">
        <v>0</v>
      </c>
      <c r="J258" s="231"/>
      <c r="K258" s="231"/>
      <c r="L258" s="231"/>
      <c r="M258" s="232">
        <f t="shared" si="215"/>
        <v>0</v>
      </c>
      <c r="N258" s="231">
        <v>0</v>
      </c>
      <c r="O258" s="231"/>
      <c r="P258" s="231"/>
      <c r="Q258" s="231"/>
      <c r="R258" s="232">
        <f t="shared" si="216"/>
        <v>0</v>
      </c>
    </row>
    <row r="259" spans="1:19" s="29" customFormat="1" ht="36" hidden="1" customHeight="1">
      <c r="A259" s="290" t="s">
        <v>66</v>
      </c>
      <c r="B259" s="179" t="s">
        <v>67</v>
      </c>
      <c r="C259" s="169"/>
      <c r="D259" s="169">
        <v>0</v>
      </c>
      <c r="E259" s="230"/>
      <c r="F259" s="231"/>
      <c r="G259" s="231"/>
      <c r="H259" s="232">
        <f t="shared" si="214"/>
        <v>0</v>
      </c>
      <c r="I259" s="231">
        <v>0</v>
      </c>
      <c r="J259" s="231"/>
      <c r="K259" s="231"/>
      <c r="L259" s="231"/>
      <c r="M259" s="232">
        <f t="shared" si="215"/>
        <v>0</v>
      </c>
      <c r="N259" s="231">
        <v>0</v>
      </c>
      <c r="O259" s="231"/>
      <c r="P259" s="231"/>
      <c r="Q259" s="231"/>
      <c r="R259" s="232">
        <f t="shared" si="216"/>
        <v>0</v>
      </c>
    </row>
    <row r="260" spans="1:19" s="29" customFormat="1" ht="24" hidden="1" customHeight="1">
      <c r="A260" s="290" t="s">
        <v>68</v>
      </c>
      <c r="B260" s="125" t="s">
        <v>69</v>
      </c>
      <c r="C260" s="169"/>
      <c r="D260" s="169">
        <v>0</v>
      </c>
      <c r="E260" s="230"/>
      <c r="F260" s="231"/>
      <c r="G260" s="231"/>
      <c r="H260" s="232">
        <f t="shared" si="214"/>
        <v>0</v>
      </c>
      <c r="I260" s="231">
        <v>0</v>
      </c>
      <c r="J260" s="231"/>
      <c r="K260" s="231"/>
      <c r="L260" s="231"/>
      <c r="M260" s="232">
        <f t="shared" si="215"/>
        <v>0</v>
      </c>
      <c r="N260" s="231">
        <v>0</v>
      </c>
      <c r="O260" s="231"/>
      <c r="P260" s="231"/>
      <c r="Q260" s="231"/>
      <c r="R260" s="232">
        <f t="shared" si="216"/>
        <v>0</v>
      </c>
    </row>
    <row r="261" spans="1:19" s="29" customFormat="1">
      <c r="A261" s="271"/>
      <c r="B261" s="272"/>
      <c r="C261" s="253"/>
      <c r="D261" s="254"/>
      <c r="E261" s="253"/>
      <c r="F261" s="253"/>
      <c r="G261" s="253"/>
      <c r="H261" s="232"/>
      <c r="I261" s="254"/>
      <c r="J261" s="253"/>
      <c r="K261" s="253"/>
      <c r="L261" s="253"/>
      <c r="M261" s="232"/>
      <c r="N261" s="254"/>
      <c r="O261" s="253"/>
      <c r="P261" s="253"/>
      <c r="Q261" s="253"/>
      <c r="R261" s="232"/>
    </row>
    <row r="262" spans="1:19" s="3" customFormat="1">
      <c r="A262" s="33"/>
      <c r="B262" s="164"/>
      <c r="C262" s="165"/>
      <c r="D262" s="163"/>
      <c r="E262" s="165"/>
      <c r="F262" s="163"/>
      <c r="G262" s="163"/>
      <c r="H262" s="163"/>
      <c r="I262" s="163"/>
      <c r="J262" s="165"/>
      <c r="K262" s="163"/>
      <c r="L262" s="163"/>
      <c r="M262" s="163"/>
      <c r="N262" s="163"/>
      <c r="O262" s="165"/>
      <c r="P262" s="163"/>
      <c r="Q262" s="163"/>
      <c r="R262" s="163"/>
    </row>
    <row r="263" spans="1:19" s="3" customFormat="1">
      <c r="A263" s="1121"/>
      <c r="B263" s="1122"/>
      <c r="C263" s="469"/>
      <c r="D263" s="470"/>
      <c r="E263" s="469"/>
      <c r="F263" s="470"/>
      <c r="G263" s="470"/>
      <c r="H263" s="470"/>
      <c r="I263" s="470"/>
      <c r="J263" s="469"/>
      <c r="K263" s="470"/>
      <c r="L263" s="470"/>
      <c r="M263" s="470"/>
      <c r="N263" s="470"/>
      <c r="O263" s="469"/>
      <c r="P263" s="470"/>
      <c r="Q263" s="470"/>
      <c r="R263" s="470"/>
      <c r="S263" s="1071"/>
    </row>
    <row r="264" spans="1:19" s="3" customFormat="1" ht="13.2">
      <c r="A264" s="369" t="s">
        <v>236</v>
      </c>
      <c r="B264" s="370" t="s">
        <v>237</v>
      </c>
      <c r="C264" s="469"/>
      <c r="D264" s="470"/>
      <c r="E264" s="469"/>
      <c r="F264" s="470"/>
      <c r="G264" s="470"/>
      <c r="H264" s="470"/>
      <c r="I264" s="470"/>
      <c r="J264" s="469"/>
      <c r="K264" s="470"/>
      <c r="L264" s="470"/>
      <c r="M264" s="470"/>
      <c r="N264" s="470"/>
      <c r="O264" s="469"/>
      <c r="P264" s="470"/>
      <c r="Q264" s="470"/>
      <c r="R264" s="470"/>
      <c r="S264" s="1071"/>
    </row>
    <row r="265" spans="1:19" s="3" customFormat="1" ht="13.2">
      <c r="A265" s="409"/>
      <c r="B265" s="477" t="s">
        <v>238</v>
      </c>
      <c r="C265" s="469"/>
      <c r="D265" s="470"/>
      <c r="E265" s="469"/>
      <c r="F265" s="470"/>
      <c r="G265" s="470"/>
      <c r="H265" s="470"/>
      <c r="I265" s="470"/>
      <c r="J265" s="469"/>
      <c r="K265" s="470"/>
      <c r="L265" s="470"/>
      <c r="M265" s="470"/>
      <c r="N265" s="470"/>
      <c r="O265" s="469"/>
      <c r="P265" s="470"/>
      <c r="Q265" s="470"/>
      <c r="R265" s="470"/>
      <c r="S265" s="1071"/>
    </row>
    <row r="266" spans="1:19" s="3" customFormat="1" ht="13.2">
      <c r="A266" s="959" t="s">
        <v>223</v>
      </c>
      <c r="B266" s="932" t="s">
        <v>434</v>
      </c>
      <c r="C266" s="469"/>
      <c r="D266" s="470"/>
      <c r="E266" s="469"/>
      <c r="F266" s="470"/>
      <c r="G266" s="470"/>
      <c r="H266" s="470"/>
      <c r="I266" s="470"/>
      <c r="J266" s="469"/>
      <c r="K266" s="470"/>
      <c r="L266" s="470"/>
      <c r="M266" s="470"/>
      <c r="N266" s="470"/>
      <c r="O266" s="469"/>
      <c r="P266" s="470"/>
      <c r="Q266" s="470"/>
      <c r="R266" s="470"/>
      <c r="S266" s="1071"/>
    </row>
    <row r="267" spans="1:19" s="3" customFormat="1" ht="66">
      <c r="A267" s="1123" t="s">
        <v>240</v>
      </c>
      <c r="B267" s="1124" t="s">
        <v>639</v>
      </c>
      <c r="C267" s="1124"/>
      <c r="D267" s="1124"/>
      <c r="E267" s="1124"/>
      <c r="F267" s="1124"/>
      <c r="G267" s="1124"/>
      <c r="H267" s="1124"/>
      <c r="I267" s="1124"/>
      <c r="J267" s="1124"/>
      <c r="K267" s="1124"/>
      <c r="L267" s="1124"/>
      <c r="M267" s="1124"/>
      <c r="N267" s="1124"/>
      <c r="O267" s="1124"/>
      <c r="P267" s="1124"/>
      <c r="Q267" s="1124"/>
      <c r="R267" s="1124"/>
      <c r="S267" s="1071"/>
    </row>
    <row r="268" spans="1:19" s="3" customFormat="1">
      <c r="A268" s="1125"/>
      <c r="B268" s="1126" t="s">
        <v>88</v>
      </c>
      <c r="C268" s="1096"/>
      <c r="D268" s="1096"/>
      <c r="E268" s="1096">
        <f>E269</f>
        <v>0</v>
      </c>
      <c r="F268" s="1096"/>
      <c r="G268" s="1096"/>
      <c r="H268" s="1096"/>
      <c r="I268" s="1096"/>
      <c r="J268" s="1096">
        <f>J269</f>
        <v>0</v>
      </c>
      <c r="K268" s="1096"/>
      <c r="L268" s="1096"/>
      <c r="M268" s="1096"/>
      <c r="N268" s="1096"/>
      <c r="O268" s="1096">
        <f>O269</f>
        <v>0</v>
      </c>
      <c r="P268" s="1096"/>
      <c r="Q268" s="1096"/>
      <c r="R268" s="1096"/>
      <c r="S268" s="1071"/>
    </row>
    <row r="269" spans="1:19" s="3" customFormat="1">
      <c r="A269" s="1127"/>
      <c r="B269" s="1128" t="s">
        <v>97</v>
      </c>
      <c r="C269" s="780"/>
      <c r="D269" s="780"/>
      <c r="E269" s="780">
        <f>E270</f>
        <v>0</v>
      </c>
      <c r="F269" s="780"/>
      <c r="G269" s="780"/>
      <c r="H269" s="1096"/>
      <c r="I269" s="780"/>
      <c r="J269" s="780">
        <f>J270</f>
        <v>0</v>
      </c>
      <c r="K269" s="780"/>
      <c r="L269" s="780"/>
      <c r="M269" s="1096"/>
      <c r="N269" s="780"/>
      <c r="O269" s="780">
        <f>O270</f>
        <v>0</v>
      </c>
      <c r="P269" s="780"/>
      <c r="Q269" s="780"/>
      <c r="R269" s="1096"/>
      <c r="S269" s="1071"/>
    </row>
    <row r="270" spans="1:19" s="3" customFormat="1" ht="24">
      <c r="A270" s="1129"/>
      <c r="B270" s="1130" t="s">
        <v>98</v>
      </c>
      <c r="C270" s="780"/>
      <c r="D270" s="780"/>
      <c r="E270" s="780"/>
      <c r="F270" s="780"/>
      <c r="G270" s="780"/>
      <c r="H270" s="1096"/>
      <c r="I270" s="780"/>
      <c r="J270" s="780"/>
      <c r="K270" s="780"/>
      <c r="L270" s="780"/>
      <c r="M270" s="1096"/>
      <c r="N270" s="780"/>
      <c r="O270" s="780"/>
      <c r="P270" s="780"/>
      <c r="Q270" s="780"/>
      <c r="R270" s="1096"/>
      <c r="S270" s="1071"/>
    </row>
    <row r="271" spans="1:19" s="3" customFormat="1">
      <c r="A271" s="1125"/>
      <c r="B271" s="1126" t="s">
        <v>392</v>
      </c>
      <c r="C271" s="1096"/>
      <c r="D271" s="1096"/>
      <c r="E271" s="1096">
        <f>E272+E275</f>
        <v>0</v>
      </c>
      <c r="F271" s="1096"/>
      <c r="G271" s="1096"/>
      <c r="H271" s="1096"/>
      <c r="I271" s="1096"/>
      <c r="J271" s="1096">
        <f>J272+J275</f>
        <v>0</v>
      </c>
      <c r="K271" s="1096"/>
      <c r="L271" s="1096"/>
      <c r="M271" s="1096"/>
      <c r="N271" s="1096"/>
      <c r="O271" s="1096">
        <f>O272+O275</f>
        <v>0</v>
      </c>
      <c r="P271" s="1096"/>
      <c r="Q271" s="1096"/>
      <c r="R271" s="1096"/>
      <c r="S271" s="1071"/>
    </row>
    <row r="272" spans="1:19" s="3" customFormat="1">
      <c r="A272" s="1127"/>
      <c r="B272" s="1128" t="s">
        <v>103</v>
      </c>
      <c r="C272" s="780"/>
      <c r="D272" s="780"/>
      <c r="E272" s="780">
        <f>E273</f>
        <v>200</v>
      </c>
      <c r="F272" s="780"/>
      <c r="G272" s="780"/>
      <c r="H272" s="1096"/>
      <c r="I272" s="780"/>
      <c r="J272" s="780">
        <f>J273</f>
        <v>200</v>
      </c>
      <c r="K272" s="780"/>
      <c r="L272" s="780"/>
      <c r="M272" s="1096"/>
      <c r="N272" s="780"/>
      <c r="O272" s="780">
        <f>O273</f>
        <v>200</v>
      </c>
      <c r="P272" s="780"/>
      <c r="Q272" s="780"/>
      <c r="R272" s="1096"/>
      <c r="S272" s="1071"/>
    </row>
    <row r="273" spans="1:19" s="3" customFormat="1">
      <c r="A273" s="1129"/>
      <c r="B273" s="1130" t="s">
        <v>105</v>
      </c>
      <c r="C273" s="780"/>
      <c r="D273" s="780"/>
      <c r="E273" s="780">
        <f>E274</f>
        <v>200</v>
      </c>
      <c r="F273" s="780"/>
      <c r="G273" s="780"/>
      <c r="H273" s="1096"/>
      <c r="I273" s="780"/>
      <c r="J273" s="780">
        <f>J274</f>
        <v>200</v>
      </c>
      <c r="K273" s="780"/>
      <c r="L273" s="780"/>
      <c r="M273" s="1096"/>
      <c r="N273" s="780"/>
      <c r="O273" s="780">
        <f>O274</f>
        <v>200</v>
      </c>
      <c r="P273" s="780"/>
      <c r="Q273" s="780"/>
      <c r="R273" s="1096"/>
      <c r="S273" s="1071"/>
    </row>
    <row r="274" spans="1:19" s="3" customFormat="1">
      <c r="A274" s="1125"/>
      <c r="B274" s="1131" t="s">
        <v>640</v>
      </c>
      <c r="C274" s="1096"/>
      <c r="D274" s="1096"/>
      <c r="E274" s="780">
        <v>200</v>
      </c>
      <c r="F274" s="1096"/>
      <c r="G274" s="780"/>
      <c r="H274" s="1096"/>
      <c r="I274" s="1096"/>
      <c r="J274" s="780">
        <v>200</v>
      </c>
      <c r="K274" s="1096"/>
      <c r="L274" s="780"/>
      <c r="M274" s="1096"/>
      <c r="N274" s="1096"/>
      <c r="O274" s="780">
        <v>200</v>
      </c>
      <c r="P274" s="1096"/>
      <c r="Q274" s="780"/>
      <c r="R274" s="1096"/>
      <c r="S274" s="1071"/>
    </row>
    <row r="275" spans="1:19" s="3" customFormat="1">
      <c r="A275" s="1127"/>
      <c r="B275" s="1131" t="s">
        <v>641</v>
      </c>
      <c r="C275" s="780"/>
      <c r="D275" s="780"/>
      <c r="E275" s="780">
        <f>E276</f>
        <v>-200</v>
      </c>
      <c r="F275" s="780"/>
      <c r="G275" s="780"/>
      <c r="H275" s="1096"/>
      <c r="I275" s="780"/>
      <c r="J275" s="780">
        <f>J276</f>
        <v>-200</v>
      </c>
      <c r="K275" s="780"/>
      <c r="L275" s="780"/>
      <c r="M275" s="1096"/>
      <c r="N275" s="780"/>
      <c r="O275" s="780">
        <f>O276</f>
        <v>-200</v>
      </c>
      <c r="P275" s="780"/>
      <c r="Q275" s="780"/>
      <c r="R275" s="1096"/>
      <c r="S275" s="1071"/>
    </row>
    <row r="276" spans="1:19" s="3" customFormat="1">
      <c r="A276" s="1129"/>
      <c r="B276" s="1128" t="s">
        <v>123</v>
      </c>
      <c r="C276" s="780"/>
      <c r="D276" s="780"/>
      <c r="E276" s="780">
        <v>-200</v>
      </c>
      <c r="F276" s="780"/>
      <c r="G276" s="780"/>
      <c r="H276" s="1096"/>
      <c r="I276" s="780"/>
      <c r="J276" s="780">
        <v>-200</v>
      </c>
      <c r="K276" s="780"/>
      <c r="L276" s="780"/>
      <c r="M276" s="1096"/>
      <c r="N276" s="780"/>
      <c r="O276" s="780">
        <v>-200</v>
      </c>
      <c r="P276" s="780"/>
      <c r="Q276" s="780"/>
      <c r="R276" s="1096"/>
      <c r="S276" s="1071"/>
    </row>
    <row r="277" spans="1:19" s="3" customFormat="1" ht="105.6">
      <c r="A277" s="1123" t="s">
        <v>253</v>
      </c>
      <c r="B277" s="1124" t="s">
        <v>642</v>
      </c>
      <c r="C277" s="1124"/>
      <c r="D277" s="1124"/>
      <c r="E277" s="1124"/>
      <c r="F277" s="1124"/>
      <c r="G277" s="1124"/>
      <c r="H277" s="1124"/>
      <c r="I277" s="1124"/>
      <c r="J277" s="1124"/>
      <c r="K277" s="1124"/>
      <c r="L277" s="1124"/>
      <c r="M277" s="1124"/>
      <c r="N277" s="1124"/>
      <c r="O277" s="1124"/>
      <c r="P277" s="1124"/>
      <c r="Q277" s="1124"/>
      <c r="R277" s="1124"/>
      <c r="S277" s="1071"/>
    </row>
    <row r="278" spans="1:19" s="3" customFormat="1">
      <c r="A278" s="1125"/>
      <c r="B278" s="1126" t="s">
        <v>88</v>
      </c>
      <c r="C278" s="1096"/>
      <c r="D278" s="1096"/>
      <c r="E278" s="1096">
        <f>E279</f>
        <v>-117</v>
      </c>
      <c r="F278" s="1096"/>
      <c r="G278" s="1096"/>
      <c r="H278" s="1096"/>
      <c r="I278" s="1096"/>
      <c r="J278" s="1096">
        <f>J279</f>
        <v>0</v>
      </c>
      <c r="K278" s="1096"/>
      <c r="L278" s="1096"/>
      <c r="M278" s="1096"/>
      <c r="N278" s="1096"/>
      <c r="O278" s="1096">
        <f>O279</f>
        <v>0</v>
      </c>
      <c r="P278" s="1096"/>
      <c r="Q278" s="1096"/>
      <c r="R278" s="1096"/>
      <c r="S278" s="1071"/>
    </row>
    <row r="279" spans="1:19" s="3" customFormat="1">
      <c r="A279" s="1127"/>
      <c r="B279" s="1128" t="s">
        <v>97</v>
      </c>
      <c r="C279" s="780"/>
      <c r="D279" s="780"/>
      <c r="E279" s="780">
        <f>E280</f>
        <v>-117</v>
      </c>
      <c r="F279" s="780"/>
      <c r="G279" s="780"/>
      <c r="H279" s="1096"/>
      <c r="I279" s="780"/>
      <c r="J279" s="780">
        <f>J280</f>
        <v>0</v>
      </c>
      <c r="K279" s="780"/>
      <c r="L279" s="780"/>
      <c r="M279" s="1096"/>
      <c r="N279" s="780"/>
      <c r="O279" s="780">
        <f>O280</f>
        <v>0</v>
      </c>
      <c r="P279" s="780"/>
      <c r="Q279" s="780"/>
      <c r="R279" s="1096"/>
      <c r="S279" s="1071"/>
    </row>
    <row r="280" spans="1:19" s="3" customFormat="1" ht="24">
      <c r="A280" s="1129"/>
      <c r="B280" s="1130" t="s">
        <v>98</v>
      </c>
      <c r="C280" s="780"/>
      <c r="D280" s="780"/>
      <c r="E280" s="780">
        <v>-117</v>
      </c>
      <c r="F280" s="780"/>
      <c r="G280" s="780"/>
      <c r="H280" s="1096"/>
      <c r="I280" s="780"/>
      <c r="J280" s="780"/>
      <c r="K280" s="780"/>
      <c r="L280" s="780"/>
      <c r="M280" s="1096"/>
      <c r="N280" s="780"/>
      <c r="O280" s="780"/>
      <c r="P280" s="780"/>
      <c r="Q280" s="780"/>
      <c r="R280" s="1096"/>
      <c r="S280" s="1071"/>
    </row>
    <row r="281" spans="1:19" s="3" customFormat="1">
      <c r="A281" s="1125"/>
      <c r="B281" s="1126" t="s">
        <v>392</v>
      </c>
      <c r="C281" s="1096"/>
      <c r="D281" s="1096"/>
      <c r="E281" s="1096">
        <f>E282</f>
        <v>-117</v>
      </c>
      <c r="F281" s="1096"/>
      <c r="G281" s="1096"/>
      <c r="H281" s="1096"/>
      <c r="I281" s="1096"/>
      <c r="J281" s="1096">
        <f>J282</f>
        <v>0</v>
      </c>
      <c r="K281" s="1096"/>
      <c r="L281" s="1096"/>
      <c r="M281" s="1096"/>
      <c r="N281" s="1096"/>
      <c r="O281" s="1096">
        <f>O282</f>
        <v>0</v>
      </c>
      <c r="P281" s="1096"/>
      <c r="Q281" s="1096"/>
      <c r="R281" s="1096"/>
      <c r="S281" s="1071"/>
    </row>
    <row r="282" spans="1:19">
      <c r="A282" s="1127"/>
      <c r="B282" s="1128" t="s">
        <v>103</v>
      </c>
      <c r="C282" s="780"/>
      <c r="D282" s="780"/>
      <c r="E282" s="780">
        <f>E283</f>
        <v>-117</v>
      </c>
      <c r="F282" s="780"/>
      <c r="G282" s="780"/>
      <c r="H282" s="1096"/>
      <c r="I282" s="780"/>
      <c r="J282" s="780">
        <f>J283</f>
        <v>0</v>
      </c>
      <c r="K282" s="780"/>
      <c r="L282" s="780"/>
      <c r="M282" s="1096"/>
      <c r="N282" s="780"/>
      <c r="O282" s="780">
        <f>O283</f>
        <v>0</v>
      </c>
      <c r="P282" s="780"/>
      <c r="Q282" s="780"/>
      <c r="R282" s="1096"/>
      <c r="S282" s="1132"/>
    </row>
    <row r="283" spans="1:19">
      <c r="A283" s="1129"/>
      <c r="B283" s="1130" t="s">
        <v>105</v>
      </c>
      <c r="C283" s="780"/>
      <c r="D283" s="780"/>
      <c r="E283" s="780">
        <f>E284</f>
        <v>-117</v>
      </c>
      <c r="F283" s="780"/>
      <c r="G283" s="780"/>
      <c r="H283" s="1096"/>
      <c r="I283" s="780"/>
      <c r="J283" s="780">
        <f>J284</f>
        <v>0</v>
      </c>
      <c r="K283" s="780"/>
      <c r="L283" s="780"/>
      <c r="M283" s="1096"/>
      <c r="N283" s="780"/>
      <c r="O283" s="780">
        <f>O284</f>
        <v>0</v>
      </c>
      <c r="P283" s="780"/>
      <c r="Q283" s="780"/>
      <c r="R283" s="1096"/>
      <c r="S283" s="1132"/>
    </row>
    <row r="284" spans="1:19">
      <c r="A284" s="1125"/>
      <c r="B284" s="1131" t="s">
        <v>640</v>
      </c>
      <c r="C284" s="1096"/>
      <c r="D284" s="1096"/>
      <c r="E284" s="780">
        <v>-117</v>
      </c>
      <c r="F284" s="1096"/>
      <c r="G284" s="780"/>
      <c r="H284" s="1096"/>
      <c r="I284" s="1096"/>
      <c r="J284" s="780"/>
      <c r="K284" s="1096"/>
      <c r="L284" s="780"/>
      <c r="M284" s="1096"/>
      <c r="N284" s="1096"/>
      <c r="O284" s="780"/>
      <c r="P284" s="1096"/>
      <c r="Q284" s="780"/>
      <c r="R284" s="1096"/>
      <c r="S284" s="1132"/>
    </row>
    <row r="285" spans="1:19" ht="13.2">
      <c r="A285" s="414"/>
      <c r="B285" s="475"/>
      <c r="C285" s="469"/>
      <c r="D285" s="470"/>
      <c r="E285" s="469"/>
      <c r="F285" s="470"/>
      <c r="G285" s="470"/>
      <c r="H285" s="470"/>
      <c r="I285" s="470"/>
      <c r="J285" s="469"/>
      <c r="K285" s="470"/>
      <c r="L285" s="470"/>
      <c r="M285" s="470"/>
      <c r="N285" s="470"/>
      <c r="O285" s="469"/>
      <c r="P285" s="470"/>
      <c r="Q285" s="470"/>
      <c r="R285" s="470"/>
      <c r="S285" s="1132"/>
    </row>
    <row r="286" spans="1:19" ht="13.2">
      <c r="A286" s="931" t="s">
        <v>224</v>
      </c>
      <c r="B286" s="932" t="s">
        <v>242</v>
      </c>
      <c r="C286" s="469"/>
      <c r="D286" s="470"/>
      <c r="E286" s="469"/>
      <c r="F286" s="470"/>
      <c r="G286" s="470"/>
      <c r="H286" s="470"/>
      <c r="I286" s="470"/>
      <c r="J286" s="469"/>
      <c r="K286" s="470"/>
      <c r="L286" s="470"/>
      <c r="M286" s="470"/>
      <c r="N286" s="470"/>
      <c r="O286" s="469"/>
      <c r="P286" s="470"/>
      <c r="Q286" s="470"/>
      <c r="R286" s="470"/>
      <c r="S286" s="1132"/>
    </row>
    <row r="287" spans="1:19" ht="118.8">
      <c r="A287" s="1133" t="s">
        <v>243</v>
      </c>
      <c r="B287" s="1134" t="s">
        <v>391</v>
      </c>
      <c r="C287" s="1135"/>
      <c r="D287" s="1135"/>
      <c r="E287" s="1135"/>
      <c r="F287" s="1135"/>
      <c r="G287" s="1135"/>
      <c r="H287" s="1135"/>
      <c r="I287" s="1135"/>
      <c r="J287" s="1135"/>
      <c r="K287" s="1135"/>
      <c r="L287" s="1135"/>
      <c r="M287" s="1135"/>
      <c r="N287" s="1135"/>
      <c r="O287" s="1135"/>
      <c r="P287" s="1135"/>
      <c r="Q287" s="1135"/>
      <c r="R287" s="1135"/>
      <c r="S287" s="1132"/>
    </row>
    <row r="288" spans="1:19">
      <c r="A288" s="1125"/>
      <c r="B288" s="1126" t="s">
        <v>88</v>
      </c>
      <c r="C288" s="1096"/>
      <c r="D288" s="1096"/>
      <c r="E288" s="1096"/>
      <c r="F288" s="1096">
        <f>F289</f>
        <v>6912</v>
      </c>
      <c r="G288" s="1096"/>
      <c r="H288" s="1096"/>
      <c r="I288" s="1096"/>
      <c r="J288" s="1096"/>
      <c r="K288" s="1096">
        <f>K289</f>
        <v>6912</v>
      </c>
      <c r="L288" s="1096"/>
      <c r="M288" s="1096"/>
      <c r="N288" s="1096"/>
      <c r="O288" s="1096"/>
      <c r="P288" s="1096">
        <f>P289</f>
        <v>6912</v>
      </c>
      <c r="Q288" s="1096"/>
      <c r="R288" s="1096"/>
      <c r="S288" s="1132"/>
    </row>
    <row r="289" spans="1:19">
      <c r="A289" s="1127"/>
      <c r="B289" s="1128" t="s">
        <v>97</v>
      </c>
      <c r="C289" s="780"/>
      <c r="D289" s="780"/>
      <c r="E289" s="780"/>
      <c r="F289" s="780">
        <f>F290</f>
        <v>6912</v>
      </c>
      <c r="G289" s="780"/>
      <c r="H289" s="780"/>
      <c r="I289" s="780"/>
      <c r="J289" s="780"/>
      <c r="K289" s="780">
        <f>K290</f>
        <v>6912</v>
      </c>
      <c r="L289" s="780"/>
      <c r="M289" s="780"/>
      <c r="N289" s="780"/>
      <c r="O289" s="780"/>
      <c r="P289" s="780">
        <f>P290</f>
        <v>6912</v>
      </c>
      <c r="Q289" s="780"/>
      <c r="R289" s="780"/>
      <c r="S289" s="1132"/>
    </row>
    <row r="290" spans="1:19" ht="24">
      <c r="A290" s="1129"/>
      <c r="B290" s="1130" t="s">
        <v>98</v>
      </c>
      <c r="C290" s="780"/>
      <c r="D290" s="780"/>
      <c r="E290" s="780"/>
      <c r="F290" s="780">
        <v>6912</v>
      </c>
      <c r="G290" s="780"/>
      <c r="H290" s="780"/>
      <c r="I290" s="780"/>
      <c r="J290" s="780"/>
      <c r="K290" s="780">
        <v>6912</v>
      </c>
      <c r="L290" s="780"/>
      <c r="M290" s="780"/>
      <c r="N290" s="780"/>
      <c r="O290" s="780"/>
      <c r="P290" s="780">
        <v>6912</v>
      </c>
      <c r="Q290" s="780"/>
      <c r="R290" s="780"/>
      <c r="S290" s="1132"/>
    </row>
    <row r="291" spans="1:19">
      <c r="A291" s="1125"/>
      <c r="B291" s="1126" t="s">
        <v>392</v>
      </c>
      <c r="C291" s="1096"/>
      <c r="D291" s="1096"/>
      <c r="E291" s="1096"/>
      <c r="F291" s="1096">
        <f>F292</f>
        <v>6912</v>
      </c>
      <c r="G291" s="1096"/>
      <c r="H291" s="1096"/>
      <c r="I291" s="1096"/>
      <c r="J291" s="1096"/>
      <c r="K291" s="1096">
        <f>K292</f>
        <v>6912</v>
      </c>
      <c r="L291" s="1096"/>
      <c r="M291" s="1096"/>
      <c r="N291" s="1096"/>
      <c r="O291" s="1096"/>
      <c r="P291" s="1096">
        <f>P292</f>
        <v>6912</v>
      </c>
      <c r="Q291" s="1096"/>
      <c r="R291" s="1096"/>
      <c r="S291" s="1132"/>
    </row>
    <row r="292" spans="1:19">
      <c r="A292" s="1127"/>
      <c r="B292" s="1128" t="s">
        <v>103</v>
      </c>
      <c r="C292" s="780"/>
      <c r="D292" s="780"/>
      <c r="E292" s="780"/>
      <c r="F292" s="780">
        <f>F293</f>
        <v>6912</v>
      </c>
      <c r="G292" s="780"/>
      <c r="H292" s="780"/>
      <c r="I292" s="780"/>
      <c r="J292" s="780"/>
      <c r="K292" s="780">
        <f>K293</f>
        <v>6912</v>
      </c>
      <c r="L292" s="780"/>
      <c r="M292" s="780"/>
      <c r="N292" s="780"/>
      <c r="O292" s="780"/>
      <c r="P292" s="780">
        <f>P293</f>
        <v>6912</v>
      </c>
      <c r="Q292" s="780"/>
      <c r="R292" s="780"/>
      <c r="S292" s="1132"/>
    </row>
    <row r="293" spans="1:19">
      <c r="A293" s="1129"/>
      <c r="B293" s="1130" t="s">
        <v>105</v>
      </c>
      <c r="C293" s="780"/>
      <c r="D293" s="780"/>
      <c r="E293" s="780"/>
      <c r="F293" s="780">
        <f>F294</f>
        <v>6912</v>
      </c>
      <c r="G293" s="780"/>
      <c r="H293" s="780"/>
      <c r="I293" s="780"/>
      <c r="J293" s="780"/>
      <c r="K293" s="780">
        <f>K294</f>
        <v>6912</v>
      </c>
      <c r="L293" s="780"/>
      <c r="M293" s="780"/>
      <c r="N293" s="780"/>
      <c r="O293" s="780"/>
      <c r="P293" s="780">
        <f>P294</f>
        <v>6912</v>
      </c>
      <c r="Q293" s="780"/>
      <c r="R293" s="780"/>
      <c r="S293" s="1132"/>
    </row>
    <row r="294" spans="1:19">
      <c r="A294" s="1136"/>
      <c r="B294" s="779" t="s">
        <v>393</v>
      </c>
      <c r="C294" s="1137"/>
      <c r="D294" s="1137"/>
      <c r="E294" s="1137"/>
      <c r="F294" s="1137">
        <v>6912</v>
      </c>
      <c r="G294" s="1137"/>
      <c r="H294" s="1137"/>
      <c r="I294" s="1137"/>
      <c r="J294" s="1137"/>
      <c r="K294" s="1137">
        <v>6912</v>
      </c>
      <c r="L294" s="1137"/>
      <c r="M294" s="1137"/>
      <c r="N294" s="1137"/>
      <c r="O294" s="1137"/>
      <c r="P294" s="1137">
        <v>6912</v>
      </c>
      <c r="Q294" s="1137"/>
      <c r="R294" s="1137"/>
      <c r="S294" s="1132"/>
    </row>
    <row r="295" spans="1:19">
      <c r="A295" s="1138"/>
      <c r="B295" s="1139" t="s">
        <v>394</v>
      </c>
      <c r="C295" s="780"/>
      <c r="D295" s="780"/>
      <c r="E295" s="780"/>
      <c r="F295" s="780">
        <v>5570</v>
      </c>
      <c r="G295" s="780"/>
      <c r="H295" s="780"/>
      <c r="I295" s="780"/>
      <c r="J295" s="780"/>
      <c r="K295" s="780">
        <v>5570</v>
      </c>
      <c r="L295" s="780"/>
      <c r="M295" s="780"/>
      <c r="N295" s="780"/>
      <c r="O295" s="780"/>
      <c r="P295" s="780">
        <v>5570</v>
      </c>
      <c r="Q295" s="780"/>
      <c r="R295" s="780"/>
      <c r="S295" s="1132"/>
    </row>
    <row r="296" spans="1:19" ht="79.2">
      <c r="A296" s="1133" t="s">
        <v>250</v>
      </c>
      <c r="B296" s="1134" t="s">
        <v>395</v>
      </c>
      <c r="C296" s="1135"/>
      <c r="D296" s="1135"/>
      <c r="E296" s="1135"/>
      <c r="F296" s="1135"/>
      <c r="G296" s="1135"/>
      <c r="H296" s="1135"/>
      <c r="I296" s="1135"/>
      <c r="J296" s="1135"/>
      <c r="K296" s="1135"/>
      <c r="L296" s="1135"/>
      <c r="M296" s="1135"/>
      <c r="N296" s="1135"/>
      <c r="O296" s="1135"/>
      <c r="P296" s="1135"/>
      <c r="Q296" s="1135"/>
      <c r="R296" s="1135"/>
      <c r="S296" s="1132"/>
    </row>
    <row r="297" spans="1:19">
      <c r="A297" s="1125"/>
      <c r="B297" s="1126" t="s">
        <v>88</v>
      </c>
      <c r="C297" s="1096"/>
      <c r="D297" s="1096"/>
      <c r="E297" s="1096"/>
      <c r="F297" s="1096">
        <f>F298</f>
        <v>3384391</v>
      </c>
      <c r="G297" s="1096"/>
      <c r="H297" s="1096"/>
      <c r="I297" s="1096"/>
      <c r="J297" s="1096"/>
      <c r="K297" s="1096">
        <f>K298</f>
        <v>3384391</v>
      </c>
      <c r="L297" s="1096"/>
      <c r="M297" s="1096"/>
      <c r="N297" s="1096"/>
      <c r="O297" s="1096"/>
      <c r="P297" s="1096">
        <f>P298</f>
        <v>3384391</v>
      </c>
      <c r="Q297" s="1096"/>
      <c r="R297" s="780"/>
      <c r="S297" s="1132"/>
    </row>
    <row r="298" spans="1:19">
      <c r="A298" s="1127"/>
      <c r="B298" s="1128" t="s">
        <v>97</v>
      </c>
      <c r="C298" s="780"/>
      <c r="D298" s="780"/>
      <c r="E298" s="780"/>
      <c r="F298" s="780">
        <f>F299</f>
        <v>3384391</v>
      </c>
      <c r="G298" s="780"/>
      <c r="H298" s="780"/>
      <c r="I298" s="780"/>
      <c r="J298" s="780"/>
      <c r="K298" s="780">
        <f>K299</f>
        <v>3384391</v>
      </c>
      <c r="L298" s="780"/>
      <c r="M298" s="780"/>
      <c r="N298" s="780"/>
      <c r="O298" s="780"/>
      <c r="P298" s="780">
        <f>P299</f>
        <v>3384391</v>
      </c>
      <c r="Q298" s="780"/>
      <c r="R298" s="780"/>
      <c r="S298" s="1132"/>
    </row>
    <row r="299" spans="1:19" ht="24">
      <c r="A299" s="1129"/>
      <c r="B299" s="1130" t="s">
        <v>98</v>
      </c>
      <c r="C299" s="780"/>
      <c r="D299" s="780"/>
      <c r="E299" s="780"/>
      <c r="F299" s="780">
        <v>3384391</v>
      </c>
      <c r="G299" s="780"/>
      <c r="H299" s="780"/>
      <c r="I299" s="780"/>
      <c r="J299" s="780"/>
      <c r="K299" s="780">
        <v>3384391</v>
      </c>
      <c r="L299" s="780"/>
      <c r="M299" s="780"/>
      <c r="N299" s="780"/>
      <c r="O299" s="780"/>
      <c r="P299" s="780">
        <v>3384391</v>
      </c>
      <c r="Q299" s="780"/>
      <c r="R299" s="780"/>
      <c r="S299" s="1132"/>
    </row>
    <row r="300" spans="1:19">
      <c r="A300" s="1125"/>
      <c r="B300" s="1126" t="s">
        <v>392</v>
      </c>
      <c r="C300" s="1096"/>
      <c r="D300" s="1096"/>
      <c r="E300" s="1096"/>
      <c r="F300" s="1096">
        <f>F301</f>
        <v>3384391</v>
      </c>
      <c r="G300" s="1096"/>
      <c r="H300" s="1096"/>
      <c r="I300" s="1096"/>
      <c r="J300" s="1096"/>
      <c r="K300" s="1096">
        <f>K301</f>
        <v>3384391</v>
      </c>
      <c r="L300" s="1096"/>
      <c r="M300" s="1096"/>
      <c r="N300" s="1096"/>
      <c r="O300" s="1096"/>
      <c r="P300" s="1096">
        <f>P301</f>
        <v>3384391</v>
      </c>
      <c r="Q300" s="1096"/>
      <c r="R300" s="780"/>
      <c r="S300" s="1132"/>
    </row>
    <row r="301" spans="1:19">
      <c r="A301" s="1127"/>
      <c r="B301" s="1128" t="s">
        <v>103</v>
      </c>
      <c r="C301" s="780"/>
      <c r="D301" s="780"/>
      <c r="E301" s="780"/>
      <c r="F301" s="780">
        <f>F302</f>
        <v>3384391</v>
      </c>
      <c r="G301" s="780"/>
      <c r="H301" s="780"/>
      <c r="I301" s="780"/>
      <c r="J301" s="780"/>
      <c r="K301" s="780">
        <f>K302</f>
        <v>3384391</v>
      </c>
      <c r="L301" s="780"/>
      <c r="M301" s="780"/>
      <c r="N301" s="780"/>
      <c r="O301" s="780"/>
      <c r="P301" s="780">
        <f>P302</f>
        <v>3384391</v>
      </c>
      <c r="Q301" s="780"/>
      <c r="R301" s="780"/>
      <c r="S301" s="1132"/>
    </row>
    <row r="302" spans="1:19">
      <c r="A302" s="1129"/>
      <c r="B302" s="1130" t="s">
        <v>105</v>
      </c>
      <c r="C302" s="780"/>
      <c r="D302" s="780"/>
      <c r="E302" s="780"/>
      <c r="F302" s="780">
        <f>F303</f>
        <v>3384391</v>
      </c>
      <c r="G302" s="780"/>
      <c r="H302" s="780"/>
      <c r="I302" s="780"/>
      <c r="J302" s="780"/>
      <c r="K302" s="780">
        <f>K303</f>
        <v>3384391</v>
      </c>
      <c r="L302" s="780"/>
      <c r="M302" s="780"/>
      <c r="N302" s="780"/>
      <c r="O302" s="780"/>
      <c r="P302" s="780">
        <f>P303</f>
        <v>3384391</v>
      </c>
      <c r="Q302" s="780"/>
      <c r="R302" s="780"/>
      <c r="S302" s="1132"/>
    </row>
    <row r="303" spans="1:19">
      <c r="A303" s="1136"/>
      <c r="B303" s="779" t="s">
        <v>393</v>
      </c>
      <c r="C303" s="780"/>
      <c r="D303" s="780"/>
      <c r="E303" s="780"/>
      <c r="F303" s="780">
        <v>3384391</v>
      </c>
      <c r="G303" s="780"/>
      <c r="H303" s="780"/>
      <c r="I303" s="780"/>
      <c r="J303" s="780"/>
      <c r="K303" s="780">
        <v>3384391</v>
      </c>
      <c r="L303" s="780"/>
      <c r="M303" s="780"/>
      <c r="N303" s="780"/>
      <c r="O303" s="780"/>
      <c r="P303" s="780">
        <v>3384391</v>
      </c>
      <c r="Q303" s="780"/>
      <c r="R303" s="780"/>
      <c r="S303" s="1132"/>
    </row>
    <row r="304" spans="1:19">
      <c r="A304" s="1138"/>
      <c r="B304" s="1139" t="s">
        <v>394</v>
      </c>
      <c r="C304" s="780"/>
      <c r="D304" s="780"/>
      <c r="E304" s="780"/>
      <c r="F304" s="780">
        <v>2727368</v>
      </c>
      <c r="G304" s="780"/>
      <c r="H304" s="780"/>
      <c r="I304" s="780"/>
      <c r="J304" s="780"/>
      <c r="K304" s="780">
        <v>2727368</v>
      </c>
      <c r="L304" s="780"/>
      <c r="M304" s="780"/>
      <c r="N304" s="780"/>
      <c r="O304" s="780"/>
      <c r="P304" s="780">
        <v>2727368</v>
      </c>
      <c r="Q304" s="780"/>
      <c r="R304" s="780"/>
      <c r="S304" s="1132"/>
    </row>
    <row r="305" spans="1:19" ht="92.4">
      <c r="A305" s="1133" t="s">
        <v>257</v>
      </c>
      <c r="B305" s="1134" t="s">
        <v>396</v>
      </c>
      <c r="C305" s="1135"/>
      <c r="D305" s="1135"/>
      <c r="E305" s="1135"/>
      <c r="F305" s="1135"/>
      <c r="G305" s="1135"/>
      <c r="H305" s="1135"/>
      <c r="I305" s="1135"/>
      <c r="J305" s="1135"/>
      <c r="K305" s="1135"/>
      <c r="L305" s="1135"/>
      <c r="M305" s="1135"/>
      <c r="N305" s="1135"/>
      <c r="O305" s="1135"/>
      <c r="P305" s="1135"/>
      <c r="Q305" s="1135"/>
      <c r="R305" s="1135"/>
      <c r="S305" s="1132"/>
    </row>
    <row r="306" spans="1:19">
      <c r="A306" s="1140"/>
      <c r="B306" s="1126" t="s">
        <v>88</v>
      </c>
      <c r="C306" s="1096"/>
      <c r="D306" s="1096"/>
      <c r="E306" s="1096"/>
      <c r="F306" s="1096">
        <f>F308</f>
        <v>179621</v>
      </c>
      <c r="G306" s="1096"/>
      <c r="H306" s="1096"/>
      <c r="I306" s="1096"/>
      <c r="J306" s="1096"/>
      <c r="K306" s="1096">
        <f>K308</f>
        <v>87909</v>
      </c>
      <c r="L306" s="1096"/>
      <c r="M306" s="1096"/>
      <c r="N306" s="1096"/>
      <c r="O306" s="1096"/>
      <c r="P306" s="1096">
        <f>P308</f>
        <v>65344</v>
      </c>
      <c r="Q306" s="1096"/>
      <c r="R306" s="780"/>
      <c r="S306" s="1132"/>
    </row>
    <row r="307" spans="1:19">
      <c r="A307" s="1128"/>
      <c r="B307" s="1128" t="s">
        <v>97</v>
      </c>
      <c r="C307" s="1141"/>
      <c r="D307" s="1141"/>
      <c r="E307" s="1141"/>
      <c r="F307" s="1141">
        <f>F308</f>
        <v>179621</v>
      </c>
      <c r="G307" s="1141"/>
      <c r="H307" s="1141"/>
      <c r="I307" s="1141"/>
      <c r="J307" s="1141"/>
      <c r="K307" s="1141">
        <f>K308</f>
        <v>87909</v>
      </c>
      <c r="L307" s="1141"/>
      <c r="M307" s="1141"/>
      <c r="N307" s="1141"/>
      <c r="O307" s="1141"/>
      <c r="P307" s="1141">
        <f>P308</f>
        <v>65344</v>
      </c>
      <c r="Q307" s="1141"/>
      <c r="R307" s="1141"/>
      <c r="S307" s="1132"/>
    </row>
    <row r="308" spans="1:19" ht="24">
      <c r="A308" s="1130"/>
      <c r="B308" s="1130" t="s">
        <v>98</v>
      </c>
      <c r="C308" s="1141"/>
      <c r="D308" s="1141"/>
      <c r="E308" s="1141"/>
      <c r="F308" s="1141">
        <v>179621</v>
      </c>
      <c r="G308" s="1141"/>
      <c r="H308" s="1141"/>
      <c r="I308" s="1141"/>
      <c r="J308" s="1141"/>
      <c r="K308" s="1141">
        <v>87909</v>
      </c>
      <c r="L308" s="1141"/>
      <c r="M308" s="1141"/>
      <c r="N308" s="1141"/>
      <c r="O308" s="1141"/>
      <c r="P308" s="1141">
        <v>65344</v>
      </c>
      <c r="Q308" s="1141"/>
      <c r="R308" s="1141"/>
      <c r="S308" s="1132"/>
    </row>
    <row r="309" spans="1:19">
      <c r="A309" s="1140"/>
      <c r="B309" s="1126" t="s">
        <v>392</v>
      </c>
      <c r="C309" s="1142"/>
      <c r="D309" s="1142"/>
      <c r="E309" s="1142"/>
      <c r="F309" s="1142">
        <f>F310</f>
        <v>179621</v>
      </c>
      <c r="G309" s="1142"/>
      <c r="H309" s="1142"/>
      <c r="I309" s="1142"/>
      <c r="J309" s="1142"/>
      <c r="K309" s="1142">
        <f>K310</f>
        <v>87909</v>
      </c>
      <c r="L309" s="1142"/>
      <c r="M309" s="1142"/>
      <c r="N309" s="1142"/>
      <c r="O309" s="1142"/>
      <c r="P309" s="1142">
        <f>P310</f>
        <v>65344</v>
      </c>
      <c r="Q309" s="1142"/>
      <c r="R309" s="1141"/>
      <c r="S309" s="1132"/>
    </row>
    <row r="310" spans="1:19">
      <c r="A310" s="1128"/>
      <c r="B310" s="1128" t="s">
        <v>103</v>
      </c>
      <c r="C310" s="780"/>
      <c r="D310" s="780"/>
      <c r="E310" s="780"/>
      <c r="F310" s="780">
        <f>F311</f>
        <v>179621</v>
      </c>
      <c r="G310" s="780"/>
      <c r="H310" s="780"/>
      <c r="I310" s="780"/>
      <c r="J310" s="780"/>
      <c r="K310" s="780">
        <f>K311</f>
        <v>87909</v>
      </c>
      <c r="L310" s="780"/>
      <c r="M310" s="780"/>
      <c r="N310" s="780"/>
      <c r="O310" s="780"/>
      <c r="P310" s="780">
        <f>P311</f>
        <v>65344</v>
      </c>
      <c r="Q310" s="780"/>
      <c r="R310" s="780"/>
      <c r="S310" s="1132"/>
    </row>
    <row r="311" spans="1:19">
      <c r="A311" s="1130"/>
      <c r="B311" s="1130" t="s">
        <v>105</v>
      </c>
      <c r="C311" s="1141"/>
      <c r="D311" s="1141"/>
      <c r="E311" s="1141"/>
      <c r="F311" s="1141">
        <f>F312+F314</f>
        <v>179621</v>
      </c>
      <c r="G311" s="1141"/>
      <c r="H311" s="1141"/>
      <c r="I311" s="1141"/>
      <c r="J311" s="1141"/>
      <c r="K311" s="1141">
        <f>K312+K314</f>
        <v>87909</v>
      </c>
      <c r="L311" s="1141"/>
      <c r="M311" s="1141"/>
      <c r="N311" s="1141"/>
      <c r="O311" s="1141"/>
      <c r="P311" s="1141">
        <f>P312+P314</f>
        <v>65344</v>
      </c>
      <c r="Q311" s="1141"/>
      <c r="R311" s="1141"/>
      <c r="S311" s="1132"/>
    </row>
    <row r="312" spans="1:19">
      <c r="A312" s="779"/>
      <c r="B312" s="779" t="s">
        <v>393</v>
      </c>
      <c r="C312" s="1141"/>
      <c r="D312" s="1141"/>
      <c r="E312" s="1141"/>
      <c r="F312" s="1141">
        <v>23857</v>
      </c>
      <c r="G312" s="1141"/>
      <c r="H312" s="1141"/>
      <c r="I312" s="1141"/>
      <c r="J312" s="1141"/>
      <c r="K312" s="1141">
        <v>51062</v>
      </c>
      <c r="L312" s="1141"/>
      <c r="M312" s="1141"/>
      <c r="N312" s="1141"/>
      <c r="O312" s="1141"/>
      <c r="P312" s="1141">
        <v>34041</v>
      </c>
      <c r="Q312" s="1141"/>
      <c r="R312" s="1141"/>
      <c r="S312" s="1132"/>
    </row>
    <row r="313" spans="1:19">
      <c r="A313" s="1139"/>
      <c r="B313" s="1139" t="s">
        <v>394</v>
      </c>
      <c r="C313" s="780"/>
      <c r="D313" s="780"/>
      <c r="E313" s="780"/>
      <c r="F313" s="780">
        <v>9429</v>
      </c>
      <c r="G313" s="780"/>
      <c r="H313" s="780"/>
      <c r="I313" s="780"/>
      <c r="J313" s="780"/>
      <c r="K313" s="780">
        <v>19397</v>
      </c>
      <c r="L313" s="780"/>
      <c r="M313" s="780"/>
      <c r="N313" s="780"/>
      <c r="O313" s="780"/>
      <c r="P313" s="780">
        <v>12931</v>
      </c>
      <c r="Q313" s="780"/>
      <c r="R313" s="780"/>
      <c r="S313" s="1132"/>
    </row>
    <row r="314" spans="1:19">
      <c r="A314" s="779"/>
      <c r="B314" s="779" t="s">
        <v>108</v>
      </c>
      <c r="C314" s="780"/>
      <c r="D314" s="780"/>
      <c r="E314" s="780"/>
      <c r="F314" s="780">
        <v>155764</v>
      </c>
      <c r="G314" s="780"/>
      <c r="H314" s="780"/>
      <c r="I314" s="780"/>
      <c r="J314" s="780"/>
      <c r="K314" s="780">
        <v>36847</v>
      </c>
      <c r="L314" s="780"/>
      <c r="M314" s="780"/>
      <c r="N314" s="780"/>
      <c r="O314" s="780"/>
      <c r="P314" s="780">
        <v>31303</v>
      </c>
      <c r="Q314" s="780"/>
      <c r="R314" s="780"/>
      <c r="S314" s="1132"/>
    </row>
    <row r="315" spans="1:19" ht="66">
      <c r="A315" s="1133" t="s">
        <v>324</v>
      </c>
      <c r="B315" s="1134" t="s">
        <v>643</v>
      </c>
      <c r="C315" s="1135"/>
      <c r="D315" s="1135"/>
      <c r="E315" s="1135"/>
      <c r="F315" s="1135"/>
      <c r="G315" s="1135"/>
      <c r="H315" s="1135"/>
      <c r="I315" s="1135"/>
      <c r="J315" s="1135"/>
      <c r="K315" s="1135"/>
      <c r="L315" s="1135"/>
      <c r="M315" s="1135"/>
      <c r="N315" s="1135"/>
      <c r="O315" s="1135"/>
      <c r="P315" s="1135"/>
      <c r="Q315" s="1135"/>
      <c r="R315" s="1135"/>
      <c r="S315" s="1132"/>
    </row>
    <row r="316" spans="1:19">
      <c r="A316" s="1140"/>
      <c r="B316" s="1126" t="s">
        <v>88</v>
      </c>
      <c r="C316" s="1096"/>
      <c r="D316" s="1096"/>
      <c r="E316" s="1096"/>
      <c r="F316" s="1096">
        <f>F318</f>
        <v>6600</v>
      </c>
      <c r="G316" s="1096"/>
      <c r="H316" s="1096"/>
      <c r="I316" s="1096"/>
      <c r="J316" s="1096"/>
      <c r="K316" s="1096">
        <f>K318</f>
        <v>6600</v>
      </c>
      <c r="L316" s="1096"/>
      <c r="M316" s="1096"/>
      <c r="N316" s="1096"/>
      <c r="O316" s="1096"/>
      <c r="P316" s="1096">
        <f>P318</f>
        <v>6600</v>
      </c>
      <c r="Q316" s="1096"/>
      <c r="R316" s="780"/>
      <c r="S316" s="1132"/>
    </row>
    <row r="317" spans="1:19">
      <c r="A317" s="1128"/>
      <c r="B317" s="1128" t="s">
        <v>97</v>
      </c>
      <c r="C317" s="1141"/>
      <c r="D317" s="1141"/>
      <c r="E317" s="1141"/>
      <c r="F317" s="1141">
        <f>F318</f>
        <v>6600</v>
      </c>
      <c r="G317" s="1141"/>
      <c r="H317" s="1141"/>
      <c r="I317" s="1141"/>
      <c r="J317" s="1141"/>
      <c r="K317" s="1141">
        <f>K318</f>
        <v>6600</v>
      </c>
      <c r="L317" s="1141"/>
      <c r="M317" s="1141"/>
      <c r="N317" s="1141"/>
      <c r="O317" s="1141"/>
      <c r="P317" s="1141">
        <f>P318</f>
        <v>6600</v>
      </c>
      <c r="Q317" s="1141"/>
      <c r="R317" s="1141"/>
      <c r="S317" s="1132"/>
    </row>
    <row r="318" spans="1:19" ht="24">
      <c r="A318" s="1130"/>
      <c r="B318" s="1130" t="s">
        <v>98</v>
      </c>
      <c r="C318" s="1141"/>
      <c r="D318" s="1141"/>
      <c r="E318" s="1141"/>
      <c r="F318" s="1141">
        <v>6600</v>
      </c>
      <c r="G318" s="1141"/>
      <c r="H318" s="1141"/>
      <c r="I318" s="1141"/>
      <c r="J318" s="1141"/>
      <c r="K318" s="1141">
        <v>6600</v>
      </c>
      <c r="L318" s="1141"/>
      <c r="M318" s="1141"/>
      <c r="N318" s="1141"/>
      <c r="O318" s="1141"/>
      <c r="P318" s="1141">
        <v>6600</v>
      </c>
      <c r="Q318" s="1141"/>
      <c r="R318" s="1141"/>
      <c r="S318" s="1132"/>
    </row>
    <row r="319" spans="1:19">
      <c r="A319" s="1140"/>
      <c r="B319" s="1126" t="s">
        <v>392</v>
      </c>
      <c r="C319" s="1142"/>
      <c r="D319" s="1142"/>
      <c r="E319" s="1142"/>
      <c r="F319" s="1142">
        <f>F320</f>
        <v>6600</v>
      </c>
      <c r="G319" s="1142"/>
      <c r="H319" s="1142"/>
      <c r="I319" s="1142"/>
      <c r="J319" s="1142"/>
      <c r="K319" s="1142">
        <f>K320</f>
        <v>6600</v>
      </c>
      <c r="L319" s="1142"/>
      <c r="M319" s="1142"/>
      <c r="N319" s="1142"/>
      <c r="O319" s="1142"/>
      <c r="P319" s="1142">
        <f>P320</f>
        <v>6600</v>
      </c>
      <c r="Q319" s="1142"/>
      <c r="R319" s="1141"/>
      <c r="S319" s="1132"/>
    </row>
    <row r="320" spans="1:19">
      <c r="A320" s="1128"/>
      <c r="B320" s="1128" t="s">
        <v>103</v>
      </c>
      <c r="C320" s="780"/>
      <c r="D320" s="780"/>
      <c r="E320" s="780"/>
      <c r="F320" s="780">
        <f>F321</f>
        <v>6600</v>
      </c>
      <c r="G320" s="780"/>
      <c r="H320" s="780"/>
      <c r="I320" s="780"/>
      <c r="J320" s="780"/>
      <c r="K320" s="780">
        <f>K321</f>
        <v>6600</v>
      </c>
      <c r="L320" s="780"/>
      <c r="M320" s="780"/>
      <c r="N320" s="780"/>
      <c r="O320" s="780"/>
      <c r="P320" s="780">
        <f>P321</f>
        <v>6600</v>
      </c>
      <c r="Q320" s="780"/>
      <c r="R320" s="780"/>
      <c r="S320" s="1132"/>
    </row>
    <row r="321" spans="1:19">
      <c r="A321" s="1130"/>
      <c r="B321" s="1130" t="s">
        <v>105</v>
      </c>
      <c r="C321" s="1141"/>
      <c r="D321" s="1141"/>
      <c r="E321" s="1141"/>
      <c r="F321" s="1141">
        <f>F322+F324</f>
        <v>6600</v>
      </c>
      <c r="G321" s="1141"/>
      <c r="H321" s="1141"/>
      <c r="I321" s="1141"/>
      <c r="J321" s="1141"/>
      <c r="K321" s="1141">
        <f>K322+K324</f>
        <v>6600</v>
      </c>
      <c r="L321" s="1141"/>
      <c r="M321" s="1141"/>
      <c r="N321" s="1141"/>
      <c r="O321" s="1141"/>
      <c r="P321" s="1141">
        <f>P322+P324</f>
        <v>6600</v>
      </c>
      <c r="Q321" s="1141"/>
      <c r="R321" s="1141"/>
      <c r="S321" s="1132"/>
    </row>
    <row r="322" spans="1:19">
      <c r="A322" s="779"/>
      <c r="B322" s="779" t="s">
        <v>393</v>
      </c>
      <c r="C322" s="1141"/>
      <c r="D322" s="1141"/>
      <c r="E322" s="1141"/>
      <c r="F322" s="1141">
        <v>6030</v>
      </c>
      <c r="G322" s="1141"/>
      <c r="H322" s="1141"/>
      <c r="I322" s="1141"/>
      <c r="J322" s="1141"/>
      <c r="K322" s="1141">
        <v>6030</v>
      </c>
      <c r="L322" s="1141"/>
      <c r="M322" s="1141"/>
      <c r="N322" s="1141"/>
      <c r="O322" s="1141"/>
      <c r="P322" s="1141">
        <v>6030</v>
      </c>
      <c r="Q322" s="1141"/>
      <c r="R322" s="1141"/>
      <c r="S322" s="1132"/>
    </row>
    <row r="323" spans="1:19">
      <c r="A323" s="1139"/>
      <c r="B323" s="1139" t="s">
        <v>394</v>
      </c>
      <c r="C323" s="780"/>
      <c r="D323" s="780"/>
      <c r="E323" s="780"/>
      <c r="F323" s="780">
        <v>4860</v>
      </c>
      <c r="G323" s="780"/>
      <c r="H323" s="780"/>
      <c r="I323" s="780"/>
      <c r="J323" s="780"/>
      <c r="K323" s="780">
        <v>4860</v>
      </c>
      <c r="L323" s="780"/>
      <c r="M323" s="780"/>
      <c r="N323" s="780"/>
      <c r="O323" s="780"/>
      <c r="P323" s="780">
        <v>4860</v>
      </c>
      <c r="Q323" s="780"/>
      <c r="R323" s="780"/>
      <c r="S323" s="1132"/>
    </row>
    <row r="324" spans="1:19">
      <c r="A324" s="779"/>
      <c r="B324" s="779" t="s">
        <v>108</v>
      </c>
      <c r="C324" s="780"/>
      <c r="D324" s="780"/>
      <c r="E324" s="780"/>
      <c r="F324" s="780">
        <v>570</v>
      </c>
      <c r="G324" s="780"/>
      <c r="H324" s="780"/>
      <c r="I324" s="780"/>
      <c r="J324" s="780"/>
      <c r="K324" s="780">
        <v>570</v>
      </c>
      <c r="L324" s="780"/>
      <c r="M324" s="780"/>
      <c r="N324" s="780"/>
      <c r="O324" s="780"/>
      <c r="P324" s="780">
        <v>570</v>
      </c>
      <c r="Q324" s="780"/>
      <c r="R324" s="780"/>
      <c r="S324" s="1132"/>
    </row>
    <row r="325" spans="1:19" ht="66">
      <c r="A325" s="1133" t="s">
        <v>326</v>
      </c>
      <c r="B325" s="1134" t="s">
        <v>644</v>
      </c>
      <c r="C325" s="1135"/>
      <c r="D325" s="1135"/>
      <c r="E325" s="1135"/>
      <c r="F325" s="1135"/>
      <c r="G325" s="1135"/>
      <c r="H325" s="1135"/>
      <c r="I325" s="1135"/>
      <c r="J325" s="1135"/>
      <c r="K325" s="1135"/>
      <c r="L325" s="1135"/>
      <c r="M325" s="1135"/>
      <c r="N325" s="1135"/>
      <c r="O325" s="1135"/>
      <c r="P325" s="1135"/>
      <c r="Q325" s="1135"/>
      <c r="R325" s="1135"/>
      <c r="S325" s="1132"/>
    </row>
    <row r="326" spans="1:19">
      <c r="A326" s="1140"/>
      <c r="B326" s="1126" t="s">
        <v>88</v>
      </c>
      <c r="C326" s="1096"/>
      <c r="D326" s="1096"/>
      <c r="E326" s="1096"/>
      <c r="F326" s="1096">
        <f>F328</f>
        <v>85058</v>
      </c>
      <c r="G326" s="1096"/>
      <c r="H326" s="1096"/>
      <c r="I326" s="1096"/>
      <c r="J326" s="1096"/>
      <c r="K326" s="1096">
        <f>K328</f>
        <v>85058</v>
      </c>
      <c r="L326" s="1096"/>
      <c r="M326" s="1096"/>
      <c r="N326" s="1096"/>
      <c r="O326" s="1096"/>
      <c r="P326" s="1096">
        <f>P328</f>
        <v>85058</v>
      </c>
      <c r="Q326" s="1096"/>
      <c r="R326" s="780"/>
      <c r="S326" s="1132"/>
    </row>
    <row r="327" spans="1:19">
      <c r="A327" s="1128"/>
      <c r="B327" s="1128" t="s">
        <v>97</v>
      </c>
      <c r="C327" s="1141"/>
      <c r="D327" s="1141"/>
      <c r="E327" s="1141"/>
      <c r="F327" s="1141">
        <f>F328</f>
        <v>85058</v>
      </c>
      <c r="G327" s="1141"/>
      <c r="H327" s="1141"/>
      <c r="I327" s="1141"/>
      <c r="J327" s="1141"/>
      <c r="K327" s="1141">
        <f>K328</f>
        <v>85058</v>
      </c>
      <c r="L327" s="1141"/>
      <c r="M327" s="1141"/>
      <c r="N327" s="1141"/>
      <c r="O327" s="1141"/>
      <c r="P327" s="1141">
        <f>P328</f>
        <v>85058</v>
      </c>
      <c r="Q327" s="1141"/>
      <c r="R327" s="1141"/>
      <c r="S327" s="1132"/>
    </row>
    <row r="328" spans="1:19" ht="24">
      <c r="A328" s="1130"/>
      <c r="B328" s="1130" t="s">
        <v>98</v>
      </c>
      <c r="C328" s="1141"/>
      <c r="D328" s="1141"/>
      <c r="E328" s="1141"/>
      <c r="F328" s="1141">
        <v>85058</v>
      </c>
      <c r="G328" s="1141"/>
      <c r="H328" s="1141"/>
      <c r="I328" s="1141"/>
      <c r="J328" s="1141"/>
      <c r="K328" s="1141">
        <v>85058</v>
      </c>
      <c r="L328" s="1141"/>
      <c r="M328" s="1141"/>
      <c r="N328" s="1141"/>
      <c r="O328" s="1141"/>
      <c r="P328" s="1141">
        <v>85058</v>
      </c>
      <c r="Q328" s="1141"/>
      <c r="R328" s="1141"/>
      <c r="S328" s="1132"/>
    </row>
    <row r="329" spans="1:19">
      <c r="A329" s="1140"/>
      <c r="B329" s="1126" t="s">
        <v>392</v>
      </c>
      <c r="C329" s="1142"/>
      <c r="D329" s="1142"/>
      <c r="E329" s="1142"/>
      <c r="F329" s="1142">
        <f>F330</f>
        <v>85058</v>
      </c>
      <c r="G329" s="1142"/>
      <c r="H329" s="1142"/>
      <c r="I329" s="1142"/>
      <c r="J329" s="1142"/>
      <c r="K329" s="1142">
        <f>K330</f>
        <v>85058</v>
      </c>
      <c r="L329" s="1142"/>
      <c r="M329" s="1142"/>
      <c r="N329" s="1142"/>
      <c r="O329" s="1142"/>
      <c r="P329" s="1142">
        <f>P330</f>
        <v>85058</v>
      </c>
      <c r="Q329" s="1142"/>
      <c r="R329" s="1141"/>
      <c r="S329" s="1132"/>
    </row>
    <row r="330" spans="1:19">
      <c r="A330" s="1128"/>
      <c r="B330" s="1128" t="s">
        <v>103</v>
      </c>
      <c r="C330" s="780"/>
      <c r="D330" s="780"/>
      <c r="E330" s="780"/>
      <c r="F330" s="780">
        <f>F331</f>
        <v>85058</v>
      </c>
      <c r="G330" s="780"/>
      <c r="H330" s="780"/>
      <c r="I330" s="780"/>
      <c r="J330" s="780"/>
      <c r="K330" s="780">
        <f>K331</f>
        <v>85058</v>
      </c>
      <c r="L330" s="780"/>
      <c r="M330" s="780"/>
      <c r="N330" s="780"/>
      <c r="O330" s="780"/>
      <c r="P330" s="780">
        <f>P331</f>
        <v>85058</v>
      </c>
      <c r="Q330" s="780"/>
      <c r="R330" s="780"/>
      <c r="S330" s="1132"/>
    </row>
    <row r="331" spans="1:19">
      <c r="A331" s="1130"/>
      <c r="B331" s="1130" t="s">
        <v>105</v>
      </c>
      <c r="C331" s="1141"/>
      <c r="D331" s="1141"/>
      <c r="E331" s="1141"/>
      <c r="F331" s="1141">
        <f>F332+F334</f>
        <v>85058</v>
      </c>
      <c r="G331" s="1141"/>
      <c r="H331" s="1141"/>
      <c r="I331" s="1141"/>
      <c r="J331" s="1141"/>
      <c r="K331" s="1141">
        <f>K332+K334</f>
        <v>85058</v>
      </c>
      <c r="L331" s="1141"/>
      <c r="M331" s="1141"/>
      <c r="N331" s="1141"/>
      <c r="O331" s="1141"/>
      <c r="P331" s="1141">
        <f>P332+P334</f>
        <v>85058</v>
      </c>
      <c r="Q331" s="1141"/>
      <c r="R331" s="1141"/>
      <c r="S331" s="1132"/>
    </row>
    <row r="332" spans="1:19">
      <c r="A332" s="779"/>
      <c r="B332" s="779" t="s">
        <v>393</v>
      </c>
      <c r="C332" s="1141"/>
      <c r="D332" s="1141"/>
      <c r="E332" s="1141"/>
      <c r="F332" s="1141">
        <v>72035</v>
      </c>
      <c r="G332" s="1141"/>
      <c r="H332" s="1141"/>
      <c r="I332" s="1141"/>
      <c r="J332" s="1141"/>
      <c r="K332" s="1141">
        <v>72035</v>
      </c>
      <c r="L332" s="1141"/>
      <c r="M332" s="1141"/>
      <c r="N332" s="1141"/>
      <c r="O332" s="1141"/>
      <c r="P332" s="1141">
        <v>72035</v>
      </c>
      <c r="Q332" s="1141"/>
      <c r="R332" s="1141"/>
      <c r="S332" s="1132"/>
    </row>
    <row r="333" spans="1:19">
      <c r="A333" s="1139"/>
      <c r="B333" s="1139" t="s">
        <v>394</v>
      </c>
      <c r="C333" s="780"/>
      <c r="D333" s="780"/>
      <c r="E333" s="780"/>
      <c r="F333" s="780">
        <v>58050</v>
      </c>
      <c r="G333" s="780"/>
      <c r="H333" s="780"/>
      <c r="I333" s="780"/>
      <c r="J333" s="780"/>
      <c r="K333" s="780">
        <v>58050</v>
      </c>
      <c r="L333" s="780"/>
      <c r="M333" s="780"/>
      <c r="N333" s="780"/>
      <c r="O333" s="780"/>
      <c r="P333" s="780">
        <v>58050</v>
      </c>
      <c r="Q333" s="780"/>
      <c r="R333" s="780"/>
      <c r="S333" s="1132"/>
    </row>
    <row r="334" spans="1:19">
      <c r="A334" s="779"/>
      <c r="B334" s="779" t="s">
        <v>108</v>
      </c>
      <c r="C334" s="780"/>
      <c r="D334" s="780"/>
      <c r="E334" s="780"/>
      <c r="F334" s="780">
        <v>13023</v>
      </c>
      <c r="G334" s="780"/>
      <c r="H334" s="780"/>
      <c r="I334" s="780"/>
      <c r="J334" s="780"/>
      <c r="K334" s="780">
        <v>13023</v>
      </c>
      <c r="L334" s="780"/>
      <c r="M334" s="780"/>
      <c r="N334" s="780"/>
      <c r="O334" s="780"/>
      <c r="P334" s="780">
        <v>13023</v>
      </c>
      <c r="Q334" s="780"/>
      <c r="R334" s="780"/>
      <c r="S334" s="1132"/>
    </row>
    <row r="335" spans="1:19" ht="92.4">
      <c r="A335" s="1133" t="s">
        <v>327</v>
      </c>
      <c r="B335" s="1134" t="s">
        <v>645</v>
      </c>
      <c r="C335" s="1135"/>
      <c r="D335" s="1135"/>
      <c r="E335" s="1135"/>
      <c r="F335" s="1135"/>
      <c r="G335" s="1135"/>
      <c r="H335" s="1135"/>
      <c r="I335" s="1135"/>
      <c r="J335" s="1135"/>
      <c r="K335" s="1135"/>
      <c r="L335" s="1135"/>
      <c r="M335" s="1135"/>
      <c r="N335" s="1135"/>
      <c r="O335" s="1135"/>
      <c r="P335" s="1135"/>
      <c r="Q335" s="1135"/>
      <c r="R335" s="1135"/>
      <c r="S335" s="1132"/>
    </row>
    <row r="336" spans="1:19">
      <c r="A336" s="1140"/>
      <c r="B336" s="1126" t="s">
        <v>88</v>
      </c>
      <c r="C336" s="1096"/>
      <c r="D336" s="1096"/>
      <c r="E336" s="1096"/>
      <c r="F336" s="1096">
        <f>F338</f>
        <v>1260118</v>
      </c>
      <c r="G336" s="1096"/>
      <c r="H336" s="1096"/>
      <c r="I336" s="1096"/>
      <c r="J336" s="1096"/>
      <c r="K336" s="1096">
        <f>K338</f>
        <v>1260118</v>
      </c>
      <c r="L336" s="1096"/>
      <c r="M336" s="1096"/>
      <c r="N336" s="1096"/>
      <c r="O336" s="1096"/>
      <c r="P336" s="1096">
        <f>P338</f>
        <v>1260118</v>
      </c>
      <c r="Q336" s="1096"/>
      <c r="R336" s="780"/>
      <c r="S336" s="1132"/>
    </row>
    <row r="337" spans="1:19">
      <c r="A337" s="1128"/>
      <c r="B337" s="1128" t="s">
        <v>97</v>
      </c>
      <c r="C337" s="1141"/>
      <c r="D337" s="1141"/>
      <c r="E337" s="1141"/>
      <c r="F337" s="1141">
        <f>F338</f>
        <v>1260118</v>
      </c>
      <c r="G337" s="1141"/>
      <c r="H337" s="1141"/>
      <c r="I337" s="1141"/>
      <c r="J337" s="1141"/>
      <c r="K337" s="1141">
        <f>K338</f>
        <v>1260118</v>
      </c>
      <c r="L337" s="1141"/>
      <c r="M337" s="1141"/>
      <c r="N337" s="1141"/>
      <c r="O337" s="1141"/>
      <c r="P337" s="1141">
        <f>P338</f>
        <v>1260118</v>
      </c>
      <c r="Q337" s="1141"/>
      <c r="R337" s="1141"/>
      <c r="S337" s="1132"/>
    </row>
    <row r="338" spans="1:19" ht="24">
      <c r="A338" s="1130"/>
      <c r="B338" s="1130" t="s">
        <v>98</v>
      </c>
      <c r="C338" s="1141"/>
      <c r="D338" s="1141"/>
      <c r="E338" s="1141"/>
      <c r="F338" s="1141">
        <v>1260118</v>
      </c>
      <c r="G338" s="1141"/>
      <c r="H338" s="1141"/>
      <c r="I338" s="1141"/>
      <c r="J338" s="1141"/>
      <c r="K338" s="1141">
        <v>1260118</v>
      </c>
      <c r="L338" s="1141"/>
      <c r="M338" s="1141"/>
      <c r="N338" s="1141"/>
      <c r="O338" s="1141"/>
      <c r="P338" s="1141">
        <v>1260118</v>
      </c>
      <c r="Q338" s="1141"/>
      <c r="R338" s="1141"/>
      <c r="S338" s="1132"/>
    </row>
    <row r="339" spans="1:19">
      <c r="A339" s="1140"/>
      <c r="B339" s="1126" t="s">
        <v>392</v>
      </c>
      <c r="C339" s="1142"/>
      <c r="D339" s="1142"/>
      <c r="E339" s="1142"/>
      <c r="F339" s="1142">
        <f>F340</f>
        <v>1260118</v>
      </c>
      <c r="G339" s="1142"/>
      <c r="H339" s="1142"/>
      <c r="I339" s="1142"/>
      <c r="J339" s="1142"/>
      <c r="K339" s="1142">
        <f>K340</f>
        <v>1260118</v>
      </c>
      <c r="L339" s="1142"/>
      <c r="M339" s="1142"/>
      <c r="N339" s="1142"/>
      <c r="O339" s="1142"/>
      <c r="P339" s="1142">
        <f>P340</f>
        <v>1260118</v>
      </c>
      <c r="Q339" s="1142"/>
      <c r="R339" s="1141"/>
      <c r="S339" s="1132"/>
    </row>
    <row r="340" spans="1:19">
      <c r="A340" s="1128"/>
      <c r="B340" s="1128" t="s">
        <v>103</v>
      </c>
      <c r="C340" s="780"/>
      <c r="D340" s="780"/>
      <c r="E340" s="780"/>
      <c r="F340" s="780">
        <f>F341</f>
        <v>1260118</v>
      </c>
      <c r="G340" s="780"/>
      <c r="H340" s="780"/>
      <c r="I340" s="780"/>
      <c r="J340" s="780"/>
      <c r="K340" s="780">
        <f>K341</f>
        <v>1260118</v>
      </c>
      <c r="L340" s="780"/>
      <c r="M340" s="780"/>
      <c r="N340" s="780"/>
      <c r="O340" s="780"/>
      <c r="P340" s="780">
        <f>P341</f>
        <v>1260118</v>
      </c>
      <c r="Q340" s="780"/>
      <c r="R340" s="780"/>
      <c r="S340" s="1132"/>
    </row>
    <row r="341" spans="1:19">
      <c r="A341" s="1130"/>
      <c r="B341" s="1130" t="s">
        <v>105</v>
      </c>
      <c r="C341" s="1141"/>
      <c r="D341" s="1141"/>
      <c r="E341" s="1141"/>
      <c r="F341" s="1141">
        <f>F342</f>
        <v>1260118</v>
      </c>
      <c r="G341" s="1141"/>
      <c r="H341" s="1141"/>
      <c r="I341" s="1141"/>
      <c r="J341" s="1141"/>
      <c r="K341" s="1141">
        <f>K342</f>
        <v>1260118</v>
      </c>
      <c r="L341" s="1141"/>
      <c r="M341" s="1141"/>
      <c r="N341" s="1141"/>
      <c r="O341" s="1141"/>
      <c r="P341" s="1141">
        <f>P342</f>
        <v>1260118</v>
      </c>
      <c r="Q341" s="1141"/>
      <c r="R341" s="1141"/>
      <c r="S341" s="1132"/>
    </row>
    <row r="342" spans="1:19">
      <c r="A342" s="779"/>
      <c r="B342" s="779" t="s">
        <v>393</v>
      </c>
      <c r="C342" s="1141"/>
      <c r="D342" s="1141"/>
      <c r="E342" s="1141"/>
      <c r="F342" s="1141">
        <v>1260118</v>
      </c>
      <c r="G342" s="1141"/>
      <c r="H342" s="1141"/>
      <c r="I342" s="1141"/>
      <c r="J342" s="1141"/>
      <c r="K342" s="1141">
        <v>1260118</v>
      </c>
      <c r="L342" s="1141"/>
      <c r="M342" s="1141"/>
      <c r="N342" s="1141"/>
      <c r="O342" s="1141"/>
      <c r="P342" s="1141">
        <v>1260118</v>
      </c>
      <c r="Q342" s="1141"/>
      <c r="R342" s="1141"/>
      <c r="S342" s="1132"/>
    </row>
    <row r="343" spans="1:19">
      <c r="A343" s="1139"/>
      <c r="B343" s="1139" t="s">
        <v>394</v>
      </c>
      <c r="C343" s="780"/>
      <c r="D343" s="780"/>
      <c r="E343" s="780"/>
      <c r="F343" s="780">
        <v>811200</v>
      </c>
      <c r="G343" s="780"/>
      <c r="H343" s="780"/>
      <c r="I343" s="780"/>
      <c r="J343" s="780"/>
      <c r="K343" s="780">
        <v>811200</v>
      </c>
      <c r="L343" s="780"/>
      <c r="M343" s="780"/>
      <c r="N343" s="780"/>
      <c r="O343" s="780"/>
      <c r="P343" s="780">
        <v>811200</v>
      </c>
      <c r="Q343" s="780"/>
      <c r="R343" s="780"/>
      <c r="S343" s="1132"/>
    </row>
    <row r="344" spans="1:19" ht="92.4">
      <c r="A344" s="1133" t="s">
        <v>328</v>
      </c>
      <c r="B344" s="1134" t="s">
        <v>646</v>
      </c>
      <c r="C344" s="1135"/>
      <c r="D344" s="1135"/>
      <c r="E344" s="1135"/>
      <c r="F344" s="1135"/>
      <c r="G344" s="1135"/>
      <c r="H344" s="1135"/>
      <c r="I344" s="1135"/>
      <c r="J344" s="1135"/>
      <c r="K344" s="1135"/>
      <c r="L344" s="1135"/>
      <c r="M344" s="1135"/>
      <c r="N344" s="1135"/>
      <c r="O344" s="1135"/>
      <c r="P344" s="1135"/>
      <c r="Q344" s="1135"/>
      <c r="R344" s="1135"/>
      <c r="S344" s="1132"/>
    </row>
    <row r="345" spans="1:19">
      <c r="A345" s="1140"/>
      <c r="B345" s="1126" t="s">
        <v>88</v>
      </c>
      <c r="C345" s="1096"/>
      <c r="D345" s="1096"/>
      <c r="E345" s="1096"/>
      <c r="F345" s="1096">
        <f>F347</f>
        <v>3400</v>
      </c>
      <c r="G345" s="1096"/>
      <c r="H345" s="1096"/>
      <c r="I345" s="1096"/>
      <c r="J345" s="1096"/>
      <c r="K345" s="1096">
        <f>K347</f>
        <v>3400</v>
      </c>
      <c r="L345" s="1096"/>
      <c r="M345" s="1096"/>
      <c r="N345" s="1096"/>
      <c r="O345" s="1096"/>
      <c r="P345" s="1096">
        <f>P347</f>
        <v>3400</v>
      </c>
      <c r="Q345" s="1096"/>
      <c r="R345" s="780"/>
      <c r="S345" s="1132"/>
    </row>
    <row r="346" spans="1:19">
      <c r="A346" s="1128"/>
      <c r="B346" s="1128" t="s">
        <v>97</v>
      </c>
      <c r="C346" s="1141"/>
      <c r="D346" s="1141"/>
      <c r="E346" s="1141"/>
      <c r="F346" s="1141">
        <f>F347</f>
        <v>3400</v>
      </c>
      <c r="G346" s="1141"/>
      <c r="H346" s="1141"/>
      <c r="I346" s="1141"/>
      <c r="J346" s="1141"/>
      <c r="K346" s="1141">
        <f>K347</f>
        <v>3400</v>
      </c>
      <c r="L346" s="1141"/>
      <c r="M346" s="1141"/>
      <c r="N346" s="1141"/>
      <c r="O346" s="1141"/>
      <c r="P346" s="1141">
        <f>P347</f>
        <v>3400</v>
      </c>
      <c r="Q346" s="1141"/>
      <c r="R346" s="1141"/>
      <c r="S346" s="1132"/>
    </row>
    <row r="347" spans="1:19" ht="24">
      <c r="A347" s="1130"/>
      <c r="B347" s="1130" t="s">
        <v>98</v>
      </c>
      <c r="C347" s="1141"/>
      <c r="D347" s="1141"/>
      <c r="E347" s="1141"/>
      <c r="F347" s="1141">
        <v>3400</v>
      </c>
      <c r="G347" s="1141"/>
      <c r="H347" s="1141"/>
      <c r="I347" s="1141"/>
      <c r="J347" s="1141"/>
      <c r="K347" s="1141">
        <v>3400</v>
      </c>
      <c r="L347" s="1141"/>
      <c r="M347" s="1141"/>
      <c r="N347" s="1141"/>
      <c r="O347" s="1141"/>
      <c r="P347" s="1141">
        <v>3400</v>
      </c>
      <c r="Q347" s="1141"/>
      <c r="R347" s="1141"/>
      <c r="S347" s="1132"/>
    </row>
    <row r="348" spans="1:19">
      <c r="A348" s="1140"/>
      <c r="B348" s="1126" t="s">
        <v>392</v>
      </c>
      <c r="C348" s="1142"/>
      <c r="D348" s="1142"/>
      <c r="E348" s="1142"/>
      <c r="F348" s="1142">
        <f>F349</f>
        <v>3400</v>
      </c>
      <c r="G348" s="1142"/>
      <c r="H348" s="1142"/>
      <c r="I348" s="1142"/>
      <c r="J348" s="1142"/>
      <c r="K348" s="1142">
        <f>K349</f>
        <v>3400</v>
      </c>
      <c r="L348" s="1142"/>
      <c r="M348" s="1142"/>
      <c r="N348" s="1142"/>
      <c r="O348" s="1142"/>
      <c r="P348" s="1142">
        <f>P349</f>
        <v>3400</v>
      </c>
      <c r="Q348" s="1142"/>
      <c r="R348" s="1141"/>
      <c r="S348" s="1132"/>
    </row>
    <row r="349" spans="1:19">
      <c r="A349" s="1128"/>
      <c r="B349" s="1128" t="s">
        <v>103</v>
      </c>
      <c r="C349" s="780"/>
      <c r="D349" s="780"/>
      <c r="E349" s="780"/>
      <c r="F349" s="780">
        <f>F350</f>
        <v>3400</v>
      </c>
      <c r="G349" s="780"/>
      <c r="H349" s="780"/>
      <c r="I349" s="780"/>
      <c r="J349" s="780"/>
      <c r="K349" s="780">
        <f>K350</f>
        <v>3400</v>
      </c>
      <c r="L349" s="780"/>
      <c r="M349" s="780"/>
      <c r="N349" s="780"/>
      <c r="O349" s="780"/>
      <c r="P349" s="780">
        <f>P350</f>
        <v>3400</v>
      </c>
      <c r="Q349" s="780"/>
      <c r="R349" s="780"/>
      <c r="S349" s="1132"/>
    </row>
    <row r="350" spans="1:19">
      <c r="A350" s="1139"/>
      <c r="B350" s="1128" t="s">
        <v>110</v>
      </c>
      <c r="C350" s="780"/>
      <c r="D350" s="780"/>
      <c r="E350" s="780"/>
      <c r="F350" s="780">
        <f>F351</f>
        <v>3400</v>
      </c>
      <c r="G350" s="780"/>
      <c r="H350" s="780"/>
      <c r="I350" s="780"/>
      <c r="J350" s="780"/>
      <c r="K350" s="780">
        <f>K351</f>
        <v>3400</v>
      </c>
      <c r="L350" s="780"/>
      <c r="M350" s="780"/>
      <c r="N350" s="780"/>
      <c r="O350" s="780"/>
      <c r="P350" s="780">
        <f>P351</f>
        <v>3400</v>
      </c>
      <c r="Q350" s="780"/>
      <c r="R350" s="780"/>
      <c r="S350" s="1132"/>
    </row>
    <row r="351" spans="1:19">
      <c r="A351" s="779"/>
      <c r="B351" s="1130" t="s">
        <v>111</v>
      </c>
      <c r="C351" s="1141"/>
      <c r="D351" s="1141"/>
      <c r="E351" s="1141"/>
      <c r="F351" s="1141">
        <v>3400</v>
      </c>
      <c r="G351" s="1141"/>
      <c r="H351" s="1141"/>
      <c r="I351" s="1141"/>
      <c r="J351" s="1141"/>
      <c r="K351" s="1141">
        <v>3400</v>
      </c>
      <c r="L351" s="1141"/>
      <c r="M351" s="1141"/>
      <c r="N351" s="1141"/>
      <c r="O351" s="1141"/>
      <c r="P351" s="1141">
        <v>3400</v>
      </c>
      <c r="Q351" s="1141"/>
      <c r="R351" s="1141"/>
      <c r="S351" s="1132"/>
    </row>
    <row r="352" spans="1:19" ht="66">
      <c r="A352" s="1133" t="s">
        <v>329</v>
      </c>
      <c r="B352" s="1134" t="s">
        <v>647</v>
      </c>
      <c r="C352" s="1135"/>
      <c r="D352" s="1135"/>
      <c r="E352" s="1135"/>
      <c r="F352" s="1135"/>
      <c r="G352" s="1135"/>
      <c r="H352" s="1135"/>
      <c r="I352" s="1135"/>
      <c r="J352" s="1135"/>
      <c r="K352" s="1135"/>
      <c r="L352" s="1135"/>
      <c r="M352" s="1135"/>
      <c r="N352" s="1135"/>
      <c r="O352" s="1135"/>
      <c r="P352" s="1135"/>
      <c r="Q352" s="1135"/>
      <c r="R352" s="1135"/>
      <c r="S352" s="1132"/>
    </row>
    <row r="353" spans="1:19">
      <c r="A353" s="1140"/>
      <c r="B353" s="1126" t="s">
        <v>88</v>
      </c>
      <c r="C353" s="1096"/>
      <c r="D353" s="1096"/>
      <c r="E353" s="1096"/>
      <c r="F353" s="1096">
        <f>F355</f>
        <v>8640</v>
      </c>
      <c r="G353" s="1096"/>
      <c r="H353" s="1096"/>
      <c r="I353" s="1096"/>
      <c r="J353" s="1096"/>
      <c r="K353" s="1096">
        <f>K355</f>
        <v>0</v>
      </c>
      <c r="L353" s="1096"/>
      <c r="M353" s="1096"/>
      <c r="N353" s="1096"/>
      <c r="O353" s="1096"/>
      <c r="P353" s="1096">
        <f>P355</f>
        <v>0</v>
      </c>
      <c r="Q353" s="1096"/>
      <c r="R353" s="780"/>
      <c r="S353" s="1132"/>
    </row>
    <row r="354" spans="1:19">
      <c r="A354" s="1128"/>
      <c r="B354" s="1128" t="s">
        <v>97</v>
      </c>
      <c r="C354" s="1141"/>
      <c r="D354" s="1141"/>
      <c r="E354" s="1141"/>
      <c r="F354" s="1141">
        <f>F355</f>
        <v>8640</v>
      </c>
      <c r="G354" s="1141"/>
      <c r="H354" s="1141"/>
      <c r="I354" s="1141"/>
      <c r="J354" s="1141"/>
      <c r="K354" s="1141">
        <f>K355</f>
        <v>0</v>
      </c>
      <c r="L354" s="1141"/>
      <c r="M354" s="1141"/>
      <c r="N354" s="1141"/>
      <c r="O354" s="1141"/>
      <c r="P354" s="1141">
        <f>P355</f>
        <v>0</v>
      </c>
      <c r="Q354" s="1141"/>
      <c r="R354" s="1141"/>
      <c r="S354" s="1132"/>
    </row>
    <row r="355" spans="1:19" ht="24">
      <c r="A355" s="1130"/>
      <c r="B355" s="1130" t="s">
        <v>98</v>
      </c>
      <c r="C355" s="1141"/>
      <c r="D355" s="1141"/>
      <c r="E355" s="1141"/>
      <c r="F355" s="1141">
        <v>8640</v>
      </c>
      <c r="G355" s="1141"/>
      <c r="H355" s="1141"/>
      <c r="I355" s="1141"/>
      <c r="J355" s="1141"/>
      <c r="K355" s="1141"/>
      <c r="L355" s="1141"/>
      <c r="M355" s="1141"/>
      <c r="N355" s="1141"/>
      <c r="O355" s="1141"/>
      <c r="P355" s="1141"/>
      <c r="Q355" s="1141"/>
      <c r="R355" s="1141"/>
      <c r="S355" s="1132"/>
    </row>
    <row r="356" spans="1:19">
      <c r="A356" s="1140"/>
      <c r="B356" s="1126" t="s">
        <v>392</v>
      </c>
      <c r="C356" s="1142"/>
      <c r="D356" s="1142"/>
      <c r="E356" s="1142"/>
      <c r="F356" s="1142">
        <f>F357</f>
        <v>8640</v>
      </c>
      <c r="G356" s="1142"/>
      <c r="H356" s="1142"/>
      <c r="I356" s="1142"/>
      <c r="J356" s="1142"/>
      <c r="K356" s="1142">
        <f>K357</f>
        <v>0</v>
      </c>
      <c r="L356" s="1142"/>
      <c r="M356" s="1142"/>
      <c r="N356" s="1142"/>
      <c r="O356" s="1142"/>
      <c r="P356" s="1142">
        <f>P357</f>
        <v>0</v>
      </c>
      <c r="Q356" s="1142"/>
      <c r="R356" s="1141"/>
      <c r="S356" s="1132"/>
    </row>
    <row r="357" spans="1:19">
      <c r="A357" s="1128"/>
      <c r="B357" s="1128" t="s">
        <v>103</v>
      </c>
      <c r="C357" s="780"/>
      <c r="D357" s="780"/>
      <c r="E357" s="780"/>
      <c r="F357" s="780">
        <f>F358</f>
        <v>8640</v>
      </c>
      <c r="G357" s="780"/>
      <c r="H357" s="780"/>
      <c r="I357" s="780"/>
      <c r="J357" s="780"/>
      <c r="K357" s="780">
        <f>K358</f>
        <v>0</v>
      </c>
      <c r="L357" s="780"/>
      <c r="M357" s="780"/>
      <c r="N357" s="780"/>
      <c r="O357" s="780"/>
      <c r="P357" s="780">
        <f>P358</f>
        <v>0</v>
      </c>
      <c r="Q357" s="780"/>
      <c r="R357" s="780"/>
      <c r="S357" s="1132"/>
    </row>
    <row r="358" spans="1:19">
      <c r="A358" s="1130"/>
      <c r="B358" s="1130" t="s">
        <v>105</v>
      </c>
      <c r="C358" s="1141"/>
      <c r="D358" s="1141"/>
      <c r="E358" s="1141"/>
      <c r="F358" s="1141">
        <f>F359</f>
        <v>8640</v>
      </c>
      <c r="G358" s="1141"/>
      <c r="H358" s="1141"/>
      <c r="I358" s="1141"/>
      <c r="J358" s="1141"/>
      <c r="K358" s="1141">
        <f>K359</f>
        <v>0</v>
      </c>
      <c r="L358" s="1141"/>
      <c r="M358" s="1141"/>
      <c r="N358" s="1141"/>
      <c r="O358" s="1141"/>
      <c r="P358" s="1141">
        <f>P359</f>
        <v>0</v>
      </c>
      <c r="Q358" s="1141"/>
      <c r="R358" s="1141"/>
      <c r="S358" s="1132"/>
    </row>
    <row r="359" spans="1:19">
      <c r="A359" s="779"/>
      <c r="B359" s="779" t="s">
        <v>108</v>
      </c>
      <c r="C359" s="780"/>
      <c r="D359" s="780"/>
      <c r="E359" s="780"/>
      <c r="F359" s="780">
        <v>8640</v>
      </c>
      <c r="G359" s="780"/>
      <c r="H359" s="780"/>
      <c r="I359" s="780"/>
      <c r="J359" s="780"/>
      <c r="K359" s="780"/>
      <c r="L359" s="780"/>
      <c r="M359" s="780"/>
      <c r="N359" s="780"/>
      <c r="O359" s="780"/>
      <c r="P359" s="780"/>
      <c r="Q359" s="780"/>
      <c r="R359" s="780"/>
      <c r="S359" s="1132"/>
    </row>
    <row r="360" spans="1:19">
      <c r="A360" s="779"/>
      <c r="B360" s="779"/>
      <c r="C360" s="780"/>
      <c r="D360" s="780"/>
      <c r="E360" s="780"/>
      <c r="F360" s="780"/>
      <c r="G360" s="780"/>
      <c r="H360" s="780"/>
      <c r="I360" s="780"/>
      <c r="J360" s="780"/>
      <c r="K360" s="780"/>
      <c r="L360" s="780"/>
      <c r="M360" s="780"/>
      <c r="N360" s="780"/>
      <c r="O360" s="780"/>
      <c r="P360" s="780"/>
      <c r="Q360" s="780"/>
      <c r="R360" s="780"/>
      <c r="S360" s="1132"/>
    </row>
    <row r="361" spans="1:19" ht="13.2">
      <c r="A361" s="888" t="s">
        <v>648</v>
      </c>
      <c r="B361" s="932" t="s">
        <v>649</v>
      </c>
      <c r="C361" s="469"/>
      <c r="D361" s="470"/>
      <c r="E361" s="469"/>
      <c r="F361" s="470"/>
      <c r="G361" s="470"/>
      <c r="H361" s="470"/>
      <c r="I361" s="470"/>
      <c r="J361" s="469"/>
      <c r="K361" s="470"/>
      <c r="L361" s="470"/>
      <c r="M361" s="470"/>
      <c r="N361" s="470"/>
      <c r="O361" s="469"/>
      <c r="P361" s="470"/>
      <c r="Q361" s="470"/>
      <c r="R361" s="470"/>
      <c r="S361" s="1132"/>
    </row>
    <row r="362" spans="1:19" ht="79.2">
      <c r="A362" s="1133" t="s">
        <v>650</v>
      </c>
      <c r="B362" s="1134" t="s">
        <v>651</v>
      </c>
      <c r="C362" s="1135"/>
      <c r="D362" s="1135"/>
      <c r="E362" s="1135"/>
      <c r="F362" s="1135"/>
      <c r="G362" s="1135"/>
      <c r="H362" s="1135"/>
      <c r="I362" s="1135"/>
      <c r="J362" s="1135"/>
      <c r="K362" s="1135"/>
      <c r="L362" s="1135"/>
      <c r="M362" s="1135"/>
      <c r="N362" s="1135"/>
      <c r="O362" s="1135"/>
      <c r="P362" s="1135"/>
      <c r="Q362" s="1135"/>
      <c r="R362" s="1135"/>
      <c r="S362" s="1132"/>
    </row>
    <row r="363" spans="1:19">
      <c r="A363" s="1125"/>
      <c r="B363" s="1126" t="s">
        <v>88</v>
      </c>
      <c r="C363" s="1096"/>
      <c r="D363" s="1096"/>
      <c r="E363" s="1096"/>
      <c r="F363" s="1096"/>
      <c r="G363" s="1096">
        <f>G364</f>
        <v>982384</v>
      </c>
      <c r="H363" s="1096"/>
      <c r="I363" s="1096"/>
      <c r="J363" s="1096"/>
      <c r="K363" s="1096"/>
      <c r="L363" s="1096">
        <f>L364</f>
        <v>982384</v>
      </c>
      <c r="M363" s="1096"/>
      <c r="N363" s="1096"/>
      <c r="O363" s="1096"/>
      <c r="P363" s="1096"/>
      <c r="Q363" s="1096">
        <f>Q364</f>
        <v>982384</v>
      </c>
      <c r="R363" s="1096"/>
      <c r="S363" s="1132"/>
    </row>
    <row r="364" spans="1:19">
      <c r="A364" s="1127"/>
      <c r="B364" s="1128" t="s">
        <v>97</v>
      </c>
      <c r="C364" s="780"/>
      <c r="D364" s="780"/>
      <c r="E364" s="780"/>
      <c r="F364" s="780"/>
      <c r="G364" s="780">
        <f>G365</f>
        <v>982384</v>
      </c>
      <c r="H364" s="1096"/>
      <c r="I364" s="780"/>
      <c r="J364" s="780"/>
      <c r="K364" s="780"/>
      <c r="L364" s="780">
        <f>L365</f>
        <v>982384</v>
      </c>
      <c r="M364" s="1096"/>
      <c r="N364" s="780"/>
      <c r="O364" s="780"/>
      <c r="P364" s="780"/>
      <c r="Q364" s="780">
        <f>Q365</f>
        <v>982384</v>
      </c>
      <c r="R364" s="1096"/>
      <c r="S364" s="1132"/>
    </row>
    <row r="365" spans="1:19" ht="24">
      <c r="A365" s="1129"/>
      <c r="B365" s="1130" t="s">
        <v>98</v>
      </c>
      <c r="C365" s="780"/>
      <c r="D365" s="780"/>
      <c r="E365" s="780"/>
      <c r="F365" s="780"/>
      <c r="G365" s="780">
        <v>982384</v>
      </c>
      <c r="H365" s="1096"/>
      <c r="I365" s="780"/>
      <c r="J365" s="780"/>
      <c r="K365" s="780"/>
      <c r="L365" s="780">
        <v>982384</v>
      </c>
      <c r="M365" s="1096"/>
      <c r="N365" s="780"/>
      <c r="O365" s="780"/>
      <c r="P365" s="780"/>
      <c r="Q365" s="780">
        <v>982384</v>
      </c>
      <c r="R365" s="1096"/>
      <c r="S365" s="1132"/>
    </row>
    <row r="366" spans="1:19">
      <c r="A366" s="1125"/>
      <c r="B366" s="1126" t="s">
        <v>392</v>
      </c>
      <c r="C366" s="1096"/>
      <c r="D366" s="1096"/>
      <c r="E366" s="1096"/>
      <c r="F366" s="1096"/>
      <c r="G366" s="1096">
        <f>G367</f>
        <v>982384</v>
      </c>
      <c r="H366" s="1096"/>
      <c r="I366" s="1096"/>
      <c r="J366" s="1096"/>
      <c r="K366" s="1096"/>
      <c r="L366" s="1096">
        <f>L367</f>
        <v>982384</v>
      </c>
      <c r="M366" s="1096"/>
      <c r="N366" s="1096"/>
      <c r="O366" s="1096"/>
      <c r="P366" s="1096"/>
      <c r="Q366" s="1096">
        <f>Q367</f>
        <v>982384</v>
      </c>
      <c r="R366" s="1096"/>
      <c r="S366" s="1132"/>
    </row>
    <row r="367" spans="1:19">
      <c r="A367" s="1127"/>
      <c r="B367" s="1128" t="s">
        <v>103</v>
      </c>
      <c r="C367" s="780"/>
      <c r="D367" s="780"/>
      <c r="E367" s="780"/>
      <c r="F367" s="780"/>
      <c r="G367" s="780">
        <f>G368</f>
        <v>982384</v>
      </c>
      <c r="H367" s="1096"/>
      <c r="I367" s="780"/>
      <c r="J367" s="780"/>
      <c r="K367" s="780"/>
      <c r="L367" s="780">
        <f>L368</f>
        <v>982384</v>
      </c>
      <c r="M367" s="1096"/>
      <c r="N367" s="780"/>
      <c r="O367" s="780"/>
      <c r="P367" s="780"/>
      <c r="Q367" s="780">
        <f>Q368</f>
        <v>982384</v>
      </c>
      <c r="R367" s="1096"/>
      <c r="S367" s="1132"/>
    </row>
    <row r="368" spans="1:19">
      <c r="A368" s="1129"/>
      <c r="B368" s="1130" t="s">
        <v>105</v>
      </c>
      <c r="C368" s="780"/>
      <c r="D368" s="780"/>
      <c r="E368" s="780"/>
      <c r="F368" s="780"/>
      <c r="G368" s="780">
        <f>G369</f>
        <v>982384</v>
      </c>
      <c r="H368" s="1096"/>
      <c r="I368" s="780"/>
      <c r="J368" s="780"/>
      <c r="K368" s="780"/>
      <c r="L368" s="780">
        <f>L369</f>
        <v>982384</v>
      </c>
      <c r="M368" s="1096"/>
      <c r="N368" s="780"/>
      <c r="O368" s="780"/>
      <c r="P368" s="780"/>
      <c r="Q368" s="780">
        <f>Q369</f>
        <v>982384</v>
      </c>
      <c r="R368" s="1096"/>
      <c r="S368" s="1132"/>
    </row>
    <row r="369" spans="1:19">
      <c r="A369" s="1125"/>
      <c r="B369" s="1131" t="s">
        <v>640</v>
      </c>
      <c r="C369" s="1096"/>
      <c r="D369" s="1096"/>
      <c r="E369" s="1096"/>
      <c r="F369" s="1096"/>
      <c r="G369" s="780">
        <v>982384</v>
      </c>
      <c r="H369" s="1096"/>
      <c r="I369" s="1096"/>
      <c r="J369" s="1096"/>
      <c r="K369" s="1096"/>
      <c r="L369" s="780">
        <v>982384</v>
      </c>
      <c r="M369" s="1096"/>
      <c r="N369" s="1096"/>
      <c r="O369" s="1096"/>
      <c r="P369" s="1096"/>
      <c r="Q369" s="780">
        <v>982384</v>
      </c>
      <c r="R369" s="1096"/>
      <c r="S369" s="1132"/>
    </row>
    <row r="370" spans="1:19" ht="66">
      <c r="A370" s="1133" t="s">
        <v>652</v>
      </c>
      <c r="B370" s="1134" t="s">
        <v>653</v>
      </c>
      <c r="C370" s="1135"/>
      <c r="D370" s="1135"/>
      <c r="E370" s="1135"/>
      <c r="F370" s="1135"/>
      <c r="G370" s="1135"/>
      <c r="H370" s="1135"/>
      <c r="I370" s="1135"/>
      <c r="J370" s="1135"/>
      <c r="K370" s="1135"/>
      <c r="L370" s="1135"/>
      <c r="M370" s="1135"/>
      <c r="N370" s="1135"/>
      <c r="O370" s="1135"/>
      <c r="P370" s="1135"/>
      <c r="Q370" s="1135"/>
      <c r="R370" s="1135"/>
      <c r="S370" s="1132"/>
    </row>
    <row r="371" spans="1:19">
      <c r="A371" s="1125"/>
      <c r="B371" s="1126" t="s">
        <v>88</v>
      </c>
      <c r="C371" s="1096"/>
      <c r="D371" s="1096"/>
      <c r="E371" s="1096"/>
      <c r="F371" s="1096"/>
      <c r="G371" s="1096">
        <f>G372</f>
        <v>165663</v>
      </c>
      <c r="H371" s="1096"/>
      <c r="I371" s="1096"/>
      <c r="J371" s="1096"/>
      <c r="K371" s="1096"/>
      <c r="L371" s="1096">
        <f>L372</f>
        <v>2613517</v>
      </c>
      <c r="M371" s="1096"/>
      <c r="N371" s="1096"/>
      <c r="O371" s="1096"/>
      <c r="P371" s="1096"/>
      <c r="Q371" s="1096">
        <f>Q372</f>
        <v>54123</v>
      </c>
      <c r="R371" s="1096"/>
      <c r="S371" s="1132"/>
    </row>
    <row r="372" spans="1:19">
      <c r="A372" s="1127"/>
      <c r="B372" s="1128" t="s">
        <v>97</v>
      </c>
      <c r="C372" s="780"/>
      <c r="D372" s="780"/>
      <c r="E372" s="780"/>
      <c r="F372" s="780"/>
      <c r="G372" s="780">
        <f>G373</f>
        <v>165663</v>
      </c>
      <c r="H372" s="1096"/>
      <c r="I372" s="780"/>
      <c r="J372" s="780"/>
      <c r="K372" s="780"/>
      <c r="L372" s="780">
        <f>L373</f>
        <v>2613517</v>
      </c>
      <c r="M372" s="1096"/>
      <c r="N372" s="780"/>
      <c r="O372" s="780"/>
      <c r="P372" s="780"/>
      <c r="Q372" s="780">
        <f>Q373</f>
        <v>54123</v>
      </c>
      <c r="R372" s="1096"/>
      <c r="S372" s="1132"/>
    </row>
    <row r="373" spans="1:19" ht="24">
      <c r="A373" s="1129"/>
      <c r="B373" s="1130" t="s">
        <v>98</v>
      </c>
      <c r="C373" s="780"/>
      <c r="D373" s="780"/>
      <c r="E373" s="780"/>
      <c r="F373" s="780"/>
      <c r="G373" s="780">
        <v>165663</v>
      </c>
      <c r="H373" s="1096"/>
      <c r="I373" s="780"/>
      <c r="J373" s="780"/>
      <c r="K373" s="780"/>
      <c r="L373" s="780">
        <v>2613517</v>
      </c>
      <c r="M373" s="1096"/>
      <c r="N373" s="780"/>
      <c r="O373" s="780"/>
      <c r="P373" s="780"/>
      <c r="Q373" s="780">
        <v>54123</v>
      </c>
      <c r="R373" s="1096"/>
      <c r="S373" s="1132"/>
    </row>
    <row r="374" spans="1:19">
      <c r="A374" s="1125"/>
      <c r="B374" s="1126" t="s">
        <v>392</v>
      </c>
      <c r="C374" s="1096"/>
      <c r="D374" s="1096"/>
      <c r="E374" s="1096"/>
      <c r="F374" s="1096"/>
      <c r="G374" s="1096">
        <f>G375+G380</f>
        <v>165663</v>
      </c>
      <c r="H374" s="1096"/>
      <c r="I374" s="1096"/>
      <c r="J374" s="1096"/>
      <c r="K374" s="1096"/>
      <c r="L374" s="1096">
        <f>L375+L380</f>
        <v>2613517</v>
      </c>
      <c r="M374" s="1096"/>
      <c r="N374" s="1096"/>
      <c r="O374" s="1096"/>
      <c r="P374" s="1096"/>
      <c r="Q374" s="1096">
        <f>Q375+Q380</f>
        <v>54123</v>
      </c>
      <c r="R374" s="1096"/>
      <c r="S374" s="1132"/>
    </row>
    <row r="375" spans="1:19">
      <c r="A375" s="1127"/>
      <c r="B375" s="1128" t="s">
        <v>103</v>
      </c>
      <c r="C375" s="780"/>
      <c r="D375" s="780"/>
      <c r="E375" s="780"/>
      <c r="F375" s="780"/>
      <c r="G375" s="780">
        <f>G376</f>
        <v>162913</v>
      </c>
      <c r="H375" s="1096"/>
      <c r="I375" s="780"/>
      <c r="J375" s="780"/>
      <c r="K375" s="780"/>
      <c r="L375" s="780">
        <f>L376</f>
        <v>2613517</v>
      </c>
      <c r="M375" s="1096"/>
      <c r="N375" s="780"/>
      <c r="O375" s="780"/>
      <c r="P375" s="780"/>
      <c r="Q375" s="780">
        <f>Q376</f>
        <v>54123</v>
      </c>
      <c r="R375" s="1096"/>
      <c r="S375" s="1132"/>
    </row>
    <row r="376" spans="1:19">
      <c r="A376" s="1129"/>
      <c r="B376" s="1130" t="s">
        <v>105</v>
      </c>
      <c r="C376" s="780"/>
      <c r="D376" s="780"/>
      <c r="E376" s="780"/>
      <c r="F376" s="780"/>
      <c r="G376" s="780">
        <f>G377+G379</f>
        <v>162913</v>
      </c>
      <c r="H376" s="1096"/>
      <c r="I376" s="780"/>
      <c r="J376" s="780"/>
      <c r="K376" s="780"/>
      <c r="L376" s="780">
        <f>L377+L379</f>
        <v>2613517</v>
      </c>
      <c r="M376" s="1096"/>
      <c r="N376" s="780"/>
      <c r="O376" s="780"/>
      <c r="P376" s="780"/>
      <c r="Q376" s="780">
        <f>Q377+Q379</f>
        <v>54123</v>
      </c>
      <c r="R376" s="1096"/>
      <c r="S376" s="1132"/>
    </row>
    <row r="377" spans="1:19">
      <c r="A377" s="1136"/>
      <c r="B377" s="779" t="s">
        <v>393</v>
      </c>
      <c r="C377" s="1137"/>
      <c r="D377" s="1137"/>
      <c r="E377" s="1137"/>
      <c r="F377" s="1137"/>
      <c r="G377" s="1137">
        <v>35676</v>
      </c>
      <c r="H377" s="1096"/>
      <c r="I377" s="1137"/>
      <c r="J377" s="1137"/>
      <c r="K377" s="1137"/>
      <c r="L377" s="1137">
        <v>35676</v>
      </c>
      <c r="M377" s="1096"/>
      <c r="N377" s="1137"/>
      <c r="O377" s="1137"/>
      <c r="P377" s="1137"/>
      <c r="Q377" s="1137">
        <v>35676</v>
      </c>
      <c r="R377" s="1096"/>
      <c r="S377" s="1132"/>
    </row>
    <row r="378" spans="1:19">
      <c r="A378" s="1138"/>
      <c r="B378" s="1139" t="s">
        <v>394</v>
      </c>
      <c r="C378" s="780"/>
      <c r="D378" s="780"/>
      <c r="E378" s="780"/>
      <c r="F378" s="780"/>
      <c r="G378" s="780">
        <v>28750</v>
      </c>
      <c r="H378" s="1096"/>
      <c r="I378" s="780"/>
      <c r="J378" s="780"/>
      <c r="K378" s="780"/>
      <c r="L378" s="780">
        <v>28750</v>
      </c>
      <c r="M378" s="1096"/>
      <c r="N378" s="780"/>
      <c r="O378" s="780"/>
      <c r="P378" s="780"/>
      <c r="Q378" s="780">
        <v>28750</v>
      </c>
      <c r="R378" s="1096"/>
      <c r="S378" s="1132"/>
    </row>
    <row r="379" spans="1:19">
      <c r="A379" s="1125"/>
      <c r="B379" s="1131" t="s">
        <v>640</v>
      </c>
      <c r="C379" s="1096"/>
      <c r="D379" s="1096"/>
      <c r="E379" s="1096"/>
      <c r="F379" s="1096"/>
      <c r="G379" s="780">
        <v>127237</v>
      </c>
      <c r="H379" s="1096"/>
      <c r="I379" s="1096"/>
      <c r="J379" s="1096"/>
      <c r="K379" s="1096"/>
      <c r="L379" s="780">
        <v>2577841</v>
      </c>
      <c r="M379" s="780"/>
      <c r="N379" s="780"/>
      <c r="O379" s="780"/>
      <c r="P379" s="780"/>
      <c r="Q379" s="780">
        <v>18447</v>
      </c>
      <c r="R379" s="1096"/>
      <c r="S379" s="1132"/>
    </row>
    <row r="380" spans="1:19">
      <c r="A380" s="1127"/>
      <c r="B380" s="1131" t="s">
        <v>641</v>
      </c>
      <c r="C380" s="780"/>
      <c r="D380" s="780"/>
      <c r="E380" s="780"/>
      <c r="F380" s="780"/>
      <c r="G380" s="780">
        <f>G381</f>
        <v>2750</v>
      </c>
      <c r="H380" s="1096"/>
      <c r="I380" s="780"/>
      <c r="J380" s="780"/>
      <c r="K380" s="780"/>
      <c r="L380" s="780">
        <f>L381</f>
        <v>0</v>
      </c>
      <c r="M380" s="1096"/>
      <c r="N380" s="780"/>
      <c r="O380" s="780"/>
      <c r="P380" s="780"/>
      <c r="Q380" s="780">
        <f>Q381</f>
        <v>0</v>
      </c>
      <c r="R380" s="1096"/>
      <c r="S380" s="1132"/>
    </row>
    <row r="381" spans="1:19">
      <c r="A381" s="1129"/>
      <c r="B381" s="1128" t="s">
        <v>123</v>
      </c>
      <c r="C381" s="780"/>
      <c r="D381" s="780"/>
      <c r="E381" s="780"/>
      <c r="F381" s="780"/>
      <c r="G381" s="780">
        <v>2750</v>
      </c>
      <c r="H381" s="1096"/>
      <c r="I381" s="780"/>
      <c r="J381" s="780"/>
      <c r="K381" s="780"/>
      <c r="L381" s="780"/>
      <c r="M381" s="1096"/>
      <c r="N381" s="780"/>
      <c r="O381" s="780"/>
      <c r="P381" s="780"/>
      <c r="Q381" s="780"/>
      <c r="R381" s="1096"/>
      <c r="S381" s="1132"/>
    </row>
    <row r="382" spans="1:19" ht="79.2">
      <c r="A382" s="1133" t="s">
        <v>654</v>
      </c>
      <c r="B382" s="1134" t="s">
        <v>655</v>
      </c>
      <c r="C382" s="1135"/>
      <c r="D382" s="1135"/>
      <c r="E382" s="1135"/>
      <c r="F382" s="1135"/>
      <c r="G382" s="1135"/>
      <c r="H382" s="1135"/>
      <c r="I382" s="1135"/>
      <c r="J382" s="1135"/>
      <c r="K382" s="1135"/>
      <c r="L382" s="1135"/>
      <c r="M382" s="1135"/>
      <c r="N382" s="1135"/>
      <c r="O382" s="1135"/>
      <c r="P382" s="1135"/>
      <c r="Q382" s="1135"/>
      <c r="R382" s="1135"/>
      <c r="S382" s="1132"/>
    </row>
    <row r="383" spans="1:19">
      <c r="A383" s="1125"/>
      <c r="B383" s="1126" t="s">
        <v>88</v>
      </c>
      <c r="C383" s="1096"/>
      <c r="D383" s="1096"/>
      <c r="E383" s="1096"/>
      <c r="F383" s="1096"/>
      <c r="G383" s="1096">
        <f>G384</f>
        <v>253</v>
      </c>
      <c r="H383" s="1096"/>
      <c r="I383" s="1096"/>
      <c r="J383" s="1096"/>
      <c r="K383" s="1096"/>
      <c r="L383" s="1096">
        <f>L384</f>
        <v>760</v>
      </c>
      <c r="M383" s="1096"/>
      <c r="N383" s="1096"/>
      <c r="O383" s="1096"/>
      <c r="P383" s="1096"/>
      <c r="Q383" s="1096">
        <f>Q384</f>
        <v>760</v>
      </c>
      <c r="R383" s="1096"/>
      <c r="S383" s="1132"/>
    </row>
    <row r="384" spans="1:19">
      <c r="A384" s="1127"/>
      <c r="B384" s="1128" t="s">
        <v>97</v>
      </c>
      <c r="C384" s="780"/>
      <c r="D384" s="780"/>
      <c r="E384" s="780"/>
      <c r="F384" s="780"/>
      <c r="G384" s="780">
        <f>G385</f>
        <v>253</v>
      </c>
      <c r="H384" s="1096"/>
      <c r="I384" s="780"/>
      <c r="J384" s="780"/>
      <c r="K384" s="780"/>
      <c r="L384" s="780">
        <f>L385</f>
        <v>760</v>
      </c>
      <c r="M384" s="1096"/>
      <c r="N384" s="780"/>
      <c r="O384" s="780"/>
      <c r="P384" s="780"/>
      <c r="Q384" s="780">
        <f>Q385</f>
        <v>760</v>
      </c>
      <c r="R384" s="1096"/>
      <c r="S384" s="1132"/>
    </row>
    <row r="385" spans="1:19" ht="24">
      <c r="A385" s="1129"/>
      <c r="B385" s="1130" t="s">
        <v>98</v>
      </c>
      <c r="C385" s="780"/>
      <c r="D385" s="780"/>
      <c r="E385" s="780"/>
      <c r="F385" s="780"/>
      <c r="G385" s="780">
        <v>253</v>
      </c>
      <c r="H385" s="1096"/>
      <c r="I385" s="780"/>
      <c r="J385" s="780"/>
      <c r="K385" s="780"/>
      <c r="L385" s="780">
        <v>760</v>
      </c>
      <c r="M385" s="1096"/>
      <c r="N385" s="780"/>
      <c r="O385" s="780"/>
      <c r="P385" s="780"/>
      <c r="Q385" s="780">
        <v>760</v>
      </c>
      <c r="R385" s="1096"/>
      <c r="S385" s="1132"/>
    </row>
    <row r="386" spans="1:19">
      <c r="A386" s="1125"/>
      <c r="B386" s="1126" t="s">
        <v>392</v>
      </c>
      <c r="C386" s="1096"/>
      <c r="D386" s="1096"/>
      <c r="E386" s="1096"/>
      <c r="F386" s="1096"/>
      <c r="G386" s="1096">
        <f>G387</f>
        <v>253</v>
      </c>
      <c r="H386" s="1096"/>
      <c r="I386" s="1096"/>
      <c r="J386" s="1096"/>
      <c r="K386" s="1096"/>
      <c r="L386" s="1096">
        <f>L387</f>
        <v>760</v>
      </c>
      <c r="M386" s="1096"/>
      <c r="N386" s="1096"/>
      <c r="O386" s="1096"/>
      <c r="P386" s="1096"/>
      <c r="Q386" s="1096">
        <f>Q387</f>
        <v>760</v>
      </c>
      <c r="R386" s="1096"/>
      <c r="S386" s="1132"/>
    </row>
    <row r="387" spans="1:19">
      <c r="A387" s="1127"/>
      <c r="B387" s="1128" t="s">
        <v>103</v>
      </c>
      <c r="C387" s="780"/>
      <c r="D387" s="780"/>
      <c r="E387" s="780"/>
      <c r="F387" s="780"/>
      <c r="G387" s="780">
        <f>G388</f>
        <v>253</v>
      </c>
      <c r="H387" s="1096"/>
      <c r="I387" s="780"/>
      <c r="J387" s="780"/>
      <c r="K387" s="780"/>
      <c r="L387" s="780">
        <f>L388</f>
        <v>760</v>
      </c>
      <c r="M387" s="1096"/>
      <c r="N387" s="780"/>
      <c r="O387" s="780"/>
      <c r="P387" s="780"/>
      <c r="Q387" s="780">
        <f>Q388</f>
        <v>760</v>
      </c>
      <c r="R387" s="1096"/>
      <c r="S387" s="1132"/>
    </row>
    <row r="388" spans="1:19">
      <c r="A388" s="1129"/>
      <c r="B388" s="1130" t="s">
        <v>105</v>
      </c>
      <c r="C388" s="780"/>
      <c r="D388" s="780"/>
      <c r="E388" s="780"/>
      <c r="F388" s="780"/>
      <c r="G388" s="780">
        <f>G389</f>
        <v>253</v>
      </c>
      <c r="H388" s="1096"/>
      <c r="I388" s="780"/>
      <c r="J388" s="780"/>
      <c r="K388" s="780"/>
      <c r="L388" s="780">
        <f>L389</f>
        <v>760</v>
      </c>
      <c r="M388" s="1096"/>
      <c r="N388" s="780"/>
      <c r="O388" s="780"/>
      <c r="P388" s="780"/>
      <c r="Q388" s="780">
        <f>Q389</f>
        <v>760</v>
      </c>
      <c r="R388" s="1096"/>
      <c r="S388" s="1132"/>
    </row>
    <row r="389" spans="1:19">
      <c r="A389" s="1136"/>
      <c r="B389" s="779" t="s">
        <v>393</v>
      </c>
      <c r="C389" s="1137"/>
      <c r="D389" s="1137"/>
      <c r="E389" s="1137"/>
      <c r="F389" s="1137"/>
      <c r="G389" s="1137">
        <v>253</v>
      </c>
      <c r="H389" s="1096"/>
      <c r="I389" s="1137"/>
      <c r="J389" s="1137"/>
      <c r="K389" s="1137"/>
      <c r="L389" s="1137">
        <v>760</v>
      </c>
      <c r="M389" s="1096"/>
      <c r="N389" s="1137"/>
      <c r="O389" s="1137"/>
      <c r="P389" s="1137"/>
      <c r="Q389" s="1137">
        <v>760</v>
      </c>
      <c r="R389" s="1096"/>
      <c r="S389" s="1132"/>
    </row>
    <row r="390" spans="1:19">
      <c r="A390" s="1138"/>
      <c r="B390" s="1139" t="s">
        <v>394</v>
      </c>
      <c r="C390" s="780"/>
      <c r="D390" s="780"/>
      <c r="E390" s="780"/>
      <c r="F390" s="780"/>
      <c r="G390" s="780">
        <v>204</v>
      </c>
      <c r="H390" s="1096"/>
      <c r="I390" s="780"/>
      <c r="J390" s="780"/>
      <c r="K390" s="780"/>
      <c r="L390" s="780">
        <v>612</v>
      </c>
      <c r="M390" s="1096"/>
      <c r="N390" s="780"/>
      <c r="O390" s="780"/>
      <c r="P390" s="780"/>
      <c r="Q390" s="780">
        <v>612</v>
      </c>
      <c r="R390" s="1096"/>
      <c r="S390" s="1132"/>
    </row>
    <row r="391" spans="1:19" ht="79.2">
      <c r="A391" s="1133" t="s">
        <v>656</v>
      </c>
      <c r="B391" s="1134" t="s">
        <v>657</v>
      </c>
      <c r="C391" s="1135"/>
      <c r="D391" s="1135"/>
      <c r="E391" s="1135"/>
      <c r="F391" s="1135"/>
      <c r="G391" s="1135"/>
      <c r="H391" s="1135"/>
      <c r="I391" s="1135"/>
      <c r="J391" s="1135"/>
      <c r="K391" s="1135"/>
      <c r="L391" s="1135"/>
      <c r="M391" s="1135"/>
      <c r="N391" s="1135"/>
      <c r="O391" s="1135"/>
      <c r="P391" s="1135"/>
      <c r="Q391" s="1135"/>
      <c r="R391" s="1135"/>
      <c r="S391" s="1132"/>
    </row>
    <row r="392" spans="1:19">
      <c r="A392" s="1125"/>
      <c r="B392" s="1126" t="s">
        <v>88</v>
      </c>
      <c r="C392" s="1096"/>
      <c r="D392" s="1096"/>
      <c r="E392" s="1096"/>
      <c r="F392" s="1096"/>
      <c r="G392" s="1096">
        <f>G393</f>
        <v>362420</v>
      </c>
      <c r="H392" s="1096"/>
      <c r="I392" s="1096"/>
      <c r="J392" s="1096"/>
      <c r="K392" s="1096"/>
      <c r="L392" s="1096">
        <f>L393</f>
        <v>362420</v>
      </c>
      <c r="M392" s="1096"/>
      <c r="N392" s="1096"/>
      <c r="O392" s="1096"/>
      <c r="P392" s="1096"/>
      <c r="Q392" s="1096">
        <f>Q393</f>
        <v>362420</v>
      </c>
      <c r="R392" s="1096"/>
      <c r="S392" s="1132"/>
    </row>
    <row r="393" spans="1:19">
      <c r="A393" s="1127"/>
      <c r="B393" s="1128" t="s">
        <v>97</v>
      </c>
      <c r="C393" s="780"/>
      <c r="D393" s="780"/>
      <c r="E393" s="780"/>
      <c r="F393" s="780"/>
      <c r="G393" s="780">
        <f>G394</f>
        <v>362420</v>
      </c>
      <c r="H393" s="1096"/>
      <c r="I393" s="780"/>
      <c r="J393" s="780"/>
      <c r="K393" s="780"/>
      <c r="L393" s="780">
        <f>L394</f>
        <v>362420</v>
      </c>
      <c r="M393" s="1096"/>
      <c r="N393" s="780"/>
      <c r="O393" s="780"/>
      <c r="P393" s="780"/>
      <c r="Q393" s="780">
        <f>Q394</f>
        <v>362420</v>
      </c>
      <c r="R393" s="1096"/>
      <c r="S393" s="1132"/>
    </row>
    <row r="394" spans="1:19" ht="24">
      <c r="A394" s="1129"/>
      <c r="B394" s="1130" t="s">
        <v>98</v>
      </c>
      <c r="C394" s="780"/>
      <c r="D394" s="780"/>
      <c r="E394" s="780"/>
      <c r="F394" s="780"/>
      <c r="G394" s="780">
        <v>362420</v>
      </c>
      <c r="H394" s="1096"/>
      <c r="I394" s="780"/>
      <c r="J394" s="780"/>
      <c r="K394" s="780"/>
      <c r="L394" s="780">
        <v>362420</v>
      </c>
      <c r="M394" s="1096"/>
      <c r="N394" s="780"/>
      <c r="O394" s="780"/>
      <c r="P394" s="780"/>
      <c r="Q394" s="780">
        <v>362420</v>
      </c>
      <c r="R394" s="1096"/>
      <c r="S394" s="1132"/>
    </row>
    <row r="395" spans="1:19">
      <c r="A395" s="1125"/>
      <c r="B395" s="1126" t="s">
        <v>392</v>
      </c>
      <c r="C395" s="1096"/>
      <c r="D395" s="1096"/>
      <c r="E395" s="1096"/>
      <c r="F395" s="1096"/>
      <c r="G395" s="1096">
        <f>G396</f>
        <v>362420</v>
      </c>
      <c r="H395" s="1096"/>
      <c r="I395" s="1096"/>
      <c r="J395" s="1096"/>
      <c r="K395" s="1096"/>
      <c r="L395" s="1096">
        <f>L396</f>
        <v>362420</v>
      </c>
      <c r="M395" s="1096"/>
      <c r="N395" s="1096"/>
      <c r="O395" s="1096"/>
      <c r="P395" s="1096"/>
      <c r="Q395" s="1096">
        <f>Q396</f>
        <v>362420</v>
      </c>
      <c r="R395" s="1096"/>
      <c r="S395" s="1132"/>
    </row>
    <row r="396" spans="1:19">
      <c r="A396" s="1127"/>
      <c r="B396" s="1128" t="s">
        <v>103</v>
      </c>
      <c r="C396" s="780"/>
      <c r="D396" s="780"/>
      <c r="E396" s="780"/>
      <c r="F396" s="780"/>
      <c r="G396" s="780">
        <f>G397</f>
        <v>362420</v>
      </c>
      <c r="H396" s="1096"/>
      <c r="I396" s="780"/>
      <c r="J396" s="780"/>
      <c r="K396" s="780"/>
      <c r="L396" s="780">
        <f>L397</f>
        <v>362420</v>
      </c>
      <c r="M396" s="1096"/>
      <c r="N396" s="780"/>
      <c r="O396" s="780"/>
      <c r="P396" s="780"/>
      <c r="Q396" s="780">
        <f>Q397</f>
        <v>362420</v>
      </c>
      <c r="R396" s="1096"/>
      <c r="S396" s="1132"/>
    </row>
    <row r="397" spans="1:19">
      <c r="A397" s="1129"/>
      <c r="B397" s="1130" t="s">
        <v>105</v>
      </c>
      <c r="C397" s="780"/>
      <c r="D397" s="780"/>
      <c r="E397" s="780"/>
      <c r="F397" s="780"/>
      <c r="G397" s="780">
        <f>G398+G400</f>
        <v>362420</v>
      </c>
      <c r="H397" s="1096"/>
      <c r="I397" s="780"/>
      <c r="J397" s="780"/>
      <c r="K397" s="780"/>
      <c r="L397" s="780">
        <f>L398+L400</f>
        <v>362420</v>
      </c>
      <c r="M397" s="1096"/>
      <c r="N397" s="780"/>
      <c r="O397" s="780"/>
      <c r="P397" s="780"/>
      <c r="Q397" s="780">
        <f>Q398+Q400</f>
        <v>362420</v>
      </c>
      <c r="R397" s="1096"/>
      <c r="S397" s="1132"/>
    </row>
    <row r="398" spans="1:19">
      <c r="A398" s="1136"/>
      <c r="B398" s="779" t="s">
        <v>393</v>
      </c>
      <c r="C398" s="1137"/>
      <c r="D398" s="1137"/>
      <c r="E398" s="1137"/>
      <c r="F398" s="1137"/>
      <c r="G398" s="1137">
        <v>311604</v>
      </c>
      <c r="H398" s="1096"/>
      <c r="I398" s="1137"/>
      <c r="J398" s="1137"/>
      <c r="K398" s="1137"/>
      <c r="L398" s="1137">
        <v>311604</v>
      </c>
      <c r="M398" s="1096"/>
      <c r="N398" s="1137"/>
      <c r="O398" s="1137"/>
      <c r="P398" s="1137"/>
      <c r="Q398" s="1137">
        <v>311604</v>
      </c>
      <c r="R398" s="1096"/>
      <c r="S398" s="1132"/>
    </row>
    <row r="399" spans="1:19">
      <c r="A399" s="1138"/>
      <c r="B399" s="1139" t="s">
        <v>394</v>
      </c>
      <c r="C399" s="780"/>
      <c r="D399" s="780"/>
      <c r="E399" s="780"/>
      <c r="F399" s="780"/>
      <c r="G399" s="780">
        <v>251111</v>
      </c>
      <c r="H399" s="1096"/>
      <c r="I399" s="780"/>
      <c r="J399" s="780"/>
      <c r="K399" s="780"/>
      <c r="L399" s="780">
        <v>251111</v>
      </c>
      <c r="M399" s="1096"/>
      <c r="N399" s="780"/>
      <c r="O399" s="780"/>
      <c r="P399" s="780"/>
      <c r="Q399" s="780">
        <v>251111</v>
      </c>
      <c r="R399" s="1096"/>
      <c r="S399" s="1132"/>
    </row>
    <row r="400" spans="1:19">
      <c r="A400" s="1125"/>
      <c r="B400" s="1131" t="s">
        <v>640</v>
      </c>
      <c r="C400" s="1096"/>
      <c r="D400" s="1096"/>
      <c r="E400" s="1096"/>
      <c r="F400" s="1096"/>
      <c r="G400" s="780">
        <v>50816</v>
      </c>
      <c r="H400" s="1096"/>
      <c r="I400" s="1096"/>
      <c r="J400" s="1096"/>
      <c r="K400" s="1096"/>
      <c r="L400" s="780">
        <v>50816</v>
      </c>
      <c r="M400" s="1096"/>
      <c r="N400" s="1096"/>
      <c r="O400" s="1096"/>
      <c r="P400" s="1096"/>
      <c r="Q400" s="780">
        <v>50816</v>
      </c>
      <c r="R400" s="1096"/>
      <c r="S400" s="1132"/>
    </row>
    <row r="401" spans="1:19" ht="92.4">
      <c r="A401" s="1133" t="s">
        <v>658</v>
      </c>
      <c r="B401" s="1134" t="s">
        <v>659</v>
      </c>
      <c r="C401" s="1135"/>
      <c r="D401" s="1135"/>
      <c r="E401" s="1135"/>
      <c r="F401" s="1135"/>
      <c r="G401" s="1135"/>
      <c r="H401" s="1135"/>
      <c r="I401" s="1135"/>
      <c r="J401" s="1135"/>
      <c r="K401" s="1135"/>
      <c r="L401" s="1135"/>
      <c r="M401" s="1135"/>
      <c r="N401" s="1135"/>
      <c r="O401" s="1135"/>
      <c r="P401" s="1135"/>
      <c r="Q401" s="1135"/>
      <c r="R401" s="1135"/>
      <c r="S401" s="1132"/>
    </row>
    <row r="402" spans="1:19">
      <c r="A402" s="1125"/>
      <c r="B402" s="1126" t="s">
        <v>88</v>
      </c>
      <c r="C402" s="1096"/>
      <c r="D402" s="1096"/>
      <c r="E402" s="1096"/>
      <c r="F402" s="1096"/>
      <c r="G402" s="1096">
        <f>G403</f>
        <v>54400</v>
      </c>
      <c r="H402" s="1096"/>
      <c r="I402" s="1096"/>
      <c r="J402" s="1096"/>
      <c r="K402" s="1096"/>
      <c r="L402" s="1096">
        <f>L403</f>
        <v>54400</v>
      </c>
      <c r="M402" s="1096"/>
      <c r="N402" s="1096"/>
      <c r="O402" s="1096"/>
      <c r="P402" s="1096"/>
      <c r="Q402" s="1096">
        <f>Q403</f>
        <v>54400</v>
      </c>
      <c r="R402" s="1096"/>
      <c r="S402" s="1132"/>
    </row>
    <row r="403" spans="1:19">
      <c r="A403" s="1127"/>
      <c r="B403" s="1128" t="s">
        <v>97</v>
      </c>
      <c r="C403" s="780"/>
      <c r="D403" s="780"/>
      <c r="E403" s="780"/>
      <c r="F403" s="780"/>
      <c r="G403" s="780">
        <f>G404</f>
        <v>54400</v>
      </c>
      <c r="H403" s="1096"/>
      <c r="I403" s="780"/>
      <c r="J403" s="780"/>
      <c r="K403" s="780"/>
      <c r="L403" s="780">
        <f>L404</f>
        <v>54400</v>
      </c>
      <c r="M403" s="1096"/>
      <c r="N403" s="780"/>
      <c r="O403" s="780"/>
      <c r="P403" s="780"/>
      <c r="Q403" s="780">
        <f>Q404</f>
        <v>54400</v>
      </c>
      <c r="R403" s="1096"/>
      <c r="S403" s="1132"/>
    </row>
    <row r="404" spans="1:19" ht="24">
      <c r="A404" s="1129"/>
      <c r="B404" s="1130" t="s">
        <v>98</v>
      </c>
      <c r="C404" s="780"/>
      <c r="D404" s="780"/>
      <c r="E404" s="780"/>
      <c r="F404" s="780"/>
      <c r="G404" s="780">
        <v>54400</v>
      </c>
      <c r="H404" s="1096"/>
      <c r="I404" s="780"/>
      <c r="J404" s="780"/>
      <c r="K404" s="780"/>
      <c r="L404" s="780">
        <v>54400</v>
      </c>
      <c r="M404" s="1096"/>
      <c r="N404" s="780"/>
      <c r="O404" s="780"/>
      <c r="P404" s="780"/>
      <c r="Q404" s="780">
        <v>54400</v>
      </c>
      <c r="R404" s="1096"/>
      <c r="S404" s="1132"/>
    </row>
    <row r="405" spans="1:19">
      <c r="A405" s="1125"/>
      <c r="B405" s="1126" t="s">
        <v>392</v>
      </c>
      <c r="C405" s="1096"/>
      <c r="D405" s="1096"/>
      <c r="E405" s="1096"/>
      <c r="F405" s="1096"/>
      <c r="G405" s="1096">
        <f>G406</f>
        <v>54400</v>
      </c>
      <c r="H405" s="1096"/>
      <c r="I405" s="1096"/>
      <c r="J405" s="1096"/>
      <c r="K405" s="1096"/>
      <c r="L405" s="1096">
        <f>L406</f>
        <v>54400</v>
      </c>
      <c r="M405" s="1096"/>
      <c r="N405" s="1096"/>
      <c r="O405" s="1096"/>
      <c r="P405" s="1096"/>
      <c r="Q405" s="1096">
        <f>Q406</f>
        <v>54400</v>
      </c>
      <c r="R405" s="1096"/>
      <c r="S405" s="1132"/>
    </row>
    <row r="406" spans="1:19">
      <c r="A406" s="1127"/>
      <c r="B406" s="1128" t="s">
        <v>103</v>
      </c>
      <c r="C406" s="780"/>
      <c r="D406" s="780"/>
      <c r="E406" s="780"/>
      <c r="F406" s="780"/>
      <c r="G406" s="780">
        <f>G407</f>
        <v>54400</v>
      </c>
      <c r="H406" s="1096"/>
      <c r="I406" s="780"/>
      <c r="J406" s="780"/>
      <c r="K406" s="780"/>
      <c r="L406" s="780">
        <f>L407</f>
        <v>54400</v>
      </c>
      <c r="M406" s="1096"/>
      <c r="N406" s="780"/>
      <c r="O406" s="780"/>
      <c r="P406" s="780"/>
      <c r="Q406" s="780">
        <f>Q407</f>
        <v>54400</v>
      </c>
      <c r="R406" s="1096"/>
      <c r="S406" s="1132"/>
    </row>
    <row r="407" spans="1:19">
      <c r="A407" s="1129"/>
      <c r="B407" s="1130" t="s">
        <v>105</v>
      </c>
      <c r="C407" s="780"/>
      <c r="D407" s="780"/>
      <c r="E407" s="780"/>
      <c r="F407" s="780"/>
      <c r="G407" s="780">
        <f>G408</f>
        <v>54400</v>
      </c>
      <c r="H407" s="1096"/>
      <c r="I407" s="780"/>
      <c r="J407" s="780"/>
      <c r="K407" s="780"/>
      <c r="L407" s="780">
        <f>L408</f>
        <v>54400</v>
      </c>
      <c r="M407" s="1096"/>
      <c r="N407" s="780"/>
      <c r="O407" s="780"/>
      <c r="P407" s="780"/>
      <c r="Q407" s="780">
        <f>Q408</f>
        <v>54400</v>
      </c>
      <c r="R407" s="1096"/>
      <c r="S407" s="1132"/>
    </row>
    <row r="408" spans="1:19">
      <c r="A408" s="1136"/>
      <c r="B408" s="779" t="s">
        <v>393</v>
      </c>
      <c r="C408" s="1137"/>
      <c r="D408" s="1137"/>
      <c r="E408" s="1137"/>
      <c r="F408" s="1137"/>
      <c r="G408" s="1137">
        <v>54400</v>
      </c>
      <c r="H408" s="1096"/>
      <c r="I408" s="1137"/>
      <c r="J408" s="1137"/>
      <c r="K408" s="1137"/>
      <c r="L408" s="1137">
        <v>54400</v>
      </c>
      <c r="M408" s="1096"/>
      <c r="N408" s="1137"/>
      <c r="O408" s="1137"/>
      <c r="P408" s="1137"/>
      <c r="Q408" s="1137">
        <v>54400</v>
      </c>
      <c r="R408" s="1096"/>
      <c r="S408" s="1132"/>
    </row>
    <row r="409" spans="1:19" ht="79.2">
      <c r="A409" s="1133" t="s">
        <v>660</v>
      </c>
      <c r="B409" s="1134" t="s">
        <v>661</v>
      </c>
      <c r="C409" s="1135"/>
      <c r="D409" s="1135"/>
      <c r="E409" s="1135"/>
      <c r="F409" s="1135"/>
      <c r="G409" s="1135"/>
      <c r="H409" s="1135"/>
      <c r="I409" s="1135"/>
      <c r="J409" s="1135"/>
      <c r="K409" s="1135"/>
      <c r="L409" s="1135"/>
      <c r="M409" s="1135"/>
      <c r="N409" s="1135"/>
      <c r="O409" s="1135"/>
      <c r="P409" s="1135"/>
      <c r="Q409" s="1135"/>
      <c r="R409" s="1135"/>
      <c r="S409" s="1132"/>
    </row>
    <row r="410" spans="1:19">
      <c r="A410" s="1125"/>
      <c r="B410" s="1126" t="s">
        <v>88</v>
      </c>
      <c r="C410" s="1096"/>
      <c r="D410" s="1096"/>
      <c r="E410" s="1096"/>
      <c r="F410" s="1096"/>
      <c r="G410" s="1096">
        <f>G411</f>
        <v>173088</v>
      </c>
      <c r="H410" s="1096"/>
      <c r="I410" s="1096"/>
      <c r="J410" s="1096"/>
      <c r="K410" s="1096"/>
      <c r="L410" s="1096">
        <f>L411</f>
        <v>173088</v>
      </c>
      <c r="M410" s="1096"/>
      <c r="N410" s="1096"/>
      <c r="O410" s="1096"/>
      <c r="P410" s="1096"/>
      <c r="Q410" s="1096">
        <f>Q411</f>
        <v>173088</v>
      </c>
      <c r="R410" s="1096"/>
      <c r="S410" s="1132"/>
    </row>
    <row r="411" spans="1:19">
      <c r="A411" s="1127"/>
      <c r="B411" s="1128" t="s">
        <v>97</v>
      </c>
      <c r="C411" s="780"/>
      <c r="D411" s="780"/>
      <c r="E411" s="780"/>
      <c r="F411" s="780"/>
      <c r="G411" s="780">
        <f>G412</f>
        <v>173088</v>
      </c>
      <c r="H411" s="1096"/>
      <c r="I411" s="780"/>
      <c r="J411" s="780"/>
      <c r="K411" s="780"/>
      <c r="L411" s="780">
        <f>L412</f>
        <v>173088</v>
      </c>
      <c r="M411" s="1096"/>
      <c r="N411" s="780"/>
      <c r="O411" s="780"/>
      <c r="P411" s="780"/>
      <c r="Q411" s="780">
        <f>Q412</f>
        <v>173088</v>
      </c>
      <c r="R411" s="1096"/>
      <c r="S411" s="1132"/>
    </row>
    <row r="412" spans="1:19" ht="24">
      <c r="A412" s="1129"/>
      <c r="B412" s="1130" t="s">
        <v>98</v>
      </c>
      <c r="C412" s="780"/>
      <c r="D412" s="780"/>
      <c r="E412" s="780"/>
      <c r="F412" s="780"/>
      <c r="G412" s="780">
        <v>173088</v>
      </c>
      <c r="H412" s="1096"/>
      <c r="I412" s="780"/>
      <c r="J412" s="780"/>
      <c r="K412" s="780"/>
      <c r="L412" s="780">
        <v>173088</v>
      </c>
      <c r="M412" s="1096"/>
      <c r="N412" s="780"/>
      <c r="O412" s="780"/>
      <c r="P412" s="780"/>
      <c r="Q412" s="780">
        <v>173088</v>
      </c>
      <c r="R412" s="1096"/>
      <c r="S412" s="1132"/>
    </row>
    <row r="413" spans="1:19">
      <c r="A413" s="1125"/>
      <c r="B413" s="1126" t="s">
        <v>392</v>
      </c>
      <c r="C413" s="1096"/>
      <c r="D413" s="1096"/>
      <c r="E413" s="1096"/>
      <c r="F413" s="1096"/>
      <c r="G413" s="1096">
        <f>G414</f>
        <v>173088</v>
      </c>
      <c r="H413" s="1096"/>
      <c r="I413" s="1096"/>
      <c r="J413" s="1096"/>
      <c r="K413" s="1096"/>
      <c r="L413" s="1096">
        <f>L414</f>
        <v>173088</v>
      </c>
      <c r="M413" s="1096"/>
      <c r="N413" s="1096"/>
      <c r="O413" s="1096"/>
      <c r="P413" s="1096"/>
      <c r="Q413" s="1096">
        <f>Q414</f>
        <v>173088</v>
      </c>
      <c r="R413" s="1096"/>
      <c r="S413" s="1132"/>
    </row>
    <row r="414" spans="1:19">
      <c r="A414" s="1127"/>
      <c r="B414" s="1128" t="s">
        <v>103</v>
      </c>
      <c r="C414" s="780"/>
      <c r="D414" s="780"/>
      <c r="E414" s="780"/>
      <c r="F414" s="780"/>
      <c r="G414" s="780">
        <f>G415</f>
        <v>173088</v>
      </c>
      <c r="H414" s="1096"/>
      <c r="I414" s="780"/>
      <c r="J414" s="780"/>
      <c r="K414" s="780"/>
      <c r="L414" s="780">
        <f>L415</f>
        <v>173088</v>
      </c>
      <c r="M414" s="1096"/>
      <c r="N414" s="780"/>
      <c r="O414" s="780"/>
      <c r="P414" s="780"/>
      <c r="Q414" s="780">
        <f>Q415</f>
        <v>173088</v>
      </c>
      <c r="R414" s="1096"/>
      <c r="S414" s="1132"/>
    </row>
    <row r="415" spans="1:19">
      <c r="A415" s="1125"/>
      <c r="B415" s="1128" t="s">
        <v>110</v>
      </c>
      <c r="C415" s="1096"/>
      <c r="D415" s="1096"/>
      <c r="E415" s="1096"/>
      <c r="F415" s="1096"/>
      <c r="G415" s="1096">
        <f>G416</f>
        <v>173088</v>
      </c>
      <c r="H415" s="1096"/>
      <c r="I415" s="1096"/>
      <c r="J415" s="1096"/>
      <c r="K415" s="1096"/>
      <c r="L415" s="1096">
        <f>L416</f>
        <v>173088</v>
      </c>
      <c r="M415" s="1096"/>
      <c r="N415" s="1096"/>
      <c r="O415" s="1096"/>
      <c r="P415" s="1096"/>
      <c r="Q415" s="1096">
        <f>Q416</f>
        <v>173088</v>
      </c>
      <c r="R415" s="1096"/>
      <c r="S415" s="1132"/>
    </row>
    <row r="416" spans="1:19">
      <c r="A416" s="1125"/>
      <c r="B416" s="1130" t="s">
        <v>111</v>
      </c>
      <c r="C416" s="1096"/>
      <c r="D416" s="1096"/>
      <c r="E416" s="1096"/>
      <c r="F416" s="1096"/>
      <c r="G416" s="1096">
        <f>G417</f>
        <v>173088</v>
      </c>
      <c r="H416" s="1096"/>
      <c r="I416" s="1096"/>
      <c r="J416" s="1096"/>
      <c r="K416" s="1096"/>
      <c r="L416" s="1096">
        <f>L417</f>
        <v>173088</v>
      </c>
      <c r="M416" s="1096"/>
      <c r="N416" s="1096"/>
      <c r="O416" s="1096"/>
      <c r="P416" s="1096"/>
      <c r="Q416" s="1096">
        <f>Q417</f>
        <v>173088</v>
      </c>
      <c r="R416" s="1096"/>
      <c r="S416" s="1132"/>
    </row>
    <row r="417" spans="1:19">
      <c r="A417" s="1125"/>
      <c r="B417" s="779" t="s">
        <v>112</v>
      </c>
      <c r="C417" s="1096"/>
      <c r="D417" s="1096"/>
      <c r="E417" s="1096"/>
      <c r="F417" s="1096"/>
      <c r="G417" s="1096">
        <v>173088</v>
      </c>
      <c r="H417" s="1096"/>
      <c r="I417" s="1096"/>
      <c r="J417" s="1096"/>
      <c r="K417" s="1096"/>
      <c r="L417" s="1096">
        <v>173088</v>
      </c>
      <c r="M417" s="1096"/>
      <c r="N417" s="1096"/>
      <c r="O417" s="1096"/>
      <c r="P417" s="1096"/>
      <c r="Q417" s="1096">
        <v>173088</v>
      </c>
      <c r="R417" s="1096"/>
      <c r="S417" s="1132"/>
    </row>
    <row r="418" spans="1:19" ht="66">
      <c r="A418" s="1133" t="s">
        <v>662</v>
      </c>
      <c r="B418" s="1134" t="s">
        <v>663</v>
      </c>
      <c r="C418" s="1135"/>
      <c r="D418" s="1135"/>
      <c r="E418" s="1135"/>
      <c r="F418" s="1135"/>
      <c r="G418" s="1135"/>
      <c r="H418" s="1135"/>
      <c r="I418" s="1135"/>
      <c r="J418" s="1135"/>
      <c r="K418" s="1135"/>
      <c r="L418" s="1135"/>
      <c r="M418" s="1135"/>
      <c r="N418" s="1135"/>
      <c r="O418" s="1135"/>
      <c r="P418" s="1135"/>
      <c r="Q418" s="1135"/>
      <c r="R418" s="1135"/>
      <c r="S418" s="1132"/>
    </row>
    <row r="419" spans="1:19">
      <c r="A419" s="1125"/>
      <c r="B419" s="1126" t="s">
        <v>88</v>
      </c>
      <c r="C419" s="1096"/>
      <c r="D419" s="1096"/>
      <c r="E419" s="1096"/>
      <c r="F419" s="1096"/>
      <c r="G419" s="1096">
        <f>G420</f>
        <v>943367</v>
      </c>
      <c r="H419" s="1096"/>
      <c r="I419" s="1096"/>
      <c r="J419" s="1096"/>
      <c r="K419" s="1096"/>
      <c r="L419" s="1096">
        <f>L420</f>
        <v>4349383</v>
      </c>
      <c r="M419" s="1096"/>
      <c r="N419" s="1096"/>
      <c r="O419" s="1096"/>
      <c r="P419" s="1096"/>
      <c r="Q419" s="1096">
        <f>Q420</f>
        <v>6694502</v>
      </c>
      <c r="R419" s="1096"/>
      <c r="S419" s="1132"/>
    </row>
    <row r="420" spans="1:19">
      <c r="A420" s="1127"/>
      <c r="B420" s="1128" t="s">
        <v>97</v>
      </c>
      <c r="C420" s="780"/>
      <c r="D420" s="780"/>
      <c r="E420" s="780"/>
      <c r="F420" s="780"/>
      <c r="G420" s="780">
        <f>G421</f>
        <v>943367</v>
      </c>
      <c r="H420" s="1096"/>
      <c r="I420" s="780"/>
      <c r="J420" s="780"/>
      <c r="K420" s="780"/>
      <c r="L420" s="780">
        <f>L421</f>
        <v>4349383</v>
      </c>
      <c r="M420" s="1096"/>
      <c r="N420" s="780"/>
      <c r="O420" s="780"/>
      <c r="P420" s="780"/>
      <c r="Q420" s="780">
        <f>Q421</f>
        <v>6694502</v>
      </c>
      <c r="R420" s="1096"/>
      <c r="S420" s="1132"/>
    </row>
    <row r="421" spans="1:19" ht="24">
      <c r="A421" s="1129"/>
      <c r="B421" s="1130" t="s">
        <v>98</v>
      </c>
      <c r="C421" s="780"/>
      <c r="D421" s="780"/>
      <c r="E421" s="780"/>
      <c r="F421" s="780"/>
      <c r="G421" s="780">
        <v>943367</v>
      </c>
      <c r="H421" s="1096"/>
      <c r="I421" s="780"/>
      <c r="J421" s="780"/>
      <c r="K421" s="780"/>
      <c r="L421" s="780">
        <v>4349383</v>
      </c>
      <c r="M421" s="1096"/>
      <c r="N421" s="780"/>
      <c r="O421" s="780"/>
      <c r="P421" s="780"/>
      <c r="Q421" s="780">
        <v>6694502</v>
      </c>
      <c r="R421" s="1096"/>
      <c r="S421" s="1132"/>
    </row>
    <row r="422" spans="1:19">
      <c r="A422" s="1125"/>
      <c r="B422" s="1126" t="s">
        <v>392</v>
      </c>
      <c r="C422" s="1096"/>
      <c r="D422" s="1096"/>
      <c r="E422" s="1096"/>
      <c r="F422" s="1096"/>
      <c r="G422" s="1096">
        <f>G423</f>
        <v>943367</v>
      </c>
      <c r="H422" s="1096"/>
      <c r="I422" s="1096"/>
      <c r="J422" s="1096"/>
      <c r="K422" s="1096"/>
      <c r="L422" s="1096">
        <f>L423</f>
        <v>4349383</v>
      </c>
      <c r="M422" s="1096"/>
      <c r="N422" s="1096"/>
      <c r="O422" s="1096"/>
      <c r="P422" s="1096"/>
      <c r="Q422" s="1096">
        <f>Q423</f>
        <v>6694502</v>
      </c>
      <c r="R422" s="1096"/>
      <c r="S422" s="1132"/>
    </row>
    <row r="423" spans="1:19">
      <c r="A423" s="1127"/>
      <c r="B423" s="1128" t="s">
        <v>103</v>
      </c>
      <c r="C423" s="780"/>
      <c r="D423" s="780"/>
      <c r="E423" s="780"/>
      <c r="F423" s="780"/>
      <c r="G423" s="780">
        <f>G424</f>
        <v>943367</v>
      </c>
      <c r="H423" s="1096"/>
      <c r="I423" s="780"/>
      <c r="J423" s="780"/>
      <c r="K423" s="780"/>
      <c r="L423" s="780">
        <f>L424</f>
        <v>4349383</v>
      </c>
      <c r="M423" s="1096"/>
      <c r="N423" s="780"/>
      <c r="O423" s="780"/>
      <c r="P423" s="780"/>
      <c r="Q423" s="780">
        <f>Q424</f>
        <v>6694502</v>
      </c>
      <c r="R423" s="1096"/>
      <c r="S423" s="1132"/>
    </row>
    <row r="424" spans="1:19">
      <c r="A424" s="1125"/>
      <c r="B424" s="1128" t="s">
        <v>110</v>
      </c>
      <c r="C424" s="1096"/>
      <c r="D424" s="1096"/>
      <c r="E424" s="1096"/>
      <c r="F424" s="1096"/>
      <c r="G424" s="1096">
        <f>G425</f>
        <v>943367</v>
      </c>
      <c r="H424" s="1096"/>
      <c r="I424" s="1096"/>
      <c r="J424" s="1096"/>
      <c r="K424" s="1096"/>
      <c r="L424" s="1096">
        <f>L425</f>
        <v>4349383</v>
      </c>
      <c r="M424" s="1096"/>
      <c r="N424" s="1096"/>
      <c r="O424" s="1096"/>
      <c r="P424" s="1096"/>
      <c r="Q424" s="1096">
        <f>Q425</f>
        <v>6694502</v>
      </c>
      <c r="R424" s="1096"/>
      <c r="S424" s="1132"/>
    </row>
    <row r="425" spans="1:19">
      <c r="A425" s="1125"/>
      <c r="B425" s="1130" t="s">
        <v>111</v>
      </c>
      <c r="C425" s="1096"/>
      <c r="D425" s="1096"/>
      <c r="E425" s="1096"/>
      <c r="F425" s="1096"/>
      <c r="G425" s="1096">
        <f>G426</f>
        <v>943367</v>
      </c>
      <c r="H425" s="1096"/>
      <c r="I425" s="1096"/>
      <c r="J425" s="1096"/>
      <c r="K425" s="1096"/>
      <c r="L425" s="1096">
        <f>L426</f>
        <v>4349383</v>
      </c>
      <c r="M425" s="1096"/>
      <c r="N425" s="1096"/>
      <c r="O425" s="1096"/>
      <c r="P425" s="1096"/>
      <c r="Q425" s="1096">
        <f>Q426</f>
        <v>6694502</v>
      </c>
      <c r="R425" s="1096"/>
      <c r="S425" s="1132"/>
    </row>
    <row r="426" spans="1:19">
      <c r="A426" s="1125"/>
      <c r="B426" s="779" t="s">
        <v>112</v>
      </c>
      <c r="C426" s="1096"/>
      <c r="D426" s="1096"/>
      <c r="E426" s="1096"/>
      <c r="F426" s="1096"/>
      <c r="G426" s="1096">
        <v>943367</v>
      </c>
      <c r="H426" s="1096"/>
      <c r="I426" s="1096"/>
      <c r="J426" s="1096"/>
      <c r="K426" s="1096"/>
      <c r="L426" s="1096">
        <v>4349383</v>
      </c>
      <c r="M426" s="1096"/>
      <c r="N426" s="1096"/>
      <c r="O426" s="1096"/>
      <c r="P426" s="1096"/>
      <c r="Q426" s="1096">
        <v>6694502</v>
      </c>
      <c r="R426" s="1096"/>
      <c r="S426" s="1132"/>
    </row>
    <row r="427" spans="1:19" ht="92.4">
      <c r="A427" s="1133" t="s">
        <v>664</v>
      </c>
      <c r="B427" s="1134" t="s">
        <v>665</v>
      </c>
      <c r="C427" s="1135"/>
      <c r="D427" s="1135"/>
      <c r="E427" s="1135"/>
      <c r="F427" s="1135"/>
      <c r="G427" s="1135"/>
      <c r="H427" s="1135"/>
      <c r="I427" s="1135"/>
      <c r="J427" s="1135"/>
      <c r="K427" s="1135"/>
      <c r="L427" s="1135"/>
      <c r="M427" s="1135"/>
      <c r="N427" s="1135"/>
      <c r="O427" s="1135"/>
      <c r="P427" s="1135"/>
      <c r="Q427" s="1135"/>
      <c r="R427" s="1135"/>
      <c r="S427" s="1132"/>
    </row>
    <row r="428" spans="1:19">
      <c r="A428" s="1125"/>
      <c r="B428" s="1126" t="s">
        <v>88</v>
      </c>
      <c r="C428" s="1096"/>
      <c r="D428" s="1096"/>
      <c r="E428" s="1096"/>
      <c r="F428" s="1096"/>
      <c r="G428" s="1096">
        <f>G429</f>
        <v>10000</v>
      </c>
      <c r="H428" s="1096"/>
      <c r="I428" s="1096"/>
      <c r="J428" s="1096"/>
      <c r="K428" s="1096"/>
      <c r="L428" s="1096">
        <f>L429</f>
        <v>0</v>
      </c>
      <c r="M428" s="1096"/>
      <c r="N428" s="1096"/>
      <c r="O428" s="1096"/>
      <c r="P428" s="1096"/>
      <c r="Q428" s="1096">
        <f>Q429</f>
        <v>0</v>
      </c>
      <c r="R428" s="1096"/>
      <c r="S428" s="1132"/>
    </row>
    <row r="429" spans="1:19">
      <c r="A429" s="1127"/>
      <c r="B429" s="1128" t="s">
        <v>97</v>
      </c>
      <c r="C429" s="780"/>
      <c r="D429" s="780"/>
      <c r="E429" s="780"/>
      <c r="F429" s="780"/>
      <c r="G429" s="780">
        <f>G430</f>
        <v>10000</v>
      </c>
      <c r="H429" s="1096"/>
      <c r="I429" s="780"/>
      <c r="J429" s="780"/>
      <c r="K429" s="780"/>
      <c r="L429" s="780">
        <f>L430</f>
        <v>0</v>
      </c>
      <c r="M429" s="1096"/>
      <c r="N429" s="780"/>
      <c r="O429" s="780"/>
      <c r="P429" s="780"/>
      <c r="Q429" s="780">
        <f>Q430</f>
        <v>0</v>
      </c>
      <c r="R429" s="1096"/>
      <c r="S429" s="1132"/>
    </row>
    <row r="430" spans="1:19" ht="24">
      <c r="A430" s="1129"/>
      <c r="B430" s="1130" t="s">
        <v>98</v>
      </c>
      <c r="C430" s="780"/>
      <c r="D430" s="780"/>
      <c r="E430" s="780"/>
      <c r="F430" s="780"/>
      <c r="G430" s="780">
        <v>10000</v>
      </c>
      <c r="H430" s="1096"/>
      <c r="I430" s="780"/>
      <c r="J430" s="780"/>
      <c r="K430" s="780"/>
      <c r="L430" s="780"/>
      <c r="M430" s="1096"/>
      <c r="N430" s="780"/>
      <c r="O430" s="780"/>
      <c r="P430" s="780"/>
      <c r="Q430" s="780"/>
      <c r="R430" s="1096"/>
      <c r="S430" s="1132"/>
    </row>
    <row r="431" spans="1:19">
      <c r="A431" s="1125"/>
      <c r="B431" s="1126" t="s">
        <v>392</v>
      </c>
      <c r="C431" s="1096"/>
      <c r="D431" s="1096"/>
      <c r="E431" s="1096"/>
      <c r="F431" s="1096"/>
      <c r="G431" s="1096">
        <f>G432</f>
        <v>10000</v>
      </c>
      <c r="H431" s="1096"/>
      <c r="I431" s="1096"/>
      <c r="J431" s="1096"/>
      <c r="K431" s="1096"/>
      <c r="L431" s="1096">
        <f>L432</f>
        <v>0</v>
      </c>
      <c r="M431" s="1096"/>
      <c r="N431" s="1096"/>
      <c r="O431" s="1096"/>
      <c r="P431" s="1096"/>
      <c r="Q431" s="1096">
        <f>Q432</f>
        <v>0</v>
      </c>
      <c r="R431" s="1096"/>
      <c r="S431" s="1132"/>
    </row>
    <row r="432" spans="1:19">
      <c r="A432" s="1127"/>
      <c r="B432" s="1128" t="s">
        <v>103</v>
      </c>
      <c r="C432" s="780"/>
      <c r="D432" s="780"/>
      <c r="E432" s="780"/>
      <c r="F432" s="780"/>
      <c r="G432" s="780">
        <f>G433</f>
        <v>10000</v>
      </c>
      <c r="H432" s="1096"/>
      <c r="I432" s="780"/>
      <c r="J432" s="780"/>
      <c r="K432" s="780"/>
      <c r="L432" s="780">
        <f>L433</f>
        <v>0</v>
      </c>
      <c r="M432" s="1096"/>
      <c r="N432" s="780"/>
      <c r="O432" s="780"/>
      <c r="P432" s="780"/>
      <c r="Q432" s="780">
        <f>Q433</f>
        <v>0</v>
      </c>
      <c r="R432" s="1096"/>
      <c r="S432" s="1132"/>
    </row>
    <row r="433" spans="1:19">
      <c r="A433" s="1129"/>
      <c r="B433" s="1130" t="s">
        <v>105</v>
      </c>
      <c r="C433" s="780"/>
      <c r="D433" s="780"/>
      <c r="E433" s="780"/>
      <c r="F433" s="780"/>
      <c r="G433" s="780">
        <f>G434</f>
        <v>10000</v>
      </c>
      <c r="H433" s="1096"/>
      <c r="I433" s="780"/>
      <c r="J433" s="780"/>
      <c r="K433" s="780"/>
      <c r="L433" s="780">
        <f>L434</f>
        <v>0</v>
      </c>
      <c r="M433" s="1096"/>
      <c r="N433" s="780"/>
      <c r="O433" s="780"/>
      <c r="P433" s="780"/>
      <c r="Q433" s="780">
        <f>Q434</f>
        <v>0</v>
      </c>
      <c r="R433" s="1096"/>
      <c r="S433" s="1132"/>
    </row>
    <row r="434" spans="1:19">
      <c r="A434" s="1125"/>
      <c r="B434" s="1131" t="s">
        <v>640</v>
      </c>
      <c r="C434" s="1096"/>
      <c r="D434" s="1096"/>
      <c r="E434" s="1096"/>
      <c r="F434" s="1096"/>
      <c r="G434" s="780">
        <v>10000</v>
      </c>
      <c r="H434" s="1096"/>
      <c r="I434" s="1096"/>
      <c r="J434" s="1096"/>
      <c r="K434" s="1096"/>
      <c r="L434" s="780"/>
      <c r="M434" s="1096"/>
      <c r="N434" s="1096"/>
      <c r="O434" s="1096"/>
      <c r="P434" s="1096"/>
      <c r="Q434" s="780"/>
      <c r="R434" s="1096"/>
      <c r="S434" s="1132"/>
    </row>
    <row r="435" spans="1:19" ht="92.4">
      <c r="A435" s="1133" t="s">
        <v>666</v>
      </c>
      <c r="B435" s="1134" t="s">
        <v>667</v>
      </c>
      <c r="C435" s="1135"/>
      <c r="D435" s="1135"/>
      <c r="E435" s="1135"/>
      <c r="F435" s="1135"/>
      <c r="G435" s="1135"/>
      <c r="H435" s="1135"/>
      <c r="I435" s="1135"/>
      <c r="J435" s="1135"/>
      <c r="K435" s="1135"/>
      <c r="L435" s="1135"/>
      <c r="M435" s="1135"/>
      <c r="N435" s="1135"/>
      <c r="O435" s="1135"/>
      <c r="P435" s="1135"/>
      <c r="Q435" s="1135"/>
      <c r="R435" s="1135"/>
      <c r="S435" s="1132"/>
    </row>
    <row r="436" spans="1:19">
      <c r="A436" s="1125"/>
      <c r="B436" s="1126" t="s">
        <v>88</v>
      </c>
      <c r="C436" s="1096"/>
      <c r="D436" s="1096"/>
      <c r="E436" s="1096"/>
      <c r="F436" s="1096"/>
      <c r="G436" s="1096">
        <f>G437</f>
        <v>8153</v>
      </c>
      <c r="H436" s="1096"/>
      <c r="I436" s="1096"/>
      <c r="J436" s="1096"/>
      <c r="K436" s="1096"/>
      <c r="L436" s="1096">
        <f>L437</f>
        <v>0</v>
      </c>
      <c r="M436" s="1096"/>
      <c r="N436" s="1096"/>
      <c r="O436" s="1096"/>
      <c r="P436" s="1096"/>
      <c r="Q436" s="1096">
        <f>Q437</f>
        <v>0</v>
      </c>
      <c r="R436" s="1096"/>
      <c r="S436" s="1132"/>
    </row>
    <row r="437" spans="1:19">
      <c r="A437" s="1127"/>
      <c r="B437" s="1128" t="s">
        <v>97</v>
      </c>
      <c r="C437" s="780"/>
      <c r="D437" s="780"/>
      <c r="E437" s="780"/>
      <c r="F437" s="780"/>
      <c r="G437" s="780">
        <f>G438</f>
        <v>8153</v>
      </c>
      <c r="H437" s="1096"/>
      <c r="I437" s="780"/>
      <c r="J437" s="780"/>
      <c r="K437" s="780"/>
      <c r="L437" s="780">
        <f>L438</f>
        <v>0</v>
      </c>
      <c r="M437" s="1096"/>
      <c r="N437" s="780"/>
      <c r="O437" s="780"/>
      <c r="P437" s="780"/>
      <c r="Q437" s="780">
        <f>Q438</f>
        <v>0</v>
      </c>
      <c r="R437" s="1096"/>
      <c r="S437" s="1132"/>
    </row>
    <row r="438" spans="1:19" ht="24">
      <c r="A438" s="1129"/>
      <c r="B438" s="1130" t="s">
        <v>98</v>
      </c>
      <c r="C438" s="780"/>
      <c r="D438" s="780"/>
      <c r="E438" s="780"/>
      <c r="F438" s="780"/>
      <c r="G438" s="780">
        <v>8153</v>
      </c>
      <c r="H438" s="1096"/>
      <c r="I438" s="780"/>
      <c r="J438" s="780"/>
      <c r="K438" s="780"/>
      <c r="L438" s="780"/>
      <c r="M438" s="1096"/>
      <c r="N438" s="780"/>
      <c r="O438" s="780"/>
      <c r="P438" s="780"/>
      <c r="Q438" s="780"/>
      <c r="R438" s="1096"/>
      <c r="S438" s="1132"/>
    </row>
    <row r="439" spans="1:19">
      <c r="A439" s="1125"/>
      <c r="B439" s="1126" t="s">
        <v>392</v>
      </c>
      <c r="C439" s="1096"/>
      <c r="D439" s="1096"/>
      <c r="E439" s="1096"/>
      <c r="F439" s="1096"/>
      <c r="G439" s="1096">
        <f>G440</f>
        <v>8153</v>
      </c>
      <c r="H439" s="1096"/>
      <c r="I439" s="1096"/>
      <c r="J439" s="1096"/>
      <c r="K439" s="1096"/>
      <c r="L439" s="1096">
        <f>L440</f>
        <v>0</v>
      </c>
      <c r="M439" s="1096"/>
      <c r="N439" s="1096"/>
      <c r="O439" s="1096"/>
      <c r="P439" s="1096"/>
      <c r="Q439" s="1096">
        <f>Q440</f>
        <v>0</v>
      </c>
      <c r="R439" s="1096"/>
      <c r="S439" s="1132"/>
    </row>
    <row r="440" spans="1:19">
      <c r="A440" s="1127"/>
      <c r="B440" s="1128" t="s">
        <v>103</v>
      </c>
      <c r="C440" s="780"/>
      <c r="D440" s="780"/>
      <c r="E440" s="780"/>
      <c r="F440" s="780"/>
      <c r="G440" s="780">
        <f>G441</f>
        <v>8153</v>
      </c>
      <c r="H440" s="1096"/>
      <c r="I440" s="780"/>
      <c r="J440" s="780"/>
      <c r="K440" s="780"/>
      <c r="L440" s="780">
        <f>L441</f>
        <v>0</v>
      </c>
      <c r="M440" s="1096"/>
      <c r="N440" s="780"/>
      <c r="O440" s="780"/>
      <c r="P440" s="780"/>
      <c r="Q440" s="780">
        <f>Q441</f>
        <v>0</v>
      </c>
      <c r="R440" s="1096"/>
      <c r="S440" s="1132"/>
    </row>
    <row r="441" spans="1:19">
      <c r="A441" s="1129"/>
      <c r="B441" s="1130" t="s">
        <v>105</v>
      </c>
      <c r="C441" s="780"/>
      <c r="D441" s="780"/>
      <c r="E441" s="780"/>
      <c r="F441" s="780"/>
      <c r="G441" s="780">
        <f>G442</f>
        <v>8153</v>
      </c>
      <c r="H441" s="1096"/>
      <c r="I441" s="780"/>
      <c r="J441" s="780"/>
      <c r="K441" s="780"/>
      <c r="L441" s="780">
        <f>L442</f>
        <v>0</v>
      </c>
      <c r="M441" s="1096"/>
      <c r="N441" s="780"/>
      <c r="O441" s="780"/>
      <c r="P441" s="780"/>
      <c r="Q441" s="780">
        <f>Q442</f>
        <v>0</v>
      </c>
      <c r="R441" s="1096"/>
      <c r="S441" s="1132"/>
    </row>
    <row r="442" spans="1:19">
      <c r="A442" s="1136"/>
      <c r="B442" s="779" t="s">
        <v>393</v>
      </c>
      <c r="C442" s="1137"/>
      <c r="D442" s="1137"/>
      <c r="E442" s="1137"/>
      <c r="F442" s="1137"/>
      <c r="G442" s="1137">
        <v>8153</v>
      </c>
      <c r="H442" s="1096"/>
      <c r="I442" s="1137"/>
      <c r="J442" s="1137"/>
      <c r="K442" s="1137"/>
      <c r="L442" s="1137"/>
      <c r="M442" s="1096"/>
      <c r="N442" s="1137"/>
      <c r="O442" s="1137"/>
      <c r="P442" s="1137"/>
      <c r="Q442" s="1137"/>
      <c r="R442" s="1096"/>
      <c r="S442" s="1132"/>
    </row>
    <row r="443" spans="1:19">
      <c r="A443" s="1138"/>
      <c r="B443" s="1139" t="s">
        <v>394</v>
      </c>
      <c r="C443" s="780"/>
      <c r="D443" s="780"/>
      <c r="E443" s="780"/>
      <c r="F443" s="780"/>
      <c r="G443" s="780">
        <v>6570</v>
      </c>
      <c r="H443" s="1096"/>
      <c r="I443" s="780"/>
      <c r="J443" s="780"/>
      <c r="K443" s="780"/>
      <c r="L443" s="780"/>
      <c r="M443" s="1096"/>
      <c r="N443" s="780"/>
      <c r="O443" s="780"/>
      <c r="P443" s="780"/>
      <c r="Q443" s="780"/>
      <c r="R443" s="1096"/>
      <c r="S443" s="1132"/>
    </row>
    <row r="444" spans="1:19" ht="13.2">
      <c r="A444" s="414"/>
      <c r="B444" s="475"/>
      <c r="C444" s="469"/>
      <c r="D444" s="470"/>
      <c r="E444" s="469"/>
      <c r="F444" s="470"/>
      <c r="G444" s="470"/>
      <c r="H444" s="470"/>
      <c r="I444" s="470"/>
      <c r="J444" s="469"/>
      <c r="K444" s="470"/>
      <c r="L444" s="470"/>
      <c r="M444" s="470"/>
      <c r="N444" s="470"/>
      <c r="O444" s="469"/>
      <c r="P444" s="470"/>
      <c r="Q444" s="470"/>
      <c r="R444" s="470"/>
      <c r="S444" s="1132"/>
    </row>
    <row r="445" spans="1:19" ht="13.2">
      <c r="A445" s="369" t="s">
        <v>245</v>
      </c>
      <c r="B445" s="370" t="s">
        <v>140</v>
      </c>
      <c r="C445" s="469"/>
      <c r="D445" s="470"/>
      <c r="E445" s="469"/>
      <c r="F445" s="470"/>
      <c r="G445" s="470"/>
      <c r="H445" s="470"/>
      <c r="I445" s="470"/>
      <c r="J445" s="469"/>
      <c r="K445" s="470"/>
      <c r="L445" s="470"/>
      <c r="M445" s="470"/>
      <c r="N445" s="470"/>
      <c r="O445" s="469"/>
      <c r="P445" s="470"/>
      <c r="Q445" s="470"/>
      <c r="R445" s="470"/>
      <c r="S445" s="1132"/>
    </row>
    <row r="446" spans="1:19" ht="13.2">
      <c r="A446" s="409"/>
      <c r="B446" s="477" t="s">
        <v>238</v>
      </c>
      <c r="C446" s="469"/>
      <c r="D446" s="470"/>
      <c r="E446" s="469"/>
      <c r="F446" s="470"/>
      <c r="G446" s="470"/>
      <c r="H446" s="470"/>
      <c r="I446" s="470"/>
      <c r="J446" s="469"/>
      <c r="K446" s="470"/>
      <c r="L446" s="470"/>
      <c r="M446" s="470"/>
      <c r="N446" s="470"/>
      <c r="O446" s="469"/>
      <c r="P446" s="470"/>
      <c r="Q446" s="470"/>
      <c r="R446" s="470"/>
      <c r="S446" s="1132"/>
    </row>
    <row r="447" spans="1:19" ht="13.2">
      <c r="A447" s="959" t="s">
        <v>223</v>
      </c>
      <c r="B447" s="932" t="s">
        <v>434</v>
      </c>
      <c r="C447" s="469"/>
      <c r="D447" s="470"/>
      <c r="E447" s="469"/>
      <c r="F447" s="470"/>
      <c r="G447" s="470"/>
      <c r="H447" s="470"/>
      <c r="I447" s="470"/>
      <c r="J447" s="469"/>
      <c r="K447" s="470"/>
      <c r="L447" s="470"/>
      <c r="M447" s="470"/>
      <c r="N447" s="470"/>
      <c r="O447" s="469"/>
      <c r="P447" s="470"/>
      <c r="Q447" s="470"/>
      <c r="R447" s="470"/>
      <c r="S447" s="1132"/>
    </row>
    <row r="448" spans="1:19" ht="145.19999999999999">
      <c r="A448" s="1143" t="s">
        <v>240</v>
      </c>
      <c r="B448" s="1144" t="s">
        <v>259</v>
      </c>
      <c r="C448" s="1145"/>
      <c r="D448" s="1145"/>
      <c r="E448" s="1146"/>
      <c r="F448" s="1147"/>
      <c r="G448" s="1147"/>
      <c r="H448" s="1147"/>
      <c r="I448" s="1147"/>
      <c r="J448" s="1148"/>
      <c r="K448" s="1147"/>
      <c r="L448" s="1147"/>
      <c r="M448" s="1147"/>
      <c r="N448" s="1147"/>
      <c r="O448" s="1148"/>
      <c r="P448" s="1147"/>
      <c r="Q448" s="1147"/>
      <c r="R448" s="1147"/>
      <c r="S448" s="1132"/>
    </row>
    <row r="449" spans="1:19">
      <c r="A449" s="1149"/>
      <c r="B449" s="1150" t="s">
        <v>88</v>
      </c>
      <c r="C449" s="1150"/>
      <c r="D449" s="1151"/>
      <c r="E449" s="1152">
        <f>E450</f>
        <v>7831</v>
      </c>
      <c r="F449" s="1151"/>
      <c r="G449" s="1151"/>
      <c r="H449" s="1151"/>
      <c r="I449" s="1151"/>
      <c r="J449" s="1151"/>
      <c r="K449" s="1151"/>
      <c r="L449" s="1151"/>
      <c r="M449" s="1151"/>
      <c r="N449" s="1151"/>
      <c r="O449" s="1151"/>
      <c r="P449" s="1151"/>
      <c r="Q449" s="1151"/>
      <c r="R449" s="1151"/>
      <c r="S449" s="1132"/>
    </row>
    <row r="450" spans="1:19">
      <c r="A450" s="1153"/>
      <c r="B450" s="1154" t="s">
        <v>97</v>
      </c>
      <c r="C450" s="1154"/>
      <c r="D450" s="1154"/>
      <c r="E450" s="1155">
        <f>E451</f>
        <v>7831</v>
      </c>
      <c r="F450" s="1154"/>
      <c r="G450" s="1154"/>
      <c r="H450" s="1154"/>
      <c r="I450" s="1154"/>
      <c r="J450" s="1154"/>
      <c r="K450" s="1154"/>
      <c r="L450" s="1154"/>
      <c r="M450" s="1154"/>
      <c r="N450" s="1154"/>
      <c r="O450" s="1154"/>
      <c r="P450" s="1154"/>
      <c r="Q450" s="1154"/>
      <c r="R450" s="1154"/>
      <c r="S450" s="1132"/>
    </row>
    <row r="451" spans="1:19" ht="24">
      <c r="A451" s="1156"/>
      <c r="B451" s="1157" t="s">
        <v>98</v>
      </c>
      <c r="C451" s="1157"/>
      <c r="D451" s="1157"/>
      <c r="E451" s="1155">
        <v>7831</v>
      </c>
      <c r="F451" s="1157"/>
      <c r="G451" s="1157"/>
      <c r="H451" s="1157"/>
      <c r="I451" s="1157"/>
      <c r="J451" s="1157"/>
      <c r="K451" s="1157"/>
      <c r="L451" s="1157"/>
      <c r="M451" s="1157"/>
      <c r="N451" s="1157"/>
      <c r="O451" s="1157"/>
      <c r="P451" s="1157"/>
      <c r="Q451" s="1157"/>
      <c r="R451" s="1157"/>
      <c r="S451" s="1132"/>
    </row>
    <row r="452" spans="1:19">
      <c r="A452" s="1151"/>
      <c r="B452" s="1150" t="s">
        <v>392</v>
      </c>
      <c r="C452" s="1151"/>
      <c r="D452" s="1151"/>
      <c r="E452" s="1142">
        <f>E453</f>
        <v>7831</v>
      </c>
      <c r="F452" s="1151"/>
      <c r="G452" s="1151"/>
      <c r="H452" s="1151"/>
      <c r="I452" s="1151"/>
      <c r="J452" s="1151"/>
      <c r="K452" s="1151"/>
      <c r="L452" s="1151"/>
      <c r="M452" s="1151"/>
      <c r="N452" s="1151"/>
      <c r="O452" s="1151"/>
      <c r="P452" s="1151"/>
      <c r="Q452" s="1151"/>
      <c r="R452" s="1151"/>
      <c r="S452" s="1132"/>
    </row>
    <row r="453" spans="1:19">
      <c r="A453" s="1154"/>
      <c r="B453" s="1154" t="s">
        <v>103</v>
      </c>
      <c r="C453" s="1154"/>
      <c r="D453" s="1154"/>
      <c r="E453" s="1155">
        <f>E454</f>
        <v>7831</v>
      </c>
      <c r="F453" s="1154"/>
      <c r="G453" s="1154"/>
      <c r="H453" s="1154"/>
      <c r="I453" s="1154"/>
      <c r="J453" s="1154"/>
      <c r="K453" s="1154"/>
      <c r="L453" s="1154"/>
      <c r="M453" s="1154"/>
      <c r="N453" s="1154"/>
      <c r="O453" s="1154"/>
      <c r="P453" s="1154"/>
      <c r="Q453" s="1154"/>
      <c r="R453" s="1154"/>
      <c r="S453" s="1132"/>
    </row>
    <row r="454" spans="1:19">
      <c r="A454" s="1157"/>
      <c r="B454" s="1157" t="s">
        <v>105</v>
      </c>
      <c r="C454" s="1157"/>
      <c r="D454" s="1157"/>
      <c r="E454" s="1155">
        <f>E455+E457</f>
        <v>7831</v>
      </c>
      <c r="F454" s="1157"/>
      <c r="G454" s="1157"/>
      <c r="H454" s="1157"/>
      <c r="I454" s="1157"/>
      <c r="J454" s="1157"/>
      <c r="K454" s="1157"/>
      <c r="L454" s="1157"/>
      <c r="M454" s="1157"/>
      <c r="N454" s="1157"/>
      <c r="O454" s="1157"/>
      <c r="P454" s="1157"/>
      <c r="Q454" s="1157"/>
      <c r="R454" s="1157"/>
      <c r="S454" s="1132"/>
    </row>
    <row r="455" spans="1:19">
      <c r="A455" s="1158"/>
      <c r="B455" s="1158" t="s">
        <v>393</v>
      </c>
      <c r="C455" s="1158"/>
      <c r="D455" s="1158"/>
      <c r="E455" s="1155">
        <v>673</v>
      </c>
      <c r="F455" s="1158"/>
      <c r="G455" s="1158"/>
      <c r="H455" s="1158"/>
      <c r="I455" s="1158"/>
      <c r="J455" s="1158"/>
      <c r="K455" s="1158"/>
      <c r="L455" s="1158"/>
      <c r="M455" s="1158"/>
      <c r="N455" s="1158"/>
      <c r="O455" s="1158"/>
      <c r="P455" s="1158"/>
      <c r="Q455" s="1158"/>
      <c r="R455" s="1158"/>
      <c r="S455" s="1132"/>
    </row>
    <row r="456" spans="1:19">
      <c r="A456" s="1159"/>
      <c r="B456" s="1159" t="s">
        <v>394</v>
      </c>
      <c r="C456" s="1159"/>
      <c r="D456" s="1159"/>
      <c r="E456" s="1155">
        <v>542</v>
      </c>
      <c r="F456" s="1159"/>
      <c r="G456" s="1159"/>
      <c r="H456" s="1159"/>
      <c r="I456" s="1159"/>
      <c r="J456" s="1159"/>
      <c r="K456" s="1159"/>
      <c r="L456" s="1159"/>
      <c r="M456" s="1159"/>
      <c r="N456" s="1159"/>
      <c r="O456" s="1159"/>
      <c r="P456" s="1159"/>
      <c r="Q456" s="1159"/>
      <c r="R456" s="1159"/>
      <c r="S456" s="1132"/>
    </row>
    <row r="457" spans="1:19">
      <c r="A457" s="1158"/>
      <c r="B457" s="1158" t="s">
        <v>108</v>
      </c>
      <c r="C457" s="1158"/>
      <c r="D457" s="1158"/>
      <c r="E457" s="1155">
        <v>7158</v>
      </c>
      <c r="F457" s="1158"/>
      <c r="G457" s="1158"/>
      <c r="H457" s="1158"/>
      <c r="I457" s="1158"/>
      <c r="J457" s="1158"/>
      <c r="K457" s="1158"/>
      <c r="L457" s="1158"/>
      <c r="M457" s="1158"/>
      <c r="N457" s="1158"/>
      <c r="O457" s="1158"/>
      <c r="P457" s="1158"/>
      <c r="Q457" s="1158"/>
      <c r="R457" s="1158"/>
      <c r="S457" s="1132"/>
    </row>
    <row r="458" spans="1:19" ht="105.6">
      <c r="A458" s="1143" t="s">
        <v>253</v>
      </c>
      <c r="B458" s="1144" t="s">
        <v>478</v>
      </c>
      <c r="C458" s="1145"/>
      <c r="D458" s="1145"/>
      <c r="E458" s="1146"/>
      <c r="F458" s="1147"/>
      <c r="G458" s="1147"/>
      <c r="H458" s="1147"/>
      <c r="I458" s="1147"/>
      <c r="J458" s="1148"/>
      <c r="K458" s="1147"/>
      <c r="L458" s="1147"/>
      <c r="M458" s="1147"/>
      <c r="N458" s="1147"/>
      <c r="O458" s="1148"/>
      <c r="P458" s="1147"/>
      <c r="Q458" s="1147"/>
      <c r="R458" s="1147"/>
      <c r="S458" s="1132"/>
    </row>
    <row r="459" spans="1:19">
      <c r="A459" s="1149"/>
      <c r="B459" s="1150" t="s">
        <v>88</v>
      </c>
      <c r="C459" s="1150"/>
      <c r="D459" s="1151"/>
      <c r="E459" s="1152">
        <f>E460</f>
        <v>1526866</v>
      </c>
      <c r="F459" s="1151"/>
      <c r="G459" s="1151"/>
      <c r="H459" s="1151"/>
      <c r="I459" s="1151"/>
      <c r="J459" s="1151"/>
      <c r="K459" s="1151"/>
      <c r="L459" s="1151"/>
      <c r="M459" s="1151"/>
      <c r="N459" s="1151"/>
      <c r="O459" s="1151"/>
      <c r="P459" s="1151"/>
      <c r="Q459" s="1151"/>
      <c r="R459" s="1151"/>
      <c r="S459" s="1132"/>
    </row>
    <row r="460" spans="1:19">
      <c r="A460" s="1153"/>
      <c r="B460" s="1154" t="s">
        <v>97</v>
      </c>
      <c r="C460" s="1154"/>
      <c r="D460" s="1154"/>
      <c r="E460" s="1155">
        <f>E461</f>
        <v>1526866</v>
      </c>
      <c r="F460" s="1154"/>
      <c r="G460" s="1154"/>
      <c r="H460" s="1154"/>
      <c r="I460" s="1154"/>
      <c r="J460" s="1154"/>
      <c r="K460" s="1154"/>
      <c r="L460" s="1154"/>
      <c r="M460" s="1154"/>
      <c r="N460" s="1154"/>
      <c r="O460" s="1154"/>
      <c r="P460" s="1154"/>
      <c r="Q460" s="1154"/>
      <c r="R460" s="1154"/>
      <c r="S460" s="1132"/>
    </row>
    <row r="461" spans="1:19" ht="24">
      <c r="A461" s="1156"/>
      <c r="B461" s="1157" t="s">
        <v>98</v>
      </c>
      <c r="C461" s="1157"/>
      <c r="D461" s="1157"/>
      <c r="E461" s="1155">
        <v>1526866</v>
      </c>
      <c r="F461" s="1157"/>
      <c r="G461" s="1157"/>
      <c r="H461" s="1157"/>
      <c r="I461" s="1157"/>
      <c r="J461" s="1157"/>
      <c r="K461" s="1157"/>
      <c r="L461" s="1157"/>
      <c r="M461" s="1157"/>
      <c r="N461" s="1157"/>
      <c r="O461" s="1157"/>
      <c r="P461" s="1157"/>
      <c r="Q461" s="1157"/>
      <c r="R461" s="1157"/>
      <c r="S461" s="1132"/>
    </row>
    <row r="462" spans="1:19">
      <c r="A462" s="1151"/>
      <c r="B462" s="1150" t="s">
        <v>392</v>
      </c>
      <c r="C462" s="1151"/>
      <c r="D462" s="1151"/>
      <c r="E462" s="1142">
        <f>E463+E466</f>
        <v>1526866</v>
      </c>
      <c r="F462" s="1151"/>
      <c r="G462" s="1151"/>
      <c r="H462" s="1151"/>
      <c r="I462" s="1151"/>
      <c r="J462" s="1151"/>
      <c r="K462" s="1151"/>
      <c r="L462" s="1151"/>
      <c r="M462" s="1151"/>
      <c r="N462" s="1151"/>
      <c r="O462" s="1151"/>
      <c r="P462" s="1151"/>
      <c r="Q462" s="1151"/>
      <c r="R462" s="1151"/>
      <c r="S462" s="1132"/>
    </row>
    <row r="463" spans="1:19">
      <c r="A463" s="1154"/>
      <c r="B463" s="1154" t="s">
        <v>103</v>
      </c>
      <c r="C463" s="1154"/>
      <c r="D463" s="1154"/>
      <c r="E463" s="1155">
        <f>E464</f>
        <v>29768</v>
      </c>
      <c r="F463" s="1154"/>
      <c r="G463" s="1154"/>
      <c r="H463" s="1154"/>
      <c r="I463" s="1154"/>
      <c r="J463" s="1154"/>
      <c r="K463" s="1154"/>
      <c r="L463" s="1154"/>
      <c r="M463" s="1154"/>
      <c r="N463" s="1154"/>
      <c r="O463" s="1154"/>
      <c r="P463" s="1154"/>
      <c r="Q463" s="1154"/>
      <c r="R463" s="1154"/>
      <c r="S463" s="1132"/>
    </row>
    <row r="464" spans="1:19">
      <c r="A464" s="1157"/>
      <c r="B464" s="1157" t="s">
        <v>105</v>
      </c>
      <c r="C464" s="1157"/>
      <c r="D464" s="1157"/>
      <c r="E464" s="1155">
        <f>E465</f>
        <v>29768</v>
      </c>
      <c r="F464" s="1157"/>
      <c r="G464" s="1157"/>
      <c r="H464" s="1157"/>
      <c r="I464" s="1157"/>
      <c r="J464" s="1157"/>
      <c r="K464" s="1157"/>
      <c r="L464" s="1157"/>
      <c r="M464" s="1157"/>
      <c r="N464" s="1157"/>
      <c r="O464" s="1157"/>
      <c r="P464" s="1157"/>
      <c r="Q464" s="1157"/>
      <c r="R464" s="1157"/>
      <c r="S464" s="1132"/>
    </row>
    <row r="465" spans="1:19">
      <c r="A465" s="1158"/>
      <c r="B465" s="1158" t="s">
        <v>108</v>
      </c>
      <c r="C465" s="1158"/>
      <c r="D465" s="1158"/>
      <c r="E465" s="1155">
        <v>29768</v>
      </c>
      <c r="F465" s="1158"/>
      <c r="G465" s="1158"/>
      <c r="H465" s="1158"/>
      <c r="I465" s="1158"/>
      <c r="J465" s="1158"/>
      <c r="K465" s="1158"/>
      <c r="L465" s="1158"/>
      <c r="M465" s="1158"/>
      <c r="N465" s="1158"/>
      <c r="O465" s="1158"/>
      <c r="P465" s="1158"/>
      <c r="Q465" s="1158"/>
      <c r="R465" s="1158"/>
      <c r="S465" s="1132"/>
    </row>
    <row r="466" spans="1:19">
      <c r="A466" s="1159"/>
      <c r="B466" s="1154" t="s">
        <v>122</v>
      </c>
      <c r="C466" s="1159"/>
      <c r="D466" s="1159"/>
      <c r="E466" s="1155">
        <f>E467</f>
        <v>1497098</v>
      </c>
      <c r="F466" s="1159"/>
      <c r="G466" s="1159"/>
      <c r="H466" s="1159"/>
      <c r="I466" s="1159"/>
      <c r="J466" s="1159"/>
      <c r="K466" s="1159"/>
      <c r="L466" s="1159"/>
      <c r="M466" s="1159"/>
      <c r="N466" s="1159"/>
      <c r="O466" s="1159"/>
      <c r="P466" s="1159"/>
      <c r="Q466" s="1159"/>
      <c r="R466" s="1159"/>
      <c r="S466" s="1132"/>
    </row>
    <row r="467" spans="1:19">
      <c r="A467" s="1159"/>
      <c r="B467" s="1157" t="s">
        <v>123</v>
      </c>
      <c r="C467" s="1159"/>
      <c r="D467" s="1159"/>
      <c r="E467" s="1155">
        <v>1497098</v>
      </c>
      <c r="F467" s="1159"/>
      <c r="G467" s="1159"/>
      <c r="H467" s="1159"/>
      <c r="I467" s="1159"/>
      <c r="J467" s="1159"/>
      <c r="K467" s="1159"/>
      <c r="L467" s="1159"/>
      <c r="M467" s="1159"/>
      <c r="N467" s="1159"/>
      <c r="O467" s="1159"/>
      <c r="P467" s="1159"/>
      <c r="Q467" s="1159"/>
      <c r="R467" s="1159"/>
      <c r="S467" s="1132"/>
    </row>
    <row r="468" spans="1:19" ht="92.4">
      <c r="A468" s="1143" t="s">
        <v>255</v>
      </c>
      <c r="B468" s="1144" t="s">
        <v>479</v>
      </c>
      <c r="C468" s="1145"/>
      <c r="D468" s="1145"/>
      <c r="E468" s="1146"/>
      <c r="F468" s="1147"/>
      <c r="G468" s="1147"/>
      <c r="H468" s="1147"/>
      <c r="I468" s="1147"/>
      <c r="J468" s="1148"/>
      <c r="K468" s="1147"/>
      <c r="L468" s="1147"/>
      <c r="M468" s="1147"/>
      <c r="N468" s="1147"/>
      <c r="O468" s="1148"/>
      <c r="P468" s="1147"/>
      <c r="Q468" s="1147"/>
      <c r="R468" s="1147"/>
      <c r="S468" s="1132"/>
    </row>
    <row r="469" spans="1:19">
      <c r="A469" s="1149"/>
      <c r="B469" s="1150" t="s">
        <v>88</v>
      </c>
      <c r="C469" s="1150"/>
      <c r="D469" s="1151"/>
      <c r="E469" s="1152">
        <f>E470</f>
        <v>512916</v>
      </c>
      <c r="F469" s="1151"/>
      <c r="G469" s="1151"/>
      <c r="H469" s="1151"/>
      <c r="I469" s="1151"/>
      <c r="J469" s="1151"/>
      <c r="K469" s="1151"/>
      <c r="L469" s="1151"/>
      <c r="M469" s="1151"/>
      <c r="N469" s="1151"/>
      <c r="O469" s="1151"/>
      <c r="P469" s="1151"/>
      <c r="Q469" s="1151"/>
      <c r="R469" s="1151"/>
      <c r="S469" s="1132"/>
    </row>
    <row r="470" spans="1:19">
      <c r="A470" s="1153"/>
      <c r="B470" s="1154" t="s">
        <v>97</v>
      </c>
      <c r="C470" s="1154"/>
      <c r="D470" s="1154"/>
      <c r="E470" s="1155">
        <f>E471</f>
        <v>512916</v>
      </c>
      <c r="F470" s="1154"/>
      <c r="G470" s="1154"/>
      <c r="H470" s="1154"/>
      <c r="I470" s="1154"/>
      <c r="J470" s="1154"/>
      <c r="K470" s="1154"/>
      <c r="L470" s="1154"/>
      <c r="M470" s="1154"/>
      <c r="N470" s="1154"/>
      <c r="O470" s="1154"/>
      <c r="P470" s="1154"/>
      <c r="Q470" s="1154"/>
      <c r="R470" s="1154"/>
      <c r="S470" s="1132"/>
    </row>
    <row r="471" spans="1:19" ht="24">
      <c r="A471" s="1156"/>
      <c r="B471" s="1157" t="s">
        <v>98</v>
      </c>
      <c r="C471" s="1157"/>
      <c r="D471" s="1157"/>
      <c r="E471" s="1155">
        <v>512916</v>
      </c>
      <c r="F471" s="1157"/>
      <c r="G471" s="1157"/>
      <c r="H471" s="1157"/>
      <c r="I471" s="1157"/>
      <c r="J471" s="1157"/>
      <c r="K471" s="1157"/>
      <c r="L471" s="1157"/>
      <c r="M471" s="1157"/>
      <c r="N471" s="1157"/>
      <c r="O471" s="1157"/>
      <c r="P471" s="1157"/>
      <c r="Q471" s="1157"/>
      <c r="R471" s="1157"/>
      <c r="S471" s="1132"/>
    </row>
    <row r="472" spans="1:19">
      <c r="A472" s="1151"/>
      <c r="B472" s="1150" t="s">
        <v>392</v>
      </c>
      <c r="C472" s="1151"/>
      <c r="D472" s="1151"/>
      <c r="E472" s="1142">
        <f>E473+E476</f>
        <v>512916</v>
      </c>
      <c r="F472" s="1151"/>
      <c r="G472" s="1151"/>
      <c r="H472" s="1151"/>
      <c r="I472" s="1151"/>
      <c r="J472" s="1151"/>
      <c r="K472" s="1151"/>
      <c r="L472" s="1151"/>
      <c r="M472" s="1151"/>
      <c r="N472" s="1151"/>
      <c r="O472" s="1151"/>
      <c r="P472" s="1151"/>
      <c r="Q472" s="1151"/>
      <c r="R472" s="1151"/>
      <c r="S472" s="1132"/>
    </row>
    <row r="473" spans="1:19">
      <c r="A473" s="1154"/>
      <c r="B473" s="1154" t="s">
        <v>103</v>
      </c>
      <c r="C473" s="1154"/>
      <c r="D473" s="1154"/>
      <c r="E473" s="1155">
        <f>E474</f>
        <v>20000</v>
      </c>
      <c r="F473" s="1154"/>
      <c r="G473" s="1154"/>
      <c r="H473" s="1154"/>
      <c r="I473" s="1154"/>
      <c r="J473" s="1154"/>
      <c r="K473" s="1154"/>
      <c r="L473" s="1154"/>
      <c r="M473" s="1154"/>
      <c r="N473" s="1154"/>
      <c r="O473" s="1154"/>
      <c r="P473" s="1154"/>
      <c r="Q473" s="1154"/>
      <c r="R473" s="1154"/>
      <c r="S473" s="1132"/>
    </row>
    <row r="474" spans="1:19">
      <c r="A474" s="1157"/>
      <c r="B474" s="1157" t="s">
        <v>105</v>
      </c>
      <c r="C474" s="1157"/>
      <c r="D474" s="1157"/>
      <c r="E474" s="1155">
        <f>E475</f>
        <v>20000</v>
      </c>
      <c r="F474" s="1157"/>
      <c r="G474" s="1157"/>
      <c r="H474" s="1157"/>
      <c r="I474" s="1157"/>
      <c r="J474" s="1157"/>
      <c r="K474" s="1157"/>
      <c r="L474" s="1157"/>
      <c r="M474" s="1157"/>
      <c r="N474" s="1157"/>
      <c r="O474" s="1157"/>
      <c r="P474" s="1157"/>
      <c r="Q474" s="1157"/>
      <c r="R474" s="1157"/>
      <c r="S474" s="1132"/>
    </row>
    <row r="475" spans="1:19">
      <c r="A475" s="1158"/>
      <c r="B475" s="1158" t="s">
        <v>108</v>
      </c>
      <c r="C475" s="1158"/>
      <c r="D475" s="1158"/>
      <c r="E475" s="1155">
        <v>20000</v>
      </c>
      <c r="F475" s="1158"/>
      <c r="G475" s="1158"/>
      <c r="H475" s="1158"/>
      <c r="I475" s="1158"/>
      <c r="J475" s="1158"/>
      <c r="K475" s="1158"/>
      <c r="L475" s="1158"/>
      <c r="M475" s="1158"/>
      <c r="N475" s="1158"/>
      <c r="O475" s="1158"/>
      <c r="P475" s="1158"/>
      <c r="Q475" s="1158"/>
      <c r="R475" s="1158"/>
      <c r="S475" s="1132"/>
    </row>
    <row r="476" spans="1:19">
      <c r="A476" s="1159"/>
      <c r="B476" s="1154" t="s">
        <v>122</v>
      </c>
      <c r="C476" s="1159"/>
      <c r="D476" s="1159"/>
      <c r="E476" s="1155">
        <f>E477</f>
        <v>492916</v>
      </c>
      <c r="F476" s="1159"/>
      <c r="G476" s="1159"/>
      <c r="H476" s="1159"/>
      <c r="I476" s="1159"/>
      <c r="J476" s="1159"/>
      <c r="K476" s="1159"/>
      <c r="L476" s="1159"/>
      <c r="M476" s="1159"/>
      <c r="N476" s="1159"/>
      <c r="O476" s="1159"/>
      <c r="P476" s="1159"/>
      <c r="Q476" s="1159"/>
      <c r="R476" s="1159"/>
      <c r="S476" s="1132"/>
    </row>
    <row r="477" spans="1:19">
      <c r="A477" s="1158"/>
      <c r="B477" s="1157" t="s">
        <v>123</v>
      </c>
      <c r="C477" s="1159"/>
      <c r="D477" s="1159"/>
      <c r="E477" s="1155">
        <v>492916</v>
      </c>
      <c r="F477" s="1158"/>
      <c r="G477" s="1158"/>
      <c r="H477" s="1158"/>
      <c r="I477" s="1158"/>
      <c r="J477" s="1158"/>
      <c r="K477" s="1158"/>
      <c r="L477" s="1158"/>
      <c r="M477" s="1158"/>
      <c r="N477" s="1158"/>
      <c r="O477" s="1158"/>
      <c r="P477" s="1158"/>
      <c r="Q477" s="1158"/>
      <c r="R477" s="1158"/>
      <c r="S477" s="1132"/>
    </row>
    <row r="478" spans="1:19" ht="158.4">
      <c r="A478" s="1143" t="s">
        <v>281</v>
      </c>
      <c r="B478" s="1144" t="s">
        <v>480</v>
      </c>
      <c r="C478" s="1145"/>
      <c r="D478" s="1145"/>
      <c r="E478" s="1146"/>
      <c r="F478" s="1147"/>
      <c r="G478" s="1147"/>
      <c r="H478" s="1147"/>
      <c r="I478" s="1147"/>
      <c r="J478" s="1148"/>
      <c r="K478" s="1147"/>
      <c r="L478" s="1147"/>
      <c r="M478" s="1147"/>
      <c r="N478" s="1147"/>
      <c r="O478" s="1148"/>
      <c r="P478" s="1147"/>
      <c r="Q478" s="1147"/>
      <c r="R478" s="1147"/>
      <c r="S478" s="1132"/>
    </row>
    <row r="479" spans="1:19">
      <c r="A479" s="1149"/>
      <c r="B479" s="1150" t="s">
        <v>88</v>
      </c>
      <c r="C479" s="1150"/>
      <c r="D479" s="1151"/>
      <c r="E479" s="1152">
        <f>E480</f>
        <v>97459</v>
      </c>
      <c r="F479" s="1151"/>
      <c r="G479" s="1151"/>
      <c r="H479" s="1151"/>
      <c r="I479" s="1151"/>
      <c r="J479" s="1152">
        <f>J480</f>
        <v>3083</v>
      </c>
      <c r="K479" s="1151"/>
      <c r="L479" s="1151"/>
      <c r="M479" s="1151"/>
      <c r="N479" s="1151"/>
      <c r="O479" s="1151"/>
      <c r="P479" s="1151"/>
      <c r="Q479" s="1151"/>
      <c r="R479" s="1151"/>
      <c r="S479" s="1132"/>
    </row>
    <row r="480" spans="1:19">
      <c r="A480" s="1153"/>
      <c r="B480" s="1154" t="s">
        <v>92</v>
      </c>
      <c r="C480" s="1154"/>
      <c r="D480" s="1154"/>
      <c r="E480" s="1155">
        <v>97459</v>
      </c>
      <c r="F480" s="1154"/>
      <c r="G480" s="1154"/>
      <c r="H480" s="1154"/>
      <c r="I480" s="1154"/>
      <c r="J480" s="1155">
        <v>3083</v>
      </c>
      <c r="K480" s="1154"/>
      <c r="L480" s="1154"/>
      <c r="M480" s="1154"/>
      <c r="N480" s="1154"/>
      <c r="O480" s="1154"/>
      <c r="P480" s="1154"/>
      <c r="Q480" s="1154"/>
      <c r="R480" s="1154"/>
      <c r="S480" s="1132"/>
    </row>
    <row r="481" spans="1:19">
      <c r="A481" s="1151"/>
      <c r="B481" s="1150" t="s">
        <v>392</v>
      </c>
      <c r="C481" s="1151"/>
      <c r="D481" s="1151"/>
      <c r="E481" s="1142">
        <f>E482</f>
        <v>97459</v>
      </c>
      <c r="F481" s="1151"/>
      <c r="G481" s="1151"/>
      <c r="H481" s="1151"/>
      <c r="I481" s="1151"/>
      <c r="J481" s="1142">
        <f>J482</f>
        <v>3083</v>
      </c>
      <c r="K481" s="1151"/>
      <c r="L481" s="1151"/>
      <c r="M481" s="1151"/>
      <c r="N481" s="1151"/>
      <c r="O481" s="1151"/>
      <c r="P481" s="1151"/>
      <c r="Q481" s="1151"/>
      <c r="R481" s="1151"/>
      <c r="S481" s="1132"/>
    </row>
    <row r="482" spans="1:19">
      <c r="A482" s="1154"/>
      <c r="B482" s="1154" t="s">
        <v>103</v>
      </c>
      <c r="C482" s="1154"/>
      <c r="D482" s="1154"/>
      <c r="E482" s="1155">
        <f>E483</f>
        <v>97459</v>
      </c>
      <c r="F482" s="1154"/>
      <c r="G482" s="1154"/>
      <c r="H482" s="1154"/>
      <c r="I482" s="1154"/>
      <c r="J482" s="1155">
        <f>J483</f>
        <v>3083</v>
      </c>
      <c r="K482" s="1154"/>
      <c r="L482" s="1154"/>
      <c r="M482" s="1154"/>
      <c r="N482" s="1154"/>
      <c r="O482" s="1154"/>
      <c r="P482" s="1154"/>
      <c r="Q482" s="1154"/>
      <c r="R482" s="1154"/>
      <c r="S482" s="1132"/>
    </row>
    <row r="483" spans="1:19">
      <c r="A483" s="1157"/>
      <c r="B483" s="1157" t="s">
        <v>105</v>
      </c>
      <c r="C483" s="1157"/>
      <c r="D483" s="1157"/>
      <c r="E483" s="1155">
        <f>E484+E486</f>
        <v>97459</v>
      </c>
      <c r="F483" s="1157"/>
      <c r="G483" s="1157"/>
      <c r="H483" s="1157"/>
      <c r="I483" s="1157"/>
      <c r="J483" s="1155">
        <f>J484+J486</f>
        <v>3083</v>
      </c>
      <c r="K483" s="1157"/>
      <c r="L483" s="1157"/>
      <c r="M483" s="1157"/>
      <c r="N483" s="1157"/>
      <c r="O483" s="1157"/>
      <c r="P483" s="1157"/>
      <c r="Q483" s="1157"/>
      <c r="R483" s="1157"/>
      <c r="S483" s="1132"/>
    </row>
    <row r="484" spans="1:19">
      <c r="A484" s="1158"/>
      <c r="B484" s="1158" t="s">
        <v>393</v>
      </c>
      <c r="C484" s="1158"/>
      <c r="D484" s="1158"/>
      <c r="E484" s="1155">
        <v>44227</v>
      </c>
      <c r="F484" s="1158"/>
      <c r="G484" s="1158"/>
      <c r="H484" s="1158"/>
      <c r="I484" s="1158"/>
      <c r="J484" s="1155">
        <v>1379</v>
      </c>
      <c r="K484" s="1158"/>
      <c r="L484" s="1158"/>
      <c r="M484" s="1158"/>
      <c r="N484" s="1158"/>
      <c r="O484" s="1158"/>
      <c r="P484" s="1158"/>
      <c r="Q484" s="1158"/>
      <c r="R484" s="1158"/>
      <c r="S484" s="1132"/>
    </row>
    <row r="485" spans="1:19">
      <c r="A485" s="1159"/>
      <c r="B485" s="1159" t="s">
        <v>394</v>
      </c>
      <c r="C485" s="1159"/>
      <c r="D485" s="1159"/>
      <c r="E485" s="1155">
        <v>35641</v>
      </c>
      <c r="F485" s="1159"/>
      <c r="G485" s="1159"/>
      <c r="H485" s="1159"/>
      <c r="I485" s="1159"/>
      <c r="J485" s="1155">
        <v>1111</v>
      </c>
      <c r="K485" s="1159"/>
      <c r="L485" s="1159"/>
      <c r="M485" s="1159"/>
      <c r="N485" s="1159"/>
      <c r="O485" s="1159"/>
      <c r="P485" s="1159"/>
      <c r="Q485" s="1159"/>
      <c r="R485" s="1159"/>
      <c r="S485" s="1132"/>
    </row>
    <row r="486" spans="1:19">
      <c r="A486" s="1158"/>
      <c r="B486" s="1158" t="s">
        <v>108</v>
      </c>
      <c r="C486" s="1158"/>
      <c r="D486" s="1158"/>
      <c r="E486" s="1155">
        <v>53232</v>
      </c>
      <c r="F486" s="1158"/>
      <c r="G486" s="1158"/>
      <c r="H486" s="1158"/>
      <c r="I486" s="1158"/>
      <c r="J486" s="1155">
        <v>1704</v>
      </c>
      <c r="K486" s="1158"/>
      <c r="L486" s="1158"/>
      <c r="M486" s="1158"/>
      <c r="N486" s="1158"/>
      <c r="O486" s="1158"/>
      <c r="P486" s="1158"/>
      <c r="Q486" s="1158"/>
      <c r="R486" s="1158"/>
      <c r="S486" s="1132"/>
    </row>
    <row r="487" spans="1:19" ht="132">
      <c r="A487" s="1143" t="s">
        <v>283</v>
      </c>
      <c r="B487" s="1144" t="s">
        <v>481</v>
      </c>
      <c r="C487" s="1145"/>
      <c r="D487" s="1145"/>
      <c r="E487" s="1146"/>
      <c r="F487" s="1147"/>
      <c r="G487" s="1147"/>
      <c r="H487" s="1147"/>
      <c r="I487" s="1147"/>
      <c r="J487" s="1148"/>
      <c r="K487" s="1147"/>
      <c r="L487" s="1147"/>
      <c r="M487" s="1147"/>
      <c r="N487" s="1147"/>
      <c r="O487" s="1148"/>
      <c r="P487" s="1147"/>
      <c r="Q487" s="1147"/>
      <c r="R487" s="1147"/>
      <c r="S487" s="1132"/>
    </row>
    <row r="488" spans="1:19">
      <c r="A488" s="1149"/>
      <c r="B488" s="1150" t="s">
        <v>88</v>
      </c>
      <c r="C488" s="1150"/>
      <c r="D488" s="1151"/>
      <c r="E488" s="1152">
        <f>E489</f>
        <v>205</v>
      </c>
      <c r="F488" s="1151"/>
      <c r="G488" s="1151"/>
      <c r="H488" s="1151"/>
      <c r="I488" s="1151"/>
      <c r="J488" s="1152"/>
      <c r="K488" s="1151"/>
      <c r="L488" s="1151"/>
      <c r="M488" s="1151"/>
      <c r="N488" s="1151"/>
      <c r="O488" s="1151"/>
      <c r="P488" s="1151"/>
      <c r="Q488" s="1151"/>
      <c r="R488" s="1151"/>
      <c r="S488" s="1132"/>
    </row>
    <row r="489" spans="1:19">
      <c r="A489" s="1153"/>
      <c r="B489" s="1154" t="s">
        <v>92</v>
      </c>
      <c r="C489" s="1154"/>
      <c r="D489" s="1154"/>
      <c r="E489" s="1155">
        <v>205</v>
      </c>
      <c r="F489" s="1154"/>
      <c r="G489" s="1154"/>
      <c r="H489" s="1154"/>
      <c r="I489" s="1154"/>
      <c r="J489" s="1155"/>
      <c r="K489" s="1154"/>
      <c r="L489" s="1154"/>
      <c r="M489" s="1154"/>
      <c r="N489" s="1154"/>
      <c r="O489" s="1154"/>
      <c r="P489" s="1154"/>
      <c r="Q489" s="1154"/>
      <c r="R489" s="1154"/>
      <c r="S489" s="1132"/>
    </row>
    <row r="490" spans="1:19">
      <c r="A490" s="1151"/>
      <c r="B490" s="1150" t="s">
        <v>392</v>
      </c>
      <c r="C490" s="1151"/>
      <c r="D490" s="1151"/>
      <c r="E490" s="1142">
        <f>E491</f>
        <v>205</v>
      </c>
      <c r="F490" s="1151"/>
      <c r="G490" s="1151"/>
      <c r="H490" s="1151"/>
      <c r="I490" s="1151"/>
      <c r="J490" s="1142"/>
      <c r="K490" s="1151"/>
      <c r="L490" s="1151"/>
      <c r="M490" s="1151"/>
      <c r="N490" s="1151"/>
      <c r="O490" s="1151"/>
      <c r="P490" s="1151"/>
      <c r="Q490" s="1151"/>
      <c r="R490" s="1151"/>
      <c r="S490" s="1132"/>
    </row>
    <row r="491" spans="1:19">
      <c r="A491" s="1154"/>
      <c r="B491" s="1154" t="s">
        <v>103</v>
      </c>
      <c r="C491" s="1154"/>
      <c r="D491" s="1154"/>
      <c r="E491" s="1155">
        <f>E492</f>
        <v>205</v>
      </c>
      <c r="F491" s="1154"/>
      <c r="G491" s="1154"/>
      <c r="H491" s="1154"/>
      <c r="I491" s="1154"/>
      <c r="J491" s="1155"/>
      <c r="K491" s="1154"/>
      <c r="L491" s="1154"/>
      <c r="M491" s="1154"/>
      <c r="N491" s="1154"/>
      <c r="O491" s="1154"/>
      <c r="P491" s="1154"/>
      <c r="Q491" s="1154"/>
      <c r="R491" s="1154"/>
      <c r="S491" s="1132"/>
    </row>
    <row r="492" spans="1:19">
      <c r="A492" s="1157"/>
      <c r="B492" s="1157" t="s">
        <v>105</v>
      </c>
      <c r="C492" s="1157"/>
      <c r="D492" s="1157"/>
      <c r="E492" s="1155">
        <f>E493</f>
        <v>205</v>
      </c>
      <c r="F492" s="1157"/>
      <c r="G492" s="1157"/>
      <c r="H492" s="1157"/>
      <c r="I492" s="1157"/>
      <c r="J492" s="1155"/>
      <c r="K492" s="1157"/>
      <c r="L492" s="1157"/>
      <c r="M492" s="1157"/>
      <c r="N492" s="1157"/>
      <c r="O492" s="1157"/>
      <c r="P492" s="1157"/>
      <c r="Q492" s="1157"/>
      <c r="R492" s="1157"/>
      <c r="S492" s="1132"/>
    </row>
    <row r="493" spans="1:19">
      <c r="A493" s="1158"/>
      <c r="B493" s="1158" t="s">
        <v>108</v>
      </c>
      <c r="C493" s="1158"/>
      <c r="D493" s="1158"/>
      <c r="E493" s="1155">
        <v>205</v>
      </c>
      <c r="F493" s="1158"/>
      <c r="G493" s="1158"/>
      <c r="H493" s="1158"/>
      <c r="I493" s="1158"/>
      <c r="J493" s="1155"/>
      <c r="K493" s="1158"/>
      <c r="L493" s="1158"/>
      <c r="M493" s="1158"/>
      <c r="N493" s="1158"/>
      <c r="O493" s="1158"/>
      <c r="P493" s="1158"/>
      <c r="Q493" s="1158"/>
      <c r="R493" s="1158"/>
      <c r="S493" s="1132"/>
    </row>
    <row r="494" spans="1:19" ht="105.6">
      <c r="A494" s="1143" t="s">
        <v>285</v>
      </c>
      <c r="B494" s="1144" t="s">
        <v>668</v>
      </c>
      <c r="C494" s="1145"/>
      <c r="D494" s="1145"/>
      <c r="E494" s="1146"/>
      <c r="F494" s="1147"/>
      <c r="G494" s="1147"/>
      <c r="H494" s="1147"/>
      <c r="I494" s="1147"/>
      <c r="J494" s="1148"/>
      <c r="K494" s="1147"/>
      <c r="L494" s="1147"/>
      <c r="M494" s="1147"/>
      <c r="N494" s="1147"/>
      <c r="O494" s="1148"/>
      <c r="P494" s="1147"/>
      <c r="Q494" s="1147"/>
      <c r="R494" s="1147"/>
      <c r="S494" s="1132"/>
    </row>
    <row r="495" spans="1:19">
      <c r="A495" s="1149"/>
      <c r="B495" s="1150" t="s">
        <v>88</v>
      </c>
      <c r="C495" s="1150"/>
      <c r="D495" s="1151"/>
      <c r="E495" s="1152">
        <f>E496</f>
        <v>117</v>
      </c>
      <c r="F495" s="1151"/>
      <c r="G495" s="1151"/>
      <c r="H495" s="1151"/>
      <c r="I495" s="1151"/>
      <c r="J495" s="1152"/>
      <c r="K495" s="1151"/>
      <c r="L495" s="1151"/>
      <c r="M495" s="1151"/>
      <c r="N495" s="1151"/>
      <c r="O495" s="1151"/>
      <c r="P495" s="1151"/>
      <c r="Q495" s="1151"/>
      <c r="R495" s="1151"/>
      <c r="S495" s="1132"/>
    </row>
    <row r="496" spans="1:19">
      <c r="A496" s="1153"/>
      <c r="B496" s="1154" t="s">
        <v>97</v>
      </c>
      <c r="C496" s="1154"/>
      <c r="D496" s="1154"/>
      <c r="E496" s="1155">
        <f>E497</f>
        <v>117</v>
      </c>
      <c r="F496" s="1154"/>
      <c r="G496" s="1154"/>
      <c r="H496" s="1154"/>
      <c r="I496" s="1154"/>
      <c r="J496" s="1154"/>
      <c r="K496" s="1154"/>
      <c r="L496" s="1154"/>
      <c r="M496" s="1154"/>
      <c r="N496" s="1154"/>
      <c r="O496" s="1154"/>
      <c r="P496" s="1154"/>
      <c r="Q496" s="1154"/>
      <c r="R496" s="1154"/>
      <c r="S496" s="1132"/>
    </row>
    <row r="497" spans="1:19" ht="24">
      <c r="A497" s="1156"/>
      <c r="B497" s="1157" t="s">
        <v>98</v>
      </c>
      <c r="C497" s="1157"/>
      <c r="D497" s="1157"/>
      <c r="E497" s="1155">
        <v>117</v>
      </c>
      <c r="F497" s="1157"/>
      <c r="G497" s="1157"/>
      <c r="H497" s="1157"/>
      <c r="I497" s="1157"/>
      <c r="J497" s="1157"/>
      <c r="K497" s="1157"/>
      <c r="L497" s="1157"/>
      <c r="M497" s="1157"/>
      <c r="N497" s="1157"/>
      <c r="O497" s="1157"/>
      <c r="P497" s="1157"/>
      <c r="Q497" s="1157"/>
      <c r="R497" s="1157"/>
      <c r="S497" s="1132"/>
    </row>
    <row r="498" spans="1:19">
      <c r="A498" s="1151"/>
      <c r="B498" s="1150" t="s">
        <v>392</v>
      </c>
      <c r="C498" s="1151"/>
      <c r="D498" s="1151"/>
      <c r="E498" s="1142">
        <f>E499</f>
        <v>117</v>
      </c>
      <c r="F498" s="1151"/>
      <c r="G498" s="1151"/>
      <c r="H498" s="1151"/>
      <c r="I498" s="1151"/>
      <c r="J498" s="1142"/>
      <c r="K498" s="1151"/>
      <c r="L498" s="1151"/>
      <c r="M498" s="1151"/>
      <c r="N498" s="1151"/>
      <c r="O498" s="1151"/>
      <c r="P498" s="1151"/>
      <c r="Q498" s="1151"/>
      <c r="R498" s="1151"/>
      <c r="S498" s="1132"/>
    </row>
    <row r="499" spans="1:19">
      <c r="A499" s="1154"/>
      <c r="B499" s="1154" t="s">
        <v>103</v>
      </c>
      <c r="C499" s="1154"/>
      <c r="D499" s="1154"/>
      <c r="E499" s="1155">
        <f>E500</f>
        <v>117</v>
      </c>
      <c r="F499" s="1154"/>
      <c r="G499" s="1154"/>
      <c r="H499" s="1154"/>
      <c r="I499" s="1154"/>
      <c r="J499" s="1155"/>
      <c r="K499" s="1154"/>
      <c r="L499" s="1154"/>
      <c r="M499" s="1154"/>
      <c r="N499" s="1154"/>
      <c r="O499" s="1154"/>
      <c r="P499" s="1154"/>
      <c r="Q499" s="1154"/>
      <c r="R499" s="1154"/>
      <c r="S499" s="1132"/>
    </row>
    <row r="500" spans="1:19">
      <c r="A500" s="1157"/>
      <c r="B500" s="1157" t="s">
        <v>105</v>
      </c>
      <c r="C500" s="1157"/>
      <c r="D500" s="1157"/>
      <c r="E500" s="1155">
        <f>E501</f>
        <v>117</v>
      </c>
      <c r="F500" s="1157"/>
      <c r="G500" s="1157"/>
      <c r="H500" s="1157"/>
      <c r="I500" s="1157"/>
      <c r="J500" s="1155"/>
      <c r="K500" s="1157"/>
      <c r="L500" s="1157"/>
      <c r="M500" s="1157"/>
      <c r="N500" s="1157"/>
      <c r="O500" s="1157"/>
      <c r="P500" s="1157"/>
      <c r="Q500" s="1157"/>
      <c r="R500" s="1157"/>
      <c r="S500" s="1132"/>
    </row>
    <row r="501" spans="1:19">
      <c r="A501" s="1158"/>
      <c r="B501" s="1158" t="s">
        <v>108</v>
      </c>
      <c r="C501" s="1158"/>
      <c r="D501" s="1158"/>
      <c r="E501" s="1155">
        <v>117</v>
      </c>
      <c r="F501" s="1158"/>
      <c r="G501" s="1158"/>
      <c r="H501" s="1158"/>
      <c r="I501" s="1158"/>
      <c r="J501" s="1155"/>
      <c r="K501" s="1158"/>
      <c r="L501" s="1158"/>
      <c r="M501" s="1158"/>
      <c r="N501" s="1158"/>
      <c r="O501" s="1158"/>
      <c r="P501" s="1158"/>
      <c r="Q501" s="1158"/>
      <c r="R501" s="1158"/>
      <c r="S501" s="1132"/>
    </row>
    <row r="502" spans="1:19" ht="13.2">
      <c r="A502" s="414"/>
      <c r="B502" s="475"/>
      <c r="C502" s="469"/>
      <c r="D502" s="470"/>
      <c r="E502" s="469"/>
      <c r="F502" s="470"/>
      <c r="G502" s="470"/>
      <c r="H502" s="470"/>
      <c r="I502" s="470"/>
      <c r="J502" s="469"/>
      <c r="K502" s="470"/>
      <c r="L502" s="470"/>
      <c r="M502" s="470"/>
      <c r="N502" s="470"/>
      <c r="O502" s="469"/>
      <c r="P502" s="470"/>
      <c r="Q502" s="470"/>
      <c r="R502" s="470"/>
      <c r="S502" s="1132"/>
    </row>
    <row r="503" spans="1:19" ht="13.2">
      <c r="A503" s="931"/>
      <c r="B503" s="932"/>
      <c r="C503" s="469"/>
      <c r="D503" s="470"/>
      <c r="E503" s="469"/>
      <c r="F503" s="470"/>
      <c r="G503" s="470"/>
      <c r="H503" s="470"/>
      <c r="I503" s="470"/>
      <c r="J503" s="469"/>
      <c r="K503" s="470"/>
      <c r="L503" s="470"/>
      <c r="M503" s="470"/>
      <c r="N503" s="470"/>
      <c r="O503" s="469"/>
      <c r="P503" s="470"/>
      <c r="Q503" s="470"/>
      <c r="R503" s="470"/>
      <c r="S503" s="1132"/>
    </row>
    <row r="504" spans="1:19" ht="13.2">
      <c r="A504" s="411"/>
      <c r="B504" s="475"/>
      <c r="C504" s="469"/>
      <c r="D504" s="470"/>
      <c r="E504" s="469"/>
      <c r="F504" s="470"/>
      <c r="G504" s="470"/>
      <c r="H504" s="470"/>
      <c r="I504" s="470"/>
      <c r="J504" s="469"/>
      <c r="K504" s="470"/>
      <c r="L504" s="470"/>
      <c r="M504" s="470"/>
      <c r="N504" s="470"/>
      <c r="O504" s="469"/>
      <c r="P504" s="470"/>
      <c r="Q504" s="470"/>
      <c r="R504" s="470"/>
      <c r="S504" s="1132"/>
    </row>
    <row r="505" spans="1:19">
      <c r="A505" s="1121"/>
      <c r="B505" s="961"/>
      <c r="C505" s="469"/>
      <c r="D505" s="470"/>
      <c r="E505" s="469"/>
      <c r="F505" s="470"/>
      <c r="G505" s="470"/>
      <c r="H505" s="470"/>
      <c r="I505" s="470"/>
      <c r="J505" s="469"/>
      <c r="K505" s="470"/>
      <c r="L505" s="470"/>
      <c r="M505" s="470"/>
      <c r="N505" s="470"/>
      <c r="O505" s="469"/>
      <c r="P505" s="470"/>
      <c r="Q505" s="470"/>
      <c r="R505" s="470"/>
      <c r="S505" s="1132"/>
    </row>
    <row r="506" spans="1:19">
      <c r="A506" s="1121"/>
      <c r="B506" s="961"/>
      <c r="C506" s="469"/>
      <c r="D506" s="470"/>
      <c r="E506" s="469"/>
      <c r="F506" s="470"/>
      <c r="G506" s="470"/>
      <c r="H506" s="470"/>
      <c r="I506" s="470"/>
      <c r="J506" s="469"/>
      <c r="K506" s="470"/>
      <c r="L506" s="470"/>
      <c r="M506" s="470"/>
      <c r="N506" s="470"/>
      <c r="O506" s="469"/>
      <c r="P506" s="470"/>
      <c r="Q506" s="470"/>
      <c r="R506" s="470"/>
      <c r="S506" s="1132"/>
    </row>
    <row r="507" spans="1:19">
      <c r="A507" s="1121"/>
      <c r="B507" s="1160"/>
      <c r="C507" s="469"/>
      <c r="D507" s="470"/>
      <c r="E507" s="469"/>
      <c r="F507" s="470"/>
      <c r="G507" s="470"/>
      <c r="H507" s="470"/>
      <c r="I507" s="470"/>
      <c r="J507" s="469"/>
      <c r="K507" s="470"/>
      <c r="L507" s="470"/>
      <c r="M507" s="470"/>
      <c r="N507" s="470"/>
      <c r="O507" s="469"/>
      <c r="P507" s="470"/>
      <c r="Q507" s="470"/>
      <c r="R507" s="470"/>
      <c r="S507" s="1132"/>
    </row>
    <row r="508" spans="1:19">
      <c r="A508" s="470"/>
      <c r="B508" s="470"/>
      <c r="C508" s="470"/>
      <c r="D508" s="469"/>
      <c r="E508" s="470"/>
      <c r="F508" s="470"/>
      <c r="G508" s="470"/>
      <c r="H508" s="470"/>
      <c r="I508" s="469"/>
      <c r="J508" s="470"/>
      <c r="K508" s="470"/>
      <c r="L508" s="470"/>
      <c r="M508" s="1161"/>
      <c r="N508" s="1162"/>
      <c r="O508" s="1162"/>
      <c r="P508" s="1162"/>
      <c r="Q508" s="1162"/>
      <c r="R508" s="1162"/>
      <c r="S508" s="1132"/>
    </row>
    <row r="509" spans="1:19">
      <c r="A509" s="470"/>
      <c r="B509" s="470"/>
      <c r="C509" s="470"/>
      <c r="D509" s="469"/>
      <c r="E509" s="470"/>
      <c r="F509" s="470"/>
      <c r="G509" s="470"/>
      <c r="H509" s="470"/>
      <c r="I509" s="469"/>
      <c r="J509" s="470"/>
      <c r="K509" s="470"/>
      <c r="L509" s="470"/>
      <c r="M509" s="1161"/>
      <c r="N509" s="1162"/>
      <c r="O509" s="1162"/>
      <c r="P509" s="1162"/>
      <c r="Q509" s="1162"/>
      <c r="R509" s="1162"/>
      <c r="S509" s="1132"/>
    </row>
    <row r="510" spans="1:19">
      <c r="A510" s="470"/>
      <c r="B510" s="470"/>
      <c r="C510" s="470"/>
      <c r="D510" s="469"/>
      <c r="E510" s="470"/>
      <c r="F510" s="470"/>
      <c r="G510" s="470"/>
      <c r="H510" s="470"/>
      <c r="I510" s="469"/>
      <c r="J510" s="470"/>
      <c r="K510" s="470"/>
      <c r="L510" s="470"/>
      <c r="M510" s="1161"/>
      <c r="N510" s="1162"/>
      <c r="O510" s="1162"/>
      <c r="P510" s="1162"/>
      <c r="Q510" s="1162"/>
      <c r="R510" s="1162"/>
      <c r="S510" s="1132"/>
    </row>
    <row r="511" spans="1:19">
      <c r="A511" s="470"/>
      <c r="B511" s="470"/>
      <c r="C511" s="470"/>
      <c r="D511" s="469"/>
      <c r="E511" s="470"/>
      <c r="F511" s="470"/>
      <c r="G511" s="470"/>
      <c r="H511" s="470"/>
      <c r="I511" s="469"/>
      <c r="J511" s="470"/>
      <c r="K511" s="470"/>
      <c r="L511" s="470"/>
      <c r="M511" s="1161"/>
      <c r="N511" s="1162"/>
      <c r="O511" s="1162"/>
      <c r="P511" s="1162"/>
      <c r="Q511" s="1162"/>
      <c r="R511" s="1162"/>
      <c r="S511" s="1132"/>
    </row>
    <row r="512" spans="1:19">
      <c r="A512" s="470"/>
      <c r="B512" s="470"/>
      <c r="C512" s="470"/>
      <c r="D512" s="469"/>
      <c r="E512" s="470"/>
      <c r="F512" s="470"/>
      <c r="G512" s="470"/>
      <c r="H512" s="470"/>
      <c r="I512" s="469"/>
      <c r="J512" s="470"/>
      <c r="K512" s="470"/>
      <c r="L512" s="470"/>
      <c r="M512" s="1161"/>
      <c r="N512" s="1162"/>
      <c r="O512" s="1162"/>
      <c r="P512" s="1162"/>
      <c r="Q512" s="1162"/>
      <c r="R512" s="1162"/>
      <c r="S512" s="1132"/>
    </row>
    <row r="513" spans="1:19">
      <c r="A513" s="470"/>
      <c r="B513" s="470"/>
      <c r="C513" s="470"/>
      <c r="D513" s="469"/>
      <c r="E513" s="470"/>
      <c r="F513" s="470"/>
      <c r="G513" s="470"/>
      <c r="H513" s="470"/>
      <c r="I513" s="469"/>
      <c r="J513" s="470"/>
      <c r="K513" s="470"/>
      <c r="L513" s="470"/>
      <c r="M513" s="1161"/>
      <c r="N513" s="1162"/>
      <c r="O513" s="1162"/>
      <c r="P513" s="1162"/>
      <c r="Q513" s="1162"/>
      <c r="R513" s="1162"/>
      <c r="S513" s="1132"/>
    </row>
    <row r="514" spans="1:19">
      <c r="A514" s="470"/>
      <c r="B514" s="470"/>
      <c r="C514" s="470"/>
      <c r="D514" s="469"/>
      <c r="E514" s="470"/>
      <c r="F514" s="470"/>
      <c r="G514" s="470"/>
      <c r="H514" s="470"/>
      <c r="I514" s="469"/>
      <c r="J514" s="470"/>
      <c r="K514" s="470"/>
      <c r="L514" s="470"/>
      <c r="M514" s="1161"/>
      <c r="N514" s="1162"/>
      <c r="O514" s="1162"/>
      <c r="P514" s="1162"/>
      <c r="Q514" s="1162"/>
      <c r="R514" s="1162"/>
      <c r="S514" s="1132"/>
    </row>
    <row r="515" spans="1:19">
      <c r="A515" s="470"/>
      <c r="B515" s="470"/>
      <c r="C515" s="470"/>
      <c r="D515" s="469"/>
      <c r="E515" s="470"/>
      <c r="F515" s="470"/>
      <c r="G515" s="470"/>
      <c r="H515" s="470"/>
      <c r="I515" s="469"/>
      <c r="J515" s="470"/>
      <c r="K515" s="470"/>
      <c r="L515" s="470"/>
      <c r="M515" s="1161"/>
      <c r="N515" s="1162"/>
      <c r="O515" s="1162"/>
      <c r="P515" s="1162"/>
      <c r="Q515" s="1162"/>
      <c r="R515" s="1162"/>
      <c r="S515" s="1132"/>
    </row>
    <row r="516" spans="1:19">
      <c r="A516" s="470"/>
      <c r="B516" s="470"/>
      <c r="C516" s="470"/>
      <c r="D516" s="469"/>
      <c r="E516" s="470"/>
      <c r="F516" s="470"/>
      <c r="G516" s="470"/>
      <c r="H516" s="470"/>
      <c r="I516" s="469"/>
      <c r="J516" s="470"/>
      <c r="K516" s="470"/>
      <c r="L516" s="470"/>
      <c r="M516" s="1161"/>
      <c r="N516" s="1162"/>
      <c r="O516" s="1162"/>
      <c r="P516" s="1162"/>
      <c r="Q516" s="1162"/>
      <c r="R516" s="1162"/>
      <c r="S516" s="1132"/>
    </row>
    <row r="517" spans="1:19">
      <c r="A517" s="470"/>
      <c r="B517" s="470"/>
      <c r="C517" s="470"/>
      <c r="D517" s="469"/>
      <c r="E517" s="470"/>
      <c r="F517" s="470"/>
      <c r="G517" s="470"/>
      <c r="H517" s="470"/>
      <c r="I517" s="469"/>
      <c r="J517" s="470"/>
      <c r="K517" s="470"/>
      <c r="L517" s="470"/>
      <c r="M517" s="1161"/>
      <c r="N517" s="1162"/>
      <c r="O517" s="1162"/>
      <c r="P517" s="1162"/>
      <c r="Q517" s="1162"/>
      <c r="R517" s="1162"/>
      <c r="S517" s="1132"/>
    </row>
    <row r="518" spans="1:19">
      <c r="A518" s="470"/>
      <c r="B518" s="470"/>
      <c r="C518" s="470"/>
      <c r="D518" s="469"/>
      <c r="E518" s="470"/>
      <c r="F518" s="470"/>
      <c r="G518" s="470"/>
      <c r="H518" s="470"/>
      <c r="I518" s="469"/>
      <c r="J518" s="470"/>
      <c r="K518" s="470"/>
      <c r="L518" s="470"/>
      <c r="M518" s="1161"/>
      <c r="N518" s="1162"/>
      <c r="O518" s="1162"/>
      <c r="P518" s="1162"/>
      <c r="Q518" s="1162"/>
      <c r="R518" s="1162"/>
      <c r="S518" s="1132"/>
    </row>
    <row r="519" spans="1:19">
      <c r="A519" s="470"/>
      <c r="B519" s="470"/>
      <c r="C519" s="470"/>
      <c r="D519" s="469"/>
      <c r="E519" s="470"/>
      <c r="F519" s="470"/>
      <c r="G519" s="470"/>
      <c r="H519" s="470"/>
      <c r="I519" s="469"/>
      <c r="J519" s="470"/>
      <c r="K519" s="470"/>
      <c r="L519" s="470"/>
      <c r="M519" s="1161"/>
      <c r="N519" s="1162"/>
      <c r="O519" s="1162"/>
      <c r="P519" s="1162"/>
      <c r="Q519" s="1162"/>
      <c r="R519" s="1162"/>
      <c r="S519" s="1132"/>
    </row>
    <row r="520" spans="1:19">
      <c r="A520" s="470"/>
      <c r="B520" s="470"/>
      <c r="C520" s="470"/>
      <c r="D520" s="469"/>
      <c r="E520" s="470"/>
      <c r="F520" s="470"/>
      <c r="G520" s="470"/>
      <c r="H520" s="470"/>
      <c r="I520" s="469"/>
      <c r="J520" s="470"/>
      <c r="K520" s="470"/>
      <c r="L520" s="470"/>
      <c r="M520" s="1161"/>
      <c r="N520" s="1162"/>
      <c r="O520" s="1162"/>
      <c r="P520" s="1162"/>
      <c r="Q520" s="1162"/>
      <c r="R520" s="1162"/>
      <c r="S520" s="1132"/>
    </row>
    <row r="521" spans="1:19">
      <c r="A521" s="470"/>
      <c r="B521" s="470"/>
      <c r="C521" s="470"/>
      <c r="D521" s="469"/>
      <c r="E521" s="470"/>
      <c r="F521" s="470"/>
      <c r="G521" s="470"/>
      <c r="H521" s="470"/>
      <c r="I521" s="469"/>
      <c r="J521" s="470"/>
      <c r="K521" s="470"/>
      <c r="L521" s="470"/>
      <c r="M521" s="1161"/>
      <c r="N521" s="1162"/>
      <c r="O521" s="1162"/>
      <c r="P521" s="1162"/>
      <c r="Q521" s="1162"/>
      <c r="R521" s="1162"/>
      <c r="S521" s="1132"/>
    </row>
    <row r="522" spans="1:19">
      <c r="A522" s="470"/>
      <c r="B522" s="470"/>
      <c r="C522" s="470"/>
      <c r="D522" s="469"/>
      <c r="E522" s="470"/>
      <c r="F522" s="470"/>
      <c r="G522" s="470"/>
      <c r="H522" s="470"/>
      <c r="I522" s="469"/>
      <c r="J522" s="470"/>
      <c r="K522" s="470"/>
      <c r="L522" s="470"/>
      <c r="M522" s="1161"/>
      <c r="N522" s="1162"/>
      <c r="O522" s="1162"/>
      <c r="P522" s="1162"/>
      <c r="Q522" s="1162"/>
      <c r="R522" s="1162"/>
      <c r="S522" s="1132"/>
    </row>
    <row r="523" spans="1:19">
      <c r="A523" s="470"/>
      <c r="B523" s="470"/>
      <c r="C523" s="470"/>
      <c r="D523" s="469"/>
      <c r="E523" s="470"/>
      <c r="F523" s="470"/>
      <c r="G523" s="470"/>
      <c r="H523" s="470"/>
      <c r="I523" s="469"/>
      <c r="J523" s="470"/>
      <c r="K523" s="470"/>
      <c r="L523" s="470"/>
      <c r="M523" s="1161"/>
      <c r="N523" s="1162"/>
      <c r="O523" s="1162"/>
      <c r="P523" s="1162"/>
      <c r="Q523" s="1162"/>
      <c r="R523" s="1162"/>
      <c r="S523" s="1132"/>
    </row>
    <row r="524" spans="1:19">
      <c r="A524" s="1163"/>
      <c r="B524" s="1164"/>
      <c r="C524" s="769"/>
      <c r="D524" s="1163"/>
      <c r="E524" s="469"/>
      <c r="F524" s="470"/>
      <c r="G524" s="470"/>
      <c r="H524" s="470"/>
      <c r="I524" s="470"/>
      <c r="J524" s="469"/>
      <c r="K524" s="470"/>
      <c r="L524" s="470"/>
      <c r="M524" s="470"/>
      <c r="N524" s="470"/>
      <c r="O524" s="469"/>
      <c r="P524" s="470"/>
      <c r="Q524" s="470"/>
      <c r="R524" s="470"/>
      <c r="S524" s="1132"/>
    </row>
    <row r="525" spans="1:19">
      <c r="A525" s="1163"/>
      <c r="B525" s="1164"/>
      <c r="C525" s="769"/>
      <c r="D525" s="1163"/>
      <c r="E525" s="469"/>
      <c r="F525" s="470"/>
      <c r="G525" s="470"/>
      <c r="H525" s="470"/>
      <c r="I525" s="470"/>
      <c r="J525" s="469"/>
      <c r="K525" s="470"/>
      <c r="L525" s="470"/>
      <c r="M525" s="470"/>
      <c r="N525" s="470"/>
      <c r="O525" s="469"/>
      <c r="P525" s="470"/>
      <c r="Q525" s="470"/>
      <c r="R525" s="470"/>
      <c r="S525" s="1132"/>
    </row>
    <row r="526" spans="1:19">
      <c r="A526" s="1163"/>
      <c r="B526" s="1164"/>
      <c r="C526" s="769"/>
      <c r="D526" s="1163"/>
      <c r="E526" s="469"/>
      <c r="F526" s="470"/>
      <c r="G526" s="470"/>
      <c r="H526" s="470"/>
      <c r="I526" s="470"/>
      <c r="J526" s="469"/>
      <c r="K526" s="470"/>
      <c r="L526" s="470"/>
      <c r="M526" s="470"/>
      <c r="N526" s="470"/>
      <c r="O526" s="469"/>
      <c r="P526" s="470"/>
      <c r="Q526" s="470"/>
      <c r="R526" s="470"/>
      <c r="S526" s="1132"/>
    </row>
    <row r="527" spans="1:19">
      <c r="A527" s="1163"/>
      <c r="B527" s="1164"/>
      <c r="C527" s="769"/>
      <c r="D527" s="1163"/>
      <c r="E527" s="469"/>
      <c r="F527" s="470"/>
      <c r="G527" s="470"/>
      <c r="H527" s="470"/>
      <c r="I527" s="470"/>
      <c r="J527" s="469"/>
      <c r="K527" s="470"/>
      <c r="L527" s="470"/>
      <c r="M527" s="470"/>
      <c r="N527" s="470"/>
      <c r="O527" s="469"/>
      <c r="P527" s="470"/>
      <c r="Q527" s="470"/>
      <c r="R527" s="470"/>
      <c r="S527" s="1132"/>
    </row>
    <row r="528" spans="1:19">
      <c r="A528" s="1163"/>
      <c r="B528" s="1164"/>
      <c r="C528" s="769"/>
      <c r="D528" s="1163"/>
      <c r="E528" s="469"/>
      <c r="F528" s="470"/>
      <c r="G528" s="470"/>
      <c r="H528" s="470"/>
      <c r="I528" s="470"/>
      <c r="J528" s="469"/>
      <c r="K528" s="470"/>
      <c r="L528" s="470"/>
      <c r="M528" s="470"/>
      <c r="N528" s="470"/>
      <c r="O528" s="469"/>
      <c r="P528" s="470"/>
      <c r="Q528" s="470"/>
      <c r="R528" s="470"/>
      <c r="S528" s="1132"/>
    </row>
    <row r="529" spans="1:19">
      <c r="A529" s="1163"/>
      <c r="B529" s="1164"/>
      <c r="C529" s="769"/>
      <c r="D529" s="1163"/>
      <c r="E529" s="469"/>
      <c r="F529" s="470"/>
      <c r="G529" s="470"/>
      <c r="H529" s="470"/>
      <c r="I529" s="470"/>
      <c r="J529" s="469"/>
      <c r="K529" s="470"/>
      <c r="L529" s="470"/>
      <c r="M529" s="470"/>
      <c r="N529" s="470"/>
      <c r="O529" s="469"/>
      <c r="P529" s="470"/>
      <c r="Q529" s="470"/>
      <c r="R529" s="470"/>
      <c r="S529" s="1132"/>
    </row>
    <row r="530" spans="1:19">
      <c r="A530" s="1163"/>
      <c r="B530" s="1164"/>
      <c r="C530" s="769"/>
      <c r="D530" s="1163"/>
      <c r="E530" s="469"/>
      <c r="F530" s="470"/>
      <c r="G530" s="470"/>
      <c r="H530" s="470"/>
      <c r="I530" s="470"/>
      <c r="J530" s="469"/>
      <c r="K530" s="470"/>
      <c r="L530" s="470"/>
      <c r="M530" s="470"/>
      <c r="N530" s="470"/>
      <c r="O530" s="469"/>
      <c r="P530" s="470"/>
      <c r="Q530" s="470"/>
      <c r="R530" s="470"/>
      <c r="S530" s="1132"/>
    </row>
    <row r="531" spans="1:19">
      <c r="A531" s="1163"/>
      <c r="B531" s="1164"/>
      <c r="C531" s="769"/>
      <c r="D531" s="1163"/>
      <c r="E531" s="469"/>
      <c r="F531" s="470"/>
      <c r="G531" s="470"/>
      <c r="H531" s="470"/>
      <c r="I531" s="470"/>
      <c r="J531" s="469"/>
      <c r="K531" s="470"/>
      <c r="L531" s="470"/>
      <c r="M531" s="470"/>
      <c r="N531" s="470"/>
      <c r="O531" s="469"/>
      <c r="P531" s="470"/>
      <c r="Q531" s="470"/>
      <c r="R531" s="470"/>
      <c r="S531" s="1132"/>
    </row>
    <row r="532" spans="1:19">
      <c r="A532" s="1163"/>
      <c r="B532" s="1164"/>
      <c r="C532" s="769"/>
      <c r="D532" s="1163"/>
      <c r="E532" s="469"/>
      <c r="F532" s="470"/>
      <c r="G532" s="470"/>
      <c r="H532" s="470"/>
      <c r="I532" s="470"/>
      <c r="J532" s="469"/>
      <c r="K532" s="470"/>
      <c r="L532" s="470"/>
      <c r="M532" s="470"/>
      <c r="N532" s="470"/>
      <c r="O532" s="469"/>
      <c r="P532" s="470"/>
      <c r="Q532" s="470"/>
      <c r="R532" s="470"/>
      <c r="S532" s="1132"/>
    </row>
    <row r="533" spans="1:19">
      <c r="A533" s="1163"/>
      <c r="B533" s="1164"/>
      <c r="C533" s="769"/>
      <c r="D533" s="1163"/>
      <c r="E533" s="469"/>
      <c r="F533" s="470"/>
      <c r="G533" s="470"/>
      <c r="H533" s="470"/>
      <c r="I533" s="470"/>
      <c r="J533" s="469"/>
      <c r="K533" s="470"/>
      <c r="L533" s="470"/>
      <c r="M533" s="470"/>
      <c r="N533" s="470"/>
      <c r="O533" s="469"/>
      <c r="P533" s="470"/>
      <c r="Q533" s="470"/>
      <c r="R533" s="470"/>
      <c r="S533" s="1132"/>
    </row>
    <row r="534" spans="1:19">
      <c r="A534" s="1163"/>
      <c r="B534" s="1164"/>
      <c r="C534" s="769"/>
      <c r="D534" s="1163"/>
      <c r="E534" s="469"/>
      <c r="F534" s="470"/>
      <c r="G534" s="470"/>
      <c r="H534" s="470"/>
      <c r="I534" s="470"/>
      <c r="J534" s="469"/>
      <c r="K534" s="470"/>
      <c r="L534" s="470"/>
      <c r="M534" s="470"/>
      <c r="N534" s="470"/>
      <c r="O534" s="469"/>
      <c r="P534" s="470"/>
      <c r="Q534" s="470"/>
      <c r="R534" s="470"/>
      <c r="S534" s="1132"/>
    </row>
    <row r="535" spans="1:19">
      <c r="A535" s="1163"/>
      <c r="B535" s="1164"/>
      <c r="C535" s="769"/>
      <c r="D535" s="1163"/>
      <c r="E535" s="469"/>
      <c r="F535" s="470"/>
      <c r="G535" s="470"/>
      <c r="H535" s="470"/>
      <c r="I535" s="470"/>
      <c r="J535" s="469"/>
      <c r="K535" s="470"/>
      <c r="L535" s="470"/>
      <c r="M535" s="470"/>
      <c r="N535" s="470"/>
      <c r="O535" s="469"/>
      <c r="P535" s="470"/>
      <c r="Q535" s="470"/>
      <c r="R535" s="470"/>
      <c r="S535" s="1132"/>
    </row>
    <row r="536" spans="1:19">
      <c r="A536" s="1163"/>
      <c r="B536" s="1164"/>
      <c r="C536" s="769"/>
      <c r="D536" s="1163"/>
      <c r="E536" s="469"/>
      <c r="F536" s="470"/>
      <c r="G536" s="470"/>
      <c r="H536" s="470"/>
      <c r="I536" s="470"/>
      <c r="J536" s="469"/>
      <c r="K536" s="470"/>
      <c r="L536" s="470"/>
      <c r="M536" s="470"/>
      <c r="N536" s="470"/>
      <c r="O536" s="469"/>
      <c r="P536" s="470"/>
      <c r="Q536" s="470"/>
      <c r="R536" s="470"/>
      <c r="S536" s="1132"/>
    </row>
    <row r="537" spans="1:19">
      <c r="A537" s="1163"/>
      <c r="B537" s="1164"/>
      <c r="C537" s="769"/>
      <c r="D537" s="1163"/>
      <c r="E537" s="469"/>
      <c r="F537" s="470"/>
      <c r="G537" s="470"/>
      <c r="H537" s="470"/>
      <c r="I537" s="470"/>
      <c r="J537" s="469"/>
      <c r="K537" s="470"/>
      <c r="L537" s="470"/>
      <c r="M537" s="470"/>
      <c r="N537" s="470"/>
      <c r="O537" s="469"/>
      <c r="P537" s="470"/>
      <c r="Q537" s="470"/>
      <c r="R537" s="470"/>
      <c r="S537" s="1132"/>
    </row>
    <row r="538" spans="1:19">
      <c r="A538" s="1163"/>
      <c r="B538" s="1164"/>
      <c r="C538" s="769"/>
      <c r="D538" s="1163"/>
      <c r="E538" s="469"/>
      <c r="F538" s="470"/>
      <c r="G538" s="470"/>
      <c r="H538" s="470"/>
      <c r="I538" s="470"/>
      <c r="J538" s="469"/>
      <c r="K538" s="470"/>
      <c r="L538" s="470"/>
      <c r="M538" s="470"/>
      <c r="N538" s="470"/>
      <c r="O538" s="469"/>
      <c r="P538" s="470"/>
      <c r="Q538" s="470"/>
      <c r="R538" s="470"/>
      <c r="S538" s="1132"/>
    </row>
    <row r="539" spans="1:19">
      <c r="A539" s="1163"/>
      <c r="B539" s="1164"/>
      <c r="C539" s="769"/>
      <c r="D539" s="1163"/>
      <c r="E539" s="469"/>
      <c r="F539" s="470"/>
      <c r="G539" s="470"/>
      <c r="H539" s="470"/>
      <c r="I539" s="470"/>
      <c r="J539" s="469"/>
      <c r="K539" s="470"/>
      <c r="L539" s="470"/>
      <c r="M539" s="470"/>
      <c r="N539" s="470"/>
      <c r="O539" s="469"/>
      <c r="P539" s="470"/>
      <c r="Q539" s="470"/>
      <c r="R539" s="470"/>
      <c r="S539" s="1132"/>
    </row>
    <row r="540" spans="1:19">
      <c r="A540" s="1163"/>
      <c r="B540" s="1164"/>
      <c r="C540" s="769"/>
      <c r="D540" s="1163"/>
      <c r="E540" s="469"/>
      <c r="F540" s="470"/>
      <c r="G540" s="470"/>
      <c r="H540" s="470"/>
      <c r="I540" s="470"/>
      <c r="J540" s="469"/>
      <c r="K540" s="470"/>
      <c r="L540" s="470"/>
      <c r="M540" s="470"/>
      <c r="N540" s="470"/>
      <c r="O540" s="469"/>
      <c r="P540" s="470"/>
      <c r="Q540" s="470"/>
      <c r="R540" s="470"/>
      <c r="S540" s="1132"/>
    </row>
    <row r="541" spans="1:19">
      <c r="A541" s="1163"/>
      <c r="B541" s="1164"/>
      <c r="C541" s="769"/>
      <c r="D541" s="1163"/>
      <c r="E541" s="469"/>
      <c r="F541" s="470"/>
      <c r="G541" s="470"/>
      <c r="H541" s="470"/>
      <c r="I541" s="470"/>
      <c r="J541" s="469"/>
      <c r="K541" s="470"/>
      <c r="L541" s="470"/>
      <c r="M541" s="470"/>
      <c r="N541" s="470"/>
      <c r="O541" s="469"/>
      <c r="P541" s="470"/>
      <c r="Q541" s="470"/>
      <c r="R541" s="470"/>
      <c r="S541" s="1132"/>
    </row>
    <row r="542" spans="1:19">
      <c r="A542" s="1163"/>
      <c r="B542" s="1164"/>
      <c r="C542" s="769"/>
      <c r="D542" s="1163"/>
      <c r="E542" s="469"/>
      <c r="F542" s="470"/>
      <c r="G542" s="470"/>
      <c r="H542" s="470"/>
      <c r="I542" s="470"/>
      <c r="J542" s="469"/>
      <c r="K542" s="470"/>
      <c r="L542" s="470"/>
      <c r="M542" s="470"/>
      <c r="N542" s="470"/>
      <c r="O542" s="469"/>
      <c r="P542" s="470"/>
      <c r="Q542" s="470"/>
      <c r="R542" s="470"/>
      <c r="S542" s="1132"/>
    </row>
    <row r="543" spans="1:19">
      <c r="A543" s="1163"/>
      <c r="B543" s="1164"/>
      <c r="C543" s="769"/>
      <c r="D543" s="1163"/>
      <c r="E543" s="469"/>
      <c r="F543" s="470"/>
      <c r="G543" s="470"/>
      <c r="H543" s="470"/>
      <c r="I543" s="470"/>
      <c r="J543" s="469"/>
      <c r="K543" s="470"/>
      <c r="L543" s="470"/>
      <c r="M543" s="470"/>
      <c r="N543" s="470"/>
      <c r="O543" s="469"/>
      <c r="P543" s="470"/>
      <c r="Q543" s="470"/>
      <c r="R543" s="470"/>
      <c r="S543" s="1132"/>
    </row>
    <row r="544" spans="1:19">
      <c r="A544" s="1163"/>
      <c r="B544" s="1164"/>
      <c r="C544" s="769"/>
      <c r="D544" s="1163"/>
      <c r="E544" s="469"/>
      <c r="F544" s="470"/>
      <c r="G544" s="470"/>
      <c r="H544" s="470"/>
      <c r="I544" s="470"/>
      <c r="J544" s="469"/>
      <c r="K544" s="470"/>
      <c r="L544" s="470"/>
      <c r="M544" s="470"/>
      <c r="N544" s="470"/>
      <c r="O544" s="469"/>
      <c r="P544" s="470"/>
      <c r="Q544" s="470"/>
      <c r="R544" s="470"/>
      <c r="S544" s="1132"/>
    </row>
    <row r="545" spans="1:19">
      <c r="A545" s="1163"/>
      <c r="B545" s="1164"/>
      <c r="C545" s="769"/>
      <c r="D545" s="1163"/>
      <c r="E545" s="469"/>
      <c r="F545" s="470"/>
      <c r="G545" s="470"/>
      <c r="H545" s="470"/>
      <c r="I545" s="470"/>
      <c r="J545" s="469"/>
      <c r="K545" s="470"/>
      <c r="L545" s="470"/>
      <c r="M545" s="470"/>
      <c r="N545" s="470"/>
      <c r="O545" s="469"/>
      <c r="P545" s="470"/>
      <c r="Q545" s="470"/>
      <c r="R545" s="470"/>
      <c r="S545" s="1132"/>
    </row>
    <row r="546" spans="1:19">
      <c r="A546" s="1163"/>
      <c r="B546" s="1164"/>
      <c r="C546" s="769"/>
      <c r="D546" s="1163"/>
      <c r="E546" s="469"/>
      <c r="F546" s="470"/>
      <c r="G546" s="470"/>
      <c r="H546" s="470"/>
      <c r="I546" s="470"/>
      <c r="J546" s="469"/>
      <c r="K546" s="470"/>
      <c r="L546" s="470"/>
      <c r="M546" s="470"/>
      <c r="N546" s="470"/>
      <c r="O546" s="469"/>
      <c r="P546" s="470"/>
      <c r="Q546" s="470"/>
      <c r="R546" s="470"/>
      <c r="S546" s="1132"/>
    </row>
    <row r="547" spans="1:19">
      <c r="A547" s="1163"/>
      <c r="B547" s="1164"/>
      <c r="C547" s="769"/>
      <c r="D547" s="1163"/>
      <c r="E547" s="469"/>
      <c r="F547" s="470"/>
      <c r="G547" s="470"/>
      <c r="H547" s="470"/>
      <c r="I547" s="470"/>
      <c r="J547" s="469"/>
      <c r="K547" s="470"/>
      <c r="L547" s="470"/>
      <c r="M547" s="470"/>
      <c r="N547" s="470"/>
      <c r="O547" s="469"/>
      <c r="P547" s="470"/>
      <c r="Q547" s="470"/>
      <c r="R547" s="470"/>
      <c r="S547" s="1132"/>
    </row>
    <row r="548" spans="1:19">
      <c r="A548" s="1163"/>
      <c r="B548" s="1164"/>
      <c r="C548" s="769"/>
      <c r="D548" s="1163"/>
      <c r="E548" s="469"/>
      <c r="F548" s="470"/>
      <c r="G548" s="470"/>
      <c r="H548" s="470"/>
      <c r="I548" s="470"/>
      <c r="J548" s="469"/>
      <c r="K548" s="470"/>
      <c r="L548" s="470"/>
      <c r="M548" s="470"/>
      <c r="N548" s="470"/>
      <c r="O548" s="469"/>
      <c r="P548" s="470"/>
      <c r="Q548" s="470"/>
      <c r="R548" s="470"/>
      <c r="S548" s="1132"/>
    </row>
    <row r="549" spans="1:19">
      <c r="A549" s="1163"/>
      <c r="B549" s="1164"/>
      <c r="C549" s="769"/>
      <c r="D549" s="1163"/>
      <c r="E549" s="469"/>
      <c r="F549" s="470"/>
      <c r="G549" s="470"/>
      <c r="H549" s="470"/>
      <c r="I549" s="470"/>
      <c r="J549" s="469"/>
      <c r="K549" s="470"/>
      <c r="L549" s="470"/>
      <c r="M549" s="470"/>
      <c r="N549" s="470"/>
      <c r="O549" s="469"/>
      <c r="P549" s="470"/>
      <c r="Q549" s="470"/>
      <c r="R549" s="470"/>
      <c r="S549" s="1132"/>
    </row>
    <row r="550" spans="1:19">
      <c r="A550" s="1163"/>
      <c r="B550" s="1164"/>
      <c r="C550" s="769"/>
      <c r="D550" s="1163"/>
      <c r="E550" s="469"/>
      <c r="F550" s="470"/>
      <c r="G550" s="470"/>
      <c r="H550" s="470"/>
      <c r="I550" s="470"/>
      <c r="J550" s="469"/>
      <c r="K550" s="470"/>
      <c r="L550" s="470"/>
      <c r="M550" s="470"/>
      <c r="N550" s="470"/>
      <c r="O550" s="469"/>
      <c r="P550" s="470"/>
      <c r="Q550" s="470"/>
      <c r="R550" s="470"/>
      <c r="S550" s="1132"/>
    </row>
    <row r="551" spans="1:19">
      <c r="A551" s="1163"/>
      <c r="B551" s="1164"/>
      <c r="C551" s="769"/>
      <c r="D551" s="1163"/>
      <c r="E551" s="469"/>
      <c r="F551" s="470"/>
      <c r="G551" s="470"/>
      <c r="H551" s="470"/>
      <c r="I551" s="470"/>
      <c r="J551" s="469"/>
      <c r="K551" s="470"/>
      <c r="L551" s="470"/>
      <c r="M551" s="470"/>
      <c r="N551" s="470"/>
      <c r="O551" s="469"/>
      <c r="P551" s="470"/>
      <c r="Q551" s="470"/>
      <c r="R551" s="470"/>
      <c r="S551" s="1132"/>
    </row>
    <row r="552" spans="1:19">
      <c r="A552" s="1163"/>
      <c r="B552" s="1164"/>
      <c r="C552" s="769"/>
      <c r="D552" s="1163"/>
      <c r="E552" s="469"/>
      <c r="F552" s="470"/>
      <c r="G552" s="470"/>
      <c r="H552" s="470"/>
      <c r="I552" s="470"/>
      <c r="J552" s="469"/>
      <c r="K552" s="470"/>
      <c r="L552" s="470"/>
      <c r="M552" s="470"/>
      <c r="N552" s="470"/>
      <c r="O552" s="469"/>
      <c r="P552" s="470"/>
      <c r="Q552" s="470"/>
      <c r="R552" s="470"/>
      <c r="S552" s="1132"/>
    </row>
    <row r="553" spans="1:19">
      <c r="A553" s="1163"/>
      <c r="B553" s="1164"/>
      <c r="C553" s="769"/>
      <c r="D553" s="1163"/>
      <c r="E553" s="469"/>
      <c r="F553" s="470"/>
      <c r="G553" s="470"/>
      <c r="H553" s="470"/>
      <c r="I553" s="470"/>
      <c r="J553" s="469"/>
      <c r="K553" s="470"/>
      <c r="L553" s="470"/>
      <c r="M553" s="470"/>
      <c r="N553" s="470"/>
      <c r="O553" s="469"/>
      <c r="P553" s="470"/>
      <c r="Q553" s="470"/>
      <c r="R553" s="470"/>
      <c r="S553" s="1132"/>
    </row>
    <row r="554" spans="1:19">
      <c r="A554" s="1163"/>
      <c r="B554" s="1164"/>
      <c r="C554" s="769"/>
      <c r="D554" s="1163"/>
      <c r="E554" s="469"/>
      <c r="F554" s="470"/>
      <c r="G554" s="470"/>
      <c r="H554" s="470"/>
      <c r="I554" s="470"/>
      <c r="J554" s="469"/>
      <c r="K554" s="470"/>
      <c r="L554" s="470"/>
      <c r="M554" s="470"/>
      <c r="N554" s="470"/>
      <c r="O554" s="469"/>
      <c r="P554" s="470"/>
      <c r="Q554" s="470"/>
      <c r="R554" s="470"/>
      <c r="S554" s="1132"/>
    </row>
    <row r="555" spans="1:19">
      <c r="A555" s="1163"/>
      <c r="B555" s="1164"/>
      <c r="C555" s="769"/>
      <c r="D555" s="1163"/>
      <c r="E555" s="469"/>
      <c r="F555" s="470"/>
      <c r="G555" s="470"/>
      <c r="H555" s="470"/>
      <c r="I555" s="470"/>
      <c r="J555" s="469"/>
      <c r="K555" s="470"/>
      <c r="L555" s="470"/>
      <c r="M555" s="470"/>
      <c r="N555" s="470"/>
      <c r="O555" s="469"/>
      <c r="P555" s="470"/>
      <c r="Q555" s="470"/>
      <c r="R555" s="470"/>
      <c r="S555" s="1132"/>
    </row>
    <row r="556" spans="1:19">
      <c r="A556" s="1163"/>
      <c r="B556" s="1164"/>
      <c r="C556" s="769"/>
      <c r="D556" s="1163"/>
      <c r="E556" s="469"/>
      <c r="F556" s="470"/>
      <c r="G556" s="470"/>
      <c r="H556" s="470"/>
      <c r="I556" s="470"/>
      <c r="J556" s="469"/>
      <c r="K556" s="470"/>
      <c r="L556" s="470"/>
      <c r="M556" s="470"/>
      <c r="N556" s="470"/>
      <c r="O556" s="469"/>
      <c r="P556" s="470"/>
      <c r="Q556" s="470"/>
      <c r="R556" s="470"/>
      <c r="S556" s="1132"/>
    </row>
    <row r="557" spans="1:19">
      <c r="A557" s="1163"/>
      <c r="B557" s="1164"/>
      <c r="C557" s="769"/>
      <c r="D557" s="1163"/>
      <c r="E557" s="469"/>
      <c r="F557" s="470"/>
      <c r="G557" s="470"/>
      <c r="H557" s="470"/>
      <c r="I557" s="470"/>
      <c r="J557" s="469"/>
      <c r="K557" s="470"/>
      <c r="L557" s="470"/>
      <c r="M557" s="470"/>
      <c r="N557" s="470"/>
      <c r="O557" s="469"/>
      <c r="P557" s="470"/>
      <c r="Q557" s="470"/>
      <c r="R557" s="470"/>
      <c r="S557" s="1132"/>
    </row>
    <row r="558" spans="1:19">
      <c r="A558" s="1163"/>
      <c r="B558" s="1164"/>
      <c r="C558" s="769"/>
      <c r="D558" s="1163"/>
      <c r="E558" s="469"/>
      <c r="F558" s="470"/>
      <c r="G558" s="470"/>
      <c r="H558" s="470"/>
      <c r="I558" s="470"/>
      <c r="J558" s="469"/>
      <c r="K558" s="470"/>
      <c r="L558" s="470"/>
      <c r="M558" s="470"/>
      <c r="N558" s="470"/>
      <c r="O558" s="469"/>
      <c r="P558" s="470"/>
      <c r="Q558" s="470"/>
      <c r="R558" s="470"/>
      <c r="S558" s="1132"/>
    </row>
    <row r="559" spans="1:19">
      <c r="A559" s="1163"/>
      <c r="B559" s="1164"/>
      <c r="C559" s="769"/>
      <c r="D559" s="1163"/>
      <c r="E559" s="469"/>
      <c r="F559" s="470"/>
      <c r="G559" s="470"/>
      <c r="H559" s="470"/>
      <c r="I559" s="470"/>
      <c r="J559" s="469"/>
      <c r="K559" s="470"/>
      <c r="L559" s="470"/>
      <c r="M559" s="470"/>
      <c r="N559" s="470"/>
      <c r="O559" s="469"/>
      <c r="P559" s="470"/>
      <c r="Q559" s="470"/>
      <c r="R559" s="470"/>
      <c r="S559" s="1132"/>
    </row>
    <row r="560" spans="1:19">
      <c r="A560" s="1163"/>
      <c r="B560" s="1164"/>
      <c r="C560" s="769"/>
      <c r="D560" s="1163"/>
      <c r="E560" s="469"/>
      <c r="F560" s="470"/>
      <c r="G560" s="470"/>
      <c r="H560" s="470"/>
      <c r="I560" s="470"/>
      <c r="J560" s="469"/>
      <c r="K560" s="470"/>
      <c r="L560" s="470"/>
      <c r="M560" s="470"/>
      <c r="N560" s="470"/>
      <c r="O560" s="469"/>
      <c r="P560" s="470"/>
      <c r="Q560" s="470"/>
      <c r="R560" s="470"/>
      <c r="S560" s="1132"/>
    </row>
    <row r="561" spans="1:19">
      <c r="A561" s="1163"/>
      <c r="B561" s="1164"/>
      <c r="C561" s="769"/>
      <c r="D561" s="1163"/>
      <c r="E561" s="469"/>
      <c r="F561" s="470"/>
      <c r="G561" s="470"/>
      <c r="H561" s="470"/>
      <c r="I561" s="470"/>
      <c r="J561" s="469"/>
      <c r="K561" s="470"/>
      <c r="L561" s="470"/>
      <c r="M561" s="470"/>
      <c r="N561" s="470"/>
      <c r="O561" s="469"/>
      <c r="P561" s="470"/>
      <c r="Q561" s="470"/>
      <c r="R561" s="470"/>
      <c r="S561" s="1132"/>
    </row>
    <row r="562" spans="1:19">
      <c r="A562" s="1163"/>
      <c r="B562" s="1164"/>
      <c r="C562" s="769"/>
      <c r="D562" s="1163"/>
      <c r="E562" s="469"/>
      <c r="F562" s="470"/>
      <c r="G562" s="470"/>
      <c r="H562" s="470"/>
      <c r="I562" s="470"/>
      <c r="J562" s="469"/>
      <c r="K562" s="470"/>
      <c r="L562" s="470"/>
      <c r="M562" s="470"/>
      <c r="N562" s="470"/>
      <c r="O562" s="469"/>
      <c r="P562" s="470"/>
      <c r="Q562" s="470"/>
      <c r="R562" s="470"/>
      <c r="S562" s="1132"/>
    </row>
    <row r="563" spans="1:19">
      <c r="A563" s="1163"/>
      <c r="B563" s="1164"/>
      <c r="C563" s="769"/>
      <c r="D563" s="1163"/>
      <c r="E563" s="469"/>
      <c r="F563" s="470"/>
      <c r="G563" s="470"/>
      <c r="H563" s="470"/>
      <c r="I563" s="470"/>
      <c r="J563" s="469"/>
      <c r="K563" s="470"/>
      <c r="L563" s="470"/>
      <c r="M563" s="470"/>
      <c r="N563" s="470"/>
      <c r="O563" s="469"/>
      <c r="P563" s="470"/>
      <c r="Q563" s="470"/>
      <c r="R563" s="470"/>
      <c r="S563" s="1132"/>
    </row>
    <row r="564" spans="1:19">
      <c r="A564" s="1163"/>
      <c r="B564" s="1164"/>
      <c r="C564" s="769"/>
      <c r="D564" s="1163"/>
      <c r="E564" s="469"/>
      <c r="F564" s="470"/>
      <c r="G564" s="470"/>
      <c r="H564" s="470"/>
      <c r="I564" s="470"/>
      <c r="J564" s="469"/>
      <c r="K564" s="470"/>
      <c r="L564" s="470"/>
      <c r="M564" s="470"/>
      <c r="N564" s="470"/>
      <c r="O564" s="469"/>
      <c r="P564" s="470"/>
      <c r="Q564" s="470"/>
      <c r="R564" s="470"/>
      <c r="S564" s="1132"/>
    </row>
    <row r="565" spans="1:19">
      <c r="A565" s="1163"/>
      <c r="B565" s="1164"/>
      <c r="C565" s="769"/>
      <c r="D565" s="1163"/>
      <c r="E565" s="469"/>
      <c r="F565" s="470"/>
      <c r="G565" s="470"/>
      <c r="H565" s="470"/>
      <c r="I565" s="470"/>
      <c r="J565" s="469"/>
      <c r="K565" s="470"/>
      <c r="L565" s="470"/>
      <c r="M565" s="470"/>
      <c r="N565" s="470"/>
      <c r="O565" s="469"/>
      <c r="P565" s="470"/>
      <c r="Q565" s="470"/>
      <c r="R565" s="470"/>
      <c r="S565" s="1132"/>
    </row>
    <row r="566" spans="1:19">
      <c r="A566" s="1163"/>
      <c r="B566" s="1164"/>
      <c r="C566" s="769"/>
      <c r="D566" s="1163"/>
      <c r="E566" s="469"/>
      <c r="F566" s="470"/>
      <c r="G566" s="470"/>
      <c r="H566" s="470"/>
      <c r="I566" s="470"/>
      <c r="J566" s="469"/>
      <c r="K566" s="470"/>
      <c r="L566" s="470"/>
      <c r="M566" s="470"/>
      <c r="N566" s="470"/>
      <c r="O566" s="469"/>
      <c r="P566" s="470"/>
      <c r="Q566" s="470"/>
      <c r="R566" s="470"/>
      <c r="S566" s="1132"/>
    </row>
    <row r="567" spans="1:19">
      <c r="A567" s="1163"/>
      <c r="B567" s="1164"/>
      <c r="C567" s="769"/>
      <c r="D567" s="1163"/>
      <c r="E567" s="469"/>
      <c r="F567" s="470"/>
      <c r="G567" s="470"/>
      <c r="H567" s="470"/>
      <c r="I567" s="470"/>
      <c r="J567" s="469"/>
      <c r="K567" s="470"/>
      <c r="L567" s="470"/>
      <c r="M567" s="470"/>
      <c r="N567" s="470"/>
      <c r="O567" s="469"/>
      <c r="P567" s="470"/>
      <c r="Q567" s="470"/>
      <c r="R567" s="470"/>
      <c r="S567" s="1132"/>
    </row>
    <row r="568" spans="1:19">
      <c r="A568" s="1163"/>
      <c r="B568" s="1164"/>
      <c r="C568" s="769"/>
      <c r="D568" s="1163"/>
      <c r="E568" s="469"/>
      <c r="F568" s="470"/>
      <c r="G568" s="470"/>
      <c r="H568" s="470"/>
      <c r="I568" s="470"/>
      <c r="J568" s="469"/>
      <c r="K568" s="470"/>
      <c r="L568" s="470"/>
      <c r="M568" s="470"/>
      <c r="N568" s="470"/>
      <c r="O568" s="469"/>
      <c r="P568" s="470"/>
      <c r="Q568" s="470"/>
      <c r="R568" s="470"/>
      <c r="S568" s="1132"/>
    </row>
    <row r="569" spans="1:19">
      <c r="A569" s="1163"/>
      <c r="B569" s="1164"/>
      <c r="C569" s="769"/>
      <c r="D569" s="1163"/>
      <c r="E569" s="469"/>
      <c r="F569" s="470"/>
      <c r="G569" s="470"/>
      <c r="H569" s="470"/>
      <c r="I569" s="470"/>
      <c r="J569" s="469"/>
      <c r="K569" s="470"/>
      <c r="L569" s="470"/>
      <c r="M569" s="470"/>
      <c r="N569" s="470"/>
      <c r="O569" s="469"/>
      <c r="P569" s="470"/>
      <c r="Q569" s="470"/>
      <c r="R569" s="470"/>
      <c r="S569" s="1132"/>
    </row>
    <row r="570" spans="1:19">
      <c r="A570" s="1163"/>
      <c r="B570" s="1164"/>
      <c r="C570" s="769"/>
      <c r="D570" s="1163"/>
      <c r="E570" s="469"/>
      <c r="F570" s="470"/>
      <c r="G570" s="470"/>
      <c r="H570" s="470"/>
      <c r="I570" s="470"/>
      <c r="J570" s="469"/>
      <c r="K570" s="470"/>
      <c r="L570" s="470"/>
      <c r="M570" s="470"/>
      <c r="N570" s="470"/>
      <c r="O570" s="469"/>
      <c r="P570" s="470"/>
      <c r="Q570" s="470"/>
      <c r="R570" s="470"/>
      <c r="S570" s="1132"/>
    </row>
    <row r="571" spans="1:19">
      <c r="A571" s="1163"/>
      <c r="B571" s="1164"/>
      <c r="C571" s="769"/>
      <c r="D571" s="1163"/>
      <c r="E571" s="469"/>
      <c r="F571" s="470"/>
      <c r="G571" s="470"/>
      <c r="H571" s="470"/>
      <c r="I571" s="470"/>
      <c r="J571" s="469"/>
      <c r="K571" s="470"/>
      <c r="L571" s="470"/>
      <c r="M571" s="470"/>
      <c r="N571" s="470"/>
      <c r="O571" s="469"/>
      <c r="P571" s="470"/>
      <c r="Q571" s="470"/>
      <c r="R571" s="470"/>
      <c r="S571" s="1132"/>
    </row>
    <row r="572" spans="1:19">
      <c r="A572" s="1163"/>
      <c r="B572" s="1164"/>
      <c r="C572" s="769"/>
      <c r="D572" s="1163"/>
      <c r="E572" s="469"/>
      <c r="F572" s="470"/>
      <c r="G572" s="470"/>
      <c r="H572" s="470"/>
      <c r="I572" s="470"/>
      <c r="J572" s="469"/>
      <c r="K572" s="470"/>
      <c r="L572" s="470"/>
      <c r="M572" s="470"/>
      <c r="N572" s="470"/>
      <c r="O572" s="469"/>
      <c r="P572" s="470"/>
      <c r="Q572" s="470"/>
      <c r="R572" s="470"/>
      <c r="S572" s="1132"/>
    </row>
    <row r="573" spans="1:19">
      <c r="A573" s="1163"/>
      <c r="B573" s="1164"/>
      <c r="C573" s="769"/>
      <c r="D573" s="1163"/>
      <c r="E573" s="469"/>
      <c r="F573" s="470"/>
      <c r="G573" s="470"/>
      <c r="H573" s="470"/>
      <c r="I573" s="470"/>
      <c r="J573" s="469"/>
      <c r="K573" s="470"/>
      <c r="L573" s="470"/>
      <c r="M573" s="470"/>
      <c r="N573" s="470"/>
      <c r="O573" s="469"/>
      <c r="P573" s="470"/>
      <c r="Q573" s="470"/>
      <c r="R573" s="470"/>
      <c r="S573" s="1132"/>
    </row>
    <row r="574" spans="1:19">
      <c r="A574" s="1163"/>
      <c r="B574" s="1164"/>
      <c r="C574" s="769"/>
      <c r="D574" s="1163"/>
      <c r="E574" s="469"/>
      <c r="F574" s="470"/>
      <c r="G574" s="470"/>
      <c r="H574" s="470"/>
      <c r="I574" s="470"/>
      <c r="J574" s="469"/>
      <c r="K574" s="470"/>
      <c r="L574" s="470"/>
      <c r="M574" s="470"/>
      <c r="N574" s="470"/>
      <c r="O574" s="469"/>
      <c r="P574" s="470"/>
      <c r="Q574" s="470"/>
      <c r="R574" s="470"/>
      <c r="S574" s="1132"/>
    </row>
    <row r="575" spans="1:19">
      <c r="A575" s="1163"/>
      <c r="B575" s="1164"/>
      <c r="C575" s="769"/>
      <c r="D575" s="1163"/>
      <c r="E575" s="469"/>
      <c r="F575" s="470"/>
      <c r="G575" s="470"/>
      <c r="H575" s="470"/>
      <c r="I575" s="470"/>
      <c r="J575" s="469"/>
      <c r="K575" s="470"/>
      <c r="L575" s="470"/>
      <c r="M575" s="470"/>
      <c r="N575" s="470"/>
      <c r="O575" s="469"/>
      <c r="P575" s="470"/>
      <c r="Q575" s="470"/>
      <c r="R575" s="470"/>
      <c r="S575" s="1132"/>
    </row>
    <row r="576" spans="1:19">
      <c r="A576" s="1163"/>
      <c r="B576" s="1164"/>
      <c r="C576" s="769"/>
      <c r="D576" s="1163"/>
      <c r="E576" s="469"/>
      <c r="F576" s="470"/>
      <c r="G576" s="470"/>
      <c r="H576" s="470"/>
      <c r="I576" s="470"/>
      <c r="J576" s="469"/>
      <c r="K576" s="470"/>
      <c r="L576" s="470"/>
      <c r="M576" s="470"/>
      <c r="N576" s="470"/>
      <c r="O576" s="469"/>
      <c r="P576" s="470"/>
      <c r="Q576" s="470"/>
      <c r="R576" s="470"/>
      <c r="S576" s="1132"/>
    </row>
    <row r="577" spans="1:19">
      <c r="A577" s="1163"/>
      <c r="B577" s="1164"/>
      <c r="C577" s="769"/>
      <c r="D577" s="1163"/>
      <c r="E577" s="469"/>
      <c r="F577" s="470"/>
      <c r="G577" s="470"/>
      <c r="H577" s="470"/>
      <c r="I577" s="470"/>
      <c r="J577" s="469"/>
      <c r="K577" s="470"/>
      <c r="L577" s="470"/>
      <c r="M577" s="470"/>
      <c r="N577" s="470"/>
      <c r="O577" s="469"/>
      <c r="P577" s="470"/>
      <c r="Q577" s="470"/>
      <c r="R577" s="470"/>
      <c r="S577" s="1132"/>
    </row>
    <row r="578" spans="1:19">
      <c r="A578" s="1163"/>
      <c r="B578" s="1164"/>
      <c r="C578" s="769"/>
      <c r="D578" s="1163"/>
      <c r="E578" s="469"/>
      <c r="F578" s="470"/>
      <c r="G578" s="470"/>
      <c r="H578" s="470"/>
      <c r="I578" s="470"/>
      <c r="J578" s="469"/>
      <c r="K578" s="470"/>
      <c r="L578" s="470"/>
      <c r="M578" s="470"/>
      <c r="N578" s="470"/>
      <c r="O578" s="469"/>
      <c r="P578" s="470"/>
      <c r="Q578" s="470"/>
      <c r="R578" s="470"/>
      <c r="S578" s="1132"/>
    </row>
    <row r="579" spans="1:19">
      <c r="A579" s="1163"/>
      <c r="B579" s="1164"/>
      <c r="C579" s="769"/>
      <c r="D579" s="1163"/>
      <c r="E579" s="469"/>
      <c r="F579" s="470"/>
      <c r="G579" s="470"/>
      <c r="H579" s="470"/>
      <c r="I579" s="470"/>
      <c r="J579" s="469"/>
      <c r="K579" s="470"/>
      <c r="L579" s="470"/>
      <c r="M579" s="470"/>
      <c r="N579" s="470"/>
      <c r="O579" s="469"/>
      <c r="P579" s="470"/>
      <c r="Q579" s="470"/>
      <c r="R579" s="470"/>
      <c r="S579" s="1132"/>
    </row>
    <row r="580" spans="1:19">
      <c r="A580" s="1163"/>
      <c r="B580" s="1164"/>
      <c r="C580" s="769"/>
      <c r="D580" s="1163"/>
      <c r="E580" s="469"/>
      <c r="F580" s="470"/>
      <c r="G580" s="470"/>
      <c r="H580" s="470"/>
      <c r="I580" s="470"/>
      <c r="J580" s="469"/>
      <c r="K580" s="470"/>
      <c r="L580" s="470"/>
      <c r="M580" s="470"/>
      <c r="N580" s="470"/>
      <c r="O580" s="469"/>
      <c r="P580" s="470"/>
      <c r="Q580" s="470"/>
      <c r="R580" s="470"/>
      <c r="S580" s="1132"/>
    </row>
    <row r="581" spans="1:19">
      <c r="A581" s="1163"/>
      <c r="B581" s="1164"/>
      <c r="C581" s="769"/>
      <c r="D581" s="1163"/>
      <c r="E581" s="469"/>
      <c r="F581" s="470"/>
      <c r="G581" s="470"/>
      <c r="H581" s="470"/>
      <c r="I581" s="470"/>
      <c r="J581" s="469"/>
      <c r="K581" s="470"/>
      <c r="L581" s="470"/>
      <c r="M581" s="470"/>
      <c r="N581" s="470"/>
      <c r="O581" s="469"/>
      <c r="P581" s="470"/>
      <c r="Q581" s="470"/>
      <c r="R581" s="470"/>
      <c r="S581" s="1132"/>
    </row>
    <row r="582" spans="1:19">
      <c r="A582" s="1163"/>
      <c r="B582" s="1164"/>
      <c r="C582" s="769"/>
      <c r="D582" s="1163"/>
      <c r="E582" s="1165"/>
      <c r="F582" s="1121"/>
      <c r="G582" s="1121"/>
      <c r="H582" s="1166"/>
      <c r="I582" s="1121"/>
      <c r="J582" s="1165"/>
      <c r="K582" s="1121"/>
      <c r="L582" s="1121"/>
      <c r="M582" s="1166"/>
      <c r="N582" s="1121"/>
      <c r="O582" s="1165"/>
      <c r="P582" s="1121"/>
      <c r="Q582" s="1121"/>
      <c r="R582" s="1166"/>
      <c r="S582" s="1132"/>
    </row>
    <row r="583" spans="1:19">
      <c r="A583" s="1163"/>
      <c r="B583" s="1164"/>
      <c r="C583" s="769"/>
      <c r="D583" s="1163"/>
      <c r="E583" s="1165"/>
      <c r="F583" s="1121"/>
      <c r="G583" s="1121"/>
      <c r="H583" s="1166"/>
      <c r="I583" s="1121"/>
      <c r="J583" s="1165"/>
      <c r="K583" s="1121"/>
      <c r="L583" s="1121"/>
      <c r="M583" s="1166"/>
      <c r="N583" s="1121"/>
      <c r="O583" s="1165"/>
      <c r="P583" s="1121"/>
      <c r="Q583" s="1121"/>
      <c r="R583" s="1166"/>
      <c r="S583" s="1132"/>
    </row>
    <row r="584" spans="1:19">
      <c r="A584" s="1163"/>
      <c r="B584" s="1164"/>
      <c r="C584" s="769"/>
      <c r="D584" s="1163"/>
      <c r="E584" s="1165"/>
      <c r="F584" s="1121"/>
      <c r="G584" s="1121"/>
      <c r="H584" s="1166"/>
      <c r="I584" s="1121"/>
      <c r="J584" s="1165"/>
      <c r="K584" s="1121"/>
      <c r="L584" s="1121"/>
      <c r="M584" s="1166"/>
      <c r="N584" s="1121"/>
      <c r="O584" s="1165"/>
      <c r="P584" s="1121"/>
      <c r="Q584" s="1121"/>
      <c r="R584" s="1166"/>
      <c r="S584" s="1132"/>
    </row>
    <row r="585" spans="1:19">
      <c r="A585" s="1163"/>
      <c r="B585" s="1164"/>
      <c r="C585" s="769"/>
      <c r="D585" s="1163"/>
      <c r="E585" s="1165"/>
      <c r="F585" s="1121"/>
      <c r="G585" s="1121"/>
      <c r="H585" s="1166"/>
      <c r="I585" s="1121"/>
      <c r="J585" s="1165"/>
      <c r="K585" s="1121"/>
      <c r="L585" s="1121"/>
      <c r="M585" s="1166"/>
      <c r="N585" s="1121"/>
      <c r="O585" s="1165"/>
      <c r="P585" s="1121"/>
      <c r="Q585" s="1121"/>
      <c r="R585" s="1166"/>
      <c r="S585" s="1132"/>
    </row>
    <row r="586" spans="1:19">
      <c r="A586" s="1163"/>
      <c r="B586" s="1164"/>
      <c r="C586" s="769"/>
      <c r="D586" s="1163"/>
      <c r="E586" s="1165"/>
      <c r="F586" s="1121"/>
      <c r="G586" s="1121"/>
      <c r="H586" s="1166"/>
      <c r="I586" s="1121"/>
      <c r="J586" s="1165"/>
      <c r="K586" s="1121"/>
      <c r="L586" s="1121"/>
      <c r="M586" s="1166"/>
      <c r="N586" s="1121"/>
      <c r="O586" s="1165"/>
      <c r="P586" s="1121"/>
      <c r="Q586" s="1121"/>
      <c r="R586" s="1166"/>
      <c r="S586" s="1132"/>
    </row>
    <row r="587" spans="1:19">
      <c r="A587" s="1163"/>
      <c r="B587" s="1164"/>
      <c r="C587" s="769"/>
      <c r="D587" s="1163"/>
      <c r="E587" s="1165"/>
      <c r="F587" s="1121"/>
      <c r="G587" s="1121"/>
      <c r="H587" s="1166"/>
      <c r="I587" s="1121"/>
      <c r="J587" s="1165"/>
      <c r="K587" s="1121"/>
      <c r="L587" s="1121"/>
      <c r="M587" s="1166"/>
      <c r="N587" s="1121"/>
      <c r="O587" s="1165"/>
      <c r="P587" s="1121"/>
      <c r="Q587" s="1121"/>
      <c r="R587" s="1166"/>
      <c r="S587" s="1132"/>
    </row>
    <row r="588" spans="1:19">
      <c r="A588" s="1163"/>
      <c r="B588" s="1164"/>
      <c r="C588" s="769"/>
      <c r="D588" s="1163"/>
      <c r="E588" s="1165"/>
      <c r="F588" s="1121"/>
      <c r="G588" s="1121"/>
      <c r="H588" s="1166"/>
      <c r="I588" s="1121"/>
      <c r="J588" s="1165"/>
      <c r="K588" s="1121"/>
      <c r="L588" s="1121"/>
      <c r="M588" s="1166"/>
      <c r="N588" s="1121"/>
      <c r="O588" s="1165"/>
      <c r="P588" s="1121"/>
      <c r="Q588" s="1121"/>
      <c r="R588" s="1166"/>
      <c r="S588" s="1132"/>
    </row>
    <row r="589" spans="1:19">
      <c r="A589" s="1163"/>
      <c r="B589" s="1164"/>
      <c r="C589" s="769"/>
      <c r="D589" s="1163"/>
      <c r="E589" s="1165"/>
      <c r="F589" s="1121"/>
      <c r="G589" s="1121"/>
      <c r="H589" s="1166"/>
      <c r="I589" s="1121"/>
      <c r="J589" s="1165"/>
      <c r="K589" s="1121"/>
      <c r="L589" s="1121"/>
      <c r="M589" s="1166"/>
      <c r="N589" s="1121"/>
      <c r="O589" s="1165"/>
      <c r="P589" s="1121"/>
      <c r="Q589" s="1121"/>
      <c r="R589" s="1166"/>
      <c r="S589" s="1132"/>
    </row>
    <row r="590" spans="1:19">
      <c r="A590" s="1163"/>
      <c r="B590" s="1164"/>
      <c r="C590" s="769"/>
      <c r="D590" s="1163"/>
      <c r="E590" s="1165"/>
      <c r="F590" s="1121"/>
      <c r="G590" s="1121"/>
      <c r="H590" s="1166"/>
      <c r="I590" s="1121"/>
      <c r="J590" s="1165"/>
      <c r="K590" s="1121"/>
      <c r="L590" s="1121"/>
      <c r="M590" s="1166"/>
      <c r="N590" s="1121"/>
      <c r="O590" s="1165"/>
      <c r="P590" s="1121"/>
      <c r="Q590" s="1121"/>
      <c r="R590" s="1166"/>
      <c r="S590" s="1132"/>
    </row>
    <row r="591" spans="1:19">
      <c r="A591" s="1163"/>
      <c r="B591" s="1164"/>
      <c r="C591" s="769"/>
      <c r="D591" s="1163"/>
      <c r="E591" s="1165"/>
      <c r="F591" s="1121"/>
      <c r="G591" s="1121"/>
      <c r="H591" s="1166"/>
      <c r="I591" s="1121"/>
      <c r="J591" s="1165"/>
      <c r="K591" s="1121"/>
      <c r="L591" s="1121"/>
      <c r="M591" s="1166"/>
      <c r="N591" s="1121"/>
      <c r="O591" s="1165"/>
      <c r="P591" s="1121"/>
      <c r="Q591" s="1121"/>
      <c r="R591" s="1166"/>
      <c r="S591" s="1132"/>
    </row>
    <row r="592" spans="1:19">
      <c r="A592" s="1163"/>
      <c r="B592" s="1164"/>
      <c r="C592" s="769"/>
      <c r="D592" s="1163"/>
      <c r="E592" s="1165"/>
      <c r="F592" s="1121"/>
      <c r="G592" s="1121"/>
      <c r="H592" s="1166"/>
      <c r="I592" s="1121"/>
      <c r="J592" s="1165"/>
      <c r="K592" s="1121"/>
      <c r="L592" s="1121"/>
      <c r="M592" s="1166"/>
      <c r="N592" s="1121"/>
      <c r="O592" s="1165"/>
      <c r="P592" s="1121"/>
      <c r="Q592" s="1121"/>
      <c r="R592" s="1166"/>
      <c r="S592" s="1132"/>
    </row>
    <row r="593" spans="1:19">
      <c r="A593" s="1163"/>
      <c r="B593" s="1164"/>
      <c r="C593" s="769"/>
      <c r="D593" s="1163"/>
      <c r="E593" s="1165"/>
      <c r="F593" s="1121"/>
      <c r="G593" s="1121"/>
      <c r="H593" s="1166"/>
      <c r="I593" s="1121"/>
      <c r="J593" s="1165"/>
      <c r="K593" s="1121"/>
      <c r="L593" s="1121"/>
      <c r="M593" s="1166"/>
      <c r="N593" s="1121"/>
      <c r="O593" s="1165"/>
      <c r="P593" s="1121"/>
      <c r="Q593" s="1121"/>
      <c r="R593" s="1166"/>
      <c r="S593" s="1132"/>
    </row>
    <row r="594" spans="1:19">
      <c r="A594" s="1163"/>
      <c r="B594" s="1164"/>
      <c r="C594" s="769"/>
      <c r="D594" s="1163"/>
      <c r="E594" s="1165"/>
      <c r="F594" s="1121"/>
      <c r="G594" s="1121"/>
      <c r="H594" s="1166"/>
      <c r="I594" s="1121"/>
      <c r="J594" s="1165"/>
      <c r="K594" s="1121"/>
      <c r="L594" s="1121"/>
      <c r="M594" s="1166"/>
      <c r="N594" s="1121"/>
      <c r="O594" s="1165"/>
      <c r="P594" s="1121"/>
      <c r="Q594" s="1121"/>
      <c r="R594" s="1166"/>
      <c r="S594" s="1132"/>
    </row>
    <row r="595" spans="1:19">
      <c r="A595" s="1163"/>
      <c r="B595" s="1164"/>
      <c r="C595" s="769"/>
      <c r="D595" s="1163"/>
      <c r="E595" s="1165"/>
      <c r="F595" s="1121"/>
      <c r="G595" s="1121"/>
      <c r="H595" s="1166"/>
      <c r="I595" s="1121"/>
      <c r="J595" s="1165"/>
      <c r="K595" s="1121"/>
      <c r="L595" s="1121"/>
      <c r="M595" s="1166"/>
      <c r="N595" s="1121"/>
      <c r="O595" s="1165"/>
      <c r="P595" s="1121"/>
      <c r="Q595" s="1121"/>
      <c r="R595" s="1166"/>
      <c r="S595" s="1132"/>
    </row>
    <row r="596" spans="1:19">
      <c r="A596" s="1163"/>
      <c r="B596" s="1164"/>
      <c r="C596" s="769"/>
      <c r="D596" s="1163"/>
      <c r="E596" s="1165"/>
      <c r="F596" s="1121"/>
      <c r="G596" s="1121"/>
      <c r="H596" s="1166"/>
      <c r="I596" s="1121"/>
      <c r="J596" s="1165"/>
      <c r="K596" s="1121"/>
      <c r="L596" s="1121"/>
      <c r="M596" s="1166"/>
      <c r="N596" s="1121"/>
      <c r="O596" s="1165"/>
      <c r="P596" s="1121"/>
      <c r="Q596" s="1121"/>
      <c r="R596" s="1166"/>
      <c r="S596" s="1132"/>
    </row>
    <row r="597" spans="1:19">
      <c r="A597" s="1163"/>
      <c r="B597" s="1164"/>
      <c r="C597" s="769"/>
      <c r="D597" s="1163"/>
      <c r="E597" s="1165"/>
      <c r="F597" s="1121"/>
      <c r="G597" s="1121"/>
      <c r="H597" s="1166"/>
      <c r="I597" s="1121"/>
      <c r="J597" s="1165"/>
      <c r="K597" s="1121"/>
      <c r="L597" s="1121"/>
      <c r="M597" s="1166"/>
      <c r="N597" s="1121"/>
      <c r="O597" s="1165"/>
      <c r="P597" s="1121"/>
      <c r="Q597" s="1121"/>
      <c r="R597" s="1166"/>
      <c r="S597" s="1132"/>
    </row>
    <row r="598" spans="1:19">
      <c r="A598" s="1163"/>
      <c r="B598" s="1164"/>
      <c r="C598" s="769"/>
      <c r="D598" s="1163"/>
      <c r="E598" s="1165"/>
      <c r="F598" s="1121"/>
      <c r="G598" s="1121"/>
      <c r="H598" s="1166"/>
      <c r="I598" s="1121"/>
      <c r="J598" s="1165"/>
      <c r="K598" s="1121"/>
      <c r="L598" s="1121"/>
      <c r="M598" s="1166"/>
      <c r="N598" s="1121"/>
      <c r="O598" s="1165"/>
      <c r="P598" s="1121"/>
      <c r="Q598" s="1121"/>
      <c r="R598" s="1166"/>
      <c r="S598" s="1132"/>
    </row>
    <row r="599" spans="1:19">
      <c r="A599" s="1163"/>
      <c r="B599" s="1164"/>
      <c r="C599" s="769"/>
      <c r="D599" s="1163"/>
      <c r="E599" s="1165"/>
      <c r="F599" s="1121"/>
      <c r="G599" s="1121"/>
      <c r="H599" s="1166"/>
      <c r="I599" s="1121"/>
      <c r="J599" s="1165"/>
      <c r="K599" s="1121"/>
      <c r="L599" s="1121"/>
      <c r="M599" s="1166"/>
      <c r="N599" s="1121"/>
      <c r="O599" s="1165"/>
      <c r="P599" s="1121"/>
      <c r="Q599" s="1121"/>
      <c r="R599" s="1166"/>
      <c r="S599" s="1132"/>
    </row>
    <row r="600" spans="1:19">
      <c r="A600" s="1163"/>
      <c r="B600" s="1164"/>
      <c r="C600" s="769"/>
      <c r="D600" s="1163"/>
      <c r="E600" s="1165"/>
      <c r="F600" s="1121"/>
      <c r="G600" s="1121"/>
      <c r="H600" s="1166"/>
      <c r="I600" s="1121"/>
      <c r="J600" s="1165"/>
      <c r="K600" s="1121"/>
      <c r="L600" s="1121"/>
      <c r="M600" s="1166"/>
      <c r="N600" s="1121"/>
      <c r="O600" s="1165"/>
      <c r="P600" s="1121"/>
      <c r="Q600" s="1121"/>
      <c r="R600" s="1166"/>
      <c r="S600" s="1132"/>
    </row>
    <row r="601" spans="1:19">
      <c r="A601" s="1163"/>
      <c r="B601" s="1164"/>
      <c r="C601" s="769"/>
      <c r="D601" s="1163"/>
      <c r="E601" s="1165"/>
      <c r="F601" s="1121"/>
      <c r="G601" s="1121"/>
      <c r="H601" s="1166"/>
      <c r="I601" s="1121"/>
      <c r="J601" s="1165"/>
      <c r="K601" s="1121"/>
      <c r="L601" s="1121"/>
      <c r="M601" s="1166"/>
      <c r="N601" s="1121"/>
      <c r="O601" s="1165"/>
      <c r="P601" s="1121"/>
      <c r="Q601" s="1121"/>
      <c r="R601" s="1166"/>
      <c r="S601" s="1132"/>
    </row>
    <row r="602" spans="1:19">
      <c r="A602" s="1163"/>
      <c r="B602" s="1164"/>
      <c r="C602" s="769"/>
      <c r="D602" s="1163"/>
      <c r="E602" s="1165"/>
      <c r="F602" s="1121"/>
      <c r="G602" s="1121"/>
      <c r="H602" s="1166"/>
      <c r="I602" s="1121"/>
      <c r="J602" s="1165"/>
      <c r="K602" s="1121"/>
      <c r="L602" s="1121"/>
      <c r="M602" s="1166"/>
      <c r="N602" s="1121"/>
      <c r="O602" s="1165"/>
      <c r="P602" s="1121"/>
      <c r="Q602" s="1121"/>
      <c r="R602" s="1166"/>
      <c r="S602" s="1132"/>
    </row>
    <row r="603" spans="1:19">
      <c r="A603" s="1163"/>
      <c r="B603" s="1164"/>
      <c r="C603" s="769"/>
      <c r="D603" s="1163"/>
      <c r="E603" s="1165"/>
      <c r="F603" s="1121"/>
      <c r="G603" s="1121"/>
      <c r="H603" s="1166"/>
      <c r="I603" s="1121"/>
      <c r="J603" s="1165"/>
      <c r="K603" s="1121"/>
      <c r="L603" s="1121"/>
      <c r="M603" s="1166"/>
      <c r="N603" s="1121"/>
      <c r="O603" s="1165"/>
      <c r="P603" s="1121"/>
      <c r="Q603" s="1121"/>
      <c r="R603" s="1166"/>
      <c r="S603" s="1132"/>
    </row>
    <row r="604" spans="1:19">
      <c r="A604" s="1163"/>
      <c r="B604" s="1164"/>
      <c r="C604" s="769"/>
      <c r="D604" s="1163"/>
      <c r="E604" s="1165"/>
      <c r="F604" s="1121"/>
      <c r="G604" s="1121"/>
      <c r="H604" s="1166"/>
      <c r="I604" s="1121"/>
      <c r="J604" s="1165"/>
      <c r="K604" s="1121"/>
      <c r="L604" s="1121"/>
      <c r="M604" s="1166"/>
      <c r="N604" s="1121"/>
      <c r="O604" s="1165"/>
      <c r="P604" s="1121"/>
      <c r="Q604" s="1121"/>
      <c r="R604" s="1166"/>
      <c r="S604" s="1132"/>
    </row>
    <row r="605" spans="1:19">
      <c r="A605" s="1163"/>
      <c r="B605" s="1164"/>
      <c r="C605" s="769"/>
      <c r="D605" s="1163"/>
      <c r="E605" s="1165"/>
      <c r="F605" s="1121"/>
      <c r="G605" s="1121"/>
      <c r="H605" s="1166"/>
      <c r="I605" s="1121"/>
      <c r="J605" s="1165"/>
      <c r="K605" s="1121"/>
      <c r="L605" s="1121"/>
      <c r="M605" s="1166"/>
      <c r="N605" s="1121"/>
      <c r="O605" s="1165"/>
      <c r="P605" s="1121"/>
      <c r="Q605" s="1121"/>
      <c r="R605" s="1166"/>
      <c r="S605" s="1132"/>
    </row>
    <row r="606" spans="1:19">
      <c r="A606" s="1163"/>
      <c r="B606" s="1164"/>
      <c r="C606" s="769"/>
      <c r="D606" s="1163"/>
      <c r="E606" s="1165"/>
      <c r="F606" s="1121"/>
      <c r="G606" s="1121"/>
      <c r="H606" s="1166"/>
      <c r="I606" s="1121"/>
      <c r="J606" s="1165"/>
      <c r="K606" s="1121"/>
      <c r="L606" s="1121"/>
      <c r="M606" s="1166"/>
      <c r="N606" s="1121"/>
      <c r="O606" s="1165"/>
      <c r="P606" s="1121"/>
      <c r="Q606" s="1121"/>
      <c r="R606" s="1166"/>
      <c r="S606" s="1132"/>
    </row>
    <row r="607" spans="1:19">
      <c r="A607" s="1163"/>
      <c r="B607" s="1164"/>
      <c r="C607" s="769"/>
      <c r="D607" s="1163"/>
      <c r="E607" s="1165"/>
      <c r="F607" s="1121"/>
      <c r="G607" s="1121"/>
      <c r="H607" s="1166"/>
      <c r="I607" s="1121"/>
      <c r="J607" s="1165"/>
      <c r="K607" s="1121"/>
      <c r="L607" s="1121"/>
      <c r="M607" s="1166"/>
      <c r="N607" s="1121"/>
      <c r="O607" s="1165"/>
      <c r="P607" s="1121"/>
      <c r="Q607" s="1121"/>
      <c r="R607" s="1166"/>
      <c r="S607" s="1132"/>
    </row>
    <row r="608" spans="1:19">
      <c r="A608" s="1163"/>
      <c r="B608" s="1164"/>
      <c r="C608" s="769"/>
      <c r="D608" s="1163"/>
      <c r="E608" s="1165"/>
      <c r="F608" s="1121"/>
      <c r="G608" s="1121"/>
      <c r="H608" s="1166"/>
      <c r="I608" s="1121"/>
      <c r="J608" s="1165"/>
      <c r="K608" s="1121"/>
      <c r="L608" s="1121"/>
      <c r="M608" s="1166"/>
      <c r="N608" s="1121"/>
      <c r="O608" s="1165"/>
      <c r="P608" s="1121"/>
      <c r="Q608" s="1121"/>
      <c r="R608" s="1166"/>
      <c r="S608" s="1132"/>
    </row>
    <row r="609" spans="1:19">
      <c r="A609" s="1163"/>
      <c r="B609" s="1164"/>
      <c r="C609" s="769"/>
      <c r="D609" s="1163"/>
      <c r="E609" s="1165"/>
      <c r="F609" s="1121"/>
      <c r="G609" s="1121"/>
      <c r="H609" s="1166"/>
      <c r="I609" s="1121"/>
      <c r="J609" s="1165"/>
      <c r="K609" s="1121"/>
      <c r="L609" s="1121"/>
      <c r="M609" s="1166"/>
      <c r="N609" s="1121"/>
      <c r="O609" s="1165"/>
      <c r="P609" s="1121"/>
      <c r="Q609" s="1121"/>
      <c r="R609" s="1166"/>
      <c r="S609" s="1132"/>
    </row>
    <row r="610" spans="1:19">
      <c r="A610" s="1163"/>
      <c r="B610" s="1164"/>
      <c r="C610" s="769"/>
      <c r="D610" s="1163"/>
      <c r="E610" s="1165"/>
      <c r="F610" s="1121"/>
      <c r="G610" s="1121"/>
      <c r="H610" s="1166"/>
      <c r="I610" s="1121"/>
      <c r="J610" s="1165"/>
      <c r="K610" s="1121"/>
      <c r="L610" s="1121"/>
      <c r="M610" s="1166"/>
      <c r="N610" s="1121"/>
      <c r="O610" s="1165"/>
      <c r="P610" s="1121"/>
      <c r="Q610" s="1121"/>
      <c r="R610" s="1166"/>
      <c r="S610" s="1132"/>
    </row>
    <row r="611" spans="1:19">
      <c r="A611" s="1163"/>
      <c r="B611" s="1164"/>
      <c r="C611" s="769"/>
      <c r="D611" s="1163"/>
      <c r="E611" s="1165"/>
      <c r="F611" s="1121"/>
      <c r="G611" s="1121"/>
      <c r="H611" s="1166"/>
      <c r="I611" s="1121"/>
      <c r="J611" s="1165"/>
      <c r="K611" s="1121"/>
      <c r="L611" s="1121"/>
      <c r="M611" s="1166"/>
      <c r="N611" s="1121"/>
      <c r="O611" s="1165"/>
      <c r="P611" s="1121"/>
      <c r="Q611" s="1121"/>
      <c r="R611" s="1166"/>
      <c r="S611" s="1132"/>
    </row>
    <row r="612" spans="1:19">
      <c r="A612" s="1163"/>
      <c r="B612" s="1164"/>
      <c r="C612" s="769"/>
      <c r="D612" s="1163"/>
      <c r="E612" s="1165"/>
      <c r="F612" s="1121"/>
      <c r="G612" s="1121"/>
      <c r="H612" s="1166"/>
      <c r="I612" s="1121"/>
      <c r="J612" s="1165"/>
      <c r="K612" s="1121"/>
      <c r="L612" s="1121"/>
      <c r="M612" s="1166"/>
      <c r="N612" s="1121"/>
      <c r="O612" s="1165"/>
      <c r="P612" s="1121"/>
      <c r="Q612" s="1121"/>
      <c r="R612" s="1166"/>
      <c r="S612" s="1132"/>
    </row>
    <row r="613" spans="1:19">
      <c r="A613" s="1163"/>
      <c r="B613" s="1164"/>
      <c r="C613" s="769"/>
      <c r="D613" s="1163"/>
      <c r="E613" s="1165"/>
      <c r="F613" s="1121"/>
      <c r="G613" s="1121"/>
      <c r="H613" s="1166"/>
      <c r="I613" s="1121"/>
      <c r="J613" s="1165"/>
      <c r="K613" s="1121"/>
      <c r="L613" s="1121"/>
      <c r="M613" s="1166"/>
      <c r="N613" s="1121"/>
      <c r="O613" s="1165"/>
      <c r="P613" s="1121"/>
      <c r="Q613" s="1121"/>
      <c r="R613" s="1166"/>
      <c r="S613" s="1132"/>
    </row>
    <row r="614" spans="1:19">
      <c r="A614" s="1163"/>
      <c r="B614" s="1164"/>
      <c r="C614" s="769"/>
      <c r="D614" s="1163"/>
      <c r="E614" s="1165"/>
      <c r="F614" s="1121"/>
      <c r="G614" s="1121"/>
      <c r="H614" s="1166"/>
      <c r="I614" s="1121"/>
      <c r="J614" s="1165"/>
      <c r="K614" s="1121"/>
      <c r="L614" s="1121"/>
      <c r="M614" s="1166"/>
      <c r="N614" s="1121"/>
      <c r="O614" s="1165"/>
      <c r="P614" s="1121"/>
      <c r="Q614" s="1121"/>
      <c r="R614" s="1166"/>
      <c r="S614" s="1132"/>
    </row>
    <row r="615" spans="1:19">
      <c r="A615" s="1163"/>
      <c r="B615" s="1164"/>
      <c r="C615" s="769"/>
      <c r="D615" s="1163"/>
      <c r="E615" s="1165"/>
      <c r="F615" s="1121"/>
      <c r="G615" s="1121"/>
      <c r="H615" s="1166"/>
      <c r="I615" s="1121"/>
      <c r="J615" s="1165"/>
      <c r="K615" s="1121"/>
      <c r="L615" s="1121"/>
      <c r="M615" s="1166"/>
      <c r="N615" s="1121"/>
      <c r="O615" s="1165"/>
      <c r="P615" s="1121"/>
      <c r="Q615" s="1121"/>
      <c r="R615" s="1166"/>
      <c r="S615" s="1132"/>
    </row>
    <row r="616" spans="1:19">
      <c r="A616" s="1163"/>
      <c r="B616" s="1164"/>
      <c r="C616" s="769"/>
      <c r="D616" s="1163"/>
      <c r="E616" s="1165"/>
      <c r="F616" s="1121"/>
      <c r="G616" s="1121"/>
      <c r="H616" s="1166"/>
      <c r="I616" s="1121"/>
      <c r="J616" s="1165"/>
      <c r="K616" s="1121"/>
      <c r="L616" s="1121"/>
      <c r="M616" s="1166"/>
      <c r="N616" s="1121"/>
      <c r="O616" s="1165"/>
      <c r="P616" s="1121"/>
      <c r="Q616" s="1121"/>
      <c r="R616" s="1166"/>
      <c r="S616" s="1132"/>
    </row>
    <row r="617" spans="1:19">
      <c r="A617" s="1163"/>
      <c r="B617" s="1164"/>
      <c r="C617" s="769"/>
      <c r="D617" s="1163"/>
      <c r="E617" s="1165"/>
      <c r="F617" s="1121"/>
      <c r="G617" s="1121"/>
      <c r="H617" s="1166"/>
      <c r="I617" s="1121"/>
      <c r="J617" s="1165"/>
      <c r="K617" s="1121"/>
      <c r="L617" s="1121"/>
      <c r="M617" s="1166"/>
      <c r="N617" s="1121"/>
      <c r="O617" s="1165"/>
      <c r="P617" s="1121"/>
      <c r="Q617" s="1121"/>
      <c r="R617" s="1166"/>
      <c r="S617" s="1132"/>
    </row>
    <row r="618" spans="1:19">
      <c r="A618" s="1163"/>
      <c r="B618" s="1164"/>
      <c r="C618" s="769"/>
      <c r="D618" s="1163"/>
      <c r="E618" s="1165"/>
      <c r="F618" s="1121"/>
      <c r="G618" s="1121"/>
      <c r="H618" s="1166"/>
      <c r="I618" s="1121"/>
      <c r="J618" s="1165"/>
      <c r="K618" s="1121"/>
      <c r="L618" s="1121"/>
      <c r="M618" s="1166"/>
      <c r="N618" s="1121"/>
      <c r="O618" s="1165"/>
      <c r="P618" s="1121"/>
      <c r="Q618" s="1121"/>
      <c r="R618" s="1166"/>
      <c r="S618" s="1132"/>
    </row>
    <row r="619" spans="1:19">
      <c r="A619" s="1163"/>
      <c r="B619" s="1164"/>
      <c r="C619" s="769"/>
      <c r="D619" s="1163"/>
      <c r="E619" s="1165"/>
      <c r="F619" s="1121"/>
      <c r="G619" s="1121"/>
      <c r="H619" s="1166"/>
      <c r="I619" s="1121"/>
      <c r="J619" s="1165"/>
      <c r="K619" s="1121"/>
      <c r="L619" s="1121"/>
      <c r="M619" s="1166"/>
      <c r="N619" s="1121"/>
      <c r="O619" s="1165"/>
      <c r="P619" s="1121"/>
      <c r="Q619" s="1121"/>
      <c r="R619" s="1166"/>
      <c r="S619" s="1132"/>
    </row>
    <row r="620" spans="1:19">
      <c r="A620" s="1163"/>
      <c r="B620" s="1164"/>
      <c r="C620" s="769"/>
      <c r="D620" s="1163"/>
      <c r="E620" s="1165"/>
      <c r="F620" s="1121"/>
      <c r="G620" s="1121"/>
      <c r="H620" s="1166"/>
      <c r="I620" s="1121"/>
      <c r="J620" s="1165"/>
      <c r="K620" s="1121"/>
      <c r="L620" s="1121"/>
      <c r="M620" s="1166"/>
      <c r="N620" s="1121"/>
      <c r="O620" s="1165"/>
      <c r="P620" s="1121"/>
      <c r="Q620" s="1121"/>
      <c r="R620" s="1166"/>
      <c r="S620" s="1132"/>
    </row>
    <row r="621" spans="1:19">
      <c r="A621" s="1163"/>
      <c r="B621" s="1164"/>
      <c r="C621" s="769"/>
      <c r="D621" s="1163"/>
      <c r="E621" s="1165"/>
      <c r="F621" s="1121"/>
      <c r="G621" s="1121"/>
      <c r="H621" s="1166"/>
      <c r="I621" s="1121"/>
      <c r="J621" s="1165"/>
      <c r="K621" s="1121"/>
      <c r="L621" s="1121"/>
      <c r="M621" s="1166"/>
      <c r="N621" s="1121"/>
      <c r="O621" s="1165"/>
      <c r="P621" s="1121"/>
      <c r="Q621" s="1121"/>
      <c r="R621" s="1166"/>
      <c r="S621" s="1132"/>
    </row>
    <row r="622" spans="1:19">
      <c r="A622" s="1163"/>
      <c r="B622" s="1164"/>
      <c r="C622" s="769"/>
      <c r="D622" s="1163"/>
      <c r="E622" s="1165"/>
      <c r="F622" s="1121"/>
      <c r="G622" s="1121"/>
      <c r="H622" s="1166"/>
      <c r="I622" s="1121"/>
      <c r="J622" s="1165"/>
      <c r="K622" s="1121"/>
      <c r="L622" s="1121"/>
      <c r="M622" s="1166"/>
      <c r="N622" s="1121"/>
      <c r="O622" s="1165"/>
      <c r="P622" s="1121"/>
      <c r="Q622" s="1121"/>
      <c r="R622" s="1166"/>
      <c r="S622" s="1132"/>
    </row>
    <row r="623" spans="1:19">
      <c r="A623" s="1163"/>
      <c r="B623" s="1164"/>
      <c r="C623" s="769"/>
      <c r="D623" s="1163"/>
      <c r="E623" s="1165"/>
      <c r="F623" s="1121"/>
      <c r="G623" s="1121"/>
      <c r="H623" s="1166"/>
      <c r="I623" s="1121"/>
      <c r="J623" s="1165"/>
      <c r="K623" s="1121"/>
      <c r="L623" s="1121"/>
      <c r="M623" s="1166"/>
      <c r="N623" s="1121"/>
      <c r="O623" s="1165"/>
      <c r="P623" s="1121"/>
      <c r="Q623" s="1121"/>
      <c r="R623" s="1166"/>
      <c r="S623" s="1132"/>
    </row>
    <row r="624" spans="1:19">
      <c r="A624" s="1163"/>
      <c r="B624" s="1164"/>
      <c r="C624" s="769"/>
      <c r="D624" s="1163"/>
      <c r="E624" s="1165"/>
      <c r="F624" s="1121"/>
      <c r="G624" s="1121"/>
      <c r="H624" s="1166"/>
      <c r="I624" s="1121"/>
      <c r="J624" s="1165"/>
      <c r="K624" s="1121"/>
      <c r="L624" s="1121"/>
      <c r="M624" s="1166"/>
      <c r="N624" s="1121"/>
      <c r="O624" s="1165"/>
      <c r="P624" s="1121"/>
      <c r="Q624" s="1121"/>
      <c r="R624" s="1166"/>
      <c r="S624" s="1132"/>
    </row>
    <row r="625" spans="1:19">
      <c r="A625" s="1163"/>
      <c r="B625" s="1164"/>
      <c r="C625" s="769"/>
      <c r="D625" s="1163"/>
      <c r="E625" s="1165"/>
      <c r="F625" s="1121"/>
      <c r="G625" s="1121"/>
      <c r="H625" s="1166"/>
      <c r="I625" s="1121"/>
      <c r="J625" s="1165"/>
      <c r="K625" s="1121"/>
      <c r="L625" s="1121"/>
      <c r="M625" s="1166"/>
      <c r="N625" s="1121"/>
      <c r="O625" s="1165"/>
      <c r="P625" s="1121"/>
      <c r="Q625" s="1121"/>
      <c r="R625" s="1166"/>
      <c r="S625" s="1132"/>
    </row>
    <row r="626" spans="1:19">
      <c r="A626" s="1163"/>
      <c r="B626" s="1164"/>
      <c r="C626" s="769"/>
      <c r="D626" s="1163"/>
      <c r="E626" s="1165"/>
      <c r="F626" s="1121"/>
      <c r="G626" s="1121"/>
      <c r="H626" s="1166"/>
      <c r="I626" s="1121"/>
      <c r="J626" s="1165"/>
      <c r="K626" s="1121"/>
      <c r="L626" s="1121"/>
      <c r="M626" s="1166"/>
      <c r="N626" s="1121"/>
      <c r="O626" s="1165"/>
      <c r="P626" s="1121"/>
      <c r="Q626" s="1121"/>
      <c r="R626" s="1166"/>
      <c r="S626" s="1132"/>
    </row>
    <row r="627" spans="1:19">
      <c r="A627" s="1163"/>
      <c r="B627" s="1164"/>
      <c r="C627" s="769"/>
      <c r="D627" s="1163"/>
      <c r="E627" s="1165"/>
      <c r="F627" s="1121"/>
      <c r="G627" s="1121"/>
      <c r="H627" s="1166"/>
      <c r="I627" s="1121"/>
      <c r="J627" s="1165"/>
      <c r="K627" s="1121"/>
      <c r="L627" s="1121"/>
      <c r="M627" s="1166"/>
      <c r="N627" s="1121"/>
      <c r="O627" s="1165"/>
      <c r="P627" s="1121"/>
      <c r="Q627" s="1121"/>
      <c r="R627" s="1166"/>
      <c r="S627" s="1132"/>
    </row>
    <row r="628" spans="1:19">
      <c r="A628" s="1163"/>
      <c r="B628" s="1164"/>
      <c r="C628" s="769"/>
      <c r="D628" s="1163"/>
      <c r="E628" s="1165"/>
      <c r="F628" s="1121"/>
      <c r="G628" s="1121"/>
      <c r="H628" s="1166"/>
      <c r="I628" s="1121"/>
      <c r="J628" s="1165"/>
      <c r="K628" s="1121"/>
      <c r="L628" s="1121"/>
      <c r="M628" s="1166"/>
      <c r="N628" s="1121"/>
      <c r="O628" s="1165"/>
      <c r="P628" s="1121"/>
      <c r="Q628" s="1121"/>
      <c r="R628" s="1166"/>
      <c r="S628" s="1132"/>
    </row>
    <row r="629" spans="1:19">
      <c r="A629" s="1163"/>
      <c r="B629" s="1164"/>
      <c r="C629" s="769"/>
      <c r="D629" s="1163"/>
      <c r="E629" s="1165"/>
      <c r="F629" s="1121"/>
      <c r="G629" s="1121"/>
      <c r="H629" s="1166"/>
      <c r="I629" s="1121"/>
      <c r="J629" s="1165"/>
      <c r="K629" s="1121"/>
      <c r="L629" s="1121"/>
      <c r="M629" s="1166"/>
      <c r="N629" s="1121"/>
      <c r="O629" s="1165"/>
      <c r="P629" s="1121"/>
      <c r="Q629" s="1121"/>
      <c r="R629" s="1166"/>
      <c r="S629" s="1132"/>
    </row>
    <row r="630" spans="1:19">
      <c r="A630" s="1163"/>
      <c r="B630" s="1164"/>
      <c r="C630" s="769"/>
      <c r="D630" s="1163"/>
      <c r="E630" s="1165"/>
      <c r="F630" s="1121"/>
      <c r="G630" s="1121"/>
      <c r="H630" s="1166"/>
      <c r="I630" s="1121"/>
      <c r="J630" s="1165"/>
      <c r="K630" s="1121"/>
      <c r="L630" s="1121"/>
      <c r="M630" s="1166"/>
      <c r="N630" s="1121"/>
      <c r="O630" s="1165"/>
      <c r="P630" s="1121"/>
      <c r="Q630" s="1121"/>
      <c r="R630" s="1166"/>
      <c r="S630" s="1132"/>
    </row>
    <row r="631" spans="1:19">
      <c r="A631" s="1163"/>
      <c r="B631" s="1164"/>
      <c r="C631" s="769"/>
      <c r="D631" s="1163"/>
      <c r="E631" s="1165"/>
      <c r="F631" s="1121"/>
      <c r="G631" s="1121"/>
      <c r="H631" s="1166"/>
      <c r="I631" s="1121"/>
      <c r="J631" s="1165"/>
      <c r="K631" s="1121"/>
      <c r="L631" s="1121"/>
      <c r="M631" s="1166"/>
      <c r="N631" s="1121"/>
      <c r="O631" s="1165"/>
      <c r="P631" s="1121"/>
      <c r="Q631" s="1121"/>
      <c r="R631" s="1166"/>
      <c r="S631" s="1132"/>
    </row>
    <row r="632" spans="1:19">
      <c r="A632" s="1163"/>
      <c r="B632" s="1164"/>
      <c r="C632" s="769"/>
      <c r="D632" s="1163"/>
      <c r="E632" s="1165"/>
      <c r="F632" s="1121"/>
      <c r="G632" s="1121"/>
      <c r="H632" s="1166"/>
      <c r="I632" s="1121"/>
      <c r="J632" s="1165"/>
      <c r="K632" s="1121"/>
      <c r="L632" s="1121"/>
      <c r="M632" s="1166"/>
      <c r="N632" s="1121"/>
      <c r="O632" s="1165"/>
      <c r="P632" s="1121"/>
      <c r="Q632" s="1121"/>
      <c r="R632" s="1166"/>
      <c r="S632" s="1132"/>
    </row>
    <row r="633" spans="1:19">
      <c r="A633" s="1163"/>
      <c r="B633" s="1164"/>
      <c r="C633" s="769"/>
      <c r="D633" s="1163"/>
      <c r="E633" s="1165"/>
      <c r="F633" s="1121"/>
      <c r="G633" s="1121"/>
      <c r="H633" s="1166"/>
      <c r="I633" s="1121"/>
      <c r="J633" s="1165"/>
      <c r="K633" s="1121"/>
      <c r="L633" s="1121"/>
      <c r="M633" s="1166"/>
      <c r="N633" s="1121"/>
      <c r="O633" s="1165"/>
      <c r="P633" s="1121"/>
      <c r="Q633" s="1121"/>
      <c r="R633" s="1166"/>
      <c r="S633" s="1132"/>
    </row>
    <row r="634" spans="1:19">
      <c r="A634" s="1163"/>
      <c r="B634" s="1164"/>
      <c r="C634" s="769"/>
      <c r="D634" s="1163"/>
      <c r="E634" s="1165"/>
      <c r="F634" s="1121"/>
      <c r="G634" s="1121"/>
      <c r="H634" s="1166"/>
      <c r="I634" s="1121"/>
      <c r="J634" s="1165"/>
      <c r="K634" s="1121"/>
      <c r="L634" s="1121"/>
      <c r="M634" s="1166"/>
      <c r="N634" s="1121"/>
      <c r="O634" s="1165"/>
      <c r="P634" s="1121"/>
      <c r="Q634" s="1121"/>
      <c r="R634" s="1166"/>
      <c r="S634" s="1132"/>
    </row>
    <row r="635" spans="1:19">
      <c r="A635" s="1163"/>
      <c r="B635" s="1164"/>
      <c r="C635" s="769"/>
      <c r="D635" s="1163"/>
      <c r="E635" s="1165"/>
      <c r="F635" s="1121"/>
      <c r="G635" s="1121"/>
      <c r="H635" s="1166"/>
      <c r="I635" s="1121"/>
      <c r="J635" s="1165"/>
      <c r="K635" s="1121"/>
      <c r="L635" s="1121"/>
      <c r="M635" s="1166"/>
      <c r="N635" s="1121"/>
      <c r="O635" s="1165"/>
      <c r="P635" s="1121"/>
      <c r="Q635" s="1121"/>
      <c r="R635" s="1166"/>
      <c r="S635" s="1132"/>
    </row>
    <row r="636" spans="1:19">
      <c r="A636" s="1163"/>
      <c r="B636" s="1164"/>
      <c r="C636" s="769"/>
      <c r="D636" s="1163"/>
      <c r="E636" s="1036"/>
      <c r="F636" s="962"/>
      <c r="G636" s="962"/>
      <c r="H636" s="1167"/>
      <c r="I636" s="962"/>
      <c r="J636" s="1036"/>
      <c r="K636" s="962"/>
      <c r="L636" s="962"/>
      <c r="M636" s="1167"/>
      <c r="N636" s="962"/>
      <c r="O636" s="1036"/>
      <c r="P636" s="962"/>
      <c r="Q636" s="962"/>
      <c r="R636" s="1167"/>
      <c r="S636" s="1132"/>
    </row>
    <row r="637" spans="1:19">
      <c r="A637" s="1163"/>
      <c r="B637" s="1164"/>
      <c r="C637" s="769"/>
      <c r="D637" s="1163"/>
      <c r="E637" s="1036"/>
      <c r="F637" s="962"/>
      <c r="G637" s="962"/>
      <c r="H637" s="1167"/>
      <c r="I637" s="962"/>
      <c r="J637" s="1036"/>
      <c r="K637" s="962"/>
      <c r="L637" s="962"/>
      <c r="M637" s="1167"/>
      <c r="N637" s="962"/>
      <c r="O637" s="1036"/>
      <c r="P637" s="962"/>
      <c r="Q637" s="962"/>
      <c r="R637" s="1167"/>
      <c r="S637" s="1132"/>
    </row>
    <row r="638" spans="1:19">
      <c r="A638" s="1163"/>
      <c r="B638" s="1164"/>
      <c r="C638" s="769"/>
      <c r="D638" s="1163"/>
      <c r="E638" s="1036"/>
      <c r="F638" s="962"/>
      <c r="G638" s="962"/>
      <c r="H638" s="1167"/>
      <c r="I638" s="962"/>
      <c r="J638" s="1036"/>
      <c r="K638" s="962"/>
      <c r="L638" s="962"/>
      <c r="M638" s="1167"/>
      <c r="N638" s="962"/>
      <c r="O638" s="1036"/>
      <c r="P638" s="962"/>
      <c r="Q638" s="962"/>
      <c r="R638" s="1167"/>
      <c r="S638" s="1132"/>
    </row>
    <row r="639" spans="1:19">
      <c r="A639" s="1163"/>
      <c r="B639" s="1164"/>
      <c r="C639" s="769"/>
      <c r="D639" s="1163"/>
      <c r="E639" s="1036"/>
      <c r="F639" s="962"/>
      <c r="G639" s="962"/>
      <c r="H639" s="1167"/>
      <c r="I639" s="962"/>
      <c r="J639" s="1036"/>
      <c r="K639" s="962"/>
      <c r="L639" s="962"/>
      <c r="M639" s="1167"/>
      <c r="N639" s="962"/>
      <c r="O639" s="1036"/>
      <c r="P639" s="962"/>
      <c r="Q639" s="962"/>
      <c r="R639" s="1167"/>
      <c r="S639" s="1132"/>
    </row>
    <row r="640" spans="1:19">
      <c r="A640" s="1163"/>
      <c r="B640" s="1164"/>
      <c r="C640" s="769"/>
      <c r="D640" s="1163"/>
      <c r="E640" s="1036"/>
      <c r="F640" s="962"/>
      <c r="G640" s="962"/>
      <c r="H640" s="1167"/>
      <c r="I640" s="962"/>
      <c r="J640" s="1036"/>
      <c r="K640" s="962"/>
      <c r="L640" s="962"/>
      <c r="M640" s="1167"/>
      <c r="N640" s="962"/>
      <c r="O640" s="1036"/>
      <c r="P640" s="962"/>
      <c r="Q640" s="962"/>
      <c r="R640" s="1167"/>
      <c r="S640" s="1132"/>
    </row>
    <row r="641" spans="1:19">
      <c r="A641" s="1163"/>
      <c r="B641" s="1164"/>
      <c r="C641" s="769"/>
      <c r="D641" s="1163"/>
      <c r="E641" s="1036"/>
      <c r="F641" s="962"/>
      <c r="G641" s="962"/>
      <c r="H641" s="1167"/>
      <c r="I641" s="962"/>
      <c r="J641" s="1036"/>
      <c r="K641" s="962"/>
      <c r="L641" s="962"/>
      <c r="M641" s="1167"/>
      <c r="N641" s="962"/>
      <c r="O641" s="1036"/>
      <c r="P641" s="962"/>
      <c r="Q641" s="962"/>
      <c r="R641" s="1167"/>
      <c r="S641" s="1132"/>
    </row>
    <row r="642" spans="1:19">
      <c r="A642" s="1163"/>
      <c r="B642" s="1164"/>
      <c r="C642" s="769"/>
      <c r="D642" s="1163"/>
      <c r="E642" s="1036"/>
      <c r="F642" s="962"/>
      <c r="G642" s="962"/>
      <c r="H642" s="1167"/>
      <c r="I642" s="962"/>
      <c r="J642" s="1036"/>
      <c r="K642" s="962"/>
      <c r="L642" s="962"/>
      <c r="M642" s="1167"/>
      <c r="N642" s="962"/>
      <c r="O642" s="1036"/>
      <c r="P642" s="962"/>
      <c r="Q642" s="962"/>
      <c r="R642" s="1167"/>
      <c r="S642" s="1132"/>
    </row>
    <row r="643" spans="1:19">
      <c r="A643" s="1163"/>
      <c r="B643" s="1164"/>
      <c r="C643" s="769"/>
      <c r="D643" s="1163"/>
      <c r="E643" s="1036"/>
      <c r="F643" s="962"/>
      <c r="G643" s="962"/>
      <c r="H643" s="1167"/>
      <c r="I643" s="962"/>
      <c r="J643" s="1036"/>
      <c r="K643" s="962"/>
      <c r="L643" s="962"/>
      <c r="M643" s="1167"/>
      <c r="N643" s="962"/>
      <c r="O643" s="1036"/>
      <c r="P643" s="962"/>
      <c r="Q643" s="962"/>
      <c r="R643" s="1167"/>
      <c r="S643" s="1132"/>
    </row>
    <row r="644" spans="1:19">
      <c r="A644" s="1163"/>
      <c r="B644" s="1164"/>
      <c r="C644" s="769"/>
      <c r="D644" s="1163"/>
      <c r="E644" s="1036"/>
      <c r="F644" s="962"/>
      <c r="G644" s="962"/>
      <c r="H644" s="1167"/>
      <c r="I644" s="962"/>
      <c r="J644" s="1036"/>
      <c r="K644" s="962"/>
      <c r="L644" s="962"/>
      <c r="M644" s="1167"/>
      <c r="N644" s="962"/>
      <c r="O644" s="1036"/>
      <c r="P644" s="962"/>
      <c r="Q644" s="962"/>
      <c r="R644" s="1167"/>
      <c r="S644" s="1132"/>
    </row>
    <row r="645" spans="1:19">
      <c r="A645" s="1163"/>
      <c r="B645" s="1164"/>
      <c r="C645" s="769"/>
      <c r="D645" s="1163"/>
      <c r="E645" s="1036"/>
      <c r="F645" s="962"/>
      <c r="G645" s="962"/>
      <c r="H645" s="1167"/>
      <c r="I645" s="962"/>
      <c r="J645" s="1036"/>
      <c r="K645" s="962"/>
      <c r="L645" s="962"/>
      <c r="M645" s="1167"/>
      <c r="N645" s="962"/>
      <c r="O645" s="1036"/>
      <c r="P645" s="962"/>
      <c r="Q645" s="962"/>
      <c r="R645" s="1167"/>
      <c r="S645" s="1132"/>
    </row>
    <row r="646" spans="1:19">
      <c r="A646" s="1163"/>
      <c r="B646" s="1164"/>
      <c r="C646" s="769"/>
      <c r="D646" s="1163"/>
      <c r="E646" s="1036"/>
      <c r="F646" s="962"/>
      <c r="G646" s="962"/>
      <c r="H646" s="1167"/>
      <c r="I646" s="962"/>
      <c r="J646" s="1036"/>
      <c r="K646" s="962"/>
      <c r="L646" s="962"/>
      <c r="M646" s="1167"/>
      <c r="N646" s="962"/>
      <c r="O646" s="1036"/>
      <c r="P646" s="962"/>
      <c r="Q646" s="962"/>
      <c r="R646" s="1167"/>
      <c r="S646" s="1132"/>
    </row>
    <row r="647" spans="1:19">
      <c r="A647" s="1163"/>
      <c r="B647" s="1164"/>
      <c r="C647" s="769"/>
      <c r="D647" s="1163"/>
      <c r="E647" s="1036"/>
      <c r="F647" s="962"/>
      <c r="G647" s="962"/>
      <c r="H647" s="1167"/>
      <c r="I647" s="962"/>
      <c r="J647" s="1036"/>
      <c r="K647" s="962"/>
      <c r="L647" s="962"/>
      <c r="M647" s="1167"/>
      <c r="N647" s="962"/>
      <c r="O647" s="1036"/>
      <c r="P647" s="962"/>
      <c r="Q647" s="962"/>
      <c r="R647" s="1167"/>
      <c r="S647" s="1132"/>
    </row>
    <row r="648" spans="1:19">
      <c r="A648" s="1163"/>
      <c r="B648" s="1164"/>
      <c r="C648" s="769"/>
      <c r="D648" s="1163"/>
      <c r="E648" s="1036"/>
      <c r="F648" s="962"/>
      <c r="G648" s="962"/>
      <c r="H648" s="1167"/>
      <c r="I648" s="962"/>
      <c r="J648" s="1036"/>
      <c r="K648" s="962"/>
      <c r="L648" s="962"/>
      <c r="M648" s="1167"/>
      <c r="N648" s="962"/>
      <c r="O648" s="1036"/>
      <c r="P648" s="962"/>
      <c r="Q648" s="962"/>
      <c r="R648" s="1167"/>
      <c r="S648" s="1132"/>
    </row>
    <row r="649" spans="1:19">
      <c r="A649" s="1163"/>
      <c r="B649" s="1164"/>
      <c r="C649" s="769"/>
      <c r="D649" s="1163"/>
      <c r="E649" s="1036"/>
      <c r="F649" s="962"/>
      <c r="G649" s="962"/>
      <c r="H649" s="1167"/>
      <c r="I649" s="962"/>
      <c r="J649" s="1036"/>
      <c r="K649" s="962"/>
      <c r="L649" s="962"/>
      <c r="M649" s="1167"/>
      <c r="N649" s="962"/>
      <c r="O649" s="1036"/>
      <c r="P649" s="962"/>
      <c r="Q649" s="962"/>
      <c r="R649" s="1167"/>
      <c r="S649" s="1132"/>
    </row>
    <row r="650" spans="1:19">
      <c r="A650" s="1163"/>
      <c r="B650" s="1164"/>
      <c r="C650" s="769"/>
      <c r="D650" s="1163"/>
      <c r="E650" s="1036"/>
      <c r="F650" s="962"/>
      <c r="G650" s="962"/>
      <c r="H650" s="1167"/>
      <c r="I650" s="962"/>
      <c r="J650" s="1036"/>
      <c r="K650" s="962"/>
      <c r="L650" s="962"/>
      <c r="M650" s="1167"/>
      <c r="N650" s="962"/>
      <c r="O650" s="1036"/>
      <c r="P650" s="962"/>
      <c r="Q650" s="962"/>
      <c r="R650" s="1167"/>
      <c r="S650" s="1132"/>
    </row>
    <row r="651" spans="1:19">
      <c r="A651" s="1163"/>
      <c r="B651" s="1164"/>
      <c r="C651" s="769"/>
      <c r="D651" s="1163"/>
      <c r="E651" s="1036"/>
      <c r="F651" s="962"/>
      <c r="G651" s="962"/>
      <c r="H651" s="1167"/>
      <c r="I651" s="962"/>
      <c r="J651" s="1036"/>
      <c r="K651" s="962"/>
      <c r="L651" s="962"/>
      <c r="M651" s="1167"/>
      <c r="N651" s="962"/>
      <c r="O651" s="1036"/>
      <c r="P651" s="962"/>
      <c r="Q651" s="962"/>
      <c r="R651" s="1167"/>
      <c r="S651" s="1132"/>
    </row>
    <row r="652" spans="1:19">
      <c r="A652" s="1163"/>
      <c r="B652" s="1164"/>
      <c r="C652" s="769"/>
      <c r="D652" s="1163"/>
      <c r="E652" s="1036"/>
      <c r="F652" s="962"/>
      <c r="G652" s="962"/>
      <c r="H652" s="1167"/>
      <c r="I652" s="962"/>
      <c r="J652" s="1036"/>
      <c r="K652" s="962"/>
      <c r="L652" s="962"/>
      <c r="M652" s="1167"/>
      <c r="N652" s="962"/>
      <c r="O652" s="1036"/>
      <c r="P652" s="962"/>
      <c r="Q652" s="962"/>
      <c r="R652" s="1167"/>
      <c r="S652" s="1132"/>
    </row>
    <row r="653" spans="1:19">
      <c r="A653" s="1163"/>
      <c r="B653" s="1164"/>
      <c r="C653" s="769"/>
      <c r="D653" s="1163"/>
      <c r="E653" s="1036"/>
      <c r="F653" s="962"/>
      <c r="G653" s="962"/>
      <c r="H653" s="1167"/>
      <c r="I653" s="962"/>
      <c r="J653" s="1036"/>
      <c r="K653" s="962"/>
      <c r="L653" s="962"/>
      <c r="M653" s="1167"/>
      <c r="N653" s="962"/>
      <c r="O653" s="1036"/>
      <c r="P653" s="962"/>
      <c r="Q653" s="962"/>
      <c r="R653" s="1167"/>
      <c r="S653" s="1132"/>
    </row>
    <row r="654" spans="1:19">
      <c r="A654" s="1163"/>
      <c r="B654" s="1164"/>
      <c r="C654" s="769"/>
      <c r="D654" s="1163"/>
      <c r="E654" s="1036"/>
      <c r="F654" s="962"/>
      <c r="G654" s="962"/>
      <c r="H654" s="1167"/>
      <c r="I654" s="962"/>
      <c r="J654" s="1036"/>
      <c r="K654" s="962"/>
      <c r="L654" s="962"/>
      <c r="M654" s="1167"/>
      <c r="N654" s="962"/>
      <c r="O654" s="1036"/>
      <c r="P654" s="962"/>
      <c r="Q654" s="962"/>
      <c r="R654" s="1167"/>
      <c r="S654" s="1132"/>
    </row>
    <row r="655" spans="1:19">
      <c r="A655" s="1163"/>
      <c r="B655" s="1164"/>
      <c r="C655" s="769"/>
      <c r="D655" s="1163"/>
      <c r="E655" s="1036"/>
      <c r="F655" s="962"/>
      <c r="G655" s="962"/>
      <c r="H655" s="1167"/>
      <c r="I655" s="962"/>
      <c r="J655" s="1036"/>
      <c r="K655" s="962"/>
      <c r="L655" s="962"/>
      <c r="M655" s="1167"/>
      <c r="N655" s="962"/>
      <c r="O655" s="1036"/>
      <c r="P655" s="962"/>
      <c r="Q655" s="962"/>
      <c r="R655" s="1167"/>
      <c r="S655" s="1132"/>
    </row>
    <row r="656" spans="1:19">
      <c r="A656" s="1163"/>
      <c r="B656" s="1164"/>
      <c r="C656" s="769"/>
      <c r="D656" s="1163"/>
      <c r="E656" s="1036"/>
      <c r="F656" s="962"/>
      <c r="G656" s="962"/>
      <c r="H656" s="1167"/>
      <c r="I656" s="962"/>
      <c r="J656" s="1036"/>
      <c r="K656" s="962"/>
      <c r="L656" s="962"/>
      <c r="M656" s="1167"/>
      <c r="N656" s="962"/>
      <c r="O656" s="1036"/>
      <c r="P656" s="962"/>
      <c r="Q656" s="962"/>
      <c r="R656" s="1167"/>
      <c r="S656" s="1132"/>
    </row>
    <row r="657" spans="1:19">
      <c r="A657" s="1163"/>
      <c r="B657" s="1164"/>
      <c r="C657" s="769"/>
      <c r="D657" s="1163"/>
      <c r="E657" s="1036"/>
      <c r="F657" s="962"/>
      <c r="G657" s="962"/>
      <c r="H657" s="1167"/>
      <c r="I657" s="962"/>
      <c r="J657" s="1036"/>
      <c r="K657" s="962"/>
      <c r="L657" s="962"/>
      <c r="M657" s="1167"/>
      <c r="N657" s="962"/>
      <c r="O657" s="1036"/>
      <c r="P657" s="962"/>
      <c r="Q657" s="962"/>
      <c r="R657" s="1167"/>
      <c r="S657" s="1132"/>
    </row>
    <row r="658" spans="1:19">
      <c r="A658" s="1163"/>
      <c r="B658" s="1164"/>
      <c r="C658" s="769"/>
      <c r="D658" s="1163"/>
      <c r="E658" s="1036"/>
      <c r="F658" s="962"/>
      <c r="G658" s="962"/>
      <c r="H658" s="1167"/>
      <c r="I658" s="962"/>
      <c r="J658" s="1036"/>
      <c r="K658" s="962"/>
      <c r="L658" s="962"/>
      <c r="M658" s="1167"/>
      <c r="N658" s="962"/>
      <c r="O658" s="1036"/>
      <c r="P658" s="962"/>
      <c r="Q658" s="962"/>
      <c r="R658" s="1167"/>
      <c r="S658" s="1132"/>
    </row>
    <row r="659" spans="1:19">
      <c r="A659" s="1163"/>
      <c r="B659" s="1164"/>
      <c r="C659" s="769"/>
      <c r="D659" s="1163"/>
      <c r="E659" s="1036"/>
      <c r="F659" s="962"/>
      <c r="G659" s="962"/>
      <c r="H659" s="1167"/>
      <c r="I659" s="962"/>
      <c r="J659" s="1036"/>
      <c r="K659" s="962"/>
      <c r="L659" s="962"/>
      <c r="M659" s="1167"/>
      <c r="N659" s="962"/>
      <c r="O659" s="1036"/>
      <c r="P659" s="962"/>
      <c r="Q659" s="962"/>
      <c r="R659" s="1167"/>
      <c r="S659" s="1132"/>
    </row>
    <row r="660" spans="1:19">
      <c r="A660" s="1163"/>
      <c r="B660" s="1164"/>
      <c r="C660" s="769"/>
      <c r="D660" s="1163"/>
      <c r="E660" s="1036"/>
      <c r="F660" s="962"/>
      <c r="G660" s="962"/>
      <c r="H660" s="1167"/>
      <c r="I660" s="962"/>
      <c r="J660" s="1036"/>
      <c r="K660" s="962"/>
      <c r="L660" s="962"/>
      <c r="M660" s="1167"/>
      <c r="N660" s="962"/>
      <c r="O660" s="1036"/>
      <c r="P660" s="962"/>
      <c r="Q660" s="962"/>
      <c r="R660" s="1167"/>
      <c r="S660" s="1132"/>
    </row>
    <row r="661" spans="1:19">
      <c r="A661" s="1163"/>
      <c r="B661" s="1164"/>
      <c r="C661" s="769"/>
      <c r="D661" s="1163"/>
      <c r="E661" s="1036"/>
      <c r="F661" s="962"/>
      <c r="G661" s="962"/>
      <c r="H661" s="1167"/>
      <c r="I661" s="962"/>
      <c r="J661" s="1036"/>
      <c r="K661" s="962"/>
      <c r="L661" s="962"/>
      <c r="M661" s="1167"/>
      <c r="N661" s="962"/>
      <c r="O661" s="1036"/>
      <c r="P661" s="962"/>
      <c r="Q661" s="962"/>
      <c r="R661" s="1167"/>
      <c r="S661" s="1132"/>
    </row>
    <row r="662" spans="1:19">
      <c r="A662" s="1163"/>
      <c r="B662" s="1164"/>
      <c r="C662" s="769"/>
      <c r="D662" s="1163"/>
      <c r="E662" s="1036"/>
      <c r="F662" s="962"/>
      <c r="G662" s="962"/>
      <c r="H662" s="1167"/>
      <c r="I662" s="962"/>
      <c r="J662" s="1036"/>
      <c r="K662" s="962"/>
      <c r="L662" s="962"/>
      <c r="M662" s="1167"/>
      <c r="N662" s="962"/>
      <c r="O662" s="1036"/>
      <c r="P662" s="962"/>
      <c r="Q662" s="962"/>
      <c r="R662" s="1167"/>
      <c r="S662" s="1132"/>
    </row>
    <row r="663" spans="1:19">
      <c r="A663" s="1163"/>
      <c r="B663" s="1164"/>
      <c r="C663" s="769"/>
      <c r="D663" s="1163"/>
      <c r="E663" s="1036"/>
      <c r="F663" s="962"/>
      <c r="G663" s="962"/>
      <c r="H663" s="1167"/>
      <c r="I663" s="962"/>
      <c r="J663" s="1036"/>
      <c r="K663" s="962"/>
      <c r="L663" s="962"/>
      <c r="M663" s="1167"/>
      <c r="N663" s="962"/>
      <c r="O663" s="1036"/>
      <c r="P663" s="962"/>
      <c r="Q663" s="962"/>
      <c r="R663" s="1167"/>
      <c r="S663" s="1132"/>
    </row>
    <row r="664" spans="1:19">
      <c r="A664" s="1163"/>
      <c r="B664" s="1164"/>
      <c r="C664" s="769"/>
      <c r="D664" s="1163"/>
      <c r="E664" s="1036"/>
      <c r="F664" s="962"/>
      <c r="G664" s="962"/>
      <c r="H664" s="1167"/>
      <c r="I664" s="962"/>
      <c r="J664" s="1036"/>
      <c r="K664" s="962"/>
      <c r="L664" s="962"/>
      <c r="M664" s="1167"/>
      <c r="N664" s="962"/>
      <c r="O664" s="1036"/>
      <c r="P664" s="962"/>
      <c r="Q664" s="962"/>
      <c r="R664" s="1167"/>
      <c r="S664" s="1132"/>
    </row>
    <row r="665" spans="1:19">
      <c r="A665" s="341"/>
      <c r="B665" s="297"/>
      <c r="C665" s="296"/>
      <c r="D665" s="341"/>
    </row>
    <row r="666" spans="1:19">
      <c r="A666" s="341"/>
      <c r="B666" s="297"/>
      <c r="C666" s="296"/>
      <c r="D666" s="341"/>
    </row>
    <row r="667" spans="1:19">
      <c r="A667" s="341"/>
      <c r="B667" s="297"/>
      <c r="C667" s="296"/>
      <c r="D667" s="341"/>
    </row>
    <row r="668" spans="1:19">
      <c r="A668" s="341"/>
      <c r="B668" s="297"/>
      <c r="C668" s="296"/>
      <c r="D668" s="341"/>
    </row>
    <row r="669" spans="1:19">
      <c r="A669" s="341"/>
      <c r="B669" s="297"/>
      <c r="C669" s="296"/>
      <c r="D669" s="341"/>
    </row>
    <row r="670" spans="1:19">
      <c r="A670" s="341"/>
      <c r="B670" s="297"/>
      <c r="C670" s="296"/>
      <c r="D670" s="341"/>
    </row>
    <row r="671" spans="1:19">
      <c r="A671" s="341"/>
      <c r="B671" s="297"/>
      <c r="C671" s="296"/>
      <c r="D671" s="341"/>
    </row>
    <row r="672" spans="1:19">
      <c r="A672" s="341"/>
      <c r="B672" s="297"/>
      <c r="C672" s="296"/>
      <c r="D672" s="341"/>
    </row>
    <row r="673" spans="1:4">
      <c r="A673" s="341"/>
      <c r="B673" s="297"/>
      <c r="C673" s="296"/>
      <c r="D673" s="341"/>
    </row>
    <row r="674" spans="1:4">
      <c r="A674" s="341"/>
      <c r="B674" s="297"/>
      <c r="C674" s="296"/>
      <c r="D674" s="341"/>
    </row>
    <row r="675" spans="1:4">
      <c r="A675" s="341"/>
      <c r="B675" s="297"/>
      <c r="C675" s="296"/>
      <c r="D675" s="341"/>
    </row>
    <row r="676" spans="1:4">
      <c r="A676" s="341"/>
      <c r="B676" s="297"/>
      <c r="C676" s="296"/>
      <c r="D676" s="341"/>
    </row>
    <row r="677" spans="1:4">
      <c r="A677" s="341"/>
      <c r="B677" s="297"/>
      <c r="C677" s="296"/>
      <c r="D677" s="341"/>
    </row>
    <row r="678" spans="1:4">
      <c r="A678" s="341"/>
      <c r="B678" s="297"/>
      <c r="C678" s="296"/>
      <c r="D678" s="341"/>
    </row>
    <row r="679" spans="1:4">
      <c r="A679" s="341"/>
      <c r="B679" s="297"/>
      <c r="C679" s="296"/>
      <c r="D679" s="341"/>
    </row>
    <row r="680" spans="1:4">
      <c r="A680" s="341"/>
      <c r="B680" s="297"/>
      <c r="C680" s="296"/>
      <c r="D680" s="341"/>
    </row>
    <row r="681" spans="1:4">
      <c r="A681" s="341"/>
      <c r="B681" s="297"/>
      <c r="C681" s="296"/>
      <c r="D681" s="341"/>
    </row>
    <row r="682" spans="1:4">
      <c r="A682" s="341"/>
      <c r="B682" s="297"/>
      <c r="C682" s="296"/>
      <c r="D682" s="341"/>
    </row>
    <row r="683" spans="1:4">
      <c r="A683" s="341"/>
      <c r="B683" s="297"/>
      <c r="C683" s="296"/>
      <c r="D683" s="341"/>
    </row>
    <row r="684" spans="1:4">
      <c r="A684" s="341"/>
      <c r="B684" s="297"/>
      <c r="C684" s="296"/>
      <c r="D684" s="341"/>
    </row>
    <row r="685" spans="1:4">
      <c r="A685" s="341"/>
      <c r="B685" s="297"/>
      <c r="C685" s="296"/>
      <c r="D685" s="341"/>
    </row>
    <row r="686" spans="1:4">
      <c r="A686" s="341"/>
      <c r="B686" s="297"/>
      <c r="C686" s="296"/>
      <c r="D686" s="341"/>
    </row>
    <row r="687" spans="1:4">
      <c r="A687" s="341"/>
      <c r="B687" s="297"/>
      <c r="C687" s="296"/>
      <c r="D687" s="341"/>
    </row>
    <row r="688" spans="1:4">
      <c r="A688" s="341"/>
      <c r="B688" s="297"/>
      <c r="C688" s="296"/>
      <c r="D688" s="341"/>
    </row>
    <row r="689" spans="1:4">
      <c r="A689" s="341"/>
      <c r="B689" s="297"/>
      <c r="C689" s="296"/>
      <c r="D689" s="341"/>
    </row>
    <row r="690" spans="1:4">
      <c r="A690" s="341"/>
      <c r="B690" s="297"/>
      <c r="C690" s="296"/>
      <c r="D690" s="341"/>
    </row>
    <row r="691" spans="1:4">
      <c r="A691" s="341"/>
      <c r="B691" s="297"/>
      <c r="C691" s="296"/>
      <c r="D691" s="341"/>
    </row>
    <row r="692" spans="1:4">
      <c r="A692" s="341"/>
      <c r="B692" s="297"/>
      <c r="C692" s="296"/>
      <c r="D692" s="341"/>
    </row>
    <row r="693" spans="1:4">
      <c r="A693" s="341"/>
      <c r="B693" s="297"/>
      <c r="C693" s="296"/>
      <c r="D693" s="341"/>
    </row>
    <row r="694" spans="1:4">
      <c r="A694" s="341"/>
      <c r="B694" s="297"/>
      <c r="C694" s="296"/>
      <c r="D694" s="341"/>
    </row>
    <row r="695" spans="1:4">
      <c r="A695" s="341"/>
      <c r="B695" s="297"/>
      <c r="C695" s="296"/>
      <c r="D695" s="341"/>
    </row>
    <row r="696" spans="1:4">
      <c r="A696" s="341"/>
      <c r="B696" s="297"/>
      <c r="C696" s="296"/>
      <c r="D696" s="341"/>
    </row>
    <row r="697" spans="1:4">
      <c r="A697" s="341"/>
      <c r="B697" s="297"/>
      <c r="C697" s="296"/>
      <c r="D697" s="341"/>
    </row>
    <row r="698" spans="1:4">
      <c r="A698" s="341"/>
      <c r="B698" s="297"/>
      <c r="C698" s="296"/>
      <c r="D698" s="341"/>
    </row>
    <row r="699" spans="1:4">
      <c r="A699" s="341"/>
      <c r="B699" s="297"/>
      <c r="C699" s="296"/>
      <c r="D699" s="341"/>
    </row>
    <row r="700" spans="1:4">
      <c r="A700" s="341"/>
      <c r="B700" s="297"/>
      <c r="C700" s="296"/>
      <c r="D700" s="341"/>
    </row>
    <row r="701" spans="1:4">
      <c r="A701" s="341"/>
      <c r="B701" s="297"/>
      <c r="C701" s="296"/>
      <c r="D701" s="341"/>
    </row>
    <row r="702" spans="1:4">
      <c r="A702" s="341"/>
      <c r="B702" s="297"/>
      <c r="C702" s="296"/>
      <c r="D702" s="341"/>
    </row>
    <row r="703" spans="1:4">
      <c r="A703" s="341"/>
      <c r="B703" s="297"/>
      <c r="C703" s="296"/>
      <c r="D703" s="341"/>
    </row>
    <row r="704" spans="1:4">
      <c r="A704" s="341"/>
      <c r="B704" s="297"/>
      <c r="C704" s="296"/>
      <c r="D704" s="341"/>
    </row>
    <row r="705" spans="1:4">
      <c r="A705" s="341"/>
      <c r="B705" s="297"/>
      <c r="C705" s="296"/>
      <c r="D705" s="341"/>
    </row>
    <row r="706" spans="1:4">
      <c r="A706" s="341"/>
      <c r="B706" s="297"/>
      <c r="C706" s="296"/>
      <c r="D706" s="341"/>
    </row>
    <row r="707" spans="1:4">
      <c r="A707" s="341"/>
      <c r="B707" s="297"/>
      <c r="C707" s="296"/>
      <c r="D707" s="341"/>
    </row>
    <row r="708" spans="1:4">
      <c r="A708" s="341"/>
      <c r="B708" s="297"/>
      <c r="C708" s="296"/>
      <c r="D708" s="341"/>
    </row>
    <row r="709" spans="1:4">
      <c r="A709" s="341"/>
      <c r="B709" s="297"/>
      <c r="C709" s="296"/>
      <c r="D709" s="341"/>
    </row>
    <row r="710" spans="1:4">
      <c r="A710" s="341"/>
      <c r="B710" s="297"/>
      <c r="C710" s="296"/>
      <c r="D710" s="341"/>
    </row>
    <row r="711" spans="1:4">
      <c r="A711" s="341"/>
      <c r="B711" s="297"/>
      <c r="C711" s="296"/>
      <c r="D711" s="341"/>
    </row>
    <row r="712" spans="1:4">
      <c r="A712" s="341"/>
      <c r="B712" s="297"/>
      <c r="C712" s="296"/>
      <c r="D712" s="341"/>
    </row>
    <row r="713" spans="1:4">
      <c r="A713" s="341"/>
      <c r="B713" s="297"/>
      <c r="C713" s="296"/>
      <c r="D713" s="341"/>
    </row>
    <row r="714" spans="1:4">
      <c r="A714" s="341"/>
      <c r="B714" s="297"/>
      <c r="C714" s="296"/>
      <c r="D714" s="341"/>
    </row>
    <row r="715" spans="1:4">
      <c r="A715" s="341"/>
      <c r="B715" s="297"/>
      <c r="C715" s="296"/>
      <c r="D715" s="341"/>
    </row>
    <row r="716" spans="1:4">
      <c r="A716" s="341"/>
      <c r="B716" s="297"/>
      <c r="C716" s="296"/>
      <c r="D716" s="341"/>
    </row>
    <row r="717" spans="1:4">
      <c r="A717" s="341"/>
      <c r="B717" s="297"/>
      <c r="C717" s="296"/>
      <c r="D717" s="341"/>
    </row>
    <row r="718" spans="1:4">
      <c r="A718" s="341"/>
      <c r="B718" s="297"/>
      <c r="C718" s="296"/>
      <c r="D718" s="341"/>
    </row>
    <row r="719" spans="1:4">
      <c r="A719" s="341"/>
      <c r="B719" s="297"/>
      <c r="C719" s="296"/>
      <c r="D719" s="341"/>
    </row>
    <row r="720" spans="1:4">
      <c r="A720" s="341"/>
      <c r="B720" s="297"/>
      <c r="C720" s="296"/>
      <c r="D720" s="341"/>
    </row>
    <row r="721" spans="1:4">
      <c r="A721" s="341"/>
      <c r="B721" s="297"/>
      <c r="C721" s="296"/>
      <c r="D721" s="341"/>
    </row>
    <row r="722" spans="1:4">
      <c r="A722" s="341"/>
      <c r="B722" s="297"/>
      <c r="C722" s="296"/>
      <c r="D722" s="341"/>
    </row>
    <row r="723" spans="1:4">
      <c r="A723" s="341"/>
      <c r="B723" s="297"/>
      <c r="C723" s="296"/>
      <c r="D723" s="341"/>
    </row>
    <row r="724" spans="1:4">
      <c r="A724" s="341"/>
      <c r="B724" s="297"/>
      <c r="C724" s="296"/>
      <c r="D724" s="341"/>
    </row>
    <row r="725" spans="1:4">
      <c r="A725" s="341"/>
      <c r="B725" s="297"/>
      <c r="C725" s="296"/>
      <c r="D725" s="341"/>
    </row>
    <row r="726" spans="1:4">
      <c r="A726" s="341"/>
      <c r="B726" s="297"/>
      <c r="C726" s="296"/>
      <c r="D726" s="341"/>
    </row>
    <row r="727" spans="1:4">
      <c r="A727" s="341"/>
      <c r="B727" s="297"/>
      <c r="C727" s="296"/>
      <c r="D727" s="341"/>
    </row>
    <row r="728" spans="1:4">
      <c r="A728" s="341"/>
      <c r="B728" s="297"/>
      <c r="C728" s="296"/>
      <c r="D728" s="341"/>
    </row>
    <row r="729" spans="1:4">
      <c r="A729" s="341"/>
      <c r="B729" s="297"/>
      <c r="C729" s="296"/>
      <c r="D729" s="341"/>
    </row>
    <row r="730" spans="1:4">
      <c r="A730" s="341"/>
      <c r="B730" s="297"/>
      <c r="C730" s="296"/>
      <c r="D730" s="341"/>
    </row>
    <row r="731" spans="1:4">
      <c r="A731" s="341"/>
      <c r="B731" s="297"/>
      <c r="C731" s="296"/>
      <c r="D731" s="341"/>
    </row>
    <row r="732" spans="1:4">
      <c r="A732" s="341"/>
      <c r="B732" s="297"/>
      <c r="C732" s="296"/>
      <c r="D732" s="341"/>
    </row>
    <row r="733" spans="1:4">
      <c r="A733" s="341"/>
      <c r="B733" s="297"/>
      <c r="C733" s="296"/>
      <c r="D733" s="341"/>
    </row>
    <row r="734" spans="1:4">
      <c r="A734" s="341"/>
      <c r="B734" s="297"/>
      <c r="C734" s="296"/>
      <c r="D734" s="341"/>
    </row>
    <row r="735" spans="1:4">
      <c r="A735" s="341"/>
      <c r="B735" s="297"/>
      <c r="C735" s="296"/>
      <c r="D735" s="341"/>
    </row>
    <row r="736" spans="1:4">
      <c r="A736" s="341"/>
      <c r="B736" s="297"/>
      <c r="C736" s="296"/>
      <c r="D736" s="341"/>
    </row>
    <row r="737" spans="1:4">
      <c r="A737" s="341"/>
      <c r="B737" s="297"/>
      <c r="C737" s="296"/>
      <c r="D737" s="341"/>
    </row>
    <row r="738" spans="1:4">
      <c r="A738" s="341"/>
      <c r="B738" s="297"/>
      <c r="C738" s="296"/>
      <c r="D738" s="341"/>
    </row>
    <row r="739" spans="1:4">
      <c r="A739" s="341"/>
      <c r="B739" s="297"/>
      <c r="C739" s="296"/>
      <c r="D739" s="341"/>
    </row>
    <row r="740" spans="1:4">
      <c r="A740" s="341"/>
      <c r="B740" s="297"/>
      <c r="C740" s="296"/>
      <c r="D740" s="341"/>
    </row>
    <row r="741" spans="1:4">
      <c r="A741" s="341"/>
      <c r="B741" s="297"/>
      <c r="C741" s="296"/>
      <c r="D741" s="341"/>
    </row>
    <row r="742" spans="1:4">
      <c r="A742" s="341"/>
      <c r="B742" s="297"/>
      <c r="C742" s="296"/>
      <c r="D742" s="341"/>
    </row>
    <row r="743" spans="1:4">
      <c r="A743" s="341"/>
      <c r="B743" s="297"/>
      <c r="C743" s="296"/>
      <c r="D743" s="341"/>
    </row>
    <row r="744" spans="1:4">
      <c r="A744" s="341"/>
      <c r="B744" s="297"/>
      <c r="C744" s="296"/>
      <c r="D744" s="341"/>
    </row>
    <row r="745" spans="1:4">
      <c r="A745" s="341"/>
      <c r="B745" s="297"/>
      <c r="C745" s="296"/>
      <c r="D745" s="341"/>
    </row>
    <row r="746" spans="1:4">
      <c r="A746" s="341"/>
      <c r="B746" s="297"/>
      <c r="C746" s="296"/>
      <c r="D746" s="341"/>
    </row>
    <row r="747" spans="1:4">
      <c r="A747" s="341"/>
      <c r="B747" s="297"/>
      <c r="C747" s="296"/>
      <c r="D747" s="341"/>
    </row>
    <row r="748" spans="1:4">
      <c r="A748" s="341"/>
      <c r="B748" s="297"/>
      <c r="C748" s="296"/>
      <c r="D748" s="341"/>
    </row>
    <row r="749" spans="1:4">
      <c r="A749" s="341"/>
      <c r="B749" s="297"/>
      <c r="C749" s="296"/>
      <c r="D749" s="341"/>
    </row>
    <row r="750" spans="1:4">
      <c r="A750" s="341"/>
      <c r="B750" s="297"/>
      <c r="C750" s="296"/>
      <c r="D750" s="341"/>
    </row>
    <row r="751" spans="1:4">
      <c r="A751" s="341"/>
      <c r="B751" s="297"/>
      <c r="C751" s="296"/>
      <c r="D751" s="341"/>
    </row>
    <row r="752" spans="1:4">
      <c r="A752" s="341"/>
      <c r="B752" s="297"/>
      <c r="C752" s="296"/>
      <c r="D752" s="341"/>
    </row>
    <row r="753" spans="1:4">
      <c r="A753" s="341"/>
      <c r="B753" s="297"/>
      <c r="C753" s="296"/>
      <c r="D753" s="341"/>
    </row>
    <row r="754" spans="1:4">
      <c r="A754" s="341"/>
      <c r="B754" s="297"/>
      <c r="C754" s="296"/>
      <c r="D754" s="341"/>
    </row>
    <row r="755" spans="1:4">
      <c r="A755" s="341"/>
      <c r="B755" s="297"/>
      <c r="C755" s="296"/>
      <c r="D755" s="341"/>
    </row>
    <row r="756" spans="1:4">
      <c r="A756" s="341"/>
      <c r="B756" s="297"/>
      <c r="C756" s="296"/>
      <c r="D756" s="341"/>
    </row>
    <row r="757" spans="1:4">
      <c r="A757" s="341"/>
      <c r="B757" s="297"/>
      <c r="C757" s="296"/>
      <c r="D757" s="341"/>
    </row>
    <row r="758" spans="1:4">
      <c r="A758" s="341"/>
      <c r="B758" s="297"/>
      <c r="C758" s="296"/>
      <c r="D758" s="341"/>
    </row>
    <row r="759" spans="1:4">
      <c r="A759" s="341"/>
      <c r="B759" s="297"/>
      <c r="C759" s="296"/>
      <c r="D759" s="341"/>
    </row>
    <row r="760" spans="1:4">
      <c r="A760" s="341"/>
      <c r="B760" s="297"/>
      <c r="C760" s="296"/>
      <c r="D760" s="341"/>
    </row>
    <row r="761" spans="1:4">
      <c r="A761" s="341"/>
      <c r="B761" s="297"/>
      <c r="C761" s="296"/>
      <c r="D761" s="341"/>
    </row>
    <row r="762" spans="1:4">
      <c r="A762" s="341"/>
      <c r="B762" s="297"/>
      <c r="C762" s="296"/>
      <c r="D762" s="341"/>
    </row>
    <row r="763" spans="1:4">
      <c r="A763" s="341"/>
      <c r="B763" s="297"/>
      <c r="C763" s="296"/>
      <c r="D763" s="341"/>
    </row>
    <row r="764" spans="1:4">
      <c r="A764" s="341"/>
      <c r="B764" s="297"/>
      <c r="C764" s="296"/>
      <c r="D764" s="341"/>
    </row>
    <row r="765" spans="1:4">
      <c r="A765" s="341"/>
      <c r="B765" s="297"/>
      <c r="C765" s="296"/>
      <c r="D765" s="341"/>
    </row>
    <row r="766" spans="1:4">
      <c r="A766" s="341"/>
      <c r="B766" s="297"/>
      <c r="C766" s="296"/>
      <c r="D766" s="341"/>
    </row>
    <row r="767" spans="1:4">
      <c r="A767" s="341"/>
      <c r="B767" s="297"/>
      <c r="C767" s="296"/>
      <c r="D767" s="341"/>
    </row>
    <row r="768" spans="1:4">
      <c r="A768" s="341"/>
      <c r="B768" s="297"/>
      <c r="C768" s="296"/>
      <c r="D768" s="341"/>
    </row>
    <row r="769" spans="1:4">
      <c r="A769" s="341"/>
      <c r="B769" s="297"/>
      <c r="C769" s="296"/>
      <c r="D769" s="341"/>
    </row>
    <row r="770" spans="1:4">
      <c r="A770" s="341"/>
      <c r="B770" s="297"/>
      <c r="C770" s="296"/>
      <c r="D770" s="341"/>
    </row>
    <row r="771" spans="1:4">
      <c r="A771" s="341"/>
      <c r="B771" s="297"/>
      <c r="C771" s="296"/>
      <c r="D771" s="341"/>
    </row>
    <row r="772" spans="1:4">
      <c r="A772" s="341"/>
      <c r="B772" s="297"/>
      <c r="C772" s="296"/>
      <c r="D772" s="341"/>
    </row>
    <row r="773" spans="1:4">
      <c r="A773" s="341"/>
      <c r="B773" s="297"/>
      <c r="C773" s="296"/>
      <c r="D773" s="341"/>
    </row>
    <row r="774" spans="1:4">
      <c r="A774" s="341"/>
      <c r="B774" s="297"/>
      <c r="C774" s="296"/>
      <c r="D774" s="341"/>
    </row>
    <row r="775" spans="1:4">
      <c r="A775" s="341"/>
      <c r="B775" s="297"/>
      <c r="C775" s="296"/>
      <c r="D775" s="341"/>
    </row>
    <row r="776" spans="1:4">
      <c r="A776" s="341"/>
      <c r="B776" s="297"/>
      <c r="C776" s="296"/>
      <c r="D776" s="341"/>
    </row>
    <row r="777" spans="1:4">
      <c r="A777" s="341"/>
      <c r="B777" s="297"/>
      <c r="C777" s="296"/>
      <c r="D777" s="341"/>
    </row>
    <row r="778" spans="1:4">
      <c r="A778" s="341"/>
      <c r="B778" s="297"/>
      <c r="C778" s="296"/>
      <c r="D778" s="341"/>
    </row>
    <row r="779" spans="1:4">
      <c r="A779" s="341"/>
      <c r="B779" s="297"/>
      <c r="C779" s="296"/>
      <c r="D779" s="341"/>
    </row>
    <row r="780" spans="1:4">
      <c r="A780" s="341"/>
      <c r="B780" s="297"/>
      <c r="C780" s="296"/>
      <c r="D780" s="341"/>
    </row>
    <row r="781" spans="1:4">
      <c r="A781" s="341"/>
      <c r="B781" s="297"/>
      <c r="C781" s="296"/>
      <c r="D781" s="341"/>
    </row>
    <row r="782" spans="1:4">
      <c r="A782" s="341"/>
      <c r="B782" s="297"/>
      <c r="C782" s="296"/>
      <c r="D782" s="341"/>
    </row>
    <row r="783" spans="1:4">
      <c r="A783" s="341"/>
      <c r="B783" s="297"/>
      <c r="C783" s="296"/>
      <c r="D783" s="341"/>
    </row>
    <row r="784" spans="1:4">
      <c r="A784" s="341"/>
      <c r="B784" s="297"/>
      <c r="C784" s="296"/>
      <c r="D784" s="341"/>
    </row>
    <row r="785" spans="1:4">
      <c r="A785" s="341"/>
      <c r="B785" s="297"/>
      <c r="C785" s="296"/>
      <c r="D785" s="341"/>
    </row>
    <row r="786" spans="1:4">
      <c r="A786" s="341"/>
      <c r="B786" s="297"/>
      <c r="C786" s="296"/>
      <c r="D786" s="341"/>
    </row>
    <row r="787" spans="1:4">
      <c r="A787" s="341"/>
      <c r="B787" s="297"/>
      <c r="C787" s="296"/>
      <c r="D787" s="341"/>
    </row>
    <row r="788" spans="1:4">
      <c r="A788" s="341"/>
      <c r="B788" s="297"/>
      <c r="C788" s="296"/>
      <c r="D788" s="341"/>
    </row>
    <row r="789" spans="1:4">
      <c r="A789" s="341"/>
      <c r="B789" s="297"/>
      <c r="C789" s="296"/>
      <c r="D789" s="341"/>
    </row>
    <row r="790" spans="1:4">
      <c r="A790" s="341"/>
      <c r="B790" s="297"/>
      <c r="C790" s="296"/>
      <c r="D790" s="341"/>
    </row>
    <row r="791" spans="1:4">
      <c r="A791" s="341"/>
      <c r="B791" s="297"/>
      <c r="C791" s="296"/>
      <c r="D791" s="341"/>
    </row>
    <row r="792" spans="1:4">
      <c r="A792" s="341"/>
      <c r="B792" s="297"/>
      <c r="C792" s="296"/>
      <c r="D792" s="341"/>
    </row>
    <row r="793" spans="1:4">
      <c r="A793" s="341"/>
      <c r="B793" s="297"/>
      <c r="C793" s="296"/>
      <c r="D793" s="341"/>
    </row>
    <row r="794" spans="1:4">
      <c r="A794" s="341"/>
      <c r="B794" s="297"/>
      <c r="C794" s="296"/>
      <c r="D794" s="341"/>
    </row>
    <row r="795" spans="1:4">
      <c r="A795" s="341"/>
      <c r="B795" s="297"/>
      <c r="C795" s="296"/>
      <c r="D795" s="341"/>
    </row>
    <row r="796" spans="1:4">
      <c r="A796" s="341"/>
      <c r="B796" s="297"/>
      <c r="C796" s="296"/>
      <c r="D796" s="341"/>
    </row>
    <row r="797" spans="1:4">
      <c r="A797" s="341"/>
      <c r="B797" s="297"/>
      <c r="C797" s="296"/>
      <c r="D797" s="341"/>
    </row>
    <row r="798" spans="1:4">
      <c r="A798" s="341"/>
      <c r="B798" s="297"/>
      <c r="C798" s="296"/>
      <c r="D798" s="341"/>
    </row>
    <row r="799" spans="1:4">
      <c r="A799" s="341"/>
      <c r="B799" s="297"/>
      <c r="C799" s="296"/>
      <c r="D799" s="341"/>
    </row>
    <row r="800" spans="1:4">
      <c r="A800" s="341"/>
      <c r="B800" s="297"/>
      <c r="C800" s="296"/>
      <c r="D800" s="341"/>
    </row>
    <row r="801" spans="1:4">
      <c r="A801" s="341"/>
      <c r="B801" s="297"/>
      <c r="C801" s="296"/>
      <c r="D801" s="341"/>
    </row>
    <row r="802" spans="1:4">
      <c r="A802" s="341"/>
      <c r="B802" s="297"/>
      <c r="C802" s="296"/>
      <c r="D802" s="341"/>
    </row>
    <row r="803" spans="1:4">
      <c r="A803" s="341"/>
      <c r="B803" s="297"/>
      <c r="C803" s="296"/>
      <c r="D803" s="341"/>
    </row>
    <row r="804" spans="1:4">
      <c r="A804" s="341"/>
      <c r="B804" s="297"/>
      <c r="C804" s="296"/>
      <c r="D804" s="341"/>
    </row>
    <row r="805" spans="1:4">
      <c r="A805" s="341"/>
      <c r="B805" s="297"/>
      <c r="C805" s="296"/>
      <c r="D805" s="341"/>
    </row>
    <row r="806" spans="1:4">
      <c r="A806" s="341"/>
      <c r="B806" s="297"/>
      <c r="C806" s="296"/>
      <c r="D806" s="341"/>
    </row>
    <row r="807" spans="1:4">
      <c r="A807" s="341"/>
      <c r="B807" s="297"/>
      <c r="C807" s="296"/>
      <c r="D807" s="341"/>
    </row>
    <row r="808" spans="1:4">
      <c r="A808" s="341"/>
      <c r="B808" s="297"/>
      <c r="C808" s="296"/>
      <c r="D808" s="341"/>
    </row>
    <row r="809" spans="1:4">
      <c r="A809" s="341"/>
      <c r="B809" s="297"/>
      <c r="C809" s="296"/>
      <c r="D809" s="341"/>
    </row>
    <row r="810" spans="1:4">
      <c r="A810" s="341"/>
      <c r="B810" s="297"/>
      <c r="C810" s="296"/>
      <c r="D810" s="341"/>
    </row>
    <row r="811" spans="1:4">
      <c r="A811" s="341"/>
      <c r="B811" s="297"/>
      <c r="C811" s="296"/>
      <c r="D811" s="341"/>
    </row>
    <row r="812" spans="1:4">
      <c r="A812" s="341"/>
      <c r="B812" s="297"/>
      <c r="C812" s="296"/>
      <c r="D812" s="341"/>
    </row>
    <row r="813" spans="1:4">
      <c r="A813" s="341"/>
      <c r="B813" s="297"/>
      <c r="C813" s="296"/>
      <c r="D813" s="341"/>
    </row>
    <row r="814" spans="1:4">
      <c r="A814" s="341"/>
      <c r="B814" s="297"/>
      <c r="C814" s="296"/>
      <c r="D814" s="341"/>
    </row>
    <row r="815" spans="1:4">
      <c r="A815" s="341"/>
      <c r="B815" s="297"/>
      <c r="C815" s="296"/>
      <c r="D815" s="341"/>
    </row>
    <row r="816" spans="1:4">
      <c r="A816" s="341"/>
      <c r="B816" s="297"/>
      <c r="C816" s="296"/>
      <c r="D816" s="341"/>
    </row>
    <row r="817" spans="1:4">
      <c r="A817" s="341"/>
      <c r="B817" s="297"/>
      <c r="C817" s="296"/>
      <c r="D817" s="341"/>
    </row>
    <row r="818" spans="1:4">
      <c r="A818" s="341"/>
      <c r="B818" s="297"/>
      <c r="C818" s="296"/>
      <c r="D818" s="341"/>
    </row>
    <row r="819" spans="1:4">
      <c r="A819" s="341"/>
      <c r="B819" s="297"/>
      <c r="C819" s="296"/>
      <c r="D819" s="341"/>
    </row>
    <row r="820" spans="1:4">
      <c r="A820" s="341"/>
      <c r="B820" s="297"/>
      <c r="C820" s="296"/>
      <c r="D820" s="341"/>
    </row>
    <row r="821" spans="1:4">
      <c r="A821" s="341"/>
      <c r="B821" s="297"/>
      <c r="C821" s="296"/>
      <c r="D821" s="341"/>
    </row>
    <row r="822" spans="1:4">
      <c r="A822" s="341"/>
      <c r="B822" s="297"/>
      <c r="C822" s="296"/>
      <c r="D822" s="341"/>
    </row>
    <row r="823" spans="1:4">
      <c r="A823" s="341"/>
      <c r="B823" s="297"/>
      <c r="C823" s="296"/>
      <c r="D823" s="341"/>
    </row>
    <row r="824" spans="1:4">
      <c r="A824" s="341"/>
      <c r="B824" s="297"/>
      <c r="C824" s="296"/>
      <c r="D824" s="341"/>
    </row>
    <row r="825" spans="1:4">
      <c r="A825" s="341"/>
      <c r="B825" s="297"/>
      <c r="C825" s="296"/>
      <c r="D825" s="341"/>
    </row>
    <row r="826" spans="1:4">
      <c r="A826" s="341"/>
      <c r="B826" s="297"/>
      <c r="C826" s="296"/>
      <c r="D826" s="341"/>
    </row>
    <row r="827" spans="1:4">
      <c r="A827" s="341"/>
      <c r="B827" s="297"/>
      <c r="C827" s="296"/>
      <c r="D827" s="341"/>
    </row>
    <row r="828" spans="1:4">
      <c r="A828" s="341"/>
      <c r="B828" s="297"/>
      <c r="C828" s="296"/>
      <c r="D828" s="341"/>
    </row>
    <row r="829" spans="1:4">
      <c r="A829" s="341"/>
      <c r="B829" s="297"/>
      <c r="C829" s="296"/>
      <c r="D829" s="341"/>
    </row>
    <row r="830" spans="1:4">
      <c r="A830" s="341"/>
      <c r="B830" s="297"/>
      <c r="C830" s="296"/>
      <c r="D830" s="341"/>
    </row>
    <row r="831" spans="1:4">
      <c r="A831" s="341"/>
      <c r="B831" s="297"/>
      <c r="C831" s="296"/>
      <c r="D831" s="341"/>
    </row>
    <row r="832" spans="1:4">
      <c r="A832" s="341"/>
      <c r="B832" s="297"/>
      <c r="C832" s="296"/>
      <c r="D832" s="341"/>
    </row>
    <row r="833" spans="1:4">
      <c r="A833" s="341"/>
      <c r="B833" s="297"/>
      <c r="C833" s="296"/>
      <c r="D833" s="341"/>
    </row>
    <row r="834" spans="1:4">
      <c r="A834" s="341"/>
      <c r="B834" s="297"/>
      <c r="C834" s="296"/>
      <c r="D834" s="341"/>
    </row>
    <row r="835" spans="1:4">
      <c r="A835" s="341"/>
      <c r="B835" s="297"/>
      <c r="C835" s="296"/>
      <c r="D835" s="341"/>
    </row>
    <row r="836" spans="1:4">
      <c r="A836" s="341"/>
      <c r="B836" s="297"/>
      <c r="C836" s="296"/>
      <c r="D836" s="341"/>
    </row>
    <row r="837" spans="1:4">
      <c r="A837" s="341"/>
      <c r="B837" s="297"/>
      <c r="C837" s="296"/>
      <c r="D837" s="341"/>
    </row>
    <row r="838" spans="1:4">
      <c r="A838" s="341"/>
      <c r="B838" s="297"/>
      <c r="C838" s="296"/>
      <c r="D838" s="341"/>
    </row>
    <row r="839" spans="1:4">
      <c r="A839" s="341"/>
      <c r="B839" s="297"/>
      <c r="C839" s="296"/>
      <c r="D839" s="341"/>
    </row>
    <row r="840" spans="1:4">
      <c r="A840" s="341"/>
      <c r="B840" s="297"/>
      <c r="C840" s="296"/>
      <c r="D840" s="341"/>
    </row>
    <row r="841" spans="1:4">
      <c r="A841" s="341"/>
      <c r="B841" s="297"/>
      <c r="C841" s="296"/>
      <c r="D841" s="341"/>
    </row>
    <row r="842" spans="1:4">
      <c r="A842" s="341"/>
      <c r="B842" s="297"/>
      <c r="C842" s="296"/>
      <c r="D842" s="341"/>
    </row>
    <row r="843" spans="1:4">
      <c r="A843" s="341"/>
      <c r="B843" s="297"/>
      <c r="C843" s="296"/>
      <c r="D843" s="341"/>
    </row>
    <row r="844" spans="1:4">
      <c r="A844" s="341"/>
      <c r="B844" s="297"/>
      <c r="C844" s="296"/>
      <c r="D844" s="341"/>
    </row>
    <row r="845" spans="1:4">
      <c r="A845" s="341"/>
      <c r="B845" s="297"/>
      <c r="C845" s="296"/>
      <c r="D845" s="341"/>
    </row>
    <row r="846" spans="1:4">
      <c r="A846" s="341"/>
      <c r="B846" s="297"/>
      <c r="C846" s="296"/>
      <c r="D846" s="341"/>
    </row>
    <row r="847" spans="1:4">
      <c r="A847" s="341"/>
      <c r="B847" s="297"/>
      <c r="C847" s="296"/>
      <c r="D847" s="341"/>
    </row>
    <row r="848" spans="1:4">
      <c r="A848" s="341"/>
      <c r="B848" s="297"/>
      <c r="C848" s="296"/>
      <c r="D848" s="341"/>
    </row>
    <row r="849" spans="1:4">
      <c r="A849" s="341"/>
      <c r="B849" s="297"/>
      <c r="C849" s="296"/>
      <c r="D849" s="341"/>
    </row>
    <row r="850" spans="1:4">
      <c r="A850" s="341"/>
      <c r="B850" s="297"/>
      <c r="C850" s="296"/>
      <c r="D850" s="341"/>
    </row>
    <row r="851" spans="1:4">
      <c r="A851" s="341"/>
      <c r="B851" s="297"/>
      <c r="C851" s="296"/>
      <c r="D851" s="341"/>
    </row>
    <row r="852" spans="1:4">
      <c r="A852" s="341"/>
      <c r="B852" s="297"/>
      <c r="C852" s="296"/>
      <c r="D852" s="341"/>
    </row>
    <row r="853" spans="1:4">
      <c r="A853" s="341"/>
      <c r="B853" s="297"/>
      <c r="C853" s="296"/>
      <c r="D853" s="341"/>
    </row>
    <row r="854" spans="1:4">
      <c r="A854" s="341"/>
      <c r="B854" s="297"/>
      <c r="C854" s="296"/>
      <c r="D854" s="341"/>
    </row>
    <row r="855" spans="1:4">
      <c r="A855" s="341"/>
      <c r="B855" s="297"/>
      <c r="C855" s="296"/>
      <c r="D855" s="341"/>
    </row>
    <row r="856" spans="1:4">
      <c r="A856" s="341"/>
      <c r="B856" s="297"/>
      <c r="C856" s="296"/>
      <c r="D856" s="341"/>
    </row>
    <row r="857" spans="1:4">
      <c r="A857" s="341"/>
      <c r="B857" s="297"/>
      <c r="C857" s="296"/>
      <c r="D857" s="341"/>
    </row>
    <row r="858" spans="1:4">
      <c r="A858" s="341"/>
      <c r="B858" s="297"/>
      <c r="C858" s="296"/>
      <c r="D858" s="341"/>
    </row>
    <row r="859" spans="1:4">
      <c r="A859" s="341"/>
      <c r="B859" s="297"/>
      <c r="C859" s="296"/>
      <c r="D859" s="341"/>
    </row>
    <row r="860" spans="1:4">
      <c r="A860" s="341"/>
      <c r="B860" s="297"/>
      <c r="C860" s="296"/>
      <c r="D860" s="341"/>
    </row>
    <row r="861" spans="1:4">
      <c r="A861" s="341"/>
      <c r="B861" s="297"/>
      <c r="C861" s="296"/>
      <c r="D861" s="341"/>
    </row>
    <row r="862" spans="1:4">
      <c r="A862" s="341"/>
      <c r="B862" s="297"/>
      <c r="C862" s="296"/>
      <c r="D862" s="341"/>
    </row>
    <row r="863" spans="1:4">
      <c r="A863" s="341"/>
      <c r="B863" s="297"/>
      <c r="C863" s="296"/>
      <c r="D863" s="341"/>
    </row>
    <row r="864" spans="1:4">
      <c r="A864" s="341"/>
      <c r="B864" s="297"/>
      <c r="C864" s="296"/>
      <c r="D864" s="341"/>
    </row>
    <row r="865" spans="1:4">
      <c r="A865" s="341"/>
      <c r="B865" s="297"/>
      <c r="C865" s="296"/>
      <c r="D865" s="341"/>
    </row>
    <row r="866" spans="1:4">
      <c r="A866" s="341"/>
      <c r="B866" s="297"/>
      <c r="C866" s="296"/>
      <c r="D866" s="341"/>
    </row>
    <row r="867" spans="1:4">
      <c r="A867" s="341"/>
      <c r="B867" s="297"/>
      <c r="C867" s="296"/>
      <c r="D867" s="341"/>
    </row>
    <row r="868" spans="1:4">
      <c r="A868" s="341"/>
      <c r="B868" s="297"/>
      <c r="C868" s="296"/>
      <c r="D868" s="341"/>
    </row>
    <row r="869" spans="1:4">
      <c r="A869" s="341"/>
      <c r="B869" s="297"/>
      <c r="C869" s="296"/>
      <c r="D869" s="341"/>
    </row>
    <row r="870" spans="1:4">
      <c r="A870" s="341"/>
      <c r="B870" s="297"/>
      <c r="C870" s="296"/>
      <c r="D870" s="341"/>
    </row>
    <row r="871" spans="1:4">
      <c r="A871" s="341"/>
      <c r="B871" s="297"/>
      <c r="C871" s="296"/>
      <c r="D871" s="341"/>
    </row>
    <row r="872" spans="1:4">
      <c r="A872" s="341"/>
      <c r="B872" s="297"/>
      <c r="C872" s="296"/>
      <c r="D872" s="341"/>
    </row>
    <row r="873" spans="1:4">
      <c r="A873" s="341"/>
      <c r="B873" s="297"/>
      <c r="C873" s="296"/>
      <c r="D873" s="341"/>
    </row>
    <row r="874" spans="1:4">
      <c r="A874" s="341"/>
      <c r="B874" s="297"/>
      <c r="C874" s="296"/>
      <c r="D874" s="341"/>
    </row>
    <row r="875" spans="1:4">
      <c r="A875" s="341"/>
      <c r="B875" s="297"/>
      <c r="C875" s="296"/>
      <c r="D875" s="341"/>
    </row>
    <row r="876" spans="1:4">
      <c r="A876" s="341"/>
      <c r="B876" s="297"/>
      <c r="C876" s="296"/>
      <c r="D876" s="341"/>
    </row>
    <row r="877" spans="1:4">
      <c r="A877" s="341"/>
      <c r="B877" s="297"/>
      <c r="C877" s="296"/>
      <c r="D877" s="341"/>
    </row>
    <row r="878" spans="1:4">
      <c r="A878" s="341"/>
      <c r="B878" s="297"/>
      <c r="C878" s="296"/>
      <c r="D878" s="341"/>
    </row>
    <row r="879" spans="1:4">
      <c r="A879" s="341"/>
      <c r="B879" s="297"/>
      <c r="C879" s="296"/>
      <c r="D879" s="341"/>
    </row>
    <row r="880" spans="1:4">
      <c r="A880" s="341"/>
      <c r="B880" s="297"/>
      <c r="C880" s="296"/>
      <c r="D880" s="341"/>
    </row>
    <row r="881" spans="1:4">
      <c r="A881" s="341"/>
      <c r="B881" s="297"/>
      <c r="C881" s="296"/>
      <c r="D881" s="341"/>
    </row>
    <row r="882" spans="1:4">
      <c r="A882" s="341"/>
      <c r="B882" s="297"/>
      <c r="C882" s="296"/>
      <c r="D882" s="341"/>
    </row>
    <row r="883" spans="1:4">
      <c r="A883" s="341"/>
      <c r="B883" s="297"/>
      <c r="C883" s="296"/>
      <c r="D883" s="341"/>
    </row>
    <row r="884" spans="1:4">
      <c r="A884" s="341"/>
      <c r="B884" s="297"/>
      <c r="C884" s="296"/>
      <c r="D884" s="341"/>
    </row>
    <row r="885" spans="1:4">
      <c r="A885" s="341"/>
      <c r="B885" s="297"/>
      <c r="C885" s="296"/>
      <c r="D885" s="341"/>
    </row>
    <row r="886" spans="1:4">
      <c r="A886" s="341"/>
      <c r="B886" s="297"/>
      <c r="C886" s="296"/>
      <c r="D886" s="341"/>
    </row>
    <row r="887" spans="1:4">
      <c r="A887" s="341"/>
      <c r="B887" s="297"/>
      <c r="C887" s="296"/>
      <c r="D887" s="341"/>
    </row>
    <row r="888" spans="1:4">
      <c r="A888" s="341"/>
      <c r="B888" s="297"/>
      <c r="C888" s="296"/>
      <c r="D888" s="341"/>
    </row>
    <row r="889" spans="1:4">
      <c r="A889" s="341"/>
      <c r="B889" s="297"/>
      <c r="C889" s="296"/>
      <c r="D889" s="341"/>
    </row>
    <row r="890" spans="1:4">
      <c r="A890" s="341"/>
      <c r="B890" s="297"/>
      <c r="C890" s="296"/>
      <c r="D890" s="341"/>
    </row>
    <row r="891" spans="1:4">
      <c r="A891" s="341"/>
      <c r="B891" s="297"/>
      <c r="C891" s="296"/>
      <c r="D891" s="341"/>
    </row>
    <row r="892" spans="1:4">
      <c r="A892" s="341"/>
      <c r="B892" s="297"/>
      <c r="C892" s="296"/>
      <c r="D892" s="341"/>
    </row>
    <row r="893" spans="1:4">
      <c r="A893" s="341"/>
      <c r="B893" s="297"/>
      <c r="C893" s="296"/>
      <c r="D893" s="341"/>
    </row>
    <row r="894" spans="1:4">
      <c r="A894" s="341"/>
      <c r="B894" s="297"/>
      <c r="C894" s="296"/>
      <c r="D894" s="341"/>
    </row>
    <row r="895" spans="1:4">
      <c r="A895" s="341"/>
      <c r="B895" s="297"/>
      <c r="C895" s="296"/>
      <c r="D895" s="341"/>
    </row>
    <row r="896" spans="1:4">
      <c r="A896" s="341"/>
      <c r="B896" s="297"/>
      <c r="C896" s="296"/>
      <c r="D896" s="341"/>
    </row>
    <row r="897" spans="1:4">
      <c r="A897" s="341"/>
      <c r="B897" s="297"/>
      <c r="C897" s="296"/>
      <c r="D897" s="341"/>
    </row>
    <row r="898" spans="1:4">
      <c r="A898" s="341"/>
      <c r="B898" s="297"/>
      <c r="C898" s="296"/>
      <c r="D898" s="341"/>
    </row>
    <row r="899" spans="1:4">
      <c r="A899" s="341"/>
      <c r="B899" s="297"/>
      <c r="C899" s="296"/>
      <c r="D899" s="341"/>
    </row>
    <row r="900" spans="1:4">
      <c r="A900" s="341"/>
      <c r="B900" s="297"/>
      <c r="C900" s="296"/>
      <c r="D900" s="341"/>
    </row>
    <row r="901" spans="1:4">
      <c r="A901" s="341"/>
      <c r="B901" s="297"/>
      <c r="C901" s="296"/>
      <c r="D901" s="341"/>
    </row>
    <row r="902" spans="1:4">
      <c r="A902" s="341"/>
      <c r="B902" s="297"/>
      <c r="C902" s="296"/>
      <c r="D902" s="341"/>
    </row>
    <row r="903" spans="1:4">
      <c r="A903" s="341"/>
      <c r="B903" s="297"/>
      <c r="C903" s="296"/>
      <c r="D903" s="341"/>
    </row>
    <row r="904" spans="1:4">
      <c r="A904" s="341"/>
      <c r="B904" s="297"/>
      <c r="C904" s="296"/>
      <c r="D904" s="341"/>
    </row>
    <row r="905" spans="1:4">
      <c r="A905" s="341"/>
      <c r="B905" s="297"/>
      <c r="C905" s="296"/>
      <c r="D905" s="341"/>
    </row>
    <row r="906" spans="1:4">
      <c r="A906" s="341"/>
      <c r="B906" s="297"/>
      <c r="C906" s="296"/>
      <c r="D906" s="341"/>
    </row>
    <row r="907" spans="1:4">
      <c r="A907" s="341"/>
      <c r="B907" s="297"/>
      <c r="C907" s="296"/>
      <c r="D907" s="341"/>
    </row>
    <row r="908" spans="1:4">
      <c r="A908" s="341"/>
      <c r="B908" s="297"/>
      <c r="C908" s="296"/>
      <c r="D908" s="341"/>
    </row>
    <row r="909" spans="1:4">
      <c r="A909" s="341"/>
      <c r="B909" s="297"/>
      <c r="C909" s="296"/>
      <c r="D909" s="341"/>
    </row>
    <row r="910" spans="1:4">
      <c r="A910" s="341"/>
      <c r="B910" s="297"/>
      <c r="C910" s="296"/>
      <c r="D910" s="341"/>
    </row>
    <row r="911" spans="1:4">
      <c r="A911" s="341"/>
      <c r="B911" s="297"/>
      <c r="C911" s="296"/>
      <c r="D911" s="341"/>
    </row>
    <row r="912" spans="1:4">
      <c r="A912" s="341"/>
      <c r="B912" s="297"/>
      <c r="C912" s="296"/>
      <c r="D912" s="341"/>
    </row>
    <row r="913" spans="1:4">
      <c r="A913" s="341"/>
      <c r="B913" s="297"/>
      <c r="C913" s="296"/>
      <c r="D913" s="341"/>
    </row>
    <row r="914" spans="1:4">
      <c r="A914" s="341"/>
      <c r="B914" s="297"/>
      <c r="C914" s="296"/>
      <c r="D914" s="341"/>
    </row>
    <row r="915" spans="1:4">
      <c r="A915" s="341"/>
      <c r="B915" s="297"/>
      <c r="C915" s="296"/>
      <c r="D915" s="341"/>
    </row>
    <row r="916" spans="1:4">
      <c r="A916" s="341"/>
      <c r="B916" s="297"/>
      <c r="C916" s="296"/>
      <c r="D916" s="341"/>
    </row>
    <row r="917" spans="1:4">
      <c r="A917" s="341"/>
      <c r="B917" s="297"/>
      <c r="C917" s="296"/>
      <c r="D917" s="341"/>
    </row>
    <row r="918" spans="1:4">
      <c r="A918" s="341"/>
      <c r="B918" s="297"/>
      <c r="C918" s="296"/>
      <c r="D918" s="341"/>
    </row>
    <row r="919" spans="1:4">
      <c r="A919" s="341"/>
      <c r="B919" s="297"/>
      <c r="C919" s="296"/>
      <c r="D919" s="341"/>
    </row>
    <row r="920" spans="1:4">
      <c r="A920" s="341"/>
      <c r="B920" s="297"/>
      <c r="C920" s="296"/>
      <c r="D920" s="341"/>
    </row>
    <row r="921" spans="1:4">
      <c r="A921" s="341"/>
      <c r="B921" s="297"/>
      <c r="C921" s="296"/>
      <c r="D921" s="341"/>
    </row>
    <row r="922" spans="1:4">
      <c r="A922" s="341"/>
      <c r="B922" s="297"/>
      <c r="C922" s="296"/>
      <c r="D922" s="341"/>
    </row>
    <row r="923" spans="1:4">
      <c r="A923" s="341"/>
      <c r="B923" s="297"/>
      <c r="C923" s="296"/>
      <c r="D923" s="341"/>
    </row>
    <row r="924" spans="1:4">
      <c r="A924" s="341"/>
      <c r="B924" s="297"/>
      <c r="C924" s="296"/>
      <c r="D924" s="341"/>
    </row>
    <row r="925" spans="1:4">
      <c r="A925" s="341"/>
      <c r="B925" s="297"/>
      <c r="C925" s="296"/>
      <c r="D925" s="341"/>
    </row>
    <row r="926" spans="1:4">
      <c r="A926" s="341"/>
      <c r="B926" s="297"/>
      <c r="C926" s="296"/>
      <c r="D926" s="341"/>
    </row>
    <row r="927" spans="1:4">
      <c r="A927" s="341"/>
      <c r="B927" s="297"/>
      <c r="C927" s="296"/>
      <c r="D927" s="341"/>
    </row>
    <row r="928" spans="1:4">
      <c r="A928" s="341"/>
      <c r="B928" s="297"/>
      <c r="C928" s="296"/>
      <c r="D928" s="341"/>
    </row>
    <row r="929" spans="1:4">
      <c r="A929" s="341"/>
      <c r="B929" s="297"/>
      <c r="C929" s="296"/>
      <c r="D929" s="341"/>
    </row>
    <row r="930" spans="1:4">
      <c r="A930" s="341"/>
      <c r="B930" s="297"/>
      <c r="C930" s="296"/>
      <c r="D930" s="341"/>
    </row>
    <row r="931" spans="1:4">
      <c r="A931" s="341"/>
      <c r="B931" s="297"/>
      <c r="C931" s="296"/>
      <c r="D931" s="341"/>
    </row>
    <row r="932" spans="1:4">
      <c r="A932" s="341"/>
      <c r="B932" s="297"/>
      <c r="C932" s="296"/>
      <c r="D932" s="341"/>
    </row>
    <row r="933" spans="1:4">
      <c r="A933" s="341"/>
      <c r="B933" s="297"/>
      <c r="C933" s="296"/>
      <c r="D933" s="341"/>
    </row>
    <row r="934" spans="1:4">
      <c r="A934" s="341"/>
      <c r="B934" s="297"/>
      <c r="C934" s="296"/>
      <c r="D934" s="341"/>
    </row>
    <row r="935" spans="1:4">
      <c r="A935" s="341"/>
      <c r="B935" s="297"/>
      <c r="C935" s="296"/>
      <c r="D935" s="341"/>
    </row>
    <row r="936" spans="1:4">
      <c r="A936" s="341"/>
      <c r="B936" s="297"/>
      <c r="C936" s="296"/>
      <c r="D936" s="341"/>
    </row>
    <row r="937" spans="1:4">
      <c r="A937" s="341"/>
      <c r="B937" s="297"/>
      <c r="C937" s="296"/>
      <c r="D937" s="341"/>
    </row>
    <row r="938" spans="1:4">
      <c r="A938" s="341"/>
      <c r="B938" s="297"/>
      <c r="C938" s="296"/>
      <c r="D938" s="341"/>
    </row>
    <row r="939" spans="1:4">
      <c r="A939" s="341"/>
      <c r="B939" s="297"/>
      <c r="C939" s="296"/>
      <c r="D939" s="341"/>
    </row>
    <row r="940" spans="1:4">
      <c r="A940" s="341"/>
      <c r="B940" s="297"/>
      <c r="C940" s="296"/>
      <c r="D940" s="341"/>
    </row>
    <row r="941" spans="1:4">
      <c r="A941" s="341"/>
      <c r="B941" s="297"/>
      <c r="C941" s="296"/>
      <c r="D941" s="341"/>
    </row>
    <row r="942" spans="1:4">
      <c r="A942" s="341"/>
      <c r="B942" s="297"/>
      <c r="C942" s="296"/>
      <c r="D942" s="341"/>
    </row>
    <row r="943" spans="1:4">
      <c r="A943" s="341"/>
      <c r="B943" s="297"/>
      <c r="C943" s="296"/>
      <c r="D943" s="341"/>
    </row>
    <row r="944" spans="1:4">
      <c r="A944" s="341"/>
      <c r="B944" s="297"/>
      <c r="C944" s="296"/>
      <c r="D944" s="341"/>
    </row>
    <row r="945" spans="1:4">
      <c r="A945" s="341"/>
      <c r="B945" s="297"/>
      <c r="C945" s="296"/>
      <c r="D945" s="341"/>
    </row>
    <row r="946" spans="1:4">
      <c r="A946" s="341"/>
      <c r="B946" s="297"/>
      <c r="C946" s="296"/>
      <c r="D946" s="341"/>
    </row>
    <row r="947" spans="1:4">
      <c r="A947" s="341"/>
      <c r="B947" s="297"/>
      <c r="C947" s="296"/>
      <c r="D947" s="341"/>
    </row>
    <row r="948" spans="1:4">
      <c r="A948" s="341"/>
      <c r="B948" s="297"/>
      <c r="C948" s="296"/>
      <c r="D948" s="341"/>
    </row>
    <row r="949" spans="1:4">
      <c r="A949" s="341"/>
      <c r="B949" s="297"/>
      <c r="C949" s="296"/>
      <c r="D949" s="341"/>
    </row>
    <row r="950" spans="1:4">
      <c r="A950" s="341"/>
      <c r="B950" s="297"/>
      <c r="C950" s="296"/>
      <c r="D950" s="341"/>
    </row>
    <row r="951" spans="1:4">
      <c r="A951" s="341"/>
      <c r="B951" s="297"/>
      <c r="C951" s="296"/>
      <c r="D951" s="341"/>
    </row>
    <row r="952" spans="1:4">
      <c r="A952" s="341"/>
      <c r="B952" s="297"/>
      <c r="C952" s="296"/>
      <c r="D952" s="341"/>
    </row>
    <row r="953" spans="1:4">
      <c r="A953" s="341"/>
      <c r="B953" s="297"/>
      <c r="C953" s="296"/>
      <c r="D953" s="341"/>
    </row>
    <row r="954" spans="1:4">
      <c r="A954" s="341"/>
      <c r="B954" s="297"/>
      <c r="C954" s="296"/>
      <c r="D954" s="341"/>
    </row>
    <row r="955" spans="1:4">
      <c r="A955" s="341"/>
      <c r="B955" s="297"/>
      <c r="C955" s="296"/>
      <c r="D955" s="341"/>
    </row>
    <row r="956" spans="1:4">
      <c r="A956" s="341"/>
      <c r="B956" s="297"/>
      <c r="C956" s="296"/>
      <c r="D956" s="341"/>
    </row>
    <row r="957" spans="1:4">
      <c r="A957" s="341"/>
      <c r="B957" s="297"/>
      <c r="C957" s="296"/>
      <c r="D957" s="341"/>
    </row>
    <row r="958" spans="1:4">
      <c r="A958" s="341"/>
      <c r="B958" s="297"/>
      <c r="C958" s="296"/>
      <c r="D958" s="341"/>
    </row>
    <row r="959" spans="1:4">
      <c r="A959" s="341"/>
      <c r="B959" s="297"/>
      <c r="C959" s="296"/>
      <c r="D959" s="341"/>
    </row>
    <row r="960" spans="1:4">
      <c r="A960" s="341"/>
      <c r="B960" s="297"/>
      <c r="C960" s="296"/>
      <c r="D960" s="341"/>
    </row>
    <row r="961" spans="1:4">
      <c r="A961" s="341"/>
      <c r="B961" s="297"/>
      <c r="C961" s="296"/>
      <c r="D961" s="341"/>
    </row>
    <row r="962" spans="1:4">
      <c r="A962" s="341"/>
      <c r="B962" s="297"/>
      <c r="C962" s="296"/>
      <c r="D962" s="341"/>
    </row>
    <row r="963" spans="1:4">
      <c r="A963" s="341"/>
      <c r="B963" s="297"/>
      <c r="C963" s="296"/>
      <c r="D963" s="341"/>
    </row>
    <row r="964" spans="1:4">
      <c r="A964" s="341"/>
      <c r="B964" s="297"/>
      <c r="C964" s="296"/>
      <c r="D964" s="341"/>
    </row>
    <row r="965" spans="1:4">
      <c r="A965" s="341"/>
      <c r="B965" s="297"/>
      <c r="C965" s="296"/>
      <c r="D965" s="341"/>
    </row>
    <row r="966" spans="1:4">
      <c r="A966" s="341"/>
      <c r="B966" s="297"/>
      <c r="C966" s="296"/>
      <c r="D966" s="341"/>
    </row>
    <row r="967" spans="1:4">
      <c r="A967" s="341"/>
      <c r="B967" s="297"/>
      <c r="C967" s="296"/>
      <c r="D967" s="341"/>
    </row>
    <row r="968" spans="1:4">
      <c r="A968" s="341"/>
      <c r="B968" s="297"/>
      <c r="C968" s="296"/>
      <c r="D968" s="341"/>
    </row>
    <row r="969" spans="1:4">
      <c r="A969" s="341"/>
      <c r="B969" s="297"/>
      <c r="C969" s="296"/>
      <c r="D969" s="341"/>
    </row>
    <row r="970" spans="1:4">
      <c r="A970" s="341"/>
      <c r="B970" s="297"/>
      <c r="C970" s="296"/>
      <c r="D970" s="341"/>
    </row>
    <row r="971" spans="1:4">
      <c r="A971" s="341"/>
      <c r="B971" s="297"/>
      <c r="C971" s="296"/>
      <c r="D971" s="341"/>
    </row>
    <row r="972" spans="1:4">
      <c r="A972" s="341"/>
      <c r="B972" s="297"/>
      <c r="C972" s="296"/>
      <c r="D972" s="341"/>
    </row>
    <row r="973" spans="1:4">
      <c r="A973" s="341"/>
      <c r="B973" s="297"/>
      <c r="C973" s="296"/>
      <c r="D973" s="341"/>
    </row>
    <row r="974" spans="1:4">
      <c r="A974" s="341"/>
      <c r="B974" s="297"/>
      <c r="C974" s="296"/>
      <c r="D974" s="341"/>
    </row>
    <row r="975" spans="1:4">
      <c r="A975" s="341"/>
      <c r="B975" s="297"/>
      <c r="C975" s="296"/>
      <c r="D975" s="341"/>
    </row>
    <row r="976" spans="1:4">
      <c r="A976" s="341"/>
      <c r="B976" s="297"/>
      <c r="C976" s="296"/>
      <c r="D976" s="341"/>
    </row>
    <row r="977" spans="1:4">
      <c r="A977" s="341"/>
      <c r="B977" s="297"/>
      <c r="C977" s="296"/>
      <c r="D977" s="341"/>
    </row>
    <row r="978" spans="1:4">
      <c r="A978" s="341"/>
      <c r="B978" s="297"/>
      <c r="C978" s="296"/>
      <c r="D978" s="341"/>
    </row>
    <row r="979" spans="1:4">
      <c r="A979" s="341"/>
      <c r="B979" s="297"/>
      <c r="C979" s="296"/>
      <c r="D979" s="341"/>
    </row>
    <row r="980" spans="1:4">
      <c r="A980" s="341"/>
      <c r="B980" s="297"/>
      <c r="C980" s="296"/>
      <c r="D980" s="341"/>
    </row>
    <row r="981" spans="1:4">
      <c r="A981" s="341"/>
      <c r="B981" s="297"/>
      <c r="C981" s="296"/>
      <c r="D981" s="341"/>
    </row>
    <row r="982" spans="1:4">
      <c r="A982" s="341"/>
      <c r="B982" s="297"/>
      <c r="C982" s="296"/>
      <c r="D982" s="341"/>
    </row>
    <row r="983" spans="1:4">
      <c r="A983" s="341"/>
      <c r="B983" s="297"/>
      <c r="C983" s="296"/>
      <c r="D983" s="341"/>
    </row>
    <row r="984" spans="1:4">
      <c r="A984" s="341"/>
      <c r="B984" s="297"/>
      <c r="C984" s="296"/>
      <c r="D984" s="341"/>
    </row>
    <row r="985" spans="1:4">
      <c r="A985" s="341"/>
      <c r="B985" s="297"/>
      <c r="C985" s="296"/>
      <c r="D985" s="341"/>
    </row>
    <row r="986" spans="1:4">
      <c r="A986" s="341"/>
      <c r="B986" s="297"/>
      <c r="C986" s="296"/>
      <c r="D986" s="341"/>
    </row>
    <row r="987" spans="1:4">
      <c r="A987" s="341"/>
      <c r="B987" s="297"/>
      <c r="C987" s="296"/>
      <c r="D987" s="341"/>
    </row>
    <row r="988" spans="1:4">
      <c r="A988" s="341"/>
      <c r="B988" s="297"/>
      <c r="C988" s="296"/>
      <c r="D988" s="341"/>
    </row>
    <row r="989" spans="1:4">
      <c r="A989" s="341"/>
      <c r="B989" s="297"/>
      <c r="C989" s="296"/>
      <c r="D989" s="341"/>
    </row>
    <row r="990" spans="1:4">
      <c r="A990" s="341"/>
      <c r="B990" s="297"/>
      <c r="C990" s="296"/>
      <c r="D990" s="341"/>
    </row>
    <row r="991" spans="1:4">
      <c r="A991" s="341"/>
      <c r="B991" s="297"/>
      <c r="C991" s="296"/>
      <c r="D991" s="341"/>
    </row>
    <row r="992" spans="1:4">
      <c r="A992" s="341"/>
      <c r="B992" s="297"/>
      <c r="C992" s="296"/>
      <c r="D992" s="341"/>
    </row>
    <row r="993" spans="1:4">
      <c r="A993" s="341"/>
      <c r="B993" s="297"/>
      <c r="C993" s="296"/>
      <c r="D993" s="341"/>
    </row>
    <row r="994" spans="1:4">
      <c r="A994" s="341"/>
      <c r="B994" s="297"/>
      <c r="C994" s="296"/>
      <c r="D994" s="341"/>
    </row>
    <row r="995" spans="1:4">
      <c r="A995" s="341"/>
      <c r="B995" s="297"/>
      <c r="C995" s="296"/>
      <c r="D995" s="341"/>
    </row>
    <row r="996" spans="1:4">
      <c r="A996" s="341"/>
      <c r="B996" s="297"/>
      <c r="C996" s="296"/>
      <c r="D996" s="341"/>
    </row>
    <row r="997" spans="1:4">
      <c r="A997" s="341"/>
      <c r="B997" s="297"/>
      <c r="C997" s="296"/>
      <c r="D997" s="341"/>
    </row>
    <row r="998" spans="1:4">
      <c r="A998" s="341"/>
      <c r="B998" s="297"/>
      <c r="C998" s="296"/>
      <c r="D998" s="341"/>
    </row>
    <row r="999" spans="1:4">
      <c r="A999" s="341"/>
      <c r="B999" s="297"/>
      <c r="C999" s="296"/>
      <c r="D999" s="341"/>
    </row>
    <row r="1000" spans="1:4">
      <c r="A1000" s="341"/>
      <c r="B1000" s="297"/>
      <c r="C1000" s="296"/>
      <c r="D1000" s="341"/>
    </row>
    <row r="1001" spans="1:4">
      <c r="A1001" s="341"/>
      <c r="B1001" s="297"/>
      <c r="C1001" s="296"/>
      <c r="D1001" s="341"/>
    </row>
    <row r="1002" spans="1:4">
      <c r="A1002" s="341"/>
      <c r="B1002" s="297"/>
      <c r="C1002" s="296"/>
      <c r="D1002" s="341"/>
    </row>
    <row r="1003" spans="1:4">
      <c r="A1003" s="341"/>
      <c r="B1003" s="297"/>
      <c r="C1003" s="296"/>
      <c r="D1003" s="341"/>
    </row>
    <row r="1004" spans="1:4">
      <c r="A1004" s="341"/>
      <c r="B1004" s="297"/>
      <c r="C1004" s="296"/>
      <c r="D1004" s="341"/>
    </row>
    <row r="1005" spans="1:4">
      <c r="A1005" s="341"/>
      <c r="B1005" s="297"/>
      <c r="C1005" s="296"/>
      <c r="D1005" s="341"/>
    </row>
    <row r="1006" spans="1:4">
      <c r="A1006" s="341"/>
      <c r="B1006" s="297"/>
      <c r="C1006" s="296"/>
      <c r="D1006" s="341"/>
    </row>
    <row r="1007" spans="1:4">
      <c r="A1007" s="341"/>
      <c r="B1007" s="297"/>
      <c r="C1007" s="296"/>
      <c r="D1007" s="341"/>
    </row>
    <row r="1008" spans="1:4">
      <c r="A1008" s="341"/>
      <c r="B1008" s="297"/>
      <c r="C1008" s="296"/>
      <c r="D1008" s="341"/>
    </row>
    <row r="1009" spans="1:4">
      <c r="A1009" s="341"/>
      <c r="B1009" s="297"/>
      <c r="C1009" s="296"/>
      <c r="D1009" s="341"/>
    </row>
    <row r="1010" spans="1:4">
      <c r="A1010" s="341"/>
      <c r="B1010" s="297"/>
      <c r="C1010" s="296"/>
      <c r="D1010" s="341"/>
    </row>
    <row r="1011" spans="1:4">
      <c r="A1011" s="341"/>
      <c r="B1011" s="297"/>
      <c r="C1011" s="296"/>
      <c r="D1011" s="341"/>
    </row>
    <row r="1012" spans="1:4">
      <c r="A1012" s="341"/>
      <c r="B1012" s="297"/>
      <c r="C1012" s="296"/>
      <c r="D1012" s="341"/>
    </row>
    <row r="1013" spans="1:4">
      <c r="A1013" s="341"/>
      <c r="B1013" s="297"/>
      <c r="C1013" s="296"/>
      <c r="D1013" s="341"/>
    </row>
    <row r="1014" spans="1:4">
      <c r="A1014" s="341"/>
      <c r="B1014" s="297"/>
      <c r="C1014" s="296"/>
      <c r="D1014" s="341"/>
    </row>
    <row r="1015" spans="1:4">
      <c r="A1015" s="341"/>
      <c r="B1015" s="297"/>
      <c r="C1015" s="296"/>
      <c r="D1015" s="341"/>
    </row>
    <row r="1016" spans="1:4">
      <c r="A1016" s="341"/>
      <c r="B1016" s="297"/>
      <c r="C1016" s="296"/>
      <c r="D1016" s="341"/>
    </row>
    <row r="1017" spans="1:4">
      <c r="A1017" s="341"/>
      <c r="B1017" s="297"/>
      <c r="C1017" s="296"/>
      <c r="D1017" s="341"/>
    </row>
    <row r="1018" spans="1:4">
      <c r="A1018" s="341"/>
      <c r="B1018" s="297"/>
      <c r="C1018" s="296"/>
      <c r="D1018" s="341"/>
    </row>
    <row r="1019" spans="1:4">
      <c r="A1019" s="341"/>
      <c r="B1019" s="297"/>
      <c r="C1019" s="296"/>
      <c r="D1019" s="341"/>
    </row>
    <row r="1020" spans="1:4">
      <c r="A1020" s="341"/>
      <c r="B1020" s="297"/>
      <c r="C1020" s="296"/>
      <c r="D1020" s="341"/>
    </row>
    <row r="1021" spans="1:4">
      <c r="A1021" s="341"/>
      <c r="B1021" s="297"/>
      <c r="C1021" s="296"/>
      <c r="D1021" s="341"/>
    </row>
    <row r="1022" spans="1:4">
      <c r="A1022" s="341"/>
      <c r="B1022" s="297"/>
      <c r="C1022" s="296"/>
      <c r="D1022" s="341"/>
    </row>
    <row r="1023" spans="1:4">
      <c r="A1023" s="341"/>
      <c r="B1023" s="297"/>
      <c r="C1023" s="296"/>
      <c r="D1023" s="341"/>
    </row>
    <row r="1024" spans="1:4">
      <c r="A1024" s="341"/>
      <c r="B1024" s="297"/>
      <c r="C1024" s="296"/>
      <c r="D1024" s="341"/>
    </row>
    <row r="1025" spans="1:4">
      <c r="A1025" s="341"/>
      <c r="B1025" s="297"/>
      <c r="C1025" s="296"/>
      <c r="D1025" s="341"/>
    </row>
    <row r="1026" spans="1:4">
      <c r="A1026" s="341"/>
      <c r="B1026" s="297"/>
      <c r="C1026" s="296"/>
      <c r="D1026" s="341"/>
    </row>
    <row r="1027" spans="1:4">
      <c r="A1027" s="341"/>
      <c r="B1027" s="297"/>
      <c r="C1027" s="296"/>
      <c r="D1027" s="341"/>
    </row>
    <row r="1028" spans="1:4">
      <c r="A1028" s="341"/>
      <c r="B1028" s="297"/>
      <c r="C1028" s="296"/>
      <c r="D1028" s="341"/>
    </row>
    <row r="1029" spans="1:4">
      <c r="A1029" s="341"/>
      <c r="B1029" s="297"/>
      <c r="C1029" s="296"/>
      <c r="D1029" s="341"/>
    </row>
    <row r="1030" spans="1:4">
      <c r="A1030" s="341"/>
      <c r="B1030" s="297"/>
      <c r="C1030" s="296"/>
      <c r="D1030" s="341"/>
    </row>
    <row r="1031" spans="1:4">
      <c r="A1031" s="341"/>
      <c r="B1031" s="297"/>
      <c r="C1031" s="296"/>
      <c r="D1031" s="341"/>
    </row>
    <row r="1032" spans="1:4">
      <c r="A1032" s="341"/>
      <c r="B1032" s="297"/>
      <c r="C1032" s="296"/>
      <c r="D1032" s="341"/>
    </row>
    <row r="1033" spans="1:4">
      <c r="A1033" s="341"/>
      <c r="B1033" s="297"/>
      <c r="C1033" s="296"/>
      <c r="D1033" s="341"/>
    </row>
    <row r="1034" spans="1:4">
      <c r="A1034" s="341"/>
      <c r="B1034" s="297"/>
      <c r="C1034" s="296"/>
      <c r="D1034" s="341"/>
    </row>
    <row r="1035" spans="1:4">
      <c r="A1035" s="341"/>
      <c r="B1035" s="297"/>
      <c r="C1035" s="296"/>
      <c r="D1035" s="341"/>
    </row>
    <row r="1036" spans="1:4">
      <c r="A1036" s="341"/>
      <c r="B1036" s="297"/>
      <c r="C1036" s="296"/>
      <c r="D1036" s="341"/>
    </row>
    <row r="1037" spans="1:4">
      <c r="A1037" s="341"/>
      <c r="B1037" s="297"/>
      <c r="C1037" s="296"/>
      <c r="D1037" s="341"/>
    </row>
    <row r="1038" spans="1:4">
      <c r="A1038" s="341"/>
      <c r="B1038" s="297"/>
      <c r="C1038" s="296"/>
      <c r="D1038" s="341"/>
    </row>
    <row r="1039" spans="1:4">
      <c r="A1039" s="341"/>
      <c r="B1039" s="297"/>
      <c r="C1039" s="296"/>
      <c r="D1039" s="341"/>
    </row>
    <row r="1040" spans="1:4">
      <c r="A1040" s="341"/>
      <c r="B1040" s="297"/>
      <c r="C1040" s="296"/>
      <c r="D1040" s="341"/>
    </row>
    <row r="1041" spans="1:4">
      <c r="A1041" s="341"/>
      <c r="B1041" s="297"/>
      <c r="C1041" s="296"/>
      <c r="D1041" s="341"/>
    </row>
    <row r="1042" spans="1:4">
      <c r="A1042" s="341"/>
      <c r="B1042" s="297"/>
      <c r="C1042" s="296"/>
      <c r="D1042" s="341"/>
    </row>
    <row r="1043" spans="1:4">
      <c r="A1043" s="341"/>
      <c r="B1043" s="297"/>
      <c r="C1043" s="296"/>
      <c r="D1043" s="341"/>
    </row>
    <row r="1044" spans="1:4">
      <c r="A1044" s="341"/>
      <c r="B1044" s="297"/>
      <c r="C1044" s="296"/>
      <c r="D1044" s="341"/>
    </row>
    <row r="1045" spans="1:4">
      <c r="A1045" s="341"/>
      <c r="B1045" s="297"/>
      <c r="C1045" s="296"/>
      <c r="D1045" s="341"/>
    </row>
    <row r="1046" spans="1:4">
      <c r="A1046" s="341"/>
      <c r="B1046" s="297"/>
      <c r="C1046" s="296"/>
      <c r="D1046" s="341"/>
    </row>
    <row r="1047" spans="1:4">
      <c r="A1047" s="341"/>
      <c r="B1047" s="297"/>
      <c r="C1047" s="296"/>
      <c r="D1047" s="341"/>
    </row>
    <row r="1048" spans="1:4">
      <c r="A1048" s="341"/>
      <c r="B1048" s="297"/>
      <c r="C1048" s="296"/>
      <c r="D1048" s="341"/>
    </row>
    <row r="1049" spans="1:4">
      <c r="A1049" s="341"/>
      <c r="B1049" s="297"/>
      <c r="C1049" s="296"/>
      <c r="D1049" s="341"/>
    </row>
    <row r="1050" spans="1:4">
      <c r="A1050" s="341"/>
      <c r="B1050" s="297"/>
      <c r="C1050" s="296"/>
      <c r="D1050" s="341"/>
    </row>
    <row r="1051" spans="1:4">
      <c r="A1051" s="341"/>
      <c r="B1051" s="297"/>
      <c r="C1051" s="296"/>
      <c r="D1051" s="341"/>
    </row>
    <row r="1052" spans="1:4">
      <c r="A1052" s="341"/>
      <c r="B1052" s="297"/>
      <c r="C1052" s="296"/>
      <c r="D1052" s="341"/>
    </row>
    <row r="1053" spans="1:4">
      <c r="A1053" s="341"/>
      <c r="B1053" s="297"/>
      <c r="C1053" s="296"/>
      <c r="D1053" s="341"/>
    </row>
    <row r="1054" spans="1:4">
      <c r="A1054" s="341"/>
      <c r="B1054" s="297"/>
      <c r="C1054" s="296"/>
      <c r="D1054" s="341"/>
    </row>
    <row r="1055" spans="1:4">
      <c r="A1055" s="341"/>
      <c r="B1055" s="297"/>
      <c r="C1055" s="296"/>
      <c r="D1055" s="341"/>
    </row>
    <row r="1056" spans="1:4">
      <c r="A1056" s="341"/>
      <c r="B1056" s="297"/>
      <c r="C1056" s="296"/>
      <c r="D1056" s="341"/>
    </row>
    <row r="1057" spans="1:4">
      <c r="A1057" s="341"/>
      <c r="B1057" s="297"/>
      <c r="C1057" s="296"/>
      <c r="D1057" s="341"/>
    </row>
    <row r="1058" spans="1:4">
      <c r="A1058" s="341"/>
      <c r="B1058" s="297"/>
      <c r="C1058" s="296"/>
      <c r="D1058" s="341"/>
    </row>
    <row r="1059" spans="1:4">
      <c r="A1059" s="341"/>
      <c r="B1059" s="297"/>
      <c r="C1059" s="296"/>
      <c r="D1059" s="341"/>
    </row>
    <row r="1060" spans="1:4">
      <c r="A1060" s="341"/>
      <c r="B1060" s="297"/>
      <c r="C1060" s="296"/>
      <c r="D1060" s="341"/>
    </row>
    <row r="1061" spans="1:4">
      <c r="A1061" s="341"/>
      <c r="B1061" s="297"/>
      <c r="C1061" s="296"/>
      <c r="D1061" s="341"/>
    </row>
    <row r="1062" spans="1:4">
      <c r="A1062" s="341"/>
      <c r="B1062" s="297"/>
      <c r="C1062" s="296"/>
      <c r="D1062" s="341"/>
    </row>
    <row r="1063" spans="1:4">
      <c r="A1063" s="341"/>
      <c r="B1063" s="297"/>
      <c r="C1063" s="296"/>
      <c r="D1063" s="341"/>
    </row>
    <row r="1064" spans="1:4">
      <c r="A1064" s="341"/>
      <c r="B1064" s="297"/>
      <c r="C1064" s="296"/>
      <c r="D1064" s="341"/>
    </row>
    <row r="1065" spans="1:4">
      <c r="A1065" s="341"/>
      <c r="B1065" s="297"/>
      <c r="C1065" s="296"/>
      <c r="D1065" s="341"/>
    </row>
    <row r="1066" spans="1:4">
      <c r="A1066" s="341"/>
      <c r="B1066" s="297"/>
      <c r="C1066" s="296"/>
      <c r="D1066" s="341"/>
    </row>
    <row r="1067" spans="1:4">
      <c r="A1067" s="341"/>
      <c r="B1067" s="297"/>
      <c r="C1067" s="296"/>
      <c r="D1067" s="341"/>
    </row>
    <row r="1068" spans="1:4">
      <c r="A1068" s="341"/>
      <c r="B1068" s="297"/>
      <c r="C1068" s="296"/>
      <c r="D1068" s="341"/>
    </row>
    <row r="1069" spans="1:4">
      <c r="A1069" s="341"/>
      <c r="B1069" s="297"/>
      <c r="C1069" s="296"/>
      <c r="D1069" s="341"/>
    </row>
    <row r="1070" spans="1:4">
      <c r="A1070" s="341"/>
      <c r="B1070" s="297"/>
      <c r="C1070" s="296"/>
      <c r="D1070" s="341"/>
    </row>
    <row r="1071" spans="1:4">
      <c r="A1071" s="341"/>
      <c r="B1071" s="297"/>
      <c r="C1071" s="296"/>
      <c r="D1071" s="341"/>
    </row>
    <row r="1072" spans="1:4">
      <c r="A1072" s="341"/>
      <c r="B1072" s="297"/>
      <c r="C1072" s="296"/>
      <c r="D1072" s="341"/>
    </row>
    <row r="1073" spans="1:4">
      <c r="A1073" s="341"/>
      <c r="B1073" s="297"/>
      <c r="C1073" s="296"/>
      <c r="D1073" s="341"/>
    </row>
    <row r="1074" spans="1:4">
      <c r="A1074" s="341"/>
      <c r="B1074" s="297"/>
      <c r="C1074" s="296"/>
      <c r="D1074" s="341"/>
    </row>
    <row r="1075" spans="1:4">
      <c r="A1075" s="341"/>
      <c r="B1075" s="297"/>
      <c r="C1075" s="296"/>
      <c r="D1075" s="341"/>
    </row>
    <row r="1076" spans="1:4">
      <c r="A1076" s="341"/>
      <c r="B1076" s="297"/>
      <c r="C1076" s="296"/>
      <c r="D1076" s="341"/>
    </row>
    <row r="1077" spans="1:4">
      <c r="A1077" s="341"/>
      <c r="B1077" s="297"/>
      <c r="C1077" s="296"/>
      <c r="D1077" s="341"/>
    </row>
    <row r="1078" spans="1:4">
      <c r="A1078" s="341"/>
      <c r="B1078" s="297"/>
      <c r="C1078" s="296"/>
      <c r="D1078" s="341"/>
    </row>
    <row r="1079" spans="1:4">
      <c r="A1079" s="341"/>
      <c r="B1079" s="297"/>
      <c r="C1079" s="296"/>
      <c r="D1079" s="341"/>
    </row>
    <row r="1080" spans="1:4">
      <c r="A1080" s="341"/>
      <c r="B1080" s="297"/>
      <c r="C1080" s="296"/>
      <c r="D1080" s="341"/>
    </row>
    <row r="1081" spans="1:4">
      <c r="A1081" s="341"/>
      <c r="B1081" s="297"/>
      <c r="C1081" s="296"/>
      <c r="D1081" s="341"/>
    </row>
    <row r="1082" spans="1:4">
      <c r="A1082" s="341"/>
      <c r="B1082" s="297"/>
      <c r="C1082" s="296"/>
      <c r="D1082" s="341"/>
    </row>
    <row r="1083" spans="1:4">
      <c r="A1083" s="341"/>
      <c r="B1083" s="297"/>
      <c r="C1083" s="296"/>
      <c r="D1083" s="341"/>
    </row>
    <row r="1084" spans="1:4">
      <c r="A1084" s="341"/>
      <c r="B1084" s="297"/>
      <c r="C1084" s="296"/>
      <c r="D1084" s="341"/>
    </row>
    <row r="1085" spans="1:4">
      <c r="A1085" s="341"/>
      <c r="B1085" s="297"/>
      <c r="C1085" s="296"/>
      <c r="D1085" s="341"/>
    </row>
    <row r="1086" spans="1:4">
      <c r="A1086" s="341"/>
      <c r="B1086" s="297"/>
      <c r="C1086" s="296"/>
      <c r="D1086" s="341"/>
    </row>
    <row r="1087" spans="1:4">
      <c r="A1087" s="341"/>
      <c r="B1087" s="297"/>
      <c r="C1087" s="296"/>
      <c r="D1087" s="341"/>
    </row>
    <row r="1088" spans="1:4">
      <c r="A1088" s="341"/>
      <c r="B1088" s="297"/>
      <c r="C1088" s="296"/>
      <c r="D1088" s="341"/>
    </row>
    <row r="1089" spans="1:4">
      <c r="A1089" s="341"/>
      <c r="B1089" s="297"/>
      <c r="C1089" s="296"/>
      <c r="D1089" s="341"/>
    </row>
    <row r="1090" spans="1:4">
      <c r="A1090" s="341"/>
      <c r="B1090" s="297"/>
      <c r="C1090" s="296"/>
      <c r="D1090" s="341"/>
    </row>
    <row r="1091" spans="1:4">
      <c r="A1091" s="341"/>
      <c r="B1091" s="297"/>
      <c r="C1091" s="296"/>
      <c r="D1091" s="341"/>
    </row>
    <row r="1092" spans="1:4">
      <c r="A1092" s="341"/>
      <c r="B1092" s="297"/>
      <c r="C1092" s="296"/>
      <c r="D1092" s="341"/>
    </row>
    <row r="1093" spans="1:4">
      <c r="A1093" s="341"/>
      <c r="B1093" s="297"/>
      <c r="C1093" s="296"/>
      <c r="D1093" s="341"/>
    </row>
    <row r="1094" spans="1:4">
      <c r="A1094" s="341"/>
      <c r="B1094" s="297"/>
      <c r="C1094" s="296"/>
      <c r="D1094" s="341"/>
    </row>
    <row r="1095" spans="1:4">
      <c r="A1095" s="341"/>
      <c r="B1095" s="297"/>
      <c r="C1095" s="296"/>
      <c r="D1095" s="341"/>
    </row>
    <row r="1096" spans="1:4">
      <c r="A1096" s="341"/>
      <c r="B1096" s="297"/>
      <c r="C1096" s="296"/>
      <c r="D1096" s="341"/>
    </row>
    <row r="1097" spans="1:4">
      <c r="A1097" s="341"/>
      <c r="B1097" s="297"/>
      <c r="C1097" s="296"/>
      <c r="D1097" s="341"/>
    </row>
    <row r="1098" spans="1:4">
      <c r="A1098" s="341"/>
      <c r="B1098" s="297"/>
      <c r="C1098" s="296"/>
      <c r="D1098" s="341"/>
    </row>
    <row r="1099" spans="1:4">
      <c r="A1099" s="341"/>
      <c r="B1099" s="297"/>
      <c r="C1099" s="296"/>
      <c r="D1099" s="341"/>
    </row>
    <row r="1100" spans="1:4">
      <c r="A1100" s="341"/>
      <c r="B1100" s="297"/>
      <c r="C1100" s="296"/>
      <c r="D1100" s="341"/>
    </row>
    <row r="1101" spans="1:4">
      <c r="A1101" s="341"/>
      <c r="B1101" s="297"/>
      <c r="C1101" s="296"/>
      <c r="D1101" s="341"/>
    </row>
    <row r="1102" spans="1:4">
      <c r="A1102" s="341"/>
      <c r="B1102" s="297"/>
      <c r="C1102" s="296"/>
      <c r="D1102" s="341"/>
    </row>
    <row r="1103" spans="1:4">
      <c r="A1103" s="341"/>
      <c r="B1103" s="297"/>
      <c r="C1103" s="296"/>
      <c r="D1103" s="341"/>
    </row>
    <row r="1104" spans="1:4">
      <c r="A1104" s="341"/>
      <c r="B1104" s="297"/>
      <c r="C1104" s="296"/>
      <c r="D1104" s="341"/>
    </row>
    <row r="1105" spans="1:4">
      <c r="A1105" s="341"/>
      <c r="B1105" s="297"/>
      <c r="C1105" s="296"/>
      <c r="D1105" s="341"/>
    </row>
    <row r="1106" spans="1:4">
      <c r="A1106" s="341"/>
      <c r="B1106" s="297"/>
      <c r="C1106" s="296"/>
      <c r="D1106" s="341"/>
    </row>
    <row r="1107" spans="1:4">
      <c r="A1107" s="341"/>
      <c r="B1107" s="297"/>
      <c r="C1107" s="296"/>
      <c r="D1107" s="341"/>
    </row>
    <row r="1108" spans="1:4">
      <c r="A1108" s="341"/>
      <c r="B1108" s="297"/>
      <c r="C1108" s="296"/>
      <c r="D1108" s="341"/>
    </row>
    <row r="1109" spans="1:4">
      <c r="A1109" s="341"/>
      <c r="B1109" s="297"/>
      <c r="C1109" s="296"/>
      <c r="D1109" s="341"/>
    </row>
    <row r="1110" spans="1:4">
      <c r="A1110" s="341"/>
      <c r="B1110" s="297"/>
      <c r="C1110" s="296"/>
      <c r="D1110" s="341"/>
    </row>
    <row r="1111" spans="1:4">
      <c r="A1111" s="341"/>
      <c r="B1111" s="297"/>
      <c r="C1111" s="296"/>
      <c r="D1111" s="341"/>
    </row>
    <row r="1112" spans="1:4">
      <c r="A1112" s="341"/>
      <c r="B1112" s="297"/>
      <c r="C1112" s="296"/>
      <c r="D1112" s="341"/>
    </row>
    <row r="1113" spans="1:4">
      <c r="A1113" s="341"/>
      <c r="B1113" s="297"/>
      <c r="C1113" s="296"/>
      <c r="D1113" s="341"/>
    </row>
    <row r="1114" spans="1:4">
      <c r="A1114" s="341"/>
      <c r="B1114" s="297"/>
      <c r="C1114" s="296"/>
      <c r="D1114" s="341"/>
    </row>
    <row r="1115" spans="1:4">
      <c r="A1115" s="341"/>
      <c r="B1115" s="297"/>
      <c r="C1115" s="296"/>
      <c r="D1115" s="341"/>
    </row>
    <row r="1116" spans="1:4">
      <c r="A1116" s="341"/>
      <c r="B1116" s="297"/>
      <c r="C1116" s="296"/>
      <c r="D1116" s="341"/>
    </row>
    <row r="1117" spans="1:4">
      <c r="A1117" s="341"/>
      <c r="B1117" s="297"/>
      <c r="C1117" s="296"/>
      <c r="D1117" s="341"/>
    </row>
    <row r="1118" spans="1:4">
      <c r="A1118" s="341"/>
      <c r="B1118" s="297"/>
      <c r="C1118" s="296"/>
      <c r="D1118" s="341"/>
    </row>
    <row r="1119" spans="1:4">
      <c r="A1119" s="341"/>
      <c r="B1119" s="297"/>
      <c r="C1119" s="296"/>
      <c r="D1119" s="341"/>
    </row>
    <row r="1120" spans="1:4">
      <c r="A1120" s="341"/>
      <c r="B1120" s="297"/>
      <c r="C1120" s="296"/>
      <c r="D1120" s="341"/>
    </row>
    <row r="1121" spans="1:4">
      <c r="A1121" s="341"/>
      <c r="B1121" s="297"/>
      <c r="C1121" s="296"/>
      <c r="D1121" s="341"/>
    </row>
    <row r="1122" spans="1:4">
      <c r="A1122" s="341"/>
      <c r="B1122" s="297"/>
      <c r="C1122" s="296"/>
      <c r="D1122" s="341"/>
    </row>
    <row r="1123" spans="1:4">
      <c r="A1123" s="341"/>
      <c r="B1123" s="297"/>
      <c r="C1123" s="296"/>
      <c r="D1123" s="341"/>
    </row>
    <row r="1124" spans="1:4">
      <c r="A1124" s="341"/>
      <c r="B1124" s="297"/>
      <c r="C1124" s="296"/>
      <c r="D1124" s="341"/>
    </row>
    <row r="1125" spans="1:4">
      <c r="A1125" s="341"/>
      <c r="B1125" s="297"/>
      <c r="C1125" s="296"/>
      <c r="D1125" s="341"/>
    </row>
    <row r="1126" spans="1:4">
      <c r="A1126" s="341"/>
      <c r="B1126" s="297"/>
      <c r="C1126" s="296"/>
      <c r="D1126" s="341"/>
    </row>
    <row r="1127" spans="1:4">
      <c r="A1127" s="341"/>
      <c r="B1127" s="297"/>
      <c r="C1127" s="296"/>
      <c r="D1127" s="341"/>
    </row>
    <row r="1128" spans="1:4">
      <c r="A1128" s="341"/>
      <c r="B1128" s="297"/>
      <c r="C1128" s="296"/>
      <c r="D1128" s="341"/>
    </row>
    <row r="1129" spans="1:4">
      <c r="A1129" s="341"/>
      <c r="B1129" s="297"/>
      <c r="C1129" s="296"/>
      <c r="D1129" s="341"/>
    </row>
    <row r="1130" spans="1:4">
      <c r="A1130" s="341"/>
      <c r="B1130" s="297"/>
      <c r="C1130" s="296"/>
      <c r="D1130" s="341"/>
    </row>
    <row r="1131" spans="1:4">
      <c r="A1131" s="341"/>
      <c r="B1131" s="297"/>
      <c r="C1131" s="296"/>
      <c r="D1131" s="341"/>
    </row>
    <row r="1132" spans="1:4">
      <c r="A1132" s="341"/>
      <c r="B1132" s="297"/>
      <c r="C1132" s="296"/>
      <c r="D1132" s="341"/>
    </row>
    <row r="1133" spans="1:4">
      <c r="A1133" s="341"/>
      <c r="B1133" s="297"/>
      <c r="C1133" s="296"/>
      <c r="D1133" s="341"/>
    </row>
    <row r="1134" spans="1:4">
      <c r="A1134" s="341"/>
      <c r="B1134" s="297"/>
      <c r="C1134" s="296"/>
      <c r="D1134" s="341"/>
    </row>
    <row r="1135" spans="1:4">
      <c r="A1135" s="341"/>
      <c r="B1135" s="297"/>
      <c r="C1135" s="296"/>
      <c r="D1135" s="341"/>
    </row>
    <row r="1136" spans="1:4">
      <c r="A1136" s="341"/>
      <c r="B1136" s="297"/>
      <c r="C1136" s="296"/>
      <c r="D1136" s="341"/>
    </row>
    <row r="1137" spans="1:4">
      <c r="A1137" s="341"/>
      <c r="B1137" s="297"/>
      <c r="C1137" s="296"/>
      <c r="D1137" s="341"/>
    </row>
    <row r="1138" spans="1:4">
      <c r="A1138" s="341"/>
      <c r="B1138" s="297"/>
      <c r="C1138" s="296"/>
      <c r="D1138" s="341"/>
    </row>
    <row r="1139" spans="1:4">
      <c r="A1139" s="341"/>
      <c r="B1139" s="297"/>
      <c r="C1139" s="296"/>
      <c r="D1139" s="341"/>
    </row>
    <row r="1140" spans="1:4">
      <c r="A1140" s="341"/>
      <c r="B1140" s="297"/>
      <c r="C1140" s="296"/>
      <c r="D1140" s="341"/>
    </row>
    <row r="1141" spans="1:4">
      <c r="A1141" s="341"/>
      <c r="B1141" s="297"/>
      <c r="C1141" s="296"/>
      <c r="D1141" s="341"/>
    </row>
    <row r="1142" spans="1:4">
      <c r="A1142" s="341"/>
      <c r="B1142" s="297"/>
      <c r="C1142" s="296"/>
      <c r="D1142" s="341"/>
    </row>
    <row r="1143" spans="1:4">
      <c r="A1143" s="341"/>
      <c r="B1143" s="297"/>
      <c r="C1143" s="296"/>
      <c r="D1143" s="341"/>
    </row>
    <row r="1144" spans="1:4">
      <c r="A1144" s="341"/>
      <c r="B1144" s="297"/>
      <c r="C1144" s="296"/>
      <c r="D1144" s="341"/>
    </row>
    <row r="1145" spans="1:4">
      <c r="A1145" s="341"/>
      <c r="B1145" s="297"/>
      <c r="C1145" s="296"/>
      <c r="D1145" s="341"/>
    </row>
    <row r="1146" spans="1:4">
      <c r="A1146" s="341"/>
      <c r="B1146" s="297"/>
      <c r="C1146" s="296"/>
      <c r="D1146" s="341"/>
    </row>
    <row r="1147" spans="1:4">
      <c r="A1147" s="341"/>
      <c r="B1147" s="297"/>
      <c r="C1147" s="296"/>
      <c r="D1147" s="341"/>
    </row>
    <row r="1148" spans="1:4">
      <c r="A1148" s="341"/>
      <c r="B1148" s="297"/>
      <c r="C1148" s="296"/>
      <c r="D1148" s="341"/>
    </row>
    <row r="1149" spans="1:4">
      <c r="A1149" s="341"/>
      <c r="B1149" s="297"/>
      <c r="C1149" s="296"/>
      <c r="D1149" s="341"/>
    </row>
    <row r="1150" spans="1:4">
      <c r="A1150" s="341"/>
      <c r="B1150" s="297"/>
      <c r="C1150" s="296"/>
      <c r="D1150" s="341"/>
    </row>
    <row r="1151" spans="1:4">
      <c r="A1151" s="341"/>
      <c r="B1151" s="297"/>
      <c r="C1151" s="296"/>
      <c r="D1151" s="341"/>
    </row>
    <row r="1152" spans="1:4">
      <c r="A1152" s="341"/>
      <c r="B1152" s="297"/>
      <c r="C1152" s="296"/>
      <c r="D1152" s="341"/>
    </row>
    <row r="1153" spans="1:4">
      <c r="A1153" s="341"/>
      <c r="B1153" s="297"/>
      <c r="C1153" s="296"/>
      <c r="D1153" s="341"/>
    </row>
    <row r="1154" spans="1:4">
      <c r="A1154" s="341"/>
      <c r="B1154" s="297"/>
      <c r="C1154" s="296"/>
      <c r="D1154" s="341"/>
    </row>
    <row r="1155" spans="1:4">
      <c r="A1155" s="341"/>
      <c r="B1155" s="297"/>
      <c r="C1155" s="296"/>
      <c r="D1155" s="341"/>
    </row>
    <row r="1156" spans="1:4">
      <c r="A1156" s="341"/>
      <c r="B1156" s="297"/>
      <c r="C1156" s="296"/>
      <c r="D1156" s="341"/>
    </row>
    <row r="1157" spans="1:4">
      <c r="A1157" s="341"/>
      <c r="B1157" s="297"/>
      <c r="C1157" s="296"/>
      <c r="D1157" s="341"/>
    </row>
    <row r="1158" spans="1:4">
      <c r="A1158" s="341"/>
      <c r="B1158" s="297"/>
      <c r="C1158" s="296"/>
      <c r="D1158" s="341"/>
    </row>
    <row r="1159" spans="1:4">
      <c r="A1159" s="341"/>
      <c r="B1159" s="297"/>
      <c r="C1159" s="296"/>
      <c r="D1159" s="341"/>
    </row>
    <row r="1160" spans="1:4">
      <c r="A1160" s="341"/>
      <c r="B1160" s="297"/>
      <c r="C1160" s="296"/>
      <c r="D1160" s="341"/>
    </row>
    <row r="1161" spans="1:4">
      <c r="A1161" s="341"/>
      <c r="B1161" s="297"/>
      <c r="C1161" s="296"/>
      <c r="D1161" s="341"/>
    </row>
    <row r="1162" spans="1:4">
      <c r="A1162" s="341"/>
      <c r="B1162" s="297"/>
      <c r="C1162" s="296"/>
      <c r="D1162" s="341"/>
    </row>
    <row r="1163" spans="1:4">
      <c r="A1163" s="341"/>
      <c r="B1163" s="297"/>
      <c r="C1163" s="296"/>
      <c r="D1163" s="341"/>
    </row>
    <row r="1164" spans="1:4">
      <c r="A1164" s="341"/>
      <c r="B1164" s="297"/>
      <c r="C1164" s="296"/>
      <c r="D1164" s="341"/>
    </row>
    <row r="1165" spans="1:4">
      <c r="A1165" s="341"/>
      <c r="B1165" s="297"/>
      <c r="C1165" s="296"/>
      <c r="D1165" s="341"/>
    </row>
    <row r="1166" spans="1:4">
      <c r="A1166" s="341"/>
      <c r="B1166" s="297"/>
      <c r="C1166" s="296"/>
      <c r="D1166" s="341"/>
    </row>
    <row r="1167" spans="1:4">
      <c r="A1167" s="341"/>
      <c r="B1167" s="297"/>
      <c r="C1167" s="296"/>
      <c r="D1167" s="341"/>
    </row>
    <row r="1168" spans="1:4">
      <c r="A1168" s="341"/>
      <c r="B1168" s="297"/>
      <c r="C1168" s="296"/>
      <c r="D1168" s="341"/>
    </row>
    <row r="1169" spans="1:4">
      <c r="A1169" s="341"/>
      <c r="B1169" s="297"/>
      <c r="C1169" s="296"/>
      <c r="D1169" s="341"/>
    </row>
    <row r="1170" spans="1:4">
      <c r="A1170" s="341"/>
      <c r="B1170" s="297"/>
      <c r="C1170" s="296"/>
      <c r="D1170" s="341"/>
    </row>
    <row r="1171" spans="1:4">
      <c r="A1171" s="341"/>
      <c r="B1171" s="297"/>
      <c r="C1171" s="296"/>
      <c r="D1171" s="341"/>
    </row>
    <row r="1172" spans="1:4">
      <c r="A1172" s="341"/>
      <c r="B1172" s="297"/>
      <c r="C1172" s="296"/>
      <c r="D1172" s="341"/>
    </row>
    <row r="1173" spans="1:4">
      <c r="A1173" s="341"/>
      <c r="B1173" s="297"/>
      <c r="C1173" s="296"/>
      <c r="D1173" s="341"/>
    </row>
    <row r="1174" spans="1:4">
      <c r="A1174" s="341"/>
      <c r="B1174" s="297"/>
      <c r="C1174" s="296"/>
      <c r="D1174" s="341"/>
    </row>
    <row r="1175" spans="1:4">
      <c r="A1175" s="341"/>
      <c r="B1175" s="297"/>
      <c r="C1175" s="296"/>
      <c r="D1175" s="341"/>
    </row>
    <row r="1176" spans="1:4">
      <c r="A1176" s="341"/>
      <c r="B1176" s="297"/>
      <c r="C1176" s="296"/>
      <c r="D1176" s="341"/>
    </row>
    <row r="1177" spans="1:4">
      <c r="A1177" s="341"/>
      <c r="B1177" s="297"/>
      <c r="C1177" s="296"/>
      <c r="D1177" s="341"/>
    </row>
    <row r="1178" spans="1:4">
      <c r="A1178" s="341"/>
      <c r="B1178" s="297"/>
      <c r="C1178" s="296"/>
      <c r="D1178" s="341"/>
    </row>
    <row r="1179" spans="1:4">
      <c r="A1179" s="341"/>
      <c r="B1179" s="297"/>
      <c r="C1179" s="296"/>
      <c r="D1179" s="341"/>
    </row>
    <row r="1180" spans="1:4">
      <c r="A1180" s="341"/>
      <c r="B1180" s="297"/>
      <c r="C1180" s="296"/>
      <c r="D1180" s="341"/>
    </row>
    <row r="1181" spans="1:4">
      <c r="A1181" s="341"/>
      <c r="B1181" s="297"/>
      <c r="C1181" s="296"/>
      <c r="D1181" s="341"/>
    </row>
    <row r="1182" spans="1:4">
      <c r="A1182" s="341"/>
      <c r="B1182" s="297"/>
      <c r="C1182" s="296"/>
      <c r="D1182" s="341"/>
    </row>
    <row r="1183" spans="1:4">
      <c r="A1183" s="341"/>
      <c r="B1183" s="297"/>
      <c r="C1183" s="296"/>
      <c r="D1183" s="341"/>
    </row>
    <row r="1184" spans="1:4">
      <c r="A1184" s="341"/>
      <c r="B1184" s="297"/>
      <c r="C1184" s="296"/>
      <c r="D1184" s="341"/>
    </row>
    <row r="1185" spans="1:4">
      <c r="A1185" s="341"/>
      <c r="B1185" s="297"/>
      <c r="C1185" s="296"/>
      <c r="D1185" s="341"/>
    </row>
    <row r="1186" spans="1:4">
      <c r="A1186" s="341"/>
      <c r="B1186" s="297"/>
      <c r="C1186" s="296"/>
      <c r="D1186" s="341"/>
    </row>
    <row r="1187" spans="1:4">
      <c r="A1187" s="341"/>
      <c r="B1187" s="297"/>
      <c r="C1187" s="296"/>
      <c r="D1187" s="341"/>
    </row>
    <row r="1188" spans="1:4">
      <c r="A1188" s="341"/>
      <c r="B1188" s="297"/>
      <c r="C1188" s="296"/>
      <c r="D1188" s="341"/>
    </row>
    <row r="1189" spans="1:4">
      <c r="A1189" s="341"/>
      <c r="B1189" s="297"/>
      <c r="C1189" s="296"/>
      <c r="D1189" s="341"/>
    </row>
    <row r="1190" spans="1:4">
      <c r="A1190" s="341"/>
      <c r="B1190" s="297"/>
      <c r="C1190" s="296"/>
      <c r="D1190" s="341"/>
    </row>
    <row r="1191" spans="1:4">
      <c r="A1191" s="341"/>
      <c r="B1191" s="297"/>
      <c r="C1191" s="296"/>
      <c r="D1191" s="341"/>
    </row>
    <row r="1192" spans="1:4">
      <c r="A1192" s="341"/>
      <c r="B1192" s="297"/>
      <c r="C1192" s="296"/>
      <c r="D1192" s="341"/>
    </row>
    <row r="1193" spans="1:4">
      <c r="A1193" s="341"/>
      <c r="B1193" s="297"/>
      <c r="C1193" s="296"/>
      <c r="D1193" s="341"/>
    </row>
    <row r="1194" spans="1:4">
      <c r="A1194" s="341"/>
      <c r="B1194" s="297"/>
      <c r="C1194" s="296"/>
      <c r="D1194" s="341"/>
    </row>
    <row r="1195" spans="1:4">
      <c r="A1195" s="341"/>
      <c r="B1195" s="297"/>
      <c r="C1195" s="296"/>
      <c r="D1195" s="341"/>
    </row>
    <row r="1196" spans="1:4">
      <c r="A1196" s="341"/>
      <c r="B1196" s="297"/>
      <c r="C1196" s="296"/>
      <c r="D1196" s="341"/>
    </row>
    <row r="1197" spans="1:4">
      <c r="A1197" s="341"/>
      <c r="B1197" s="297"/>
      <c r="C1197" s="296"/>
      <c r="D1197" s="341"/>
    </row>
    <row r="1198" spans="1:4">
      <c r="A1198" s="341"/>
      <c r="B1198" s="297"/>
      <c r="C1198" s="296"/>
      <c r="D1198" s="341"/>
    </row>
    <row r="1199" spans="1:4">
      <c r="A1199" s="341"/>
      <c r="B1199" s="297"/>
      <c r="C1199" s="296"/>
      <c r="D1199" s="341"/>
    </row>
    <row r="1200" spans="1:4">
      <c r="A1200" s="341"/>
      <c r="B1200" s="297"/>
      <c r="C1200" s="296"/>
      <c r="D1200" s="341"/>
    </row>
    <row r="1201" spans="1:4">
      <c r="A1201" s="341"/>
      <c r="B1201" s="297"/>
      <c r="C1201" s="296"/>
      <c r="D1201" s="341"/>
    </row>
    <row r="1202" spans="1:4">
      <c r="A1202" s="341"/>
      <c r="B1202" s="297"/>
      <c r="C1202" s="296"/>
      <c r="D1202" s="341"/>
    </row>
    <row r="1203" spans="1:4">
      <c r="A1203" s="341"/>
      <c r="B1203" s="297"/>
      <c r="C1203" s="296"/>
      <c r="D1203" s="341"/>
    </row>
    <row r="1204" spans="1:4">
      <c r="A1204" s="341"/>
      <c r="B1204" s="297"/>
      <c r="C1204" s="296"/>
      <c r="D1204" s="341"/>
    </row>
    <row r="1205" spans="1:4">
      <c r="A1205" s="341"/>
      <c r="B1205" s="297"/>
      <c r="C1205" s="296"/>
      <c r="D1205" s="341"/>
    </row>
    <row r="1206" spans="1:4">
      <c r="A1206" s="341"/>
      <c r="B1206" s="297"/>
      <c r="C1206" s="296"/>
      <c r="D1206" s="341"/>
    </row>
    <row r="1207" spans="1:4">
      <c r="A1207" s="341"/>
      <c r="B1207" s="297"/>
      <c r="C1207" s="296"/>
      <c r="D1207" s="341"/>
    </row>
    <row r="1208" spans="1:4">
      <c r="A1208" s="341"/>
      <c r="B1208" s="297"/>
      <c r="C1208" s="296"/>
      <c r="D1208" s="341"/>
    </row>
    <row r="1209" spans="1:4">
      <c r="A1209" s="341"/>
      <c r="B1209" s="297"/>
      <c r="C1209" s="296"/>
      <c r="D1209" s="341"/>
    </row>
    <row r="1210" spans="1:4">
      <c r="A1210" s="341"/>
      <c r="B1210" s="297"/>
      <c r="C1210" s="296"/>
      <c r="D1210" s="341"/>
    </row>
    <row r="1211" spans="1:4">
      <c r="A1211" s="341"/>
      <c r="B1211" s="297"/>
      <c r="C1211" s="296"/>
      <c r="D1211" s="341"/>
    </row>
    <row r="1212" spans="1:4">
      <c r="A1212" s="341"/>
      <c r="B1212" s="297"/>
      <c r="C1212" s="296"/>
      <c r="D1212" s="341"/>
    </row>
    <row r="1213" spans="1:4">
      <c r="A1213" s="341"/>
      <c r="B1213" s="297"/>
      <c r="C1213" s="296"/>
      <c r="D1213" s="341"/>
    </row>
    <row r="1214" spans="1:4">
      <c r="A1214" s="341"/>
      <c r="B1214" s="297"/>
      <c r="C1214" s="296"/>
      <c r="D1214" s="341"/>
    </row>
    <row r="1215" spans="1:4">
      <c r="A1215" s="341"/>
      <c r="B1215" s="297"/>
      <c r="C1215" s="296"/>
      <c r="D1215" s="341"/>
    </row>
    <row r="1216" spans="1:4">
      <c r="A1216" s="341"/>
      <c r="B1216" s="297"/>
      <c r="C1216" s="296"/>
      <c r="D1216" s="341"/>
    </row>
    <row r="1217" spans="1:4">
      <c r="A1217" s="341"/>
      <c r="B1217" s="297"/>
      <c r="C1217" s="296"/>
      <c r="D1217" s="341"/>
    </row>
    <row r="1218" spans="1:4">
      <c r="A1218" s="341"/>
      <c r="B1218" s="297"/>
      <c r="C1218" s="296"/>
      <c r="D1218" s="341"/>
    </row>
    <row r="1219" spans="1:4">
      <c r="A1219" s="341"/>
      <c r="B1219" s="297"/>
      <c r="C1219" s="296"/>
      <c r="D1219" s="341"/>
    </row>
    <row r="1220" spans="1:4">
      <c r="A1220" s="341"/>
      <c r="B1220" s="297"/>
      <c r="C1220" s="296"/>
      <c r="D1220" s="341"/>
    </row>
    <row r="1221" spans="1:4">
      <c r="A1221" s="341"/>
      <c r="B1221" s="297"/>
      <c r="C1221" s="296"/>
      <c r="D1221" s="341"/>
    </row>
    <row r="1222" spans="1:4">
      <c r="A1222" s="341"/>
      <c r="B1222" s="297"/>
      <c r="C1222" s="296"/>
      <c r="D1222" s="341"/>
    </row>
    <row r="1223" spans="1:4">
      <c r="A1223" s="341"/>
      <c r="B1223" s="297"/>
      <c r="C1223" s="296"/>
      <c r="D1223" s="341"/>
    </row>
    <row r="1224" spans="1:4">
      <c r="A1224" s="341"/>
      <c r="B1224" s="297"/>
      <c r="C1224" s="296"/>
      <c r="D1224" s="341"/>
    </row>
    <row r="1225" spans="1:4">
      <c r="A1225" s="341"/>
      <c r="B1225" s="297"/>
      <c r="C1225" s="296"/>
      <c r="D1225" s="341"/>
    </row>
    <row r="1226" spans="1:4">
      <c r="A1226" s="341"/>
      <c r="B1226" s="297"/>
      <c r="C1226" s="296"/>
      <c r="D1226" s="341"/>
    </row>
    <row r="1227" spans="1:4">
      <c r="A1227" s="341"/>
      <c r="B1227" s="297"/>
      <c r="C1227" s="296"/>
      <c r="D1227" s="341"/>
    </row>
    <row r="1228" spans="1:4">
      <c r="A1228" s="341"/>
      <c r="B1228" s="297"/>
      <c r="C1228" s="296"/>
      <c r="D1228" s="341"/>
    </row>
    <row r="1229" spans="1:4">
      <c r="A1229" s="341"/>
      <c r="B1229" s="297"/>
      <c r="C1229" s="296"/>
      <c r="D1229" s="341"/>
    </row>
    <row r="1230" spans="1:4">
      <c r="A1230" s="341"/>
      <c r="B1230" s="297"/>
      <c r="C1230" s="296"/>
      <c r="D1230" s="341"/>
    </row>
    <row r="1231" spans="1:4">
      <c r="A1231" s="341"/>
      <c r="B1231" s="297"/>
      <c r="C1231" s="296"/>
      <c r="D1231" s="341"/>
    </row>
    <row r="1232" spans="1:4">
      <c r="A1232" s="341"/>
      <c r="B1232" s="297"/>
      <c r="C1232" s="296"/>
      <c r="D1232" s="341"/>
    </row>
    <row r="1233" spans="1:4">
      <c r="A1233" s="341"/>
      <c r="B1233" s="297"/>
      <c r="C1233" s="296"/>
      <c r="D1233" s="341"/>
    </row>
    <row r="1234" spans="1:4">
      <c r="A1234" s="341"/>
      <c r="B1234" s="297"/>
      <c r="C1234" s="296"/>
      <c r="D1234" s="341"/>
    </row>
    <row r="1235" spans="1:4">
      <c r="A1235" s="341"/>
      <c r="B1235" s="297"/>
      <c r="C1235" s="296"/>
      <c r="D1235" s="341"/>
    </row>
    <row r="1236" spans="1:4">
      <c r="A1236" s="341"/>
      <c r="B1236" s="297"/>
      <c r="C1236" s="296"/>
      <c r="D1236" s="341"/>
    </row>
    <row r="1237" spans="1:4">
      <c r="A1237" s="341"/>
      <c r="B1237" s="297"/>
      <c r="C1237" s="296"/>
      <c r="D1237" s="341"/>
    </row>
    <row r="1238" spans="1:4">
      <c r="A1238" s="341"/>
      <c r="B1238" s="297"/>
      <c r="C1238" s="296"/>
      <c r="D1238" s="341"/>
    </row>
    <row r="1239" spans="1:4">
      <c r="A1239" s="341"/>
      <c r="B1239" s="297"/>
      <c r="C1239" s="296"/>
      <c r="D1239" s="341"/>
    </row>
    <row r="1240" spans="1:4">
      <c r="A1240" s="341"/>
      <c r="B1240" s="297"/>
      <c r="C1240" s="296"/>
      <c r="D1240" s="341"/>
    </row>
    <row r="1241" spans="1:4">
      <c r="A1241" s="341"/>
      <c r="B1241" s="297"/>
      <c r="C1241" s="296"/>
      <c r="D1241" s="341"/>
    </row>
    <row r="1242" spans="1:4">
      <c r="A1242" s="341"/>
      <c r="B1242" s="297"/>
      <c r="C1242" s="296"/>
      <c r="D1242" s="341"/>
    </row>
    <row r="1243" spans="1:4">
      <c r="A1243" s="341"/>
      <c r="B1243" s="297"/>
      <c r="C1243" s="296"/>
      <c r="D1243" s="341"/>
    </row>
    <row r="1244" spans="1:4">
      <c r="A1244" s="341"/>
      <c r="B1244" s="297"/>
      <c r="C1244" s="296"/>
      <c r="D1244" s="341"/>
    </row>
    <row r="1245" spans="1:4">
      <c r="A1245" s="341"/>
      <c r="B1245" s="297"/>
      <c r="C1245" s="296"/>
      <c r="D1245" s="341"/>
    </row>
    <row r="1246" spans="1:4">
      <c r="A1246" s="341"/>
      <c r="B1246" s="297"/>
      <c r="C1246" s="296"/>
      <c r="D1246" s="341"/>
    </row>
    <row r="1247" spans="1:4">
      <c r="A1247" s="341"/>
      <c r="B1247" s="297"/>
      <c r="C1247" s="296"/>
      <c r="D1247" s="341"/>
    </row>
    <row r="1248" spans="1:4">
      <c r="A1248" s="341"/>
      <c r="B1248" s="297"/>
      <c r="C1248" s="296"/>
      <c r="D1248" s="341"/>
    </row>
    <row r="1249" spans="1:4">
      <c r="A1249" s="341"/>
      <c r="B1249" s="297"/>
      <c r="C1249" s="296"/>
      <c r="D1249" s="341"/>
    </row>
    <row r="1250" spans="1:4">
      <c r="A1250" s="341"/>
      <c r="B1250" s="297"/>
      <c r="C1250" s="296"/>
      <c r="D1250" s="341"/>
    </row>
    <row r="1251" spans="1:4">
      <c r="A1251" s="341"/>
      <c r="B1251" s="297"/>
      <c r="C1251" s="296"/>
      <c r="D1251" s="341"/>
    </row>
    <row r="1252" spans="1:4">
      <c r="A1252" s="341"/>
      <c r="B1252" s="297"/>
      <c r="C1252" s="296"/>
      <c r="D1252" s="341"/>
    </row>
    <row r="1253" spans="1:4">
      <c r="A1253" s="341"/>
      <c r="B1253" s="297"/>
      <c r="C1253" s="296"/>
      <c r="D1253" s="341"/>
    </row>
    <row r="1254" spans="1:4">
      <c r="A1254" s="341"/>
      <c r="B1254" s="297"/>
      <c r="C1254" s="296"/>
      <c r="D1254" s="341"/>
    </row>
    <row r="1255" spans="1:4">
      <c r="A1255" s="341"/>
      <c r="B1255" s="297"/>
      <c r="C1255" s="296"/>
      <c r="D1255" s="341"/>
    </row>
    <row r="1256" spans="1:4">
      <c r="A1256" s="341"/>
      <c r="B1256" s="297"/>
      <c r="C1256" s="296"/>
      <c r="D1256" s="341"/>
    </row>
    <row r="1257" spans="1:4">
      <c r="A1257" s="341"/>
      <c r="B1257" s="297"/>
      <c r="C1257" s="296"/>
      <c r="D1257" s="341"/>
    </row>
    <row r="1258" spans="1:4">
      <c r="A1258" s="341"/>
      <c r="B1258" s="297"/>
      <c r="C1258" s="296"/>
      <c r="D1258" s="341"/>
    </row>
    <row r="1259" spans="1:4">
      <c r="A1259" s="341"/>
      <c r="B1259" s="297"/>
      <c r="C1259" s="296"/>
      <c r="D1259" s="341"/>
    </row>
    <row r="1260" spans="1:4">
      <c r="A1260" s="341"/>
      <c r="B1260" s="297"/>
      <c r="C1260" s="296"/>
      <c r="D1260" s="341"/>
    </row>
    <row r="1261" spans="1:4">
      <c r="A1261" s="341"/>
      <c r="B1261" s="297"/>
      <c r="C1261" s="296"/>
      <c r="D1261" s="341"/>
    </row>
    <row r="1262" spans="1:4">
      <c r="A1262" s="341"/>
      <c r="B1262" s="297"/>
      <c r="C1262" s="296"/>
      <c r="D1262" s="341"/>
    </row>
    <row r="1263" spans="1:4">
      <c r="A1263" s="341"/>
      <c r="B1263" s="297"/>
      <c r="C1263" s="296"/>
      <c r="D1263" s="341"/>
    </row>
    <row r="1264" spans="1:4">
      <c r="A1264" s="341"/>
      <c r="B1264" s="297"/>
      <c r="C1264" s="296"/>
      <c r="D1264" s="341"/>
    </row>
    <row r="1265" spans="1:4">
      <c r="A1265" s="341"/>
      <c r="B1265" s="297"/>
      <c r="C1265" s="296"/>
      <c r="D1265" s="341"/>
    </row>
    <row r="1266" spans="1:4">
      <c r="A1266" s="341"/>
      <c r="B1266" s="297"/>
      <c r="C1266" s="296"/>
      <c r="D1266" s="341"/>
    </row>
    <row r="1267" spans="1:4">
      <c r="A1267" s="341"/>
      <c r="B1267" s="297"/>
      <c r="C1267" s="296"/>
      <c r="D1267" s="341"/>
    </row>
    <row r="1268" spans="1:4">
      <c r="A1268" s="341"/>
      <c r="B1268" s="297"/>
      <c r="C1268" s="296"/>
      <c r="D1268" s="341"/>
    </row>
    <row r="1269" spans="1:4">
      <c r="A1269" s="341"/>
      <c r="B1269" s="297"/>
      <c r="C1269" s="296"/>
      <c r="D1269" s="341"/>
    </row>
    <row r="1270" spans="1:4">
      <c r="A1270" s="341"/>
      <c r="B1270" s="297"/>
      <c r="C1270" s="296"/>
      <c r="D1270" s="341"/>
    </row>
    <row r="1271" spans="1:4">
      <c r="A1271" s="341"/>
      <c r="B1271" s="297"/>
      <c r="C1271" s="296"/>
      <c r="D1271" s="341"/>
    </row>
    <row r="1272" spans="1:4">
      <c r="A1272" s="341"/>
      <c r="B1272" s="297"/>
      <c r="C1272" s="296"/>
      <c r="D1272" s="341"/>
    </row>
    <row r="1273" spans="1:4">
      <c r="A1273" s="341"/>
      <c r="B1273" s="297"/>
      <c r="C1273" s="296"/>
      <c r="D1273" s="341"/>
    </row>
    <row r="1274" spans="1:4">
      <c r="A1274" s="341"/>
      <c r="B1274" s="297"/>
      <c r="C1274" s="296"/>
      <c r="D1274" s="341"/>
    </row>
    <row r="1275" spans="1:4">
      <c r="A1275" s="341"/>
      <c r="B1275" s="297"/>
      <c r="C1275" s="296"/>
      <c r="D1275" s="341"/>
    </row>
    <row r="1276" spans="1:4">
      <c r="A1276" s="341"/>
      <c r="B1276" s="297"/>
      <c r="C1276" s="296"/>
      <c r="D1276" s="341"/>
    </row>
    <row r="1277" spans="1:4">
      <c r="A1277" s="341"/>
      <c r="B1277" s="297"/>
      <c r="C1277" s="296"/>
      <c r="D1277" s="341"/>
    </row>
    <row r="1278" spans="1:4">
      <c r="A1278" s="341"/>
      <c r="B1278" s="297"/>
      <c r="C1278" s="296"/>
      <c r="D1278" s="341"/>
    </row>
    <row r="1279" spans="1:4">
      <c r="A1279" s="341"/>
      <c r="B1279" s="297"/>
      <c r="C1279" s="296"/>
      <c r="D1279" s="341"/>
    </row>
    <row r="1280" spans="1:4">
      <c r="A1280" s="341"/>
      <c r="B1280" s="297"/>
      <c r="C1280" s="296"/>
      <c r="D1280" s="341"/>
    </row>
    <row r="1281" spans="1:4">
      <c r="A1281" s="341"/>
      <c r="B1281" s="297"/>
      <c r="C1281" s="296"/>
      <c r="D1281" s="341"/>
    </row>
    <row r="1282" spans="1:4">
      <c r="A1282" s="341"/>
      <c r="B1282" s="297"/>
      <c r="C1282" s="296"/>
      <c r="D1282" s="341"/>
    </row>
    <row r="1283" spans="1:4">
      <c r="A1283" s="341"/>
      <c r="B1283" s="297"/>
      <c r="C1283" s="296"/>
      <c r="D1283" s="341"/>
    </row>
    <row r="1284" spans="1:4">
      <c r="A1284" s="341"/>
      <c r="B1284" s="297"/>
      <c r="C1284" s="296"/>
      <c r="D1284" s="341"/>
    </row>
    <row r="1285" spans="1:4">
      <c r="A1285" s="341"/>
      <c r="B1285" s="297"/>
      <c r="C1285" s="296"/>
      <c r="D1285" s="341"/>
    </row>
    <row r="1286" spans="1:4">
      <c r="A1286" s="341"/>
      <c r="B1286" s="297"/>
      <c r="C1286" s="296"/>
      <c r="D1286" s="341"/>
    </row>
    <row r="1287" spans="1:4">
      <c r="A1287" s="341"/>
      <c r="B1287" s="297"/>
      <c r="C1287" s="296"/>
      <c r="D1287" s="341"/>
    </row>
    <row r="1288" spans="1:4">
      <c r="A1288" s="341"/>
      <c r="B1288" s="297"/>
      <c r="C1288" s="296"/>
      <c r="D1288" s="341"/>
    </row>
    <row r="1289" spans="1:4">
      <c r="A1289" s="341"/>
      <c r="B1289" s="297"/>
      <c r="C1289" s="296"/>
      <c r="D1289" s="341"/>
    </row>
    <row r="1290" spans="1:4">
      <c r="A1290" s="341"/>
      <c r="B1290" s="297"/>
      <c r="C1290" s="296"/>
      <c r="D1290" s="341"/>
    </row>
    <row r="1291" spans="1:4">
      <c r="A1291" s="341"/>
      <c r="B1291" s="297"/>
      <c r="C1291" s="296"/>
      <c r="D1291" s="341"/>
    </row>
    <row r="1292" spans="1:4">
      <c r="A1292" s="341"/>
      <c r="B1292" s="297"/>
      <c r="C1292" s="296"/>
      <c r="D1292" s="341"/>
    </row>
    <row r="1293" spans="1:4">
      <c r="A1293" s="341"/>
      <c r="B1293" s="297"/>
      <c r="C1293" s="296"/>
      <c r="D1293" s="341"/>
    </row>
    <row r="1294" spans="1:4">
      <c r="A1294" s="341"/>
      <c r="B1294" s="297"/>
      <c r="C1294" s="296"/>
      <c r="D1294" s="341"/>
    </row>
    <row r="1295" spans="1:4">
      <c r="A1295" s="341"/>
      <c r="B1295" s="297"/>
      <c r="C1295" s="296"/>
      <c r="D1295" s="341"/>
    </row>
    <row r="1296" spans="1:4">
      <c r="A1296" s="341"/>
      <c r="B1296" s="297"/>
      <c r="C1296" s="296"/>
      <c r="D1296" s="341"/>
    </row>
    <row r="1297" spans="1:4">
      <c r="A1297" s="341"/>
      <c r="B1297" s="297"/>
      <c r="C1297" s="296"/>
      <c r="D1297" s="341"/>
    </row>
    <row r="1298" spans="1:4">
      <c r="A1298" s="341"/>
      <c r="B1298" s="297"/>
      <c r="C1298" s="296"/>
      <c r="D1298" s="341"/>
    </row>
    <row r="1299" spans="1:4">
      <c r="A1299" s="341"/>
      <c r="B1299" s="297"/>
      <c r="C1299" s="296"/>
      <c r="D1299" s="341"/>
    </row>
    <row r="1300" spans="1:4">
      <c r="A1300" s="341"/>
      <c r="B1300" s="297"/>
      <c r="C1300" s="296"/>
      <c r="D1300" s="341"/>
    </row>
    <row r="1301" spans="1:4">
      <c r="A1301" s="341"/>
      <c r="B1301" s="297"/>
      <c r="C1301" s="296"/>
      <c r="D1301" s="341"/>
    </row>
    <row r="1302" spans="1:4">
      <c r="A1302" s="341"/>
      <c r="B1302" s="297"/>
      <c r="C1302" s="296"/>
      <c r="D1302" s="341"/>
    </row>
    <row r="1303" spans="1:4">
      <c r="A1303" s="341"/>
      <c r="B1303" s="297"/>
      <c r="C1303" s="296"/>
      <c r="D1303" s="341"/>
    </row>
    <row r="1304" spans="1:4">
      <c r="A1304" s="341"/>
      <c r="B1304" s="297"/>
      <c r="C1304" s="296"/>
      <c r="D1304" s="341"/>
    </row>
    <row r="1305" spans="1:4">
      <c r="A1305" s="341"/>
      <c r="B1305" s="297"/>
      <c r="C1305" s="296"/>
      <c r="D1305" s="341"/>
    </row>
    <row r="1306" spans="1:4">
      <c r="A1306" s="341"/>
      <c r="B1306" s="297"/>
      <c r="C1306" s="296"/>
      <c r="D1306" s="341"/>
    </row>
    <row r="1307" spans="1:4">
      <c r="A1307" s="341"/>
      <c r="B1307" s="297"/>
      <c r="C1307" s="296"/>
      <c r="D1307" s="341"/>
    </row>
    <row r="1308" spans="1:4">
      <c r="A1308" s="341"/>
      <c r="B1308" s="297"/>
      <c r="C1308" s="296"/>
      <c r="D1308" s="341"/>
    </row>
    <row r="1309" spans="1:4">
      <c r="A1309" s="341"/>
      <c r="B1309" s="297"/>
      <c r="C1309" s="296"/>
      <c r="D1309" s="341"/>
    </row>
    <row r="1310" spans="1:4">
      <c r="A1310" s="341"/>
      <c r="B1310" s="297"/>
      <c r="C1310" s="296"/>
      <c r="D1310" s="341"/>
    </row>
    <row r="1311" spans="1:4">
      <c r="A1311" s="341"/>
      <c r="B1311" s="297"/>
      <c r="C1311" s="296"/>
      <c r="D1311" s="341"/>
    </row>
    <row r="1312" spans="1:4">
      <c r="A1312" s="341"/>
      <c r="B1312" s="297"/>
      <c r="C1312" s="296"/>
      <c r="D1312" s="341"/>
    </row>
    <row r="1313" spans="1:4">
      <c r="A1313" s="341"/>
      <c r="B1313" s="297"/>
      <c r="C1313" s="296"/>
      <c r="D1313" s="341"/>
    </row>
    <row r="1314" spans="1:4">
      <c r="A1314" s="341"/>
      <c r="B1314" s="297"/>
      <c r="C1314" s="296"/>
      <c r="D1314" s="341"/>
    </row>
    <row r="1315" spans="1:4">
      <c r="A1315" s="341"/>
      <c r="B1315" s="297"/>
      <c r="C1315" s="296"/>
      <c r="D1315" s="341"/>
    </row>
    <row r="1316" spans="1:4">
      <c r="A1316" s="341"/>
      <c r="B1316" s="297"/>
      <c r="C1316" s="296"/>
      <c r="D1316" s="341"/>
    </row>
    <row r="1317" spans="1:4">
      <c r="A1317" s="341"/>
      <c r="B1317" s="297"/>
      <c r="C1317" s="296"/>
      <c r="D1317" s="341"/>
    </row>
    <row r="1318" spans="1:4">
      <c r="A1318" s="341"/>
      <c r="B1318" s="297"/>
      <c r="C1318" s="296"/>
      <c r="D1318" s="341"/>
    </row>
    <row r="1319" spans="1:4">
      <c r="A1319" s="341"/>
      <c r="B1319" s="297"/>
      <c r="C1319" s="296"/>
      <c r="D1319" s="341"/>
    </row>
    <row r="1320" spans="1:4">
      <c r="A1320" s="341"/>
      <c r="B1320" s="297"/>
      <c r="C1320" s="296"/>
      <c r="D1320" s="341"/>
    </row>
    <row r="1321" spans="1:4">
      <c r="A1321" s="341"/>
      <c r="B1321" s="297"/>
      <c r="C1321" s="296"/>
      <c r="D1321" s="341"/>
    </row>
    <row r="1322" spans="1:4">
      <c r="A1322" s="341"/>
      <c r="B1322" s="297"/>
      <c r="C1322" s="296"/>
      <c r="D1322" s="341"/>
    </row>
    <row r="1323" spans="1:4">
      <c r="A1323" s="341"/>
      <c r="B1323" s="297"/>
      <c r="C1323" s="296"/>
      <c r="D1323" s="341"/>
    </row>
    <row r="1324" spans="1:4">
      <c r="A1324" s="341"/>
      <c r="B1324" s="297"/>
      <c r="C1324" s="296"/>
      <c r="D1324" s="341"/>
    </row>
    <row r="1325" spans="1:4">
      <c r="A1325" s="341"/>
      <c r="B1325" s="297"/>
      <c r="C1325" s="296"/>
      <c r="D1325" s="341"/>
    </row>
    <row r="1326" spans="1:4">
      <c r="A1326" s="341"/>
      <c r="B1326" s="297"/>
      <c r="C1326" s="296"/>
      <c r="D1326" s="341"/>
    </row>
    <row r="1327" spans="1:4">
      <c r="A1327" s="341"/>
      <c r="B1327" s="297"/>
      <c r="C1327" s="296"/>
      <c r="D1327" s="341"/>
    </row>
    <row r="1328" spans="1:4">
      <c r="A1328" s="341"/>
      <c r="B1328" s="297"/>
      <c r="C1328" s="296"/>
      <c r="D1328" s="341"/>
    </row>
    <row r="1329" spans="1:4">
      <c r="A1329" s="341"/>
      <c r="B1329" s="297"/>
      <c r="C1329" s="296"/>
      <c r="D1329" s="341"/>
    </row>
    <row r="1330" spans="1:4">
      <c r="A1330" s="341"/>
      <c r="B1330" s="297"/>
      <c r="C1330" s="296"/>
      <c r="D1330" s="341"/>
    </row>
    <row r="1331" spans="1:4">
      <c r="A1331" s="341"/>
      <c r="B1331" s="297"/>
      <c r="C1331" s="296"/>
      <c r="D1331" s="341"/>
    </row>
    <row r="1332" spans="1:4">
      <c r="A1332" s="341"/>
      <c r="B1332" s="297"/>
      <c r="C1332" s="296"/>
      <c r="D1332" s="341"/>
    </row>
    <row r="1333" spans="1:4">
      <c r="A1333" s="341"/>
      <c r="B1333" s="297"/>
      <c r="C1333" s="296"/>
      <c r="D1333" s="341"/>
    </row>
    <row r="1334" spans="1:4">
      <c r="A1334" s="341"/>
      <c r="B1334" s="297"/>
      <c r="C1334" s="296"/>
      <c r="D1334" s="341"/>
    </row>
    <row r="1335" spans="1:4">
      <c r="A1335" s="341"/>
      <c r="B1335" s="297"/>
      <c r="C1335" s="296"/>
      <c r="D1335" s="341"/>
    </row>
    <row r="1336" spans="1:4">
      <c r="A1336" s="341"/>
      <c r="B1336" s="297"/>
      <c r="C1336" s="296"/>
      <c r="D1336" s="341"/>
    </row>
    <row r="1337" spans="1:4">
      <c r="A1337" s="341"/>
      <c r="B1337" s="297"/>
      <c r="C1337" s="296"/>
      <c r="D1337" s="341"/>
    </row>
    <row r="1338" spans="1:4">
      <c r="A1338" s="341"/>
      <c r="B1338" s="297"/>
      <c r="C1338" s="296"/>
      <c r="D1338" s="341"/>
    </row>
    <row r="1339" spans="1:4">
      <c r="A1339" s="341"/>
      <c r="B1339" s="297"/>
      <c r="C1339" s="296"/>
      <c r="D1339" s="341"/>
    </row>
    <row r="1340" spans="1:4">
      <c r="A1340" s="341"/>
      <c r="B1340" s="297"/>
      <c r="C1340" s="296"/>
      <c r="D1340" s="341"/>
    </row>
    <row r="1341" spans="1:4">
      <c r="A1341" s="341"/>
      <c r="B1341" s="297"/>
      <c r="C1341" s="296"/>
      <c r="D1341" s="341"/>
    </row>
    <row r="1342" spans="1:4">
      <c r="A1342" s="341"/>
      <c r="B1342" s="297"/>
      <c r="C1342" s="296"/>
      <c r="D1342" s="341"/>
    </row>
    <row r="1343" spans="1:4">
      <c r="A1343" s="341"/>
      <c r="B1343" s="297"/>
      <c r="C1343" s="296"/>
      <c r="D1343" s="341"/>
    </row>
    <row r="1344" spans="1:4">
      <c r="A1344" s="341"/>
      <c r="B1344" s="297"/>
      <c r="C1344" s="296"/>
      <c r="D1344" s="341"/>
    </row>
    <row r="1345" spans="1:4">
      <c r="A1345" s="341"/>
      <c r="B1345" s="297"/>
      <c r="C1345" s="296"/>
      <c r="D1345" s="341"/>
    </row>
    <row r="1346" spans="1:4">
      <c r="A1346" s="341"/>
      <c r="B1346" s="297"/>
      <c r="C1346" s="296"/>
      <c r="D1346" s="341"/>
    </row>
    <row r="1347" spans="1:4">
      <c r="A1347" s="341"/>
      <c r="B1347" s="297"/>
      <c r="C1347" s="296"/>
      <c r="D1347" s="341"/>
    </row>
    <row r="1348" spans="1:4">
      <c r="A1348" s="341"/>
      <c r="B1348" s="297"/>
      <c r="C1348" s="296"/>
      <c r="D1348" s="341"/>
    </row>
    <row r="1349" spans="1:4">
      <c r="A1349" s="341"/>
      <c r="B1349" s="297"/>
      <c r="C1349" s="296"/>
      <c r="D1349" s="341"/>
    </row>
    <row r="1350" spans="1:4">
      <c r="A1350" s="341"/>
      <c r="B1350" s="297"/>
      <c r="C1350" s="296"/>
      <c r="D1350" s="341"/>
    </row>
    <row r="1351" spans="1:4">
      <c r="A1351" s="341"/>
      <c r="B1351" s="297"/>
      <c r="C1351" s="296"/>
      <c r="D1351" s="341"/>
    </row>
    <row r="1352" spans="1:4">
      <c r="A1352" s="341"/>
      <c r="B1352" s="297"/>
      <c r="C1352" s="296"/>
      <c r="D1352" s="341"/>
    </row>
    <row r="1353" spans="1:4">
      <c r="A1353" s="341"/>
      <c r="B1353" s="297"/>
      <c r="C1353" s="296"/>
      <c r="D1353" s="341"/>
    </row>
    <row r="1354" spans="1:4">
      <c r="A1354" s="341"/>
      <c r="B1354" s="297"/>
      <c r="C1354" s="296"/>
      <c r="D1354" s="341"/>
    </row>
    <row r="1355" spans="1:4">
      <c r="A1355" s="341"/>
      <c r="B1355" s="297"/>
      <c r="C1355" s="296"/>
      <c r="D1355" s="341"/>
    </row>
    <row r="1356" spans="1:4">
      <c r="A1356" s="341"/>
      <c r="B1356" s="297"/>
      <c r="C1356" s="296"/>
      <c r="D1356" s="341"/>
    </row>
    <row r="1357" spans="1:4">
      <c r="A1357" s="341"/>
      <c r="B1357" s="297"/>
      <c r="C1357" s="296"/>
      <c r="D1357" s="341"/>
    </row>
    <row r="1358" spans="1:4">
      <c r="A1358" s="341"/>
      <c r="B1358" s="297"/>
      <c r="C1358" s="296"/>
      <c r="D1358" s="341"/>
    </row>
    <row r="1359" spans="1:4">
      <c r="A1359" s="341"/>
      <c r="B1359" s="297"/>
      <c r="C1359" s="296"/>
      <c r="D1359" s="341"/>
    </row>
    <row r="1360" spans="1:4">
      <c r="A1360" s="341"/>
      <c r="B1360" s="297"/>
      <c r="C1360" s="296"/>
      <c r="D1360" s="341"/>
    </row>
    <row r="1361" spans="1:4">
      <c r="A1361" s="341"/>
      <c r="B1361" s="297"/>
      <c r="C1361" s="296"/>
      <c r="D1361" s="341"/>
    </row>
    <row r="1362" spans="1:4">
      <c r="A1362" s="341"/>
      <c r="B1362" s="297"/>
      <c r="C1362" s="296"/>
      <c r="D1362" s="341"/>
    </row>
    <row r="1363" spans="1:4">
      <c r="A1363" s="341"/>
      <c r="B1363" s="297"/>
      <c r="C1363" s="296"/>
      <c r="D1363" s="341"/>
    </row>
    <row r="1364" spans="1:4">
      <c r="A1364" s="341"/>
      <c r="B1364" s="297"/>
      <c r="C1364" s="296"/>
      <c r="D1364" s="341"/>
    </row>
    <row r="1365" spans="1:4">
      <c r="A1365" s="341"/>
      <c r="B1365" s="297"/>
      <c r="C1365" s="296"/>
      <c r="D1365" s="341"/>
    </row>
    <row r="1366" spans="1:4">
      <c r="A1366" s="341"/>
      <c r="B1366" s="297"/>
      <c r="C1366" s="296"/>
      <c r="D1366" s="341"/>
    </row>
    <row r="1367" spans="1:4">
      <c r="A1367" s="341"/>
      <c r="B1367" s="297"/>
      <c r="C1367" s="296"/>
      <c r="D1367" s="341"/>
    </row>
    <row r="1368" spans="1:4">
      <c r="A1368" s="341"/>
      <c r="B1368" s="297"/>
      <c r="C1368" s="296"/>
      <c r="D1368" s="341"/>
    </row>
    <row r="1369" spans="1:4">
      <c r="A1369" s="341"/>
      <c r="B1369" s="297"/>
      <c r="C1369" s="296"/>
      <c r="D1369" s="341"/>
    </row>
    <row r="1370" spans="1:4">
      <c r="A1370" s="341"/>
      <c r="B1370" s="297"/>
      <c r="C1370" s="296"/>
      <c r="D1370" s="341"/>
    </row>
    <row r="1371" spans="1:4">
      <c r="A1371" s="341"/>
      <c r="B1371" s="297"/>
      <c r="C1371" s="296"/>
      <c r="D1371" s="341"/>
    </row>
    <row r="1372" spans="1:4">
      <c r="A1372" s="341"/>
      <c r="B1372" s="297"/>
      <c r="C1372" s="296"/>
      <c r="D1372" s="341"/>
    </row>
    <row r="1373" spans="1:4">
      <c r="A1373" s="341"/>
      <c r="B1373" s="297"/>
      <c r="C1373" s="296"/>
      <c r="D1373" s="341"/>
    </row>
    <row r="1374" spans="1:4">
      <c r="A1374" s="341"/>
      <c r="B1374" s="297"/>
      <c r="C1374" s="296"/>
      <c r="D1374" s="341"/>
    </row>
    <row r="1375" spans="1:4">
      <c r="A1375" s="341"/>
      <c r="B1375" s="297"/>
      <c r="C1375" s="296"/>
      <c r="D1375" s="341"/>
    </row>
    <row r="1376" spans="1:4">
      <c r="A1376" s="341"/>
      <c r="B1376" s="297"/>
      <c r="C1376" s="296"/>
      <c r="D1376" s="341"/>
    </row>
    <row r="1377" spans="1:4">
      <c r="A1377" s="341"/>
      <c r="B1377" s="297"/>
      <c r="C1377" s="296"/>
      <c r="D1377" s="341"/>
    </row>
    <row r="1378" spans="1:4">
      <c r="A1378" s="341"/>
      <c r="B1378" s="297"/>
      <c r="C1378" s="296"/>
      <c r="D1378" s="341"/>
    </row>
    <row r="1379" spans="1:4">
      <c r="A1379" s="341"/>
      <c r="B1379" s="297"/>
      <c r="C1379" s="296"/>
      <c r="D1379" s="341"/>
    </row>
    <row r="1380" spans="1:4">
      <c r="A1380" s="341"/>
      <c r="B1380" s="297"/>
      <c r="C1380" s="296"/>
      <c r="D1380" s="341"/>
    </row>
    <row r="1381" spans="1:4">
      <c r="A1381" s="341"/>
      <c r="B1381" s="297"/>
      <c r="C1381" s="296"/>
      <c r="D1381" s="341"/>
    </row>
    <row r="1382" spans="1:4">
      <c r="A1382" s="341"/>
      <c r="B1382" s="297"/>
      <c r="C1382" s="296"/>
      <c r="D1382" s="341"/>
    </row>
    <row r="1383" spans="1:4">
      <c r="A1383" s="341"/>
      <c r="B1383" s="297"/>
      <c r="C1383" s="296"/>
      <c r="D1383" s="341"/>
    </row>
    <row r="1384" spans="1:4">
      <c r="A1384" s="341"/>
      <c r="B1384" s="297"/>
      <c r="C1384" s="296"/>
      <c r="D1384" s="341"/>
    </row>
    <row r="1385" spans="1:4">
      <c r="A1385" s="341"/>
      <c r="B1385" s="297"/>
      <c r="C1385" s="296"/>
      <c r="D1385" s="341"/>
    </row>
    <row r="1386" spans="1:4">
      <c r="A1386" s="341"/>
      <c r="B1386" s="297"/>
      <c r="C1386" s="296"/>
      <c r="D1386" s="341"/>
    </row>
    <row r="1387" spans="1:4">
      <c r="A1387" s="341"/>
      <c r="B1387" s="297"/>
      <c r="C1387" s="296"/>
      <c r="D1387" s="341"/>
    </row>
    <row r="1388" spans="1:4">
      <c r="A1388" s="341"/>
      <c r="B1388" s="297"/>
      <c r="C1388" s="296"/>
      <c r="D1388" s="341"/>
    </row>
    <row r="1389" spans="1:4">
      <c r="A1389" s="341"/>
      <c r="B1389" s="297"/>
      <c r="C1389" s="296"/>
      <c r="D1389" s="341"/>
    </row>
    <row r="1390" spans="1:4">
      <c r="A1390" s="341"/>
      <c r="B1390" s="297"/>
      <c r="C1390" s="296"/>
      <c r="D1390" s="341"/>
    </row>
    <row r="1391" spans="1:4">
      <c r="A1391" s="341"/>
      <c r="B1391" s="297"/>
      <c r="C1391" s="296"/>
      <c r="D1391" s="341"/>
    </row>
    <row r="1392" spans="1:4">
      <c r="A1392" s="341"/>
      <c r="B1392" s="297"/>
      <c r="C1392" s="296"/>
      <c r="D1392" s="341"/>
    </row>
    <row r="1393" spans="1:4">
      <c r="A1393" s="341"/>
      <c r="B1393" s="297"/>
      <c r="C1393" s="296"/>
      <c r="D1393" s="341"/>
    </row>
    <row r="1394" spans="1:4">
      <c r="A1394" s="341"/>
      <c r="B1394" s="297"/>
      <c r="C1394" s="296"/>
      <c r="D1394" s="341"/>
    </row>
    <row r="1395" spans="1:4">
      <c r="A1395" s="341"/>
      <c r="B1395" s="297"/>
      <c r="C1395" s="296"/>
      <c r="D1395" s="341"/>
    </row>
    <row r="1396" spans="1:4">
      <c r="A1396" s="341"/>
      <c r="B1396" s="297"/>
      <c r="C1396" s="296"/>
      <c r="D1396" s="341"/>
    </row>
    <row r="1397" spans="1:4">
      <c r="A1397" s="341"/>
      <c r="B1397" s="297"/>
      <c r="C1397" s="296"/>
      <c r="D1397" s="341"/>
    </row>
    <row r="1398" spans="1:4">
      <c r="A1398" s="341"/>
      <c r="B1398" s="297"/>
      <c r="C1398" s="296"/>
      <c r="D1398" s="341"/>
    </row>
    <row r="1399" spans="1:4">
      <c r="A1399" s="341"/>
      <c r="B1399" s="297"/>
      <c r="C1399" s="296"/>
      <c r="D1399" s="341"/>
    </row>
    <row r="1400" spans="1:4">
      <c r="A1400" s="341"/>
      <c r="B1400" s="297"/>
      <c r="C1400" s="296"/>
      <c r="D1400" s="341"/>
    </row>
    <row r="1401" spans="1:4">
      <c r="A1401" s="341"/>
      <c r="B1401" s="297"/>
      <c r="C1401" s="296"/>
      <c r="D1401" s="341"/>
    </row>
    <row r="1402" spans="1:4">
      <c r="A1402" s="341"/>
      <c r="B1402" s="297"/>
      <c r="C1402" s="296"/>
      <c r="D1402" s="341"/>
    </row>
    <row r="1403" spans="1:4">
      <c r="A1403" s="341"/>
      <c r="B1403" s="297"/>
      <c r="C1403" s="296"/>
      <c r="D1403" s="341"/>
    </row>
    <row r="1404" spans="1:4">
      <c r="A1404" s="341"/>
      <c r="B1404" s="297"/>
      <c r="C1404" s="296"/>
      <c r="D1404" s="341"/>
    </row>
    <row r="1405" spans="1:4">
      <c r="A1405" s="341"/>
      <c r="B1405" s="297"/>
      <c r="C1405" s="296"/>
      <c r="D1405" s="341"/>
    </row>
    <row r="1406" spans="1:4">
      <c r="A1406" s="341"/>
      <c r="B1406" s="297"/>
      <c r="C1406" s="296"/>
      <c r="D1406" s="341"/>
    </row>
    <row r="1407" spans="1:4">
      <c r="A1407" s="341"/>
      <c r="B1407" s="297"/>
      <c r="C1407" s="296"/>
      <c r="D1407" s="341"/>
    </row>
    <row r="1408" spans="1:4">
      <c r="A1408" s="341"/>
      <c r="B1408" s="297"/>
      <c r="C1408" s="296"/>
      <c r="D1408" s="341"/>
    </row>
    <row r="1409" spans="1:4">
      <c r="A1409" s="341"/>
      <c r="B1409" s="297"/>
      <c r="C1409" s="296"/>
      <c r="D1409" s="341"/>
    </row>
    <row r="1410" spans="1:4">
      <c r="A1410" s="341"/>
      <c r="B1410" s="297"/>
      <c r="C1410" s="296"/>
      <c r="D1410" s="341"/>
    </row>
    <row r="1411" spans="1:4">
      <c r="A1411" s="341"/>
      <c r="B1411" s="297"/>
      <c r="C1411" s="296"/>
      <c r="D1411" s="341"/>
    </row>
    <row r="1412" spans="1:4">
      <c r="A1412" s="341"/>
      <c r="B1412" s="297"/>
      <c r="C1412" s="296"/>
      <c r="D1412" s="341"/>
    </row>
    <row r="1413" spans="1:4">
      <c r="A1413" s="341"/>
      <c r="B1413" s="297"/>
      <c r="C1413" s="296"/>
      <c r="D1413" s="341"/>
    </row>
    <row r="1414" spans="1:4">
      <c r="A1414" s="341"/>
      <c r="B1414" s="297"/>
      <c r="C1414" s="296"/>
      <c r="D1414" s="341"/>
    </row>
    <row r="1415" spans="1:4">
      <c r="A1415" s="341"/>
      <c r="B1415" s="297"/>
      <c r="C1415" s="296"/>
      <c r="D1415" s="341"/>
    </row>
    <row r="1416" spans="1:4">
      <c r="A1416" s="341"/>
      <c r="B1416" s="297"/>
      <c r="C1416" s="296"/>
      <c r="D1416" s="341"/>
    </row>
    <row r="1417" spans="1:4">
      <c r="A1417" s="341"/>
      <c r="B1417" s="297"/>
      <c r="C1417" s="296"/>
      <c r="D1417" s="341"/>
    </row>
    <row r="1418" spans="1:4">
      <c r="A1418" s="341"/>
      <c r="B1418" s="297"/>
      <c r="C1418" s="296"/>
      <c r="D1418" s="341"/>
    </row>
    <row r="1419" spans="1:4">
      <c r="A1419" s="341"/>
      <c r="B1419" s="297"/>
      <c r="C1419" s="296"/>
      <c r="D1419" s="341"/>
    </row>
    <row r="1420" spans="1:4">
      <c r="A1420" s="341"/>
      <c r="B1420" s="297"/>
      <c r="C1420" s="296"/>
      <c r="D1420" s="341"/>
    </row>
    <row r="1421" spans="1:4">
      <c r="A1421" s="341"/>
      <c r="B1421" s="297"/>
      <c r="C1421" s="296"/>
      <c r="D1421" s="341"/>
    </row>
    <row r="1422" spans="1:4">
      <c r="A1422" s="341"/>
      <c r="B1422" s="297"/>
      <c r="C1422" s="296"/>
      <c r="D1422" s="341"/>
    </row>
    <row r="1423" spans="1:4">
      <c r="A1423" s="341"/>
      <c r="B1423" s="297"/>
      <c r="C1423" s="296"/>
      <c r="D1423" s="341"/>
    </row>
    <row r="1424" spans="1:4">
      <c r="A1424" s="341"/>
      <c r="B1424" s="297"/>
      <c r="C1424" s="296"/>
      <c r="D1424" s="341"/>
    </row>
    <row r="1425" spans="1:4">
      <c r="A1425" s="341"/>
      <c r="B1425" s="297"/>
      <c r="C1425" s="296"/>
      <c r="D1425" s="341"/>
    </row>
    <row r="1426" spans="1:4">
      <c r="A1426" s="341"/>
      <c r="B1426" s="297"/>
      <c r="C1426" s="296"/>
      <c r="D1426" s="341"/>
    </row>
    <row r="1427" spans="1:4">
      <c r="A1427" s="341"/>
      <c r="B1427" s="297"/>
      <c r="C1427" s="296"/>
      <c r="D1427" s="341"/>
    </row>
    <row r="1428" spans="1:4">
      <c r="A1428" s="341"/>
      <c r="B1428" s="297"/>
      <c r="C1428" s="296"/>
      <c r="D1428" s="341"/>
    </row>
    <row r="1429" spans="1:4">
      <c r="A1429" s="341"/>
      <c r="B1429" s="297"/>
      <c r="C1429" s="296"/>
      <c r="D1429" s="341"/>
    </row>
    <row r="1430" spans="1:4">
      <c r="A1430" s="341"/>
      <c r="B1430" s="297"/>
      <c r="C1430" s="296"/>
      <c r="D1430" s="341"/>
    </row>
    <row r="1431" spans="1:4">
      <c r="A1431" s="341"/>
      <c r="B1431" s="297"/>
      <c r="C1431" s="296"/>
      <c r="D1431" s="341"/>
    </row>
    <row r="1432" spans="1:4">
      <c r="A1432" s="341"/>
      <c r="B1432" s="297"/>
      <c r="C1432" s="296"/>
      <c r="D1432" s="341"/>
    </row>
    <row r="1433" spans="1:4">
      <c r="A1433" s="341"/>
      <c r="B1433" s="297"/>
      <c r="C1433" s="296"/>
      <c r="D1433" s="341"/>
    </row>
    <row r="1434" spans="1:4">
      <c r="A1434" s="341"/>
      <c r="B1434" s="297"/>
      <c r="C1434" s="296"/>
      <c r="D1434" s="341"/>
    </row>
    <row r="1435" spans="1:4">
      <c r="A1435" s="341"/>
      <c r="B1435" s="297"/>
      <c r="C1435" s="296"/>
      <c r="D1435" s="341"/>
    </row>
    <row r="1436" spans="1:4">
      <c r="A1436" s="341"/>
      <c r="B1436" s="297"/>
      <c r="C1436" s="296"/>
      <c r="D1436" s="341"/>
    </row>
    <row r="1437" spans="1:4">
      <c r="A1437" s="341"/>
      <c r="B1437" s="297"/>
      <c r="C1437" s="296"/>
      <c r="D1437" s="341"/>
    </row>
    <row r="1438" spans="1:4">
      <c r="A1438" s="341"/>
      <c r="B1438" s="297"/>
      <c r="C1438" s="296"/>
      <c r="D1438" s="341"/>
    </row>
    <row r="1439" spans="1:4">
      <c r="A1439" s="341"/>
      <c r="B1439" s="297"/>
      <c r="C1439" s="296"/>
      <c r="D1439" s="341"/>
    </row>
    <row r="1440" spans="1:4">
      <c r="A1440" s="341"/>
      <c r="B1440" s="297"/>
      <c r="C1440" s="296"/>
      <c r="D1440" s="341"/>
    </row>
    <row r="1441" spans="1:4">
      <c r="A1441" s="341"/>
      <c r="B1441" s="297"/>
      <c r="C1441" s="296"/>
      <c r="D1441" s="341"/>
    </row>
    <row r="1442" spans="1:4">
      <c r="A1442" s="341"/>
      <c r="B1442" s="297"/>
      <c r="C1442" s="296"/>
      <c r="D1442" s="341"/>
    </row>
    <row r="1443" spans="1:4">
      <c r="A1443" s="341"/>
      <c r="B1443" s="297"/>
      <c r="C1443" s="296"/>
      <c r="D1443" s="341"/>
    </row>
    <row r="1444" spans="1:4">
      <c r="A1444" s="341"/>
      <c r="B1444" s="297"/>
      <c r="C1444" s="296"/>
      <c r="D1444" s="341"/>
    </row>
    <row r="1445" spans="1:4">
      <c r="A1445" s="341"/>
      <c r="B1445" s="297"/>
      <c r="C1445" s="296"/>
      <c r="D1445" s="341"/>
    </row>
    <row r="1446" spans="1:4">
      <c r="A1446" s="341"/>
      <c r="B1446" s="297"/>
      <c r="C1446" s="296"/>
      <c r="D1446" s="341"/>
    </row>
    <row r="1447" spans="1:4">
      <c r="A1447" s="341"/>
      <c r="B1447" s="297"/>
      <c r="C1447" s="296"/>
      <c r="D1447" s="341"/>
    </row>
    <row r="1448" spans="1:4">
      <c r="A1448" s="341"/>
      <c r="B1448" s="297"/>
      <c r="C1448" s="296"/>
      <c r="D1448" s="341"/>
    </row>
    <row r="1449" spans="1:4">
      <c r="A1449" s="341"/>
      <c r="B1449" s="297"/>
      <c r="C1449" s="296"/>
      <c r="D1449" s="341"/>
    </row>
    <row r="1450" spans="1:4">
      <c r="A1450" s="341"/>
      <c r="B1450" s="297"/>
      <c r="C1450" s="296"/>
      <c r="D1450" s="341"/>
    </row>
    <row r="1451" spans="1:4">
      <c r="A1451" s="341"/>
      <c r="B1451" s="297"/>
      <c r="C1451" s="296"/>
      <c r="D1451" s="341"/>
    </row>
    <row r="1452" spans="1:4">
      <c r="A1452" s="341"/>
      <c r="B1452" s="297"/>
      <c r="C1452" s="296"/>
      <c r="D1452" s="341"/>
    </row>
    <row r="1453" spans="1:4">
      <c r="A1453" s="341"/>
      <c r="B1453" s="297"/>
      <c r="C1453" s="296"/>
      <c r="D1453" s="341"/>
    </row>
    <row r="1454" spans="1:4">
      <c r="A1454" s="341"/>
      <c r="B1454" s="297"/>
      <c r="C1454" s="296"/>
      <c r="D1454" s="341"/>
    </row>
    <row r="1455" spans="1:4">
      <c r="A1455" s="341"/>
      <c r="B1455" s="297"/>
      <c r="C1455" s="296"/>
      <c r="D1455" s="341"/>
    </row>
    <row r="1456" spans="1:4">
      <c r="A1456" s="341"/>
      <c r="B1456" s="297"/>
      <c r="C1456" s="296"/>
      <c r="D1456" s="341"/>
    </row>
    <row r="1457" spans="1:4">
      <c r="A1457" s="341"/>
      <c r="B1457" s="297"/>
      <c r="C1457" s="296"/>
      <c r="D1457" s="341"/>
    </row>
    <row r="1458" spans="1:4">
      <c r="A1458" s="341"/>
      <c r="B1458" s="297"/>
      <c r="C1458" s="296"/>
      <c r="D1458" s="341"/>
    </row>
    <row r="1459" spans="1:4">
      <c r="A1459" s="341"/>
      <c r="B1459" s="297"/>
      <c r="C1459" s="296"/>
      <c r="D1459" s="341"/>
    </row>
    <row r="1460" spans="1:4">
      <c r="A1460" s="341"/>
      <c r="B1460" s="297"/>
      <c r="C1460" s="296"/>
      <c r="D1460" s="341"/>
    </row>
    <row r="1461" spans="1:4">
      <c r="A1461" s="341"/>
      <c r="B1461" s="297"/>
      <c r="C1461" s="296"/>
      <c r="D1461" s="341"/>
    </row>
    <row r="1462" spans="1:4">
      <c r="A1462" s="341"/>
      <c r="B1462" s="297"/>
      <c r="C1462" s="296"/>
      <c r="D1462" s="341"/>
    </row>
    <row r="1463" spans="1:4">
      <c r="A1463" s="341"/>
      <c r="B1463" s="297"/>
      <c r="C1463" s="296"/>
      <c r="D1463" s="341"/>
    </row>
    <row r="1464" spans="1:4">
      <c r="A1464" s="341"/>
      <c r="B1464" s="297"/>
      <c r="C1464" s="296"/>
      <c r="D1464" s="341"/>
    </row>
    <row r="1465" spans="1:4">
      <c r="A1465" s="341"/>
      <c r="B1465" s="297"/>
      <c r="C1465" s="296"/>
      <c r="D1465" s="341"/>
    </row>
    <row r="1466" spans="1:4">
      <c r="A1466" s="341"/>
      <c r="B1466" s="297"/>
      <c r="C1466" s="296"/>
      <c r="D1466" s="341"/>
    </row>
    <row r="1467" spans="1:4">
      <c r="A1467" s="341"/>
      <c r="B1467" s="297"/>
      <c r="C1467" s="296"/>
      <c r="D1467" s="341"/>
    </row>
    <row r="1468" spans="1:4">
      <c r="A1468" s="341"/>
      <c r="B1468" s="297"/>
      <c r="C1468" s="296"/>
      <c r="D1468" s="341"/>
    </row>
    <row r="1469" spans="1:4">
      <c r="A1469" s="341"/>
      <c r="B1469" s="297"/>
      <c r="C1469" s="296"/>
      <c r="D1469" s="341"/>
    </row>
    <row r="1470" spans="1:4">
      <c r="A1470" s="341"/>
      <c r="B1470" s="297"/>
      <c r="C1470" s="296"/>
      <c r="D1470" s="341"/>
    </row>
    <row r="1471" spans="1:4">
      <c r="A1471" s="341"/>
      <c r="B1471" s="297"/>
      <c r="C1471" s="296"/>
      <c r="D1471" s="341"/>
    </row>
    <row r="1472" spans="1:4">
      <c r="A1472" s="341"/>
      <c r="B1472" s="297"/>
      <c r="C1472" s="296"/>
      <c r="D1472" s="341"/>
    </row>
    <row r="1473" spans="1:4">
      <c r="A1473" s="341"/>
      <c r="B1473" s="297"/>
      <c r="C1473" s="296"/>
      <c r="D1473" s="341"/>
    </row>
    <row r="1474" spans="1:4">
      <c r="A1474" s="341"/>
      <c r="B1474" s="297"/>
      <c r="C1474" s="296"/>
      <c r="D1474" s="341"/>
    </row>
    <row r="1475" spans="1:4">
      <c r="A1475" s="341"/>
      <c r="B1475" s="297"/>
      <c r="C1475" s="296"/>
      <c r="D1475" s="341"/>
    </row>
    <row r="1476" spans="1:4">
      <c r="A1476" s="341"/>
      <c r="B1476" s="297"/>
      <c r="C1476" s="296"/>
      <c r="D1476" s="341"/>
    </row>
    <row r="1477" spans="1:4">
      <c r="A1477" s="341"/>
      <c r="B1477" s="297"/>
      <c r="C1477" s="296"/>
      <c r="D1477" s="341"/>
    </row>
    <row r="1478" spans="1:4">
      <c r="A1478" s="341"/>
      <c r="B1478" s="297"/>
      <c r="C1478" s="296"/>
      <c r="D1478" s="341"/>
    </row>
    <row r="1479" spans="1:4">
      <c r="A1479" s="341"/>
      <c r="B1479" s="297"/>
      <c r="C1479" s="296"/>
      <c r="D1479" s="341"/>
    </row>
    <row r="1480" spans="1:4">
      <c r="A1480" s="341"/>
      <c r="B1480" s="297"/>
      <c r="C1480" s="296"/>
      <c r="D1480" s="341"/>
    </row>
    <row r="1481" spans="1:4">
      <c r="A1481" s="341"/>
      <c r="B1481" s="297"/>
      <c r="C1481" s="296"/>
      <c r="D1481" s="341"/>
    </row>
    <row r="1482" spans="1:4">
      <c r="A1482" s="341"/>
      <c r="B1482" s="297"/>
      <c r="C1482" s="296"/>
      <c r="D1482" s="341"/>
    </row>
    <row r="1483" spans="1:4">
      <c r="A1483" s="341"/>
      <c r="B1483" s="297"/>
      <c r="C1483" s="296"/>
      <c r="D1483" s="341"/>
    </row>
    <row r="1484" spans="1:4">
      <c r="A1484" s="341"/>
      <c r="B1484" s="297"/>
      <c r="C1484" s="296"/>
      <c r="D1484" s="341"/>
    </row>
    <row r="1485" spans="1:4">
      <c r="A1485" s="341"/>
      <c r="B1485" s="297"/>
      <c r="C1485" s="296"/>
      <c r="D1485" s="341"/>
    </row>
    <row r="1486" spans="1:4">
      <c r="A1486" s="341"/>
      <c r="B1486" s="297"/>
      <c r="C1486" s="296"/>
      <c r="D1486" s="341"/>
    </row>
    <row r="1487" spans="1:4">
      <c r="A1487" s="341"/>
      <c r="B1487" s="297"/>
      <c r="C1487" s="296"/>
      <c r="D1487" s="341"/>
    </row>
    <row r="1488" spans="1:4">
      <c r="A1488" s="341"/>
      <c r="B1488" s="297"/>
      <c r="C1488" s="296"/>
      <c r="D1488" s="341"/>
    </row>
    <row r="1489" spans="1:4">
      <c r="A1489" s="341"/>
      <c r="B1489" s="297"/>
      <c r="C1489" s="296"/>
      <c r="D1489" s="341"/>
    </row>
    <row r="1490" spans="1:4">
      <c r="A1490" s="341"/>
      <c r="B1490" s="297"/>
      <c r="C1490" s="296"/>
      <c r="D1490" s="341"/>
    </row>
    <row r="1491" spans="1:4">
      <c r="A1491" s="341"/>
      <c r="B1491" s="297"/>
      <c r="C1491" s="296"/>
      <c r="D1491" s="341"/>
    </row>
    <row r="1492" spans="1:4">
      <c r="A1492" s="341"/>
      <c r="B1492" s="297"/>
      <c r="C1492" s="296"/>
      <c r="D1492" s="341"/>
    </row>
    <row r="1493" spans="1:4">
      <c r="A1493" s="341"/>
      <c r="B1493" s="297"/>
      <c r="C1493" s="296"/>
      <c r="D1493" s="341"/>
    </row>
    <row r="1494" spans="1:4">
      <c r="A1494" s="341"/>
      <c r="B1494" s="297"/>
      <c r="C1494" s="296"/>
      <c r="D1494" s="341"/>
    </row>
    <row r="1495" spans="1:4">
      <c r="A1495" s="341"/>
      <c r="B1495" s="297"/>
      <c r="C1495" s="296"/>
      <c r="D1495" s="341"/>
    </row>
    <row r="1496" spans="1:4">
      <c r="A1496" s="341"/>
      <c r="B1496" s="297"/>
      <c r="C1496" s="296"/>
      <c r="D1496" s="341"/>
    </row>
    <row r="1497" spans="1:4">
      <c r="A1497" s="341"/>
      <c r="B1497" s="297"/>
      <c r="C1497" s="296"/>
      <c r="D1497" s="341"/>
    </row>
    <row r="1498" spans="1:4">
      <c r="A1498" s="341"/>
      <c r="B1498" s="297"/>
      <c r="C1498" s="296"/>
      <c r="D1498" s="341"/>
    </row>
    <row r="1499" spans="1:4">
      <c r="A1499" s="341"/>
      <c r="B1499" s="297"/>
      <c r="C1499" s="296"/>
      <c r="D1499" s="341"/>
    </row>
    <row r="1500" spans="1:4">
      <c r="A1500" s="341"/>
      <c r="B1500" s="297"/>
      <c r="C1500" s="296"/>
      <c r="D1500" s="341"/>
    </row>
    <row r="1501" spans="1:4">
      <c r="A1501" s="341"/>
      <c r="B1501" s="297"/>
      <c r="C1501" s="296"/>
      <c r="D1501" s="341"/>
    </row>
    <row r="1502" spans="1:4">
      <c r="A1502" s="341"/>
      <c r="B1502" s="297"/>
      <c r="C1502" s="296"/>
      <c r="D1502" s="341"/>
    </row>
    <row r="1503" spans="1:4">
      <c r="A1503" s="341"/>
      <c r="B1503" s="297"/>
      <c r="C1503" s="296"/>
      <c r="D1503" s="341"/>
    </row>
    <row r="1504" spans="1:4">
      <c r="A1504" s="341"/>
      <c r="B1504" s="297"/>
      <c r="C1504" s="296"/>
      <c r="D1504" s="341"/>
    </row>
    <row r="1505" spans="1:4">
      <c r="A1505" s="341"/>
      <c r="B1505" s="297"/>
      <c r="C1505" s="296"/>
      <c r="D1505" s="341"/>
    </row>
    <row r="1506" spans="1:4">
      <c r="A1506" s="341"/>
      <c r="B1506" s="297"/>
      <c r="C1506" s="296"/>
      <c r="D1506" s="341"/>
    </row>
    <row r="1507" spans="1:4">
      <c r="A1507" s="341"/>
      <c r="B1507" s="297"/>
      <c r="C1507" s="296"/>
      <c r="D1507" s="341"/>
    </row>
    <row r="1508" spans="1:4">
      <c r="A1508" s="341"/>
      <c r="B1508" s="297"/>
      <c r="C1508" s="296"/>
      <c r="D1508" s="341"/>
    </row>
    <row r="1509" spans="1:4">
      <c r="A1509" s="341"/>
      <c r="B1509" s="297"/>
      <c r="C1509" s="296"/>
      <c r="D1509" s="341"/>
    </row>
    <row r="1510" spans="1:4">
      <c r="A1510" s="341"/>
      <c r="B1510" s="297"/>
      <c r="C1510" s="296"/>
      <c r="D1510" s="341"/>
    </row>
    <row r="1511" spans="1:4">
      <c r="A1511" s="341"/>
      <c r="B1511" s="297"/>
      <c r="C1511" s="296"/>
      <c r="D1511" s="341"/>
    </row>
    <row r="1512" spans="1:4">
      <c r="A1512" s="341"/>
      <c r="B1512" s="297"/>
      <c r="C1512" s="296"/>
      <c r="D1512" s="341"/>
    </row>
    <row r="1513" spans="1:4">
      <c r="A1513" s="341"/>
      <c r="B1513" s="297"/>
      <c r="C1513" s="296"/>
      <c r="D1513" s="341"/>
    </row>
    <row r="1514" spans="1:4">
      <c r="A1514" s="341"/>
      <c r="B1514" s="297"/>
      <c r="C1514" s="296"/>
      <c r="D1514" s="341"/>
    </row>
    <row r="1515" spans="1:4">
      <c r="A1515" s="341"/>
      <c r="B1515" s="297"/>
      <c r="C1515" s="296"/>
      <c r="D1515" s="341"/>
    </row>
    <row r="1516" spans="1:4">
      <c r="A1516" s="341"/>
      <c r="B1516" s="297"/>
      <c r="C1516" s="296"/>
      <c r="D1516" s="341"/>
    </row>
    <row r="1517" spans="1:4">
      <c r="A1517" s="341"/>
      <c r="B1517" s="297"/>
      <c r="C1517" s="296"/>
      <c r="D1517" s="341"/>
    </row>
    <row r="1518" spans="1:4">
      <c r="A1518" s="341"/>
      <c r="B1518" s="297"/>
      <c r="C1518" s="296"/>
      <c r="D1518" s="341"/>
    </row>
    <row r="1519" spans="1:4">
      <c r="A1519" s="341"/>
      <c r="B1519" s="297"/>
      <c r="C1519" s="296"/>
      <c r="D1519" s="341"/>
    </row>
    <row r="1520" spans="1:4">
      <c r="A1520" s="341"/>
      <c r="B1520" s="297"/>
      <c r="C1520" s="296"/>
      <c r="D1520" s="341"/>
    </row>
    <row r="1521" spans="1:4">
      <c r="A1521" s="341"/>
      <c r="B1521" s="297"/>
      <c r="C1521" s="296"/>
      <c r="D1521" s="341"/>
    </row>
    <row r="1522" spans="1:4">
      <c r="A1522" s="341"/>
      <c r="B1522" s="297"/>
      <c r="C1522" s="296"/>
      <c r="D1522" s="341"/>
    </row>
    <row r="1523" spans="1:4">
      <c r="A1523" s="341"/>
      <c r="B1523" s="297"/>
      <c r="C1523" s="296"/>
      <c r="D1523" s="341"/>
    </row>
    <row r="1524" spans="1:4">
      <c r="A1524" s="341"/>
      <c r="B1524" s="297"/>
      <c r="C1524" s="296"/>
      <c r="D1524" s="341"/>
    </row>
    <row r="1525" spans="1:4">
      <c r="A1525" s="341"/>
      <c r="B1525" s="297"/>
      <c r="C1525" s="296"/>
      <c r="D1525" s="341"/>
    </row>
    <row r="1526" spans="1:4">
      <c r="A1526" s="341"/>
      <c r="B1526" s="297"/>
      <c r="C1526" s="296"/>
      <c r="D1526" s="341"/>
    </row>
    <row r="1527" spans="1:4">
      <c r="A1527" s="341"/>
      <c r="B1527" s="297"/>
      <c r="C1527" s="296"/>
      <c r="D1527" s="341"/>
    </row>
    <row r="1528" spans="1:4">
      <c r="A1528" s="341"/>
      <c r="B1528" s="297"/>
      <c r="C1528" s="296"/>
      <c r="D1528" s="341"/>
    </row>
    <row r="1529" spans="1:4">
      <c r="A1529" s="341"/>
      <c r="B1529" s="297"/>
      <c r="C1529" s="296"/>
      <c r="D1529" s="341"/>
    </row>
    <row r="1530" spans="1:4">
      <c r="A1530" s="341"/>
      <c r="B1530" s="297"/>
      <c r="C1530" s="296"/>
      <c r="D1530" s="341"/>
    </row>
    <row r="1531" spans="1:4">
      <c r="A1531" s="341"/>
      <c r="B1531" s="297"/>
      <c r="C1531" s="296"/>
      <c r="D1531" s="341"/>
    </row>
    <row r="1532" spans="1:4">
      <c r="A1532" s="341"/>
      <c r="B1532" s="297"/>
      <c r="C1532" s="296"/>
      <c r="D1532" s="341"/>
    </row>
    <row r="1533" spans="1:4">
      <c r="A1533" s="341"/>
      <c r="B1533" s="297"/>
      <c r="C1533" s="296"/>
      <c r="D1533" s="341"/>
    </row>
    <row r="1534" spans="1:4">
      <c r="A1534" s="341"/>
      <c r="B1534" s="297"/>
      <c r="C1534" s="296"/>
      <c r="D1534" s="341"/>
    </row>
    <row r="1535" spans="1:4">
      <c r="A1535" s="341"/>
      <c r="B1535" s="297"/>
      <c r="C1535" s="296"/>
      <c r="D1535" s="341"/>
    </row>
    <row r="1536" spans="1:4">
      <c r="A1536" s="341"/>
      <c r="B1536" s="297"/>
      <c r="C1536" s="296"/>
      <c r="D1536" s="341"/>
    </row>
    <row r="1537" spans="1:4">
      <c r="A1537" s="341"/>
      <c r="B1537" s="297"/>
      <c r="C1537" s="296"/>
      <c r="D1537" s="341"/>
    </row>
    <row r="1538" spans="1:4">
      <c r="A1538" s="341"/>
      <c r="B1538" s="297"/>
      <c r="C1538" s="296"/>
      <c r="D1538" s="341"/>
    </row>
    <row r="1539" spans="1:4">
      <c r="A1539" s="341"/>
      <c r="B1539" s="297"/>
      <c r="C1539" s="296"/>
      <c r="D1539" s="341"/>
    </row>
    <row r="1540" spans="1:4">
      <c r="A1540" s="341"/>
      <c r="B1540" s="297"/>
      <c r="C1540" s="296"/>
      <c r="D1540" s="341"/>
    </row>
    <row r="1541" spans="1:4">
      <c r="A1541" s="341"/>
      <c r="B1541" s="297"/>
      <c r="C1541" s="296"/>
      <c r="D1541" s="341"/>
    </row>
    <row r="1542" spans="1:4">
      <c r="A1542" s="341"/>
      <c r="B1542" s="297"/>
      <c r="C1542" s="296"/>
      <c r="D1542" s="341"/>
    </row>
    <row r="1543" spans="1:4">
      <c r="A1543" s="341"/>
      <c r="B1543" s="297"/>
      <c r="C1543" s="296"/>
      <c r="D1543" s="341"/>
    </row>
    <row r="1544" spans="1:4">
      <c r="A1544" s="341"/>
      <c r="B1544" s="297"/>
      <c r="C1544" s="296"/>
      <c r="D1544" s="341"/>
    </row>
    <row r="1545" spans="1:4">
      <c r="A1545" s="341"/>
      <c r="B1545" s="297"/>
      <c r="C1545" s="296"/>
      <c r="D1545" s="341"/>
    </row>
    <row r="1546" spans="1:4">
      <c r="A1546" s="341"/>
      <c r="B1546" s="297"/>
      <c r="C1546" s="296"/>
      <c r="D1546" s="341"/>
    </row>
    <row r="1547" spans="1:4">
      <c r="A1547" s="341"/>
      <c r="B1547" s="297"/>
      <c r="C1547" s="296"/>
      <c r="D1547" s="341"/>
    </row>
    <row r="1548" spans="1:4">
      <c r="A1548" s="341"/>
      <c r="B1548" s="297"/>
      <c r="C1548" s="296"/>
      <c r="D1548" s="341"/>
    </row>
    <row r="1549" spans="1:4">
      <c r="A1549" s="341"/>
      <c r="B1549" s="297"/>
      <c r="C1549" s="296"/>
      <c r="D1549" s="341"/>
    </row>
    <row r="1550" spans="1:4">
      <c r="A1550" s="341"/>
      <c r="B1550" s="297"/>
      <c r="C1550" s="296"/>
      <c r="D1550" s="341"/>
    </row>
    <row r="1551" spans="1:4">
      <c r="A1551" s="341"/>
      <c r="B1551" s="297"/>
      <c r="C1551" s="296"/>
      <c r="D1551" s="341"/>
    </row>
    <row r="1552" spans="1:4">
      <c r="A1552" s="341"/>
      <c r="B1552" s="297"/>
      <c r="C1552" s="296"/>
      <c r="D1552" s="341"/>
    </row>
    <row r="1553" spans="1:4">
      <c r="A1553" s="341"/>
      <c r="B1553" s="297"/>
      <c r="C1553" s="296"/>
      <c r="D1553" s="341"/>
    </row>
    <row r="1554" spans="1:4">
      <c r="A1554" s="341"/>
      <c r="B1554" s="297"/>
      <c r="C1554" s="296"/>
      <c r="D1554" s="341"/>
    </row>
    <row r="1555" spans="1:4">
      <c r="A1555" s="341"/>
      <c r="B1555" s="297"/>
      <c r="C1555" s="296"/>
      <c r="D1555" s="341"/>
    </row>
    <row r="1556" spans="1:4">
      <c r="A1556" s="341"/>
      <c r="B1556" s="297"/>
      <c r="C1556" s="296"/>
      <c r="D1556" s="341"/>
    </row>
    <row r="1557" spans="1:4">
      <c r="A1557" s="341"/>
      <c r="B1557" s="297"/>
      <c r="C1557" s="296"/>
      <c r="D1557" s="341"/>
    </row>
    <row r="1558" spans="1:4">
      <c r="A1558" s="341"/>
      <c r="B1558" s="297"/>
      <c r="C1558" s="296"/>
      <c r="D1558" s="341"/>
    </row>
    <row r="1559" spans="1:4">
      <c r="A1559" s="341"/>
      <c r="B1559" s="297"/>
      <c r="C1559" s="296"/>
      <c r="D1559" s="341"/>
    </row>
    <row r="1560" spans="1:4">
      <c r="A1560" s="341"/>
      <c r="B1560" s="297"/>
      <c r="C1560" s="296"/>
      <c r="D1560" s="341"/>
    </row>
    <row r="1561" spans="1:4">
      <c r="A1561" s="341"/>
      <c r="B1561" s="297"/>
      <c r="C1561" s="296"/>
      <c r="D1561" s="341"/>
    </row>
    <row r="1562" spans="1:4">
      <c r="A1562" s="341"/>
      <c r="B1562" s="297"/>
      <c r="C1562" s="296"/>
      <c r="D1562" s="341"/>
    </row>
    <row r="1563" spans="1:4">
      <c r="A1563" s="341"/>
      <c r="B1563" s="297"/>
      <c r="C1563" s="296"/>
      <c r="D1563" s="341"/>
    </row>
    <row r="1564" spans="1:4">
      <c r="A1564" s="341"/>
      <c r="B1564" s="297"/>
      <c r="C1564" s="296"/>
      <c r="D1564" s="341"/>
    </row>
    <row r="1565" spans="1:4">
      <c r="A1565" s="341"/>
      <c r="B1565" s="297"/>
      <c r="C1565" s="296"/>
      <c r="D1565" s="341"/>
    </row>
    <row r="1566" spans="1:4">
      <c r="A1566" s="341"/>
      <c r="B1566" s="297"/>
      <c r="C1566" s="296"/>
      <c r="D1566" s="341"/>
    </row>
    <row r="1567" spans="1:4">
      <c r="A1567" s="341"/>
      <c r="B1567" s="297"/>
      <c r="C1567" s="296"/>
      <c r="D1567" s="341"/>
    </row>
    <row r="1568" spans="1:4">
      <c r="A1568" s="341"/>
      <c r="B1568" s="297"/>
      <c r="C1568" s="296"/>
      <c r="D1568" s="341"/>
    </row>
    <row r="1569" spans="1:4">
      <c r="A1569" s="341"/>
      <c r="B1569" s="297"/>
      <c r="C1569" s="296"/>
      <c r="D1569" s="341"/>
    </row>
    <row r="1570" spans="1:4">
      <c r="A1570" s="341"/>
      <c r="B1570" s="297"/>
      <c r="C1570" s="296"/>
      <c r="D1570" s="341"/>
    </row>
    <row r="1571" spans="1:4">
      <c r="A1571" s="341"/>
      <c r="B1571" s="297"/>
      <c r="C1571" s="296"/>
      <c r="D1571" s="341"/>
    </row>
    <row r="1572" spans="1:4">
      <c r="A1572" s="341"/>
      <c r="B1572" s="297"/>
      <c r="C1572" s="296"/>
      <c r="D1572" s="341"/>
    </row>
    <row r="1573" spans="1:4">
      <c r="A1573" s="341"/>
      <c r="B1573" s="297"/>
      <c r="C1573" s="296"/>
      <c r="D1573" s="341"/>
    </row>
    <row r="1574" spans="1:4">
      <c r="A1574" s="341"/>
      <c r="B1574" s="297"/>
      <c r="C1574" s="296"/>
      <c r="D1574" s="341"/>
    </row>
    <row r="1575" spans="1:4">
      <c r="A1575" s="341"/>
      <c r="B1575" s="297"/>
      <c r="C1575" s="296"/>
      <c r="D1575" s="341"/>
    </row>
    <row r="1576" spans="1:4">
      <c r="A1576" s="341"/>
      <c r="B1576" s="297"/>
      <c r="C1576" s="296"/>
      <c r="D1576" s="341"/>
    </row>
    <row r="1577" spans="1:4">
      <c r="A1577" s="341"/>
      <c r="B1577" s="297"/>
      <c r="C1577" s="296"/>
      <c r="D1577" s="341"/>
    </row>
    <row r="1578" spans="1:4">
      <c r="A1578" s="341"/>
      <c r="B1578" s="297"/>
      <c r="C1578" s="296"/>
      <c r="D1578" s="341"/>
    </row>
    <row r="1579" spans="1:4">
      <c r="A1579" s="341"/>
      <c r="B1579" s="297"/>
      <c r="C1579" s="296"/>
      <c r="D1579" s="341"/>
    </row>
    <row r="1580" spans="1:4">
      <c r="A1580" s="341"/>
      <c r="B1580" s="297"/>
      <c r="C1580" s="296"/>
      <c r="D1580" s="341"/>
    </row>
    <row r="1581" spans="1:4">
      <c r="A1581" s="341"/>
      <c r="B1581" s="297"/>
      <c r="C1581" s="296"/>
      <c r="D1581" s="341"/>
    </row>
    <row r="1582" spans="1:4">
      <c r="A1582" s="341"/>
      <c r="B1582" s="297"/>
      <c r="C1582" s="296"/>
      <c r="D1582" s="341"/>
    </row>
    <row r="1583" spans="1:4">
      <c r="A1583" s="341"/>
      <c r="B1583" s="297"/>
      <c r="C1583" s="296"/>
      <c r="D1583" s="341"/>
    </row>
    <row r="1584" spans="1:4">
      <c r="A1584" s="341"/>
      <c r="B1584" s="297"/>
      <c r="C1584" s="296"/>
      <c r="D1584" s="341"/>
    </row>
    <row r="1585" spans="1:4">
      <c r="A1585" s="341"/>
      <c r="B1585" s="297"/>
      <c r="C1585" s="296"/>
      <c r="D1585" s="341"/>
    </row>
    <row r="1586" spans="1:4">
      <c r="A1586" s="341"/>
      <c r="B1586" s="297"/>
      <c r="C1586" s="296"/>
      <c r="D1586" s="341"/>
    </row>
    <row r="1587" spans="1:4">
      <c r="A1587" s="341"/>
      <c r="B1587" s="297"/>
      <c r="C1587" s="296"/>
      <c r="D1587" s="341"/>
    </row>
    <row r="1588" spans="1:4">
      <c r="A1588" s="341"/>
      <c r="B1588" s="297"/>
      <c r="C1588" s="296"/>
      <c r="D1588" s="341"/>
    </row>
    <row r="1589" spans="1:4">
      <c r="A1589" s="341"/>
      <c r="B1589" s="297"/>
      <c r="C1589" s="296"/>
      <c r="D1589" s="341"/>
    </row>
    <row r="1590" spans="1:4">
      <c r="A1590" s="341"/>
      <c r="B1590" s="297"/>
      <c r="C1590" s="296"/>
      <c r="D1590" s="341"/>
    </row>
    <row r="1591" spans="1:4">
      <c r="A1591" s="341"/>
      <c r="B1591" s="297"/>
      <c r="C1591" s="296"/>
      <c r="D1591" s="341"/>
    </row>
    <row r="1592" spans="1:4">
      <c r="A1592" s="341"/>
      <c r="B1592" s="297"/>
      <c r="C1592" s="296"/>
      <c r="D1592" s="341"/>
    </row>
    <row r="1593" spans="1:4">
      <c r="A1593" s="341"/>
      <c r="B1593" s="297"/>
      <c r="C1593" s="296"/>
      <c r="D1593" s="341"/>
    </row>
    <row r="1594" spans="1:4">
      <c r="A1594" s="341"/>
      <c r="B1594" s="297"/>
      <c r="C1594" s="296"/>
      <c r="D1594" s="341"/>
    </row>
    <row r="1595" spans="1:4">
      <c r="A1595" s="341"/>
      <c r="B1595" s="297"/>
      <c r="C1595" s="296"/>
      <c r="D1595" s="341"/>
    </row>
    <row r="1596" spans="1:4">
      <c r="A1596" s="341"/>
      <c r="B1596" s="297"/>
      <c r="C1596" s="296"/>
      <c r="D1596" s="341"/>
    </row>
    <row r="1597" spans="1:4">
      <c r="A1597" s="341"/>
      <c r="B1597" s="297"/>
      <c r="C1597" s="296"/>
      <c r="D1597" s="341"/>
    </row>
    <row r="1598" spans="1:4">
      <c r="A1598" s="341"/>
      <c r="B1598" s="297"/>
      <c r="C1598" s="296"/>
      <c r="D1598" s="341"/>
    </row>
    <row r="1599" spans="1:4">
      <c r="A1599" s="341"/>
      <c r="B1599" s="297"/>
      <c r="C1599" s="296"/>
      <c r="D1599" s="341"/>
    </row>
    <row r="1600" spans="1:4">
      <c r="A1600" s="341"/>
      <c r="B1600" s="297"/>
      <c r="C1600" s="296"/>
      <c r="D1600" s="341"/>
    </row>
    <row r="1601" spans="1:4">
      <c r="A1601" s="341"/>
      <c r="B1601" s="297"/>
      <c r="C1601" s="296"/>
      <c r="D1601" s="341"/>
    </row>
    <row r="1602" spans="1:4">
      <c r="A1602" s="341"/>
      <c r="B1602" s="297"/>
      <c r="C1602" s="296"/>
      <c r="D1602" s="341"/>
    </row>
    <row r="1603" spans="1:4">
      <c r="A1603" s="341"/>
      <c r="B1603" s="297"/>
      <c r="C1603" s="296"/>
      <c r="D1603" s="341"/>
    </row>
    <row r="1604" spans="1:4">
      <c r="A1604" s="341"/>
      <c r="B1604" s="297"/>
      <c r="C1604" s="296"/>
      <c r="D1604" s="341"/>
    </row>
    <row r="1605" spans="1:4">
      <c r="A1605" s="341"/>
      <c r="B1605" s="297"/>
      <c r="C1605" s="296"/>
      <c r="D1605" s="341"/>
    </row>
    <row r="1606" spans="1:4">
      <c r="A1606" s="341"/>
      <c r="B1606" s="297"/>
      <c r="C1606" s="296"/>
      <c r="D1606" s="341"/>
    </row>
    <row r="1607" spans="1:4">
      <c r="A1607" s="341"/>
      <c r="B1607" s="297"/>
      <c r="C1607" s="296"/>
      <c r="D1607" s="341"/>
    </row>
    <row r="1608" spans="1:4">
      <c r="A1608" s="341"/>
      <c r="B1608" s="297"/>
      <c r="C1608" s="296"/>
      <c r="D1608" s="341"/>
    </row>
    <row r="1609" spans="1:4">
      <c r="A1609" s="341"/>
      <c r="B1609" s="297"/>
      <c r="C1609" s="296"/>
      <c r="D1609" s="341"/>
    </row>
    <row r="1610" spans="1:4">
      <c r="A1610" s="341"/>
      <c r="B1610" s="297"/>
      <c r="C1610" s="296"/>
      <c r="D1610" s="341"/>
    </row>
    <row r="1611" spans="1:4">
      <c r="A1611" s="341"/>
      <c r="B1611" s="297"/>
      <c r="C1611" s="296"/>
      <c r="D1611" s="341"/>
    </row>
    <row r="1612" spans="1:4">
      <c r="A1612" s="341"/>
      <c r="B1612" s="297"/>
      <c r="C1612" s="296"/>
      <c r="D1612" s="341"/>
    </row>
    <row r="1613" spans="1:4">
      <c r="A1613" s="341"/>
      <c r="B1613" s="297"/>
      <c r="C1613" s="296"/>
      <c r="D1613" s="341"/>
    </row>
    <row r="1614" spans="1:4">
      <c r="A1614" s="341"/>
      <c r="B1614" s="297"/>
      <c r="C1614" s="296"/>
      <c r="D1614" s="341"/>
    </row>
    <row r="1615" spans="1:4">
      <c r="A1615" s="341"/>
      <c r="B1615" s="297"/>
      <c r="C1615" s="296"/>
      <c r="D1615" s="341"/>
    </row>
    <row r="1616" spans="1:4">
      <c r="A1616" s="341"/>
      <c r="B1616" s="297"/>
      <c r="C1616" s="296"/>
      <c r="D1616" s="341"/>
    </row>
    <row r="1617" spans="1:4">
      <c r="A1617" s="341"/>
      <c r="B1617" s="297"/>
      <c r="C1617" s="296"/>
      <c r="D1617" s="341"/>
    </row>
    <row r="1618" spans="1:4">
      <c r="A1618" s="341"/>
      <c r="B1618" s="297"/>
      <c r="C1618" s="296"/>
      <c r="D1618" s="341"/>
    </row>
    <row r="1619" spans="1:4">
      <c r="A1619" s="341"/>
      <c r="B1619" s="297"/>
      <c r="C1619" s="296"/>
      <c r="D1619" s="341"/>
    </row>
    <row r="1620" spans="1:4">
      <c r="A1620" s="341"/>
      <c r="B1620" s="297"/>
      <c r="C1620" s="296"/>
      <c r="D1620" s="341"/>
    </row>
    <row r="1621" spans="1:4">
      <c r="A1621" s="341"/>
      <c r="B1621" s="297"/>
      <c r="C1621" s="296"/>
      <c r="D1621" s="341"/>
    </row>
    <row r="1622" spans="1:4">
      <c r="A1622" s="341"/>
      <c r="B1622" s="297"/>
      <c r="C1622" s="296"/>
      <c r="D1622" s="341"/>
    </row>
    <row r="1623" spans="1:4">
      <c r="A1623" s="341"/>
      <c r="B1623" s="297"/>
      <c r="C1623" s="296"/>
      <c r="D1623" s="341"/>
    </row>
    <row r="1624" spans="1:4">
      <c r="A1624" s="341"/>
      <c r="B1624" s="297"/>
      <c r="C1624" s="296"/>
      <c r="D1624" s="341"/>
    </row>
    <row r="1625" spans="1:4">
      <c r="A1625" s="341"/>
      <c r="B1625" s="297"/>
      <c r="C1625" s="296"/>
      <c r="D1625" s="341"/>
    </row>
    <row r="1626" spans="1:4">
      <c r="A1626" s="341"/>
      <c r="B1626" s="297"/>
      <c r="C1626" s="296"/>
      <c r="D1626" s="341"/>
    </row>
    <row r="1627" spans="1:4">
      <c r="A1627" s="341"/>
      <c r="B1627" s="297"/>
      <c r="C1627" s="296"/>
      <c r="D1627" s="341"/>
    </row>
    <row r="1628" spans="1:4">
      <c r="A1628" s="341"/>
      <c r="B1628" s="297"/>
      <c r="C1628" s="296"/>
      <c r="D1628" s="341"/>
    </row>
    <row r="1629" spans="1:4">
      <c r="A1629" s="341"/>
      <c r="B1629" s="297"/>
      <c r="C1629" s="296"/>
      <c r="D1629" s="341"/>
    </row>
    <row r="1630" spans="1:4">
      <c r="A1630" s="341"/>
      <c r="B1630" s="297"/>
      <c r="C1630" s="296"/>
      <c r="D1630" s="341"/>
    </row>
    <row r="1631" spans="1:4">
      <c r="A1631" s="341"/>
      <c r="B1631" s="297"/>
      <c r="C1631" s="296"/>
      <c r="D1631" s="341"/>
    </row>
    <row r="1632" spans="1:4">
      <c r="A1632" s="341"/>
      <c r="B1632" s="297"/>
      <c r="C1632" s="296"/>
      <c r="D1632" s="341"/>
    </row>
    <row r="1633" spans="1:4">
      <c r="A1633" s="341"/>
      <c r="B1633" s="297"/>
      <c r="C1633" s="296"/>
      <c r="D1633" s="341"/>
    </row>
    <row r="1634" spans="1:4">
      <c r="A1634" s="341"/>
      <c r="B1634" s="297"/>
      <c r="C1634" s="296"/>
      <c r="D1634" s="341"/>
    </row>
    <row r="1635" spans="1:4">
      <c r="A1635" s="341"/>
      <c r="B1635" s="297"/>
      <c r="C1635" s="296"/>
      <c r="D1635" s="341"/>
    </row>
    <row r="1636" spans="1:4">
      <c r="A1636" s="341"/>
      <c r="B1636" s="297"/>
      <c r="C1636" s="296"/>
      <c r="D1636" s="341"/>
    </row>
    <row r="1637" spans="1:4">
      <c r="A1637" s="341"/>
      <c r="B1637" s="297"/>
      <c r="C1637" s="296"/>
      <c r="D1637" s="341"/>
    </row>
    <row r="1638" spans="1:4">
      <c r="A1638" s="341"/>
      <c r="B1638" s="297"/>
      <c r="C1638" s="296"/>
      <c r="D1638" s="341"/>
    </row>
    <row r="1639" spans="1:4">
      <c r="A1639" s="341"/>
      <c r="B1639" s="297"/>
      <c r="C1639" s="296"/>
      <c r="D1639" s="341"/>
    </row>
    <row r="1640" spans="1:4">
      <c r="A1640" s="341"/>
      <c r="B1640" s="297"/>
      <c r="C1640" s="296"/>
      <c r="D1640" s="341"/>
    </row>
    <row r="1641" spans="1:4">
      <c r="A1641" s="341"/>
      <c r="B1641" s="297"/>
      <c r="C1641" s="296"/>
      <c r="D1641" s="341"/>
    </row>
    <row r="1642" spans="1:4">
      <c r="A1642" s="341"/>
      <c r="B1642" s="297"/>
      <c r="C1642" s="296"/>
      <c r="D1642" s="341"/>
    </row>
    <row r="1643" spans="1:4">
      <c r="A1643" s="341"/>
      <c r="B1643" s="297"/>
      <c r="C1643" s="296"/>
      <c r="D1643" s="341"/>
    </row>
    <row r="1644" spans="1:4">
      <c r="A1644" s="341"/>
      <c r="B1644" s="297"/>
      <c r="C1644" s="296"/>
      <c r="D1644" s="341"/>
    </row>
    <row r="1645" spans="1:4">
      <c r="A1645" s="341"/>
      <c r="B1645" s="297"/>
      <c r="C1645" s="296"/>
      <c r="D1645" s="341"/>
    </row>
    <row r="1646" spans="1:4">
      <c r="A1646" s="341"/>
      <c r="B1646" s="297"/>
      <c r="C1646" s="296"/>
      <c r="D1646" s="341"/>
    </row>
    <row r="1647" spans="1:4">
      <c r="A1647" s="341"/>
      <c r="B1647" s="297"/>
      <c r="C1647" s="296"/>
      <c r="D1647" s="341"/>
    </row>
    <row r="1648" spans="1:4">
      <c r="A1648" s="341"/>
      <c r="B1648" s="297"/>
      <c r="C1648" s="296"/>
      <c r="D1648" s="341"/>
    </row>
    <row r="1649" spans="1:4">
      <c r="A1649" s="341"/>
      <c r="B1649" s="297"/>
      <c r="C1649" s="296"/>
      <c r="D1649" s="341"/>
    </row>
    <row r="1650" spans="1:4">
      <c r="A1650" s="341"/>
      <c r="B1650" s="297"/>
      <c r="C1650" s="296"/>
      <c r="D1650" s="341"/>
    </row>
    <row r="1651" spans="1:4">
      <c r="A1651" s="341"/>
      <c r="B1651" s="297"/>
      <c r="C1651" s="296"/>
      <c r="D1651" s="341"/>
    </row>
    <row r="1652" spans="1:4">
      <c r="A1652" s="341"/>
      <c r="B1652" s="297"/>
      <c r="C1652" s="296"/>
      <c r="D1652" s="341"/>
    </row>
    <row r="1653" spans="1:4">
      <c r="A1653" s="341"/>
      <c r="B1653" s="297"/>
      <c r="C1653" s="296"/>
      <c r="D1653" s="341"/>
    </row>
    <row r="1654" spans="1:4">
      <c r="A1654" s="341"/>
      <c r="B1654" s="297"/>
      <c r="C1654" s="296"/>
      <c r="D1654" s="341"/>
    </row>
    <row r="1655" spans="1:4">
      <c r="A1655" s="341"/>
      <c r="B1655" s="297"/>
      <c r="C1655" s="296"/>
      <c r="D1655" s="341"/>
    </row>
    <row r="1656" spans="1:4">
      <c r="A1656" s="341"/>
      <c r="B1656" s="297"/>
      <c r="C1656" s="296"/>
      <c r="D1656" s="341"/>
    </row>
    <row r="1657" spans="1:4">
      <c r="A1657" s="341"/>
      <c r="B1657" s="297"/>
      <c r="C1657" s="296"/>
      <c r="D1657" s="341"/>
    </row>
    <row r="1658" spans="1:4">
      <c r="A1658" s="341"/>
      <c r="B1658" s="297"/>
      <c r="C1658" s="296"/>
      <c r="D1658" s="341"/>
    </row>
    <row r="1659" spans="1:4">
      <c r="A1659" s="341"/>
      <c r="B1659" s="297"/>
      <c r="C1659" s="296"/>
      <c r="D1659" s="341"/>
    </row>
    <row r="1660" spans="1:4">
      <c r="A1660" s="341"/>
      <c r="B1660" s="297"/>
      <c r="C1660" s="296"/>
      <c r="D1660" s="341"/>
    </row>
    <row r="1661" spans="1:4">
      <c r="A1661" s="341"/>
      <c r="B1661" s="297"/>
      <c r="C1661" s="296"/>
      <c r="D1661" s="341"/>
    </row>
    <row r="1662" spans="1:4">
      <c r="A1662" s="341"/>
      <c r="B1662" s="297"/>
      <c r="C1662" s="296"/>
      <c r="D1662" s="341"/>
    </row>
    <row r="1663" spans="1:4">
      <c r="A1663" s="341"/>
      <c r="B1663" s="297"/>
      <c r="C1663" s="296"/>
      <c r="D1663" s="341"/>
    </row>
    <row r="1664" spans="1:4">
      <c r="A1664" s="341"/>
      <c r="B1664" s="297"/>
      <c r="C1664" s="296"/>
      <c r="D1664" s="341"/>
    </row>
    <row r="1665" spans="1:4">
      <c r="A1665" s="341"/>
      <c r="B1665" s="297"/>
      <c r="C1665" s="296"/>
      <c r="D1665" s="341"/>
    </row>
    <row r="1666" spans="1:4">
      <c r="A1666" s="341"/>
      <c r="B1666" s="297"/>
      <c r="C1666" s="296"/>
      <c r="D1666" s="341"/>
    </row>
    <row r="1667" spans="1:4">
      <c r="A1667" s="341"/>
      <c r="B1667" s="297"/>
      <c r="C1667" s="296"/>
      <c r="D1667" s="341"/>
    </row>
    <row r="1668" spans="1:4">
      <c r="A1668" s="341"/>
      <c r="B1668" s="297"/>
      <c r="C1668" s="296"/>
      <c r="D1668" s="341"/>
    </row>
    <row r="1669" spans="1:4">
      <c r="A1669" s="341"/>
      <c r="B1669" s="297"/>
      <c r="C1669" s="296"/>
      <c r="D1669" s="341"/>
    </row>
    <row r="1670" spans="1:4">
      <c r="A1670" s="341"/>
      <c r="B1670" s="297"/>
      <c r="C1670" s="296"/>
      <c r="D1670" s="341"/>
    </row>
    <row r="1671" spans="1:4">
      <c r="A1671" s="341"/>
      <c r="B1671" s="297"/>
      <c r="C1671" s="296"/>
      <c r="D1671" s="341"/>
    </row>
    <row r="1672" spans="1:4">
      <c r="A1672" s="341"/>
      <c r="B1672" s="297"/>
      <c r="C1672" s="296"/>
      <c r="D1672" s="341"/>
    </row>
    <row r="1673" spans="1:4">
      <c r="A1673" s="341"/>
      <c r="B1673" s="297"/>
      <c r="C1673" s="296"/>
      <c r="D1673" s="341"/>
    </row>
    <row r="1674" spans="1:4">
      <c r="A1674" s="341"/>
      <c r="B1674" s="297"/>
      <c r="C1674" s="296"/>
      <c r="D1674" s="341"/>
    </row>
    <row r="1675" spans="1:4">
      <c r="A1675" s="341"/>
      <c r="B1675" s="297"/>
      <c r="C1675" s="296"/>
      <c r="D1675" s="341"/>
    </row>
    <row r="1676" spans="1:4">
      <c r="A1676" s="341"/>
      <c r="B1676" s="297"/>
      <c r="C1676" s="296"/>
      <c r="D1676" s="341"/>
    </row>
    <row r="1677" spans="1:4">
      <c r="A1677" s="341"/>
      <c r="B1677" s="297"/>
      <c r="C1677" s="296"/>
      <c r="D1677" s="341"/>
    </row>
    <row r="1678" spans="1:4">
      <c r="A1678" s="341"/>
      <c r="B1678" s="297"/>
      <c r="C1678" s="296"/>
      <c r="D1678" s="341"/>
    </row>
    <row r="1679" spans="1:4">
      <c r="A1679" s="341"/>
      <c r="B1679" s="297"/>
      <c r="C1679" s="296"/>
      <c r="D1679" s="341"/>
    </row>
    <row r="1680" spans="1:4">
      <c r="A1680" s="341"/>
      <c r="B1680" s="297"/>
      <c r="C1680" s="296"/>
      <c r="D1680" s="341"/>
    </row>
    <row r="1681" spans="1:4">
      <c r="A1681" s="341"/>
      <c r="B1681" s="297"/>
      <c r="C1681" s="296"/>
      <c r="D1681" s="341"/>
    </row>
    <row r="1682" spans="1:4">
      <c r="A1682" s="341"/>
      <c r="B1682" s="297"/>
      <c r="C1682" s="296"/>
      <c r="D1682" s="341"/>
    </row>
    <row r="1683" spans="1:4">
      <c r="A1683" s="341"/>
      <c r="B1683" s="297"/>
      <c r="C1683" s="296"/>
      <c r="D1683" s="341"/>
    </row>
    <row r="1684" spans="1:4">
      <c r="A1684" s="341"/>
      <c r="B1684" s="297"/>
      <c r="C1684" s="296"/>
      <c r="D1684" s="341"/>
    </row>
    <row r="1685" spans="1:4">
      <c r="A1685" s="341"/>
      <c r="B1685" s="297"/>
      <c r="C1685" s="296"/>
      <c r="D1685" s="341"/>
    </row>
    <row r="1686" spans="1:4">
      <c r="A1686" s="341"/>
      <c r="B1686" s="297"/>
      <c r="C1686" s="296"/>
      <c r="D1686" s="341"/>
    </row>
    <row r="1687" spans="1:4">
      <c r="A1687" s="341"/>
      <c r="B1687" s="297"/>
      <c r="C1687" s="296"/>
      <c r="D1687" s="341"/>
    </row>
    <row r="1688" spans="1:4">
      <c r="A1688" s="341"/>
      <c r="B1688" s="297"/>
      <c r="C1688" s="296"/>
      <c r="D1688" s="341"/>
    </row>
    <row r="1689" spans="1:4">
      <c r="A1689" s="341"/>
      <c r="B1689" s="297"/>
      <c r="C1689" s="296"/>
      <c r="D1689" s="341"/>
    </row>
    <row r="1690" spans="1:4">
      <c r="A1690" s="341"/>
      <c r="B1690" s="297"/>
      <c r="C1690" s="296"/>
      <c r="D1690" s="341"/>
    </row>
    <row r="1691" spans="1:4">
      <c r="A1691" s="341"/>
      <c r="B1691" s="297"/>
      <c r="C1691" s="296"/>
      <c r="D1691" s="341"/>
    </row>
    <row r="1692" spans="1:4">
      <c r="A1692" s="341"/>
      <c r="B1692" s="297"/>
      <c r="C1692" s="296"/>
      <c r="D1692" s="341"/>
    </row>
    <row r="1693" spans="1:4">
      <c r="A1693" s="341"/>
      <c r="B1693" s="297"/>
      <c r="C1693" s="296"/>
      <c r="D1693" s="341"/>
    </row>
    <row r="1694" spans="1:4">
      <c r="A1694" s="341"/>
      <c r="B1694" s="297"/>
      <c r="C1694" s="296"/>
      <c r="D1694" s="341"/>
    </row>
    <row r="1695" spans="1:4">
      <c r="A1695" s="341"/>
      <c r="B1695" s="297"/>
      <c r="C1695" s="296"/>
      <c r="D1695" s="341"/>
    </row>
    <row r="1696" spans="1:4">
      <c r="A1696" s="341"/>
      <c r="B1696" s="297"/>
      <c r="C1696" s="296"/>
      <c r="D1696" s="341"/>
    </row>
    <row r="1697" spans="1:4">
      <c r="A1697" s="341"/>
      <c r="B1697" s="297"/>
      <c r="C1697" s="296"/>
      <c r="D1697" s="341"/>
    </row>
    <row r="1698" spans="1:4">
      <c r="A1698" s="341"/>
      <c r="B1698" s="297"/>
      <c r="C1698" s="296"/>
      <c r="D1698" s="341"/>
    </row>
    <row r="1699" spans="1:4">
      <c r="A1699" s="341"/>
      <c r="B1699" s="297"/>
      <c r="C1699" s="296"/>
      <c r="D1699" s="341"/>
    </row>
    <row r="1700" spans="1:4">
      <c r="A1700" s="341"/>
      <c r="B1700" s="297"/>
      <c r="C1700" s="296"/>
      <c r="D1700" s="341"/>
    </row>
    <row r="1701" spans="1:4">
      <c r="A1701" s="341"/>
      <c r="B1701" s="297"/>
      <c r="C1701" s="296"/>
      <c r="D1701" s="341"/>
    </row>
    <row r="1702" spans="1:4">
      <c r="A1702" s="341"/>
      <c r="B1702" s="297"/>
      <c r="C1702" s="296"/>
      <c r="D1702" s="341"/>
    </row>
    <row r="1703" spans="1:4">
      <c r="A1703" s="341"/>
      <c r="B1703" s="297"/>
      <c r="C1703" s="296"/>
      <c r="D1703" s="341"/>
    </row>
    <row r="1704" spans="1:4">
      <c r="A1704" s="341"/>
      <c r="B1704" s="297"/>
      <c r="C1704" s="296"/>
      <c r="D1704" s="341"/>
    </row>
    <row r="1705" spans="1:4">
      <c r="A1705" s="341"/>
      <c r="B1705" s="297"/>
      <c r="C1705" s="296"/>
      <c r="D1705" s="341"/>
    </row>
    <row r="1706" spans="1:4">
      <c r="A1706" s="341"/>
      <c r="B1706" s="297"/>
      <c r="C1706" s="296"/>
      <c r="D1706" s="341"/>
    </row>
    <row r="1707" spans="1:4">
      <c r="A1707" s="341"/>
      <c r="B1707" s="297"/>
      <c r="C1707" s="296"/>
      <c r="D1707" s="341"/>
    </row>
    <row r="1708" spans="1:4">
      <c r="A1708" s="341"/>
      <c r="B1708" s="297"/>
      <c r="C1708" s="296"/>
      <c r="D1708" s="341"/>
    </row>
    <row r="1709" spans="1:4">
      <c r="A1709" s="341"/>
      <c r="B1709" s="297"/>
      <c r="C1709" s="296"/>
      <c r="D1709" s="341"/>
    </row>
    <row r="1710" spans="1:4">
      <c r="A1710" s="341"/>
      <c r="B1710" s="297"/>
      <c r="C1710" s="296"/>
      <c r="D1710" s="341"/>
    </row>
    <row r="1711" spans="1:4">
      <c r="A1711" s="341"/>
      <c r="B1711" s="297"/>
      <c r="C1711" s="296"/>
      <c r="D1711" s="341"/>
    </row>
    <row r="1712" spans="1:4">
      <c r="A1712" s="341"/>
      <c r="B1712" s="297"/>
      <c r="C1712" s="296"/>
      <c r="D1712" s="341"/>
    </row>
    <row r="1713" spans="1:4">
      <c r="A1713" s="341"/>
      <c r="B1713" s="297"/>
      <c r="C1713" s="296"/>
      <c r="D1713" s="341"/>
    </row>
    <row r="1714" spans="1:4">
      <c r="A1714" s="341"/>
      <c r="B1714" s="297"/>
      <c r="C1714" s="296"/>
      <c r="D1714" s="341"/>
    </row>
    <row r="1715" spans="1:4">
      <c r="A1715" s="341"/>
      <c r="B1715" s="297"/>
      <c r="C1715" s="296"/>
      <c r="D1715" s="341"/>
    </row>
    <row r="1716" spans="1:4">
      <c r="A1716" s="341"/>
      <c r="B1716" s="297"/>
      <c r="C1716" s="296"/>
      <c r="D1716" s="341"/>
    </row>
    <row r="1717" spans="1:4">
      <c r="A1717" s="341"/>
      <c r="B1717" s="297"/>
      <c r="C1717" s="296"/>
      <c r="D1717" s="341"/>
    </row>
    <row r="1718" spans="1:4">
      <c r="A1718" s="341"/>
      <c r="B1718" s="297"/>
      <c r="C1718" s="296"/>
      <c r="D1718" s="341"/>
    </row>
    <row r="1719" spans="1:4">
      <c r="A1719" s="341"/>
      <c r="B1719" s="297"/>
      <c r="C1719" s="296"/>
      <c r="D1719" s="341"/>
    </row>
    <row r="1720" spans="1:4">
      <c r="A1720" s="341"/>
      <c r="B1720" s="297"/>
      <c r="C1720" s="296"/>
      <c r="D1720" s="341"/>
    </row>
    <row r="1721" spans="1:4">
      <c r="A1721" s="341"/>
      <c r="B1721" s="297"/>
      <c r="C1721" s="296"/>
      <c r="D1721" s="341"/>
    </row>
    <row r="1722" spans="1:4">
      <c r="A1722" s="341"/>
      <c r="B1722" s="297"/>
      <c r="C1722" s="296"/>
      <c r="D1722" s="341"/>
    </row>
    <row r="1723" spans="1:4">
      <c r="A1723" s="341"/>
      <c r="B1723" s="297"/>
      <c r="C1723" s="296"/>
      <c r="D1723" s="341"/>
    </row>
    <row r="1724" spans="1:4">
      <c r="A1724" s="341"/>
      <c r="B1724" s="297"/>
      <c r="C1724" s="296"/>
      <c r="D1724" s="341"/>
    </row>
    <row r="1725" spans="1:4">
      <c r="A1725" s="341"/>
      <c r="B1725" s="297"/>
      <c r="C1725" s="296"/>
      <c r="D1725" s="341"/>
    </row>
    <row r="1726" spans="1:4">
      <c r="A1726" s="341"/>
      <c r="B1726" s="297"/>
      <c r="C1726" s="296"/>
      <c r="D1726" s="341"/>
    </row>
    <row r="1727" spans="1:4">
      <c r="A1727" s="341"/>
      <c r="B1727" s="297"/>
      <c r="C1727" s="296"/>
      <c r="D1727" s="341"/>
    </row>
    <row r="1728" spans="1:4">
      <c r="A1728" s="341"/>
      <c r="B1728" s="297"/>
      <c r="C1728" s="296"/>
      <c r="D1728" s="341"/>
    </row>
    <row r="1729" spans="1:4">
      <c r="A1729" s="341"/>
      <c r="B1729" s="297"/>
      <c r="C1729" s="296"/>
      <c r="D1729" s="341"/>
    </row>
    <row r="1730" spans="1:4">
      <c r="A1730" s="341"/>
      <c r="B1730" s="297"/>
      <c r="C1730" s="296"/>
      <c r="D1730" s="341"/>
    </row>
    <row r="1731" spans="1:4">
      <c r="A1731" s="341"/>
      <c r="B1731" s="297"/>
      <c r="C1731" s="296"/>
      <c r="D1731" s="341"/>
    </row>
    <row r="1732" spans="1:4">
      <c r="A1732" s="341"/>
      <c r="B1732" s="297"/>
      <c r="C1732" s="296"/>
      <c r="D1732" s="341"/>
    </row>
    <row r="1733" spans="1:4">
      <c r="A1733" s="341"/>
      <c r="B1733" s="297"/>
      <c r="C1733" s="296"/>
      <c r="D1733" s="341"/>
    </row>
    <row r="1734" spans="1:4">
      <c r="A1734" s="341"/>
      <c r="B1734" s="297"/>
      <c r="C1734" s="296"/>
      <c r="D1734" s="341"/>
    </row>
    <row r="1735" spans="1:4">
      <c r="A1735" s="341"/>
      <c r="B1735" s="297"/>
      <c r="C1735" s="296"/>
      <c r="D1735" s="341"/>
    </row>
    <row r="1736" spans="1:4">
      <c r="A1736" s="341"/>
      <c r="B1736" s="297"/>
      <c r="C1736" s="296"/>
      <c r="D1736" s="341"/>
    </row>
    <row r="1737" spans="1:4">
      <c r="A1737" s="341"/>
      <c r="B1737" s="297"/>
      <c r="C1737" s="296"/>
      <c r="D1737" s="341"/>
    </row>
    <row r="1738" spans="1:4">
      <c r="A1738" s="341"/>
      <c r="B1738" s="297"/>
      <c r="C1738" s="296"/>
      <c r="D1738" s="341"/>
    </row>
    <row r="1739" spans="1:4">
      <c r="A1739" s="341"/>
      <c r="B1739" s="297"/>
      <c r="C1739" s="296"/>
      <c r="D1739" s="341"/>
    </row>
    <row r="1740" spans="1:4">
      <c r="A1740" s="341"/>
      <c r="B1740" s="297"/>
      <c r="C1740" s="296"/>
      <c r="D1740" s="341"/>
    </row>
    <row r="1741" spans="1:4">
      <c r="A1741" s="341"/>
      <c r="B1741" s="297"/>
      <c r="C1741" s="296"/>
      <c r="D1741" s="341"/>
    </row>
    <row r="1742" spans="1:4">
      <c r="A1742" s="341"/>
      <c r="B1742" s="297"/>
      <c r="C1742" s="296"/>
      <c r="D1742" s="341"/>
    </row>
    <row r="1743" spans="1:4">
      <c r="A1743" s="341"/>
      <c r="B1743" s="297"/>
      <c r="C1743" s="296"/>
      <c r="D1743" s="341"/>
    </row>
    <row r="1744" spans="1:4">
      <c r="A1744" s="341"/>
      <c r="B1744" s="297"/>
      <c r="C1744" s="296"/>
      <c r="D1744" s="341"/>
    </row>
    <row r="1745" spans="1:4">
      <c r="A1745" s="341"/>
      <c r="B1745" s="297"/>
      <c r="C1745" s="296"/>
      <c r="D1745" s="341"/>
    </row>
    <row r="1746" spans="1:4">
      <c r="A1746" s="341"/>
      <c r="B1746" s="297"/>
      <c r="C1746" s="296"/>
      <c r="D1746" s="341"/>
    </row>
    <row r="1747" spans="1:4">
      <c r="A1747" s="341"/>
      <c r="B1747" s="297"/>
      <c r="C1747" s="296"/>
      <c r="D1747" s="341"/>
    </row>
    <row r="1748" spans="1:4">
      <c r="A1748" s="341"/>
      <c r="B1748" s="297"/>
      <c r="C1748" s="296"/>
      <c r="D1748" s="341"/>
    </row>
    <row r="1749" spans="1:4">
      <c r="A1749" s="341"/>
      <c r="B1749" s="297"/>
      <c r="C1749" s="296"/>
      <c r="D1749" s="341"/>
    </row>
    <row r="1750" spans="1:4">
      <c r="A1750" s="341"/>
      <c r="B1750" s="297"/>
      <c r="C1750" s="296"/>
      <c r="D1750" s="341"/>
    </row>
    <row r="1751" spans="1:4">
      <c r="A1751" s="341"/>
      <c r="B1751" s="297"/>
      <c r="C1751" s="296"/>
      <c r="D1751" s="341"/>
    </row>
    <row r="1752" spans="1:4">
      <c r="A1752" s="341"/>
      <c r="B1752" s="297"/>
      <c r="C1752" s="296"/>
      <c r="D1752" s="341"/>
    </row>
    <row r="1753" spans="1:4">
      <c r="A1753" s="341"/>
      <c r="B1753" s="297"/>
      <c r="C1753" s="296"/>
      <c r="D1753" s="341"/>
    </row>
    <row r="1754" spans="1:4">
      <c r="A1754" s="341"/>
      <c r="B1754" s="297"/>
      <c r="C1754" s="296"/>
      <c r="D1754" s="341"/>
    </row>
    <row r="1755" spans="1:4">
      <c r="A1755" s="341"/>
      <c r="B1755" s="297"/>
      <c r="C1755" s="296"/>
      <c r="D1755" s="341"/>
    </row>
    <row r="1756" spans="1:4">
      <c r="A1756" s="341"/>
      <c r="B1756" s="297"/>
      <c r="C1756" s="296"/>
      <c r="D1756" s="341"/>
    </row>
    <row r="1757" spans="1:4">
      <c r="A1757" s="341"/>
      <c r="B1757" s="297"/>
      <c r="C1757" s="296"/>
      <c r="D1757" s="341"/>
    </row>
    <row r="1758" spans="1:4">
      <c r="A1758" s="341"/>
      <c r="B1758" s="297"/>
      <c r="C1758" s="296"/>
      <c r="D1758" s="341"/>
    </row>
    <row r="1759" spans="1:4">
      <c r="A1759" s="341"/>
      <c r="B1759" s="297"/>
      <c r="C1759" s="296"/>
      <c r="D1759" s="341"/>
    </row>
    <row r="1760" spans="1:4">
      <c r="A1760" s="341"/>
      <c r="B1760" s="297"/>
      <c r="C1760" s="296"/>
      <c r="D1760" s="341"/>
    </row>
    <row r="1761" spans="1:4">
      <c r="A1761" s="341"/>
      <c r="B1761" s="297"/>
      <c r="C1761" s="296"/>
      <c r="D1761" s="341"/>
    </row>
    <row r="1762" spans="1:4">
      <c r="A1762" s="341"/>
      <c r="B1762" s="297"/>
      <c r="C1762" s="296"/>
      <c r="D1762" s="341"/>
    </row>
    <row r="1763" spans="1:4">
      <c r="A1763" s="341"/>
      <c r="B1763" s="297"/>
      <c r="C1763" s="296"/>
      <c r="D1763" s="341"/>
    </row>
    <row r="1764" spans="1:4">
      <c r="A1764" s="341"/>
      <c r="B1764" s="297"/>
      <c r="C1764" s="296"/>
      <c r="D1764" s="341"/>
    </row>
    <row r="1765" spans="1:4">
      <c r="A1765" s="341"/>
      <c r="B1765" s="297"/>
      <c r="C1765" s="296"/>
      <c r="D1765" s="341"/>
    </row>
    <row r="1766" spans="1:4">
      <c r="A1766" s="341"/>
      <c r="B1766" s="297"/>
      <c r="C1766" s="296"/>
      <c r="D1766" s="341"/>
    </row>
    <row r="1767" spans="1:4">
      <c r="A1767" s="341"/>
      <c r="B1767" s="297"/>
      <c r="C1767" s="296"/>
      <c r="D1767" s="341"/>
    </row>
    <row r="1768" spans="1:4">
      <c r="A1768" s="341"/>
      <c r="B1768" s="297"/>
      <c r="C1768" s="296"/>
      <c r="D1768" s="341"/>
    </row>
    <row r="1769" spans="1:4">
      <c r="A1769" s="341"/>
      <c r="B1769" s="297"/>
      <c r="C1769" s="296"/>
      <c r="D1769" s="341"/>
    </row>
    <row r="1770" spans="1:4">
      <c r="A1770" s="341"/>
      <c r="B1770" s="297"/>
      <c r="C1770" s="296"/>
      <c r="D1770" s="341"/>
    </row>
    <row r="1771" spans="1:4">
      <c r="A1771" s="341"/>
      <c r="B1771" s="297"/>
      <c r="C1771" s="296"/>
      <c r="D1771" s="341"/>
    </row>
    <row r="1772" spans="1:4">
      <c r="A1772" s="341"/>
      <c r="B1772" s="297"/>
      <c r="C1772" s="296"/>
      <c r="D1772" s="341"/>
    </row>
    <row r="1773" spans="1:4">
      <c r="A1773" s="341"/>
      <c r="B1773" s="297"/>
      <c r="C1773" s="296"/>
      <c r="D1773" s="341"/>
    </row>
    <row r="1774" spans="1:4">
      <c r="A1774" s="341"/>
      <c r="B1774" s="297"/>
      <c r="C1774" s="296"/>
      <c r="D1774" s="341"/>
    </row>
    <row r="1775" spans="1:4">
      <c r="A1775" s="341"/>
      <c r="B1775" s="297"/>
      <c r="C1775" s="296"/>
      <c r="D1775" s="341"/>
    </row>
    <row r="1776" spans="1:4">
      <c r="A1776" s="341"/>
      <c r="B1776" s="297"/>
      <c r="C1776" s="296"/>
      <c r="D1776" s="341"/>
    </row>
    <row r="1777" spans="1:4">
      <c r="A1777" s="341"/>
      <c r="B1777" s="297"/>
      <c r="C1777" s="296"/>
      <c r="D1777" s="341"/>
    </row>
    <row r="1778" spans="1:4">
      <c r="A1778" s="341"/>
      <c r="B1778" s="297"/>
      <c r="C1778" s="296"/>
      <c r="D1778" s="341"/>
    </row>
    <row r="1779" spans="1:4">
      <c r="A1779" s="341"/>
      <c r="B1779" s="297"/>
      <c r="C1779" s="296"/>
      <c r="D1779" s="341"/>
    </row>
    <row r="1780" spans="1:4">
      <c r="A1780" s="341"/>
      <c r="B1780" s="297"/>
      <c r="C1780" s="296"/>
      <c r="D1780" s="341"/>
    </row>
    <row r="1781" spans="1:4">
      <c r="A1781" s="341"/>
      <c r="B1781" s="297"/>
      <c r="C1781" s="296"/>
      <c r="D1781" s="341"/>
    </row>
    <row r="1782" spans="1:4">
      <c r="A1782" s="341"/>
      <c r="B1782" s="297"/>
      <c r="C1782" s="296"/>
      <c r="D1782" s="341"/>
    </row>
    <row r="1783" spans="1:4">
      <c r="A1783" s="341"/>
      <c r="B1783" s="297"/>
      <c r="C1783" s="296"/>
      <c r="D1783" s="341"/>
    </row>
    <row r="1784" spans="1:4">
      <c r="A1784" s="341"/>
      <c r="B1784" s="297"/>
      <c r="C1784" s="296"/>
      <c r="D1784" s="341"/>
    </row>
    <row r="1785" spans="1:4">
      <c r="A1785" s="341"/>
      <c r="B1785" s="297"/>
      <c r="C1785" s="296"/>
      <c r="D1785" s="341"/>
    </row>
    <row r="1786" spans="1:4">
      <c r="A1786" s="341"/>
      <c r="B1786" s="297"/>
      <c r="C1786" s="296"/>
      <c r="D1786" s="341"/>
    </row>
    <row r="1787" spans="1:4">
      <c r="A1787" s="341"/>
      <c r="B1787" s="297"/>
      <c r="C1787" s="296"/>
      <c r="D1787" s="341"/>
    </row>
    <row r="1788" spans="1:4">
      <c r="A1788" s="341"/>
      <c r="B1788" s="297"/>
      <c r="C1788" s="296"/>
      <c r="D1788" s="341"/>
    </row>
    <row r="1789" spans="1:4">
      <c r="A1789" s="341"/>
      <c r="B1789" s="297"/>
      <c r="C1789" s="296"/>
      <c r="D1789" s="341"/>
    </row>
    <row r="1790" spans="1:4">
      <c r="A1790" s="341"/>
      <c r="B1790" s="297"/>
      <c r="C1790" s="296"/>
      <c r="D1790" s="341"/>
    </row>
    <row r="1791" spans="1:4">
      <c r="A1791" s="341"/>
      <c r="B1791" s="297"/>
      <c r="C1791" s="296"/>
      <c r="D1791" s="341"/>
    </row>
    <row r="1792" spans="1:4">
      <c r="A1792" s="341"/>
      <c r="B1792" s="297"/>
      <c r="C1792" s="296"/>
      <c r="D1792" s="341"/>
    </row>
    <row r="1793" spans="1:4">
      <c r="A1793" s="341"/>
      <c r="B1793" s="297"/>
      <c r="C1793" s="296"/>
      <c r="D1793" s="341"/>
    </row>
    <row r="1794" spans="1:4">
      <c r="A1794" s="341"/>
      <c r="B1794" s="297"/>
      <c r="C1794" s="296"/>
      <c r="D1794" s="341"/>
    </row>
    <row r="1795" spans="1:4">
      <c r="A1795" s="341"/>
      <c r="B1795" s="297"/>
      <c r="C1795" s="296"/>
      <c r="D1795" s="341"/>
    </row>
    <row r="1796" spans="1:4">
      <c r="A1796" s="341"/>
      <c r="B1796" s="297"/>
      <c r="C1796" s="296"/>
      <c r="D1796" s="341"/>
    </row>
    <row r="1797" spans="1:4">
      <c r="A1797" s="341"/>
      <c r="B1797" s="297"/>
      <c r="C1797" s="296"/>
      <c r="D1797" s="341"/>
    </row>
    <row r="1798" spans="1:4">
      <c r="A1798" s="341"/>
      <c r="B1798" s="297"/>
      <c r="C1798" s="296"/>
      <c r="D1798" s="341"/>
    </row>
    <row r="1799" spans="1:4">
      <c r="A1799" s="341"/>
      <c r="B1799" s="297"/>
      <c r="C1799" s="296"/>
      <c r="D1799" s="341"/>
    </row>
    <row r="1800" spans="1:4">
      <c r="A1800" s="341"/>
      <c r="B1800" s="297"/>
      <c r="C1800" s="296"/>
      <c r="D1800" s="341"/>
    </row>
    <row r="1801" spans="1:4">
      <c r="A1801" s="341"/>
      <c r="B1801" s="297"/>
      <c r="C1801" s="296"/>
      <c r="D1801" s="341"/>
    </row>
    <row r="1802" spans="1:4">
      <c r="A1802" s="341"/>
      <c r="B1802" s="297"/>
      <c r="C1802" s="296"/>
      <c r="D1802" s="341"/>
    </row>
    <row r="1803" spans="1:4">
      <c r="A1803" s="341"/>
      <c r="B1803" s="297"/>
      <c r="C1803" s="296"/>
      <c r="D1803" s="341"/>
    </row>
    <row r="1804" spans="1:4">
      <c r="A1804" s="341"/>
      <c r="B1804" s="297"/>
      <c r="C1804" s="296"/>
      <c r="D1804" s="341"/>
    </row>
    <row r="1805" spans="1:4">
      <c r="A1805" s="341"/>
      <c r="B1805" s="297"/>
      <c r="C1805" s="296"/>
      <c r="D1805" s="341"/>
    </row>
    <row r="1806" spans="1:4">
      <c r="A1806" s="341"/>
      <c r="B1806" s="297"/>
      <c r="C1806" s="296"/>
      <c r="D1806" s="341"/>
    </row>
    <row r="1807" spans="1:4">
      <c r="A1807" s="341"/>
      <c r="B1807" s="297"/>
      <c r="C1807" s="296"/>
      <c r="D1807" s="341"/>
    </row>
    <row r="1808" spans="1:4">
      <c r="A1808" s="341"/>
      <c r="B1808" s="297"/>
      <c r="C1808" s="296"/>
      <c r="D1808" s="341"/>
    </row>
    <row r="1809" spans="1:4">
      <c r="A1809" s="341"/>
      <c r="B1809" s="297"/>
      <c r="C1809" s="296"/>
      <c r="D1809" s="341"/>
    </row>
    <row r="1810" spans="1:4">
      <c r="A1810" s="341"/>
      <c r="B1810" s="297"/>
      <c r="C1810" s="296"/>
      <c r="D1810" s="341"/>
    </row>
    <row r="1811" spans="1:4">
      <c r="A1811" s="341"/>
      <c r="B1811" s="297"/>
      <c r="C1811" s="296"/>
      <c r="D1811" s="341"/>
    </row>
    <row r="1812" spans="1:4">
      <c r="A1812" s="341"/>
      <c r="B1812" s="297"/>
      <c r="C1812" s="296"/>
      <c r="D1812" s="341"/>
    </row>
    <row r="1813" spans="1:4">
      <c r="A1813" s="341"/>
      <c r="B1813" s="297"/>
      <c r="C1813" s="296"/>
      <c r="D1813" s="341"/>
    </row>
    <row r="1814" spans="1:4">
      <c r="A1814" s="341"/>
      <c r="B1814" s="297"/>
      <c r="C1814" s="296"/>
      <c r="D1814" s="341"/>
    </row>
    <row r="1815" spans="1:4">
      <c r="A1815" s="341"/>
      <c r="B1815" s="297"/>
      <c r="C1815" s="296"/>
      <c r="D1815" s="341"/>
    </row>
    <row r="1816" spans="1:4">
      <c r="A1816" s="341"/>
      <c r="B1816" s="297"/>
      <c r="C1816" s="296"/>
      <c r="D1816" s="341"/>
    </row>
    <row r="1817" spans="1:4">
      <c r="A1817" s="341"/>
      <c r="B1817" s="297"/>
      <c r="C1817" s="296"/>
      <c r="D1817" s="341"/>
    </row>
    <row r="1818" spans="1:4">
      <c r="A1818" s="341"/>
      <c r="B1818" s="297"/>
      <c r="C1818" s="296"/>
      <c r="D1818" s="341"/>
    </row>
    <row r="1819" spans="1:4">
      <c r="A1819" s="341"/>
      <c r="B1819" s="297"/>
      <c r="C1819" s="296"/>
      <c r="D1819" s="341"/>
    </row>
    <row r="1820" spans="1:4">
      <c r="A1820" s="341"/>
      <c r="B1820" s="297"/>
      <c r="C1820" s="296"/>
      <c r="D1820" s="341"/>
    </row>
    <row r="1821" spans="1:4">
      <c r="A1821" s="341"/>
      <c r="B1821" s="297"/>
      <c r="C1821" s="296"/>
      <c r="D1821" s="341"/>
    </row>
    <row r="1822" spans="1:4">
      <c r="A1822" s="341"/>
      <c r="B1822" s="297"/>
      <c r="C1822" s="296"/>
      <c r="D1822" s="341"/>
    </row>
    <row r="1823" spans="1:4">
      <c r="A1823" s="341"/>
      <c r="B1823" s="297"/>
      <c r="C1823" s="296"/>
      <c r="D1823" s="341"/>
    </row>
    <row r="1824" spans="1:4">
      <c r="A1824" s="341"/>
      <c r="B1824" s="297"/>
      <c r="C1824" s="296"/>
      <c r="D1824" s="341"/>
    </row>
    <row r="1825" spans="1:4">
      <c r="A1825" s="341"/>
      <c r="B1825" s="297"/>
      <c r="C1825" s="296"/>
      <c r="D1825" s="341"/>
    </row>
    <row r="1826" spans="1:4">
      <c r="A1826" s="341"/>
      <c r="B1826" s="297"/>
      <c r="C1826" s="296"/>
      <c r="D1826" s="341"/>
    </row>
    <row r="1827" spans="1:4">
      <c r="A1827" s="341"/>
      <c r="B1827" s="297"/>
      <c r="C1827" s="296"/>
      <c r="D1827" s="341"/>
    </row>
    <row r="1828" spans="1:4">
      <c r="A1828" s="341"/>
      <c r="B1828" s="297"/>
      <c r="C1828" s="296"/>
      <c r="D1828" s="341"/>
    </row>
    <row r="1829" spans="1:4">
      <c r="A1829" s="341"/>
      <c r="B1829" s="297"/>
      <c r="C1829" s="296"/>
      <c r="D1829" s="341"/>
    </row>
    <row r="1830" spans="1:4">
      <c r="A1830" s="341"/>
      <c r="B1830" s="297"/>
      <c r="C1830" s="296"/>
      <c r="D1830" s="341"/>
    </row>
    <row r="1831" spans="1:4">
      <c r="A1831" s="341"/>
      <c r="B1831" s="297"/>
      <c r="C1831" s="296"/>
      <c r="D1831" s="341"/>
    </row>
    <row r="1832" spans="1:4">
      <c r="A1832" s="341"/>
      <c r="B1832" s="297"/>
      <c r="C1832" s="296"/>
      <c r="D1832" s="341"/>
    </row>
    <row r="1833" spans="1:4">
      <c r="A1833" s="341"/>
      <c r="B1833" s="297"/>
      <c r="C1833" s="296"/>
      <c r="D1833" s="341"/>
    </row>
    <row r="1834" spans="1:4">
      <c r="A1834" s="341"/>
      <c r="B1834" s="297"/>
      <c r="C1834" s="296"/>
      <c r="D1834" s="341"/>
    </row>
    <row r="1835" spans="1:4">
      <c r="A1835" s="341"/>
      <c r="B1835" s="297"/>
      <c r="C1835" s="296"/>
      <c r="D1835" s="341"/>
    </row>
    <row r="1836" spans="1:4">
      <c r="A1836" s="341"/>
      <c r="B1836" s="297"/>
      <c r="C1836" s="296"/>
      <c r="D1836" s="341"/>
    </row>
    <row r="1837" spans="1:4">
      <c r="A1837" s="341"/>
      <c r="B1837" s="297"/>
      <c r="C1837" s="296"/>
      <c r="D1837" s="341"/>
    </row>
    <row r="1838" spans="1:4">
      <c r="A1838" s="341"/>
      <c r="B1838" s="297"/>
      <c r="C1838" s="296"/>
      <c r="D1838" s="341"/>
    </row>
    <row r="1839" spans="1:4">
      <c r="A1839" s="341"/>
      <c r="B1839" s="297"/>
      <c r="C1839" s="296"/>
      <c r="D1839" s="341"/>
    </row>
    <row r="1840" spans="1:4">
      <c r="A1840" s="341"/>
      <c r="B1840" s="297"/>
      <c r="C1840" s="296"/>
      <c r="D1840" s="341"/>
    </row>
    <row r="1841" spans="1:4">
      <c r="A1841" s="341"/>
      <c r="B1841" s="297"/>
      <c r="C1841" s="296"/>
      <c r="D1841" s="341"/>
    </row>
    <row r="1842" spans="1:4">
      <c r="A1842" s="341"/>
      <c r="B1842" s="297"/>
      <c r="C1842" s="296"/>
      <c r="D1842" s="341"/>
    </row>
    <row r="1843" spans="1:4">
      <c r="A1843" s="341"/>
      <c r="B1843" s="297"/>
      <c r="C1843" s="296"/>
      <c r="D1843" s="341"/>
    </row>
    <row r="1844" spans="1:4">
      <c r="A1844" s="341"/>
      <c r="B1844" s="297"/>
      <c r="C1844" s="296"/>
      <c r="D1844" s="341"/>
    </row>
    <row r="1845" spans="1:4">
      <c r="A1845" s="341"/>
      <c r="B1845" s="297"/>
      <c r="C1845" s="296"/>
      <c r="D1845" s="341"/>
    </row>
    <row r="1846" spans="1:4">
      <c r="A1846" s="341"/>
      <c r="B1846" s="297"/>
      <c r="C1846" s="296"/>
      <c r="D1846" s="341"/>
    </row>
    <row r="1847" spans="1:4">
      <c r="A1847" s="341"/>
      <c r="B1847" s="297"/>
      <c r="C1847" s="296"/>
      <c r="D1847" s="341"/>
    </row>
    <row r="1848" spans="1:4">
      <c r="A1848" s="341"/>
      <c r="B1848" s="297"/>
      <c r="C1848" s="296"/>
      <c r="D1848" s="341"/>
    </row>
    <row r="1849" spans="1:4">
      <c r="A1849" s="341"/>
      <c r="B1849" s="297"/>
      <c r="C1849" s="296"/>
      <c r="D1849" s="341"/>
    </row>
    <row r="1850" spans="1:4">
      <c r="A1850" s="341"/>
      <c r="B1850" s="297"/>
      <c r="C1850" s="296"/>
      <c r="D1850" s="341"/>
    </row>
    <row r="1851" spans="1:4">
      <c r="A1851" s="341"/>
      <c r="B1851" s="297"/>
      <c r="C1851" s="296"/>
      <c r="D1851" s="341"/>
    </row>
    <row r="1852" spans="1:4">
      <c r="A1852" s="341"/>
      <c r="B1852" s="297"/>
      <c r="C1852" s="296"/>
      <c r="D1852" s="341"/>
    </row>
    <row r="1853" spans="1:4">
      <c r="A1853" s="341"/>
      <c r="B1853" s="297"/>
      <c r="C1853" s="296"/>
      <c r="D1853" s="341"/>
    </row>
    <row r="1854" spans="1:4">
      <c r="A1854" s="341"/>
      <c r="B1854" s="297"/>
      <c r="C1854" s="296"/>
      <c r="D1854" s="341"/>
    </row>
    <row r="1855" spans="1:4">
      <c r="A1855" s="341"/>
      <c r="B1855" s="297"/>
      <c r="C1855" s="296"/>
      <c r="D1855" s="341"/>
    </row>
    <row r="1856" spans="1:4">
      <c r="A1856" s="341"/>
      <c r="B1856" s="297"/>
      <c r="C1856" s="296"/>
      <c r="D1856" s="341"/>
    </row>
    <row r="1857" spans="1:4">
      <c r="A1857" s="341"/>
      <c r="B1857" s="297"/>
      <c r="C1857" s="296"/>
      <c r="D1857" s="341"/>
    </row>
    <row r="1858" spans="1:4">
      <c r="A1858" s="341"/>
      <c r="B1858" s="297"/>
      <c r="C1858" s="296"/>
      <c r="D1858" s="341"/>
    </row>
    <row r="1859" spans="1:4">
      <c r="A1859" s="341"/>
      <c r="B1859" s="297"/>
      <c r="C1859" s="296"/>
      <c r="D1859" s="341"/>
    </row>
    <row r="1860" spans="1:4">
      <c r="A1860" s="341"/>
      <c r="B1860" s="297"/>
      <c r="C1860" s="296"/>
      <c r="D1860" s="341"/>
    </row>
    <row r="1861" spans="1:4">
      <c r="A1861" s="341"/>
      <c r="B1861" s="297"/>
      <c r="C1861" s="296"/>
      <c r="D1861" s="341"/>
    </row>
    <row r="1862" spans="1:4">
      <c r="A1862" s="341"/>
      <c r="B1862" s="297"/>
      <c r="C1862" s="296"/>
      <c r="D1862" s="341"/>
    </row>
    <row r="1863" spans="1:4">
      <c r="A1863" s="341"/>
      <c r="B1863" s="297"/>
      <c r="C1863" s="296"/>
      <c r="D1863" s="341"/>
    </row>
    <row r="1864" spans="1:4">
      <c r="A1864" s="341"/>
      <c r="B1864" s="297"/>
      <c r="C1864" s="296"/>
      <c r="D1864" s="341"/>
    </row>
    <row r="1865" spans="1:4">
      <c r="A1865" s="341"/>
      <c r="B1865" s="297"/>
      <c r="C1865" s="296"/>
      <c r="D1865" s="341"/>
    </row>
    <row r="1866" spans="1:4">
      <c r="A1866" s="341"/>
      <c r="B1866" s="297"/>
      <c r="C1866" s="296"/>
      <c r="D1866" s="341"/>
    </row>
    <row r="1867" spans="1:4">
      <c r="A1867" s="341"/>
      <c r="B1867" s="297"/>
      <c r="C1867" s="296"/>
      <c r="D1867" s="341"/>
    </row>
    <row r="1868" spans="1:4">
      <c r="A1868" s="341"/>
      <c r="B1868" s="297"/>
      <c r="C1868" s="296"/>
      <c r="D1868" s="341"/>
    </row>
    <row r="1869" spans="1:4">
      <c r="A1869" s="341"/>
      <c r="B1869" s="297"/>
      <c r="C1869" s="296"/>
      <c r="D1869" s="341"/>
    </row>
    <row r="1870" spans="1:4">
      <c r="A1870" s="341"/>
      <c r="B1870" s="297"/>
      <c r="C1870" s="296"/>
      <c r="D1870" s="341"/>
    </row>
    <row r="1871" spans="1:4">
      <c r="A1871" s="341"/>
      <c r="B1871" s="297"/>
      <c r="C1871" s="296"/>
      <c r="D1871" s="341"/>
    </row>
    <row r="1872" spans="1:4">
      <c r="A1872" s="341"/>
      <c r="B1872" s="297"/>
      <c r="C1872" s="296"/>
      <c r="D1872" s="341"/>
    </row>
    <row r="1873" spans="1:4">
      <c r="A1873" s="341"/>
      <c r="B1873" s="297"/>
      <c r="C1873" s="296"/>
      <c r="D1873" s="341"/>
    </row>
    <row r="1874" spans="1:4">
      <c r="A1874" s="341"/>
      <c r="B1874" s="297"/>
      <c r="C1874" s="296"/>
      <c r="D1874" s="341"/>
    </row>
    <row r="1875" spans="1:4">
      <c r="A1875" s="341"/>
      <c r="B1875" s="297"/>
      <c r="C1875" s="296"/>
      <c r="D1875" s="341"/>
    </row>
    <row r="1876" spans="1:4">
      <c r="A1876" s="341"/>
      <c r="B1876" s="297"/>
      <c r="C1876" s="296"/>
      <c r="D1876" s="341"/>
    </row>
    <row r="1877" spans="1:4">
      <c r="A1877" s="341"/>
      <c r="B1877" s="297"/>
      <c r="C1877" s="296"/>
      <c r="D1877" s="341"/>
    </row>
    <row r="1878" spans="1:4">
      <c r="A1878" s="341"/>
      <c r="B1878" s="297"/>
      <c r="C1878" s="296"/>
      <c r="D1878" s="341"/>
    </row>
    <row r="1879" spans="1:4">
      <c r="A1879" s="341"/>
      <c r="B1879" s="297"/>
      <c r="C1879" s="296"/>
      <c r="D1879" s="341"/>
    </row>
    <row r="1880" spans="1:4">
      <c r="A1880" s="341"/>
      <c r="B1880" s="297"/>
      <c r="C1880" s="296"/>
      <c r="D1880" s="341"/>
    </row>
    <row r="1881" spans="1:4">
      <c r="A1881" s="341"/>
      <c r="B1881" s="297"/>
      <c r="C1881" s="296"/>
      <c r="D1881" s="341"/>
    </row>
    <row r="1882" spans="1:4">
      <c r="A1882" s="341"/>
      <c r="B1882" s="297"/>
      <c r="C1882" s="296"/>
      <c r="D1882" s="341"/>
    </row>
    <row r="1883" spans="1:4">
      <c r="A1883" s="341"/>
      <c r="B1883" s="297"/>
      <c r="C1883" s="296"/>
      <c r="D1883" s="341"/>
    </row>
    <row r="1884" spans="1:4">
      <c r="A1884" s="341"/>
      <c r="B1884" s="297"/>
      <c r="C1884" s="296"/>
      <c r="D1884" s="341"/>
    </row>
    <row r="1885" spans="1:4">
      <c r="A1885" s="341"/>
      <c r="B1885" s="297"/>
      <c r="C1885" s="296"/>
      <c r="D1885" s="341"/>
    </row>
    <row r="1886" spans="1:4">
      <c r="A1886" s="341"/>
      <c r="B1886" s="297"/>
      <c r="C1886" s="296"/>
      <c r="D1886" s="341"/>
    </row>
    <row r="1887" spans="1:4">
      <c r="A1887" s="341"/>
      <c r="B1887" s="297"/>
      <c r="C1887" s="296"/>
      <c r="D1887" s="341"/>
    </row>
    <row r="1888" spans="1:4">
      <c r="A1888" s="341"/>
      <c r="B1888" s="297"/>
      <c r="C1888" s="296"/>
      <c r="D1888" s="341"/>
    </row>
    <row r="1889" spans="1:4">
      <c r="A1889" s="341"/>
      <c r="B1889" s="297"/>
      <c r="C1889" s="296"/>
      <c r="D1889" s="341"/>
    </row>
    <row r="1890" spans="1:4">
      <c r="A1890" s="341"/>
      <c r="B1890" s="297"/>
      <c r="C1890" s="296"/>
      <c r="D1890" s="341"/>
    </row>
    <row r="1891" spans="1:4">
      <c r="A1891" s="341"/>
      <c r="B1891" s="297"/>
      <c r="C1891" s="296"/>
      <c r="D1891" s="341"/>
    </row>
    <row r="1892" spans="1:4">
      <c r="A1892" s="341"/>
      <c r="B1892" s="297"/>
      <c r="C1892" s="296"/>
      <c r="D1892" s="341"/>
    </row>
    <row r="1893" spans="1:4">
      <c r="A1893" s="341"/>
      <c r="B1893" s="297"/>
      <c r="C1893" s="296"/>
      <c r="D1893" s="341"/>
    </row>
    <row r="1894" spans="1:4">
      <c r="A1894" s="341"/>
      <c r="B1894" s="297"/>
      <c r="C1894" s="296"/>
      <c r="D1894" s="341"/>
    </row>
    <row r="1895" spans="1:4">
      <c r="A1895" s="341"/>
      <c r="B1895" s="297"/>
      <c r="C1895" s="296"/>
      <c r="D1895" s="341"/>
    </row>
    <row r="1896" spans="1:4">
      <c r="A1896" s="341"/>
      <c r="B1896" s="297"/>
      <c r="C1896" s="296"/>
      <c r="D1896" s="341"/>
    </row>
    <row r="1897" spans="1:4">
      <c r="A1897" s="341"/>
      <c r="B1897" s="297"/>
      <c r="C1897" s="296"/>
      <c r="D1897" s="341"/>
    </row>
    <row r="1898" spans="1:4">
      <c r="A1898" s="341"/>
      <c r="B1898" s="297"/>
      <c r="C1898" s="296"/>
      <c r="D1898" s="341"/>
    </row>
    <row r="1899" spans="1:4">
      <c r="A1899" s="341"/>
      <c r="B1899" s="297"/>
      <c r="C1899" s="296"/>
      <c r="D1899" s="341"/>
    </row>
    <row r="1900" spans="1:4">
      <c r="A1900" s="341"/>
      <c r="B1900" s="297"/>
      <c r="C1900" s="296"/>
      <c r="D1900" s="341"/>
    </row>
    <row r="1901" spans="1:4">
      <c r="A1901" s="341"/>
      <c r="B1901" s="297"/>
      <c r="C1901" s="296"/>
      <c r="D1901" s="341"/>
    </row>
    <row r="1902" spans="1:4">
      <c r="A1902" s="341"/>
      <c r="B1902" s="297"/>
      <c r="C1902" s="296"/>
      <c r="D1902" s="341"/>
    </row>
    <row r="1903" spans="1:4">
      <c r="A1903" s="341"/>
      <c r="B1903" s="297"/>
      <c r="C1903" s="296"/>
      <c r="D1903" s="341"/>
    </row>
    <row r="1904" spans="1:4">
      <c r="A1904" s="341"/>
      <c r="B1904" s="297"/>
      <c r="C1904" s="296"/>
      <c r="D1904" s="341"/>
    </row>
    <row r="1905" spans="1:4">
      <c r="A1905" s="341"/>
      <c r="B1905" s="297"/>
      <c r="C1905" s="296"/>
      <c r="D1905" s="341"/>
    </row>
    <row r="1906" spans="1:4">
      <c r="A1906" s="341"/>
      <c r="B1906" s="297"/>
      <c r="C1906" s="296"/>
      <c r="D1906" s="341"/>
    </row>
    <row r="1907" spans="1:4">
      <c r="A1907" s="341"/>
      <c r="B1907" s="297"/>
      <c r="C1907" s="296"/>
      <c r="D1907" s="341"/>
    </row>
    <row r="1908" spans="1:4">
      <c r="A1908" s="341"/>
      <c r="B1908" s="297"/>
      <c r="C1908" s="296"/>
      <c r="D1908" s="341"/>
    </row>
    <row r="1909" spans="1:4">
      <c r="A1909" s="341"/>
      <c r="B1909" s="297"/>
      <c r="C1909" s="296"/>
      <c r="D1909" s="341"/>
    </row>
    <row r="1910" spans="1:4">
      <c r="A1910" s="341"/>
      <c r="B1910" s="297"/>
      <c r="C1910" s="296"/>
      <c r="D1910" s="341"/>
    </row>
    <row r="1911" spans="1:4">
      <c r="A1911" s="341"/>
      <c r="B1911" s="297"/>
      <c r="C1911" s="296"/>
      <c r="D1911" s="341"/>
    </row>
    <row r="1912" spans="1:4">
      <c r="A1912" s="341"/>
      <c r="B1912" s="297"/>
      <c r="C1912" s="296"/>
      <c r="D1912" s="341"/>
    </row>
    <row r="1913" spans="1:4">
      <c r="A1913" s="341"/>
      <c r="B1913" s="297"/>
      <c r="C1913" s="296"/>
      <c r="D1913" s="341"/>
    </row>
    <row r="1914" spans="1:4">
      <c r="A1914" s="341"/>
      <c r="B1914" s="297"/>
      <c r="C1914" s="296"/>
      <c r="D1914" s="341"/>
    </row>
    <row r="1915" spans="1:4">
      <c r="A1915" s="341"/>
      <c r="B1915" s="297"/>
      <c r="C1915" s="296"/>
      <c r="D1915" s="341"/>
    </row>
    <row r="1916" spans="1:4">
      <c r="A1916" s="341"/>
      <c r="B1916" s="297"/>
      <c r="C1916" s="296"/>
      <c r="D1916" s="341"/>
    </row>
    <row r="1917" spans="1:4">
      <c r="A1917" s="341"/>
      <c r="B1917" s="297"/>
      <c r="C1917" s="296"/>
      <c r="D1917" s="341"/>
    </row>
    <row r="1918" spans="1:4">
      <c r="A1918" s="341"/>
      <c r="B1918" s="297"/>
      <c r="C1918" s="296"/>
      <c r="D1918" s="341"/>
    </row>
    <row r="1919" spans="1:4">
      <c r="A1919" s="341"/>
      <c r="B1919" s="297"/>
      <c r="C1919" s="296"/>
      <c r="D1919" s="341"/>
    </row>
    <row r="1920" spans="1:4">
      <c r="A1920" s="341"/>
      <c r="B1920" s="297"/>
      <c r="C1920" s="296"/>
      <c r="D1920" s="341"/>
    </row>
    <row r="1921" spans="1:4">
      <c r="A1921" s="341"/>
      <c r="B1921" s="297"/>
      <c r="C1921" s="296"/>
      <c r="D1921" s="341"/>
    </row>
    <row r="1922" spans="1:4">
      <c r="A1922" s="341"/>
      <c r="B1922" s="297"/>
      <c r="C1922" s="296"/>
      <c r="D1922" s="341"/>
    </row>
    <row r="1923" spans="1:4">
      <c r="A1923" s="341"/>
      <c r="B1923" s="297"/>
      <c r="C1923" s="296"/>
      <c r="D1923" s="341"/>
    </row>
    <row r="1924" spans="1:4">
      <c r="A1924" s="341"/>
      <c r="B1924" s="297"/>
      <c r="C1924" s="296"/>
      <c r="D1924" s="341"/>
    </row>
    <row r="1925" spans="1:4">
      <c r="A1925" s="341"/>
      <c r="B1925" s="297"/>
      <c r="C1925" s="296"/>
      <c r="D1925" s="341"/>
    </row>
    <row r="1926" spans="1:4">
      <c r="A1926" s="341"/>
      <c r="B1926" s="297"/>
      <c r="C1926" s="296"/>
      <c r="D1926" s="341"/>
    </row>
    <row r="1927" spans="1:4">
      <c r="A1927" s="341"/>
      <c r="B1927" s="297"/>
      <c r="C1927" s="296"/>
      <c r="D1927" s="341"/>
    </row>
    <row r="1928" spans="1:4">
      <c r="A1928" s="341"/>
      <c r="B1928" s="297"/>
      <c r="C1928" s="296"/>
      <c r="D1928" s="341"/>
    </row>
    <row r="1929" spans="1:4">
      <c r="A1929" s="341"/>
      <c r="B1929" s="297"/>
      <c r="C1929" s="296"/>
      <c r="D1929" s="341"/>
    </row>
    <row r="1930" spans="1:4">
      <c r="A1930" s="341"/>
      <c r="B1930" s="297"/>
      <c r="C1930" s="296"/>
      <c r="D1930" s="341"/>
    </row>
    <row r="1931" spans="1:4">
      <c r="A1931" s="341"/>
      <c r="B1931" s="297"/>
      <c r="C1931" s="296"/>
      <c r="D1931" s="341"/>
    </row>
    <row r="1932" spans="1:4">
      <c r="A1932" s="341"/>
      <c r="B1932" s="297"/>
      <c r="C1932" s="296"/>
      <c r="D1932" s="341"/>
    </row>
    <row r="1933" spans="1:4">
      <c r="A1933" s="341"/>
      <c r="B1933" s="297"/>
      <c r="C1933" s="296"/>
      <c r="D1933" s="341"/>
    </row>
    <row r="1934" spans="1:4">
      <c r="A1934" s="341"/>
      <c r="B1934" s="297"/>
      <c r="C1934" s="296"/>
      <c r="D1934" s="341"/>
    </row>
    <row r="1935" spans="1:4">
      <c r="A1935" s="341"/>
      <c r="B1935" s="297"/>
      <c r="C1935" s="296"/>
      <c r="D1935" s="341"/>
    </row>
    <row r="1936" spans="1:4">
      <c r="A1936" s="341"/>
      <c r="B1936" s="297"/>
      <c r="C1936" s="296"/>
      <c r="D1936" s="341"/>
    </row>
    <row r="1937" spans="1:4">
      <c r="A1937" s="341"/>
      <c r="B1937" s="297"/>
      <c r="C1937" s="296"/>
      <c r="D1937" s="341"/>
    </row>
    <row r="1938" spans="1:4">
      <c r="A1938" s="341"/>
      <c r="B1938" s="297"/>
      <c r="C1938" s="296"/>
      <c r="D1938" s="341"/>
    </row>
    <row r="1939" spans="1:4">
      <c r="A1939" s="341"/>
      <c r="B1939" s="297"/>
      <c r="C1939" s="296"/>
      <c r="D1939" s="341"/>
    </row>
    <row r="1940" spans="1:4">
      <c r="A1940" s="341"/>
      <c r="B1940" s="297"/>
      <c r="C1940" s="296"/>
      <c r="D1940" s="341"/>
    </row>
    <row r="1941" spans="1:4">
      <c r="A1941" s="341"/>
      <c r="B1941" s="297"/>
      <c r="C1941" s="296"/>
      <c r="D1941" s="341"/>
    </row>
    <row r="1942" spans="1:4">
      <c r="A1942" s="341"/>
      <c r="B1942" s="297"/>
      <c r="C1942" s="296"/>
      <c r="D1942" s="341"/>
    </row>
    <row r="1943" spans="1:4">
      <c r="A1943" s="341"/>
      <c r="B1943" s="297"/>
      <c r="C1943" s="296"/>
      <c r="D1943" s="341"/>
    </row>
    <row r="1944" spans="1:4">
      <c r="A1944" s="341"/>
      <c r="B1944" s="297"/>
      <c r="C1944" s="296"/>
      <c r="D1944" s="341"/>
    </row>
    <row r="1945" spans="1:4">
      <c r="A1945" s="341"/>
      <c r="B1945" s="297"/>
      <c r="C1945" s="296"/>
      <c r="D1945" s="341"/>
    </row>
    <row r="1946" spans="1:4">
      <c r="A1946" s="341"/>
      <c r="B1946" s="297"/>
      <c r="C1946" s="296"/>
      <c r="D1946" s="341"/>
    </row>
    <row r="1947" spans="1:4">
      <c r="A1947" s="341"/>
      <c r="B1947" s="297"/>
      <c r="C1947" s="296"/>
      <c r="D1947" s="341"/>
    </row>
    <row r="1948" spans="1:4">
      <c r="A1948" s="341"/>
      <c r="B1948" s="297"/>
      <c r="C1948" s="296"/>
      <c r="D1948" s="341"/>
    </row>
    <row r="1949" spans="1:4">
      <c r="A1949" s="341"/>
      <c r="B1949" s="297"/>
      <c r="C1949" s="296"/>
      <c r="D1949" s="341"/>
    </row>
    <row r="1950" spans="1:4">
      <c r="A1950" s="341"/>
      <c r="B1950" s="297"/>
      <c r="C1950" s="296"/>
      <c r="D1950" s="341"/>
    </row>
    <row r="1951" spans="1:4">
      <c r="A1951" s="341"/>
      <c r="B1951" s="297"/>
      <c r="C1951" s="296"/>
      <c r="D1951" s="341"/>
    </row>
    <row r="1952" spans="1:4">
      <c r="A1952" s="341"/>
      <c r="B1952" s="297"/>
      <c r="C1952" s="296"/>
      <c r="D1952" s="341"/>
    </row>
    <row r="1953" spans="1:4">
      <c r="A1953" s="341"/>
      <c r="B1953" s="297"/>
      <c r="C1953" s="296"/>
      <c r="D1953" s="341"/>
    </row>
    <row r="1954" spans="1:4">
      <c r="A1954" s="341"/>
      <c r="B1954" s="297"/>
      <c r="C1954" s="296"/>
      <c r="D1954" s="341"/>
    </row>
    <row r="1955" spans="1:4">
      <c r="A1955" s="341"/>
      <c r="B1955" s="297"/>
      <c r="C1955" s="296"/>
      <c r="D1955" s="341"/>
    </row>
    <row r="1956" spans="1:4">
      <c r="A1956" s="341"/>
      <c r="B1956" s="297"/>
      <c r="C1956" s="296"/>
      <c r="D1956" s="341"/>
    </row>
    <row r="1957" spans="1:4">
      <c r="A1957" s="341"/>
      <c r="B1957" s="297"/>
      <c r="C1957" s="296"/>
      <c r="D1957" s="341"/>
    </row>
    <row r="1958" spans="1:4">
      <c r="A1958" s="341"/>
      <c r="B1958" s="297"/>
      <c r="C1958" s="296"/>
      <c r="D1958" s="341"/>
    </row>
    <row r="1959" spans="1:4">
      <c r="A1959" s="341"/>
      <c r="B1959" s="297"/>
      <c r="C1959" s="296"/>
      <c r="D1959" s="341"/>
    </row>
    <row r="1960" spans="1:4">
      <c r="A1960" s="341"/>
      <c r="B1960" s="297"/>
      <c r="C1960" s="296"/>
      <c r="D1960" s="341"/>
    </row>
    <row r="1961" spans="1:4">
      <c r="A1961" s="341"/>
      <c r="B1961" s="297"/>
      <c r="C1961" s="296"/>
      <c r="D1961" s="341"/>
    </row>
    <row r="1962" spans="1:4">
      <c r="A1962" s="341"/>
      <c r="B1962" s="297"/>
      <c r="C1962" s="296"/>
      <c r="D1962" s="341"/>
    </row>
    <row r="1963" spans="1:4">
      <c r="A1963" s="341"/>
      <c r="B1963" s="297"/>
      <c r="C1963" s="296"/>
      <c r="D1963" s="341"/>
    </row>
    <row r="1964" spans="1:4">
      <c r="A1964" s="341"/>
      <c r="B1964" s="297"/>
      <c r="C1964" s="296"/>
      <c r="D1964" s="341"/>
    </row>
    <row r="1965" spans="1:4">
      <c r="A1965" s="341"/>
      <c r="B1965" s="297"/>
      <c r="C1965" s="296"/>
      <c r="D1965" s="341"/>
    </row>
    <row r="1966" spans="1:4">
      <c r="A1966" s="341"/>
      <c r="B1966" s="297"/>
      <c r="C1966" s="296"/>
      <c r="D1966" s="341"/>
    </row>
    <row r="1967" spans="1:4">
      <c r="A1967" s="341"/>
      <c r="B1967" s="297"/>
      <c r="C1967" s="296"/>
      <c r="D1967" s="341"/>
    </row>
    <row r="1968" spans="1:4">
      <c r="A1968" s="341"/>
      <c r="B1968" s="297"/>
      <c r="C1968" s="296"/>
      <c r="D1968" s="341"/>
    </row>
    <row r="1969" spans="1:4">
      <c r="A1969" s="341"/>
      <c r="B1969" s="297"/>
      <c r="C1969" s="296"/>
      <c r="D1969" s="341"/>
    </row>
    <row r="1970" spans="1:4">
      <c r="A1970" s="341"/>
      <c r="B1970" s="297"/>
      <c r="C1970" s="296"/>
      <c r="D1970" s="341"/>
    </row>
    <row r="1971" spans="1:4">
      <c r="A1971" s="341"/>
      <c r="B1971" s="297"/>
      <c r="C1971" s="296"/>
      <c r="D1971" s="341"/>
    </row>
    <row r="1972" spans="1:4">
      <c r="A1972" s="341"/>
      <c r="B1972" s="297"/>
      <c r="C1972" s="296"/>
      <c r="D1972" s="341"/>
    </row>
    <row r="1973" spans="1:4">
      <c r="A1973" s="341"/>
      <c r="B1973" s="297"/>
      <c r="C1973" s="296"/>
      <c r="D1973" s="341"/>
    </row>
    <row r="1974" spans="1:4">
      <c r="A1974" s="341"/>
      <c r="B1974" s="297"/>
      <c r="C1974" s="296"/>
      <c r="D1974" s="341"/>
    </row>
    <row r="1975" spans="1:4">
      <c r="A1975" s="341"/>
      <c r="B1975" s="297"/>
      <c r="C1975" s="296"/>
      <c r="D1975" s="341"/>
    </row>
    <row r="1976" spans="1:4">
      <c r="A1976" s="341"/>
      <c r="B1976" s="297"/>
      <c r="C1976" s="296"/>
      <c r="D1976" s="341"/>
    </row>
    <row r="1977" spans="1:4">
      <c r="A1977" s="341"/>
      <c r="B1977" s="297"/>
      <c r="C1977" s="296"/>
      <c r="D1977" s="341"/>
    </row>
    <row r="1978" spans="1:4">
      <c r="A1978" s="341"/>
      <c r="B1978" s="297"/>
      <c r="C1978" s="296"/>
      <c r="D1978" s="341"/>
    </row>
    <row r="1979" spans="1:4">
      <c r="A1979" s="341"/>
      <c r="B1979" s="297"/>
      <c r="C1979" s="296"/>
      <c r="D1979" s="341"/>
    </row>
    <row r="1980" spans="1:4">
      <c r="A1980" s="341"/>
      <c r="B1980" s="297"/>
      <c r="C1980" s="296"/>
      <c r="D1980" s="341"/>
    </row>
    <row r="1981" spans="1:4">
      <c r="A1981" s="341"/>
      <c r="B1981" s="297"/>
      <c r="C1981" s="296"/>
      <c r="D1981" s="341"/>
    </row>
    <row r="1982" spans="1:4">
      <c r="A1982" s="341"/>
      <c r="B1982" s="297"/>
      <c r="C1982" s="296"/>
      <c r="D1982" s="341"/>
    </row>
    <row r="1983" spans="1:4">
      <c r="A1983" s="341"/>
      <c r="B1983" s="297"/>
      <c r="C1983" s="296"/>
      <c r="D1983" s="341"/>
    </row>
    <row r="1984" spans="1:4">
      <c r="A1984" s="341"/>
      <c r="B1984" s="297"/>
      <c r="C1984" s="296"/>
      <c r="D1984" s="341"/>
    </row>
    <row r="1985" spans="1:4">
      <c r="A1985" s="341"/>
      <c r="B1985" s="297"/>
      <c r="C1985" s="296"/>
      <c r="D1985" s="341"/>
    </row>
    <row r="1986" spans="1:4">
      <c r="A1986" s="341"/>
      <c r="B1986" s="297"/>
      <c r="C1986" s="296"/>
      <c r="D1986" s="341"/>
    </row>
    <row r="1987" spans="1:4">
      <c r="A1987" s="341"/>
      <c r="B1987" s="297"/>
      <c r="C1987" s="296"/>
      <c r="D1987" s="341"/>
    </row>
    <row r="1988" spans="1:4">
      <c r="A1988" s="341"/>
      <c r="B1988" s="297"/>
      <c r="C1988" s="296"/>
      <c r="D1988" s="341"/>
    </row>
    <row r="1989" spans="1:4">
      <c r="A1989" s="341"/>
      <c r="B1989" s="297"/>
      <c r="C1989" s="296"/>
      <c r="D1989" s="341"/>
    </row>
    <row r="1990" spans="1:4">
      <c r="A1990" s="341"/>
      <c r="B1990" s="297"/>
      <c r="C1990" s="296"/>
      <c r="D1990" s="341"/>
    </row>
    <row r="1991" spans="1:4">
      <c r="A1991" s="341"/>
      <c r="B1991" s="297"/>
      <c r="C1991" s="296"/>
      <c r="D1991" s="341"/>
    </row>
    <row r="1992" spans="1:4">
      <c r="A1992" s="341"/>
      <c r="B1992" s="297"/>
      <c r="C1992" s="296"/>
      <c r="D1992" s="341"/>
    </row>
    <row r="1993" spans="1:4">
      <c r="A1993" s="341"/>
      <c r="B1993" s="297"/>
      <c r="C1993" s="296"/>
      <c r="D1993" s="341"/>
    </row>
    <row r="1994" spans="1:4">
      <c r="A1994" s="341"/>
      <c r="B1994" s="297"/>
      <c r="C1994" s="296"/>
      <c r="D1994" s="341"/>
    </row>
    <row r="1995" spans="1:4">
      <c r="A1995" s="341"/>
      <c r="B1995" s="297"/>
      <c r="C1995" s="296"/>
      <c r="D1995" s="341"/>
    </row>
    <row r="1996" spans="1:4">
      <c r="A1996" s="341"/>
      <c r="B1996" s="297"/>
      <c r="C1996" s="296"/>
      <c r="D1996" s="341"/>
    </row>
    <row r="1997" spans="1:4">
      <c r="A1997" s="341"/>
      <c r="B1997" s="297"/>
      <c r="C1997" s="296"/>
      <c r="D1997" s="341"/>
    </row>
    <row r="1998" spans="1:4">
      <c r="A1998" s="341"/>
      <c r="B1998" s="297"/>
      <c r="C1998" s="296"/>
      <c r="D1998" s="341"/>
    </row>
    <row r="1999" spans="1:4">
      <c r="A1999" s="341"/>
      <c r="B1999" s="297"/>
      <c r="C1999" s="296"/>
      <c r="D1999" s="341"/>
    </row>
    <row r="2000" spans="1:4">
      <c r="A2000" s="341"/>
      <c r="B2000" s="297"/>
      <c r="C2000" s="296"/>
      <c r="D2000" s="341"/>
    </row>
    <row r="2001" spans="1:4">
      <c r="A2001" s="341"/>
      <c r="B2001" s="297"/>
      <c r="C2001" s="296"/>
      <c r="D2001" s="341"/>
    </row>
    <row r="2002" spans="1:4">
      <c r="A2002" s="341"/>
      <c r="B2002" s="297"/>
      <c r="C2002" s="296"/>
      <c r="D2002" s="341"/>
    </row>
    <row r="2003" spans="1:4">
      <c r="A2003" s="341"/>
      <c r="B2003" s="297"/>
      <c r="C2003" s="296"/>
      <c r="D2003" s="341"/>
    </row>
    <row r="2004" spans="1:4">
      <c r="A2004" s="341"/>
      <c r="B2004" s="297"/>
      <c r="C2004" s="296"/>
      <c r="D2004" s="341"/>
    </row>
    <row r="2005" spans="1:4">
      <c r="A2005" s="341"/>
      <c r="B2005" s="297"/>
      <c r="C2005" s="296"/>
      <c r="D2005" s="341"/>
    </row>
    <row r="2006" spans="1:4">
      <c r="A2006" s="341"/>
      <c r="B2006" s="297"/>
      <c r="C2006" s="296"/>
      <c r="D2006" s="341"/>
    </row>
    <row r="2007" spans="1:4">
      <c r="A2007" s="341"/>
      <c r="B2007" s="297"/>
      <c r="C2007" s="296"/>
      <c r="D2007" s="341"/>
    </row>
    <row r="2008" spans="1:4">
      <c r="A2008" s="341"/>
      <c r="B2008" s="297"/>
      <c r="C2008" s="296"/>
      <c r="D2008" s="341"/>
    </row>
    <row r="2009" spans="1:4">
      <c r="A2009" s="341"/>
      <c r="B2009" s="297"/>
      <c r="C2009" s="296"/>
      <c r="D2009" s="341"/>
    </row>
    <row r="2010" spans="1:4">
      <c r="A2010" s="341"/>
      <c r="B2010" s="297"/>
      <c r="C2010" s="296"/>
      <c r="D2010" s="341"/>
    </row>
    <row r="2011" spans="1:4">
      <c r="A2011" s="341"/>
      <c r="B2011" s="297"/>
      <c r="C2011" s="296"/>
      <c r="D2011" s="341"/>
    </row>
    <row r="2012" spans="1:4">
      <c r="A2012" s="341"/>
      <c r="B2012" s="297"/>
      <c r="C2012" s="296"/>
      <c r="D2012" s="341"/>
    </row>
    <row r="2013" spans="1:4">
      <c r="A2013" s="341"/>
      <c r="B2013" s="297"/>
      <c r="C2013" s="296"/>
      <c r="D2013" s="341"/>
    </row>
    <row r="2014" spans="1:4">
      <c r="A2014" s="341"/>
      <c r="B2014" s="297"/>
      <c r="C2014" s="296"/>
      <c r="D2014" s="341"/>
    </row>
    <row r="2015" spans="1:4">
      <c r="A2015" s="341"/>
      <c r="B2015" s="297"/>
      <c r="C2015" s="296"/>
      <c r="D2015" s="341"/>
    </row>
    <row r="2016" spans="1:4">
      <c r="A2016" s="341"/>
      <c r="B2016" s="297"/>
      <c r="C2016" s="296"/>
      <c r="D2016" s="341"/>
    </row>
    <row r="2017" spans="1:4">
      <c r="A2017" s="341"/>
      <c r="B2017" s="297"/>
      <c r="C2017" s="296"/>
      <c r="D2017" s="341"/>
    </row>
    <row r="2018" spans="1:4">
      <c r="A2018" s="341"/>
      <c r="B2018" s="297"/>
      <c r="C2018" s="296"/>
      <c r="D2018" s="341"/>
    </row>
    <row r="2019" spans="1:4">
      <c r="A2019" s="341"/>
      <c r="B2019" s="297"/>
      <c r="C2019" s="296"/>
      <c r="D2019" s="341"/>
    </row>
    <row r="2020" spans="1:4">
      <c r="A2020" s="341"/>
      <c r="B2020" s="297"/>
      <c r="C2020" s="296"/>
      <c r="D2020" s="341"/>
    </row>
    <row r="2021" spans="1:4">
      <c r="A2021" s="341"/>
      <c r="B2021" s="297"/>
      <c r="C2021" s="296"/>
      <c r="D2021" s="341"/>
    </row>
    <row r="2022" spans="1:4">
      <c r="A2022" s="341"/>
      <c r="B2022" s="297"/>
      <c r="C2022" s="296"/>
      <c r="D2022" s="341"/>
    </row>
    <row r="2023" spans="1:4">
      <c r="A2023" s="341"/>
      <c r="B2023" s="297"/>
      <c r="C2023" s="296"/>
      <c r="D2023" s="341"/>
    </row>
    <row r="2024" spans="1:4">
      <c r="A2024" s="341"/>
      <c r="B2024" s="297"/>
      <c r="C2024" s="296"/>
      <c r="D2024" s="341"/>
    </row>
    <row r="2025" spans="1:4">
      <c r="A2025" s="341"/>
      <c r="B2025" s="297"/>
      <c r="C2025" s="296"/>
      <c r="D2025" s="341"/>
    </row>
    <row r="2026" spans="1:4">
      <c r="A2026" s="341"/>
      <c r="B2026" s="297"/>
      <c r="C2026" s="296"/>
      <c r="D2026" s="341"/>
    </row>
    <row r="2027" spans="1:4">
      <c r="A2027" s="341"/>
      <c r="B2027" s="297"/>
      <c r="C2027" s="296"/>
      <c r="D2027" s="341"/>
    </row>
    <row r="2028" spans="1:4">
      <c r="A2028" s="341"/>
      <c r="B2028" s="297"/>
      <c r="C2028" s="296"/>
      <c r="D2028" s="341"/>
    </row>
    <row r="2029" spans="1:4">
      <c r="A2029" s="341"/>
      <c r="B2029" s="297"/>
      <c r="C2029" s="296"/>
      <c r="D2029" s="341"/>
    </row>
    <row r="2030" spans="1:4">
      <c r="A2030" s="341"/>
      <c r="B2030" s="297"/>
      <c r="C2030" s="296"/>
      <c r="D2030" s="341"/>
    </row>
    <row r="2031" spans="1:4">
      <c r="A2031" s="341"/>
      <c r="B2031" s="297"/>
      <c r="C2031" s="296"/>
      <c r="D2031" s="341"/>
    </row>
    <row r="2032" spans="1:4">
      <c r="A2032" s="341"/>
      <c r="B2032" s="297"/>
      <c r="C2032" s="296"/>
      <c r="D2032" s="341"/>
    </row>
    <row r="2033" spans="1:4">
      <c r="A2033" s="341"/>
      <c r="B2033" s="297"/>
      <c r="C2033" s="296"/>
      <c r="D2033" s="341"/>
    </row>
    <row r="2034" spans="1:4">
      <c r="A2034" s="341"/>
      <c r="B2034" s="297"/>
      <c r="C2034" s="296"/>
      <c r="D2034" s="341"/>
    </row>
    <row r="2035" spans="1:4">
      <c r="A2035" s="341"/>
      <c r="B2035" s="297"/>
      <c r="C2035" s="296"/>
      <c r="D2035" s="341"/>
    </row>
    <row r="2036" spans="1:4">
      <c r="A2036" s="341"/>
      <c r="B2036" s="297"/>
      <c r="C2036" s="296"/>
      <c r="D2036" s="341"/>
    </row>
    <row r="2037" spans="1:4">
      <c r="A2037" s="341"/>
      <c r="B2037" s="297"/>
      <c r="C2037" s="296"/>
      <c r="D2037" s="341"/>
    </row>
    <row r="2038" spans="1:4">
      <c r="A2038" s="341"/>
      <c r="B2038" s="297"/>
      <c r="C2038" s="296"/>
      <c r="D2038" s="341"/>
    </row>
    <row r="2039" spans="1:4">
      <c r="A2039" s="341"/>
      <c r="B2039" s="297"/>
      <c r="C2039" s="296"/>
      <c r="D2039" s="341"/>
    </row>
    <row r="2040" spans="1:4">
      <c r="A2040" s="341"/>
      <c r="B2040" s="297"/>
      <c r="C2040" s="296"/>
      <c r="D2040" s="341"/>
    </row>
    <row r="2041" spans="1:4">
      <c r="A2041" s="341"/>
      <c r="B2041" s="297"/>
      <c r="C2041" s="296"/>
      <c r="D2041" s="341"/>
    </row>
    <row r="2042" spans="1:4">
      <c r="A2042" s="341"/>
      <c r="B2042" s="297"/>
      <c r="C2042" s="296"/>
      <c r="D2042" s="341"/>
    </row>
    <row r="2043" spans="1:4">
      <c r="A2043" s="341"/>
      <c r="B2043" s="297"/>
      <c r="C2043" s="296"/>
      <c r="D2043" s="341"/>
    </row>
    <row r="2044" spans="1:4">
      <c r="A2044" s="341"/>
      <c r="B2044" s="297"/>
      <c r="C2044" s="296"/>
      <c r="D2044" s="341"/>
    </row>
    <row r="2045" spans="1:4">
      <c r="A2045" s="341"/>
      <c r="B2045" s="297"/>
      <c r="C2045" s="296"/>
      <c r="D2045" s="341"/>
    </row>
    <row r="2046" spans="1:4">
      <c r="A2046" s="341"/>
      <c r="B2046" s="297"/>
      <c r="C2046" s="296"/>
      <c r="D2046" s="341"/>
    </row>
    <row r="2047" spans="1:4">
      <c r="A2047" s="341"/>
      <c r="B2047" s="297"/>
      <c r="C2047" s="296"/>
      <c r="D2047" s="341"/>
    </row>
    <row r="2048" spans="1:4">
      <c r="A2048" s="341"/>
      <c r="B2048" s="297"/>
      <c r="C2048" s="296"/>
      <c r="D2048" s="341"/>
    </row>
    <row r="2049" spans="1:4">
      <c r="A2049" s="341"/>
      <c r="B2049" s="297"/>
      <c r="C2049" s="296"/>
      <c r="D2049" s="341"/>
    </row>
    <row r="2050" spans="1:4">
      <c r="A2050" s="341"/>
      <c r="B2050" s="297"/>
      <c r="C2050" s="296"/>
      <c r="D2050" s="341"/>
    </row>
    <row r="2051" spans="1:4">
      <c r="A2051" s="341"/>
      <c r="B2051" s="297"/>
      <c r="C2051" s="296"/>
      <c r="D2051" s="341"/>
    </row>
    <row r="2052" spans="1:4">
      <c r="A2052" s="341"/>
      <c r="B2052" s="297"/>
      <c r="C2052" s="296"/>
      <c r="D2052" s="341"/>
    </row>
    <row r="2053" spans="1:4">
      <c r="A2053" s="341"/>
      <c r="B2053" s="297"/>
      <c r="C2053" s="296"/>
      <c r="D2053" s="341"/>
    </row>
    <row r="2054" spans="1:4">
      <c r="A2054" s="341"/>
      <c r="B2054" s="297"/>
      <c r="C2054" s="296"/>
      <c r="D2054" s="341"/>
    </row>
    <row r="2055" spans="1:4">
      <c r="A2055" s="341"/>
      <c r="B2055" s="297"/>
      <c r="C2055" s="296"/>
      <c r="D2055" s="341"/>
    </row>
    <row r="2056" spans="1:4">
      <c r="A2056" s="341"/>
      <c r="B2056" s="297"/>
      <c r="C2056" s="296"/>
      <c r="D2056" s="341"/>
    </row>
    <row r="2057" spans="1:4">
      <c r="A2057" s="341"/>
      <c r="B2057" s="297"/>
      <c r="C2057" s="296"/>
      <c r="D2057" s="341"/>
    </row>
    <row r="2058" spans="1:4">
      <c r="A2058" s="341"/>
      <c r="B2058" s="297"/>
      <c r="C2058" s="296"/>
      <c r="D2058" s="341"/>
    </row>
    <row r="2059" spans="1:4">
      <c r="A2059" s="341"/>
      <c r="B2059" s="297"/>
      <c r="C2059" s="296"/>
      <c r="D2059" s="341"/>
    </row>
    <row r="2060" spans="1:4">
      <c r="A2060" s="341"/>
      <c r="B2060" s="297"/>
      <c r="C2060" s="296"/>
      <c r="D2060" s="341"/>
    </row>
    <row r="2061" spans="1:4">
      <c r="A2061" s="341"/>
      <c r="B2061" s="297"/>
      <c r="C2061" s="296"/>
      <c r="D2061" s="341"/>
    </row>
    <row r="2062" spans="1:4">
      <c r="A2062" s="341"/>
      <c r="B2062" s="297"/>
      <c r="C2062" s="296"/>
      <c r="D2062" s="341"/>
    </row>
    <row r="2063" spans="1:4">
      <c r="A2063" s="341"/>
      <c r="B2063" s="297"/>
      <c r="C2063" s="296"/>
      <c r="D2063" s="341"/>
    </row>
    <row r="2064" spans="1:4">
      <c r="A2064" s="341"/>
      <c r="B2064" s="297"/>
      <c r="C2064" s="296"/>
      <c r="D2064" s="341"/>
    </row>
    <row r="2065" spans="1:4">
      <c r="A2065" s="341"/>
      <c r="B2065" s="297"/>
      <c r="C2065" s="296"/>
      <c r="D2065" s="341"/>
    </row>
    <row r="2066" spans="1:4">
      <c r="A2066" s="341"/>
      <c r="B2066" s="297"/>
      <c r="C2066" s="296"/>
      <c r="D2066" s="341"/>
    </row>
    <row r="2067" spans="1:4">
      <c r="A2067" s="341"/>
      <c r="B2067" s="297"/>
      <c r="C2067" s="296"/>
      <c r="D2067" s="341"/>
    </row>
    <row r="2068" spans="1:4">
      <c r="A2068" s="341"/>
      <c r="B2068" s="297"/>
      <c r="C2068" s="296"/>
      <c r="D2068" s="341"/>
    </row>
    <row r="2069" spans="1:4">
      <c r="A2069" s="341"/>
      <c r="B2069" s="297"/>
      <c r="C2069" s="296"/>
      <c r="D2069" s="341"/>
    </row>
    <row r="2070" spans="1:4">
      <c r="A2070" s="341"/>
      <c r="B2070" s="297"/>
      <c r="C2070" s="296"/>
      <c r="D2070" s="341"/>
    </row>
    <row r="2071" spans="1:4">
      <c r="A2071" s="341"/>
      <c r="B2071" s="297"/>
      <c r="C2071" s="296"/>
      <c r="D2071" s="341"/>
    </row>
    <row r="2072" spans="1:4">
      <c r="A2072" s="341"/>
      <c r="B2072" s="297"/>
      <c r="C2072" s="296"/>
      <c r="D2072" s="341"/>
    </row>
    <row r="2073" spans="1:4">
      <c r="A2073" s="341"/>
      <c r="B2073" s="297"/>
      <c r="C2073" s="296"/>
      <c r="D2073" s="341"/>
    </row>
    <row r="2074" spans="1:4">
      <c r="A2074" s="341"/>
      <c r="B2074" s="297"/>
      <c r="C2074" s="296"/>
      <c r="D2074" s="341"/>
    </row>
    <row r="2075" spans="1:4">
      <c r="A2075" s="341"/>
      <c r="B2075" s="297"/>
      <c r="C2075" s="296"/>
      <c r="D2075" s="341"/>
    </row>
    <row r="2076" spans="1:4">
      <c r="A2076" s="341"/>
      <c r="B2076" s="297"/>
      <c r="C2076" s="296"/>
      <c r="D2076" s="341"/>
    </row>
    <row r="2077" spans="1:4">
      <c r="A2077" s="341"/>
      <c r="B2077" s="297"/>
      <c r="C2077" s="296"/>
      <c r="D2077" s="341"/>
    </row>
    <row r="2078" spans="1:4">
      <c r="A2078" s="341"/>
      <c r="B2078" s="297"/>
      <c r="C2078" s="296"/>
      <c r="D2078" s="341"/>
    </row>
    <row r="2079" spans="1:4">
      <c r="A2079" s="341"/>
      <c r="B2079" s="297"/>
      <c r="C2079" s="296"/>
      <c r="D2079" s="341"/>
    </row>
    <row r="2080" spans="1:4">
      <c r="A2080" s="341"/>
      <c r="B2080" s="297"/>
      <c r="C2080" s="296"/>
      <c r="D2080" s="341"/>
    </row>
    <row r="2081" spans="1:4">
      <c r="A2081" s="341"/>
      <c r="B2081" s="297"/>
      <c r="C2081" s="296"/>
      <c r="D2081" s="341"/>
    </row>
    <row r="2082" spans="1:4">
      <c r="A2082" s="341"/>
      <c r="B2082" s="297"/>
      <c r="C2082" s="296"/>
      <c r="D2082" s="341"/>
    </row>
    <row r="2083" spans="1:4">
      <c r="A2083" s="341"/>
      <c r="B2083" s="297"/>
      <c r="C2083" s="296"/>
      <c r="D2083" s="341"/>
    </row>
    <row r="2084" spans="1:4">
      <c r="A2084" s="341"/>
      <c r="B2084" s="297"/>
      <c r="C2084" s="296"/>
      <c r="D2084" s="341"/>
    </row>
    <row r="2085" spans="1:4">
      <c r="A2085" s="341"/>
      <c r="B2085" s="297"/>
      <c r="C2085" s="296"/>
      <c r="D2085" s="341"/>
    </row>
    <row r="2086" spans="1:4">
      <c r="A2086" s="341"/>
      <c r="B2086" s="297"/>
      <c r="C2086" s="296"/>
      <c r="D2086" s="341"/>
    </row>
    <row r="2087" spans="1:4">
      <c r="A2087" s="341"/>
      <c r="B2087" s="297"/>
      <c r="C2087" s="296"/>
      <c r="D2087" s="341"/>
    </row>
    <row r="2088" spans="1:4">
      <c r="A2088" s="341"/>
      <c r="B2088" s="297"/>
      <c r="C2088" s="296"/>
      <c r="D2088" s="341"/>
    </row>
    <row r="2089" spans="1:4">
      <c r="A2089" s="341"/>
      <c r="B2089" s="297"/>
      <c r="C2089" s="296"/>
      <c r="D2089" s="341"/>
    </row>
    <row r="2090" spans="1:4">
      <c r="A2090" s="341"/>
      <c r="B2090" s="297"/>
      <c r="C2090" s="296"/>
      <c r="D2090" s="341"/>
    </row>
    <row r="2091" spans="1:4">
      <c r="A2091" s="341"/>
      <c r="B2091" s="297"/>
      <c r="C2091" s="296"/>
      <c r="D2091" s="341"/>
    </row>
    <row r="2092" spans="1:4">
      <c r="A2092" s="341"/>
      <c r="B2092" s="297"/>
      <c r="C2092" s="296"/>
      <c r="D2092" s="341"/>
    </row>
    <row r="2093" spans="1:4">
      <c r="A2093" s="341"/>
      <c r="B2093" s="297"/>
      <c r="C2093" s="296"/>
      <c r="D2093" s="341"/>
    </row>
    <row r="2094" spans="1:4">
      <c r="A2094" s="341"/>
      <c r="B2094" s="297"/>
      <c r="C2094" s="296"/>
      <c r="D2094" s="341"/>
    </row>
    <row r="2095" spans="1:4">
      <c r="A2095" s="341"/>
      <c r="B2095" s="297"/>
      <c r="C2095" s="296"/>
      <c r="D2095" s="341"/>
    </row>
    <row r="2096" spans="1:4">
      <c r="A2096" s="341"/>
      <c r="B2096" s="297"/>
      <c r="C2096" s="296"/>
      <c r="D2096" s="341"/>
    </row>
    <row r="2097" spans="1:4">
      <c r="A2097" s="341"/>
      <c r="B2097" s="297"/>
      <c r="C2097" s="296"/>
      <c r="D2097" s="341"/>
    </row>
    <row r="2098" spans="1:4">
      <c r="A2098" s="341"/>
      <c r="B2098" s="297"/>
      <c r="C2098" s="296"/>
      <c r="D2098" s="341"/>
    </row>
    <row r="2099" spans="1:4">
      <c r="A2099" s="341"/>
      <c r="B2099" s="297"/>
      <c r="C2099" s="296"/>
      <c r="D2099" s="341"/>
    </row>
    <row r="2100" spans="1:4">
      <c r="A2100" s="341"/>
      <c r="B2100" s="297"/>
      <c r="C2100" s="296"/>
      <c r="D2100" s="341"/>
    </row>
    <row r="2101" spans="1:4">
      <c r="A2101" s="341"/>
      <c r="B2101" s="297"/>
      <c r="C2101" s="296"/>
      <c r="D2101" s="341"/>
    </row>
    <row r="2102" spans="1:4">
      <c r="A2102" s="341"/>
      <c r="B2102" s="297"/>
      <c r="C2102" s="296"/>
      <c r="D2102" s="341"/>
    </row>
    <row r="2103" spans="1:4">
      <c r="A2103" s="341"/>
      <c r="B2103" s="297"/>
      <c r="C2103" s="296"/>
      <c r="D2103" s="341"/>
    </row>
    <row r="2104" spans="1:4">
      <c r="A2104" s="341"/>
      <c r="B2104" s="297"/>
      <c r="C2104" s="296"/>
      <c r="D2104" s="341"/>
    </row>
    <row r="2105" spans="1:4">
      <c r="A2105" s="341"/>
      <c r="B2105" s="297"/>
      <c r="C2105" s="296"/>
      <c r="D2105" s="341"/>
    </row>
    <row r="2106" spans="1:4">
      <c r="A2106" s="341"/>
      <c r="B2106" s="297"/>
      <c r="C2106" s="296"/>
      <c r="D2106" s="341"/>
    </row>
    <row r="2107" spans="1:4">
      <c r="A2107" s="341"/>
      <c r="B2107" s="297"/>
      <c r="C2107" s="296"/>
      <c r="D2107" s="341"/>
    </row>
    <row r="2108" spans="1:4">
      <c r="A2108" s="341"/>
      <c r="B2108" s="297"/>
      <c r="C2108" s="296"/>
      <c r="D2108" s="341"/>
    </row>
    <row r="2109" spans="1:4">
      <c r="A2109" s="341"/>
      <c r="B2109" s="297"/>
      <c r="C2109" s="296"/>
      <c r="D2109" s="341"/>
    </row>
    <row r="2110" spans="1:4">
      <c r="A2110" s="341"/>
      <c r="B2110" s="297"/>
      <c r="C2110" s="296"/>
      <c r="D2110" s="341"/>
    </row>
    <row r="2111" spans="1:4">
      <c r="A2111" s="341"/>
      <c r="B2111" s="297"/>
      <c r="C2111" s="296"/>
      <c r="D2111" s="341"/>
    </row>
    <row r="2112" spans="1:4">
      <c r="A2112" s="341"/>
      <c r="B2112" s="297"/>
      <c r="C2112" s="296"/>
      <c r="D2112" s="341"/>
    </row>
    <row r="2113" spans="1:4">
      <c r="A2113" s="341"/>
      <c r="B2113" s="297"/>
      <c r="C2113" s="296"/>
      <c r="D2113" s="341"/>
    </row>
    <row r="2114" spans="1:4">
      <c r="A2114" s="341"/>
      <c r="B2114" s="297"/>
      <c r="C2114" s="296"/>
      <c r="D2114" s="341"/>
    </row>
    <row r="2115" spans="1:4">
      <c r="A2115" s="341"/>
      <c r="B2115" s="297"/>
      <c r="C2115" s="296"/>
      <c r="D2115" s="341"/>
    </row>
    <row r="2116" spans="1:4">
      <c r="A2116" s="341"/>
      <c r="B2116" s="297"/>
      <c r="C2116" s="296"/>
      <c r="D2116" s="341"/>
    </row>
    <row r="2117" spans="1:4">
      <c r="A2117" s="341"/>
      <c r="B2117" s="297"/>
      <c r="C2117" s="296"/>
      <c r="D2117" s="341"/>
    </row>
    <row r="2118" spans="1:4">
      <c r="A2118" s="341"/>
      <c r="B2118" s="297"/>
      <c r="C2118" s="296"/>
      <c r="D2118" s="341"/>
    </row>
    <row r="2119" spans="1:4">
      <c r="A2119" s="341"/>
      <c r="B2119" s="297"/>
      <c r="C2119" s="296"/>
      <c r="D2119" s="341"/>
    </row>
    <row r="2120" spans="1:4">
      <c r="A2120" s="341"/>
      <c r="B2120" s="297"/>
      <c r="C2120" s="296"/>
      <c r="D2120" s="341"/>
    </row>
    <row r="2121" spans="1:4">
      <c r="A2121" s="341"/>
      <c r="B2121" s="297"/>
      <c r="C2121" s="296"/>
      <c r="D2121" s="341"/>
    </row>
    <row r="2122" spans="1:4">
      <c r="A2122" s="341"/>
      <c r="B2122" s="297"/>
      <c r="C2122" s="296"/>
      <c r="D2122" s="341"/>
    </row>
    <row r="2123" spans="1:4">
      <c r="A2123" s="341"/>
      <c r="B2123" s="297"/>
      <c r="C2123" s="296"/>
      <c r="D2123" s="341"/>
    </row>
    <row r="2124" spans="1:4">
      <c r="A2124" s="341"/>
      <c r="B2124" s="297"/>
      <c r="C2124" s="296"/>
      <c r="D2124" s="341"/>
    </row>
    <row r="2125" spans="1:4">
      <c r="A2125" s="341"/>
      <c r="B2125" s="297"/>
      <c r="C2125" s="296"/>
      <c r="D2125" s="341"/>
    </row>
    <row r="2126" spans="1:4">
      <c r="A2126" s="341"/>
      <c r="B2126" s="297"/>
      <c r="C2126" s="296"/>
      <c r="D2126" s="341"/>
    </row>
    <row r="2127" spans="1:4">
      <c r="A2127" s="341"/>
      <c r="B2127" s="297"/>
      <c r="C2127" s="296"/>
      <c r="D2127" s="341"/>
    </row>
    <row r="2128" spans="1:4">
      <c r="A2128" s="341"/>
      <c r="B2128" s="297"/>
      <c r="C2128" s="296"/>
      <c r="D2128" s="341"/>
    </row>
    <row r="2129" spans="1:4">
      <c r="A2129" s="341"/>
      <c r="B2129" s="297"/>
      <c r="C2129" s="296"/>
      <c r="D2129" s="341"/>
    </row>
    <row r="2130" spans="1:4">
      <c r="A2130" s="341"/>
      <c r="B2130" s="297"/>
      <c r="C2130" s="296"/>
      <c r="D2130" s="341"/>
    </row>
    <row r="2131" spans="1:4">
      <c r="A2131" s="341"/>
      <c r="B2131" s="297"/>
      <c r="C2131" s="296"/>
      <c r="D2131" s="341"/>
    </row>
    <row r="2132" spans="1:4">
      <c r="A2132" s="341"/>
      <c r="B2132" s="297"/>
      <c r="C2132" s="296"/>
      <c r="D2132" s="341"/>
    </row>
    <row r="2133" spans="1:4">
      <c r="A2133" s="341"/>
      <c r="B2133" s="297"/>
      <c r="C2133" s="296"/>
      <c r="D2133" s="341"/>
    </row>
    <row r="2134" spans="1:4">
      <c r="A2134" s="341"/>
      <c r="B2134" s="297"/>
      <c r="C2134" s="296"/>
      <c r="D2134" s="341"/>
    </row>
    <row r="2135" spans="1:4">
      <c r="A2135" s="341"/>
      <c r="B2135" s="297"/>
      <c r="C2135" s="296"/>
      <c r="D2135" s="341"/>
    </row>
    <row r="2136" spans="1:4">
      <c r="A2136" s="341"/>
      <c r="B2136" s="297"/>
      <c r="C2136" s="296"/>
      <c r="D2136" s="341"/>
    </row>
    <row r="2137" spans="1:4">
      <c r="A2137" s="341"/>
      <c r="B2137" s="297"/>
      <c r="C2137" s="296"/>
      <c r="D2137" s="341"/>
    </row>
    <row r="2138" spans="1:4">
      <c r="A2138" s="341"/>
      <c r="B2138" s="297"/>
      <c r="C2138" s="296"/>
      <c r="D2138" s="341"/>
    </row>
    <row r="2139" spans="1:4">
      <c r="A2139" s="341"/>
      <c r="B2139" s="297"/>
      <c r="C2139" s="296"/>
      <c r="D2139" s="341"/>
    </row>
    <row r="2140" spans="1:4">
      <c r="A2140" s="341"/>
      <c r="B2140" s="297"/>
      <c r="C2140" s="296"/>
      <c r="D2140" s="341"/>
    </row>
    <row r="2141" spans="1:4">
      <c r="A2141" s="341"/>
      <c r="B2141" s="297"/>
      <c r="C2141" s="296"/>
      <c r="D2141" s="341"/>
    </row>
    <row r="2142" spans="1:4">
      <c r="A2142" s="341"/>
      <c r="B2142" s="297"/>
      <c r="C2142" s="296"/>
      <c r="D2142" s="341"/>
    </row>
    <row r="2143" spans="1:4">
      <c r="A2143" s="341"/>
      <c r="B2143" s="297"/>
      <c r="C2143" s="296"/>
      <c r="D2143" s="341"/>
    </row>
    <row r="2144" spans="1:4">
      <c r="A2144" s="341"/>
      <c r="B2144" s="297"/>
      <c r="C2144" s="296"/>
      <c r="D2144" s="341"/>
    </row>
    <row r="2145" spans="1:4">
      <c r="A2145" s="341"/>
      <c r="B2145" s="297"/>
      <c r="C2145" s="296"/>
      <c r="D2145" s="341"/>
    </row>
    <row r="2146" spans="1:4">
      <c r="A2146" s="341"/>
      <c r="B2146" s="297"/>
      <c r="C2146" s="296"/>
      <c r="D2146" s="341"/>
    </row>
    <row r="2147" spans="1:4">
      <c r="A2147" s="341"/>
      <c r="B2147" s="297"/>
      <c r="C2147" s="296"/>
      <c r="D2147" s="341"/>
    </row>
    <row r="2148" spans="1:4">
      <c r="A2148" s="341"/>
      <c r="B2148" s="297"/>
      <c r="C2148" s="296"/>
      <c r="D2148" s="341"/>
    </row>
    <row r="2149" spans="1:4">
      <c r="A2149" s="341"/>
      <c r="B2149" s="297"/>
      <c r="C2149" s="296"/>
      <c r="D2149" s="341"/>
    </row>
    <row r="2150" spans="1:4">
      <c r="A2150" s="341"/>
      <c r="B2150" s="297"/>
      <c r="C2150" s="296"/>
      <c r="D2150" s="341"/>
    </row>
    <row r="2151" spans="1:4">
      <c r="A2151" s="341"/>
      <c r="B2151" s="297"/>
      <c r="C2151" s="296"/>
      <c r="D2151" s="341"/>
    </row>
    <row r="2152" spans="1:4">
      <c r="A2152" s="341"/>
      <c r="B2152" s="297"/>
      <c r="C2152" s="296"/>
      <c r="D2152" s="341"/>
    </row>
    <row r="2153" spans="1:4">
      <c r="A2153" s="341"/>
      <c r="B2153" s="297"/>
      <c r="C2153" s="296"/>
      <c r="D2153" s="341"/>
    </row>
    <row r="2154" spans="1:4">
      <c r="A2154" s="341"/>
      <c r="B2154" s="297"/>
      <c r="C2154" s="296"/>
      <c r="D2154" s="341"/>
    </row>
    <row r="2155" spans="1:4">
      <c r="A2155" s="341"/>
      <c r="B2155" s="297"/>
      <c r="C2155" s="296"/>
      <c r="D2155" s="341"/>
    </row>
    <row r="2156" spans="1:4">
      <c r="A2156" s="341"/>
      <c r="B2156" s="297"/>
      <c r="C2156" s="296"/>
      <c r="D2156" s="341"/>
    </row>
    <row r="2157" spans="1:4">
      <c r="A2157" s="341"/>
      <c r="B2157" s="297"/>
      <c r="C2157" s="296"/>
      <c r="D2157" s="341"/>
    </row>
    <row r="2158" spans="1:4">
      <c r="A2158" s="341"/>
      <c r="B2158" s="297"/>
      <c r="C2158" s="296"/>
      <c r="D2158" s="341"/>
    </row>
    <row r="2159" spans="1:4">
      <c r="A2159" s="341"/>
      <c r="B2159" s="297"/>
      <c r="C2159" s="296"/>
      <c r="D2159" s="341"/>
    </row>
    <row r="2160" spans="1:4">
      <c r="A2160" s="341"/>
      <c r="B2160" s="297"/>
      <c r="C2160" s="296"/>
      <c r="D2160" s="341"/>
    </row>
    <row r="2161" spans="1:4">
      <c r="A2161" s="341"/>
      <c r="B2161" s="297"/>
      <c r="C2161" s="296"/>
      <c r="D2161" s="341"/>
    </row>
    <row r="2162" spans="1:4">
      <c r="A2162" s="341"/>
      <c r="B2162" s="297"/>
      <c r="C2162" s="296"/>
      <c r="D2162" s="341"/>
    </row>
    <row r="2163" spans="1:4">
      <c r="A2163" s="341"/>
      <c r="B2163" s="297"/>
      <c r="C2163" s="296"/>
      <c r="D2163" s="341"/>
    </row>
    <row r="2164" spans="1:4">
      <c r="A2164" s="341"/>
      <c r="B2164" s="297"/>
      <c r="C2164" s="296"/>
      <c r="D2164" s="341"/>
    </row>
    <row r="2165" spans="1:4">
      <c r="A2165" s="341"/>
      <c r="B2165" s="297"/>
      <c r="C2165" s="296"/>
      <c r="D2165" s="341"/>
    </row>
    <row r="2166" spans="1:4">
      <c r="A2166" s="341"/>
      <c r="B2166" s="297"/>
      <c r="C2166" s="296"/>
      <c r="D2166" s="341"/>
    </row>
    <row r="2167" spans="1:4">
      <c r="A2167" s="341"/>
      <c r="B2167" s="297"/>
      <c r="C2167" s="296"/>
      <c r="D2167" s="341"/>
    </row>
    <row r="2168" spans="1:4">
      <c r="A2168" s="341"/>
      <c r="B2168" s="297"/>
      <c r="C2168" s="296"/>
      <c r="D2168" s="341"/>
    </row>
    <row r="2169" spans="1:4">
      <c r="A2169" s="341"/>
      <c r="B2169" s="297"/>
      <c r="C2169" s="296"/>
      <c r="D2169" s="341"/>
    </row>
    <row r="2170" spans="1:4">
      <c r="A2170" s="341"/>
      <c r="B2170" s="297"/>
      <c r="C2170" s="296"/>
      <c r="D2170" s="341"/>
    </row>
    <row r="2171" spans="1:4">
      <c r="A2171" s="341"/>
      <c r="B2171" s="297"/>
      <c r="C2171" s="296"/>
      <c r="D2171" s="341"/>
    </row>
    <row r="2172" spans="1:4">
      <c r="A2172" s="341"/>
      <c r="B2172" s="297"/>
      <c r="C2172" s="296"/>
      <c r="D2172" s="341"/>
    </row>
    <row r="2173" spans="1:4">
      <c r="A2173" s="341"/>
      <c r="B2173" s="297"/>
      <c r="C2173" s="296"/>
      <c r="D2173" s="341"/>
    </row>
    <row r="2174" spans="1:4">
      <c r="A2174" s="341"/>
      <c r="B2174" s="297"/>
      <c r="C2174" s="296"/>
      <c r="D2174" s="341"/>
    </row>
    <row r="2175" spans="1:4">
      <c r="A2175" s="341"/>
      <c r="B2175" s="297"/>
      <c r="C2175" s="296"/>
      <c r="D2175" s="341"/>
    </row>
    <row r="2176" spans="1:4">
      <c r="A2176" s="341"/>
      <c r="B2176" s="297"/>
      <c r="C2176" s="296"/>
      <c r="D2176" s="341"/>
    </row>
    <row r="2177" spans="1:4">
      <c r="A2177" s="341"/>
      <c r="B2177" s="297"/>
      <c r="C2177" s="296"/>
      <c r="D2177" s="341"/>
    </row>
    <row r="2178" spans="1:4">
      <c r="A2178" s="341"/>
      <c r="B2178" s="297"/>
      <c r="C2178" s="296"/>
      <c r="D2178" s="341"/>
    </row>
    <row r="2179" spans="1:4">
      <c r="A2179" s="341"/>
      <c r="B2179" s="297"/>
      <c r="C2179" s="296"/>
      <c r="D2179" s="341"/>
    </row>
    <row r="2180" spans="1:4">
      <c r="A2180" s="341"/>
      <c r="B2180" s="297"/>
      <c r="C2180" s="296"/>
      <c r="D2180" s="341"/>
    </row>
    <row r="2181" spans="1:4">
      <c r="A2181" s="341"/>
      <c r="B2181" s="297"/>
      <c r="C2181" s="296"/>
      <c r="D2181" s="341"/>
    </row>
    <row r="2182" spans="1:4">
      <c r="A2182" s="341"/>
      <c r="B2182" s="297"/>
      <c r="C2182" s="296"/>
      <c r="D2182" s="341"/>
    </row>
    <row r="2183" spans="1:4">
      <c r="A2183" s="341"/>
      <c r="B2183" s="297"/>
      <c r="C2183" s="296"/>
      <c r="D2183" s="341"/>
    </row>
    <row r="2184" spans="1:4">
      <c r="A2184" s="341"/>
      <c r="B2184" s="297"/>
      <c r="C2184" s="296"/>
      <c r="D2184" s="341"/>
    </row>
    <row r="2185" spans="1:4">
      <c r="A2185" s="341"/>
      <c r="B2185" s="297"/>
      <c r="C2185" s="296"/>
      <c r="D2185" s="341"/>
    </row>
    <row r="2186" spans="1:4">
      <c r="A2186" s="341"/>
      <c r="B2186" s="297"/>
      <c r="C2186" s="296"/>
      <c r="D2186" s="341"/>
    </row>
    <row r="2187" spans="1:4">
      <c r="A2187" s="341"/>
      <c r="B2187" s="297"/>
      <c r="C2187" s="296"/>
      <c r="D2187" s="341"/>
    </row>
    <row r="2188" spans="1:4">
      <c r="A2188" s="341"/>
      <c r="B2188" s="297"/>
      <c r="C2188" s="296"/>
      <c r="D2188" s="341"/>
    </row>
    <row r="2189" spans="1:4">
      <c r="A2189" s="341"/>
      <c r="B2189" s="297"/>
      <c r="C2189" s="296"/>
      <c r="D2189" s="341"/>
    </row>
    <row r="2190" spans="1:4">
      <c r="A2190" s="341"/>
      <c r="B2190" s="297"/>
      <c r="C2190" s="296"/>
      <c r="D2190" s="341"/>
    </row>
    <row r="2191" spans="1:4">
      <c r="A2191" s="341"/>
      <c r="B2191" s="297"/>
      <c r="C2191" s="296"/>
      <c r="D2191" s="341"/>
    </row>
    <row r="2192" spans="1:4">
      <c r="A2192" s="341"/>
      <c r="B2192" s="297"/>
      <c r="C2192" s="296"/>
      <c r="D2192" s="341"/>
    </row>
    <row r="2193" spans="1:4">
      <c r="A2193" s="341"/>
      <c r="B2193" s="297"/>
      <c r="C2193" s="296"/>
      <c r="D2193" s="341"/>
    </row>
    <row r="2194" spans="1:4">
      <c r="A2194" s="341"/>
      <c r="B2194" s="297"/>
      <c r="C2194" s="296"/>
      <c r="D2194" s="341"/>
    </row>
    <row r="2195" spans="1:4">
      <c r="A2195" s="341"/>
      <c r="B2195" s="297"/>
      <c r="C2195" s="296"/>
      <c r="D2195" s="341"/>
    </row>
    <row r="2196" spans="1:4">
      <c r="A2196" s="341"/>
      <c r="B2196" s="297"/>
      <c r="C2196" s="296"/>
      <c r="D2196" s="341"/>
    </row>
    <row r="2197" spans="1:4">
      <c r="A2197" s="341"/>
      <c r="B2197" s="297"/>
      <c r="C2197" s="296"/>
      <c r="D2197" s="341"/>
    </row>
    <row r="2198" spans="1:4">
      <c r="A2198" s="341"/>
      <c r="B2198" s="297"/>
      <c r="C2198" s="296"/>
      <c r="D2198" s="341"/>
    </row>
    <row r="2199" spans="1:4">
      <c r="A2199" s="341"/>
      <c r="B2199" s="297"/>
      <c r="C2199" s="296"/>
      <c r="D2199" s="341"/>
    </row>
    <row r="2200" spans="1:4">
      <c r="A2200" s="341"/>
      <c r="B2200" s="297"/>
      <c r="C2200" s="296"/>
      <c r="D2200" s="341"/>
    </row>
    <row r="2201" spans="1:4">
      <c r="A2201" s="341"/>
      <c r="B2201" s="297"/>
      <c r="C2201" s="296"/>
      <c r="D2201" s="341"/>
    </row>
    <row r="2202" spans="1:4">
      <c r="A2202" s="341"/>
      <c r="B2202" s="297"/>
      <c r="C2202" s="296"/>
      <c r="D2202" s="341"/>
    </row>
    <row r="2203" spans="1:4">
      <c r="A2203" s="341"/>
      <c r="B2203" s="297"/>
      <c r="C2203" s="296"/>
      <c r="D2203" s="341"/>
    </row>
    <row r="2204" spans="1:4">
      <c r="A2204" s="341"/>
      <c r="B2204" s="297"/>
      <c r="C2204" s="296"/>
      <c r="D2204" s="341"/>
    </row>
    <row r="2205" spans="1:4">
      <c r="A2205" s="341"/>
      <c r="B2205" s="297"/>
      <c r="C2205" s="296"/>
      <c r="D2205" s="341"/>
    </row>
    <row r="2206" spans="1:4">
      <c r="A2206" s="341"/>
      <c r="B2206" s="297"/>
      <c r="C2206" s="296"/>
      <c r="D2206" s="341"/>
    </row>
    <row r="2207" spans="1:4">
      <c r="A2207" s="341"/>
      <c r="B2207" s="297"/>
      <c r="C2207" s="296"/>
      <c r="D2207" s="341"/>
    </row>
    <row r="2208" spans="1:4">
      <c r="A2208" s="341"/>
      <c r="B2208" s="297"/>
      <c r="C2208" s="296"/>
      <c r="D2208" s="341"/>
    </row>
    <row r="2209" spans="1:4">
      <c r="A2209" s="341"/>
      <c r="B2209" s="297"/>
      <c r="C2209" s="296"/>
      <c r="D2209" s="341"/>
    </row>
    <row r="2210" spans="1:4">
      <c r="A2210" s="341"/>
      <c r="B2210" s="297"/>
      <c r="C2210" s="296"/>
      <c r="D2210" s="341"/>
    </row>
    <row r="2211" spans="1:4">
      <c r="A2211" s="341"/>
      <c r="B2211" s="297"/>
      <c r="C2211" s="296"/>
      <c r="D2211" s="341"/>
    </row>
    <row r="2212" spans="1:4">
      <c r="A2212" s="341"/>
      <c r="B2212" s="297"/>
      <c r="C2212" s="296"/>
      <c r="D2212" s="341"/>
    </row>
    <row r="2213" spans="1:4">
      <c r="A2213" s="341"/>
      <c r="B2213" s="297"/>
      <c r="C2213" s="296"/>
      <c r="D2213" s="341"/>
    </row>
    <row r="2214" spans="1:4">
      <c r="A2214" s="341"/>
      <c r="B2214" s="297"/>
      <c r="C2214" s="296"/>
      <c r="D2214" s="341"/>
    </row>
    <row r="2215" spans="1:4">
      <c r="A2215" s="341"/>
      <c r="B2215" s="297"/>
      <c r="C2215" s="296"/>
      <c r="D2215" s="341"/>
    </row>
    <row r="2216" spans="1:4">
      <c r="A2216" s="341"/>
      <c r="B2216" s="297"/>
      <c r="C2216" s="296"/>
      <c r="D2216" s="341"/>
    </row>
    <row r="2217" spans="1:4">
      <c r="A2217" s="341"/>
      <c r="B2217" s="297"/>
      <c r="C2217" s="296"/>
      <c r="D2217" s="341"/>
    </row>
    <row r="2218" spans="1:4">
      <c r="A2218" s="341"/>
      <c r="B2218" s="297"/>
      <c r="C2218" s="296"/>
      <c r="D2218" s="341"/>
    </row>
    <row r="2219" spans="1:4">
      <c r="A2219" s="341"/>
      <c r="B2219" s="297"/>
      <c r="C2219" s="296"/>
      <c r="D2219" s="341"/>
    </row>
    <row r="2220" spans="1:4">
      <c r="A2220" s="341"/>
      <c r="B2220" s="297"/>
      <c r="C2220" s="296"/>
      <c r="D2220" s="341"/>
    </row>
    <row r="2221" spans="1:4">
      <c r="A2221" s="341"/>
      <c r="B2221" s="297"/>
      <c r="C2221" s="296"/>
      <c r="D2221" s="341"/>
    </row>
    <row r="2222" spans="1:4">
      <c r="A2222" s="341"/>
      <c r="B2222" s="297"/>
      <c r="C2222" s="296"/>
      <c r="D2222" s="341"/>
    </row>
    <row r="2223" spans="1:4">
      <c r="A2223" s="341"/>
      <c r="B2223" s="297"/>
      <c r="C2223" s="296"/>
      <c r="D2223" s="341"/>
    </row>
    <row r="2224" spans="1:4">
      <c r="A2224" s="341"/>
      <c r="B2224" s="297"/>
      <c r="C2224" s="296"/>
      <c r="D2224" s="341"/>
    </row>
    <row r="2225" spans="1:4">
      <c r="A2225" s="341"/>
      <c r="B2225" s="297"/>
      <c r="C2225" s="296"/>
      <c r="D2225" s="341"/>
    </row>
    <row r="2226" spans="1:4">
      <c r="A2226" s="341"/>
      <c r="B2226" s="297"/>
      <c r="C2226" s="296"/>
      <c r="D2226" s="341"/>
    </row>
    <row r="2227" spans="1:4">
      <c r="A2227" s="341"/>
      <c r="B2227" s="297"/>
      <c r="C2227" s="296"/>
      <c r="D2227" s="341"/>
    </row>
    <row r="2228" spans="1:4">
      <c r="A2228" s="341"/>
      <c r="B2228" s="297"/>
      <c r="C2228" s="296"/>
      <c r="D2228" s="341"/>
    </row>
    <row r="2229" spans="1:4">
      <c r="A2229" s="341"/>
      <c r="B2229" s="297"/>
      <c r="C2229" s="296"/>
      <c r="D2229" s="341"/>
    </row>
    <row r="2230" spans="1:4">
      <c r="A2230" s="341"/>
      <c r="B2230" s="297"/>
      <c r="C2230" s="296"/>
      <c r="D2230" s="341"/>
    </row>
    <row r="2231" spans="1:4">
      <c r="A2231" s="341"/>
      <c r="B2231" s="297"/>
      <c r="C2231" s="296"/>
      <c r="D2231" s="341"/>
    </row>
    <row r="2232" spans="1:4">
      <c r="A2232" s="341"/>
      <c r="B2232" s="297"/>
      <c r="C2232" s="296"/>
      <c r="D2232" s="341"/>
    </row>
    <row r="2233" spans="1:4">
      <c r="A2233" s="341"/>
      <c r="B2233" s="297"/>
      <c r="C2233" s="296"/>
      <c r="D2233" s="341"/>
    </row>
    <row r="2234" spans="1:4">
      <c r="A2234" s="341"/>
      <c r="B2234" s="297"/>
      <c r="C2234" s="296"/>
      <c r="D2234" s="341"/>
    </row>
    <row r="2235" spans="1:4">
      <c r="A2235" s="341"/>
      <c r="B2235" s="297"/>
      <c r="C2235" s="296"/>
      <c r="D2235" s="341"/>
    </row>
    <row r="2236" spans="1:4">
      <c r="A2236" s="341"/>
      <c r="B2236" s="297"/>
      <c r="C2236" s="296"/>
      <c r="D2236" s="341"/>
    </row>
    <row r="2237" spans="1:4">
      <c r="A2237" s="341"/>
      <c r="B2237" s="297"/>
      <c r="C2237" s="296"/>
      <c r="D2237" s="341"/>
    </row>
    <row r="2238" spans="1:4">
      <c r="A2238" s="341"/>
      <c r="B2238" s="297"/>
      <c r="C2238" s="296"/>
      <c r="D2238" s="341"/>
    </row>
    <row r="2239" spans="1:4">
      <c r="A2239" s="341"/>
      <c r="B2239" s="297"/>
      <c r="C2239" s="296"/>
      <c r="D2239" s="341"/>
    </row>
    <row r="2240" spans="1:4">
      <c r="A2240" s="341"/>
      <c r="B2240" s="297"/>
      <c r="C2240" s="296"/>
      <c r="D2240" s="341"/>
    </row>
    <row r="2241" spans="1:4">
      <c r="A2241" s="341"/>
      <c r="B2241" s="297"/>
      <c r="C2241" s="296"/>
      <c r="D2241" s="341"/>
    </row>
    <row r="2242" spans="1:4">
      <c r="A2242" s="341"/>
      <c r="B2242" s="297"/>
      <c r="C2242" s="296"/>
      <c r="D2242" s="341"/>
    </row>
    <row r="2243" spans="1:4">
      <c r="A2243" s="341"/>
      <c r="B2243" s="297"/>
      <c r="C2243" s="296"/>
      <c r="D2243" s="341"/>
    </row>
    <row r="2244" spans="1:4">
      <c r="A2244" s="341"/>
      <c r="B2244" s="297"/>
      <c r="C2244" s="296"/>
      <c r="D2244" s="341"/>
    </row>
    <row r="2245" spans="1:4">
      <c r="A2245" s="341"/>
      <c r="B2245" s="297"/>
      <c r="C2245" s="296"/>
      <c r="D2245" s="341"/>
    </row>
    <row r="2246" spans="1:4">
      <c r="A2246" s="341"/>
      <c r="B2246" s="297"/>
      <c r="C2246" s="296"/>
      <c r="D2246" s="341"/>
    </row>
    <row r="2247" spans="1:4">
      <c r="A2247" s="341"/>
      <c r="B2247" s="297"/>
      <c r="C2247" s="296"/>
      <c r="D2247" s="341"/>
    </row>
    <row r="2248" spans="1:4">
      <c r="A2248" s="341"/>
      <c r="B2248" s="297"/>
      <c r="C2248" s="296"/>
      <c r="D2248" s="341"/>
    </row>
    <row r="2249" spans="1:4">
      <c r="A2249" s="341"/>
      <c r="B2249" s="297"/>
      <c r="C2249" s="296"/>
      <c r="D2249" s="341"/>
    </row>
    <row r="2250" spans="1:4">
      <c r="A2250" s="341"/>
      <c r="B2250" s="297"/>
      <c r="C2250" s="296"/>
      <c r="D2250" s="341"/>
    </row>
    <row r="2251" spans="1:4">
      <c r="A2251" s="341"/>
      <c r="B2251" s="297"/>
      <c r="C2251" s="296"/>
      <c r="D2251" s="341"/>
    </row>
    <row r="2252" spans="1:4">
      <c r="A2252" s="341"/>
      <c r="B2252" s="297"/>
      <c r="C2252" s="296"/>
      <c r="D2252" s="341"/>
    </row>
    <row r="2253" spans="1:4">
      <c r="A2253" s="341"/>
      <c r="B2253" s="297"/>
      <c r="C2253" s="296"/>
      <c r="D2253" s="341"/>
    </row>
    <row r="2254" spans="1:4">
      <c r="A2254" s="341"/>
      <c r="B2254" s="297"/>
      <c r="C2254" s="296"/>
      <c r="D2254" s="341"/>
    </row>
    <row r="2255" spans="1:4">
      <c r="A2255" s="341"/>
      <c r="B2255" s="297"/>
      <c r="C2255" s="296"/>
      <c r="D2255" s="341"/>
    </row>
    <row r="2256" spans="1:4">
      <c r="A2256" s="341"/>
      <c r="B2256" s="297"/>
      <c r="C2256" s="296"/>
      <c r="D2256" s="341"/>
    </row>
    <row r="2257" spans="1:4">
      <c r="A2257" s="341"/>
      <c r="B2257" s="297"/>
      <c r="C2257" s="296"/>
      <c r="D2257" s="341"/>
    </row>
    <row r="2258" spans="1:4">
      <c r="A2258" s="341"/>
      <c r="B2258" s="297"/>
      <c r="C2258" s="296"/>
      <c r="D2258" s="341"/>
    </row>
    <row r="2259" spans="1:4">
      <c r="A2259" s="341"/>
      <c r="B2259" s="297"/>
      <c r="C2259" s="296"/>
      <c r="D2259" s="341"/>
    </row>
    <row r="2260" spans="1:4">
      <c r="A2260" s="341"/>
      <c r="B2260" s="297"/>
      <c r="C2260" s="296"/>
      <c r="D2260" s="341"/>
    </row>
    <row r="2261" spans="1:4">
      <c r="A2261" s="341"/>
      <c r="B2261" s="297"/>
      <c r="C2261" s="296"/>
      <c r="D2261" s="341"/>
    </row>
    <row r="2262" spans="1:4">
      <c r="A2262" s="341"/>
      <c r="B2262" s="297"/>
      <c r="C2262" s="296"/>
      <c r="D2262" s="341"/>
    </row>
    <row r="2263" spans="1:4">
      <c r="A2263" s="341"/>
      <c r="B2263" s="297"/>
      <c r="C2263" s="296"/>
      <c r="D2263" s="341"/>
    </row>
    <row r="2264" spans="1:4">
      <c r="A2264" s="341"/>
      <c r="B2264" s="297"/>
      <c r="C2264" s="296"/>
      <c r="D2264" s="341"/>
    </row>
    <row r="2265" spans="1:4">
      <c r="A2265" s="341"/>
      <c r="B2265" s="297"/>
      <c r="C2265" s="296"/>
      <c r="D2265" s="341"/>
    </row>
    <row r="2266" spans="1:4">
      <c r="A2266" s="341"/>
      <c r="B2266" s="297"/>
      <c r="C2266" s="296"/>
      <c r="D2266" s="341"/>
    </row>
    <row r="2267" spans="1:4">
      <c r="A2267" s="341"/>
      <c r="B2267" s="297"/>
      <c r="C2267" s="296"/>
      <c r="D2267" s="341"/>
    </row>
    <row r="2268" spans="1:4">
      <c r="A2268" s="341"/>
      <c r="B2268" s="297"/>
      <c r="C2268" s="296"/>
      <c r="D2268" s="341"/>
    </row>
    <row r="2269" spans="1:4">
      <c r="A2269" s="341"/>
      <c r="B2269" s="297"/>
      <c r="C2269" s="296"/>
      <c r="D2269" s="341"/>
    </row>
    <row r="2270" spans="1:4">
      <c r="A2270" s="341"/>
      <c r="B2270" s="297"/>
      <c r="C2270" s="296"/>
      <c r="D2270" s="341"/>
    </row>
    <row r="2271" spans="1:4">
      <c r="A2271" s="341"/>
      <c r="B2271" s="297"/>
      <c r="C2271" s="296"/>
      <c r="D2271" s="341"/>
    </row>
    <row r="2272" spans="1:4">
      <c r="A2272" s="341"/>
      <c r="B2272" s="297"/>
      <c r="C2272" s="296"/>
      <c r="D2272" s="341"/>
    </row>
    <row r="2273" spans="1:4">
      <c r="A2273" s="341"/>
      <c r="B2273" s="297"/>
      <c r="C2273" s="296"/>
      <c r="D2273" s="341"/>
    </row>
    <row r="2274" spans="1:4">
      <c r="A2274" s="341"/>
      <c r="B2274" s="297"/>
      <c r="C2274" s="296"/>
      <c r="D2274" s="341"/>
    </row>
    <row r="2275" spans="1:4">
      <c r="A2275" s="341"/>
      <c r="B2275" s="297"/>
      <c r="C2275" s="296"/>
      <c r="D2275" s="341"/>
    </row>
    <row r="2276" spans="1:4">
      <c r="A2276" s="341"/>
      <c r="B2276" s="297"/>
      <c r="C2276" s="296"/>
      <c r="D2276" s="341"/>
    </row>
    <row r="2277" spans="1:4">
      <c r="A2277" s="341"/>
      <c r="B2277" s="297"/>
      <c r="C2277" s="296"/>
      <c r="D2277" s="341"/>
    </row>
    <row r="2278" spans="1:4">
      <c r="A2278" s="341"/>
      <c r="B2278" s="297"/>
      <c r="C2278" s="296"/>
      <c r="D2278" s="341"/>
    </row>
    <row r="2279" spans="1:4">
      <c r="A2279" s="341"/>
      <c r="B2279" s="297"/>
      <c r="C2279" s="296"/>
      <c r="D2279" s="341"/>
    </row>
    <row r="2280" spans="1:4">
      <c r="A2280" s="341"/>
      <c r="B2280" s="297"/>
      <c r="C2280" s="296"/>
      <c r="D2280" s="341"/>
    </row>
    <row r="2281" spans="1:4">
      <c r="A2281" s="341"/>
      <c r="B2281" s="297"/>
      <c r="C2281" s="296"/>
      <c r="D2281" s="341"/>
    </row>
    <row r="2282" spans="1:4">
      <c r="A2282" s="341"/>
      <c r="B2282" s="297"/>
      <c r="C2282" s="296"/>
      <c r="D2282" s="341"/>
    </row>
    <row r="2283" spans="1:4">
      <c r="A2283" s="341"/>
      <c r="B2283" s="297"/>
      <c r="C2283" s="296"/>
      <c r="D2283" s="341"/>
    </row>
    <row r="2284" spans="1:4">
      <c r="A2284" s="341"/>
      <c r="B2284" s="297"/>
      <c r="C2284" s="296"/>
      <c r="D2284" s="341"/>
    </row>
    <row r="2285" spans="1:4">
      <c r="A2285" s="341"/>
      <c r="B2285" s="297"/>
      <c r="C2285" s="296"/>
      <c r="D2285" s="341"/>
    </row>
    <row r="2286" spans="1:4">
      <c r="A2286" s="341"/>
      <c r="B2286" s="297"/>
      <c r="C2286" s="296"/>
      <c r="D2286" s="341"/>
    </row>
    <row r="2287" spans="1:4">
      <c r="A2287" s="341"/>
      <c r="B2287" s="297"/>
      <c r="C2287" s="296"/>
      <c r="D2287" s="341"/>
    </row>
    <row r="2288" spans="1:4">
      <c r="A2288" s="341"/>
      <c r="B2288" s="297"/>
      <c r="C2288" s="296"/>
      <c r="D2288" s="341"/>
    </row>
    <row r="2289" spans="1:4">
      <c r="A2289" s="341"/>
      <c r="B2289" s="297"/>
      <c r="C2289" s="296"/>
      <c r="D2289" s="341"/>
    </row>
    <row r="2290" spans="1:4">
      <c r="A2290" s="341"/>
      <c r="B2290" s="297"/>
      <c r="C2290" s="296"/>
      <c r="D2290" s="341"/>
    </row>
    <row r="2291" spans="1:4">
      <c r="A2291" s="341"/>
      <c r="B2291" s="297"/>
      <c r="C2291" s="296"/>
      <c r="D2291" s="341"/>
    </row>
    <row r="2292" spans="1:4">
      <c r="A2292" s="341"/>
      <c r="B2292" s="297"/>
      <c r="C2292" s="296"/>
      <c r="D2292" s="341"/>
    </row>
    <row r="2293" spans="1:4">
      <c r="A2293" s="341"/>
      <c r="B2293" s="297"/>
      <c r="C2293" s="296"/>
      <c r="D2293" s="341"/>
    </row>
    <row r="2294" spans="1:4">
      <c r="A2294" s="341"/>
      <c r="B2294" s="297"/>
      <c r="C2294" s="296"/>
      <c r="D2294" s="341"/>
    </row>
    <row r="2295" spans="1:4">
      <c r="A2295" s="341"/>
      <c r="B2295" s="297"/>
      <c r="C2295" s="296"/>
      <c r="D2295" s="341"/>
    </row>
    <row r="2296" spans="1:4">
      <c r="A2296" s="341"/>
      <c r="B2296" s="297"/>
      <c r="C2296" s="296"/>
      <c r="D2296" s="341"/>
    </row>
    <row r="2297" spans="1:4">
      <c r="A2297" s="341"/>
      <c r="B2297" s="297"/>
      <c r="C2297" s="296"/>
      <c r="D2297" s="341"/>
    </row>
    <row r="2298" spans="1:4">
      <c r="A2298" s="341"/>
      <c r="B2298" s="297"/>
      <c r="C2298" s="296"/>
      <c r="D2298" s="341"/>
    </row>
    <row r="2299" spans="1:4">
      <c r="A2299" s="341"/>
      <c r="B2299" s="297"/>
      <c r="C2299" s="296"/>
      <c r="D2299" s="341"/>
    </row>
    <row r="2300" spans="1:4">
      <c r="A2300" s="341"/>
      <c r="B2300" s="297"/>
      <c r="C2300" s="296"/>
      <c r="D2300" s="341"/>
    </row>
    <row r="2301" spans="1:4">
      <c r="A2301" s="341"/>
      <c r="B2301" s="297"/>
      <c r="C2301" s="296"/>
      <c r="D2301" s="341"/>
    </row>
    <row r="2302" spans="1:4">
      <c r="A2302" s="341"/>
      <c r="B2302" s="297"/>
      <c r="C2302" s="296"/>
      <c r="D2302" s="341"/>
    </row>
    <row r="2303" spans="1:4">
      <c r="A2303" s="341"/>
      <c r="B2303" s="297"/>
      <c r="C2303" s="296"/>
      <c r="D2303" s="341"/>
    </row>
    <row r="2304" spans="1:4">
      <c r="A2304" s="341"/>
      <c r="B2304" s="297"/>
      <c r="C2304" s="296"/>
      <c r="D2304" s="341"/>
    </row>
    <row r="2305" spans="1:4">
      <c r="A2305" s="341"/>
      <c r="B2305" s="297"/>
      <c r="C2305" s="296"/>
      <c r="D2305" s="341"/>
    </row>
    <row r="2306" spans="1:4">
      <c r="A2306" s="341"/>
      <c r="B2306" s="297"/>
      <c r="C2306" s="296"/>
      <c r="D2306" s="341"/>
    </row>
    <row r="2307" spans="1:4">
      <c r="A2307" s="341"/>
      <c r="B2307" s="297"/>
      <c r="C2307" s="296"/>
      <c r="D2307" s="341"/>
    </row>
    <row r="2308" spans="1:4">
      <c r="A2308" s="341"/>
      <c r="B2308" s="297"/>
      <c r="C2308" s="296"/>
      <c r="D2308" s="341"/>
    </row>
    <row r="2309" spans="1:4">
      <c r="A2309" s="341"/>
      <c r="B2309" s="297"/>
      <c r="C2309" s="296"/>
      <c r="D2309" s="341"/>
    </row>
    <row r="2310" spans="1:4">
      <c r="A2310" s="341"/>
      <c r="B2310" s="297"/>
      <c r="C2310" s="296"/>
      <c r="D2310" s="341"/>
    </row>
    <row r="2311" spans="1:4">
      <c r="A2311" s="341"/>
      <c r="B2311" s="297"/>
      <c r="C2311" s="296"/>
      <c r="D2311" s="341"/>
    </row>
    <row r="2312" spans="1:4">
      <c r="A2312" s="341"/>
      <c r="B2312" s="297"/>
      <c r="C2312" s="296"/>
      <c r="D2312" s="341"/>
    </row>
    <row r="2313" spans="1:4">
      <c r="A2313" s="341"/>
      <c r="B2313" s="297"/>
      <c r="C2313" s="296"/>
      <c r="D2313" s="341"/>
    </row>
    <row r="2314" spans="1:4">
      <c r="A2314" s="341"/>
      <c r="B2314" s="297"/>
      <c r="C2314" s="296"/>
      <c r="D2314" s="341"/>
    </row>
    <row r="2315" spans="1:4">
      <c r="A2315" s="341"/>
      <c r="B2315" s="297"/>
      <c r="C2315" s="296"/>
      <c r="D2315" s="341"/>
    </row>
    <row r="2316" spans="1:4">
      <c r="A2316" s="341"/>
      <c r="B2316" s="297"/>
      <c r="C2316" s="296"/>
      <c r="D2316" s="341"/>
    </row>
    <row r="2317" spans="1:4">
      <c r="A2317" s="341"/>
      <c r="B2317" s="297"/>
      <c r="C2317" s="296"/>
      <c r="D2317" s="341"/>
    </row>
    <row r="2318" spans="1:4">
      <c r="A2318" s="341"/>
      <c r="B2318" s="297"/>
      <c r="C2318" s="296"/>
      <c r="D2318" s="341"/>
    </row>
    <row r="2319" spans="1:4">
      <c r="A2319" s="341"/>
      <c r="B2319" s="297"/>
      <c r="C2319" s="296"/>
      <c r="D2319" s="341"/>
    </row>
    <row r="2320" spans="1:4">
      <c r="A2320" s="341"/>
      <c r="B2320" s="297"/>
      <c r="C2320" s="296"/>
      <c r="D2320" s="341"/>
    </row>
    <row r="2321" spans="1:4">
      <c r="A2321" s="341"/>
      <c r="B2321" s="297"/>
      <c r="C2321" s="296"/>
      <c r="D2321" s="341"/>
    </row>
    <row r="2322" spans="1:4">
      <c r="A2322" s="341"/>
      <c r="B2322" s="297"/>
      <c r="C2322" s="296"/>
      <c r="D2322" s="341"/>
    </row>
    <row r="2323" spans="1:4">
      <c r="A2323" s="341"/>
      <c r="B2323" s="297"/>
      <c r="C2323" s="296"/>
      <c r="D2323" s="341"/>
    </row>
    <row r="2324" spans="1:4">
      <c r="A2324" s="341"/>
      <c r="B2324" s="297"/>
      <c r="C2324" s="296"/>
      <c r="D2324" s="341"/>
    </row>
    <row r="2325" spans="1:4">
      <c r="A2325" s="341"/>
      <c r="B2325" s="297"/>
      <c r="C2325" s="296"/>
      <c r="D2325" s="341"/>
    </row>
    <row r="2326" spans="1:4">
      <c r="A2326" s="341"/>
      <c r="B2326" s="297"/>
      <c r="C2326" s="296"/>
      <c r="D2326" s="341"/>
    </row>
    <row r="2327" spans="1:4">
      <c r="A2327" s="341"/>
      <c r="B2327" s="297"/>
      <c r="C2327" s="296"/>
      <c r="D2327" s="341"/>
    </row>
    <row r="2328" spans="1:4">
      <c r="A2328" s="341"/>
      <c r="B2328" s="297"/>
      <c r="C2328" s="296"/>
      <c r="D2328" s="341"/>
    </row>
    <row r="2329" spans="1:4">
      <c r="A2329" s="341"/>
      <c r="B2329" s="297"/>
      <c r="C2329" s="296"/>
      <c r="D2329" s="341"/>
    </row>
    <row r="2330" spans="1:4">
      <c r="A2330" s="341"/>
      <c r="B2330" s="297"/>
      <c r="C2330" s="296"/>
      <c r="D2330" s="341"/>
    </row>
    <row r="2331" spans="1:4">
      <c r="A2331" s="341"/>
      <c r="B2331" s="297"/>
      <c r="C2331" s="296"/>
      <c r="D2331" s="341"/>
    </row>
    <row r="2332" spans="1:4">
      <c r="A2332" s="341"/>
      <c r="B2332" s="297"/>
      <c r="C2332" s="296"/>
      <c r="D2332" s="341"/>
    </row>
    <row r="2333" spans="1:4">
      <c r="A2333" s="341"/>
      <c r="B2333" s="297"/>
      <c r="C2333" s="296"/>
      <c r="D2333" s="341"/>
    </row>
    <row r="2334" spans="1:4">
      <c r="A2334" s="341"/>
      <c r="B2334" s="297"/>
      <c r="C2334" s="296"/>
      <c r="D2334" s="341"/>
    </row>
    <row r="2335" spans="1:4">
      <c r="A2335" s="341"/>
      <c r="B2335" s="297"/>
      <c r="C2335" s="296"/>
      <c r="D2335" s="341"/>
    </row>
    <row r="2336" spans="1:4">
      <c r="A2336" s="341"/>
      <c r="B2336" s="297"/>
      <c r="C2336" s="296"/>
      <c r="D2336" s="341"/>
    </row>
    <row r="2337" spans="1:4">
      <c r="A2337" s="341"/>
      <c r="B2337" s="297"/>
      <c r="C2337" s="296"/>
      <c r="D2337" s="341"/>
    </row>
    <row r="2338" spans="1:4">
      <c r="A2338" s="341"/>
      <c r="B2338" s="297"/>
      <c r="C2338" s="296"/>
      <c r="D2338" s="341"/>
    </row>
    <row r="2339" spans="1:4">
      <c r="A2339" s="341"/>
      <c r="B2339" s="297"/>
      <c r="C2339" s="296"/>
      <c r="D2339" s="341"/>
    </row>
    <row r="2340" spans="1:4">
      <c r="A2340" s="341"/>
      <c r="B2340" s="297"/>
      <c r="C2340" s="296"/>
      <c r="D2340" s="341"/>
    </row>
    <row r="2341" spans="1:4">
      <c r="A2341" s="341"/>
      <c r="B2341" s="297"/>
      <c r="C2341" s="296"/>
      <c r="D2341" s="341"/>
    </row>
    <row r="2342" spans="1:4">
      <c r="A2342" s="341"/>
      <c r="B2342" s="297"/>
      <c r="C2342" s="296"/>
      <c r="D2342" s="341"/>
    </row>
    <row r="2343" spans="1:4">
      <c r="A2343" s="341"/>
      <c r="B2343" s="297"/>
      <c r="C2343" s="296"/>
      <c r="D2343" s="341"/>
    </row>
    <row r="2344" spans="1:4">
      <c r="A2344" s="341"/>
      <c r="B2344" s="297"/>
      <c r="C2344" s="296"/>
      <c r="D2344" s="341"/>
    </row>
    <row r="2345" spans="1:4">
      <c r="A2345" s="341"/>
      <c r="B2345" s="297"/>
      <c r="C2345" s="296"/>
      <c r="D2345" s="341"/>
    </row>
    <row r="2346" spans="1:4">
      <c r="A2346" s="341"/>
      <c r="B2346" s="297"/>
      <c r="C2346" s="296"/>
      <c r="D2346" s="341"/>
    </row>
    <row r="2347" spans="1:4">
      <c r="A2347" s="341"/>
      <c r="B2347" s="297"/>
      <c r="C2347" s="296"/>
      <c r="D2347" s="341"/>
    </row>
    <row r="2348" spans="1:4">
      <c r="A2348" s="341"/>
      <c r="B2348" s="297"/>
      <c r="C2348" s="296"/>
      <c r="D2348" s="341"/>
    </row>
    <row r="2349" spans="1:4">
      <c r="A2349" s="341"/>
      <c r="B2349" s="297"/>
      <c r="C2349" s="296"/>
      <c r="D2349" s="341"/>
    </row>
    <row r="2350" spans="1:4">
      <c r="A2350" s="341"/>
      <c r="B2350" s="297"/>
      <c r="C2350" s="296"/>
      <c r="D2350" s="341"/>
    </row>
    <row r="2351" spans="1:4">
      <c r="A2351" s="341"/>
      <c r="B2351" s="297"/>
      <c r="C2351" s="296"/>
      <c r="D2351" s="341"/>
    </row>
    <row r="2352" spans="1:4">
      <c r="A2352" s="341"/>
      <c r="B2352" s="297"/>
      <c r="C2352" s="296"/>
      <c r="D2352" s="341"/>
    </row>
    <row r="2353" spans="1:4">
      <c r="A2353" s="341"/>
      <c r="B2353" s="297"/>
      <c r="C2353" s="296"/>
      <c r="D2353" s="341"/>
    </row>
    <row r="2354" spans="1:4">
      <c r="A2354" s="341"/>
      <c r="B2354" s="297"/>
      <c r="C2354" s="296"/>
      <c r="D2354" s="341"/>
    </row>
    <row r="2355" spans="1:4">
      <c r="A2355" s="341"/>
      <c r="B2355" s="297"/>
      <c r="C2355" s="296"/>
      <c r="D2355" s="341"/>
    </row>
    <row r="2356" spans="1:4">
      <c r="A2356" s="341"/>
      <c r="B2356" s="297"/>
      <c r="C2356" s="296"/>
      <c r="D2356" s="341"/>
    </row>
    <row r="2357" spans="1:4">
      <c r="A2357" s="341"/>
      <c r="B2357" s="297"/>
      <c r="C2357" s="296"/>
      <c r="D2357" s="341"/>
    </row>
    <row r="2358" spans="1:4">
      <c r="A2358" s="341"/>
      <c r="B2358" s="297"/>
      <c r="C2358" s="296"/>
      <c r="D2358" s="341"/>
    </row>
    <row r="2359" spans="1:4">
      <c r="A2359" s="341"/>
      <c r="B2359" s="297"/>
      <c r="C2359" s="296"/>
      <c r="D2359" s="341"/>
    </row>
    <row r="2360" spans="1:4">
      <c r="A2360" s="341"/>
      <c r="B2360" s="297"/>
      <c r="C2360" s="296"/>
      <c r="D2360" s="341"/>
    </row>
    <row r="2361" spans="1:4">
      <c r="A2361" s="341"/>
      <c r="B2361" s="297"/>
      <c r="C2361" s="296"/>
      <c r="D2361" s="341"/>
    </row>
    <row r="2362" spans="1:4">
      <c r="A2362" s="341"/>
      <c r="B2362" s="297"/>
      <c r="C2362" s="296"/>
      <c r="D2362" s="341"/>
    </row>
    <row r="2363" spans="1:4">
      <c r="A2363" s="341"/>
      <c r="B2363" s="297"/>
      <c r="C2363" s="296"/>
      <c r="D2363" s="341"/>
    </row>
    <row r="2364" spans="1:4">
      <c r="A2364" s="341"/>
      <c r="B2364" s="297"/>
      <c r="C2364" s="296"/>
      <c r="D2364" s="341"/>
    </row>
    <row r="2365" spans="1:4">
      <c r="A2365" s="341"/>
      <c r="B2365" s="297"/>
      <c r="C2365" s="296"/>
      <c r="D2365" s="341"/>
    </row>
    <row r="2366" spans="1:4">
      <c r="A2366" s="341"/>
      <c r="B2366" s="297"/>
      <c r="C2366" s="296"/>
      <c r="D2366" s="341"/>
    </row>
    <row r="2367" spans="1:4">
      <c r="A2367" s="341"/>
      <c r="B2367" s="297"/>
      <c r="C2367" s="296"/>
      <c r="D2367" s="341"/>
    </row>
    <row r="2368" spans="1:4">
      <c r="A2368" s="341"/>
      <c r="B2368" s="297"/>
      <c r="C2368" s="296"/>
      <c r="D2368" s="341"/>
    </row>
    <row r="2369" spans="1:4">
      <c r="A2369" s="341"/>
      <c r="B2369" s="297"/>
      <c r="C2369" s="296"/>
      <c r="D2369" s="341"/>
    </row>
    <row r="2370" spans="1:4">
      <c r="A2370" s="341"/>
      <c r="B2370" s="297"/>
      <c r="C2370" s="296"/>
      <c r="D2370" s="341"/>
    </row>
    <row r="2371" spans="1:4">
      <c r="A2371" s="341"/>
      <c r="B2371" s="297"/>
      <c r="C2371" s="296"/>
      <c r="D2371" s="341"/>
    </row>
    <row r="2372" spans="1:4">
      <c r="A2372" s="341"/>
      <c r="B2372" s="297"/>
      <c r="C2372" s="296"/>
      <c r="D2372" s="341"/>
    </row>
    <row r="2373" spans="1:4">
      <c r="A2373" s="341"/>
      <c r="B2373" s="297"/>
      <c r="C2373" s="296"/>
      <c r="D2373" s="341"/>
    </row>
    <row r="2374" spans="1:4">
      <c r="A2374" s="341"/>
      <c r="B2374" s="297"/>
      <c r="C2374" s="296"/>
      <c r="D2374" s="341"/>
    </row>
    <row r="2375" spans="1:4">
      <c r="A2375" s="341"/>
      <c r="B2375" s="297"/>
      <c r="C2375" s="296"/>
      <c r="D2375" s="341"/>
    </row>
    <row r="2376" spans="1:4">
      <c r="A2376" s="341"/>
      <c r="B2376" s="297"/>
      <c r="C2376" s="296"/>
      <c r="D2376" s="341"/>
    </row>
    <row r="2377" spans="1:4">
      <c r="A2377" s="341"/>
      <c r="B2377" s="297"/>
      <c r="C2377" s="296"/>
      <c r="D2377" s="341"/>
    </row>
    <row r="2378" spans="1:4">
      <c r="A2378" s="341"/>
      <c r="B2378" s="297"/>
      <c r="C2378" s="296"/>
      <c r="D2378" s="341"/>
    </row>
    <row r="2379" spans="1:4">
      <c r="A2379" s="341"/>
      <c r="B2379" s="297"/>
      <c r="C2379" s="296"/>
      <c r="D2379" s="341"/>
    </row>
    <row r="2380" spans="1:4">
      <c r="A2380" s="341"/>
      <c r="B2380" s="297"/>
      <c r="C2380" s="296"/>
      <c r="D2380" s="341"/>
    </row>
    <row r="2381" spans="1:4">
      <c r="A2381" s="341"/>
      <c r="B2381" s="297"/>
      <c r="C2381" s="296"/>
      <c r="D2381" s="341"/>
    </row>
    <row r="2382" spans="1:4">
      <c r="A2382" s="341"/>
      <c r="B2382" s="297"/>
      <c r="C2382" s="296"/>
      <c r="D2382" s="341"/>
    </row>
    <row r="2383" spans="1:4">
      <c r="A2383" s="341"/>
      <c r="B2383" s="297"/>
      <c r="C2383" s="296"/>
      <c r="D2383" s="341"/>
    </row>
    <row r="2384" spans="1:4">
      <c r="A2384" s="341"/>
      <c r="B2384" s="297"/>
      <c r="C2384" s="296"/>
      <c r="D2384" s="341"/>
    </row>
    <row r="2385" spans="1:4">
      <c r="A2385" s="341"/>
      <c r="B2385" s="297"/>
      <c r="C2385" s="296"/>
      <c r="D2385" s="341"/>
    </row>
    <row r="2386" spans="1:4">
      <c r="A2386" s="341"/>
      <c r="B2386" s="297"/>
      <c r="C2386" s="296"/>
      <c r="D2386" s="341"/>
    </row>
    <row r="2387" spans="1:4">
      <c r="A2387" s="341"/>
      <c r="B2387" s="297"/>
      <c r="C2387" s="296"/>
      <c r="D2387" s="341"/>
    </row>
    <row r="2388" spans="1:4">
      <c r="A2388" s="341"/>
      <c r="B2388" s="297"/>
      <c r="C2388" s="296"/>
      <c r="D2388" s="341"/>
    </row>
    <row r="2389" spans="1:4">
      <c r="A2389" s="341"/>
      <c r="B2389" s="297"/>
      <c r="C2389" s="296"/>
      <c r="D2389" s="341"/>
    </row>
    <row r="2390" spans="1:4">
      <c r="A2390" s="341"/>
      <c r="B2390" s="297"/>
      <c r="C2390" s="296"/>
      <c r="D2390" s="341"/>
    </row>
    <row r="2391" spans="1:4">
      <c r="A2391" s="341"/>
      <c r="B2391" s="297"/>
      <c r="C2391" s="296"/>
      <c r="D2391" s="341"/>
    </row>
    <row r="2392" spans="1:4">
      <c r="A2392" s="341"/>
      <c r="B2392" s="297"/>
      <c r="C2392" s="296"/>
      <c r="D2392" s="341"/>
    </row>
    <row r="2393" spans="1:4">
      <c r="A2393" s="341"/>
      <c r="B2393" s="297"/>
      <c r="C2393" s="296"/>
      <c r="D2393" s="341"/>
    </row>
    <row r="2394" spans="1:4">
      <c r="A2394" s="341"/>
      <c r="B2394" s="297"/>
      <c r="C2394" s="296"/>
      <c r="D2394" s="341"/>
    </row>
    <row r="2395" spans="1:4">
      <c r="A2395" s="341"/>
      <c r="B2395" s="297"/>
      <c r="C2395" s="296"/>
      <c r="D2395" s="341"/>
    </row>
    <row r="2396" spans="1:4">
      <c r="A2396" s="341"/>
      <c r="B2396" s="297"/>
      <c r="C2396" s="296"/>
      <c r="D2396" s="341"/>
    </row>
    <row r="2397" spans="1:4">
      <c r="A2397" s="341"/>
      <c r="B2397" s="297"/>
      <c r="C2397" s="296"/>
      <c r="D2397" s="341"/>
    </row>
    <row r="2398" spans="1:4">
      <c r="A2398" s="341"/>
      <c r="B2398" s="297"/>
      <c r="C2398" s="296"/>
      <c r="D2398" s="341"/>
    </row>
    <row r="2399" spans="1:4">
      <c r="A2399" s="341"/>
      <c r="B2399" s="297"/>
      <c r="C2399" s="296"/>
      <c r="D2399" s="341"/>
    </row>
    <row r="2400" spans="1:4">
      <c r="A2400" s="341"/>
      <c r="B2400" s="297"/>
      <c r="C2400" s="296"/>
      <c r="D2400" s="341"/>
    </row>
    <row r="2401" spans="1:4">
      <c r="A2401" s="341"/>
      <c r="B2401" s="297"/>
      <c r="C2401" s="296"/>
      <c r="D2401" s="341"/>
    </row>
    <row r="2402" spans="1:4">
      <c r="A2402" s="341"/>
      <c r="B2402" s="297"/>
      <c r="C2402" s="296"/>
      <c r="D2402" s="341"/>
    </row>
    <row r="2403" spans="1:4">
      <c r="A2403" s="341"/>
      <c r="B2403" s="297"/>
      <c r="C2403" s="296"/>
      <c r="D2403" s="341"/>
    </row>
    <row r="2404" spans="1:4">
      <c r="A2404" s="341"/>
      <c r="B2404" s="297"/>
      <c r="C2404" s="296"/>
      <c r="D2404" s="341"/>
    </row>
    <row r="2405" spans="1:4">
      <c r="A2405" s="341"/>
      <c r="B2405" s="297"/>
      <c r="C2405" s="296"/>
      <c r="D2405" s="341"/>
    </row>
    <row r="2406" spans="1:4">
      <c r="A2406" s="341"/>
      <c r="B2406" s="297"/>
      <c r="C2406" s="296"/>
      <c r="D2406" s="341"/>
    </row>
    <row r="2407" spans="1:4">
      <c r="A2407" s="341"/>
      <c r="B2407" s="297"/>
      <c r="C2407" s="296"/>
      <c r="D2407" s="341"/>
    </row>
    <row r="2408" spans="1:4">
      <c r="A2408" s="341"/>
      <c r="B2408" s="297"/>
      <c r="C2408" s="296"/>
      <c r="D2408" s="341"/>
    </row>
    <row r="2409" spans="1:4">
      <c r="A2409" s="341"/>
      <c r="B2409" s="297"/>
      <c r="C2409" s="296"/>
      <c r="D2409" s="341"/>
    </row>
    <row r="2410" spans="1:4">
      <c r="A2410" s="341"/>
      <c r="B2410" s="297"/>
      <c r="C2410" s="296"/>
      <c r="D2410" s="341"/>
    </row>
    <row r="2411" spans="1:4">
      <c r="A2411" s="341"/>
      <c r="B2411" s="297"/>
      <c r="C2411" s="296"/>
      <c r="D2411" s="341"/>
    </row>
    <row r="2412" spans="1:4">
      <c r="A2412" s="341"/>
      <c r="B2412" s="297"/>
      <c r="C2412" s="296"/>
      <c r="D2412" s="341"/>
    </row>
    <row r="2413" spans="1:4">
      <c r="A2413" s="341"/>
      <c r="B2413" s="297"/>
      <c r="C2413" s="296"/>
      <c r="D2413" s="341"/>
    </row>
    <row r="2414" spans="1:4">
      <c r="A2414" s="341"/>
      <c r="B2414" s="297"/>
      <c r="C2414" s="296"/>
      <c r="D2414" s="341"/>
    </row>
    <row r="2415" spans="1:4">
      <c r="A2415" s="341"/>
      <c r="B2415" s="297"/>
      <c r="C2415" s="296"/>
      <c r="D2415" s="341"/>
    </row>
    <row r="2416" spans="1:4">
      <c r="A2416" s="341"/>
      <c r="B2416" s="297"/>
      <c r="C2416" s="296"/>
      <c r="D2416" s="341"/>
    </row>
    <row r="2417" spans="1:4">
      <c r="A2417" s="341"/>
      <c r="B2417" s="297"/>
      <c r="C2417" s="296"/>
      <c r="D2417" s="341"/>
    </row>
    <row r="2418" spans="1:4">
      <c r="A2418" s="341"/>
      <c r="B2418" s="297"/>
      <c r="C2418" s="296"/>
      <c r="D2418" s="341"/>
    </row>
    <row r="2419" spans="1:4">
      <c r="A2419" s="341"/>
      <c r="B2419" s="297"/>
      <c r="C2419" s="296"/>
      <c r="D2419" s="341"/>
    </row>
    <row r="2420" spans="1:4">
      <c r="A2420" s="341"/>
      <c r="B2420" s="297"/>
      <c r="C2420" s="296"/>
      <c r="D2420" s="341"/>
    </row>
    <row r="2421" spans="1:4">
      <c r="A2421" s="341"/>
      <c r="B2421" s="297"/>
      <c r="C2421" s="296"/>
      <c r="D2421" s="341"/>
    </row>
    <row r="2422" spans="1:4">
      <c r="A2422" s="341"/>
      <c r="B2422" s="297"/>
      <c r="C2422" s="296"/>
      <c r="D2422" s="341"/>
    </row>
    <row r="2423" spans="1:4">
      <c r="A2423" s="341"/>
      <c r="B2423" s="297"/>
      <c r="C2423" s="296"/>
      <c r="D2423" s="341"/>
    </row>
    <row r="2424" spans="1:4">
      <c r="A2424" s="341"/>
      <c r="B2424" s="297"/>
      <c r="C2424" s="296"/>
      <c r="D2424" s="341"/>
    </row>
    <row r="2425" spans="1:4">
      <c r="A2425" s="341"/>
      <c r="B2425" s="297"/>
      <c r="C2425" s="296"/>
      <c r="D2425" s="341"/>
    </row>
    <row r="2426" spans="1:4">
      <c r="A2426" s="341"/>
      <c r="B2426" s="297"/>
      <c r="C2426" s="296"/>
      <c r="D2426" s="341"/>
    </row>
    <row r="2427" spans="1:4">
      <c r="A2427" s="341"/>
      <c r="B2427" s="297"/>
      <c r="C2427" s="296"/>
      <c r="D2427" s="341"/>
    </row>
    <row r="2428" spans="1:4">
      <c r="A2428" s="341"/>
      <c r="B2428" s="297"/>
      <c r="C2428" s="296"/>
      <c r="D2428" s="341"/>
    </row>
    <row r="2429" spans="1:4">
      <c r="A2429" s="341"/>
      <c r="B2429" s="297"/>
      <c r="C2429" s="296"/>
      <c r="D2429" s="341"/>
    </row>
    <row r="2430" spans="1:4">
      <c r="A2430" s="341"/>
      <c r="B2430" s="297"/>
      <c r="C2430" s="296"/>
      <c r="D2430" s="341"/>
    </row>
    <row r="2431" spans="1:4">
      <c r="A2431" s="341"/>
      <c r="B2431" s="297"/>
      <c r="C2431" s="296"/>
      <c r="D2431" s="341"/>
    </row>
    <row r="2432" spans="1:4">
      <c r="A2432" s="341"/>
      <c r="B2432" s="297"/>
      <c r="C2432" s="296"/>
      <c r="D2432" s="341"/>
    </row>
    <row r="2433" spans="1:4">
      <c r="A2433" s="341"/>
      <c r="B2433" s="297"/>
      <c r="C2433" s="296"/>
      <c r="D2433" s="341"/>
    </row>
    <row r="2434" spans="1:4">
      <c r="A2434" s="341"/>
      <c r="B2434" s="297"/>
      <c r="C2434" s="296"/>
      <c r="D2434" s="341"/>
    </row>
    <row r="2435" spans="1:4">
      <c r="A2435" s="341"/>
      <c r="B2435" s="297"/>
      <c r="C2435" s="296"/>
      <c r="D2435" s="341"/>
    </row>
    <row r="2436" spans="1:4">
      <c r="A2436" s="341"/>
      <c r="B2436" s="297"/>
      <c r="C2436" s="296"/>
      <c r="D2436" s="341"/>
    </row>
    <row r="2437" spans="1:4">
      <c r="A2437" s="341"/>
      <c r="B2437" s="297"/>
      <c r="C2437" s="296"/>
      <c r="D2437" s="341"/>
    </row>
    <row r="2438" spans="1:4">
      <c r="A2438" s="341"/>
      <c r="B2438" s="297"/>
      <c r="C2438" s="296"/>
      <c r="D2438" s="341"/>
    </row>
    <row r="2439" spans="1:4">
      <c r="A2439" s="341"/>
      <c r="B2439" s="297"/>
      <c r="C2439" s="296"/>
      <c r="D2439" s="341"/>
    </row>
    <row r="2440" spans="1:4">
      <c r="A2440" s="341"/>
      <c r="B2440" s="297"/>
      <c r="C2440" s="296"/>
      <c r="D2440" s="341"/>
    </row>
    <row r="2441" spans="1:4">
      <c r="A2441" s="341"/>
      <c r="B2441" s="297"/>
      <c r="C2441" s="296"/>
      <c r="D2441" s="341"/>
    </row>
    <row r="2442" spans="1:4">
      <c r="A2442" s="341"/>
      <c r="B2442" s="297"/>
      <c r="C2442" s="296"/>
      <c r="D2442" s="341"/>
    </row>
    <row r="2443" spans="1:4">
      <c r="A2443" s="341"/>
      <c r="B2443" s="297"/>
      <c r="C2443" s="296"/>
      <c r="D2443" s="341"/>
    </row>
    <row r="2444" spans="1:4">
      <c r="A2444" s="341"/>
      <c r="B2444" s="297"/>
      <c r="C2444" s="296"/>
      <c r="D2444" s="341"/>
    </row>
    <row r="2445" spans="1:4">
      <c r="A2445" s="341"/>
      <c r="B2445" s="297"/>
      <c r="C2445" s="296"/>
      <c r="D2445" s="341"/>
    </row>
    <row r="2446" spans="1:4">
      <c r="A2446" s="341"/>
      <c r="B2446" s="297"/>
      <c r="C2446" s="296"/>
      <c r="D2446" s="341"/>
    </row>
    <row r="2447" spans="1:4">
      <c r="A2447" s="341"/>
      <c r="B2447" s="297"/>
      <c r="C2447" s="296"/>
      <c r="D2447" s="341"/>
    </row>
    <row r="2448" spans="1:4">
      <c r="A2448" s="341"/>
      <c r="B2448" s="297"/>
      <c r="C2448" s="296"/>
      <c r="D2448" s="341"/>
    </row>
    <row r="2449" spans="1:4">
      <c r="A2449" s="341"/>
      <c r="B2449" s="297"/>
      <c r="C2449" s="296"/>
      <c r="D2449" s="341"/>
    </row>
    <row r="2450" spans="1:4">
      <c r="A2450" s="341"/>
      <c r="B2450" s="297"/>
      <c r="C2450" s="296"/>
      <c r="D2450" s="341"/>
    </row>
    <row r="2451" spans="1:4">
      <c r="A2451" s="341"/>
      <c r="B2451" s="297"/>
      <c r="C2451" s="296"/>
      <c r="D2451" s="341"/>
    </row>
    <row r="2452" spans="1:4">
      <c r="A2452" s="341"/>
      <c r="B2452" s="297"/>
      <c r="C2452" s="296"/>
      <c r="D2452" s="341"/>
    </row>
    <row r="2453" spans="1:4">
      <c r="A2453" s="341"/>
      <c r="B2453" s="297"/>
      <c r="C2453" s="296"/>
      <c r="D2453" s="341"/>
    </row>
    <row r="2454" spans="1:4">
      <c r="A2454" s="341"/>
      <c r="B2454" s="297"/>
      <c r="C2454" s="296"/>
      <c r="D2454" s="341"/>
    </row>
    <row r="2455" spans="1:4">
      <c r="A2455" s="341"/>
      <c r="B2455" s="297"/>
      <c r="C2455" s="296"/>
      <c r="D2455" s="341"/>
    </row>
    <row r="2456" spans="1:4">
      <c r="A2456" s="341"/>
      <c r="B2456" s="297"/>
      <c r="C2456" s="296"/>
      <c r="D2456" s="341"/>
    </row>
    <row r="2457" spans="1:4">
      <c r="A2457" s="341"/>
      <c r="B2457" s="297"/>
      <c r="C2457" s="296"/>
      <c r="D2457" s="341"/>
    </row>
    <row r="2458" spans="1:4">
      <c r="A2458" s="341"/>
      <c r="B2458" s="297"/>
      <c r="C2458" s="296"/>
      <c r="D2458" s="341"/>
    </row>
    <row r="2459" spans="1:4">
      <c r="A2459" s="341"/>
      <c r="B2459" s="297"/>
      <c r="C2459" s="296"/>
      <c r="D2459" s="341"/>
    </row>
    <row r="2460" spans="1:4">
      <c r="A2460" s="341"/>
      <c r="B2460" s="297"/>
      <c r="C2460" s="296"/>
      <c r="D2460" s="341"/>
    </row>
    <row r="2461" spans="1:4">
      <c r="A2461" s="341"/>
      <c r="B2461" s="297"/>
      <c r="C2461" s="296"/>
      <c r="D2461" s="341"/>
    </row>
    <row r="2462" spans="1:4">
      <c r="A2462" s="341"/>
      <c r="B2462" s="297"/>
      <c r="C2462" s="296"/>
      <c r="D2462" s="341"/>
    </row>
    <row r="2463" spans="1:4">
      <c r="A2463" s="341"/>
      <c r="B2463" s="297"/>
      <c r="C2463" s="296"/>
      <c r="D2463" s="341"/>
    </row>
    <row r="2464" spans="1:4">
      <c r="A2464" s="341"/>
      <c r="B2464" s="297"/>
      <c r="C2464" s="296"/>
      <c r="D2464" s="341"/>
    </row>
    <row r="2465" spans="1:4">
      <c r="A2465" s="341"/>
      <c r="B2465" s="297"/>
      <c r="C2465" s="296"/>
      <c r="D2465" s="341"/>
    </row>
    <row r="2466" spans="1:4">
      <c r="A2466" s="341"/>
      <c r="B2466" s="297"/>
      <c r="C2466" s="296"/>
      <c r="D2466" s="341"/>
    </row>
    <row r="2467" spans="1:4">
      <c r="A2467" s="341"/>
      <c r="B2467" s="297"/>
      <c r="C2467" s="296"/>
      <c r="D2467" s="341"/>
    </row>
    <row r="2468" spans="1:4">
      <c r="A2468" s="341"/>
      <c r="B2468" s="297"/>
      <c r="C2468" s="296"/>
      <c r="D2468" s="341"/>
    </row>
    <row r="2469" spans="1:4">
      <c r="A2469" s="341"/>
      <c r="B2469" s="297"/>
      <c r="C2469" s="296"/>
      <c r="D2469" s="341"/>
    </row>
    <row r="2470" spans="1:4">
      <c r="A2470" s="341"/>
      <c r="B2470" s="297"/>
      <c r="C2470" s="296"/>
      <c r="D2470" s="341"/>
    </row>
    <row r="2471" spans="1:4">
      <c r="A2471" s="341"/>
      <c r="B2471" s="297"/>
      <c r="C2471" s="296"/>
      <c r="D2471" s="341"/>
    </row>
    <row r="2472" spans="1:4">
      <c r="A2472" s="341"/>
      <c r="B2472" s="297"/>
      <c r="C2472" s="296"/>
      <c r="D2472" s="341"/>
    </row>
    <row r="2473" spans="1:4">
      <c r="A2473" s="341"/>
      <c r="B2473" s="297"/>
      <c r="C2473" s="296"/>
      <c r="D2473" s="341"/>
    </row>
    <row r="2474" spans="1:4">
      <c r="A2474" s="341"/>
      <c r="B2474" s="297"/>
      <c r="C2474" s="296"/>
      <c r="D2474" s="341"/>
    </row>
    <row r="2475" spans="1:4">
      <c r="A2475" s="341"/>
      <c r="B2475" s="297"/>
      <c r="C2475" s="296"/>
      <c r="D2475" s="341"/>
    </row>
    <row r="2476" spans="1:4">
      <c r="A2476" s="341"/>
      <c r="B2476" s="297"/>
      <c r="C2476" s="296"/>
      <c r="D2476" s="341"/>
    </row>
    <row r="2477" spans="1:4">
      <c r="A2477" s="341"/>
      <c r="B2477" s="297"/>
      <c r="C2477" s="296"/>
      <c r="D2477" s="341"/>
    </row>
    <row r="2478" spans="1:4">
      <c r="A2478" s="341"/>
      <c r="B2478" s="297"/>
      <c r="C2478" s="296"/>
      <c r="D2478" s="341"/>
    </row>
    <row r="2479" spans="1:4">
      <c r="A2479" s="341"/>
      <c r="B2479" s="297"/>
      <c r="C2479" s="296"/>
      <c r="D2479" s="341"/>
    </row>
    <row r="2480" spans="1:4">
      <c r="A2480" s="341"/>
      <c r="B2480" s="297"/>
      <c r="C2480" s="296"/>
      <c r="D2480" s="341"/>
    </row>
    <row r="2481" spans="1:4">
      <c r="A2481" s="341"/>
      <c r="B2481" s="297"/>
      <c r="C2481" s="296"/>
      <c r="D2481" s="341"/>
    </row>
    <row r="2482" spans="1:4">
      <c r="A2482" s="341"/>
      <c r="B2482" s="297"/>
      <c r="C2482" s="296"/>
      <c r="D2482" s="341"/>
    </row>
    <row r="2483" spans="1:4">
      <c r="A2483" s="341"/>
      <c r="B2483" s="297"/>
      <c r="C2483" s="296"/>
      <c r="D2483" s="341"/>
    </row>
    <row r="2484" spans="1:4">
      <c r="A2484" s="341"/>
      <c r="B2484" s="297"/>
      <c r="C2484" s="296"/>
      <c r="D2484" s="341"/>
    </row>
    <row r="2485" spans="1:4">
      <c r="A2485" s="341"/>
      <c r="B2485" s="297"/>
      <c r="C2485" s="296"/>
      <c r="D2485" s="341"/>
    </row>
    <row r="2486" spans="1:4">
      <c r="A2486" s="341"/>
      <c r="B2486" s="297"/>
      <c r="C2486" s="296"/>
      <c r="D2486" s="341"/>
    </row>
    <row r="2487" spans="1:4">
      <c r="A2487" s="341"/>
      <c r="B2487" s="297"/>
      <c r="C2487" s="296"/>
      <c r="D2487" s="341"/>
    </row>
    <row r="2488" spans="1:4">
      <c r="A2488" s="341"/>
      <c r="B2488" s="297"/>
      <c r="C2488" s="296"/>
      <c r="D2488" s="341"/>
    </row>
    <row r="2489" spans="1:4">
      <c r="A2489" s="341"/>
      <c r="B2489" s="297"/>
      <c r="C2489" s="296"/>
      <c r="D2489" s="341"/>
    </row>
    <row r="2490" spans="1:4">
      <c r="A2490" s="341"/>
      <c r="B2490" s="297"/>
      <c r="C2490" s="296"/>
      <c r="D2490" s="341"/>
    </row>
    <row r="2491" spans="1:4">
      <c r="A2491" s="341"/>
      <c r="B2491" s="297"/>
      <c r="C2491" s="296"/>
      <c r="D2491" s="341"/>
    </row>
    <row r="2492" spans="1:4">
      <c r="A2492" s="341"/>
      <c r="B2492" s="297"/>
      <c r="C2492" s="296"/>
      <c r="D2492" s="341"/>
    </row>
    <row r="2493" spans="1:4">
      <c r="A2493" s="341"/>
      <c r="B2493" s="297"/>
      <c r="C2493" s="296"/>
      <c r="D2493" s="341"/>
    </row>
    <row r="2494" spans="1:4">
      <c r="A2494" s="341"/>
      <c r="B2494" s="297"/>
      <c r="C2494" s="296"/>
      <c r="D2494" s="341"/>
    </row>
    <row r="2495" spans="1:4">
      <c r="A2495" s="341"/>
      <c r="B2495" s="297"/>
      <c r="C2495" s="296"/>
      <c r="D2495" s="341"/>
    </row>
    <row r="2496" spans="1:4">
      <c r="A2496" s="341"/>
      <c r="B2496" s="297"/>
      <c r="C2496" s="296"/>
      <c r="D2496" s="341"/>
    </row>
    <row r="2497" spans="1:4">
      <c r="A2497" s="341"/>
      <c r="B2497" s="297"/>
      <c r="C2497" s="296"/>
      <c r="D2497" s="341"/>
    </row>
    <row r="2498" spans="1:4">
      <c r="A2498" s="341"/>
      <c r="B2498" s="297"/>
      <c r="C2498" s="296"/>
      <c r="D2498" s="341"/>
    </row>
    <row r="2499" spans="1:4">
      <c r="A2499" s="341"/>
      <c r="B2499" s="297"/>
      <c r="C2499" s="296"/>
      <c r="D2499" s="341"/>
    </row>
    <row r="2500" spans="1:4">
      <c r="A2500" s="341"/>
      <c r="B2500" s="297"/>
      <c r="C2500" s="296"/>
      <c r="D2500" s="341"/>
    </row>
    <row r="2501" spans="1:4">
      <c r="A2501" s="341"/>
      <c r="B2501" s="297"/>
      <c r="C2501" s="296"/>
      <c r="D2501" s="341"/>
    </row>
    <row r="2502" spans="1:4">
      <c r="A2502" s="341"/>
      <c r="B2502" s="297"/>
      <c r="C2502" s="296"/>
      <c r="D2502" s="341"/>
    </row>
    <row r="2503" spans="1:4">
      <c r="A2503" s="341"/>
      <c r="B2503" s="297"/>
      <c r="C2503" s="296"/>
      <c r="D2503" s="341"/>
    </row>
    <row r="2504" spans="1:4">
      <c r="A2504" s="341"/>
      <c r="B2504" s="297"/>
      <c r="C2504" s="296"/>
      <c r="D2504" s="341"/>
    </row>
    <row r="2505" spans="1:4">
      <c r="A2505" s="341"/>
      <c r="B2505" s="297"/>
      <c r="C2505" s="296"/>
      <c r="D2505" s="341"/>
    </row>
    <row r="2506" spans="1:4">
      <c r="A2506" s="341"/>
      <c r="B2506" s="297"/>
      <c r="C2506" s="296"/>
      <c r="D2506" s="341"/>
    </row>
    <row r="2507" spans="1:4">
      <c r="A2507" s="341"/>
      <c r="B2507" s="297"/>
      <c r="C2507" s="296"/>
      <c r="D2507" s="341"/>
    </row>
    <row r="2508" spans="1:4">
      <c r="A2508" s="341"/>
      <c r="B2508" s="297"/>
      <c r="C2508" s="296"/>
      <c r="D2508" s="341"/>
    </row>
    <row r="2509" spans="1:4">
      <c r="A2509" s="341"/>
      <c r="B2509" s="297"/>
      <c r="C2509" s="296"/>
      <c r="D2509" s="341"/>
    </row>
    <row r="2510" spans="1:4">
      <c r="A2510" s="341"/>
      <c r="B2510" s="297"/>
      <c r="C2510" s="296"/>
      <c r="D2510" s="341"/>
    </row>
    <row r="2511" spans="1:4">
      <c r="A2511" s="341"/>
      <c r="B2511" s="297"/>
      <c r="C2511" s="296"/>
      <c r="D2511" s="341"/>
    </row>
    <row r="2512" spans="1:4">
      <c r="A2512" s="341"/>
      <c r="B2512" s="297"/>
      <c r="C2512" s="296"/>
      <c r="D2512" s="341"/>
    </row>
    <row r="2513" spans="1:4">
      <c r="A2513" s="341"/>
      <c r="B2513" s="297"/>
      <c r="C2513" s="296"/>
      <c r="D2513" s="341"/>
    </row>
    <row r="2514" spans="1:4">
      <c r="A2514" s="341"/>
      <c r="B2514" s="297"/>
      <c r="C2514" s="296"/>
      <c r="D2514" s="341"/>
    </row>
    <row r="2515" spans="1:4">
      <c r="A2515" s="341"/>
      <c r="B2515" s="297"/>
      <c r="C2515" s="296"/>
      <c r="D2515" s="341"/>
    </row>
    <row r="2516" spans="1:4">
      <c r="A2516" s="341"/>
      <c r="B2516" s="297"/>
      <c r="C2516" s="296"/>
      <c r="D2516" s="341"/>
    </row>
    <row r="2517" spans="1:4">
      <c r="A2517" s="341"/>
      <c r="B2517" s="297"/>
      <c r="C2517" s="296"/>
      <c r="D2517" s="341"/>
    </row>
    <row r="2518" spans="1:4">
      <c r="A2518" s="341"/>
      <c r="B2518" s="297"/>
      <c r="C2518" s="296"/>
      <c r="D2518" s="341"/>
    </row>
    <row r="2519" spans="1:4">
      <c r="A2519" s="341"/>
      <c r="B2519" s="297"/>
      <c r="C2519" s="296"/>
      <c r="D2519" s="341"/>
    </row>
    <row r="2520" spans="1:4">
      <c r="A2520" s="341"/>
      <c r="B2520" s="297"/>
      <c r="C2520" s="296"/>
      <c r="D2520" s="341"/>
    </row>
    <row r="2521" spans="1:4">
      <c r="A2521" s="341"/>
      <c r="B2521" s="297"/>
      <c r="C2521" s="296"/>
      <c r="D2521" s="341"/>
    </row>
    <row r="2522" spans="1:4">
      <c r="A2522" s="341"/>
      <c r="B2522" s="297"/>
      <c r="C2522" s="296"/>
      <c r="D2522" s="341"/>
    </row>
    <row r="2523" spans="1:4">
      <c r="A2523" s="341"/>
      <c r="B2523" s="297"/>
      <c r="C2523" s="296"/>
      <c r="D2523" s="341"/>
    </row>
    <row r="2524" spans="1:4">
      <c r="A2524" s="341"/>
      <c r="B2524" s="297"/>
      <c r="C2524" s="296"/>
      <c r="D2524" s="341"/>
    </row>
    <row r="2525" spans="1:4">
      <c r="A2525" s="341"/>
      <c r="B2525" s="297"/>
      <c r="C2525" s="296"/>
      <c r="D2525" s="341"/>
    </row>
    <row r="2526" spans="1:4">
      <c r="A2526" s="341"/>
      <c r="B2526" s="297"/>
      <c r="C2526" s="296"/>
      <c r="D2526" s="341"/>
    </row>
    <row r="2527" spans="1:4">
      <c r="A2527" s="341"/>
      <c r="B2527" s="297"/>
      <c r="C2527" s="296"/>
      <c r="D2527" s="341"/>
    </row>
    <row r="2528" spans="1:4">
      <c r="A2528" s="341"/>
      <c r="B2528" s="297"/>
      <c r="C2528" s="296"/>
      <c r="D2528" s="341"/>
    </row>
    <row r="2529" spans="1:4">
      <c r="A2529" s="341"/>
      <c r="B2529" s="297"/>
      <c r="C2529" s="296"/>
      <c r="D2529" s="341"/>
    </row>
    <row r="2530" spans="1:4">
      <c r="A2530" s="341"/>
      <c r="B2530" s="297"/>
      <c r="C2530" s="296"/>
      <c r="D2530" s="341"/>
    </row>
    <row r="2531" spans="1:4">
      <c r="A2531" s="341"/>
      <c r="B2531" s="297"/>
      <c r="C2531" s="296"/>
      <c r="D2531" s="341"/>
    </row>
    <row r="2532" spans="1:4">
      <c r="A2532" s="341"/>
      <c r="B2532" s="297"/>
      <c r="C2532" s="296"/>
      <c r="D2532" s="341"/>
    </row>
    <row r="2533" spans="1:4">
      <c r="A2533" s="341"/>
      <c r="B2533" s="297"/>
      <c r="C2533" s="296"/>
      <c r="D2533" s="341"/>
    </row>
    <row r="2534" spans="1:4">
      <c r="A2534" s="341"/>
      <c r="B2534" s="297"/>
      <c r="C2534" s="296"/>
      <c r="D2534" s="341"/>
    </row>
    <row r="2535" spans="1:4">
      <c r="A2535" s="341"/>
      <c r="B2535" s="297"/>
      <c r="C2535" s="296"/>
      <c r="D2535" s="341"/>
    </row>
    <row r="2536" spans="1:4">
      <c r="A2536" s="341"/>
      <c r="B2536" s="297"/>
      <c r="C2536" s="296"/>
      <c r="D2536" s="341"/>
    </row>
    <row r="2537" spans="1:4">
      <c r="A2537" s="341"/>
      <c r="B2537" s="297"/>
      <c r="C2537" s="296"/>
      <c r="D2537" s="341"/>
    </row>
    <row r="2538" spans="1:4">
      <c r="A2538" s="341"/>
      <c r="B2538" s="297"/>
      <c r="C2538" s="296"/>
      <c r="D2538" s="341"/>
    </row>
    <row r="2539" spans="1:4">
      <c r="A2539" s="341"/>
      <c r="B2539" s="297"/>
      <c r="C2539" s="296"/>
      <c r="D2539" s="341"/>
    </row>
    <row r="2540" spans="1:4">
      <c r="A2540" s="341"/>
      <c r="B2540" s="297"/>
      <c r="C2540" s="296"/>
      <c r="D2540" s="341"/>
    </row>
    <row r="2541" spans="1:4">
      <c r="A2541" s="341"/>
      <c r="B2541" s="297"/>
      <c r="C2541" s="296"/>
      <c r="D2541" s="341"/>
    </row>
    <row r="2542" spans="1:4">
      <c r="A2542" s="341"/>
      <c r="B2542" s="297"/>
      <c r="C2542" s="296"/>
      <c r="D2542" s="341"/>
    </row>
    <row r="2543" spans="1:4">
      <c r="A2543" s="341"/>
      <c r="B2543" s="297"/>
      <c r="C2543" s="296"/>
      <c r="D2543" s="341"/>
    </row>
    <row r="2544" spans="1:4">
      <c r="A2544" s="341"/>
      <c r="B2544" s="297"/>
      <c r="C2544" s="296"/>
      <c r="D2544" s="341"/>
    </row>
    <row r="2545" spans="1:4">
      <c r="A2545" s="341"/>
      <c r="B2545" s="297"/>
      <c r="C2545" s="296"/>
      <c r="D2545" s="341"/>
    </row>
    <row r="2546" spans="1:4">
      <c r="A2546" s="341"/>
      <c r="B2546" s="297"/>
      <c r="C2546" s="296"/>
      <c r="D2546" s="341"/>
    </row>
    <row r="2547" spans="1:4">
      <c r="A2547" s="341"/>
      <c r="B2547" s="297"/>
      <c r="C2547" s="296"/>
      <c r="D2547" s="341"/>
    </row>
    <row r="2548" spans="1:4">
      <c r="A2548" s="341"/>
      <c r="B2548" s="297"/>
      <c r="C2548" s="296"/>
      <c r="D2548" s="341"/>
    </row>
    <row r="2549" spans="1:4">
      <c r="A2549" s="341"/>
      <c r="B2549" s="297"/>
      <c r="C2549" s="296"/>
      <c r="D2549" s="341"/>
    </row>
    <row r="2550" spans="1:4">
      <c r="A2550" s="341"/>
      <c r="B2550" s="297"/>
      <c r="C2550" s="296"/>
      <c r="D2550" s="341"/>
    </row>
    <row r="2551" spans="1:4">
      <c r="A2551" s="341"/>
      <c r="B2551" s="297"/>
      <c r="C2551" s="296"/>
      <c r="D2551" s="341"/>
    </row>
    <row r="2552" spans="1:4">
      <c r="A2552" s="341"/>
      <c r="B2552" s="297"/>
      <c r="C2552" s="296"/>
      <c r="D2552" s="341"/>
    </row>
    <row r="2553" spans="1:4">
      <c r="A2553" s="341"/>
      <c r="B2553" s="297"/>
      <c r="C2553" s="296"/>
      <c r="D2553" s="341"/>
    </row>
    <row r="2554" spans="1:4">
      <c r="A2554" s="341"/>
      <c r="B2554" s="297"/>
      <c r="C2554" s="296"/>
      <c r="D2554" s="341"/>
    </row>
    <row r="2555" spans="1:4">
      <c r="A2555" s="341"/>
      <c r="B2555" s="297"/>
      <c r="C2555" s="296"/>
      <c r="D2555" s="341"/>
    </row>
    <row r="2556" spans="1:4">
      <c r="A2556" s="341"/>
      <c r="B2556" s="297"/>
      <c r="C2556" s="296"/>
      <c r="D2556" s="341"/>
    </row>
    <row r="2557" spans="1:4">
      <c r="A2557" s="341"/>
      <c r="B2557" s="297"/>
      <c r="C2557" s="296"/>
      <c r="D2557" s="341"/>
    </row>
    <row r="2558" spans="1:4">
      <c r="A2558" s="341"/>
      <c r="B2558" s="297"/>
      <c r="C2558" s="296"/>
      <c r="D2558" s="341"/>
    </row>
    <row r="2559" spans="1:4">
      <c r="A2559" s="341"/>
      <c r="B2559" s="297"/>
      <c r="C2559" s="296"/>
      <c r="D2559" s="341"/>
    </row>
    <row r="2560" spans="1:4">
      <c r="A2560" s="341"/>
      <c r="B2560" s="297"/>
      <c r="C2560" s="296"/>
      <c r="D2560" s="341"/>
    </row>
    <row r="2561" spans="1:4">
      <c r="A2561" s="341"/>
      <c r="B2561" s="297"/>
      <c r="C2561" s="296"/>
      <c r="D2561" s="341"/>
    </row>
    <row r="2562" spans="1:4">
      <c r="A2562" s="341"/>
      <c r="B2562" s="297"/>
      <c r="C2562" s="296"/>
      <c r="D2562" s="341"/>
    </row>
    <row r="2563" spans="1:4">
      <c r="A2563" s="341"/>
      <c r="B2563" s="297"/>
      <c r="C2563" s="296"/>
      <c r="D2563" s="341"/>
    </row>
    <row r="2564" spans="1:4">
      <c r="A2564" s="341"/>
      <c r="B2564" s="297"/>
      <c r="C2564" s="296"/>
      <c r="D2564" s="341"/>
    </row>
    <row r="2565" spans="1:4">
      <c r="A2565" s="341"/>
      <c r="B2565" s="297"/>
      <c r="C2565" s="296"/>
      <c r="D2565" s="341"/>
    </row>
    <row r="2566" spans="1:4">
      <c r="A2566" s="341"/>
      <c r="B2566" s="297"/>
      <c r="C2566" s="296"/>
      <c r="D2566" s="341"/>
    </row>
    <row r="2567" spans="1:4">
      <c r="A2567" s="341"/>
      <c r="B2567" s="297"/>
      <c r="C2567" s="296"/>
      <c r="D2567" s="341"/>
    </row>
    <row r="2568" spans="1:4">
      <c r="A2568" s="341"/>
      <c r="B2568" s="297"/>
      <c r="C2568" s="296"/>
      <c r="D2568" s="341"/>
    </row>
    <row r="2569" spans="1:4">
      <c r="A2569" s="341"/>
      <c r="B2569" s="297"/>
      <c r="C2569" s="296"/>
      <c r="D2569" s="341"/>
    </row>
    <row r="2570" spans="1:4">
      <c r="A2570" s="341"/>
      <c r="B2570" s="297"/>
      <c r="C2570" s="296"/>
      <c r="D2570" s="341"/>
    </row>
    <row r="2571" spans="1:4">
      <c r="A2571" s="341"/>
      <c r="B2571" s="297"/>
      <c r="C2571" s="296"/>
      <c r="D2571" s="341"/>
    </row>
    <row r="2572" spans="1:4">
      <c r="A2572" s="341"/>
      <c r="B2572" s="297"/>
      <c r="C2572" s="296"/>
      <c r="D2572" s="341"/>
    </row>
    <row r="2573" spans="1:4">
      <c r="A2573" s="341"/>
      <c r="B2573" s="297"/>
      <c r="C2573" s="296"/>
      <c r="D2573" s="341"/>
    </row>
    <row r="2574" spans="1:4">
      <c r="A2574" s="341"/>
      <c r="B2574" s="297"/>
      <c r="C2574" s="296"/>
      <c r="D2574" s="341"/>
    </row>
    <row r="2575" spans="1:4">
      <c r="A2575" s="341"/>
      <c r="B2575" s="297"/>
      <c r="C2575" s="296"/>
      <c r="D2575" s="341"/>
    </row>
    <row r="2576" spans="1:4">
      <c r="A2576" s="341"/>
      <c r="B2576" s="297"/>
      <c r="C2576" s="296"/>
      <c r="D2576" s="341"/>
    </row>
    <row r="2577" spans="1:4">
      <c r="A2577" s="341"/>
      <c r="B2577" s="297"/>
      <c r="C2577" s="296"/>
      <c r="D2577" s="341"/>
    </row>
    <row r="2578" spans="1:4">
      <c r="A2578" s="341"/>
      <c r="B2578" s="297"/>
      <c r="C2578" s="296"/>
      <c r="D2578" s="341"/>
    </row>
    <row r="2579" spans="1:4">
      <c r="A2579" s="341"/>
      <c r="B2579" s="297"/>
      <c r="C2579" s="296"/>
      <c r="D2579" s="341"/>
    </row>
    <row r="2580" spans="1:4">
      <c r="A2580" s="341"/>
      <c r="B2580" s="297"/>
      <c r="C2580" s="296"/>
      <c r="D2580" s="341"/>
    </row>
    <row r="2581" spans="1:4">
      <c r="A2581" s="341"/>
      <c r="B2581" s="297"/>
      <c r="C2581" s="296"/>
      <c r="D2581" s="341"/>
    </row>
    <row r="2582" spans="1:4">
      <c r="A2582" s="341"/>
      <c r="B2582" s="297"/>
      <c r="C2582" s="296"/>
      <c r="D2582" s="341"/>
    </row>
    <row r="2583" spans="1:4">
      <c r="A2583" s="341"/>
      <c r="B2583" s="297"/>
      <c r="C2583" s="296"/>
      <c r="D2583" s="341"/>
    </row>
    <row r="2584" spans="1:4">
      <c r="A2584" s="341"/>
      <c r="B2584" s="297"/>
      <c r="C2584" s="296"/>
      <c r="D2584" s="341"/>
    </row>
    <row r="2585" spans="1:4">
      <c r="A2585" s="341"/>
      <c r="B2585" s="297"/>
      <c r="C2585" s="296"/>
      <c r="D2585" s="341"/>
    </row>
    <row r="2586" spans="1:4">
      <c r="A2586" s="341"/>
      <c r="B2586" s="297"/>
      <c r="C2586" s="296"/>
      <c r="D2586" s="341"/>
    </row>
    <row r="2587" spans="1:4">
      <c r="A2587" s="341"/>
      <c r="B2587" s="297"/>
      <c r="C2587" s="296"/>
      <c r="D2587" s="341"/>
    </row>
    <row r="2588" spans="1:4">
      <c r="A2588" s="341"/>
      <c r="B2588" s="297"/>
      <c r="C2588" s="296"/>
      <c r="D2588" s="341"/>
    </row>
    <row r="2589" spans="1:4">
      <c r="A2589" s="341"/>
      <c r="B2589" s="297"/>
      <c r="C2589" s="296"/>
      <c r="D2589" s="341"/>
    </row>
    <row r="2590" spans="1:4">
      <c r="A2590" s="341"/>
      <c r="B2590" s="297"/>
      <c r="C2590" s="296"/>
      <c r="D2590" s="341"/>
    </row>
    <row r="2591" spans="1:4">
      <c r="A2591" s="341"/>
      <c r="B2591" s="297"/>
      <c r="C2591" s="296"/>
      <c r="D2591" s="341"/>
    </row>
    <row r="2592" spans="1:4">
      <c r="A2592" s="341"/>
      <c r="B2592" s="297"/>
      <c r="C2592" s="296"/>
      <c r="D2592" s="341"/>
    </row>
    <row r="2593" spans="1:4">
      <c r="A2593" s="341"/>
      <c r="B2593" s="297"/>
      <c r="C2593" s="296"/>
      <c r="D2593" s="341"/>
    </row>
    <row r="2594" spans="1:4">
      <c r="A2594" s="341"/>
      <c r="B2594" s="297"/>
      <c r="C2594" s="296"/>
      <c r="D2594" s="341"/>
    </row>
    <row r="2595" spans="1:4">
      <c r="A2595" s="341"/>
      <c r="B2595" s="297"/>
      <c r="C2595" s="296"/>
      <c r="D2595" s="341"/>
    </row>
    <row r="2596" spans="1:4">
      <c r="A2596" s="341"/>
      <c r="B2596" s="297"/>
      <c r="C2596" s="296"/>
      <c r="D2596" s="341"/>
    </row>
    <row r="2597" spans="1:4">
      <c r="A2597" s="341"/>
      <c r="B2597" s="297"/>
      <c r="C2597" s="296"/>
      <c r="D2597" s="341"/>
    </row>
    <row r="2598" spans="1:4">
      <c r="A2598" s="341"/>
      <c r="B2598" s="297"/>
      <c r="C2598" s="296"/>
      <c r="D2598" s="341"/>
    </row>
    <row r="2599" spans="1:4">
      <c r="A2599" s="341"/>
      <c r="B2599" s="297"/>
      <c r="C2599" s="296"/>
      <c r="D2599" s="341"/>
    </row>
    <row r="2600" spans="1:4">
      <c r="A2600" s="341"/>
      <c r="B2600" s="297"/>
      <c r="C2600" s="296"/>
      <c r="D2600" s="341"/>
    </row>
    <row r="2601" spans="1:4">
      <c r="A2601" s="341"/>
      <c r="B2601" s="297"/>
      <c r="C2601" s="296"/>
      <c r="D2601" s="341"/>
    </row>
    <row r="2602" spans="1:4">
      <c r="A2602" s="341"/>
      <c r="B2602" s="297"/>
      <c r="C2602" s="296"/>
      <c r="D2602" s="341"/>
    </row>
    <row r="2603" spans="1:4">
      <c r="A2603" s="341"/>
      <c r="B2603" s="297"/>
      <c r="C2603" s="296"/>
      <c r="D2603" s="341"/>
    </row>
    <row r="2604" spans="1:4">
      <c r="A2604" s="341"/>
      <c r="B2604" s="297"/>
      <c r="C2604" s="296"/>
      <c r="D2604" s="341"/>
    </row>
    <row r="2605" spans="1:4">
      <c r="A2605" s="341"/>
      <c r="B2605" s="297"/>
      <c r="C2605" s="296"/>
      <c r="D2605" s="341"/>
    </row>
    <row r="2606" spans="1:4">
      <c r="A2606" s="341"/>
      <c r="B2606" s="297"/>
      <c r="C2606" s="296"/>
      <c r="D2606" s="341"/>
    </row>
    <row r="2607" spans="1:4">
      <c r="A2607" s="341"/>
      <c r="B2607" s="297"/>
      <c r="C2607" s="296"/>
      <c r="D2607" s="341"/>
    </row>
    <row r="2608" spans="1:4">
      <c r="A2608" s="341"/>
      <c r="B2608" s="297"/>
      <c r="C2608" s="296"/>
      <c r="D2608" s="341"/>
    </row>
    <row r="2609" spans="1:4">
      <c r="A2609" s="341"/>
      <c r="B2609" s="297"/>
      <c r="C2609" s="296"/>
      <c r="D2609" s="341"/>
    </row>
    <row r="2610" spans="1:4">
      <c r="A2610" s="341"/>
      <c r="B2610" s="297"/>
      <c r="C2610" s="296"/>
      <c r="D2610" s="341"/>
    </row>
    <row r="2611" spans="1:4">
      <c r="A2611" s="341"/>
      <c r="B2611" s="297"/>
      <c r="C2611" s="296"/>
      <c r="D2611" s="341"/>
    </row>
    <row r="2612" spans="1:4">
      <c r="A2612" s="341"/>
      <c r="B2612" s="297"/>
      <c r="C2612" s="296"/>
      <c r="D2612" s="341"/>
    </row>
    <row r="2613" spans="1:4">
      <c r="A2613" s="341"/>
      <c r="B2613" s="297"/>
      <c r="C2613" s="296"/>
      <c r="D2613" s="341"/>
    </row>
    <row r="2614" spans="1:4">
      <c r="A2614" s="341"/>
      <c r="B2614" s="297"/>
      <c r="C2614" s="296"/>
      <c r="D2614" s="341"/>
    </row>
    <row r="2615" spans="1:4">
      <c r="A2615" s="341"/>
      <c r="B2615" s="297"/>
      <c r="C2615" s="296"/>
      <c r="D2615" s="341"/>
    </row>
    <row r="2616" spans="1:4">
      <c r="A2616" s="341"/>
      <c r="B2616" s="297"/>
      <c r="C2616" s="296"/>
      <c r="D2616" s="341"/>
    </row>
    <row r="2617" spans="1:4">
      <c r="A2617" s="341"/>
      <c r="B2617" s="297"/>
      <c r="C2617" s="296"/>
      <c r="D2617" s="341"/>
    </row>
    <row r="2618" spans="1:4">
      <c r="A2618" s="341"/>
      <c r="B2618" s="297"/>
      <c r="C2618" s="296"/>
      <c r="D2618" s="341"/>
    </row>
    <row r="2619" spans="1:4">
      <c r="A2619" s="341"/>
      <c r="B2619" s="297"/>
      <c r="C2619" s="296"/>
      <c r="D2619" s="341"/>
    </row>
    <row r="2620" spans="1:4">
      <c r="A2620" s="341"/>
      <c r="B2620" s="297"/>
      <c r="C2620" s="296"/>
      <c r="D2620" s="341"/>
    </row>
    <row r="2621" spans="1:4">
      <c r="A2621" s="341"/>
      <c r="B2621" s="297"/>
      <c r="C2621" s="296"/>
      <c r="D2621" s="341"/>
    </row>
    <row r="2622" spans="1:4">
      <c r="A2622" s="341"/>
      <c r="B2622" s="297"/>
      <c r="C2622" s="296"/>
      <c r="D2622" s="341"/>
    </row>
    <row r="2623" spans="1:4">
      <c r="A2623" s="341"/>
      <c r="B2623" s="297"/>
      <c r="C2623" s="296"/>
      <c r="D2623" s="341"/>
    </row>
    <row r="2624" spans="1:4">
      <c r="A2624" s="341"/>
      <c r="B2624" s="297"/>
      <c r="C2624" s="296"/>
      <c r="D2624" s="341"/>
    </row>
    <row r="2625" spans="1:4">
      <c r="A2625" s="341"/>
      <c r="B2625" s="297"/>
      <c r="C2625" s="296"/>
      <c r="D2625" s="341"/>
    </row>
    <row r="2626" spans="1:4">
      <c r="A2626" s="341"/>
      <c r="B2626" s="297"/>
      <c r="C2626" s="296"/>
      <c r="D2626" s="341"/>
    </row>
    <row r="2627" spans="1:4">
      <c r="A2627" s="341"/>
      <c r="B2627" s="297"/>
      <c r="C2627" s="296"/>
      <c r="D2627" s="341"/>
    </row>
    <row r="2628" spans="1:4">
      <c r="A2628" s="341"/>
      <c r="B2628" s="297"/>
      <c r="C2628" s="296"/>
      <c r="D2628" s="341"/>
    </row>
    <row r="2629" spans="1:4">
      <c r="A2629" s="341"/>
      <c r="B2629" s="297"/>
      <c r="C2629" s="296"/>
      <c r="D2629" s="341"/>
    </row>
    <row r="2630" spans="1:4">
      <c r="A2630" s="341"/>
      <c r="B2630" s="297"/>
      <c r="C2630" s="296"/>
      <c r="D2630" s="341"/>
    </row>
    <row r="2631" spans="1:4">
      <c r="A2631" s="341"/>
      <c r="B2631" s="297"/>
      <c r="C2631" s="296"/>
      <c r="D2631" s="341"/>
    </row>
    <row r="2632" spans="1:4">
      <c r="A2632" s="341"/>
      <c r="B2632" s="297"/>
      <c r="C2632" s="296"/>
      <c r="D2632" s="341"/>
    </row>
    <row r="2633" spans="1:4">
      <c r="A2633" s="341"/>
      <c r="B2633" s="297"/>
      <c r="C2633" s="296"/>
      <c r="D2633" s="341"/>
    </row>
    <row r="2634" spans="1:4">
      <c r="A2634" s="341"/>
      <c r="B2634" s="297"/>
      <c r="C2634" s="296"/>
      <c r="D2634" s="341"/>
    </row>
    <row r="2635" spans="1:4">
      <c r="A2635" s="341"/>
      <c r="B2635" s="297"/>
      <c r="C2635" s="296"/>
      <c r="D2635" s="341"/>
    </row>
    <row r="2636" spans="1:4">
      <c r="A2636" s="341"/>
      <c r="B2636" s="297"/>
      <c r="C2636" s="296"/>
      <c r="D2636" s="341"/>
    </row>
    <row r="2637" spans="1:4">
      <c r="A2637" s="341"/>
      <c r="B2637" s="297"/>
      <c r="C2637" s="296"/>
      <c r="D2637" s="341"/>
    </row>
    <row r="2638" spans="1:4">
      <c r="A2638" s="341"/>
      <c r="B2638" s="297"/>
      <c r="C2638" s="296"/>
      <c r="D2638" s="341"/>
    </row>
    <row r="2639" spans="1:4">
      <c r="A2639" s="341"/>
      <c r="B2639" s="297"/>
      <c r="C2639" s="296"/>
      <c r="D2639" s="341"/>
    </row>
    <row r="2640" spans="1:4">
      <c r="A2640" s="341"/>
      <c r="B2640" s="297"/>
      <c r="C2640" s="296"/>
      <c r="D2640" s="341"/>
    </row>
    <row r="2641" spans="1:4">
      <c r="A2641" s="341"/>
      <c r="B2641" s="297"/>
      <c r="C2641" s="296"/>
      <c r="D2641" s="341"/>
    </row>
    <row r="2642" spans="1:4">
      <c r="A2642" s="341"/>
      <c r="B2642" s="297"/>
      <c r="C2642" s="296"/>
      <c r="D2642" s="341"/>
    </row>
    <row r="2643" spans="1:4">
      <c r="A2643" s="341"/>
      <c r="B2643" s="297"/>
      <c r="C2643" s="296"/>
      <c r="D2643" s="341"/>
    </row>
    <row r="2644" spans="1:4">
      <c r="A2644" s="341"/>
      <c r="B2644" s="297"/>
      <c r="C2644" s="296"/>
      <c r="D2644" s="341"/>
    </row>
    <row r="2645" spans="1:4">
      <c r="A2645" s="341"/>
      <c r="B2645" s="297"/>
      <c r="C2645" s="296"/>
      <c r="D2645" s="341"/>
    </row>
    <row r="2646" spans="1:4">
      <c r="A2646" s="341"/>
      <c r="B2646" s="297"/>
      <c r="C2646" s="296"/>
      <c r="D2646" s="341"/>
    </row>
    <row r="2647" spans="1:4">
      <c r="A2647" s="341"/>
      <c r="B2647" s="297"/>
      <c r="C2647" s="296"/>
      <c r="D2647" s="341"/>
    </row>
    <row r="2648" spans="1:4">
      <c r="A2648" s="341"/>
      <c r="B2648" s="297"/>
      <c r="C2648" s="296"/>
      <c r="D2648" s="341"/>
    </row>
    <row r="2649" spans="1:4">
      <c r="A2649" s="341"/>
      <c r="B2649" s="297"/>
      <c r="C2649" s="296"/>
      <c r="D2649" s="341"/>
    </row>
    <row r="2650" spans="1:4">
      <c r="A2650" s="341"/>
      <c r="B2650" s="297"/>
      <c r="C2650" s="296"/>
      <c r="D2650" s="341"/>
    </row>
    <row r="2651" spans="1:4">
      <c r="A2651" s="341"/>
      <c r="B2651" s="297"/>
      <c r="C2651" s="296"/>
      <c r="D2651" s="341"/>
    </row>
    <row r="2652" spans="1:4">
      <c r="A2652" s="341"/>
      <c r="B2652" s="297"/>
      <c r="C2652" s="296"/>
      <c r="D2652" s="341"/>
    </row>
    <row r="2653" spans="1:4">
      <c r="A2653" s="341"/>
      <c r="B2653" s="297"/>
      <c r="C2653" s="296"/>
      <c r="D2653" s="341"/>
    </row>
    <row r="2654" spans="1:4">
      <c r="A2654" s="341"/>
      <c r="B2654" s="297"/>
      <c r="C2654" s="296"/>
      <c r="D2654" s="341"/>
    </row>
    <row r="2655" spans="1:4">
      <c r="A2655" s="341"/>
      <c r="B2655" s="297"/>
      <c r="C2655" s="296"/>
      <c r="D2655" s="341"/>
    </row>
    <row r="2656" spans="1:4">
      <c r="A2656" s="341"/>
      <c r="B2656" s="297"/>
      <c r="C2656" s="296"/>
      <c r="D2656" s="341"/>
    </row>
    <row r="2657" spans="1:4">
      <c r="A2657" s="341"/>
      <c r="B2657" s="297"/>
      <c r="C2657" s="296"/>
      <c r="D2657" s="341"/>
    </row>
    <row r="2658" spans="1:4">
      <c r="A2658" s="341"/>
      <c r="B2658" s="297"/>
      <c r="C2658" s="296"/>
      <c r="D2658" s="341"/>
    </row>
    <row r="2659" spans="1:4">
      <c r="A2659" s="341"/>
      <c r="B2659" s="297"/>
      <c r="C2659" s="296"/>
      <c r="D2659" s="341"/>
    </row>
    <row r="2660" spans="1:4">
      <c r="A2660" s="341"/>
      <c r="B2660" s="297"/>
      <c r="C2660" s="296"/>
      <c r="D2660" s="341"/>
    </row>
    <row r="2661" spans="1:4">
      <c r="A2661" s="341"/>
      <c r="B2661" s="297"/>
      <c r="C2661" s="296"/>
      <c r="D2661" s="341"/>
    </row>
    <row r="2662" spans="1:4">
      <c r="A2662" s="341"/>
      <c r="B2662" s="297"/>
      <c r="C2662" s="296"/>
      <c r="D2662" s="341"/>
    </row>
    <row r="2663" spans="1:4">
      <c r="A2663" s="341"/>
      <c r="B2663" s="297"/>
      <c r="C2663" s="296"/>
      <c r="D2663" s="341"/>
    </row>
    <row r="2664" spans="1:4">
      <c r="A2664" s="341"/>
      <c r="B2664" s="297"/>
      <c r="C2664" s="296"/>
      <c r="D2664" s="341"/>
    </row>
    <row r="2665" spans="1:4">
      <c r="A2665" s="341"/>
      <c r="B2665" s="297"/>
      <c r="C2665" s="296"/>
      <c r="D2665" s="341"/>
    </row>
    <row r="2666" spans="1:4">
      <c r="A2666" s="341"/>
      <c r="B2666" s="297"/>
      <c r="C2666" s="296"/>
      <c r="D2666" s="341"/>
    </row>
    <row r="2667" spans="1:4">
      <c r="A2667" s="341"/>
      <c r="B2667" s="297"/>
      <c r="C2667" s="296"/>
      <c r="D2667" s="341"/>
    </row>
    <row r="2668" spans="1:4">
      <c r="A2668" s="341"/>
      <c r="B2668" s="297"/>
      <c r="C2668" s="296"/>
      <c r="D2668" s="341"/>
    </row>
    <row r="2669" spans="1:4">
      <c r="A2669" s="341"/>
      <c r="B2669" s="297"/>
      <c r="C2669" s="296"/>
      <c r="D2669" s="341"/>
    </row>
    <row r="2670" spans="1:4">
      <c r="A2670" s="341"/>
      <c r="B2670" s="297"/>
      <c r="C2670" s="296"/>
      <c r="D2670" s="341"/>
    </row>
    <row r="2671" spans="1:4">
      <c r="A2671" s="341"/>
      <c r="B2671" s="297"/>
      <c r="C2671" s="296"/>
      <c r="D2671" s="341"/>
    </row>
    <row r="2672" spans="1:4">
      <c r="A2672" s="341"/>
      <c r="B2672" s="297"/>
      <c r="C2672" s="296"/>
      <c r="D2672" s="341"/>
    </row>
    <row r="2673" spans="1:4">
      <c r="A2673" s="341"/>
      <c r="B2673" s="297"/>
      <c r="C2673" s="296"/>
      <c r="D2673" s="341"/>
    </row>
    <row r="2674" spans="1:4">
      <c r="A2674" s="341"/>
      <c r="B2674" s="297"/>
      <c r="C2674" s="296"/>
      <c r="D2674" s="341"/>
    </row>
    <row r="2675" spans="1:4">
      <c r="A2675" s="341"/>
      <c r="B2675" s="297"/>
      <c r="C2675" s="296"/>
      <c r="D2675" s="341"/>
    </row>
    <row r="2676" spans="1:4">
      <c r="A2676" s="341"/>
      <c r="B2676" s="297"/>
      <c r="C2676" s="296"/>
      <c r="D2676" s="341"/>
    </row>
    <row r="2677" spans="1:4">
      <c r="A2677" s="341"/>
      <c r="B2677" s="297"/>
      <c r="C2677" s="296"/>
      <c r="D2677" s="341"/>
    </row>
    <row r="2678" spans="1:4">
      <c r="A2678" s="341"/>
      <c r="B2678" s="297"/>
      <c r="C2678" s="296"/>
      <c r="D2678" s="341"/>
    </row>
    <row r="2679" spans="1:4">
      <c r="A2679" s="341"/>
      <c r="B2679" s="297"/>
      <c r="C2679" s="296"/>
      <c r="D2679" s="341"/>
    </row>
    <row r="2680" spans="1:4">
      <c r="A2680" s="341"/>
      <c r="B2680" s="297"/>
      <c r="C2680" s="296"/>
      <c r="D2680" s="341"/>
    </row>
    <row r="2681" spans="1:4">
      <c r="A2681" s="341"/>
      <c r="B2681" s="297"/>
      <c r="C2681" s="296"/>
      <c r="D2681" s="341"/>
    </row>
    <row r="2682" spans="1:4">
      <c r="A2682" s="341"/>
      <c r="B2682" s="297"/>
      <c r="C2682" s="296"/>
      <c r="D2682" s="341"/>
    </row>
    <row r="2683" spans="1:4">
      <c r="A2683" s="341"/>
      <c r="B2683" s="297"/>
      <c r="C2683" s="296"/>
      <c r="D2683" s="341"/>
    </row>
    <row r="2684" spans="1:4">
      <c r="A2684" s="341"/>
      <c r="B2684" s="297"/>
      <c r="C2684" s="296"/>
      <c r="D2684" s="341"/>
    </row>
    <row r="2685" spans="1:4">
      <c r="A2685" s="341"/>
      <c r="B2685" s="297"/>
      <c r="C2685" s="296"/>
      <c r="D2685" s="341"/>
    </row>
    <row r="2686" spans="1:4">
      <c r="A2686" s="341"/>
      <c r="B2686" s="297"/>
      <c r="C2686" s="296"/>
      <c r="D2686" s="341"/>
    </row>
    <row r="2687" spans="1:4">
      <c r="A2687" s="341"/>
      <c r="B2687" s="297"/>
      <c r="C2687" s="296"/>
      <c r="D2687" s="341"/>
    </row>
    <row r="2688" spans="1:4">
      <c r="A2688" s="341"/>
      <c r="B2688" s="297"/>
      <c r="C2688" s="296"/>
      <c r="D2688" s="341"/>
    </row>
    <row r="2689" spans="1:4">
      <c r="A2689" s="341"/>
      <c r="B2689" s="297"/>
      <c r="C2689" s="296"/>
      <c r="D2689" s="341"/>
    </row>
    <row r="2690" spans="1:4">
      <c r="A2690" s="341"/>
      <c r="B2690" s="297"/>
      <c r="C2690" s="296"/>
      <c r="D2690" s="341"/>
    </row>
    <row r="2691" spans="1:4">
      <c r="A2691" s="341"/>
      <c r="B2691" s="297"/>
      <c r="C2691" s="296"/>
      <c r="D2691" s="341"/>
    </row>
    <row r="2692" spans="1:4">
      <c r="A2692" s="341"/>
      <c r="B2692" s="297"/>
      <c r="C2692" s="296"/>
      <c r="D2692" s="341"/>
    </row>
    <row r="2693" spans="1:4">
      <c r="A2693" s="341"/>
      <c r="B2693" s="297"/>
      <c r="C2693" s="296"/>
      <c r="D2693" s="341"/>
    </row>
    <row r="2694" spans="1:4">
      <c r="A2694" s="341"/>
      <c r="B2694" s="297"/>
      <c r="C2694" s="296"/>
      <c r="D2694" s="341"/>
    </row>
    <row r="2695" spans="1:4">
      <c r="A2695" s="341"/>
      <c r="B2695" s="297"/>
      <c r="C2695" s="296"/>
      <c r="D2695" s="341"/>
    </row>
    <row r="2696" spans="1:4">
      <c r="A2696" s="341"/>
      <c r="B2696" s="297"/>
      <c r="C2696" s="296"/>
      <c r="D2696" s="341"/>
    </row>
    <row r="2697" spans="1:4">
      <c r="A2697" s="341"/>
      <c r="B2697" s="297"/>
      <c r="C2697" s="296"/>
      <c r="D2697" s="341"/>
    </row>
    <row r="2698" spans="1:4">
      <c r="A2698" s="341"/>
      <c r="B2698" s="297"/>
      <c r="C2698" s="296"/>
      <c r="D2698" s="341"/>
    </row>
    <row r="2699" spans="1:4">
      <c r="A2699" s="341"/>
      <c r="B2699" s="297"/>
      <c r="C2699" s="296"/>
      <c r="D2699" s="341"/>
    </row>
    <row r="2700" spans="1:4">
      <c r="A2700" s="341"/>
      <c r="B2700" s="297"/>
      <c r="C2700" s="296"/>
      <c r="D2700" s="341"/>
    </row>
    <row r="2701" spans="1:4">
      <c r="A2701" s="341"/>
      <c r="B2701" s="297"/>
      <c r="C2701" s="296"/>
      <c r="D2701" s="341"/>
    </row>
    <row r="2702" spans="1:4">
      <c r="A2702" s="341"/>
      <c r="B2702" s="297"/>
      <c r="C2702" s="296"/>
      <c r="D2702" s="341"/>
    </row>
    <row r="2703" spans="1:4">
      <c r="A2703" s="341"/>
      <c r="B2703" s="297"/>
      <c r="C2703" s="296"/>
      <c r="D2703" s="341"/>
    </row>
    <row r="2704" spans="1:4">
      <c r="A2704" s="341"/>
      <c r="B2704" s="297"/>
      <c r="C2704" s="296"/>
      <c r="D2704" s="341"/>
    </row>
    <row r="2705" spans="1:4">
      <c r="A2705" s="341"/>
      <c r="B2705" s="297"/>
      <c r="C2705" s="296"/>
      <c r="D2705" s="341"/>
    </row>
    <row r="2706" spans="1:4">
      <c r="A2706" s="341"/>
      <c r="B2706" s="297"/>
      <c r="C2706" s="296"/>
      <c r="D2706" s="341"/>
    </row>
    <row r="2707" spans="1:4">
      <c r="A2707" s="341"/>
      <c r="B2707" s="297"/>
      <c r="C2707" s="296"/>
      <c r="D2707" s="341"/>
    </row>
    <row r="2708" spans="1:4">
      <c r="A2708" s="341"/>
      <c r="B2708" s="297"/>
      <c r="C2708" s="296"/>
      <c r="D2708" s="341"/>
    </row>
    <row r="2709" spans="1:4">
      <c r="A2709" s="341"/>
      <c r="B2709" s="297"/>
      <c r="C2709" s="296"/>
      <c r="D2709" s="341"/>
    </row>
    <row r="2710" spans="1:4">
      <c r="A2710" s="341"/>
      <c r="B2710" s="297"/>
      <c r="C2710" s="296"/>
      <c r="D2710" s="341"/>
    </row>
    <row r="2711" spans="1:4">
      <c r="A2711" s="341"/>
      <c r="B2711" s="297"/>
      <c r="C2711" s="296"/>
      <c r="D2711" s="341"/>
    </row>
    <row r="2712" spans="1:4">
      <c r="A2712" s="341"/>
      <c r="B2712" s="297"/>
      <c r="C2712" s="296"/>
      <c r="D2712" s="341"/>
    </row>
    <row r="2713" spans="1:4">
      <c r="A2713" s="341"/>
      <c r="B2713" s="297"/>
      <c r="C2713" s="296"/>
      <c r="D2713" s="341"/>
    </row>
    <row r="2714" spans="1:4">
      <c r="A2714" s="341"/>
      <c r="B2714" s="297"/>
      <c r="C2714" s="296"/>
      <c r="D2714" s="341"/>
    </row>
    <row r="2715" spans="1:4">
      <c r="A2715" s="341"/>
      <c r="B2715" s="297"/>
      <c r="C2715" s="296"/>
      <c r="D2715" s="341"/>
    </row>
    <row r="2716" spans="1:4">
      <c r="A2716" s="341"/>
      <c r="B2716" s="297"/>
      <c r="C2716" s="296"/>
      <c r="D2716" s="341"/>
    </row>
    <row r="2717" spans="1:4">
      <c r="A2717" s="341"/>
      <c r="B2717" s="297"/>
      <c r="C2717" s="296"/>
      <c r="D2717" s="341"/>
    </row>
    <row r="2718" spans="1:4">
      <c r="A2718" s="341"/>
      <c r="B2718" s="297"/>
      <c r="C2718" s="296"/>
      <c r="D2718" s="341"/>
    </row>
    <row r="2719" spans="1:4">
      <c r="A2719" s="341"/>
      <c r="B2719" s="297"/>
      <c r="C2719" s="296"/>
      <c r="D2719" s="341"/>
    </row>
    <row r="2720" spans="1:4">
      <c r="A2720" s="341"/>
      <c r="B2720" s="297"/>
      <c r="C2720" s="296"/>
      <c r="D2720" s="341"/>
    </row>
    <row r="2721" spans="1:4">
      <c r="A2721" s="341"/>
      <c r="B2721" s="297"/>
      <c r="C2721" s="296"/>
      <c r="D2721" s="341"/>
    </row>
    <row r="2722" spans="1:4">
      <c r="A2722" s="341"/>
      <c r="B2722" s="297"/>
      <c r="C2722" s="296"/>
      <c r="D2722" s="341"/>
    </row>
    <row r="2723" spans="1:4">
      <c r="A2723" s="341"/>
      <c r="B2723" s="297"/>
      <c r="C2723" s="296"/>
      <c r="D2723" s="341"/>
    </row>
    <row r="2724" spans="1:4">
      <c r="A2724" s="341"/>
      <c r="B2724" s="297"/>
      <c r="C2724" s="296"/>
      <c r="D2724" s="341"/>
    </row>
    <row r="2725" spans="1:4">
      <c r="A2725" s="341"/>
      <c r="B2725" s="297"/>
      <c r="C2725" s="296"/>
      <c r="D2725" s="341"/>
    </row>
    <row r="2726" spans="1:4">
      <c r="A2726" s="341"/>
      <c r="B2726" s="297"/>
      <c r="C2726" s="296"/>
      <c r="D2726" s="341"/>
    </row>
    <row r="2727" spans="1:4">
      <c r="A2727" s="341"/>
      <c r="B2727" s="297"/>
      <c r="C2727" s="296"/>
      <c r="D2727" s="341"/>
    </row>
    <row r="2728" spans="1:4">
      <c r="A2728" s="341"/>
      <c r="B2728" s="297"/>
      <c r="C2728" s="296"/>
      <c r="D2728" s="341"/>
    </row>
    <row r="2729" spans="1:4">
      <c r="A2729" s="341"/>
      <c r="B2729" s="297"/>
      <c r="C2729" s="296"/>
      <c r="D2729" s="341"/>
    </row>
    <row r="2730" spans="1:4">
      <c r="A2730" s="341"/>
      <c r="B2730" s="297"/>
      <c r="C2730" s="296"/>
      <c r="D2730" s="341"/>
    </row>
    <row r="2731" spans="1:4">
      <c r="A2731" s="341"/>
      <c r="B2731" s="297"/>
      <c r="C2731" s="296"/>
      <c r="D2731" s="341"/>
    </row>
    <row r="2732" spans="1:4">
      <c r="A2732" s="341"/>
      <c r="B2732" s="297"/>
      <c r="C2732" s="296"/>
      <c r="D2732" s="341"/>
    </row>
    <row r="2733" spans="1:4">
      <c r="A2733" s="341"/>
      <c r="B2733" s="297"/>
      <c r="C2733" s="296"/>
      <c r="D2733" s="341"/>
    </row>
    <row r="2734" spans="1:4">
      <c r="A2734" s="341"/>
      <c r="B2734" s="297"/>
      <c r="C2734" s="296"/>
      <c r="D2734" s="341"/>
    </row>
    <row r="2735" spans="1:4">
      <c r="A2735" s="341"/>
      <c r="B2735" s="297"/>
      <c r="C2735" s="296"/>
      <c r="D2735" s="341"/>
    </row>
    <row r="2736" spans="1:4">
      <c r="A2736" s="341"/>
      <c r="B2736" s="297"/>
      <c r="C2736" s="296"/>
      <c r="D2736" s="341"/>
    </row>
    <row r="2737" spans="1:4">
      <c r="A2737" s="341"/>
      <c r="B2737" s="297"/>
      <c r="C2737" s="296"/>
      <c r="D2737" s="341"/>
    </row>
    <row r="2738" spans="1:4">
      <c r="A2738" s="341"/>
      <c r="B2738" s="297"/>
      <c r="C2738" s="296"/>
      <c r="D2738" s="341"/>
    </row>
    <row r="2739" spans="1:4">
      <c r="A2739" s="341"/>
      <c r="B2739" s="297"/>
      <c r="C2739" s="296"/>
      <c r="D2739" s="341"/>
    </row>
    <row r="2740" spans="1:4">
      <c r="A2740" s="341"/>
      <c r="B2740" s="297"/>
      <c r="C2740" s="296"/>
      <c r="D2740" s="341"/>
    </row>
    <row r="2741" spans="1:4">
      <c r="A2741" s="341"/>
      <c r="B2741" s="297"/>
      <c r="C2741" s="296"/>
      <c r="D2741" s="341"/>
    </row>
    <row r="2742" spans="1:4">
      <c r="A2742" s="341"/>
      <c r="B2742" s="297"/>
      <c r="C2742" s="296"/>
      <c r="D2742" s="341"/>
    </row>
    <row r="2743" spans="1:4">
      <c r="A2743" s="341"/>
      <c r="B2743" s="297"/>
      <c r="C2743" s="296"/>
      <c r="D2743" s="341"/>
    </row>
    <row r="2744" spans="1:4">
      <c r="A2744" s="341"/>
      <c r="B2744" s="297"/>
      <c r="C2744" s="296"/>
      <c r="D2744" s="341"/>
    </row>
    <row r="2745" spans="1:4">
      <c r="A2745" s="341"/>
      <c r="B2745" s="297"/>
      <c r="C2745" s="296"/>
      <c r="D2745" s="341"/>
    </row>
    <row r="2746" spans="1:4">
      <c r="A2746" s="341"/>
      <c r="B2746" s="297"/>
      <c r="C2746" s="296"/>
      <c r="D2746" s="341"/>
    </row>
    <row r="2747" spans="1:4">
      <c r="A2747" s="341"/>
      <c r="B2747" s="297"/>
      <c r="C2747" s="296"/>
      <c r="D2747" s="341"/>
    </row>
    <row r="2748" spans="1:4">
      <c r="A2748" s="341"/>
      <c r="B2748" s="297"/>
      <c r="C2748" s="296"/>
      <c r="D2748" s="341"/>
    </row>
    <row r="2749" spans="1:4">
      <c r="A2749" s="341"/>
      <c r="B2749" s="297"/>
      <c r="C2749" s="296"/>
      <c r="D2749" s="341"/>
    </row>
    <row r="2750" spans="1:4">
      <c r="A2750" s="341"/>
      <c r="B2750" s="297"/>
      <c r="C2750" s="296"/>
      <c r="D2750" s="341"/>
    </row>
    <row r="2751" spans="1:4">
      <c r="A2751" s="341"/>
      <c r="B2751" s="297"/>
      <c r="C2751" s="296"/>
      <c r="D2751" s="341"/>
    </row>
    <row r="2752" spans="1:4">
      <c r="A2752" s="341"/>
      <c r="B2752" s="297"/>
      <c r="C2752" s="296"/>
      <c r="D2752" s="341"/>
    </row>
    <row r="2753" spans="1:4">
      <c r="A2753" s="341"/>
      <c r="B2753" s="297"/>
      <c r="C2753" s="296"/>
      <c r="D2753" s="341"/>
    </row>
    <row r="2754" spans="1:4">
      <c r="A2754" s="341"/>
      <c r="B2754" s="297"/>
      <c r="C2754" s="296"/>
      <c r="D2754" s="341"/>
    </row>
    <row r="2755" spans="1:4">
      <c r="A2755" s="341"/>
      <c r="B2755" s="297"/>
      <c r="C2755" s="296"/>
      <c r="D2755" s="341"/>
    </row>
    <row r="2756" spans="1:4">
      <c r="A2756" s="341"/>
      <c r="B2756" s="297"/>
      <c r="C2756" s="296"/>
      <c r="D2756" s="341"/>
    </row>
    <row r="2757" spans="1:4">
      <c r="A2757" s="341"/>
      <c r="B2757" s="297"/>
      <c r="C2757" s="296"/>
      <c r="D2757" s="341"/>
    </row>
    <row r="2758" spans="1:4">
      <c r="A2758" s="341"/>
      <c r="B2758" s="297"/>
      <c r="C2758" s="296"/>
      <c r="D2758" s="341"/>
    </row>
    <row r="2759" spans="1:4">
      <c r="A2759" s="341"/>
      <c r="B2759" s="297"/>
      <c r="C2759" s="296"/>
      <c r="D2759" s="341"/>
    </row>
    <row r="2760" spans="1:4">
      <c r="A2760" s="341"/>
      <c r="B2760" s="297"/>
      <c r="C2760" s="296"/>
      <c r="D2760" s="341"/>
    </row>
    <row r="2761" spans="1:4">
      <c r="A2761" s="341"/>
      <c r="B2761" s="297"/>
      <c r="C2761" s="296"/>
      <c r="D2761" s="341"/>
    </row>
    <row r="2762" spans="1:4">
      <c r="A2762" s="341"/>
      <c r="B2762" s="297"/>
      <c r="C2762" s="296"/>
      <c r="D2762" s="341"/>
    </row>
    <row r="2763" spans="1:4">
      <c r="A2763" s="341"/>
      <c r="B2763" s="297"/>
      <c r="C2763" s="296"/>
      <c r="D2763" s="341"/>
    </row>
    <row r="2764" spans="1:4">
      <c r="A2764" s="341"/>
      <c r="B2764" s="297"/>
      <c r="C2764" s="296"/>
      <c r="D2764" s="341"/>
    </row>
    <row r="2765" spans="1:4">
      <c r="A2765" s="341"/>
      <c r="B2765" s="297"/>
      <c r="C2765" s="296"/>
      <c r="D2765" s="341"/>
    </row>
    <row r="2766" spans="1:4">
      <c r="A2766" s="341"/>
      <c r="B2766" s="297"/>
      <c r="C2766" s="296"/>
      <c r="D2766" s="341"/>
    </row>
    <row r="2767" spans="1:4">
      <c r="A2767" s="341"/>
      <c r="B2767" s="297"/>
      <c r="C2767" s="296"/>
      <c r="D2767" s="341"/>
    </row>
    <row r="2768" spans="1:4">
      <c r="A2768" s="341"/>
      <c r="B2768" s="297"/>
      <c r="C2768" s="296"/>
      <c r="D2768" s="341"/>
    </row>
    <row r="2769" spans="1:4">
      <c r="A2769" s="341"/>
      <c r="B2769" s="297"/>
      <c r="C2769" s="296"/>
      <c r="D2769" s="341"/>
    </row>
    <row r="2770" spans="1:4">
      <c r="A2770" s="341"/>
      <c r="B2770" s="297"/>
      <c r="C2770" s="296"/>
      <c r="D2770" s="341"/>
    </row>
    <row r="2771" spans="1:4">
      <c r="A2771" s="341"/>
      <c r="B2771" s="297"/>
      <c r="C2771" s="296"/>
      <c r="D2771" s="341"/>
    </row>
    <row r="2772" spans="1:4">
      <c r="A2772" s="341"/>
      <c r="B2772" s="297"/>
      <c r="C2772" s="296"/>
      <c r="D2772" s="341"/>
    </row>
    <row r="2773" spans="1:4">
      <c r="A2773" s="341"/>
      <c r="B2773" s="297"/>
      <c r="C2773" s="296"/>
      <c r="D2773" s="341"/>
    </row>
    <row r="2774" spans="1:4">
      <c r="A2774" s="341"/>
      <c r="B2774" s="297"/>
      <c r="C2774" s="296"/>
      <c r="D2774" s="341"/>
    </row>
    <row r="2775" spans="1:4">
      <c r="A2775" s="341"/>
      <c r="B2775" s="297"/>
      <c r="C2775" s="296"/>
      <c r="D2775" s="341"/>
    </row>
    <row r="2776" spans="1:4">
      <c r="A2776" s="341"/>
      <c r="B2776" s="297"/>
      <c r="C2776" s="296"/>
      <c r="D2776" s="341"/>
    </row>
    <row r="2777" spans="1:4">
      <c r="A2777" s="341"/>
      <c r="B2777" s="297"/>
      <c r="C2777" s="296"/>
      <c r="D2777" s="341"/>
    </row>
    <row r="2778" spans="1:4">
      <c r="A2778" s="341"/>
      <c r="B2778" s="297"/>
      <c r="C2778" s="296"/>
      <c r="D2778" s="341"/>
    </row>
    <row r="2779" spans="1:4">
      <c r="A2779" s="341"/>
      <c r="B2779" s="297"/>
      <c r="C2779" s="296"/>
      <c r="D2779" s="341"/>
    </row>
    <row r="2780" spans="1:4">
      <c r="A2780" s="341"/>
      <c r="B2780" s="297"/>
      <c r="C2780" s="296"/>
      <c r="D2780" s="341"/>
    </row>
    <row r="2781" spans="1:4">
      <c r="A2781" s="341"/>
      <c r="B2781" s="297"/>
      <c r="C2781" s="296"/>
      <c r="D2781" s="341"/>
    </row>
    <row r="2782" spans="1:4">
      <c r="A2782" s="341"/>
      <c r="B2782" s="297"/>
      <c r="C2782" s="296"/>
      <c r="D2782" s="341"/>
    </row>
    <row r="2783" spans="1:4">
      <c r="A2783" s="341"/>
      <c r="B2783" s="297"/>
      <c r="C2783" s="296"/>
      <c r="D2783" s="341"/>
    </row>
    <row r="2784" spans="1:4">
      <c r="A2784" s="341"/>
      <c r="B2784" s="297"/>
      <c r="C2784" s="296"/>
      <c r="D2784" s="341"/>
    </row>
    <row r="2785" spans="1:4">
      <c r="A2785" s="341"/>
      <c r="B2785" s="297"/>
      <c r="C2785" s="296"/>
      <c r="D2785" s="341"/>
    </row>
    <row r="2786" spans="1:4">
      <c r="A2786" s="341"/>
      <c r="B2786" s="297"/>
      <c r="C2786" s="296"/>
      <c r="D2786" s="341"/>
    </row>
    <row r="2787" spans="1:4">
      <c r="A2787" s="341"/>
      <c r="B2787" s="297"/>
      <c r="C2787" s="296"/>
      <c r="D2787" s="341"/>
    </row>
    <row r="2788" spans="1:4">
      <c r="A2788" s="341"/>
      <c r="B2788" s="297"/>
      <c r="C2788" s="296"/>
      <c r="D2788" s="341"/>
    </row>
    <row r="2789" spans="1:4">
      <c r="A2789" s="341"/>
      <c r="B2789" s="297"/>
      <c r="C2789" s="296"/>
      <c r="D2789" s="341"/>
    </row>
    <row r="2790" spans="1:4">
      <c r="A2790" s="341"/>
      <c r="B2790" s="297"/>
      <c r="C2790" s="296"/>
      <c r="D2790" s="341"/>
    </row>
    <row r="2791" spans="1:4">
      <c r="A2791" s="341"/>
      <c r="B2791" s="297"/>
      <c r="C2791" s="296"/>
      <c r="D2791" s="341"/>
    </row>
    <row r="2792" spans="1:4">
      <c r="A2792" s="341"/>
      <c r="B2792" s="297"/>
      <c r="C2792" s="296"/>
      <c r="D2792" s="341"/>
    </row>
    <row r="2793" spans="1:4">
      <c r="A2793" s="341"/>
      <c r="B2793" s="297"/>
      <c r="C2793" s="296"/>
      <c r="D2793" s="341"/>
    </row>
    <row r="2794" spans="1:4">
      <c r="A2794" s="341"/>
      <c r="B2794" s="297"/>
      <c r="C2794" s="296"/>
      <c r="D2794" s="341"/>
    </row>
    <row r="2795" spans="1:4">
      <c r="A2795" s="341"/>
      <c r="B2795" s="297"/>
      <c r="C2795" s="296"/>
      <c r="D2795" s="341"/>
    </row>
    <row r="2796" spans="1:4">
      <c r="A2796" s="341"/>
      <c r="B2796" s="297"/>
      <c r="C2796" s="296"/>
      <c r="D2796" s="341"/>
    </row>
    <row r="2797" spans="1:4">
      <c r="A2797" s="341"/>
      <c r="B2797" s="297"/>
      <c r="C2797" s="296"/>
      <c r="D2797" s="341"/>
    </row>
    <row r="2798" spans="1:4">
      <c r="A2798" s="341"/>
      <c r="B2798" s="297"/>
      <c r="C2798" s="296"/>
      <c r="D2798" s="341"/>
    </row>
    <row r="2799" spans="1:4">
      <c r="A2799" s="341"/>
      <c r="B2799" s="297"/>
      <c r="C2799" s="296"/>
      <c r="D2799" s="341"/>
    </row>
    <row r="2800" spans="1:4">
      <c r="A2800" s="341"/>
      <c r="B2800" s="297"/>
      <c r="C2800" s="296"/>
      <c r="D2800" s="341"/>
    </row>
    <row r="2801" spans="1:4">
      <c r="A2801" s="341"/>
      <c r="B2801" s="297"/>
      <c r="C2801" s="296"/>
      <c r="D2801" s="341"/>
    </row>
    <row r="2802" spans="1:4">
      <c r="A2802" s="341"/>
      <c r="B2802" s="297"/>
      <c r="C2802" s="296"/>
      <c r="D2802" s="341"/>
    </row>
    <row r="2803" spans="1:4">
      <c r="A2803" s="341"/>
      <c r="B2803" s="297"/>
      <c r="C2803" s="296"/>
      <c r="D2803" s="341"/>
    </row>
    <row r="2804" spans="1:4">
      <c r="A2804" s="341"/>
      <c r="B2804" s="297"/>
      <c r="C2804" s="296"/>
      <c r="D2804" s="341"/>
    </row>
    <row r="2805" spans="1:4">
      <c r="A2805" s="341"/>
      <c r="B2805" s="297"/>
      <c r="C2805" s="296"/>
      <c r="D2805" s="341"/>
    </row>
    <row r="2806" spans="1:4">
      <c r="A2806" s="341"/>
      <c r="B2806" s="297"/>
      <c r="C2806" s="296"/>
      <c r="D2806" s="341"/>
    </row>
    <row r="2807" spans="1:4">
      <c r="A2807" s="341"/>
      <c r="B2807" s="297"/>
      <c r="C2807" s="296"/>
      <c r="D2807" s="341"/>
    </row>
    <row r="2808" spans="1:4">
      <c r="A2808" s="341"/>
      <c r="B2808" s="297"/>
      <c r="C2808" s="296"/>
      <c r="D2808" s="341"/>
    </row>
    <row r="2809" spans="1:4">
      <c r="A2809" s="341"/>
      <c r="B2809" s="297"/>
      <c r="C2809" s="296"/>
      <c r="D2809" s="341"/>
    </row>
    <row r="2810" spans="1:4">
      <c r="A2810" s="341"/>
      <c r="B2810" s="297"/>
      <c r="C2810" s="296"/>
      <c r="D2810" s="341"/>
    </row>
    <row r="2811" spans="1:4">
      <c r="A2811" s="341"/>
      <c r="B2811" s="297"/>
      <c r="C2811" s="296"/>
      <c r="D2811" s="341"/>
    </row>
    <row r="2812" spans="1:4">
      <c r="A2812" s="341"/>
      <c r="B2812" s="297"/>
      <c r="C2812" s="296"/>
      <c r="D2812" s="341"/>
    </row>
    <row r="2813" spans="1:4">
      <c r="A2813" s="341"/>
      <c r="B2813" s="297"/>
      <c r="C2813" s="296"/>
      <c r="D2813" s="341"/>
    </row>
    <row r="2814" spans="1:4">
      <c r="A2814" s="341"/>
      <c r="B2814" s="297"/>
      <c r="C2814" s="296"/>
      <c r="D2814" s="341"/>
    </row>
    <row r="2815" spans="1:4">
      <c r="A2815" s="341"/>
      <c r="B2815" s="297"/>
      <c r="C2815" s="296"/>
      <c r="D2815" s="341"/>
    </row>
    <row r="2816" spans="1:4">
      <c r="A2816" s="341"/>
      <c r="B2816" s="297"/>
      <c r="C2816" s="296"/>
      <c r="D2816" s="341"/>
    </row>
    <row r="2817" spans="1:4">
      <c r="A2817" s="341"/>
      <c r="B2817" s="297"/>
      <c r="C2817" s="296"/>
      <c r="D2817" s="341"/>
    </row>
    <row r="2818" spans="1:4">
      <c r="A2818" s="341"/>
      <c r="B2818" s="297"/>
      <c r="C2818" s="296"/>
      <c r="D2818" s="341"/>
    </row>
    <row r="2819" spans="1:4">
      <c r="A2819" s="341"/>
      <c r="B2819" s="297"/>
      <c r="C2819" s="296"/>
      <c r="D2819" s="341"/>
    </row>
    <row r="2820" spans="1:4">
      <c r="A2820" s="341"/>
      <c r="B2820" s="297"/>
      <c r="C2820" s="296"/>
      <c r="D2820" s="341"/>
    </row>
    <row r="2821" spans="1:4">
      <c r="A2821" s="341"/>
      <c r="B2821" s="297"/>
      <c r="C2821" s="296"/>
      <c r="D2821" s="341"/>
    </row>
    <row r="2822" spans="1:4">
      <c r="A2822" s="341"/>
      <c r="B2822" s="297"/>
      <c r="C2822" s="296"/>
      <c r="D2822" s="341"/>
    </row>
    <row r="2823" spans="1:4">
      <c r="A2823" s="341"/>
      <c r="B2823" s="297"/>
      <c r="C2823" s="296"/>
      <c r="D2823" s="341"/>
    </row>
    <row r="2824" spans="1:4">
      <c r="A2824" s="341"/>
      <c r="B2824" s="297"/>
      <c r="C2824" s="296"/>
      <c r="D2824" s="341"/>
    </row>
    <row r="2825" spans="1:4">
      <c r="A2825" s="341"/>
      <c r="B2825" s="297"/>
      <c r="C2825" s="296"/>
      <c r="D2825" s="341"/>
    </row>
    <row r="2826" spans="1:4">
      <c r="A2826" s="341"/>
      <c r="B2826" s="297"/>
      <c r="C2826" s="296"/>
      <c r="D2826" s="341"/>
    </row>
    <row r="2827" spans="1:4">
      <c r="A2827" s="341"/>
      <c r="B2827" s="297"/>
      <c r="C2827" s="296"/>
      <c r="D2827" s="341"/>
    </row>
    <row r="2828" spans="1:4">
      <c r="A2828" s="341"/>
      <c r="B2828" s="297"/>
      <c r="C2828" s="296"/>
      <c r="D2828" s="341"/>
    </row>
    <row r="2829" spans="1:4">
      <c r="A2829" s="341"/>
      <c r="B2829" s="297"/>
      <c r="C2829" s="296"/>
      <c r="D2829" s="341"/>
    </row>
    <row r="2830" spans="1:4">
      <c r="A2830" s="341"/>
      <c r="B2830" s="297"/>
      <c r="C2830" s="296"/>
      <c r="D2830" s="341"/>
    </row>
    <row r="2831" spans="1:4">
      <c r="A2831" s="341"/>
      <c r="B2831" s="297"/>
      <c r="C2831" s="296"/>
      <c r="D2831" s="341"/>
    </row>
    <row r="2832" spans="1:4">
      <c r="A2832" s="341"/>
      <c r="B2832" s="297"/>
      <c r="C2832" s="296"/>
      <c r="D2832" s="341"/>
    </row>
    <row r="2833" spans="1:4">
      <c r="A2833" s="341"/>
      <c r="B2833" s="297"/>
      <c r="C2833" s="296"/>
      <c r="D2833" s="341"/>
    </row>
    <row r="2834" spans="1:4">
      <c r="A2834" s="341"/>
      <c r="B2834" s="297"/>
      <c r="C2834" s="296"/>
      <c r="D2834" s="341"/>
    </row>
    <row r="2835" spans="1:4">
      <c r="A2835" s="341"/>
      <c r="B2835" s="297"/>
      <c r="C2835" s="296"/>
      <c r="D2835" s="341"/>
    </row>
    <row r="2836" spans="1:4">
      <c r="A2836" s="341"/>
      <c r="B2836" s="297"/>
      <c r="C2836" s="296"/>
      <c r="D2836" s="341"/>
    </row>
    <row r="2837" spans="1:4">
      <c r="A2837" s="341"/>
      <c r="B2837" s="297"/>
      <c r="C2837" s="296"/>
      <c r="D2837" s="341"/>
    </row>
    <row r="2838" spans="1:4">
      <c r="A2838" s="341"/>
      <c r="B2838" s="297"/>
      <c r="C2838" s="296"/>
      <c r="D2838" s="341"/>
    </row>
    <row r="2839" spans="1:4">
      <c r="A2839" s="341"/>
      <c r="B2839" s="297"/>
      <c r="C2839" s="296"/>
      <c r="D2839" s="341"/>
    </row>
    <row r="2840" spans="1:4">
      <c r="A2840" s="341"/>
      <c r="B2840" s="297"/>
      <c r="C2840" s="296"/>
      <c r="D2840" s="341"/>
    </row>
    <row r="2841" spans="1:4">
      <c r="A2841" s="341"/>
      <c r="B2841" s="297"/>
      <c r="C2841" s="296"/>
      <c r="D2841" s="341"/>
    </row>
    <row r="2842" spans="1:4">
      <c r="A2842" s="341"/>
      <c r="B2842" s="297"/>
      <c r="C2842" s="296"/>
      <c r="D2842" s="341"/>
    </row>
    <row r="2843" spans="1:4">
      <c r="A2843" s="341"/>
      <c r="B2843" s="297"/>
      <c r="C2843" s="296"/>
      <c r="D2843" s="341"/>
    </row>
    <row r="2844" spans="1:4">
      <c r="A2844" s="341"/>
      <c r="B2844" s="297"/>
      <c r="C2844" s="296"/>
      <c r="D2844" s="341"/>
    </row>
    <row r="2845" spans="1:4">
      <c r="A2845" s="341"/>
      <c r="B2845" s="297"/>
      <c r="C2845" s="296"/>
      <c r="D2845" s="341"/>
    </row>
    <row r="2846" spans="1:4">
      <c r="A2846" s="341"/>
      <c r="B2846" s="297"/>
      <c r="C2846" s="296"/>
      <c r="D2846" s="341"/>
    </row>
    <row r="2847" spans="1:4">
      <c r="A2847" s="341"/>
      <c r="B2847" s="297"/>
      <c r="C2847" s="296"/>
      <c r="D2847" s="341"/>
    </row>
    <row r="2848" spans="1:4">
      <c r="A2848" s="341"/>
      <c r="B2848" s="297"/>
      <c r="C2848" s="296"/>
      <c r="D2848" s="341"/>
    </row>
    <row r="2849" spans="1:4">
      <c r="A2849" s="341"/>
      <c r="B2849" s="297"/>
      <c r="C2849" s="296"/>
      <c r="D2849" s="341"/>
    </row>
    <row r="2850" spans="1:4">
      <c r="A2850" s="341"/>
      <c r="B2850" s="297"/>
      <c r="C2850" s="296"/>
      <c r="D2850" s="341"/>
    </row>
    <row r="2851" spans="1:4">
      <c r="A2851" s="341"/>
      <c r="B2851" s="297"/>
      <c r="C2851" s="296"/>
      <c r="D2851" s="341"/>
    </row>
    <row r="2852" spans="1:4">
      <c r="A2852" s="341"/>
      <c r="B2852" s="297"/>
      <c r="C2852" s="296"/>
      <c r="D2852" s="341"/>
    </row>
    <row r="2853" spans="1:4">
      <c r="A2853" s="341"/>
      <c r="B2853" s="297"/>
      <c r="C2853" s="296"/>
      <c r="D2853" s="341"/>
    </row>
    <row r="2854" spans="1:4">
      <c r="A2854" s="341"/>
      <c r="B2854" s="297"/>
      <c r="C2854" s="296"/>
      <c r="D2854" s="341"/>
    </row>
    <row r="2855" spans="1:4">
      <c r="A2855" s="341"/>
      <c r="B2855" s="297"/>
      <c r="C2855" s="296"/>
      <c r="D2855" s="341"/>
    </row>
    <row r="2856" spans="1:4">
      <c r="A2856" s="341"/>
      <c r="B2856" s="297"/>
      <c r="C2856" s="296"/>
      <c r="D2856" s="341"/>
    </row>
    <row r="2857" spans="1:4">
      <c r="A2857" s="341"/>
      <c r="B2857" s="297"/>
      <c r="C2857" s="296"/>
      <c r="D2857" s="341"/>
    </row>
    <row r="2858" spans="1:4">
      <c r="A2858" s="341"/>
      <c r="B2858" s="297"/>
      <c r="C2858" s="296"/>
      <c r="D2858" s="341"/>
    </row>
    <row r="2859" spans="1:4">
      <c r="A2859" s="341"/>
      <c r="B2859" s="297"/>
      <c r="C2859" s="296"/>
      <c r="D2859" s="341"/>
    </row>
    <row r="2860" spans="1:4">
      <c r="A2860" s="341"/>
      <c r="B2860" s="297"/>
      <c r="C2860" s="296"/>
      <c r="D2860" s="341"/>
    </row>
    <row r="2861" spans="1:4">
      <c r="A2861" s="341"/>
      <c r="B2861" s="297"/>
      <c r="C2861" s="296"/>
      <c r="D2861" s="341"/>
    </row>
    <row r="2862" spans="1:4">
      <c r="A2862" s="341"/>
      <c r="B2862" s="297"/>
      <c r="C2862" s="296"/>
      <c r="D2862" s="341"/>
    </row>
    <row r="2863" spans="1:4">
      <c r="A2863" s="341"/>
      <c r="B2863" s="297"/>
      <c r="C2863" s="296"/>
      <c r="D2863" s="341"/>
    </row>
    <row r="2864" spans="1:4">
      <c r="A2864" s="341"/>
      <c r="B2864" s="297"/>
      <c r="C2864" s="296"/>
      <c r="D2864" s="341"/>
    </row>
    <row r="2865" spans="1:4">
      <c r="A2865" s="341"/>
      <c r="B2865" s="297"/>
      <c r="C2865" s="296"/>
      <c r="D2865" s="341"/>
    </row>
    <row r="2866" spans="1:4">
      <c r="A2866" s="341"/>
      <c r="B2866" s="297"/>
      <c r="C2866" s="296"/>
      <c r="D2866" s="341"/>
    </row>
    <row r="2867" spans="1:4">
      <c r="A2867" s="341"/>
      <c r="B2867" s="297"/>
      <c r="C2867" s="296"/>
      <c r="D2867" s="341"/>
    </row>
    <row r="2868" spans="1:4">
      <c r="A2868" s="341"/>
      <c r="B2868" s="297"/>
      <c r="C2868" s="296"/>
      <c r="D2868" s="341"/>
    </row>
    <row r="2869" spans="1:4">
      <c r="A2869" s="341"/>
      <c r="B2869" s="297"/>
      <c r="C2869" s="296"/>
      <c r="D2869" s="341"/>
    </row>
    <row r="2870" spans="1:4">
      <c r="A2870" s="341"/>
      <c r="B2870" s="297"/>
      <c r="C2870" s="296"/>
      <c r="D2870" s="341"/>
    </row>
    <row r="2871" spans="1:4">
      <c r="A2871" s="341"/>
      <c r="B2871" s="297"/>
      <c r="C2871" s="296"/>
      <c r="D2871" s="341"/>
    </row>
    <row r="2872" spans="1:4">
      <c r="A2872" s="341"/>
      <c r="B2872" s="297"/>
      <c r="C2872" s="296"/>
      <c r="D2872" s="341"/>
    </row>
    <row r="2873" spans="1:4">
      <c r="A2873" s="341"/>
      <c r="B2873" s="297"/>
      <c r="C2873" s="296"/>
      <c r="D2873" s="341"/>
    </row>
    <row r="2874" spans="1:4">
      <c r="A2874" s="341"/>
      <c r="B2874" s="297"/>
      <c r="C2874" s="296"/>
      <c r="D2874" s="341"/>
    </row>
    <row r="2875" spans="1:4">
      <c r="A2875" s="341"/>
      <c r="B2875" s="297"/>
      <c r="C2875" s="296"/>
      <c r="D2875" s="341"/>
    </row>
    <row r="2876" spans="1:4">
      <c r="A2876" s="341"/>
      <c r="B2876" s="297"/>
      <c r="C2876" s="296"/>
      <c r="D2876" s="341"/>
    </row>
    <row r="2877" spans="1:4">
      <c r="A2877" s="341"/>
      <c r="B2877" s="297"/>
      <c r="C2877" s="296"/>
      <c r="D2877" s="341"/>
    </row>
    <row r="2878" spans="1:4">
      <c r="A2878" s="341"/>
      <c r="B2878" s="297"/>
      <c r="C2878" s="296"/>
      <c r="D2878" s="341"/>
    </row>
    <row r="2879" spans="1:4">
      <c r="A2879" s="341"/>
      <c r="B2879" s="297"/>
      <c r="C2879" s="296"/>
      <c r="D2879" s="341"/>
    </row>
    <row r="2880" spans="1:4">
      <c r="A2880" s="341"/>
      <c r="B2880" s="297"/>
      <c r="C2880" s="296"/>
      <c r="D2880" s="341"/>
    </row>
    <row r="2881" spans="1:4">
      <c r="A2881" s="341"/>
      <c r="B2881" s="297"/>
      <c r="C2881" s="296"/>
      <c r="D2881" s="341"/>
    </row>
    <row r="2882" spans="1:4">
      <c r="A2882" s="341"/>
      <c r="B2882" s="297"/>
      <c r="C2882" s="296"/>
      <c r="D2882" s="341"/>
    </row>
    <row r="2883" spans="1:4">
      <c r="A2883" s="341"/>
      <c r="B2883" s="297"/>
      <c r="C2883" s="296"/>
      <c r="D2883" s="341"/>
    </row>
    <row r="2884" spans="1:4">
      <c r="A2884" s="341"/>
      <c r="B2884" s="297"/>
      <c r="C2884" s="296"/>
      <c r="D2884" s="341"/>
    </row>
    <row r="2885" spans="1:4">
      <c r="A2885" s="341"/>
      <c r="B2885" s="297"/>
      <c r="C2885" s="296"/>
      <c r="D2885" s="341"/>
    </row>
    <row r="2886" spans="1:4">
      <c r="A2886" s="341"/>
      <c r="B2886" s="297"/>
      <c r="C2886" s="296"/>
      <c r="D2886" s="341"/>
    </row>
    <row r="2887" spans="1:4">
      <c r="A2887" s="341"/>
      <c r="B2887" s="297"/>
      <c r="C2887" s="296"/>
      <c r="D2887" s="341"/>
    </row>
    <row r="2888" spans="1:4">
      <c r="A2888" s="341"/>
      <c r="B2888" s="297"/>
      <c r="C2888" s="296"/>
      <c r="D2888" s="341"/>
    </row>
    <row r="2889" spans="1:4">
      <c r="A2889" s="341"/>
      <c r="B2889" s="297"/>
      <c r="C2889" s="296"/>
      <c r="D2889" s="341"/>
    </row>
    <row r="2890" spans="1:4">
      <c r="A2890" s="341"/>
      <c r="B2890" s="297"/>
      <c r="C2890" s="296"/>
      <c r="D2890" s="341"/>
    </row>
    <row r="2891" spans="1:4">
      <c r="A2891" s="341"/>
      <c r="B2891" s="297"/>
      <c r="C2891" s="296"/>
      <c r="D2891" s="341"/>
    </row>
    <row r="2892" spans="1:4">
      <c r="A2892" s="341"/>
      <c r="B2892" s="297"/>
      <c r="C2892" s="296"/>
      <c r="D2892" s="341"/>
    </row>
    <row r="2893" spans="1:4">
      <c r="A2893" s="341"/>
      <c r="B2893" s="297"/>
      <c r="C2893" s="296"/>
      <c r="D2893" s="341"/>
    </row>
    <row r="2894" spans="1:4">
      <c r="A2894" s="341"/>
      <c r="B2894" s="297"/>
      <c r="C2894" s="296"/>
      <c r="D2894" s="341"/>
    </row>
    <row r="2895" spans="1:4">
      <c r="A2895" s="341"/>
      <c r="B2895" s="297"/>
      <c r="C2895" s="296"/>
      <c r="D2895" s="341"/>
    </row>
    <row r="2896" spans="1:4">
      <c r="A2896" s="341"/>
      <c r="B2896" s="297"/>
      <c r="C2896" s="296"/>
      <c r="D2896" s="341"/>
    </row>
    <row r="2897" spans="1:4">
      <c r="A2897" s="341"/>
      <c r="B2897" s="297"/>
      <c r="C2897" s="296"/>
      <c r="D2897" s="341"/>
    </row>
    <row r="2898" spans="1:4">
      <c r="A2898" s="341"/>
      <c r="B2898" s="297"/>
      <c r="C2898" s="296"/>
      <c r="D2898" s="341"/>
    </row>
    <row r="2899" spans="1:4">
      <c r="A2899" s="341"/>
      <c r="B2899" s="297"/>
      <c r="C2899" s="296"/>
      <c r="D2899" s="341"/>
    </row>
    <row r="2900" spans="1:4">
      <c r="A2900" s="341"/>
      <c r="B2900" s="297"/>
      <c r="C2900" s="296"/>
      <c r="D2900" s="341"/>
    </row>
    <row r="2901" spans="1:4">
      <c r="A2901" s="341"/>
      <c r="B2901" s="297"/>
      <c r="C2901" s="296"/>
      <c r="D2901" s="341"/>
    </row>
    <row r="2902" spans="1:4">
      <c r="A2902" s="341"/>
      <c r="B2902" s="297"/>
      <c r="C2902" s="296"/>
      <c r="D2902" s="341"/>
    </row>
    <row r="2903" spans="1:4">
      <c r="A2903" s="341"/>
      <c r="B2903" s="297"/>
      <c r="C2903" s="296"/>
      <c r="D2903" s="341"/>
    </row>
    <row r="2904" spans="1:4">
      <c r="A2904" s="341"/>
      <c r="B2904" s="297"/>
      <c r="C2904" s="296"/>
      <c r="D2904" s="341"/>
    </row>
    <row r="2905" spans="1:4">
      <c r="A2905" s="341"/>
      <c r="B2905" s="297"/>
      <c r="C2905" s="296"/>
      <c r="D2905" s="341"/>
    </row>
    <row r="2906" spans="1:4">
      <c r="A2906" s="341"/>
      <c r="B2906" s="297"/>
      <c r="C2906" s="296"/>
      <c r="D2906" s="341"/>
    </row>
    <row r="2907" spans="1:4">
      <c r="A2907" s="341"/>
      <c r="B2907" s="297"/>
      <c r="C2907" s="296"/>
      <c r="D2907" s="341"/>
    </row>
    <row r="2908" spans="1:4">
      <c r="A2908" s="341"/>
      <c r="B2908" s="297"/>
      <c r="C2908" s="296"/>
      <c r="D2908" s="341"/>
    </row>
    <row r="2909" spans="1:4">
      <c r="A2909" s="341"/>
      <c r="B2909" s="297"/>
      <c r="C2909" s="296"/>
      <c r="D2909" s="341"/>
    </row>
    <row r="2910" spans="1:4">
      <c r="A2910" s="341"/>
      <c r="B2910" s="297"/>
      <c r="C2910" s="296"/>
      <c r="D2910" s="341"/>
    </row>
    <row r="2911" spans="1:4">
      <c r="A2911" s="341"/>
      <c r="B2911" s="297"/>
      <c r="C2911" s="296"/>
      <c r="D2911" s="341"/>
    </row>
    <row r="2912" spans="1:4">
      <c r="A2912" s="341"/>
      <c r="B2912" s="297"/>
      <c r="C2912" s="296"/>
      <c r="D2912" s="341"/>
    </row>
    <row r="2913" spans="1:4">
      <c r="A2913" s="341"/>
      <c r="B2913" s="297"/>
      <c r="C2913" s="296"/>
      <c r="D2913" s="341"/>
    </row>
    <row r="2914" spans="1:4">
      <c r="A2914" s="341"/>
      <c r="B2914" s="297"/>
      <c r="C2914" s="296"/>
      <c r="D2914" s="341"/>
    </row>
    <row r="2915" spans="1:4">
      <c r="A2915" s="341"/>
      <c r="B2915" s="297"/>
      <c r="C2915" s="296"/>
      <c r="D2915" s="341"/>
    </row>
    <row r="2916" spans="1:4">
      <c r="A2916" s="341"/>
      <c r="B2916" s="297"/>
      <c r="C2916" s="296"/>
      <c r="D2916" s="341"/>
    </row>
    <row r="2917" spans="1:4">
      <c r="A2917" s="341"/>
      <c r="B2917" s="297"/>
      <c r="C2917" s="296"/>
      <c r="D2917" s="341"/>
    </row>
    <row r="2918" spans="1:4">
      <c r="A2918" s="341"/>
      <c r="B2918" s="297"/>
      <c r="C2918" s="296"/>
      <c r="D2918" s="341"/>
    </row>
    <row r="2919" spans="1:4">
      <c r="A2919" s="341"/>
      <c r="B2919" s="297"/>
      <c r="C2919" s="296"/>
      <c r="D2919" s="341"/>
    </row>
    <row r="2920" spans="1:4">
      <c r="A2920" s="341"/>
      <c r="B2920" s="297"/>
      <c r="C2920" s="296"/>
      <c r="D2920" s="341"/>
    </row>
    <row r="2921" spans="1:4">
      <c r="A2921" s="341"/>
      <c r="B2921" s="297"/>
      <c r="C2921" s="296"/>
      <c r="D2921" s="341"/>
    </row>
    <row r="2922" spans="1:4">
      <c r="A2922" s="341"/>
      <c r="B2922" s="297"/>
      <c r="C2922" s="296"/>
      <c r="D2922" s="341"/>
    </row>
    <row r="2923" spans="1:4">
      <c r="A2923" s="341"/>
      <c r="B2923" s="297"/>
      <c r="C2923" s="296"/>
      <c r="D2923" s="341"/>
    </row>
    <row r="2924" spans="1:4">
      <c r="A2924" s="341"/>
      <c r="B2924" s="297"/>
      <c r="C2924" s="296"/>
      <c r="D2924" s="341"/>
    </row>
    <row r="2925" spans="1:4">
      <c r="A2925" s="341"/>
      <c r="B2925" s="297"/>
      <c r="C2925" s="296"/>
      <c r="D2925" s="341"/>
    </row>
    <row r="2926" spans="1:4">
      <c r="A2926" s="341"/>
      <c r="B2926" s="297"/>
      <c r="C2926" s="296"/>
      <c r="D2926" s="341"/>
    </row>
    <row r="2927" spans="1:4">
      <c r="A2927" s="341"/>
      <c r="B2927" s="297"/>
      <c r="C2927" s="296"/>
      <c r="D2927" s="341"/>
    </row>
    <row r="2928" spans="1:4">
      <c r="A2928" s="341"/>
      <c r="B2928" s="297"/>
      <c r="C2928" s="296"/>
      <c r="D2928" s="341"/>
    </row>
    <row r="2929" spans="1:4">
      <c r="A2929" s="341"/>
      <c r="B2929" s="297"/>
      <c r="C2929" s="296"/>
      <c r="D2929" s="341"/>
    </row>
    <row r="2930" spans="1:4">
      <c r="A2930" s="341"/>
      <c r="B2930" s="297"/>
      <c r="C2930" s="296"/>
      <c r="D2930" s="341"/>
    </row>
    <row r="2931" spans="1:4">
      <c r="A2931" s="341"/>
      <c r="B2931" s="297"/>
      <c r="C2931" s="296"/>
      <c r="D2931" s="341"/>
    </row>
    <row r="2932" spans="1:4">
      <c r="A2932" s="341"/>
      <c r="B2932" s="297"/>
      <c r="C2932" s="296"/>
      <c r="D2932" s="341"/>
    </row>
    <row r="2933" spans="1:4">
      <c r="A2933" s="341"/>
      <c r="B2933" s="297"/>
      <c r="C2933" s="296"/>
      <c r="D2933" s="341"/>
    </row>
    <row r="2934" spans="1:4">
      <c r="A2934" s="341"/>
      <c r="B2934" s="297"/>
      <c r="C2934" s="296"/>
      <c r="D2934" s="341"/>
    </row>
    <row r="2935" spans="1:4">
      <c r="A2935" s="341"/>
      <c r="B2935" s="297"/>
      <c r="C2935" s="296"/>
      <c r="D2935" s="341"/>
    </row>
    <row r="2936" spans="1:4">
      <c r="A2936" s="341"/>
      <c r="B2936" s="297"/>
      <c r="C2936" s="296"/>
      <c r="D2936" s="341"/>
    </row>
    <row r="2937" spans="1:4">
      <c r="A2937" s="341"/>
      <c r="B2937" s="297"/>
      <c r="C2937" s="296"/>
      <c r="D2937" s="341"/>
    </row>
    <row r="2938" spans="1:4">
      <c r="A2938" s="341"/>
      <c r="B2938" s="297"/>
      <c r="C2938" s="296"/>
      <c r="D2938" s="341"/>
    </row>
    <row r="2939" spans="1:4">
      <c r="A2939" s="341"/>
      <c r="B2939" s="297"/>
      <c r="C2939" s="296"/>
      <c r="D2939" s="341"/>
    </row>
    <row r="2940" spans="1:4">
      <c r="A2940" s="341"/>
      <c r="B2940" s="297"/>
      <c r="C2940" s="296"/>
      <c r="D2940" s="341"/>
    </row>
    <row r="2941" spans="1:4">
      <c r="A2941" s="341"/>
      <c r="B2941" s="297"/>
      <c r="C2941" s="296"/>
      <c r="D2941" s="341"/>
    </row>
    <row r="2942" spans="1:4">
      <c r="A2942" s="341"/>
      <c r="B2942" s="297"/>
      <c r="C2942" s="296"/>
      <c r="D2942" s="341"/>
    </row>
    <row r="2943" spans="1:4">
      <c r="A2943" s="341"/>
      <c r="B2943" s="297"/>
      <c r="C2943" s="296"/>
      <c r="D2943" s="341"/>
    </row>
    <row r="2944" spans="1:4">
      <c r="A2944" s="341"/>
      <c r="B2944" s="297"/>
      <c r="C2944" s="296"/>
      <c r="D2944" s="341"/>
    </row>
    <row r="2945" spans="1:4">
      <c r="A2945" s="341"/>
      <c r="B2945" s="297"/>
      <c r="C2945" s="296"/>
      <c r="D2945" s="341"/>
    </row>
    <row r="2946" spans="1:4">
      <c r="A2946" s="341"/>
      <c r="B2946" s="297"/>
      <c r="C2946" s="296"/>
      <c r="D2946" s="341"/>
    </row>
    <row r="2947" spans="1:4">
      <c r="A2947" s="341"/>
      <c r="B2947" s="297"/>
      <c r="C2947" s="296"/>
      <c r="D2947" s="341"/>
    </row>
    <row r="2948" spans="1:4">
      <c r="A2948" s="341"/>
      <c r="B2948" s="297"/>
      <c r="C2948" s="296"/>
      <c r="D2948" s="341"/>
    </row>
    <row r="2949" spans="1:4">
      <c r="A2949" s="341"/>
      <c r="B2949" s="297"/>
      <c r="C2949" s="296"/>
      <c r="D2949" s="341"/>
    </row>
    <row r="2950" spans="1:4">
      <c r="A2950" s="341"/>
      <c r="B2950" s="297"/>
      <c r="C2950" s="296"/>
      <c r="D2950" s="341"/>
    </row>
    <row r="2951" spans="1:4">
      <c r="A2951" s="341"/>
      <c r="B2951" s="297"/>
      <c r="C2951" s="296"/>
      <c r="D2951" s="341"/>
    </row>
    <row r="2952" spans="1:4">
      <c r="A2952" s="341"/>
      <c r="B2952" s="297"/>
      <c r="C2952" s="296"/>
      <c r="D2952" s="341"/>
    </row>
    <row r="2953" spans="1:4">
      <c r="A2953" s="341"/>
      <c r="B2953" s="297"/>
      <c r="C2953" s="296"/>
      <c r="D2953" s="341"/>
    </row>
    <row r="2954" spans="1:4">
      <c r="A2954" s="341"/>
      <c r="B2954" s="297"/>
      <c r="C2954" s="296"/>
      <c r="D2954" s="341"/>
    </row>
    <row r="2955" spans="1:4">
      <c r="A2955" s="341"/>
      <c r="B2955" s="297"/>
      <c r="C2955" s="296"/>
      <c r="D2955" s="341"/>
    </row>
    <row r="2956" spans="1:4">
      <c r="A2956" s="341"/>
      <c r="B2956" s="297"/>
      <c r="C2956" s="296"/>
      <c r="D2956" s="341"/>
    </row>
    <row r="2957" spans="1:4">
      <c r="A2957" s="341"/>
      <c r="B2957" s="297"/>
      <c r="C2957" s="296"/>
      <c r="D2957" s="341"/>
    </row>
    <row r="2958" spans="1:4">
      <c r="A2958" s="341"/>
      <c r="B2958" s="297"/>
      <c r="C2958" s="296"/>
      <c r="D2958" s="341"/>
    </row>
    <row r="2959" spans="1:4">
      <c r="A2959" s="341"/>
      <c r="B2959" s="297"/>
      <c r="C2959" s="296"/>
      <c r="D2959" s="341"/>
    </row>
    <row r="2960" spans="1:4">
      <c r="A2960" s="341"/>
      <c r="B2960" s="297"/>
      <c r="C2960" s="296"/>
      <c r="D2960" s="341"/>
    </row>
    <row r="2961" spans="1:4">
      <c r="A2961" s="341"/>
      <c r="B2961" s="297"/>
      <c r="C2961" s="296"/>
      <c r="D2961" s="341"/>
    </row>
    <row r="2962" spans="1:4">
      <c r="A2962" s="341"/>
      <c r="B2962" s="297"/>
      <c r="C2962" s="296"/>
      <c r="D2962" s="341"/>
    </row>
    <row r="2963" spans="1:4">
      <c r="A2963" s="341"/>
      <c r="B2963" s="297"/>
      <c r="C2963" s="296"/>
      <c r="D2963" s="341"/>
    </row>
    <row r="2964" spans="1:4">
      <c r="A2964" s="341"/>
      <c r="B2964" s="297"/>
      <c r="C2964" s="296"/>
      <c r="D2964" s="341"/>
    </row>
    <row r="2965" spans="1:4">
      <c r="A2965" s="341"/>
      <c r="B2965" s="297"/>
      <c r="C2965" s="296"/>
      <c r="D2965" s="341"/>
    </row>
    <row r="2966" spans="1:4">
      <c r="A2966" s="341"/>
      <c r="B2966" s="297"/>
      <c r="C2966" s="296"/>
      <c r="D2966" s="341"/>
    </row>
    <row r="2967" spans="1:4">
      <c r="A2967" s="341"/>
      <c r="B2967" s="297"/>
      <c r="C2967" s="296"/>
      <c r="D2967" s="341"/>
    </row>
    <row r="2968" spans="1:4">
      <c r="A2968" s="341"/>
      <c r="B2968" s="297"/>
      <c r="C2968" s="296"/>
      <c r="D2968" s="341"/>
    </row>
    <row r="2969" spans="1:4">
      <c r="A2969" s="341"/>
      <c r="B2969" s="297"/>
      <c r="C2969" s="296"/>
      <c r="D2969" s="341"/>
    </row>
    <row r="2970" spans="1:4">
      <c r="A2970" s="341"/>
      <c r="B2970" s="297"/>
      <c r="C2970" s="296"/>
      <c r="D2970" s="341"/>
    </row>
    <row r="2971" spans="1:4">
      <c r="A2971" s="341"/>
      <c r="B2971" s="297"/>
      <c r="C2971" s="296"/>
      <c r="D2971" s="341"/>
    </row>
    <row r="2972" spans="1:4">
      <c r="A2972" s="341"/>
      <c r="B2972" s="297"/>
      <c r="C2972" s="296"/>
      <c r="D2972" s="341"/>
    </row>
    <row r="2973" spans="1:4">
      <c r="A2973" s="341"/>
      <c r="B2973" s="297"/>
      <c r="C2973" s="296"/>
      <c r="D2973" s="341"/>
    </row>
    <row r="2974" spans="1:4">
      <c r="A2974" s="341"/>
      <c r="B2974" s="297"/>
      <c r="C2974" s="296"/>
      <c r="D2974" s="341"/>
    </row>
    <row r="2975" spans="1:4">
      <c r="A2975" s="341"/>
      <c r="B2975" s="297"/>
      <c r="C2975" s="296"/>
      <c r="D2975" s="341"/>
    </row>
    <row r="2976" spans="1:4">
      <c r="A2976" s="341"/>
      <c r="B2976" s="297"/>
      <c r="C2976" s="296"/>
      <c r="D2976" s="341"/>
    </row>
    <row r="2977" spans="1:4">
      <c r="A2977" s="341"/>
      <c r="B2977" s="297"/>
      <c r="C2977" s="296"/>
      <c r="D2977" s="341"/>
    </row>
    <row r="2978" spans="1:4">
      <c r="A2978" s="341"/>
      <c r="B2978" s="297"/>
      <c r="C2978" s="296"/>
      <c r="D2978" s="341"/>
    </row>
    <row r="2979" spans="1:4">
      <c r="A2979" s="341"/>
      <c r="B2979" s="297"/>
      <c r="C2979" s="296"/>
      <c r="D2979" s="341"/>
    </row>
    <row r="2980" spans="1:4">
      <c r="A2980" s="341"/>
      <c r="B2980" s="297"/>
      <c r="C2980" s="296"/>
      <c r="D2980" s="341"/>
    </row>
    <row r="2981" spans="1:4">
      <c r="A2981" s="341"/>
      <c r="B2981" s="297"/>
      <c r="C2981" s="296"/>
      <c r="D2981" s="341"/>
    </row>
    <row r="2982" spans="1:4">
      <c r="A2982" s="341"/>
      <c r="B2982" s="297"/>
      <c r="C2982" s="296"/>
      <c r="D2982" s="341"/>
    </row>
    <row r="2983" spans="1:4">
      <c r="A2983" s="341"/>
      <c r="B2983" s="297"/>
      <c r="C2983" s="296"/>
      <c r="D2983" s="341"/>
    </row>
    <row r="2984" spans="1:4">
      <c r="A2984" s="341"/>
      <c r="B2984" s="297"/>
      <c r="C2984" s="296"/>
      <c r="D2984" s="341"/>
    </row>
    <row r="2985" spans="1:4">
      <c r="A2985" s="341"/>
      <c r="B2985" s="297"/>
      <c r="C2985" s="296"/>
      <c r="D2985" s="341"/>
    </row>
    <row r="2986" spans="1:4">
      <c r="A2986" s="341"/>
      <c r="B2986" s="297"/>
      <c r="C2986" s="296"/>
      <c r="D2986" s="341"/>
    </row>
    <row r="2987" spans="1:4">
      <c r="A2987" s="341"/>
      <c r="B2987" s="297"/>
      <c r="C2987" s="296"/>
      <c r="D2987" s="341"/>
    </row>
    <row r="2988" spans="1:4">
      <c r="A2988" s="341"/>
      <c r="B2988" s="297"/>
      <c r="C2988" s="296"/>
      <c r="D2988" s="341"/>
    </row>
    <row r="2989" spans="1:4">
      <c r="A2989" s="341"/>
      <c r="B2989" s="297"/>
      <c r="C2989" s="296"/>
      <c r="D2989" s="341"/>
    </row>
    <row r="2990" spans="1:4">
      <c r="A2990" s="341"/>
      <c r="B2990" s="297"/>
      <c r="C2990" s="296"/>
      <c r="D2990" s="341"/>
    </row>
    <row r="2991" spans="1:4">
      <c r="A2991" s="341"/>
      <c r="B2991" s="297"/>
      <c r="C2991" s="296"/>
      <c r="D2991" s="341"/>
    </row>
    <row r="2992" spans="1:4">
      <c r="A2992" s="341"/>
      <c r="B2992" s="297"/>
      <c r="C2992" s="296"/>
      <c r="D2992" s="341"/>
    </row>
    <row r="2993" spans="1:4">
      <c r="A2993" s="341"/>
      <c r="B2993" s="297"/>
      <c r="C2993" s="296"/>
      <c r="D2993" s="341"/>
    </row>
    <row r="2994" spans="1:4">
      <c r="A2994" s="341"/>
      <c r="B2994" s="297"/>
      <c r="C2994" s="296"/>
      <c r="D2994" s="341"/>
    </row>
    <row r="2995" spans="1:4">
      <c r="A2995" s="341"/>
      <c r="B2995" s="297"/>
      <c r="C2995" s="296"/>
      <c r="D2995" s="341"/>
    </row>
    <row r="2996" spans="1:4">
      <c r="A2996" s="341"/>
      <c r="B2996" s="297"/>
      <c r="C2996" s="296"/>
      <c r="D2996" s="341"/>
    </row>
    <row r="2997" spans="1:4">
      <c r="A2997" s="341"/>
      <c r="B2997" s="297"/>
      <c r="C2997" s="296"/>
      <c r="D2997" s="341"/>
    </row>
    <row r="2998" spans="1:4">
      <c r="A2998" s="341"/>
      <c r="B2998" s="297"/>
      <c r="C2998" s="296"/>
      <c r="D2998" s="341"/>
    </row>
    <row r="2999" spans="1:4">
      <c r="A2999" s="341"/>
      <c r="B2999" s="297"/>
      <c r="C2999" s="296"/>
      <c r="D2999" s="341"/>
    </row>
    <row r="3000" spans="1:4">
      <c r="A3000" s="341"/>
      <c r="B3000" s="297"/>
      <c r="C3000" s="296"/>
      <c r="D3000" s="341"/>
    </row>
    <row r="3001" spans="1:4">
      <c r="A3001" s="341"/>
      <c r="B3001" s="297"/>
      <c r="C3001" s="296"/>
      <c r="D3001" s="341"/>
    </row>
    <row r="3002" spans="1:4">
      <c r="A3002" s="341"/>
      <c r="B3002" s="297"/>
      <c r="C3002" s="296"/>
      <c r="D3002" s="341"/>
    </row>
    <row r="3003" spans="1:4">
      <c r="A3003" s="341"/>
      <c r="B3003" s="297"/>
      <c r="C3003" s="296"/>
      <c r="D3003" s="341"/>
    </row>
    <row r="3004" spans="1:4">
      <c r="A3004" s="341"/>
      <c r="B3004" s="297"/>
      <c r="C3004" s="296"/>
      <c r="D3004" s="341"/>
    </row>
    <row r="3005" spans="1:4">
      <c r="A3005" s="341"/>
      <c r="B3005" s="297"/>
      <c r="C3005" s="296"/>
      <c r="D3005" s="341"/>
    </row>
    <row r="3006" spans="1:4">
      <c r="A3006" s="341"/>
      <c r="B3006" s="297"/>
      <c r="C3006" s="296"/>
      <c r="D3006" s="341"/>
    </row>
    <row r="3007" spans="1:4">
      <c r="A3007" s="341"/>
      <c r="B3007" s="297"/>
      <c r="C3007" s="296"/>
      <c r="D3007" s="341"/>
    </row>
    <row r="3008" spans="1:4">
      <c r="A3008" s="341"/>
      <c r="B3008" s="297"/>
      <c r="C3008" s="296"/>
      <c r="D3008" s="341"/>
    </row>
    <row r="3009" spans="1:4">
      <c r="A3009" s="341"/>
      <c r="B3009" s="297"/>
      <c r="C3009" s="296"/>
      <c r="D3009" s="341"/>
    </row>
    <row r="3010" spans="1:4">
      <c r="A3010" s="341"/>
      <c r="B3010" s="297"/>
      <c r="C3010" s="296"/>
      <c r="D3010" s="341"/>
    </row>
    <row r="3011" spans="1:4">
      <c r="A3011" s="341"/>
      <c r="B3011" s="297"/>
      <c r="C3011" s="296"/>
      <c r="D3011" s="341"/>
    </row>
    <row r="3012" spans="1:4">
      <c r="A3012" s="341"/>
      <c r="B3012" s="297"/>
      <c r="C3012" s="296"/>
      <c r="D3012" s="341"/>
    </row>
    <row r="3013" spans="1:4">
      <c r="A3013" s="341"/>
      <c r="B3013" s="297"/>
      <c r="C3013" s="296"/>
      <c r="D3013" s="341"/>
    </row>
    <row r="3014" spans="1:4">
      <c r="A3014" s="341"/>
      <c r="B3014" s="297"/>
      <c r="C3014" s="296"/>
      <c r="D3014" s="341"/>
    </row>
    <row r="3015" spans="1:4">
      <c r="A3015" s="341"/>
      <c r="B3015" s="297"/>
      <c r="C3015" s="296"/>
      <c r="D3015" s="341"/>
    </row>
    <row r="3016" spans="1:4">
      <c r="A3016" s="341"/>
      <c r="B3016" s="297"/>
      <c r="C3016" s="296"/>
      <c r="D3016" s="341"/>
    </row>
    <row r="3017" spans="1:4">
      <c r="A3017" s="341"/>
      <c r="B3017" s="297"/>
      <c r="C3017" s="296"/>
      <c r="D3017" s="341"/>
    </row>
    <row r="3018" spans="1:4">
      <c r="A3018" s="341"/>
      <c r="B3018" s="297"/>
      <c r="C3018" s="296"/>
      <c r="D3018" s="341"/>
    </row>
    <row r="3019" spans="1:4">
      <c r="A3019" s="341"/>
      <c r="B3019" s="297"/>
      <c r="C3019" s="296"/>
      <c r="D3019" s="341"/>
    </row>
    <row r="3020" spans="1:4">
      <c r="A3020" s="341"/>
      <c r="B3020" s="297"/>
      <c r="C3020" s="296"/>
      <c r="D3020" s="341"/>
    </row>
    <row r="3021" spans="1:4">
      <c r="A3021" s="341"/>
      <c r="B3021" s="297"/>
      <c r="C3021" s="296"/>
      <c r="D3021" s="341"/>
    </row>
    <row r="3022" spans="1:4">
      <c r="A3022" s="341"/>
      <c r="B3022" s="297"/>
      <c r="C3022" s="296"/>
      <c r="D3022" s="341"/>
    </row>
    <row r="3023" spans="1:4">
      <c r="A3023" s="341"/>
      <c r="B3023" s="297"/>
      <c r="C3023" s="296"/>
      <c r="D3023" s="341"/>
    </row>
    <row r="3024" spans="1:4">
      <c r="A3024" s="341"/>
      <c r="B3024" s="297"/>
      <c r="C3024" s="296"/>
      <c r="D3024" s="341"/>
    </row>
    <row r="3025" spans="1:4">
      <c r="A3025" s="341"/>
      <c r="B3025" s="297"/>
      <c r="C3025" s="296"/>
      <c r="D3025" s="341"/>
    </row>
    <row r="3026" spans="1:4">
      <c r="A3026" s="341"/>
      <c r="B3026" s="297"/>
      <c r="C3026" s="296"/>
      <c r="D3026" s="341"/>
    </row>
    <row r="3027" spans="1:4">
      <c r="A3027" s="341"/>
      <c r="B3027" s="297"/>
      <c r="C3027" s="296"/>
      <c r="D3027" s="341"/>
    </row>
    <row r="3028" spans="1:4">
      <c r="A3028" s="341"/>
      <c r="B3028" s="297"/>
      <c r="C3028" s="296"/>
      <c r="D3028" s="341"/>
    </row>
    <row r="3029" spans="1:4">
      <c r="A3029" s="341"/>
      <c r="B3029" s="297"/>
      <c r="C3029" s="296"/>
      <c r="D3029" s="341"/>
    </row>
    <row r="3030" spans="1:4">
      <c r="A3030" s="341"/>
      <c r="B3030" s="297"/>
      <c r="C3030" s="296"/>
      <c r="D3030" s="341"/>
    </row>
    <row r="3031" spans="1:4">
      <c r="A3031" s="341"/>
      <c r="B3031" s="297"/>
      <c r="C3031" s="296"/>
      <c r="D3031" s="341"/>
    </row>
    <row r="3032" spans="1:4">
      <c r="A3032" s="341"/>
      <c r="B3032" s="297"/>
      <c r="C3032" s="296"/>
      <c r="D3032" s="341"/>
    </row>
    <row r="3033" spans="1:4">
      <c r="A3033" s="341"/>
      <c r="B3033" s="297"/>
      <c r="C3033" s="296"/>
      <c r="D3033" s="341"/>
    </row>
    <row r="3034" spans="1:4">
      <c r="A3034" s="341"/>
      <c r="B3034" s="297"/>
      <c r="C3034" s="296"/>
      <c r="D3034" s="341"/>
    </row>
    <row r="3035" spans="1:4">
      <c r="A3035" s="341"/>
      <c r="B3035" s="297"/>
      <c r="C3035" s="296"/>
      <c r="D3035" s="341"/>
    </row>
    <row r="3036" spans="1:4">
      <c r="A3036" s="341"/>
      <c r="B3036" s="297"/>
      <c r="C3036" s="296"/>
      <c r="D3036" s="341"/>
    </row>
    <row r="3037" spans="1:4">
      <c r="A3037" s="341"/>
      <c r="B3037" s="297"/>
      <c r="C3037" s="296"/>
      <c r="D3037" s="341"/>
    </row>
    <row r="3038" spans="1:4">
      <c r="A3038" s="341"/>
      <c r="B3038" s="297"/>
      <c r="C3038" s="296"/>
      <c r="D3038" s="341"/>
    </row>
    <row r="3039" spans="1:4">
      <c r="A3039" s="341"/>
      <c r="B3039" s="297"/>
      <c r="C3039" s="296"/>
      <c r="D3039" s="341"/>
    </row>
    <row r="3040" spans="1:4">
      <c r="A3040" s="341"/>
      <c r="B3040" s="297"/>
      <c r="C3040" s="296"/>
      <c r="D3040" s="341"/>
    </row>
    <row r="3041" spans="1:4">
      <c r="A3041" s="341"/>
      <c r="B3041" s="297"/>
      <c r="C3041" s="296"/>
      <c r="D3041" s="341"/>
    </row>
    <row r="3042" spans="1:4">
      <c r="A3042" s="341"/>
      <c r="B3042" s="297"/>
      <c r="C3042" s="296"/>
      <c r="D3042" s="341"/>
    </row>
    <row r="3043" spans="1:4">
      <c r="A3043" s="341"/>
      <c r="B3043" s="297"/>
      <c r="C3043" s="296"/>
      <c r="D3043" s="341"/>
    </row>
    <row r="3044" spans="1:4">
      <c r="A3044" s="341"/>
      <c r="B3044" s="297"/>
      <c r="C3044" s="296"/>
      <c r="D3044" s="341"/>
    </row>
    <row r="3045" spans="1:4">
      <c r="A3045" s="341"/>
      <c r="B3045" s="297"/>
      <c r="C3045" s="296"/>
      <c r="D3045" s="341"/>
    </row>
    <row r="3046" spans="1:4">
      <c r="A3046" s="341"/>
      <c r="B3046" s="297"/>
      <c r="C3046" s="296"/>
      <c r="D3046" s="341"/>
    </row>
    <row r="3047" spans="1:4">
      <c r="A3047" s="341"/>
      <c r="B3047" s="297"/>
      <c r="C3047" s="296"/>
      <c r="D3047" s="341"/>
    </row>
    <row r="3048" spans="1:4">
      <c r="A3048" s="341"/>
      <c r="B3048" s="297"/>
      <c r="C3048" s="296"/>
      <c r="D3048" s="341"/>
    </row>
    <row r="3049" spans="1:4">
      <c r="A3049" s="341"/>
      <c r="B3049" s="297"/>
      <c r="C3049" s="296"/>
      <c r="D3049" s="341"/>
    </row>
    <row r="3050" spans="1:4">
      <c r="A3050" s="341"/>
      <c r="B3050" s="297"/>
      <c r="C3050" s="296"/>
      <c r="D3050" s="341"/>
    </row>
    <row r="3051" spans="1:4">
      <c r="A3051" s="341"/>
      <c r="B3051" s="297"/>
      <c r="C3051" s="296"/>
      <c r="D3051" s="341"/>
    </row>
    <row r="3052" spans="1:4">
      <c r="A3052" s="341"/>
      <c r="B3052" s="297"/>
      <c r="C3052" s="296"/>
      <c r="D3052" s="341"/>
    </row>
    <row r="3053" spans="1:4">
      <c r="A3053" s="341"/>
      <c r="B3053" s="297"/>
      <c r="C3053" s="296"/>
      <c r="D3053" s="341"/>
    </row>
    <row r="3054" spans="1:4">
      <c r="A3054" s="341"/>
      <c r="B3054" s="297"/>
      <c r="C3054" s="296"/>
      <c r="D3054" s="341"/>
    </row>
    <row r="3055" spans="1:4">
      <c r="A3055" s="341"/>
      <c r="B3055" s="297"/>
      <c r="C3055" s="296"/>
      <c r="D3055" s="341"/>
    </row>
    <row r="3056" spans="1:4">
      <c r="A3056" s="341"/>
      <c r="B3056" s="297"/>
      <c r="C3056" s="296"/>
      <c r="D3056" s="341"/>
    </row>
    <row r="3057" spans="1:4">
      <c r="A3057" s="341"/>
      <c r="B3057" s="297"/>
      <c r="C3057" s="296"/>
      <c r="D3057" s="341"/>
    </row>
    <row r="3058" spans="1:4">
      <c r="A3058" s="341"/>
      <c r="B3058" s="297"/>
      <c r="C3058" s="296"/>
      <c r="D3058" s="341"/>
    </row>
    <row r="3059" spans="1:4">
      <c r="A3059" s="341"/>
      <c r="B3059" s="297"/>
      <c r="C3059" s="296"/>
      <c r="D3059" s="341"/>
    </row>
    <row r="3060" spans="1:4">
      <c r="A3060" s="341"/>
      <c r="B3060" s="297"/>
      <c r="C3060" s="296"/>
      <c r="D3060" s="341"/>
    </row>
    <row r="3061" spans="1:4">
      <c r="A3061" s="341"/>
      <c r="B3061" s="297"/>
      <c r="C3061" s="296"/>
      <c r="D3061" s="341"/>
    </row>
    <row r="3062" spans="1:4">
      <c r="A3062" s="341"/>
      <c r="B3062" s="297"/>
      <c r="C3062" s="296"/>
      <c r="D3062" s="341"/>
    </row>
    <row r="3063" spans="1:4">
      <c r="A3063" s="341"/>
      <c r="B3063" s="297"/>
      <c r="C3063" s="296"/>
      <c r="D3063" s="341"/>
    </row>
    <row r="3064" spans="1:4">
      <c r="A3064" s="341"/>
      <c r="B3064" s="297"/>
      <c r="C3064" s="296"/>
      <c r="D3064" s="341"/>
    </row>
    <row r="3065" spans="1:4">
      <c r="A3065" s="341"/>
      <c r="B3065" s="297"/>
      <c r="C3065" s="296"/>
      <c r="D3065" s="341"/>
    </row>
    <row r="3066" spans="1:4">
      <c r="A3066" s="341"/>
      <c r="B3066" s="297"/>
      <c r="C3066" s="296"/>
      <c r="D3066" s="341"/>
    </row>
    <row r="3067" spans="1:4">
      <c r="A3067" s="341"/>
      <c r="B3067" s="297"/>
      <c r="C3067" s="296"/>
      <c r="D3067" s="341"/>
    </row>
    <row r="3068" spans="1:4">
      <c r="A3068" s="341"/>
      <c r="B3068" s="297"/>
      <c r="C3068" s="296"/>
      <c r="D3068" s="341"/>
    </row>
    <row r="3069" spans="1:4">
      <c r="A3069" s="341"/>
      <c r="B3069" s="297"/>
      <c r="C3069" s="296"/>
      <c r="D3069" s="341"/>
    </row>
    <row r="3070" spans="1:4">
      <c r="A3070" s="341"/>
      <c r="B3070" s="297"/>
      <c r="C3070" s="296"/>
      <c r="D3070" s="341"/>
    </row>
    <row r="3071" spans="1:4">
      <c r="A3071" s="341"/>
      <c r="B3071" s="297"/>
      <c r="C3071" s="296"/>
      <c r="D3071" s="341"/>
    </row>
    <row r="3072" spans="1:4">
      <c r="A3072" s="341"/>
      <c r="B3072" s="297"/>
      <c r="C3072" s="296"/>
      <c r="D3072" s="341"/>
    </row>
    <row r="3073" spans="1:4">
      <c r="A3073" s="341"/>
      <c r="B3073" s="297"/>
      <c r="C3073" s="296"/>
      <c r="D3073" s="341"/>
    </row>
    <row r="3074" spans="1:4">
      <c r="A3074" s="341"/>
      <c r="B3074" s="297"/>
      <c r="C3074" s="296"/>
      <c r="D3074" s="341"/>
    </row>
    <row r="3075" spans="1:4">
      <c r="A3075" s="341"/>
      <c r="B3075" s="297"/>
      <c r="C3075" s="296"/>
      <c r="D3075" s="341"/>
    </row>
    <row r="3076" spans="1:4">
      <c r="A3076" s="341"/>
      <c r="B3076" s="297"/>
      <c r="C3076" s="296"/>
      <c r="D3076" s="341"/>
    </row>
    <row r="3077" spans="1:4">
      <c r="A3077" s="341"/>
      <c r="B3077" s="297"/>
      <c r="C3077" s="296"/>
      <c r="D3077" s="341"/>
    </row>
    <row r="3078" spans="1:4">
      <c r="A3078" s="341"/>
      <c r="B3078" s="297"/>
      <c r="C3078" s="296"/>
      <c r="D3078" s="341"/>
    </row>
    <row r="3079" spans="1:4">
      <c r="A3079" s="341"/>
      <c r="B3079" s="297"/>
      <c r="C3079" s="296"/>
      <c r="D3079" s="341"/>
    </row>
    <row r="3080" spans="1:4">
      <c r="A3080" s="341"/>
      <c r="B3080" s="297"/>
      <c r="C3080" s="296"/>
      <c r="D3080" s="341"/>
    </row>
    <row r="3081" spans="1:4">
      <c r="A3081" s="341"/>
      <c r="B3081" s="297"/>
      <c r="C3081" s="296"/>
      <c r="D3081" s="341"/>
    </row>
    <row r="3082" spans="1:4">
      <c r="A3082" s="341"/>
      <c r="B3082" s="297"/>
      <c r="C3082" s="296"/>
      <c r="D3082" s="341"/>
    </row>
    <row r="3083" spans="1:4">
      <c r="A3083" s="341"/>
      <c r="B3083" s="297"/>
      <c r="C3083" s="296"/>
      <c r="D3083" s="341"/>
    </row>
    <row r="3084" spans="1:4">
      <c r="A3084" s="341"/>
      <c r="B3084" s="297"/>
      <c r="C3084" s="296"/>
      <c r="D3084" s="341"/>
    </row>
    <row r="3085" spans="1:4">
      <c r="A3085" s="341"/>
      <c r="B3085" s="297"/>
      <c r="C3085" s="296"/>
      <c r="D3085" s="341"/>
    </row>
    <row r="3086" spans="1:4">
      <c r="A3086" s="341"/>
      <c r="B3086" s="297"/>
      <c r="C3086" s="296"/>
      <c r="D3086" s="341"/>
    </row>
    <row r="3087" spans="1:4">
      <c r="A3087" s="341"/>
      <c r="B3087" s="297"/>
      <c r="C3087" s="296"/>
      <c r="D3087" s="341"/>
    </row>
    <row r="3088" spans="1:4">
      <c r="A3088" s="341"/>
      <c r="B3088" s="297"/>
      <c r="C3088" s="296"/>
      <c r="D3088" s="341"/>
    </row>
    <row r="3089" spans="1:4">
      <c r="A3089" s="341"/>
      <c r="B3089" s="297"/>
      <c r="C3089" s="296"/>
      <c r="D3089" s="341"/>
    </row>
    <row r="3090" spans="1:4">
      <c r="A3090" s="341"/>
      <c r="B3090" s="297"/>
      <c r="C3090" s="296"/>
      <c r="D3090" s="341"/>
    </row>
    <row r="3091" spans="1:4">
      <c r="A3091" s="341"/>
      <c r="B3091" s="297"/>
      <c r="C3091" s="296"/>
      <c r="D3091" s="341"/>
    </row>
    <row r="3092" spans="1:4">
      <c r="A3092" s="341"/>
      <c r="B3092" s="297"/>
      <c r="C3092" s="296"/>
      <c r="D3092" s="341"/>
    </row>
    <row r="3093" spans="1:4">
      <c r="A3093" s="341"/>
      <c r="B3093" s="297"/>
      <c r="C3093" s="296"/>
      <c r="D3093" s="341"/>
    </row>
    <row r="3094" spans="1:4">
      <c r="A3094" s="341"/>
      <c r="B3094" s="297"/>
      <c r="C3094" s="296"/>
      <c r="D3094" s="341"/>
    </row>
    <row r="3095" spans="1:4">
      <c r="A3095" s="341"/>
      <c r="B3095" s="297"/>
      <c r="C3095" s="296"/>
      <c r="D3095" s="341"/>
    </row>
    <row r="3096" spans="1:4">
      <c r="A3096" s="341"/>
      <c r="B3096" s="297"/>
      <c r="C3096" s="296"/>
      <c r="D3096" s="341"/>
    </row>
    <row r="3097" spans="1:4">
      <c r="A3097" s="341"/>
      <c r="B3097" s="297"/>
      <c r="C3097" s="296"/>
      <c r="D3097" s="341"/>
    </row>
    <row r="3098" spans="1:4">
      <c r="A3098" s="341"/>
      <c r="B3098" s="297"/>
      <c r="C3098" s="296"/>
      <c r="D3098" s="341"/>
    </row>
    <row r="3099" spans="1:4">
      <c r="A3099" s="341"/>
      <c r="B3099" s="297"/>
      <c r="C3099" s="296"/>
      <c r="D3099" s="341"/>
    </row>
    <row r="3100" spans="1:4">
      <c r="A3100" s="341"/>
      <c r="B3100" s="297"/>
      <c r="C3100" s="296"/>
      <c r="D3100" s="341"/>
    </row>
    <row r="3101" spans="1:4">
      <c r="A3101" s="341"/>
      <c r="B3101" s="297"/>
      <c r="C3101" s="296"/>
      <c r="D3101" s="341"/>
    </row>
    <row r="3102" spans="1:4">
      <c r="A3102" s="341"/>
      <c r="B3102" s="297"/>
      <c r="C3102" s="296"/>
      <c r="D3102" s="341"/>
    </row>
    <row r="3103" spans="1:4">
      <c r="A3103" s="341"/>
      <c r="B3103" s="297"/>
      <c r="C3103" s="296"/>
      <c r="D3103" s="341"/>
    </row>
    <row r="3104" spans="1:4">
      <c r="A3104" s="341"/>
      <c r="B3104" s="297"/>
      <c r="C3104" s="296"/>
      <c r="D3104" s="341"/>
    </row>
    <row r="3105" spans="1:4">
      <c r="A3105" s="341"/>
      <c r="B3105" s="297"/>
      <c r="C3105" s="296"/>
      <c r="D3105" s="341"/>
    </row>
    <row r="3106" spans="1:4">
      <c r="A3106" s="341"/>
      <c r="B3106" s="297"/>
      <c r="C3106" s="296"/>
      <c r="D3106" s="341"/>
    </row>
    <row r="3107" spans="1:4">
      <c r="A3107" s="341"/>
      <c r="B3107" s="297"/>
      <c r="C3107" s="296"/>
      <c r="D3107" s="341"/>
    </row>
    <row r="3108" spans="1:4">
      <c r="A3108" s="341"/>
      <c r="B3108" s="297"/>
      <c r="C3108" s="296"/>
      <c r="D3108" s="341"/>
    </row>
    <row r="3109" spans="1:4">
      <c r="A3109" s="341"/>
      <c r="B3109" s="297"/>
      <c r="C3109" s="296"/>
      <c r="D3109" s="341"/>
    </row>
    <row r="3110" spans="1:4">
      <c r="A3110" s="341"/>
      <c r="B3110" s="297"/>
      <c r="C3110" s="296"/>
      <c r="D3110" s="341"/>
    </row>
    <row r="3111" spans="1:4">
      <c r="A3111" s="341"/>
      <c r="B3111" s="297"/>
      <c r="C3111" s="296"/>
      <c r="D3111" s="341"/>
    </row>
    <row r="3112" spans="1:4">
      <c r="A3112" s="341"/>
      <c r="B3112" s="297"/>
      <c r="C3112" s="296"/>
      <c r="D3112" s="341"/>
    </row>
    <row r="3113" spans="1:4">
      <c r="A3113" s="341"/>
      <c r="B3113" s="297"/>
      <c r="C3113" s="296"/>
      <c r="D3113" s="341"/>
    </row>
    <row r="3114" spans="1:4">
      <c r="A3114" s="341"/>
      <c r="B3114" s="297"/>
      <c r="C3114" s="296"/>
      <c r="D3114" s="341"/>
    </row>
    <row r="3115" spans="1:4">
      <c r="A3115" s="341"/>
      <c r="B3115" s="297"/>
      <c r="C3115" s="296"/>
      <c r="D3115" s="341"/>
    </row>
    <row r="3116" spans="1:4">
      <c r="A3116" s="341"/>
      <c r="B3116" s="297"/>
      <c r="C3116" s="296"/>
      <c r="D3116" s="341"/>
    </row>
    <row r="3117" spans="1:4">
      <c r="A3117" s="341"/>
      <c r="B3117" s="297"/>
      <c r="C3117" s="296"/>
      <c r="D3117" s="341"/>
    </row>
    <row r="3118" spans="1:4">
      <c r="A3118" s="341"/>
      <c r="B3118" s="297"/>
      <c r="C3118" s="296"/>
      <c r="D3118" s="341"/>
    </row>
    <row r="3119" spans="1:4">
      <c r="A3119" s="341"/>
      <c r="B3119" s="297"/>
      <c r="C3119" s="296"/>
      <c r="D3119" s="341"/>
    </row>
    <row r="3120" spans="1:4">
      <c r="A3120" s="341"/>
      <c r="B3120" s="297"/>
      <c r="C3120" s="296"/>
      <c r="D3120" s="341"/>
    </row>
    <row r="3121" spans="1:4">
      <c r="A3121" s="341"/>
      <c r="B3121" s="297"/>
      <c r="C3121" s="296"/>
      <c r="D3121" s="341"/>
    </row>
    <row r="3122" spans="1:4">
      <c r="A3122" s="341"/>
      <c r="B3122" s="297"/>
      <c r="C3122" s="296"/>
      <c r="D3122" s="341"/>
    </row>
    <row r="3123" spans="1:4">
      <c r="A3123" s="341"/>
      <c r="B3123" s="297"/>
      <c r="C3123" s="296"/>
      <c r="D3123" s="341"/>
    </row>
    <row r="3124" spans="1:4">
      <c r="A3124" s="341"/>
      <c r="B3124" s="297"/>
      <c r="C3124" s="296"/>
      <c r="D3124" s="341"/>
    </row>
    <row r="3125" spans="1:4">
      <c r="A3125" s="341"/>
      <c r="B3125" s="297"/>
      <c r="C3125" s="296"/>
      <c r="D3125" s="341"/>
    </row>
    <row r="3126" spans="1:4">
      <c r="A3126" s="341"/>
      <c r="B3126" s="297"/>
      <c r="C3126" s="296"/>
      <c r="D3126" s="341"/>
    </row>
    <row r="3127" spans="1:4">
      <c r="A3127" s="341"/>
      <c r="B3127" s="297"/>
      <c r="C3127" s="296"/>
      <c r="D3127" s="341"/>
    </row>
    <row r="3128" spans="1:4">
      <c r="A3128" s="341"/>
      <c r="B3128" s="297"/>
      <c r="C3128" s="296"/>
      <c r="D3128" s="341"/>
    </row>
    <row r="3129" spans="1:4">
      <c r="A3129" s="341"/>
      <c r="B3129" s="297"/>
      <c r="C3129" s="296"/>
      <c r="D3129" s="341"/>
    </row>
    <row r="3130" spans="1:4">
      <c r="A3130" s="341"/>
      <c r="B3130" s="297"/>
      <c r="C3130" s="296"/>
      <c r="D3130" s="341"/>
    </row>
    <row r="3131" spans="1:4">
      <c r="A3131" s="341"/>
      <c r="B3131" s="297"/>
      <c r="C3131" s="296"/>
      <c r="D3131" s="341"/>
    </row>
    <row r="3132" spans="1:4">
      <c r="A3132" s="341"/>
      <c r="B3132" s="297"/>
      <c r="C3132" s="296"/>
      <c r="D3132" s="341"/>
    </row>
    <row r="3133" spans="1:4">
      <c r="A3133" s="341"/>
      <c r="B3133" s="297"/>
      <c r="C3133" s="296"/>
      <c r="D3133" s="341"/>
    </row>
    <row r="3134" spans="1:4">
      <c r="A3134" s="341"/>
      <c r="B3134" s="297"/>
      <c r="C3134" s="296"/>
      <c r="D3134" s="341"/>
    </row>
    <row r="3135" spans="1:4">
      <c r="A3135" s="341"/>
      <c r="B3135" s="297"/>
      <c r="C3135" s="296"/>
      <c r="D3135" s="341"/>
    </row>
    <row r="3136" spans="1:4">
      <c r="A3136" s="341"/>
      <c r="B3136" s="297"/>
      <c r="C3136" s="296"/>
      <c r="D3136" s="341"/>
    </row>
    <row r="3137" spans="1:4">
      <c r="A3137" s="341"/>
      <c r="B3137" s="297"/>
      <c r="C3137" s="296"/>
      <c r="D3137" s="341"/>
    </row>
    <row r="3138" spans="1:4">
      <c r="A3138" s="341"/>
      <c r="B3138" s="297"/>
      <c r="C3138" s="296"/>
      <c r="D3138" s="341"/>
    </row>
    <row r="3139" spans="1:4">
      <c r="A3139" s="341"/>
      <c r="B3139" s="297"/>
      <c r="C3139" s="296"/>
      <c r="D3139" s="341"/>
    </row>
    <row r="3140" spans="1:4">
      <c r="A3140" s="341"/>
      <c r="B3140" s="297"/>
      <c r="C3140" s="296"/>
      <c r="D3140" s="341"/>
    </row>
    <row r="3141" spans="1:4">
      <c r="A3141" s="341"/>
      <c r="B3141" s="297"/>
      <c r="C3141" s="296"/>
      <c r="D3141" s="341"/>
    </row>
    <row r="3142" spans="1:4">
      <c r="A3142" s="341"/>
      <c r="B3142" s="297"/>
      <c r="C3142" s="296"/>
      <c r="D3142" s="341"/>
    </row>
    <row r="3143" spans="1:4">
      <c r="A3143" s="341"/>
      <c r="B3143" s="297"/>
      <c r="C3143" s="296"/>
      <c r="D3143" s="341"/>
    </row>
    <row r="3144" spans="1:4">
      <c r="A3144" s="341"/>
      <c r="B3144" s="297"/>
      <c r="C3144" s="296"/>
      <c r="D3144" s="341"/>
    </row>
    <row r="3145" spans="1:4">
      <c r="A3145" s="341"/>
      <c r="B3145" s="297"/>
      <c r="C3145" s="296"/>
      <c r="D3145" s="341"/>
    </row>
    <row r="3146" spans="1:4">
      <c r="A3146" s="341"/>
      <c r="B3146" s="297"/>
      <c r="C3146" s="296"/>
      <c r="D3146" s="341"/>
    </row>
    <row r="3147" spans="1:4">
      <c r="A3147" s="341"/>
      <c r="B3147" s="297"/>
      <c r="C3147" s="296"/>
      <c r="D3147" s="341"/>
    </row>
    <row r="3148" spans="1:4">
      <c r="A3148" s="341"/>
      <c r="B3148" s="297"/>
      <c r="C3148" s="296"/>
      <c r="D3148" s="341"/>
    </row>
    <row r="3149" spans="1:4">
      <c r="A3149" s="341"/>
      <c r="B3149" s="297"/>
      <c r="C3149" s="296"/>
      <c r="D3149" s="341"/>
    </row>
    <row r="3150" spans="1:4">
      <c r="A3150" s="341"/>
      <c r="B3150" s="297"/>
      <c r="C3150" s="296"/>
      <c r="D3150" s="341"/>
    </row>
    <row r="3151" spans="1:4">
      <c r="A3151" s="341"/>
      <c r="B3151" s="297"/>
      <c r="C3151" s="296"/>
      <c r="D3151" s="341"/>
    </row>
    <row r="3152" spans="1:4">
      <c r="A3152" s="341"/>
      <c r="B3152" s="297"/>
      <c r="C3152" s="296"/>
      <c r="D3152" s="341"/>
    </row>
    <row r="3153" spans="1:4">
      <c r="A3153" s="341"/>
      <c r="B3153" s="297"/>
      <c r="C3153" s="296"/>
      <c r="D3153" s="341"/>
    </row>
    <row r="3154" spans="1:4">
      <c r="A3154" s="341"/>
      <c r="B3154" s="297"/>
      <c r="C3154" s="296"/>
      <c r="D3154" s="341"/>
    </row>
    <row r="3155" spans="1:4">
      <c r="A3155" s="341"/>
      <c r="B3155" s="297"/>
      <c r="C3155" s="296"/>
      <c r="D3155" s="341"/>
    </row>
    <row r="3156" spans="1:4">
      <c r="A3156" s="341"/>
      <c r="B3156" s="297"/>
      <c r="C3156" s="296"/>
      <c r="D3156" s="341"/>
    </row>
    <row r="3157" spans="1:4">
      <c r="A3157" s="341"/>
      <c r="B3157" s="297"/>
      <c r="C3157" s="296"/>
      <c r="D3157" s="341"/>
    </row>
    <row r="3158" spans="1:4">
      <c r="A3158" s="341"/>
      <c r="B3158" s="297"/>
      <c r="C3158" s="296"/>
      <c r="D3158" s="341"/>
    </row>
    <row r="3159" spans="1:4">
      <c r="A3159" s="341"/>
      <c r="B3159" s="297"/>
      <c r="C3159" s="296"/>
      <c r="D3159" s="341"/>
    </row>
    <row r="3160" spans="1:4">
      <c r="A3160" s="341"/>
      <c r="B3160" s="297"/>
      <c r="C3160" s="296"/>
      <c r="D3160" s="341"/>
    </row>
    <row r="3161" spans="1:4">
      <c r="A3161" s="341"/>
      <c r="B3161" s="297"/>
      <c r="C3161" s="296"/>
      <c r="D3161" s="341"/>
    </row>
    <row r="3162" spans="1:4">
      <c r="A3162" s="341"/>
      <c r="B3162" s="297"/>
      <c r="C3162" s="296"/>
      <c r="D3162" s="341"/>
    </row>
    <row r="3163" spans="1:4">
      <c r="A3163" s="341"/>
      <c r="B3163" s="297"/>
      <c r="C3163" s="296"/>
      <c r="D3163" s="341"/>
    </row>
    <row r="3164" spans="1:4">
      <c r="A3164" s="341"/>
      <c r="B3164" s="297"/>
      <c r="C3164" s="296"/>
      <c r="D3164" s="341"/>
    </row>
    <row r="3165" spans="1:4">
      <c r="A3165" s="341"/>
      <c r="B3165" s="297"/>
      <c r="C3165" s="296"/>
      <c r="D3165" s="341"/>
    </row>
    <row r="3166" spans="1:4">
      <c r="A3166" s="341"/>
      <c r="B3166" s="297"/>
      <c r="C3166" s="296"/>
      <c r="D3166" s="341"/>
    </row>
    <row r="3167" spans="1:4">
      <c r="A3167" s="341"/>
      <c r="B3167" s="297"/>
      <c r="C3167" s="296"/>
      <c r="D3167" s="341"/>
    </row>
    <row r="3168" spans="1:4">
      <c r="A3168" s="341"/>
      <c r="B3168" s="297"/>
      <c r="C3168" s="296"/>
      <c r="D3168" s="341"/>
    </row>
    <row r="3169" spans="1:4">
      <c r="A3169" s="341"/>
      <c r="B3169" s="297"/>
      <c r="C3169" s="296"/>
      <c r="D3169" s="341"/>
    </row>
    <row r="3170" spans="1:4">
      <c r="A3170" s="341"/>
      <c r="B3170" s="297"/>
      <c r="C3170" s="296"/>
      <c r="D3170" s="341"/>
    </row>
    <row r="3171" spans="1:4">
      <c r="A3171" s="341"/>
      <c r="B3171" s="297"/>
      <c r="C3171" s="296"/>
      <c r="D3171" s="341"/>
    </row>
    <row r="3172" spans="1:4">
      <c r="A3172" s="341"/>
      <c r="B3172" s="297"/>
      <c r="C3172" s="296"/>
      <c r="D3172" s="341"/>
    </row>
    <row r="3173" spans="1:4">
      <c r="A3173" s="341"/>
      <c r="B3173" s="297"/>
      <c r="C3173" s="296"/>
      <c r="D3173" s="341"/>
    </row>
    <row r="3174" spans="1:4">
      <c r="A3174" s="341"/>
      <c r="B3174" s="297"/>
      <c r="C3174" s="296"/>
      <c r="D3174" s="341"/>
    </row>
    <row r="3175" spans="1:4">
      <c r="A3175" s="341"/>
      <c r="B3175" s="297"/>
      <c r="C3175" s="296"/>
      <c r="D3175" s="341"/>
    </row>
    <row r="3176" spans="1:4">
      <c r="A3176" s="341"/>
      <c r="B3176" s="297"/>
      <c r="C3176" s="296"/>
      <c r="D3176" s="341"/>
    </row>
    <row r="3177" spans="1:4">
      <c r="A3177" s="341"/>
      <c r="B3177" s="297"/>
      <c r="C3177" s="296"/>
      <c r="D3177" s="341"/>
    </row>
    <row r="3178" spans="1:4">
      <c r="A3178" s="341"/>
      <c r="B3178" s="297"/>
      <c r="C3178" s="296"/>
      <c r="D3178" s="341"/>
    </row>
    <row r="3179" spans="1:4">
      <c r="A3179" s="341"/>
      <c r="B3179" s="297"/>
      <c r="C3179" s="296"/>
      <c r="D3179" s="341"/>
    </row>
    <row r="3180" spans="1:4">
      <c r="A3180" s="341"/>
      <c r="B3180" s="297"/>
      <c r="C3180" s="296"/>
      <c r="D3180" s="341"/>
    </row>
    <row r="3181" spans="1:4">
      <c r="A3181" s="341"/>
      <c r="B3181" s="297"/>
      <c r="C3181" s="296"/>
      <c r="D3181" s="341"/>
    </row>
    <row r="3182" spans="1:4">
      <c r="A3182" s="341"/>
      <c r="B3182" s="297"/>
      <c r="C3182" s="296"/>
      <c r="D3182" s="341"/>
    </row>
    <row r="3183" spans="1:4">
      <c r="A3183" s="341"/>
      <c r="B3183" s="297"/>
      <c r="C3183" s="296"/>
      <c r="D3183" s="341"/>
    </row>
    <row r="3184" spans="1:4">
      <c r="A3184" s="341"/>
      <c r="B3184" s="297"/>
      <c r="C3184" s="296"/>
      <c r="D3184" s="341"/>
    </row>
    <row r="3185" spans="1:4">
      <c r="A3185" s="341"/>
      <c r="B3185" s="297"/>
      <c r="C3185" s="296"/>
      <c r="D3185" s="341"/>
    </row>
    <row r="3186" spans="1:4">
      <c r="A3186" s="341"/>
      <c r="B3186" s="297"/>
      <c r="C3186" s="296"/>
      <c r="D3186" s="341"/>
    </row>
    <row r="3187" spans="1:4">
      <c r="A3187" s="341"/>
      <c r="B3187" s="297"/>
      <c r="C3187" s="296"/>
      <c r="D3187" s="341"/>
    </row>
    <row r="3188" spans="1:4">
      <c r="A3188" s="341"/>
      <c r="B3188" s="297"/>
      <c r="C3188" s="296"/>
      <c r="D3188" s="341"/>
    </row>
    <row r="3189" spans="1:4">
      <c r="A3189" s="341"/>
      <c r="B3189" s="297"/>
      <c r="C3189" s="296"/>
      <c r="D3189" s="341"/>
    </row>
    <row r="3190" spans="1:4">
      <c r="A3190" s="341"/>
      <c r="B3190" s="297"/>
      <c r="C3190" s="296"/>
      <c r="D3190" s="341"/>
    </row>
    <row r="3191" spans="1:4">
      <c r="A3191" s="341"/>
      <c r="B3191" s="297"/>
      <c r="C3191" s="296"/>
      <c r="D3191" s="341"/>
    </row>
    <row r="3192" spans="1:4">
      <c r="A3192" s="341"/>
      <c r="B3192" s="297"/>
      <c r="C3192" s="296"/>
      <c r="D3192" s="341"/>
    </row>
    <row r="3193" spans="1:4">
      <c r="A3193" s="341"/>
      <c r="B3193" s="297"/>
      <c r="C3193" s="296"/>
      <c r="D3193" s="341"/>
    </row>
    <row r="3194" spans="1:4">
      <c r="A3194" s="341"/>
      <c r="B3194" s="297"/>
      <c r="C3194" s="296"/>
      <c r="D3194" s="341"/>
    </row>
    <row r="3195" spans="1:4">
      <c r="A3195" s="341"/>
      <c r="B3195" s="297"/>
      <c r="C3195" s="296"/>
      <c r="D3195" s="341"/>
    </row>
    <row r="3196" spans="1:4">
      <c r="A3196" s="341"/>
      <c r="B3196" s="297"/>
      <c r="C3196" s="296"/>
      <c r="D3196" s="341"/>
    </row>
    <row r="3197" spans="1:4">
      <c r="A3197" s="341"/>
      <c r="B3197" s="297"/>
      <c r="C3197" s="296"/>
      <c r="D3197" s="341"/>
    </row>
    <row r="3198" spans="1:4">
      <c r="A3198" s="341"/>
      <c r="B3198" s="297"/>
      <c r="C3198" s="296"/>
      <c r="D3198" s="341"/>
    </row>
    <row r="3199" spans="1:4">
      <c r="A3199" s="341"/>
      <c r="B3199" s="297"/>
      <c r="C3199" s="296"/>
      <c r="D3199" s="341"/>
    </row>
    <row r="3200" spans="1:4">
      <c r="A3200" s="341"/>
      <c r="B3200" s="297"/>
      <c r="C3200" s="296"/>
      <c r="D3200" s="341"/>
    </row>
    <row r="3201" spans="1:4">
      <c r="A3201" s="341"/>
      <c r="B3201" s="297"/>
      <c r="C3201" s="296"/>
      <c r="D3201" s="341"/>
    </row>
    <row r="3202" spans="1:4">
      <c r="A3202" s="341"/>
      <c r="B3202" s="297"/>
      <c r="C3202" s="296"/>
      <c r="D3202" s="341"/>
    </row>
    <row r="3203" spans="1:4">
      <c r="A3203" s="341"/>
      <c r="B3203" s="297"/>
      <c r="C3203" s="296"/>
      <c r="D3203" s="341"/>
    </row>
    <row r="3204" spans="1:4">
      <c r="A3204" s="341"/>
      <c r="B3204" s="297"/>
      <c r="C3204" s="296"/>
      <c r="D3204" s="341"/>
    </row>
    <row r="3205" spans="1:4">
      <c r="A3205" s="341"/>
      <c r="B3205" s="297"/>
      <c r="C3205" s="296"/>
      <c r="D3205" s="341"/>
    </row>
    <row r="3206" spans="1:4">
      <c r="A3206" s="341"/>
      <c r="B3206" s="297"/>
      <c r="C3206" s="296"/>
      <c r="D3206" s="341"/>
    </row>
    <row r="3207" spans="1:4">
      <c r="A3207" s="341"/>
      <c r="B3207" s="297"/>
      <c r="C3207" s="296"/>
      <c r="D3207" s="341"/>
    </row>
    <row r="3208" spans="1:4">
      <c r="A3208" s="341"/>
      <c r="B3208" s="297"/>
      <c r="C3208" s="296"/>
      <c r="D3208" s="341"/>
    </row>
    <row r="3209" spans="1:4">
      <c r="A3209" s="341"/>
      <c r="B3209" s="297"/>
      <c r="C3209" s="296"/>
      <c r="D3209" s="341"/>
    </row>
    <row r="3210" spans="1:4">
      <c r="A3210" s="341"/>
      <c r="B3210" s="297"/>
      <c r="C3210" s="296"/>
      <c r="D3210" s="341"/>
    </row>
    <row r="3211" spans="1:4">
      <c r="A3211" s="341"/>
      <c r="B3211" s="297"/>
      <c r="C3211" s="296"/>
      <c r="D3211" s="341"/>
    </row>
    <row r="3212" spans="1:4">
      <c r="A3212" s="341"/>
      <c r="B3212" s="297"/>
      <c r="C3212" s="296"/>
      <c r="D3212" s="341"/>
    </row>
    <row r="3213" spans="1:4">
      <c r="A3213" s="341"/>
      <c r="B3213" s="297"/>
      <c r="C3213" s="296"/>
      <c r="D3213" s="341"/>
    </row>
    <row r="3214" spans="1:4">
      <c r="A3214" s="341"/>
      <c r="B3214" s="297"/>
      <c r="C3214" s="296"/>
      <c r="D3214" s="341"/>
    </row>
    <row r="3215" spans="1:4">
      <c r="A3215" s="341"/>
      <c r="B3215" s="297"/>
      <c r="C3215" s="296"/>
      <c r="D3215" s="341"/>
    </row>
    <row r="3216" spans="1:4">
      <c r="A3216" s="341"/>
      <c r="B3216" s="297"/>
      <c r="C3216" s="296"/>
      <c r="D3216" s="341"/>
    </row>
    <row r="3217" spans="1:4">
      <c r="A3217" s="341"/>
      <c r="B3217" s="297"/>
      <c r="C3217" s="296"/>
      <c r="D3217" s="341"/>
    </row>
    <row r="3218" spans="1:4">
      <c r="A3218" s="341"/>
      <c r="B3218" s="297"/>
      <c r="C3218" s="296"/>
      <c r="D3218" s="341"/>
    </row>
    <row r="3219" spans="1:4">
      <c r="A3219" s="341"/>
      <c r="B3219" s="297"/>
      <c r="C3219" s="296"/>
      <c r="D3219" s="341"/>
    </row>
    <row r="3220" spans="1:4">
      <c r="A3220" s="341"/>
      <c r="B3220" s="297"/>
      <c r="C3220" s="296"/>
      <c r="D3220" s="341"/>
    </row>
    <row r="3221" spans="1:4">
      <c r="A3221" s="341"/>
      <c r="B3221" s="297"/>
      <c r="C3221" s="296"/>
      <c r="D3221" s="341"/>
    </row>
    <row r="3222" spans="1:4">
      <c r="A3222" s="341"/>
      <c r="B3222" s="297"/>
      <c r="C3222" s="296"/>
      <c r="D3222" s="341"/>
    </row>
    <row r="3223" spans="1:4">
      <c r="A3223" s="341"/>
      <c r="B3223" s="297"/>
      <c r="C3223" s="296"/>
      <c r="D3223" s="341"/>
    </row>
    <row r="3224" spans="1:4">
      <c r="A3224" s="341"/>
      <c r="B3224" s="297"/>
      <c r="C3224" s="296"/>
      <c r="D3224" s="341"/>
    </row>
    <row r="3225" spans="1:4">
      <c r="A3225" s="341"/>
      <c r="B3225" s="297"/>
      <c r="C3225" s="296"/>
      <c r="D3225" s="341"/>
    </row>
    <row r="3226" spans="1:4">
      <c r="A3226" s="341"/>
      <c r="B3226" s="297"/>
      <c r="C3226" s="296"/>
      <c r="D3226" s="341"/>
    </row>
    <row r="3227" spans="1:4">
      <c r="A3227" s="341"/>
      <c r="B3227" s="297"/>
      <c r="C3227" s="296"/>
      <c r="D3227" s="341"/>
    </row>
    <row r="3228" spans="1:4">
      <c r="A3228" s="341"/>
      <c r="B3228" s="297"/>
      <c r="C3228" s="296"/>
      <c r="D3228" s="341"/>
    </row>
    <row r="3229" spans="1:4">
      <c r="A3229" s="341"/>
      <c r="B3229" s="297"/>
      <c r="C3229" s="296"/>
      <c r="D3229" s="341"/>
    </row>
    <row r="3230" spans="1:4">
      <c r="A3230" s="341"/>
      <c r="B3230" s="297"/>
      <c r="C3230" s="296"/>
      <c r="D3230" s="341"/>
    </row>
    <row r="3231" spans="1:4">
      <c r="A3231" s="341"/>
      <c r="B3231" s="297"/>
      <c r="C3231" s="296"/>
      <c r="D3231" s="341"/>
    </row>
    <row r="3232" spans="1:4">
      <c r="A3232" s="341"/>
      <c r="B3232" s="297"/>
      <c r="C3232" s="296"/>
      <c r="D3232" s="341"/>
    </row>
    <row r="3233" spans="1:4">
      <c r="A3233" s="341"/>
      <c r="B3233" s="297"/>
      <c r="C3233" s="296"/>
      <c r="D3233" s="341"/>
    </row>
    <row r="3234" spans="1:4">
      <c r="A3234" s="341"/>
      <c r="B3234" s="297"/>
      <c r="C3234" s="296"/>
      <c r="D3234" s="341"/>
    </row>
    <row r="3235" spans="1:4">
      <c r="A3235" s="341"/>
      <c r="B3235" s="297"/>
      <c r="C3235" s="296"/>
      <c r="D3235" s="341"/>
    </row>
    <row r="3236" spans="1:4">
      <c r="A3236" s="341"/>
      <c r="B3236" s="297"/>
      <c r="C3236" s="296"/>
      <c r="D3236" s="341"/>
    </row>
    <row r="3237" spans="1:4">
      <c r="A3237" s="341"/>
      <c r="B3237" s="297"/>
      <c r="C3237" s="296"/>
      <c r="D3237" s="341"/>
    </row>
    <row r="3238" spans="1:4">
      <c r="A3238" s="341"/>
      <c r="B3238" s="297"/>
      <c r="C3238" s="296"/>
      <c r="D3238" s="341"/>
    </row>
    <row r="3239" spans="1:4">
      <c r="A3239" s="341"/>
      <c r="B3239" s="297"/>
      <c r="C3239" s="296"/>
      <c r="D3239" s="341"/>
    </row>
    <row r="3240" spans="1:4">
      <c r="A3240" s="341"/>
      <c r="B3240" s="297"/>
      <c r="C3240" s="296"/>
      <c r="D3240" s="341"/>
    </row>
    <row r="3241" spans="1:4">
      <c r="A3241" s="341"/>
      <c r="B3241" s="297"/>
      <c r="C3241" s="296"/>
      <c r="D3241" s="341"/>
    </row>
    <row r="3242" spans="1:4">
      <c r="A3242" s="341"/>
      <c r="B3242" s="297"/>
      <c r="C3242" s="296"/>
      <c r="D3242" s="341"/>
    </row>
    <row r="3243" spans="1:4">
      <c r="A3243" s="341"/>
      <c r="B3243" s="297"/>
      <c r="C3243" s="296"/>
      <c r="D3243" s="341"/>
    </row>
    <row r="3244" spans="1:4">
      <c r="A3244" s="341"/>
      <c r="B3244" s="297"/>
      <c r="C3244" s="296"/>
      <c r="D3244" s="341"/>
    </row>
    <row r="3245" spans="1:4">
      <c r="A3245" s="341"/>
      <c r="B3245" s="297"/>
      <c r="C3245" s="296"/>
      <c r="D3245" s="341"/>
    </row>
    <row r="3246" spans="1:4">
      <c r="A3246" s="341"/>
      <c r="B3246" s="297"/>
      <c r="C3246" s="296"/>
      <c r="D3246" s="341"/>
    </row>
    <row r="3247" spans="1:4">
      <c r="A3247" s="341"/>
      <c r="B3247" s="297"/>
      <c r="C3247" s="296"/>
      <c r="D3247" s="341"/>
    </row>
    <row r="3248" spans="1:4">
      <c r="A3248" s="341"/>
      <c r="B3248" s="297"/>
      <c r="C3248" s="296"/>
      <c r="D3248" s="341"/>
    </row>
    <row r="3249" spans="1:4">
      <c r="A3249" s="341"/>
      <c r="B3249" s="297"/>
      <c r="C3249" s="296"/>
      <c r="D3249" s="341"/>
    </row>
    <row r="3250" spans="1:4">
      <c r="A3250" s="341"/>
      <c r="B3250" s="297"/>
      <c r="C3250" s="296"/>
      <c r="D3250" s="341"/>
    </row>
    <row r="3251" spans="1:4">
      <c r="A3251" s="341"/>
      <c r="B3251" s="297"/>
      <c r="C3251" s="296"/>
      <c r="D3251" s="341"/>
    </row>
    <row r="3252" spans="1:4">
      <c r="A3252" s="341"/>
      <c r="B3252" s="297"/>
      <c r="C3252" s="296"/>
      <c r="D3252" s="341"/>
    </row>
    <row r="3253" spans="1:4">
      <c r="A3253" s="341"/>
      <c r="B3253" s="297"/>
      <c r="C3253" s="296"/>
      <c r="D3253" s="341"/>
    </row>
    <row r="3254" spans="1:4">
      <c r="A3254" s="341"/>
      <c r="B3254" s="297"/>
      <c r="C3254" s="296"/>
      <c r="D3254" s="341"/>
    </row>
    <row r="3255" spans="1:4">
      <c r="A3255" s="341"/>
      <c r="B3255" s="297"/>
      <c r="C3255" s="296"/>
      <c r="D3255" s="341"/>
    </row>
    <row r="3256" spans="1:4">
      <c r="A3256" s="341"/>
      <c r="B3256" s="297"/>
      <c r="C3256" s="296"/>
      <c r="D3256" s="341"/>
    </row>
    <row r="3257" spans="1:4">
      <c r="A3257" s="341"/>
      <c r="B3257" s="297"/>
      <c r="C3257" s="296"/>
      <c r="D3257" s="341"/>
    </row>
    <row r="3258" spans="1:4">
      <c r="A3258" s="341"/>
      <c r="B3258" s="297"/>
      <c r="C3258" s="296"/>
      <c r="D3258" s="341"/>
    </row>
    <row r="3259" spans="1:4">
      <c r="A3259" s="341"/>
      <c r="B3259" s="297"/>
      <c r="C3259" s="296"/>
      <c r="D3259" s="341"/>
    </row>
    <row r="3260" spans="1:4">
      <c r="A3260" s="341"/>
      <c r="B3260" s="297"/>
      <c r="C3260" s="296"/>
      <c r="D3260" s="341"/>
    </row>
    <row r="3261" spans="1:4">
      <c r="A3261" s="341"/>
      <c r="B3261" s="297"/>
      <c r="C3261" s="296"/>
      <c r="D3261" s="341"/>
    </row>
    <row r="3262" spans="1:4">
      <c r="A3262" s="341"/>
      <c r="B3262" s="297"/>
      <c r="C3262" s="296"/>
      <c r="D3262" s="341"/>
    </row>
    <row r="3263" spans="1:4">
      <c r="A3263" s="341"/>
      <c r="B3263" s="297"/>
      <c r="C3263" s="296"/>
      <c r="D3263" s="341"/>
    </row>
    <row r="3264" spans="1:4">
      <c r="A3264" s="341"/>
      <c r="B3264" s="297"/>
      <c r="C3264" s="296"/>
      <c r="D3264" s="341"/>
    </row>
    <row r="3265" spans="1:4">
      <c r="A3265" s="341"/>
      <c r="B3265" s="297"/>
      <c r="C3265" s="296"/>
      <c r="D3265" s="341"/>
    </row>
    <row r="3266" spans="1:4">
      <c r="A3266" s="341"/>
      <c r="B3266" s="297"/>
      <c r="C3266" s="296"/>
      <c r="D3266" s="341"/>
    </row>
    <row r="3267" spans="1:4">
      <c r="A3267" s="341"/>
      <c r="B3267" s="297"/>
      <c r="C3267" s="296"/>
      <c r="D3267" s="341"/>
    </row>
    <row r="3268" spans="1:4">
      <c r="A3268" s="341"/>
      <c r="B3268" s="297"/>
      <c r="C3268" s="296"/>
      <c r="D3268" s="341"/>
    </row>
    <row r="3269" spans="1:4">
      <c r="A3269" s="341"/>
      <c r="B3269" s="297"/>
      <c r="C3269" s="296"/>
      <c r="D3269" s="341"/>
    </row>
    <row r="3270" spans="1:4">
      <c r="A3270" s="341"/>
      <c r="B3270" s="297"/>
      <c r="C3270" s="296"/>
      <c r="D3270" s="341"/>
    </row>
    <row r="3271" spans="1:4">
      <c r="A3271" s="341"/>
      <c r="B3271" s="297"/>
      <c r="C3271" s="296"/>
      <c r="D3271" s="341"/>
    </row>
    <row r="3272" spans="1:4">
      <c r="A3272" s="341"/>
      <c r="B3272" s="297"/>
      <c r="C3272" s="296"/>
      <c r="D3272" s="341"/>
    </row>
    <row r="3273" spans="1:4">
      <c r="A3273" s="341"/>
      <c r="B3273" s="297"/>
      <c r="C3273" s="296"/>
      <c r="D3273" s="341"/>
    </row>
    <row r="3274" spans="1:4">
      <c r="A3274" s="341"/>
      <c r="B3274" s="297"/>
      <c r="C3274" s="296"/>
      <c r="D3274" s="341"/>
    </row>
    <row r="3275" spans="1:4">
      <c r="A3275" s="341"/>
      <c r="B3275" s="297"/>
      <c r="C3275" s="296"/>
      <c r="D3275" s="341"/>
    </row>
    <row r="3276" spans="1:4">
      <c r="A3276" s="341"/>
      <c r="B3276" s="297"/>
      <c r="C3276" s="296"/>
      <c r="D3276" s="341"/>
    </row>
    <row r="3277" spans="1:4">
      <c r="A3277" s="341"/>
      <c r="B3277" s="297"/>
      <c r="C3277" s="296"/>
      <c r="D3277" s="341"/>
    </row>
    <row r="3278" spans="1:4">
      <c r="A3278" s="341"/>
      <c r="B3278" s="297"/>
      <c r="C3278" s="296"/>
      <c r="D3278" s="341"/>
    </row>
    <row r="3279" spans="1:4">
      <c r="A3279" s="341"/>
      <c r="B3279" s="297"/>
      <c r="C3279" s="296"/>
      <c r="D3279" s="341"/>
    </row>
    <row r="3280" spans="1:4">
      <c r="A3280" s="341"/>
      <c r="B3280" s="297"/>
      <c r="C3280" s="296"/>
      <c r="D3280" s="341"/>
    </row>
    <row r="3281" spans="1:4">
      <c r="A3281" s="341"/>
      <c r="B3281" s="297"/>
      <c r="C3281" s="296"/>
      <c r="D3281" s="341"/>
    </row>
    <row r="3282" spans="1:4">
      <c r="A3282" s="341"/>
      <c r="B3282" s="297"/>
      <c r="C3282" s="296"/>
      <c r="D3282" s="341"/>
    </row>
    <row r="3283" spans="1:4">
      <c r="A3283" s="341"/>
      <c r="B3283" s="297"/>
      <c r="C3283" s="296"/>
      <c r="D3283" s="341"/>
    </row>
    <row r="3284" spans="1:4">
      <c r="A3284" s="341"/>
      <c r="B3284" s="297"/>
      <c r="C3284" s="296"/>
      <c r="D3284" s="341"/>
    </row>
    <row r="3285" spans="1:4">
      <c r="A3285" s="341"/>
      <c r="B3285" s="297"/>
      <c r="C3285" s="296"/>
      <c r="D3285" s="341"/>
    </row>
    <row r="3286" spans="1:4">
      <c r="A3286" s="341"/>
      <c r="B3286" s="297"/>
      <c r="C3286" s="296"/>
      <c r="D3286" s="341"/>
    </row>
    <row r="3287" spans="1:4">
      <c r="A3287" s="341"/>
      <c r="B3287" s="297"/>
      <c r="C3287" s="296"/>
      <c r="D3287" s="341"/>
    </row>
    <row r="3288" spans="1:4">
      <c r="A3288" s="341"/>
      <c r="B3288" s="297"/>
      <c r="C3288" s="296"/>
      <c r="D3288" s="341"/>
    </row>
    <row r="3289" spans="1:4">
      <c r="A3289" s="341"/>
      <c r="B3289" s="297"/>
      <c r="C3289" s="296"/>
      <c r="D3289" s="341"/>
    </row>
    <row r="3290" spans="1:4">
      <c r="A3290" s="341"/>
      <c r="B3290" s="297"/>
      <c r="C3290" s="296"/>
      <c r="D3290" s="341"/>
    </row>
    <row r="3291" spans="1:4">
      <c r="A3291" s="341"/>
      <c r="B3291" s="297"/>
      <c r="C3291" s="296"/>
      <c r="D3291" s="341"/>
    </row>
    <row r="3292" spans="1:4">
      <c r="A3292" s="341"/>
      <c r="B3292" s="297"/>
      <c r="C3292" s="296"/>
      <c r="D3292" s="341"/>
    </row>
    <row r="3293" spans="1:4">
      <c r="A3293" s="341"/>
      <c r="B3293" s="297"/>
      <c r="C3293" s="296"/>
      <c r="D3293" s="341"/>
    </row>
    <row r="3294" spans="1:4">
      <c r="A3294" s="341"/>
      <c r="B3294" s="297"/>
      <c r="C3294" s="296"/>
      <c r="D3294" s="341"/>
    </row>
    <row r="3295" spans="1:4">
      <c r="A3295" s="341"/>
      <c r="B3295" s="297"/>
      <c r="C3295" s="296"/>
      <c r="D3295" s="341"/>
    </row>
    <row r="3296" spans="1:4">
      <c r="A3296" s="341"/>
      <c r="B3296" s="297"/>
      <c r="C3296" s="296"/>
      <c r="D3296" s="341"/>
    </row>
    <row r="3297" spans="1:4">
      <c r="A3297" s="341"/>
      <c r="B3297" s="297"/>
      <c r="C3297" s="296"/>
      <c r="D3297" s="341"/>
    </row>
    <row r="3298" spans="1:4">
      <c r="A3298" s="341"/>
      <c r="B3298" s="297"/>
      <c r="C3298" s="296"/>
      <c r="D3298" s="341"/>
    </row>
    <row r="3299" spans="1:4">
      <c r="A3299" s="341"/>
      <c r="B3299" s="297"/>
      <c r="C3299" s="296"/>
      <c r="D3299" s="341"/>
    </row>
    <row r="3300" spans="1:4">
      <c r="A3300" s="341"/>
      <c r="B3300" s="297"/>
      <c r="C3300" s="296"/>
      <c r="D3300" s="341"/>
    </row>
    <row r="3301" spans="1:4">
      <c r="A3301" s="341"/>
      <c r="B3301" s="297"/>
      <c r="C3301" s="296"/>
      <c r="D3301" s="341"/>
    </row>
    <row r="3302" spans="1:4">
      <c r="A3302" s="341"/>
      <c r="B3302" s="297"/>
      <c r="C3302" s="296"/>
      <c r="D3302" s="341"/>
    </row>
    <row r="3303" spans="1:4">
      <c r="A3303" s="341"/>
      <c r="B3303" s="297"/>
      <c r="C3303" s="296"/>
      <c r="D3303" s="341"/>
    </row>
    <row r="3304" spans="1:4">
      <c r="A3304" s="341"/>
      <c r="B3304" s="297"/>
      <c r="C3304" s="296"/>
      <c r="D3304" s="341"/>
    </row>
    <row r="3305" spans="1:4">
      <c r="A3305" s="341"/>
      <c r="B3305" s="297"/>
      <c r="C3305" s="296"/>
      <c r="D3305" s="341"/>
    </row>
    <row r="3306" spans="1:4">
      <c r="A3306" s="341"/>
      <c r="B3306" s="297"/>
      <c r="C3306" s="296"/>
      <c r="D3306" s="341"/>
    </row>
    <row r="3307" spans="1:4">
      <c r="A3307" s="341"/>
      <c r="B3307" s="297"/>
      <c r="C3307" s="296"/>
      <c r="D3307" s="341"/>
    </row>
    <row r="3308" spans="1:4">
      <c r="A3308" s="341"/>
      <c r="B3308" s="297"/>
      <c r="C3308" s="296"/>
      <c r="D3308" s="341"/>
    </row>
    <row r="3309" spans="1:4">
      <c r="A3309" s="341"/>
      <c r="B3309" s="297"/>
      <c r="C3309" s="296"/>
      <c r="D3309" s="341"/>
    </row>
    <row r="3310" spans="1:4">
      <c r="A3310" s="341"/>
      <c r="B3310" s="297"/>
      <c r="C3310" s="296"/>
      <c r="D3310" s="341"/>
    </row>
    <row r="3311" spans="1:4">
      <c r="A3311" s="341"/>
      <c r="B3311" s="297"/>
      <c r="C3311" s="296"/>
      <c r="D3311" s="341"/>
    </row>
    <row r="3312" spans="1:4">
      <c r="A3312" s="341"/>
      <c r="B3312" s="297"/>
      <c r="C3312" s="296"/>
      <c r="D3312" s="341"/>
    </row>
    <row r="3313" spans="1:4">
      <c r="A3313" s="341"/>
      <c r="B3313" s="297"/>
      <c r="C3313" s="296"/>
      <c r="D3313" s="341"/>
    </row>
    <row r="3314" spans="1:4">
      <c r="A3314" s="341"/>
      <c r="B3314" s="297"/>
      <c r="C3314" s="296"/>
      <c r="D3314" s="341"/>
    </row>
    <row r="3315" spans="1:4">
      <c r="A3315" s="341"/>
      <c r="B3315" s="297"/>
      <c r="C3315" s="296"/>
      <c r="D3315" s="341"/>
    </row>
    <row r="3316" spans="1:4">
      <c r="A3316" s="341"/>
      <c r="B3316" s="297"/>
      <c r="C3316" s="296"/>
      <c r="D3316" s="341"/>
    </row>
    <row r="3317" spans="1:4">
      <c r="A3317" s="341"/>
      <c r="B3317" s="297"/>
      <c r="C3317" s="296"/>
      <c r="D3317" s="341"/>
    </row>
    <row r="3318" spans="1:4">
      <c r="A3318" s="341"/>
      <c r="B3318" s="297"/>
      <c r="C3318" s="296"/>
      <c r="D3318" s="341"/>
    </row>
    <row r="3319" spans="1:4">
      <c r="A3319" s="341"/>
      <c r="B3319" s="297"/>
      <c r="C3319" s="296"/>
      <c r="D3319" s="341"/>
    </row>
    <row r="3320" spans="1:4">
      <c r="A3320" s="341"/>
      <c r="B3320" s="297"/>
      <c r="C3320" s="296"/>
      <c r="D3320" s="341"/>
    </row>
    <row r="3321" spans="1:4">
      <c r="A3321" s="341"/>
      <c r="B3321" s="297"/>
      <c r="C3321" s="296"/>
      <c r="D3321" s="341"/>
    </row>
    <row r="3322" spans="1:4">
      <c r="A3322" s="341"/>
      <c r="B3322" s="297"/>
      <c r="C3322" s="296"/>
      <c r="D3322" s="341"/>
    </row>
    <row r="3323" spans="1:4">
      <c r="A3323" s="341"/>
      <c r="B3323" s="297"/>
      <c r="C3323" s="296"/>
      <c r="D3323" s="341"/>
    </row>
    <row r="3324" spans="1:4">
      <c r="A3324" s="341"/>
      <c r="B3324" s="297"/>
      <c r="C3324" s="296"/>
      <c r="D3324" s="341"/>
    </row>
    <row r="3325" spans="1:4">
      <c r="A3325" s="341"/>
      <c r="B3325" s="297"/>
      <c r="C3325" s="296"/>
      <c r="D3325" s="341"/>
    </row>
    <row r="3326" spans="1:4">
      <c r="A3326" s="341"/>
      <c r="B3326" s="297"/>
      <c r="C3326" s="296"/>
      <c r="D3326" s="341"/>
    </row>
    <row r="3327" spans="1:4">
      <c r="A3327" s="341"/>
      <c r="B3327" s="297"/>
      <c r="C3327" s="296"/>
      <c r="D3327" s="341"/>
    </row>
    <row r="3328" spans="1:4">
      <c r="A3328" s="341"/>
      <c r="B3328" s="297"/>
      <c r="C3328" s="296"/>
      <c r="D3328" s="341"/>
    </row>
    <row r="3329" spans="1:4">
      <c r="A3329" s="341"/>
      <c r="B3329" s="297"/>
      <c r="C3329" s="296"/>
      <c r="D3329" s="341"/>
    </row>
    <row r="3330" spans="1:4">
      <c r="A3330" s="341"/>
      <c r="B3330" s="297"/>
      <c r="C3330" s="296"/>
      <c r="D3330" s="341"/>
    </row>
    <row r="3331" spans="1:4">
      <c r="A3331" s="341"/>
      <c r="B3331" s="297"/>
      <c r="C3331" s="296"/>
      <c r="D3331" s="341"/>
    </row>
    <row r="3332" spans="1:4">
      <c r="A3332" s="341"/>
      <c r="B3332" s="297"/>
      <c r="C3332" s="296"/>
      <c r="D3332" s="341"/>
    </row>
    <row r="3333" spans="1:4">
      <c r="A3333" s="341"/>
      <c r="B3333" s="297"/>
      <c r="C3333" s="296"/>
      <c r="D3333" s="341"/>
    </row>
    <row r="3334" spans="1:4">
      <c r="A3334" s="341"/>
      <c r="B3334" s="297"/>
      <c r="C3334" s="296"/>
      <c r="D3334" s="341"/>
    </row>
    <row r="3335" spans="1:4">
      <c r="A3335" s="341"/>
      <c r="B3335" s="297"/>
      <c r="C3335" s="296"/>
      <c r="D3335" s="341"/>
    </row>
    <row r="3336" spans="1:4">
      <c r="A3336" s="341"/>
      <c r="B3336" s="297"/>
      <c r="C3336" s="296"/>
      <c r="D3336" s="341"/>
    </row>
    <row r="3337" spans="1:4">
      <c r="A3337" s="341"/>
      <c r="B3337" s="297"/>
      <c r="C3337" s="296"/>
      <c r="D3337" s="341"/>
    </row>
    <row r="3338" spans="1:4">
      <c r="A3338" s="341"/>
      <c r="B3338" s="297"/>
      <c r="C3338" s="296"/>
      <c r="D3338" s="341"/>
    </row>
    <row r="3339" spans="1:4">
      <c r="A3339" s="341"/>
      <c r="B3339" s="297"/>
      <c r="C3339" s="296"/>
      <c r="D3339" s="341"/>
    </row>
    <row r="3340" spans="1:4">
      <c r="A3340" s="341"/>
      <c r="B3340" s="297"/>
      <c r="C3340" s="296"/>
      <c r="D3340" s="341"/>
    </row>
    <row r="3341" spans="1:4">
      <c r="A3341" s="341"/>
      <c r="B3341" s="297"/>
      <c r="C3341" s="296"/>
      <c r="D3341" s="341"/>
    </row>
    <row r="3342" spans="1:4">
      <c r="A3342" s="341"/>
      <c r="B3342" s="297"/>
      <c r="C3342" s="296"/>
      <c r="D3342" s="341"/>
    </row>
    <row r="3343" spans="1:4">
      <c r="A3343" s="341"/>
      <c r="B3343" s="297"/>
      <c r="C3343" s="296"/>
      <c r="D3343" s="341"/>
    </row>
    <row r="3344" spans="1:4">
      <c r="A3344" s="341"/>
      <c r="B3344" s="297"/>
      <c r="C3344" s="296"/>
      <c r="D3344" s="341"/>
    </row>
    <row r="3345" spans="1:4">
      <c r="A3345" s="341"/>
      <c r="B3345" s="297"/>
      <c r="C3345" s="296"/>
      <c r="D3345" s="341"/>
    </row>
    <row r="3346" spans="1:4">
      <c r="A3346" s="341"/>
      <c r="B3346" s="297"/>
      <c r="C3346" s="296"/>
      <c r="D3346" s="341"/>
    </row>
    <row r="3347" spans="1:4">
      <c r="A3347" s="341"/>
      <c r="B3347" s="297"/>
      <c r="C3347" s="296"/>
      <c r="D3347" s="341"/>
    </row>
    <row r="3348" spans="1:4">
      <c r="A3348" s="341"/>
      <c r="B3348" s="297"/>
      <c r="C3348" s="296"/>
      <c r="D3348" s="341"/>
    </row>
    <row r="3349" spans="1:4">
      <c r="A3349" s="341"/>
      <c r="B3349" s="297"/>
      <c r="C3349" s="296"/>
      <c r="D3349" s="341"/>
    </row>
    <row r="3350" spans="1:4">
      <c r="A3350" s="341"/>
      <c r="B3350" s="297"/>
      <c r="C3350" s="296"/>
      <c r="D3350" s="341"/>
    </row>
    <row r="3351" spans="1:4">
      <c r="A3351" s="341"/>
      <c r="B3351" s="297"/>
      <c r="C3351" s="296"/>
      <c r="D3351" s="341"/>
    </row>
    <row r="3352" spans="1:4">
      <c r="A3352" s="341"/>
      <c r="B3352" s="297"/>
      <c r="C3352" s="296"/>
      <c r="D3352" s="341"/>
    </row>
    <row r="3353" spans="1:4">
      <c r="A3353" s="341"/>
      <c r="B3353" s="297"/>
      <c r="C3353" s="296"/>
      <c r="D3353" s="341"/>
    </row>
    <row r="3354" spans="1:4">
      <c r="A3354" s="341"/>
      <c r="B3354" s="297"/>
      <c r="C3354" s="296"/>
      <c r="D3354" s="341"/>
    </row>
    <row r="3355" spans="1:4">
      <c r="A3355" s="341"/>
      <c r="B3355" s="297"/>
      <c r="C3355" s="296"/>
      <c r="D3355" s="341"/>
    </row>
    <row r="3356" spans="1:4">
      <c r="A3356" s="341"/>
      <c r="B3356" s="297"/>
      <c r="C3356" s="296"/>
      <c r="D3356" s="341"/>
    </row>
    <row r="3357" spans="1:4">
      <c r="A3357" s="341"/>
      <c r="B3357" s="297"/>
      <c r="C3357" s="296"/>
      <c r="D3357" s="341"/>
    </row>
    <row r="3358" spans="1:4">
      <c r="A3358" s="341"/>
      <c r="B3358" s="297"/>
      <c r="C3358" s="296"/>
      <c r="D3358" s="341"/>
    </row>
    <row r="3359" spans="1:4">
      <c r="A3359" s="341"/>
      <c r="B3359" s="297"/>
      <c r="C3359" s="296"/>
      <c r="D3359" s="341"/>
    </row>
    <row r="3360" spans="1:4">
      <c r="A3360" s="341"/>
      <c r="B3360" s="297"/>
      <c r="C3360" s="296"/>
      <c r="D3360" s="341"/>
    </row>
    <row r="3361" spans="1:4">
      <c r="A3361" s="341"/>
      <c r="B3361" s="297"/>
      <c r="C3361" s="296"/>
      <c r="D3361" s="341"/>
    </row>
    <row r="3362" spans="1:4">
      <c r="A3362" s="341"/>
      <c r="B3362" s="297"/>
      <c r="C3362" s="296"/>
      <c r="D3362" s="341"/>
    </row>
    <row r="3363" spans="1:4">
      <c r="A3363" s="341"/>
      <c r="B3363" s="297"/>
      <c r="C3363" s="296"/>
      <c r="D3363" s="341"/>
    </row>
    <row r="3364" spans="1:4">
      <c r="A3364" s="341"/>
      <c r="B3364" s="297"/>
      <c r="C3364" s="296"/>
      <c r="D3364" s="341"/>
    </row>
    <row r="3365" spans="1:4">
      <c r="A3365" s="341"/>
      <c r="B3365" s="297"/>
      <c r="C3365" s="296"/>
      <c r="D3365" s="341"/>
    </row>
    <row r="3366" spans="1:4">
      <c r="A3366" s="341"/>
      <c r="B3366" s="297"/>
      <c r="C3366" s="296"/>
      <c r="D3366" s="341"/>
    </row>
    <row r="3367" spans="1:4">
      <c r="A3367" s="341"/>
      <c r="B3367" s="297"/>
      <c r="C3367" s="296"/>
      <c r="D3367" s="341"/>
    </row>
    <row r="3368" spans="1:4">
      <c r="A3368" s="341"/>
      <c r="B3368" s="297"/>
      <c r="C3368" s="296"/>
      <c r="D3368" s="341"/>
    </row>
    <row r="3369" spans="1:4">
      <c r="A3369" s="341"/>
      <c r="B3369" s="297"/>
      <c r="C3369" s="296"/>
      <c r="D3369" s="341"/>
    </row>
    <row r="3370" spans="1:4">
      <c r="A3370" s="341"/>
      <c r="B3370" s="297"/>
      <c r="C3370" s="296"/>
      <c r="D3370" s="341"/>
    </row>
    <row r="3371" spans="1:4">
      <c r="A3371" s="341"/>
      <c r="B3371" s="297"/>
      <c r="C3371" s="296"/>
      <c r="D3371" s="341"/>
    </row>
    <row r="3372" spans="1:4">
      <c r="A3372" s="341"/>
      <c r="B3372" s="297"/>
      <c r="C3372" s="296"/>
      <c r="D3372" s="341"/>
    </row>
    <row r="3373" spans="1:4">
      <c r="A3373" s="341"/>
      <c r="B3373" s="297"/>
      <c r="C3373" s="296"/>
      <c r="D3373" s="341"/>
    </row>
    <row r="3374" spans="1:4">
      <c r="A3374" s="341"/>
      <c r="B3374" s="297"/>
      <c r="C3374" s="296"/>
      <c r="D3374" s="341"/>
    </row>
    <row r="3375" spans="1:4">
      <c r="A3375" s="341"/>
      <c r="B3375" s="297"/>
      <c r="C3375" s="296"/>
      <c r="D3375" s="341"/>
    </row>
    <row r="3376" spans="1:4">
      <c r="A3376" s="341"/>
      <c r="B3376" s="297"/>
      <c r="C3376" s="296"/>
      <c r="D3376" s="341"/>
    </row>
    <row r="3377" spans="1:4">
      <c r="A3377" s="341"/>
      <c r="B3377" s="297"/>
      <c r="C3377" s="296"/>
      <c r="D3377" s="341"/>
    </row>
    <row r="3378" spans="1:4">
      <c r="A3378" s="341"/>
      <c r="B3378" s="297"/>
      <c r="C3378" s="296"/>
      <c r="D3378" s="341"/>
    </row>
    <row r="3379" spans="1:4">
      <c r="A3379" s="341"/>
      <c r="B3379" s="297"/>
      <c r="C3379" s="296"/>
      <c r="D3379" s="341"/>
    </row>
    <row r="3380" spans="1:4">
      <c r="A3380" s="341"/>
      <c r="B3380" s="297"/>
      <c r="C3380" s="296"/>
      <c r="D3380" s="341"/>
    </row>
    <row r="3381" spans="1:4">
      <c r="A3381" s="341"/>
      <c r="B3381" s="297"/>
      <c r="C3381" s="296"/>
      <c r="D3381" s="341"/>
    </row>
    <row r="3382" spans="1:4">
      <c r="A3382" s="341"/>
      <c r="B3382" s="297"/>
      <c r="C3382" s="296"/>
      <c r="D3382" s="341"/>
    </row>
    <row r="3383" spans="1:4">
      <c r="A3383" s="341"/>
      <c r="B3383" s="297"/>
      <c r="C3383" s="296"/>
      <c r="D3383" s="341"/>
    </row>
    <row r="3384" spans="1:4">
      <c r="A3384" s="341"/>
      <c r="B3384" s="297"/>
      <c r="C3384" s="296"/>
      <c r="D3384" s="341"/>
    </row>
    <row r="3385" spans="1:4">
      <c r="A3385" s="341"/>
      <c r="B3385" s="297"/>
      <c r="C3385" s="296"/>
      <c r="D3385" s="341"/>
    </row>
    <row r="3386" spans="1:4">
      <c r="A3386" s="341"/>
      <c r="B3386" s="297"/>
      <c r="C3386" s="296"/>
      <c r="D3386" s="341"/>
    </row>
    <row r="3387" spans="1:4">
      <c r="A3387" s="341"/>
      <c r="B3387" s="297"/>
      <c r="C3387" s="296"/>
      <c r="D3387" s="341"/>
    </row>
    <row r="3388" spans="1:4">
      <c r="A3388" s="341"/>
      <c r="B3388" s="297"/>
      <c r="C3388" s="296"/>
      <c r="D3388" s="341"/>
    </row>
    <row r="3389" spans="1:4">
      <c r="A3389" s="341"/>
      <c r="B3389" s="297"/>
      <c r="C3389" s="296"/>
      <c r="D3389" s="341"/>
    </row>
    <row r="3390" spans="1:4">
      <c r="A3390" s="341"/>
      <c r="B3390" s="297"/>
      <c r="C3390" s="296"/>
      <c r="D3390" s="341"/>
    </row>
    <row r="3391" spans="1:4">
      <c r="A3391" s="341"/>
      <c r="B3391" s="297"/>
      <c r="C3391" s="296"/>
      <c r="D3391" s="341"/>
    </row>
    <row r="3392" spans="1:4">
      <c r="A3392" s="341"/>
      <c r="B3392" s="297"/>
      <c r="C3392" s="296"/>
      <c r="D3392" s="341"/>
    </row>
    <row r="3393" spans="1:4">
      <c r="A3393" s="341"/>
      <c r="B3393" s="297"/>
      <c r="C3393" s="296"/>
      <c r="D3393" s="341"/>
    </row>
    <row r="3394" spans="1:4">
      <c r="A3394" s="341"/>
      <c r="B3394" s="297"/>
      <c r="C3394" s="296"/>
      <c r="D3394" s="341"/>
    </row>
    <row r="3395" spans="1:4">
      <c r="A3395" s="341"/>
      <c r="B3395" s="297"/>
      <c r="C3395" s="296"/>
      <c r="D3395" s="341"/>
    </row>
    <row r="3396" spans="1:4">
      <c r="A3396" s="341"/>
      <c r="B3396" s="297"/>
      <c r="C3396" s="296"/>
      <c r="D3396" s="341"/>
    </row>
    <row r="3397" spans="1:4">
      <c r="A3397" s="341"/>
      <c r="B3397" s="297"/>
      <c r="C3397" s="296"/>
      <c r="D3397" s="341"/>
    </row>
    <row r="3398" spans="1:4">
      <c r="A3398" s="341"/>
      <c r="B3398" s="297"/>
      <c r="C3398" s="296"/>
      <c r="D3398" s="341"/>
    </row>
    <row r="3399" spans="1:4">
      <c r="A3399" s="341"/>
      <c r="B3399" s="297"/>
      <c r="C3399" s="296"/>
      <c r="D3399" s="341"/>
    </row>
    <row r="3400" spans="1:4">
      <c r="A3400" s="341"/>
      <c r="B3400" s="297"/>
      <c r="C3400" s="296"/>
      <c r="D3400" s="341"/>
    </row>
    <row r="3401" spans="1:4">
      <c r="A3401" s="341"/>
      <c r="B3401" s="297"/>
      <c r="C3401" s="296"/>
      <c r="D3401" s="341"/>
    </row>
    <row r="3402" spans="1:4">
      <c r="A3402" s="341"/>
      <c r="B3402" s="297"/>
      <c r="C3402" s="296"/>
      <c r="D3402" s="341"/>
    </row>
    <row r="3403" spans="1:4">
      <c r="A3403" s="341"/>
      <c r="B3403" s="297"/>
      <c r="C3403" s="296"/>
      <c r="D3403" s="341"/>
    </row>
    <row r="3404" spans="1:4">
      <c r="A3404" s="341"/>
      <c r="B3404" s="297"/>
      <c r="C3404" s="296"/>
      <c r="D3404" s="341"/>
    </row>
    <row r="3405" spans="1:4">
      <c r="A3405" s="341"/>
      <c r="B3405" s="297"/>
      <c r="C3405" s="296"/>
      <c r="D3405" s="341"/>
    </row>
    <row r="3406" spans="1:4">
      <c r="A3406" s="341"/>
      <c r="B3406" s="297"/>
      <c r="C3406" s="296"/>
      <c r="D3406" s="341"/>
    </row>
    <row r="3407" spans="1:4">
      <c r="A3407" s="341"/>
      <c r="B3407" s="297"/>
      <c r="C3407" s="296"/>
      <c r="D3407" s="341"/>
    </row>
    <row r="3408" spans="1:4">
      <c r="A3408" s="341"/>
      <c r="B3408" s="297"/>
      <c r="C3408" s="296"/>
      <c r="D3408" s="341"/>
    </row>
    <row r="3409" spans="1:4">
      <c r="A3409" s="341"/>
      <c r="B3409" s="297"/>
      <c r="C3409" s="296"/>
      <c r="D3409" s="341"/>
    </row>
    <row r="3410" spans="1:4">
      <c r="A3410" s="341"/>
      <c r="B3410" s="297"/>
      <c r="C3410" s="296"/>
      <c r="D3410" s="341"/>
    </row>
    <row r="3411" spans="1:4">
      <c r="A3411" s="341"/>
      <c r="B3411" s="297"/>
      <c r="C3411" s="296"/>
      <c r="D3411" s="341"/>
    </row>
    <row r="3412" spans="1:4">
      <c r="A3412" s="341"/>
      <c r="B3412" s="297"/>
      <c r="C3412" s="296"/>
      <c r="D3412" s="341"/>
    </row>
    <row r="3413" spans="1:4">
      <c r="A3413" s="341"/>
      <c r="B3413" s="297"/>
      <c r="C3413" s="296"/>
      <c r="D3413" s="341"/>
    </row>
    <row r="3414" spans="1:4">
      <c r="A3414" s="341"/>
      <c r="B3414" s="297"/>
      <c r="C3414" s="296"/>
      <c r="D3414" s="341"/>
    </row>
    <row r="3415" spans="1:4">
      <c r="A3415" s="341"/>
      <c r="B3415" s="297"/>
      <c r="C3415" s="296"/>
      <c r="D3415" s="341"/>
    </row>
    <row r="3416" spans="1:4">
      <c r="A3416" s="341"/>
      <c r="B3416" s="297"/>
      <c r="C3416" s="296"/>
      <c r="D3416" s="341"/>
    </row>
    <row r="3417" spans="1:4">
      <c r="A3417" s="341"/>
      <c r="B3417" s="297"/>
      <c r="C3417" s="296"/>
      <c r="D3417" s="341"/>
    </row>
    <row r="3418" spans="1:4">
      <c r="A3418" s="341"/>
      <c r="B3418" s="297"/>
      <c r="C3418" s="296"/>
      <c r="D3418" s="341"/>
    </row>
    <row r="3419" spans="1:4">
      <c r="A3419" s="341"/>
      <c r="B3419" s="297"/>
      <c r="C3419" s="296"/>
      <c r="D3419" s="341"/>
    </row>
    <row r="3420" spans="1:4">
      <c r="A3420" s="341"/>
      <c r="B3420" s="297"/>
      <c r="C3420" s="296"/>
      <c r="D3420" s="341"/>
    </row>
    <row r="3421" spans="1:4">
      <c r="A3421" s="341"/>
      <c r="B3421" s="297"/>
      <c r="C3421" s="296"/>
      <c r="D3421" s="341"/>
    </row>
    <row r="3422" spans="1:4">
      <c r="A3422" s="341"/>
      <c r="B3422" s="297"/>
      <c r="C3422" s="296"/>
      <c r="D3422" s="341"/>
    </row>
    <row r="3423" spans="1:4">
      <c r="A3423" s="341"/>
      <c r="B3423" s="297"/>
      <c r="C3423" s="296"/>
      <c r="D3423" s="341"/>
    </row>
    <row r="3424" spans="1:4">
      <c r="A3424" s="341"/>
      <c r="B3424" s="297"/>
      <c r="C3424" s="296"/>
      <c r="D3424" s="341"/>
    </row>
    <row r="3425" spans="1:4">
      <c r="A3425" s="341"/>
      <c r="B3425" s="297"/>
      <c r="C3425" s="296"/>
      <c r="D3425" s="341"/>
    </row>
    <row r="3426" spans="1:4">
      <c r="A3426" s="341"/>
      <c r="B3426" s="297"/>
      <c r="C3426" s="296"/>
      <c r="D3426" s="341"/>
    </row>
    <row r="3427" spans="1:4">
      <c r="A3427" s="341"/>
      <c r="B3427" s="297"/>
      <c r="C3427" s="296"/>
      <c r="D3427" s="341"/>
    </row>
    <row r="3428" spans="1:4">
      <c r="A3428" s="341"/>
      <c r="B3428" s="297"/>
      <c r="C3428" s="296"/>
      <c r="D3428" s="341"/>
    </row>
    <row r="3429" spans="1:4">
      <c r="A3429" s="341"/>
      <c r="B3429" s="297"/>
      <c r="C3429" s="296"/>
      <c r="D3429" s="341"/>
    </row>
    <row r="3430" spans="1:4">
      <c r="A3430" s="341"/>
      <c r="B3430" s="297"/>
      <c r="C3430" s="296"/>
      <c r="D3430" s="341"/>
    </row>
    <row r="3431" spans="1:4">
      <c r="A3431" s="341"/>
      <c r="B3431" s="297"/>
      <c r="C3431" s="296"/>
      <c r="D3431" s="341"/>
    </row>
    <row r="3432" spans="1:4">
      <c r="A3432" s="341"/>
      <c r="B3432" s="297"/>
      <c r="C3432" s="296"/>
      <c r="D3432" s="341"/>
    </row>
    <row r="3433" spans="1:4">
      <c r="A3433" s="341"/>
      <c r="B3433" s="297"/>
      <c r="C3433" s="296"/>
      <c r="D3433" s="341"/>
    </row>
    <row r="3434" spans="1:4">
      <c r="A3434" s="341"/>
      <c r="B3434" s="297"/>
      <c r="C3434" s="296"/>
      <c r="D3434" s="341"/>
    </row>
    <row r="3435" spans="1:4">
      <c r="A3435" s="341"/>
      <c r="B3435" s="297"/>
      <c r="C3435" s="296"/>
      <c r="D3435" s="341"/>
    </row>
    <row r="3436" spans="1:4">
      <c r="A3436" s="341"/>
      <c r="B3436" s="297"/>
      <c r="C3436" s="296"/>
      <c r="D3436" s="341"/>
    </row>
    <row r="3437" spans="1:4">
      <c r="A3437" s="341"/>
      <c r="B3437" s="297"/>
      <c r="C3437" s="296"/>
      <c r="D3437" s="341"/>
    </row>
    <row r="3438" spans="1:4">
      <c r="A3438" s="341"/>
      <c r="B3438" s="297"/>
      <c r="C3438" s="296"/>
      <c r="D3438" s="341"/>
    </row>
    <row r="3439" spans="1:4">
      <c r="A3439" s="341"/>
      <c r="B3439" s="297"/>
      <c r="C3439" s="296"/>
      <c r="D3439" s="341"/>
    </row>
    <row r="3440" spans="1:4">
      <c r="A3440" s="341"/>
      <c r="B3440" s="297"/>
      <c r="C3440" s="296"/>
      <c r="D3440" s="341"/>
    </row>
    <row r="3441" spans="1:4">
      <c r="A3441" s="341"/>
      <c r="B3441" s="297"/>
      <c r="C3441" s="296"/>
      <c r="D3441" s="341"/>
    </row>
    <row r="3442" spans="1:4">
      <c r="A3442" s="341"/>
      <c r="B3442" s="297"/>
      <c r="C3442" s="296"/>
      <c r="D3442" s="341"/>
    </row>
    <row r="3443" spans="1:4">
      <c r="A3443" s="341"/>
      <c r="B3443" s="297"/>
      <c r="C3443" s="296"/>
      <c r="D3443" s="341"/>
    </row>
    <row r="3444" spans="1:4">
      <c r="A3444" s="341"/>
      <c r="B3444" s="297"/>
      <c r="C3444" s="296"/>
      <c r="D3444" s="341"/>
    </row>
    <row r="3445" spans="1:4">
      <c r="A3445" s="341"/>
      <c r="B3445" s="297"/>
      <c r="C3445" s="296"/>
      <c r="D3445" s="341"/>
    </row>
    <row r="3446" spans="1:4">
      <c r="A3446" s="341"/>
      <c r="B3446" s="297"/>
      <c r="C3446" s="296"/>
      <c r="D3446" s="341"/>
    </row>
    <row r="3447" spans="1:4">
      <c r="A3447" s="341"/>
      <c r="B3447" s="297"/>
      <c r="C3447" s="296"/>
      <c r="D3447" s="341"/>
    </row>
    <row r="3448" spans="1:4">
      <c r="A3448" s="341"/>
      <c r="B3448" s="297"/>
      <c r="C3448" s="296"/>
      <c r="D3448" s="341"/>
    </row>
    <row r="3449" spans="1:4">
      <c r="A3449" s="341"/>
      <c r="B3449" s="297"/>
      <c r="C3449" s="296"/>
      <c r="D3449" s="341"/>
    </row>
    <row r="3450" spans="1:4">
      <c r="A3450" s="341"/>
      <c r="B3450" s="297"/>
      <c r="C3450" s="296"/>
      <c r="D3450" s="341"/>
    </row>
    <row r="3451" spans="1:4">
      <c r="A3451" s="341"/>
      <c r="B3451" s="297"/>
      <c r="C3451" s="296"/>
      <c r="D3451" s="341"/>
    </row>
    <row r="3452" spans="1:4">
      <c r="A3452" s="341"/>
      <c r="B3452" s="297"/>
      <c r="C3452" s="296"/>
      <c r="D3452" s="341"/>
    </row>
    <row r="3453" spans="1:4">
      <c r="A3453" s="341"/>
      <c r="B3453" s="297"/>
      <c r="C3453" s="296"/>
      <c r="D3453" s="341"/>
    </row>
    <row r="3454" spans="1:4">
      <c r="A3454" s="341"/>
      <c r="B3454" s="297"/>
      <c r="C3454" s="296"/>
      <c r="D3454" s="341"/>
    </row>
    <row r="3455" spans="1:4">
      <c r="A3455" s="341"/>
      <c r="B3455" s="297"/>
      <c r="C3455" s="296"/>
      <c r="D3455" s="341"/>
    </row>
    <row r="3456" spans="1:4">
      <c r="A3456" s="341"/>
      <c r="B3456" s="297"/>
      <c r="C3456" s="296"/>
      <c r="D3456" s="341"/>
    </row>
    <row r="3457" spans="1:4">
      <c r="A3457" s="341"/>
      <c r="B3457" s="297"/>
      <c r="C3457" s="296"/>
      <c r="D3457" s="341"/>
    </row>
    <row r="3458" spans="1:4">
      <c r="A3458" s="341"/>
      <c r="B3458" s="297"/>
      <c r="C3458" s="296"/>
      <c r="D3458" s="341"/>
    </row>
    <row r="3459" spans="1:4">
      <c r="A3459" s="341"/>
      <c r="B3459" s="297"/>
      <c r="C3459" s="296"/>
      <c r="D3459" s="341"/>
    </row>
    <row r="3460" spans="1:4">
      <c r="A3460" s="341"/>
      <c r="B3460" s="297"/>
      <c r="C3460" s="296"/>
      <c r="D3460" s="341"/>
    </row>
    <row r="3461" spans="1:4">
      <c r="A3461" s="341"/>
      <c r="B3461" s="297"/>
      <c r="C3461" s="296"/>
      <c r="D3461" s="341"/>
    </row>
    <row r="3462" spans="1:4">
      <c r="A3462" s="341"/>
      <c r="B3462" s="297"/>
      <c r="C3462" s="296"/>
      <c r="D3462" s="341"/>
    </row>
    <row r="3463" spans="1:4">
      <c r="A3463" s="341"/>
      <c r="B3463" s="297"/>
      <c r="C3463" s="296"/>
      <c r="D3463" s="341"/>
    </row>
    <row r="3464" spans="1:4">
      <c r="A3464" s="341"/>
      <c r="B3464" s="297"/>
      <c r="C3464" s="296"/>
      <c r="D3464" s="341"/>
    </row>
    <row r="3465" spans="1:4">
      <c r="A3465" s="341"/>
      <c r="B3465" s="297"/>
      <c r="C3465" s="296"/>
      <c r="D3465" s="341"/>
    </row>
    <row r="3466" spans="1:4">
      <c r="A3466" s="341"/>
      <c r="B3466" s="297"/>
      <c r="C3466" s="296"/>
      <c r="D3466" s="341"/>
    </row>
    <row r="3467" spans="1:4">
      <c r="A3467" s="341"/>
      <c r="B3467" s="297"/>
      <c r="C3467" s="296"/>
      <c r="D3467" s="341"/>
    </row>
    <row r="3468" spans="1:4">
      <c r="A3468" s="341"/>
      <c r="B3468" s="297"/>
      <c r="C3468" s="296"/>
      <c r="D3468" s="341"/>
    </row>
    <row r="3469" spans="1:4">
      <c r="A3469" s="341"/>
      <c r="B3469" s="297"/>
      <c r="C3469" s="296"/>
      <c r="D3469" s="341"/>
    </row>
    <row r="3470" spans="1:4">
      <c r="A3470" s="341"/>
      <c r="B3470" s="297"/>
      <c r="C3470" s="296"/>
      <c r="D3470" s="341"/>
    </row>
    <row r="3471" spans="1:4">
      <c r="A3471" s="341"/>
      <c r="B3471" s="297"/>
      <c r="C3471" s="296"/>
      <c r="D3471" s="341"/>
    </row>
    <row r="3472" spans="1:4">
      <c r="A3472" s="341"/>
      <c r="B3472" s="297"/>
      <c r="C3472" s="296"/>
      <c r="D3472" s="341"/>
    </row>
    <row r="3473" spans="1:4">
      <c r="A3473" s="341"/>
      <c r="B3473" s="297"/>
      <c r="C3473" s="296"/>
      <c r="D3473" s="341"/>
    </row>
    <row r="3474" spans="1:4">
      <c r="A3474" s="341"/>
      <c r="B3474" s="297"/>
      <c r="C3474" s="296"/>
      <c r="D3474" s="341"/>
    </row>
    <row r="3475" spans="1:4">
      <c r="A3475" s="341"/>
      <c r="B3475" s="297"/>
      <c r="C3475" s="296"/>
      <c r="D3475" s="341"/>
    </row>
    <row r="3476" spans="1:4">
      <c r="A3476" s="341"/>
      <c r="B3476" s="297"/>
      <c r="C3476" s="296"/>
      <c r="D3476" s="341"/>
    </row>
    <row r="3477" spans="1:4">
      <c r="A3477" s="341"/>
      <c r="B3477" s="297"/>
      <c r="C3477" s="296"/>
      <c r="D3477" s="341"/>
    </row>
    <row r="3478" spans="1:4">
      <c r="A3478" s="341"/>
      <c r="B3478" s="297"/>
      <c r="C3478" s="296"/>
      <c r="D3478" s="341"/>
    </row>
    <row r="3479" spans="1:4">
      <c r="A3479" s="341"/>
      <c r="B3479" s="297"/>
      <c r="C3479" s="296"/>
      <c r="D3479" s="341"/>
    </row>
    <row r="3480" spans="1:4">
      <c r="A3480" s="341"/>
      <c r="B3480" s="297"/>
      <c r="C3480" s="296"/>
      <c r="D3480" s="341"/>
    </row>
    <row r="3481" spans="1:4">
      <c r="A3481" s="341"/>
      <c r="B3481" s="297"/>
      <c r="C3481" s="296"/>
      <c r="D3481" s="341"/>
    </row>
    <row r="3482" spans="1:4">
      <c r="A3482" s="341"/>
      <c r="B3482" s="297"/>
      <c r="C3482" s="296"/>
      <c r="D3482" s="341"/>
    </row>
    <row r="3483" spans="1:4">
      <c r="A3483" s="341"/>
      <c r="B3483" s="297"/>
      <c r="C3483" s="296"/>
      <c r="D3483" s="341"/>
    </row>
    <row r="3484" spans="1:4">
      <c r="A3484" s="341"/>
      <c r="B3484" s="297"/>
      <c r="C3484" s="296"/>
      <c r="D3484" s="341"/>
    </row>
    <row r="3485" spans="1:4">
      <c r="A3485" s="341"/>
      <c r="B3485" s="297"/>
      <c r="C3485" s="296"/>
      <c r="D3485" s="341"/>
    </row>
    <row r="3486" spans="1:4">
      <c r="A3486" s="341"/>
      <c r="B3486" s="297"/>
      <c r="C3486" s="296"/>
      <c r="D3486" s="341"/>
    </row>
    <row r="3487" spans="1:4">
      <c r="A3487" s="341"/>
      <c r="B3487" s="297"/>
      <c r="C3487" s="296"/>
      <c r="D3487" s="341"/>
    </row>
    <row r="3488" spans="1:4">
      <c r="A3488" s="341"/>
      <c r="B3488" s="297"/>
      <c r="C3488" s="296"/>
      <c r="D3488" s="341"/>
    </row>
    <row r="3489" spans="1:4">
      <c r="A3489" s="341"/>
      <c r="B3489" s="297"/>
      <c r="C3489" s="296"/>
      <c r="D3489" s="341"/>
    </row>
    <row r="3490" spans="1:4">
      <c r="A3490" s="341"/>
      <c r="B3490" s="297"/>
      <c r="C3490" s="296"/>
      <c r="D3490" s="341"/>
    </row>
    <row r="3491" spans="1:4">
      <c r="A3491" s="341"/>
      <c r="B3491" s="297"/>
      <c r="C3491" s="296"/>
      <c r="D3491" s="341"/>
    </row>
    <row r="3492" spans="1:4">
      <c r="A3492" s="341"/>
      <c r="B3492" s="297"/>
      <c r="C3492" s="296"/>
      <c r="D3492" s="341"/>
    </row>
    <row r="3493" spans="1:4">
      <c r="A3493" s="341"/>
      <c r="B3493" s="297"/>
      <c r="C3493" s="296"/>
      <c r="D3493" s="341"/>
    </row>
    <row r="3494" spans="1:4">
      <c r="A3494" s="341"/>
      <c r="B3494" s="297"/>
      <c r="C3494" s="296"/>
      <c r="D3494" s="341"/>
    </row>
    <row r="3495" spans="1:4">
      <c r="A3495" s="341"/>
      <c r="B3495" s="297"/>
      <c r="C3495" s="296"/>
      <c r="D3495" s="341"/>
    </row>
  </sheetData>
  <mergeCells count="23">
    <mergeCell ref="O5:Q5"/>
    <mergeCell ref="A5:A7"/>
    <mergeCell ref="B5:B7"/>
    <mergeCell ref="C5:C7"/>
    <mergeCell ref="R5:R7"/>
    <mergeCell ref="L6:L7"/>
    <mergeCell ref="O6:O7"/>
    <mergeCell ref="Q6:Q7"/>
    <mergeCell ref="J6:J7"/>
    <mergeCell ref="I5:I7"/>
    <mergeCell ref="J5:L5"/>
    <mergeCell ref="M5:M7"/>
    <mergeCell ref="N5:N7"/>
    <mergeCell ref="P6:P7"/>
    <mergeCell ref="K6:K7"/>
    <mergeCell ref="F6:F7"/>
    <mergeCell ref="B2:H2"/>
    <mergeCell ref="B3:H3"/>
    <mergeCell ref="D5:D7"/>
    <mergeCell ref="E5:G5"/>
    <mergeCell ref="H5:H7"/>
    <mergeCell ref="E6:E7"/>
    <mergeCell ref="G6:G7"/>
  </mergeCells>
  <phoneticPr fontId="29" type="noConversion"/>
  <pageMargins left="0.19685039370078741" right="0.19685039370078741" top="0.19685039370078741" bottom="0.31496062992125984" header="0.15748031496062992" footer="0.15748031496062992"/>
  <pageSetup paperSize="9" scale="60" orientation="landscape" r:id="rId1"/>
  <headerFooter alignWithMargins="0">
    <oddFooter>&amp;L&amp;F&amp;C&amp;P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W516"/>
  <sheetViews>
    <sheetView zoomScale="66" zoomScaleNormal="66"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sqref="A1:XFD1"/>
    </sheetView>
  </sheetViews>
  <sheetFormatPr defaultColWidth="9.109375" defaultRowHeight="10.199999999999999"/>
  <cols>
    <col min="1" max="1" width="11.44140625" style="3" bestFit="1" customWidth="1"/>
    <col min="2" max="2" width="36.6640625" style="1" customWidth="1"/>
    <col min="3" max="3" width="13" style="3" customWidth="1"/>
    <col min="4" max="4" width="12.5546875" style="3" customWidth="1"/>
    <col min="5" max="5" width="12.88671875" style="3" bestFit="1" customWidth="1"/>
    <col min="6" max="7" width="12" style="3" customWidth="1"/>
    <col min="8" max="8" width="14.44140625" style="3" customWidth="1"/>
    <col min="9" max="12" width="11.44140625" style="3" customWidth="1"/>
    <col min="13" max="13" width="12.6640625" style="3" customWidth="1"/>
    <col min="14" max="14" width="12" style="3" customWidth="1"/>
    <col min="15" max="15" width="11.44140625" style="3" customWidth="1"/>
    <col min="16" max="16" width="12.44140625" style="3" customWidth="1"/>
    <col min="17" max="17" width="11.6640625" style="3" customWidth="1"/>
    <col min="18" max="18" width="13.6640625" style="9" customWidth="1"/>
    <col min="19" max="23" width="9.109375" style="9"/>
    <col min="24" max="16384" width="9.109375" style="3"/>
  </cols>
  <sheetData>
    <row r="1" spans="1:23" ht="13.2" hidden="1">
      <c r="A1" s="18"/>
      <c r="B1" s="18"/>
      <c r="C1" s="18"/>
      <c r="D1" s="18"/>
      <c r="E1" s="551">
        <f>E35-'2013-2015isa'!E16</f>
        <v>0</v>
      </c>
      <c r="F1" s="551">
        <f>F35-'2013-2015isa'!F16</f>
        <v>0</v>
      </c>
      <c r="G1" s="551">
        <f>G35-'2013-2015isa'!G16</f>
        <v>0</v>
      </c>
      <c r="H1" s="551">
        <f>H35-'2013-2015isa'!H16</f>
        <v>0</v>
      </c>
      <c r="I1" s="551">
        <f>I35-'2013-2015isa'!I16</f>
        <v>0</v>
      </c>
      <c r="J1" s="551">
        <f>J35-'2013-2015isa'!J16</f>
        <v>0</v>
      </c>
      <c r="K1" s="551">
        <f>K35-'2013-2015isa'!K16</f>
        <v>0</v>
      </c>
      <c r="L1" s="551">
        <f>L35-'2013-2015isa'!L16</f>
        <v>0</v>
      </c>
      <c r="M1" s="551">
        <f>M35-'2013-2015isa'!M16</f>
        <v>0</v>
      </c>
      <c r="N1" s="551">
        <f>N35-'2013-2015isa'!N16</f>
        <v>0</v>
      </c>
      <c r="O1" s="551">
        <f>O35-'2013-2015isa'!O16</f>
        <v>0</v>
      </c>
      <c r="P1" s="551">
        <f>P35-'2013-2015isa'!P16</f>
        <v>0</v>
      </c>
      <c r="Q1" s="551">
        <f>Q35-'2013-2015isa'!Q16</f>
        <v>0</v>
      </c>
    </row>
    <row r="2" spans="1:23" ht="13.2">
      <c r="B2" s="1397"/>
      <c r="C2" s="1397"/>
      <c r="D2" s="1397"/>
      <c r="E2" s="1397"/>
      <c r="F2" s="1397"/>
      <c r="G2" s="1397"/>
      <c r="H2" s="1397"/>
      <c r="I2" s="1397"/>
      <c r="J2" s="210"/>
      <c r="K2" s="564"/>
      <c r="L2" s="210"/>
      <c r="M2" s="210"/>
      <c r="N2" s="210"/>
      <c r="O2" s="210"/>
      <c r="P2" s="549"/>
      <c r="Q2" s="549"/>
    </row>
    <row r="3" spans="1:23" s="1" customFormat="1" ht="13.2">
      <c r="A3" s="10"/>
      <c r="B3" s="1398" t="s">
        <v>489</v>
      </c>
      <c r="C3" s="1398"/>
      <c r="D3" s="1398"/>
      <c r="E3" s="1398"/>
      <c r="F3" s="1398"/>
      <c r="G3" s="1398"/>
      <c r="H3" s="1398"/>
      <c r="I3" s="1398"/>
      <c r="J3" s="97"/>
      <c r="K3" s="565"/>
      <c r="L3" s="97"/>
      <c r="M3" s="97"/>
      <c r="N3" s="97"/>
      <c r="O3" s="97"/>
      <c r="P3" s="549"/>
      <c r="Q3" s="549"/>
      <c r="R3" s="292"/>
      <c r="S3" s="292"/>
      <c r="T3" s="292"/>
      <c r="U3" s="292"/>
      <c r="V3" s="292"/>
      <c r="W3" s="292"/>
    </row>
    <row r="4" spans="1:23" s="1" customFormat="1" ht="13.2">
      <c r="A4" s="10"/>
      <c r="B4" s="97"/>
      <c r="C4" s="23"/>
      <c r="D4" s="97"/>
      <c r="E4" s="97"/>
      <c r="F4" s="550"/>
      <c r="G4" s="550"/>
      <c r="H4" s="23"/>
      <c r="I4" s="97"/>
      <c r="J4" s="97"/>
      <c r="K4" s="550"/>
      <c r="L4" s="550"/>
      <c r="M4" s="97"/>
      <c r="N4" s="97"/>
      <c r="O4" s="97"/>
      <c r="P4" s="552"/>
      <c r="Q4" s="552"/>
      <c r="R4" s="292"/>
      <c r="S4" s="292"/>
      <c r="T4" s="292"/>
      <c r="U4" s="292"/>
      <c r="V4" s="292"/>
      <c r="W4" s="292"/>
    </row>
    <row r="5" spans="1:23"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c r="S5" s="292"/>
      <c r="T5" s="292"/>
      <c r="U5" s="292"/>
      <c r="V5" s="292"/>
      <c r="W5" s="292"/>
    </row>
    <row r="6" spans="1:23"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c r="S6" s="292"/>
      <c r="T6" s="292"/>
      <c r="U6" s="292"/>
      <c r="V6" s="292"/>
      <c r="W6" s="292"/>
    </row>
    <row r="7" spans="1:23" s="1" customFormat="1" ht="36.6" customHeight="1">
      <c r="A7" s="1396"/>
      <c r="B7" s="1359"/>
      <c r="C7" s="1362"/>
      <c r="D7" s="1365"/>
      <c r="E7" s="1370"/>
      <c r="F7" s="1370"/>
      <c r="G7" s="1370"/>
      <c r="H7" s="1356"/>
      <c r="I7" s="1368"/>
      <c r="J7" s="1378"/>
      <c r="K7" s="1378"/>
      <c r="L7" s="1378"/>
      <c r="M7" s="1386"/>
      <c r="N7" s="1383"/>
      <c r="O7" s="1380"/>
      <c r="P7" s="1380"/>
      <c r="Q7" s="1380"/>
      <c r="R7" s="1395"/>
      <c r="S7" s="292"/>
      <c r="T7" s="292"/>
      <c r="U7" s="292"/>
      <c r="V7" s="292"/>
      <c r="W7" s="292"/>
    </row>
    <row r="8" spans="1:23"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c r="S8" s="1320"/>
      <c r="T8" s="1320"/>
      <c r="U8" s="1320"/>
      <c r="V8" s="1320"/>
      <c r="W8" s="1320"/>
    </row>
    <row r="9" spans="1:23" s="37" customFormat="1" ht="15.6">
      <c r="A9" s="38"/>
      <c r="B9" s="48" t="s">
        <v>44</v>
      </c>
      <c r="C9" s="39"/>
      <c r="D9" s="40"/>
      <c r="E9" s="40"/>
      <c r="F9" s="40"/>
      <c r="G9" s="40"/>
      <c r="H9" s="40"/>
      <c r="I9" s="41"/>
      <c r="J9" s="40"/>
      <c r="K9" s="42"/>
      <c r="L9" s="42"/>
      <c r="M9" s="40"/>
      <c r="N9" s="40"/>
      <c r="O9" s="40"/>
      <c r="P9" s="41"/>
      <c r="Q9" s="41"/>
      <c r="R9" s="40"/>
      <c r="S9" s="1321"/>
      <c r="T9" s="1321"/>
      <c r="U9" s="1321"/>
      <c r="V9" s="1321"/>
      <c r="W9" s="1321"/>
    </row>
    <row r="10" spans="1:23" s="2" customFormat="1" ht="20.399999999999999">
      <c r="A10" s="129" t="s">
        <v>201</v>
      </c>
      <c r="B10" s="99" t="s">
        <v>88</v>
      </c>
      <c r="C10" s="103">
        <f t="shared" ref="C10:R10" si="0">C11+C12+C14+C32</f>
        <v>3248411991</v>
      </c>
      <c r="D10" s="103">
        <f t="shared" si="0"/>
        <v>3170800320</v>
      </c>
      <c r="E10" s="103">
        <f t="shared" si="0"/>
        <v>1962416</v>
      </c>
      <c r="F10" s="103">
        <f t="shared" ref="F10" si="1">F11+F12+F14+F32</f>
        <v>65291580</v>
      </c>
      <c r="G10" s="103">
        <f t="shared" si="0"/>
        <v>120864100</v>
      </c>
      <c r="H10" s="103">
        <f t="shared" si="0"/>
        <v>3358918416</v>
      </c>
      <c r="I10" s="103">
        <f t="shared" si="0"/>
        <v>3362089893</v>
      </c>
      <c r="J10" s="103">
        <f t="shared" si="0"/>
        <v>-1674608</v>
      </c>
      <c r="K10" s="103">
        <f t="shared" ref="K10" si="2">K11+K12+K14+K32</f>
        <v>89799301</v>
      </c>
      <c r="L10" s="103">
        <f t="shared" si="0"/>
        <v>147878082</v>
      </c>
      <c r="M10" s="103">
        <f t="shared" si="0"/>
        <v>3598092668</v>
      </c>
      <c r="N10" s="103">
        <f t="shared" si="0"/>
        <v>3171274987</v>
      </c>
      <c r="O10" s="103">
        <f t="shared" si="0"/>
        <v>-2313099</v>
      </c>
      <c r="P10" s="103">
        <f t="shared" ref="P10" si="3">P11+P12+P14+P32</f>
        <v>121559614</v>
      </c>
      <c r="Q10" s="103">
        <f t="shared" si="0"/>
        <v>118158082</v>
      </c>
      <c r="R10" s="103">
        <f t="shared" si="0"/>
        <v>3408679584</v>
      </c>
      <c r="S10" s="1322"/>
      <c r="T10" s="1322"/>
      <c r="U10" s="1322"/>
      <c r="V10" s="1322"/>
      <c r="W10" s="1322"/>
    </row>
    <row r="11" spans="1:23" s="2" customFormat="1" ht="22.8">
      <c r="A11" s="130" t="s">
        <v>177</v>
      </c>
      <c r="B11" s="100" t="s">
        <v>90</v>
      </c>
      <c r="C11" s="107">
        <f>C95+C179</f>
        <v>64573329</v>
      </c>
      <c r="D11" s="107">
        <f t="shared" ref="D11:R11" si="4">D95+D179</f>
        <v>59622863</v>
      </c>
      <c r="E11" s="107">
        <f t="shared" si="4"/>
        <v>131979</v>
      </c>
      <c r="F11" s="107">
        <f t="shared" ref="F11" si="5">F95+F179</f>
        <v>186107</v>
      </c>
      <c r="G11" s="107">
        <f t="shared" si="4"/>
        <v>0</v>
      </c>
      <c r="H11" s="107">
        <f t="shared" si="4"/>
        <v>59940949</v>
      </c>
      <c r="I11" s="107">
        <f t="shared" si="4"/>
        <v>58768245</v>
      </c>
      <c r="J11" s="107">
        <f t="shared" si="4"/>
        <v>-72315</v>
      </c>
      <c r="K11" s="107">
        <f t="shared" ref="K11" si="6">K95+K179</f>
        <v>998956</v>
      </c>
      <c r="L11" s="107">
        <f t="shared" si="4"/>
        <v>0</v>
      </c>
      <c r="M11" s="107">
        <f t="shared" si="4"/>
        <v>59694886</v>
      </c>
      <c r="N11" s="107">
        <f t="shared" si="4"/>
        <v>58506966</v>
      </c>
      <c r="O11" s="107">
        <f t="shared" si="4"/>
        <v>-72315</v>
      </c>
      <c r="P11" s="107">
        <f t="shared" ref="P11" si="7">P95+P179</f>
        <v>998956</v>
      </c>
      <c r="Q11" s="107">
        <f t="shared" si="4"/>
        <v>0</v>
      </c>
      <c r="R11" s="107">
        <f t="shared" si="4"/>
        <v>59433607</v>
      </c>
      <c r="S11" s="1322"/>
      <c r="T11" s="1322"/>
      <c r="U11" s="1322"/>
      <c r="V11" s="1322"/>
      <c r="W11" s="1322"/>
    </row>
    <row r="12" spans="1:23" s="2" customFormat="1" ht="12">
      <c r="A12" s="130" t="s">
        <v>91</v>
      </c>
      <c r="B12" s="100" t="s">
        <v>92</v>
      </c>
      <c r="C12" s="107">
        <f>C96+C180</f>
        <v>58533342</v>
      </c>
      <c r="D12" s="107">
        <f t="shared" ref="D12:R12" si="8">D96+D180</f>
        <v>47207704</v>
      </c>
      <c r="E12" s="107">
        <f t="shared" si="8"/>
        <v>244205</v>
      </c>
      <c r="F12" s="107">
        <f t="shared" ref="F12" si="9">F96+F180</f>
        <v>0</v>
      </c>
      <c r="G12" s="107">
        <f t="shared" si="8"/>
        <v>0</v>
      </c>
      <c r="H12" s="107">
        <f t="shared" si="8"/>
        <v>47451909</v>
      </c>
      <c r="I12" s="107">
        <f t="shared" si="8"/>
        <v>15127378</v>
      </c>
      <c r="J12" s="107">
        <f t="shared" si="8"/>
        <v>44365</v>
      </c>
      <c r="K12" s="107">
        <f t="shared" ref="K12" si="10">K96+K180</f>
        <v>0</v>
      </c>
      <c r="L12" s="107">
        <f t="shared" si="8"/>
        <v>0</v>
      </c>
      <c r="M12" s="107">
        <f t="shared" si="8"/>
        <v>15171743</v>
      </c>
      <c r="N12" s="107">
        <f t="shared" si="8"/>
        <v>7604517</v>
      </c>
      <c r="O12" s="107">
        <f t="shared" si="8"/>
        <v>8256</v>
      </c>
      <c r="P12" s="107">
        <f t="shared" ref="P12" si="11">P96+P180</f>
        <v>0</v>
      </c>
      <c r="Q12" s="107">
        <f t="shared" si="8"/>
        <v>0</v>
      </c>
      <c r="R12" s="107">
        <f t="shared" si="8"/>
        <v>7612773</v>
      </c>
      <c r="S12" s="1322"/>
      <c r="T12" s="1322"/>
      <c r="U12" s="1322"/>
      <c r="V12" s="1322"/>
      <c r="W12" s="1322"/>
    </row>
    <row r="13" spans="1:23" s="2" customFormat="1" ht="24" hidden="1">
      <c r="A13" s="131">
        <v>21210</v>
      </c>
      <c r="B13" s="101" t="s">
        <v>93</v>
      </c>
      <c r="C13" s="300">
        <f>C97+C181</f>
        <v>0</v>
      </c>
      <c r="D13" s="300">
        <f t="shared" ref="D13:R13" si="12">D97+D181</f>
        <v>0</v>
      </c>
      <c r="E13" s="300">
        <f t="shared" si="12"/>
        <v>0</v>
      </c>
      <c r="F13" s="300">
        <f t="shared" ref="F13" si="13">F97+F181</f>
        <v>0</v>
      </c>
      <c r="G13" s="300">
        <f t="shared" si="12"/>
        <v>0</v>
      </c>
      <c r="H13" s="300">
        <f t="shared" si="12"/>
        <v>0</v>
      </c>
      <c r="I13" s="300">
        <f t="shared" si="12"/>
        <v>0</v>
      </c>
      <c r="J13" s="300">
        <f t="shared" si="12"/>
        <v>0</v>
      </c>
      <c r="K13" s="300">
        <f t="shared" ref="K13" si="14">K97+K181</f>
        <v>0</v>
      </c>
      <c r="L13" s="300">
        <f t="shared" si="12"/>
        <v>0</v>
      </c>
      <c r="M13" s="300">
        <f t="shared" si="12"/>
        <v>0</v>
      </c>
      <c r="N13" s="300">
        <f t="shared" si="12"/>
        <v>0</v>
      </c>
      <c r="O13" s="300">
        <f t="shared" si="12"/>
        <v>0</v>
      </c>
      <c r="P13" s="300">
        <f t="shared" ref="P13" si="15">P97+P181</f>
        <v>0</v>
      </c>
      <c r="Q13" s="300">
        <f t="shared" si="12"/>
        <v>0</v>
      </c>
      <c r="R13" s="300">
        <f t="shared" si="12"/>
        <v>0</v>
      </c>
      <c r="S13" s="1322"/>
      <c r="T13" s="1322"/>
      <c r="U13" s="1322"/>
      <c r="V13" s="1322"/>
      <c r="W13" s="1322"/>
    </row>
    <row r="14" spans="1:23" s="2" customFormat="1" ht="20.399999999999999">
      <c r="A14" s="130" t="s">
        <v>178</v>
      </c>
      <c r="B14" s="100" t="s">
        <v>94</v>
      </c>
      <c r="C14" s="107">
        <f>C15+C21+C26</f>
        <v>113917</v>
      </c>
      <c r="D14" s="107">
        <f t="shared" ref="D14:R14" si="16">D15+D21+D26</f>
        <v>2268666</v>
      </c>
      <c r="E14" s="107">
        <f t="shared" si="16"/>
        <v>849608</v>
      </c>
      <c r="F14" s="107">
        <f t="shared" ref="F14" si="17">F15+F21+F26</f>
        <v>0</v>
      </c>
      <c r="G14" s="107">
        <f t="shared" si="16"/>
        <v>0</v>
      </c>
      <c r="H14" s="107">
        <f t="shared" si="16"/>
        <v>3118274</v>
      </c>
      <c r="I14" s="107">
        <f t="shared" si="16"/>
        <v>1021528</v>
      </c>
      <c r="J14" s="107">
        <f t="shared" si="16"/>
        <v>700472</v>
      </c>
      <c r="K14" s="107">
        <f t="shared" ref="K14" si="18">K15+K21+K26</f>
        <v>0</v>
      </c>
      <c r="L14" s="107">
        <f t="shared" si="16"/>
        <v>0</v>
      </c>
      <c r="M14" s="107">
        <f t="shared" si="16"/>
        <v>1722000</v>
      </c>
      <c r="N14" s="107">
        <f t="shared" si="16"/>
        <v>162453</v>
      </c>
      <c r="O14" s="107">
        <f t="shared" si="16"/>
        <v>255589</v>
      </c>
      <c r="P14" s="107">
        <f t="shared" ref="P14" si="19">P15+P21+P26</f>
        <v>0</v>
      </c>
      <c r="Q14" s="107">
        <f t="shared" si="16"/>
        <v>0</v>
      </c>
      <c r="R14" s="107">
        <f t="shared" si="16"/>
        <v>418042</v>
      </c>
      <c r="S14" s="1322"/>
      <c r="T14" s="1322"/>
      <c r="U14" s="1322"/>
      <c r="V14" s="1322"/>
      <c r="W14" s="1322"/>
    </row>
    <row r="15" spans="1:23" s="2" customFormat="1" ht="12" hidden="1">
      <c r="A15" s="132">
        <v>18000</v>
      </c>
      <c r="B15" s="101" t="s">
        <v>95</v>
      </c>
      <c r="C15" s="107">
        <f t="shared" ref="C15:R16" si="20">C16</f>
        <v>0</v>
      </c>
      <c r="D15" s="107">
        <f t="shared" si="20"/>
        <v>0</v>
      </c>
      <c r="E15" s="107">
        <f t="shared" si="20"/>
        <v>0</v>
      </c>
      <c r="F15" s="107">
        <f t="shared" si="20"/>
        <v>0</v>
      </c>
      <c r="G15" s="107">
        <f t="shared" si="20"/>
        <v>0</v>
      </c>
      <c r="H15" s="107">
        <f t="shared" si="20"/>
        <v>0</v>
      </c>
      <c r="I15" s="107">
        <f t="shared" si="20"/>
        <v>0</v>
      </c>
      <c r="J15" s="107">
        <f t="shared" si="20"/>
        <v>0</v>
      </c>
      <c r="K15" s="107">
        <f t="shared" si="20"/>
        <v>0</v>
      </c>
      <c r="L15" s="107">
        <f t="shared" si="20"/>
        <v>0</v>
      </c>
      <c r="M15" s="107">
        <f t="shared" si="20"/>
        <v>0</v>
      </c>
      <c r="N15" s="107">
        <f t="shared" si="20"/>
        <v>0</v>
      </c>
      <c r="O15" s="107">
        <f t="shared" si="20"/>
        <v>0</v>
      </c>
      <c r="P15" s="107">
        <f t="shared" si="20"/>
        <v>0</v>
      </c>
      <c r="Q15" s="107">
        <f t="shared" si="20"/>
        <v>0</v>
      </c>
      <c r="R15" s="107">
        <f t="shared" si="20"/>
        <v>0</v>
      </c>
      <c r="S15" s="1322"/>
      <c r="T15" s="1322"/>
      <c r="U15" s="1322"/>
      <c r="V15" s="1322"/>
      <c r="W15" s="1322"/>
    </row>
    <row r="16" spans="1:23" s="2" customFormat="1" ht="12" hidden="1">
      <c r="A16" s="132">
        <v>18100</v>
      </c>
      <c r="B16" s="101" t="s">
        <v>96</v>
      </c>
      <c r="C16" s="107">
        <f>C17</f>
        <v>0</v>
      </c>
      <c r="D16" s="107">
        <f t="shared" si="20"/>
        <v>0</v>
      </c>
      <c r="E16" s="107">
        <f t="shared" si="20"/>
        <v>0</v>
      </c>
      <c r="F16" s="107">
        <f t="shared" si="20"/>
        <v>0</v>
      </c>
      <c r="G16" s="107">
        <f t="shared" si="20"/>
        <v>0</v>
      </c>
      <c r="H16" s="107">
        <f t="shared" si="20"/>
        <v>0</v>
      </c>
      <c r="I16" s="107">
        <f t="shared" si="20"/>
        <v>0</v>
      </c>
      <c r="J16" s="107">
        <f t="shared" si="20"/>
        <v>0</v>
      </c>
      <c r="K16" s="107">
        <f t="shared" si="20"/>
        <v>0</v>
      </c>
      <c r="L16" s="107">
        <f t="shared" si="20"/>
        <v>0</v>
      </c>
      <c r="M16" s="107">
        <f t="shared" si="20"/>
        <v>0</v>
      </c>
      <c r="N16" s="107">
        <f t="shared" si="20"/>
        <v>0</v>
      </c>
      <c r="O16" s="107">
        <f t="shared" si="20"/>
        <v>0</v>
      </c>
      <c r="P16" s="107">
        <f t="shared" si="20"/>
        <v>0</v>
      </c>
      <c r="Q16" s="107">
        <f t="shared" si="20"/>
        <v>0</v>
      </c>
      <c r="R16" s="107">
        <f t="shared" si="20"/>
        <v>0</v>
      </c>
      <c r="S16" s="1322"/>
      <c r="T16" s="1322"/>
      <c r="U16" s="1322"/>
      <c r="V16" s="1322"/>
      <c r="W16" s="1322"/>
    </row>
    <row r="17" spans="1:23" s="2" customFormat="1" ht="24" hidden="1">
      <c r="A17" s="133">
        <v>18130</v>
      </c>
      <c r="B17" s="108" t="s">
        <v>159</v>
      </c>
      <c r="C17" s="107">
        <f>SUM(C18:C20)</f>
        <v>0</v>
      </c>
      <c r="D17" s="107">
        <f t="shared" ref="D17:R17" si="21">SUM(D18:D20)</f>
        <v>0</v>
      </c>
      <c r="E17" s="107">
        <f t="shared" si="21"/>
        <v>0</v>
      </c>
      <c r="F17" s="107">
        <f t="shared" ref="F17" si="22">SUM(F18:F20)</f>
        <v>0</v>
      </c>
      <c r="G17" s="107">
        <f t="shared" si="21"/>
        <v>0</v>
      </c>
      <c r="H17" s="107">
        <f t="shared" si="21"/>
        <v>0</v>
      </c>
      <c r="I17" s="107">
        <f t="shared" si="21"/>
        <v>0</v>
      </c>
      <c r="J17" s="107">
        <f t="shared" si="21"/>
        <v>0</v>
      </c>
      <c r="K17" s="107">
        <f t="shared" ref="K17" si="23">SUM(K18:K20)</f>
        <v>0</v>
      </c>
      <c r="L17" s="107">
        <f t="shared" si="21"/>
        <v>0</v>
      </c>
      <c r="M17" s="107">
        <f t="shared" si="21"/>
        <v>0</v>
      </c>
      <c r="N17" s="107">
        <f t="shared" si="21"/>
        <v>0</v>
      </c>
      <c r="O17" s="107">
        <f t="shared" si="21"/>
        <v>0</v>
      </c>
      <c r="P17" s="107">
        <f t="shared" ref="P17" si="24">SUM(P18:P20)</f>
        <v>0</v>
      </c>
      <c r="Q17" s="107">
        <f t="shared" si="21"/>
        <v>0</v>
      </c>
      <c r="R17" s="107">
        <f t="shared" si="21"/>
        <v>0</v>
      </c>
      <c r="S17" s="1322"/>
      <c r="T17" s="1322"/>
      <c r="U17" s="1322"/>
      <c r="V17" s="1322"/>
      <c r="W17" s="1322"/>
    </row>
    <row r="18" spans="1:23" s="2" customFormat="1" ht="36" hidden="1">
      <c r="A18" s="134">
        <v>18131</v>
      </c>
      <c r="B18" s="108" t="s">
        <v>160</v>
      </c>
      <c r="C18" s="300">
        <f>C102+C186</f>
        <v>0</v>
      </c>
      <c r="D18" s="300">
        <f t="shared" ref="D18:R18" si="25">D102+D186</f>
        <v>0</v>
      </c>
      <c r="E18" s="300">
        <f t="shared" si="25"/>
        <v>0</v>
      </c>
      <c r="F18" s="300">
        <f t="shared" ref="F18" si="26">F102+F186</f>
        <v>0</v>
      </c>
      <c r="G18" s="300">
        <f t="shared" si="25"/>
        <v>0</v>
      </c>
      <c r="H18" s="300">
        <f t="shared" si="25"/>
        <v>0</v>
      </c>
      <c r="I18" s="300">
        <f t="shared" si="25"/>
        <v>0</v>
      </c>
      <c r="J18" s="300">
        <f t="shared" si="25"/>
        <v>0</v>
      </c>
      <c r="K18" s="300">
        <f t="shared" ref="K18" si="27">K102+K186</f>
        <v>0</v>
      </c>
      <c r="L18" s="300">
        <f t="shared" si="25"/>
        <v>0</v>
      </c>
      <c r="M18" s="300">
        <f t="shared" si="25"/>
        <v>0</v>
      </c>
      <c r="N18" s="300">
        <f t="shared" si="25"/>
        <v>0</v>
      </c>
      <c r="O18" s="300">
        <f t="shared" si="25"/>
        <v>0</v>
      </c>
      <c r="P18" s="300">
        <f t="shared" ref="P18" si="28">P102+P186</f>
        <v>0</v>
      </c>
      <c r="Q18" s="300">
        <f t="shared" si="25"/>
        <v>0</v>
      </c>
      <c r="R18" s="300">
        <f t="shared" si="25"/>
        <v>0</v>
      </c>
      <c r="S18" s="1322"/>
      <c r="T18" s="1322"/>
      <c r="U18" s="1322"/>
      <c r="V18" s="1322"/>
      <c r="W18" s="1322"/>
    </row>
    <row r="19" spans="1:23" s="2" customFormat="1" ht="24" hidden="1">
      <c r="A19" s="134">
        <v>18132</v>
      </c>
      <c r="B19" s="108" t="s">
        <v>169</v>
      </c>
      <c r="C19" s="300">
        <f>C103+C187</f>
        <v>0</v>
      </c>
      <c r="D19" s="300">
        <f t="shared" ref="D19:R19" si="29">D103+D187</f>
        <v>0</v>
      </c>
      <c r="E19" s="300">
        <f t="shared" si="29"/>
        <v>0</v>
      </c>
      <c r="F19" s="300">
        <f t="shared" ref="F19" si="30">F103+F187</f>
        <v>0</v>
      </c>
      <c r="G19" s="300">
        <f t="shared" si="29"/>
        <v>0</v>
      </c>
      <c r="H19" s="300">
        <f t="shared" si="29"/>
        <v>0</v>
      </c>
      <c r="I19" s="300">
        <f t="shared" si="29"/>
        <v>0</v>
      </c>
      <c r="J19" s="300">
        <f t="shared" si="29"/>
        <v>0</v>
      </c>
      <c r="K19" s="300">
        <f t="shared" ref="K19" si="31">K103+K187</f>
        <v>0</v>
      </c>
      <c r="L19" s="300">
        <f t="shared" si="29"/>
        <v>0</v>
      </c>
      <c r="M19" s="300">
        <f t="shared" si="29"/>
        <v>0</v>
      </c>
      <c r="N19" s="300">
        <f t="shared" si="29"/>
        <v>0</v>
      </c>
      <c r="O19" s="300">
        <f t="shared" si="29"/>
        <v>0</v>
      </c>
      <c r="P19" s="300">
        <f t="shared" ref="P19" si="32">P103+P187</f>
        <v>0</v>
      </c>
      <c r="Q19" s="300">
        <f t="shared" si="29"/>
        <v>0</v>
      </c>
      <c r="R19" s="300">
        <f t="shared" si="29"/>
        <v>0</v>
      </c>
      <c r="S19" s="1322"/>
      <c r="T19" s="1322"/>
      <c r="U19" s="1322"/>
      <c r="V19" s="1322"/>
      <c r="W19" s="1322"/>
    </row>
    <row r="20" spans="1:23" s="2" customFormat="1" ht="24" hidden="1">
      <c r="A20" s="134">
        <v>18139</v>
      </c>
      <c r="B20" s="108" t="s">
        <v>179</v>
      </c>
      <c r="C20" s="300">
        <f>C104+C188</f>
        <v>0</v>
      </c>
      <c r="D20" s="300">
        <f t="shared" ref="D20:R20" si="33">D104+D188</f>
        <v>0</v>
      </c>
      <c r="E20" s="300">
        <f t="shared" si="33"/>
        <v>0</v>
      </c>
      <c r="F20" s="300">
        <f t="shared" ref="F20" si="34">F104+F188</f>
        <v>0</v>
      </c>
      <c r="G20" s="300">
        <f t="shared" si="33"/>
        <v>0</v>
      </c>
      <c r="H20" s="300">
        <f t="shared" si="33"/>
        <v>0</v>
      </c>
      <c r="I20" s="300">
        <f t="shared" si="33"/>
        <v>0</v>
      </c>
      <c r="J20" s="300">
        <f t="shared" si="33"/>
        <v>0</v>
      </c>
      <c r="K20" s="300">
        <f t="shared" ref="K20" si="35">K104+K188</f>
        <v>0</v>
      </c>
      <c r="L20" s="300">
        <f t="shared" si="33"/>
        <v>0</v>
      </c>
      <c r="M20" s="300">
        <f t="shared" si="33"/>
        <v>0</v>
      </c>
      <c r="N20" s="300">
        <f t="shared" si="33"/>
        <v>0</v>
      </c>
      <c r="O20" s="300">
        <f t="shared" si="33"/>
        <v>0</v>
      </c>
      <c r="P20" s="300">
        <f t="shared" ref="P20" si="36">P104+P188</f>
        <v>0</v>
      </c>
      <c r="Q20" s="300">
        <f t="shared" si="33"/>
        <v>0</v>
      </c>
      <c r="R20" s="300">
        <f t="shared" si="33"/>
        <v>0</v>
      </c>
      <c r="S20" s="1322"/>
      <c r="T20" s="1322"/>
      <c r="U20" s="1322"/>
      <c r="V20" s="1322"/>
      <c r="W20" s="1322"/>
    </row>
    <row r="21" spans="1:23" s="2" customFormat="1" ht="12">
      <c r="A21" s="135" t="s">
        <v>180</v>
      </c>
      <c r="B21" s="109" t="s">
        <v>173</v>
      </c>
      <c r="C21" s="301">
        <f t="shared" ref="C21:R21" si="37">C22</f>
        <v>113917</v>
      </c>
      <c r="D21" s="301">
        <f t="shared" si="37"/>
        <v>342453</v>
      </c>
      <c r="E21" s="301">
        <f t="shared" si="37"/>
        <v>0</v>
      </c>
      <c r="F21" s="301">
        <f t="shared" si="37"/>
        <v>0</v>
      </c>
      <c r="G21" s="301">
        <f t="shared" si="37"/>
        <v>0</v>
      </c>
      <c r="H21" s="301">
        <f t="shared" si="37"/>
        <v>342453</v>
      </c>
      <c r="I21" s="301">
        <f t="shared" si="37"/>
        <v>262933</v>
      </c>
      <c r="J21" s="301">
        <f t="shared" si="37"/>
        <v>0</v>
      </c>
      <c r="K21" s="301">
        <f t="shared" si="37"/>
        <v>0</v>
      </c>
      <c r="L21" s="301">
        <f t="shared" si="37"/>
        <v>0</v>
      </c>
      <c r="M21" s="301">
        <f t="shared" si="37"/>
        <v>262933</v>
      </c>
      <c r="N21" s="301">
        <f t="shared" si="37"/>
        <v>162453</v>
      </c>
      <c r="O21" s="301">
        <f t="shared" si="37"/>
        <v>0</v>
      </c>
      <c r="P21" s="301">
        <f t="shared" si="37"/>
        <v>0</v>
      </c>
      <c r="Q21" s="301">
        <f t="shared" si="37"/>
        <v>0</v>
      </c>
      <c r="R21" s="301">
        <f t="shared" si="37"/>
        <v>162453</v>
      </c>
      <c r="S21" s="1322"/>
      <c r="T21" s="1322"/>
      <c r="U21" s="1322"/>
      <c r="V21" s="1322"/>
      <c r="W21" s="1322"/>
    </row>
    <row r="22" spans="1:23" s="2" customFormat="1" ht="24">
      <c r="A22" s="135">
        <v>19500</v>
      </c>
      <c r="B22" s="108" t="s">
        <v>174</v>
      </c>
      <c r="C22" s="107">
        <f>SUM(C23:C25)</f>
        <v>113917</v>
      </c>
      <c r="D22" s="107">
        <f t="shared" ref="D22:R22" si="38">SUM(D23:D25)</f>
        <v>342453</v>
      </c>
      <c r="E22" s="107">
        <f t="shared" si="38"/>
        <v>0</v>
      </c>
      <c r="F22" s="107">
        <f t="shared" ref="F22" si="39">SUM(F23:F25)</f>
        <v>0</v>
      </c>
      <c r="G22" s="107">
        <f t="shared" si="38"/>
        <v>0</v>
      </c>
      <c r="H22" s="107">
        <f t="shared" si="38"/>
        <v>342453</v>
      </c>
      <c r="I22" s="107">
        <f t="shared" si="38"/>
        <v>262933</v>
      </c>
      <c r="J22" s="107">
        <f t="shared" si="38"/>
        <v>0</v>
      </c>
      <c r="K22" s="107">
        <f t="shared" ref="K22" si="40">SUM(K23:K25)</f>
        <v>0</v>
      </c>
      <c r="L22" s="107">
        <f t="shared" si="38"/>
        <v>0</v>
      </c>
      <c r="M22" s="107">
        <f t="shared" si="38"/>
        <v>262933</v>
      </c>
      <c r="N22" s="107">
        <f t="shared" si="38"/>
        <v>162453</v>
      </c>
      <c r="O22" s="107">
        <f t="shared" si="38"/>
        <v>0</v>
      </c>
      <c r="P22" s="107">
        <f t="shared" ref="P22" si="41">SUM(P23:P25)</f>
        <v>0</v>
      </c>
      <c r="Q22" s="107">
        <f t="shared" si="38"/>
        <v>0</v>
      </c>
      <c r="R22" s="107">
        <f t="shared" si="38"/>
        <v>162453</v>
      </c>
      <c r="S22" s="1322"/>
      <c r="T22" s="1322"/>
      <c r="U22" s="1322"/>
      <c r="V22" s="1322"/>
      <c r="W22" s="1322"/>
    </row>
    <row r="23" spans="1:23" s="2" customFormat="1" ht="24">
      <c r="A23" s="136">
        <v>19550</v>
      </c>
      <c r="B23" s="108" t="s">
        <v>175</v>
      </c>
      <c r="C23" s="107">
        <f>C107+C191</f>
        <v>113917</v>
      </c>
      <c r="D23" s="107">
        <f t="shared" ref="D23:R23" si="42">D107+D191</f>
        <v>342453</v>
      </c>
      <c r="E23" s="107">
        <f t="shared" si="42"/>
        <v>0</v>
      </c>
      <c r="F23" s="107">
        <f t="shared" ref="F23" si="43">F107+F191</f>
        <v>0</v>
      </c>
      <c r="G23" s="107">
        <f t="shared" si="42"/>
        <v>0</v>
      </c>
      <c r="H23" s="107">
        <f t="shared" si="42"/>
        <v>342453</v>
      </c>
      <c r="I23" s="107">
        <f t="shared" si="42"/>
        <v>262933</v>
      </c>
      <c r="J23" s="107">
        <f t="shared" si="42"/>
        <v>0</v>
      </c>
      <c r="K23" s="107">
        <f t="shared" ref="K23" si="44">K107+K191</f>
        <v>0</v>
      </c>
      <c r="L23" s="107">
        <f t="shared" si="42"/>
        <v>0</v>
      </c>
      <c r="M23" s="107">
        <f t="shared" si="42"/>
        <v>262933</v>
      </c>
      <c r="N23" s="107">
        <f t="shared" si="42"/>
        <v>162453</v>
      </c>
      <c r="O23" s="107">
        <f t="shared" si="42"/>
        <v>0</v>
      </c>
      <c r="P23" s="107">
        <f t="shared" ref="P23" si="45">P107+P191</f>
        <v>0</v>
      </c>
      <c r="Q23" s="107">
        <f t="shared" si="42"/>
        <v>0</v>
      </c>
      <c r="R23" s="107">
        <f t="shared" si="42"/>
        <v>162453</v>
      </c>
      <c r="S23" s="1322"/>
      <c r="T23" s="1322"/>
      <c r="U23" s="1322"/>
      <c r="V23" s="1322"/>
      <c r="W23" s="1322"/>
    </row>
    <row r="24" spans="1:23" s="2" customFormat="1" ht="36" hidden="1">
      <c r="A24" s="136">
        <v>19560</v>
      </c>
      <c r="B24" s="108" t="s">
        <v>181</v>
      </c>
      <c r="C24" s="107">
        <f>C108+C192</f>
        <v>0</v>
      </c>
      <c r="D24" s="107">
        <f t="shared" ref="D24:R24" si="46">D108+D192</f>
        <v>0</v>
      </c>
      <c r="E24" s="107">
        <f t="shared" si="46"/>
        <v>0</v>
      </c>
      <c r="F24" s="107">
        <f t="shared" ref="F24" si="47">F108+F192</f>
        <v>0</v>
      </c>
      <c r="G24" s="107">
        <f t="shared" si="46"/>
        <v>0</v>
      </c>
      <c r="H24" s="107">
        <f t="shared" si="46"/>
        <v>0</v>
      </c>
      <c r="I24" s="107">
        <f t="shared" si="46"/>
        <v>0</v>
      </c>
      <c r="J24" s="107">
        <f t="shared" si="46"/>
        <v>0</v>
      </c>
      <c r="K24" s="107">
        <f t="shared" ref="K24" si="48">K108+K192</f>
        <v>0</v>
      </c>
      <c r="L24" s="107">
        <f t="shared" si="46"/>
        <v>0</v>
      </c>
      <c r="M24" s="107">
        <f t="shared" si="46"/>
        <v>0</v>
      </c>
      <c r="N24" s="107">
        <f t="shared" si="46"/>
        <v>0</v>
      </c>
      <c r="O24" s="107">
        <f t="shared" si="46"/>
        <v>0</v>
      </c>
      <c r="P24" s="107">
        <f t="shared" ref="P24" si="49">P108+P192</f>
        <v>0</v>
      </c>
      <c r="Q24" s="107">
        <f t="shared" si="46"/>
        <v>0</v>
      </c>
      <c r="R24" s="107">
        <f t="shared" si="46"/>
        <v>0</v>
      </c>
      <c r="S24" s="1322"/>
      <c r="T24" s="1322"/>
      <c r="U24" s="1322"/>
      <c r="V24" s="1322"/>
      <c r="W24" s="1322"/>
    </row>
    <row r="25" spans="1:23" s="2" customFormat="1" ht="72" hidden="1">
      <c r="A25" s="136">
        <v>19570</v>
      </c>
      <c r="B25" s="108" t="s">
        <v>182</v>
      </c>
      <c r="C25" s="107">
        <f>C109+C193</f>
        <v>0</v>
      </c>
      <c r="D25" s="107">
        <f t="shared" ref="D25:R25" si="50">D109+D193</f>
        <v>0</v>
      </c>
      <c r="E25" s="107">
        <f t="shared" si="50"/>
        <v>0</v>
      </c>
      <c r="F25" s="107">
        <f t="shared" ref="F25" si="51">F109+F193</f>
        <v>0</v>
      </c>
      <c r="G25" s="107">
        <f t="shared" si="50"/>
        <v>0</v>
      </c>
      <c r="H25" s="107">
        <f t="shared" si="50"/>
        <v>0</v>
      </c>
      <c r="I25" s="107">
        <f t="shared" si="50"/>
        <v>0</v>
      </c>
      <c r="J25" s="107">
        <f t="shared" si="50"/>
        <v>0</v>
      </c>
      <c r="K25" s="107">
        <f t="shared" ref="K25" si="52">K109+K193</f>
        <v>0</v>
      </c>
      <c r="L25" s="107">
        <f t="shared" si="50"/>
        <v>0</v>
      </c>
      <c r="M25" s="107">
        <f t="shared" si="50"/>
        <v>0</v>
      </c>
      <c r="N25" s="107">
        <f t="shared" si="50"/>
        <v>0</v>
      </c>
      <c r="O25" s="107">
        <f t="shared" si="50"/>
        <v>0</v>
      </c>
      <c r="P25" s="107">
        <f t="shared" ref="P25" si="53">P109+P193</f>
        <v>0</v>
      </c>
      <c r="Q25" s="107">
        <f t="shared" si="50"/>
        <v>0</v>
      </c>
      <c r="R25" s="107">
        <f t="shared" si="50"/>
        <v>0</v>
      </c>
      <c r="S25" s="1322"/>
      <c r="T25" s="1322"/>
      <c r="U25" s="1322"/>
      <c r="V25" s="1322"/>
      <c r="W25" s="1322"/>
    </row>
    <row r="26" spans="1:23" s="2" customFormat="1" ht="24">
      <c r="A26" s="209" t="s">
        <v>222</v>
      </c>
      <c r="B26" s="208" t="s">
        <v>216</v>
      </c>
      <c r="C26" s="106">
        <f t="shared" ref="C26:R26" si="54">C27</f>
        <v>0</v>
      </c>
      <c r="D26" s="106">
        <f t="shared" si="54"/>
        <v>1926213</v>
      </c>
      <c r="E26" s="106">
        <f t="shared" si="54"/>
        <v>849608</v>
      </c>
      <c r="F26" s="106">
        <f t="shared" si="54"/>
        <v>0</v>
      </c>
      <c r="G26" s="106">
        <f t="shared" si="54"/>
        <v>0</v>
      </c>
      <c r="H26" s="106">
        <f t="shared" si="54"/>
        <v>2775821</v>
      </c>
      <c r="I26" s="106">
        <f t="shared" si="54"/>
        <v>758595</v>
      </c>
      <c r="J26" s="106">
        <f t="shared" si="54"/>
        <v>700472</v>
      </c>
      <c r="K26" s="106">
        <f t="shared" si="54"/>
        <v>0</v>
      </c>
      <c r="L26" s="106">
        <f t="shared" si="54"/>
        <v>0</v>
      </c>
      <c r="M26" s="106">
        <f t="shared" si="54"/>
        <v>1459067</v>
      </c>
      <c r="N26" s="106">
        <f t="shared" si="54"/>
        <v>0</v>
      </c>
      <c r="O26" s="106">
        <f t="shared" si="54"/>
        <v>255589</v>
      </c>
      <c r="P26" s="106">
        <f t="shared" si="54"/>
        <v>0</v>
      </c>
      <c r="Q26" s="106">
        <f t="shared" si="54"/>
        <v>0</v>
      </c>
      <c r="R26" s="106">
        <f t="shared" si="54"/>
        <v>255589</v>
      </c>
      <c r="S26" s="1322"/>
      <c r="T26" s="1322"/>
      <c r="U26" s="1322"/>
      <c r="V26" s="1322"/>
      <c r="W26" s="1322"/>
    </row>
    <row r="27" spans="1:23" s="2" customFormat="1" ht="36">
      <c r="A27" s="209">
        <v>17100</v>
      </c>
      <c r="B27" s="208" t="s">
        <v>217</v>
      </c>
      <c r="C27" s="106">
        <f t="shared" ref="C27" si="55">SUM(C28:C31)</f>
        <v>0</v>
      </c>
      <c r="D27" s="106">
        <f t="shared" ref="D27:R27" si="56">SUM(D28:D31)</f>
        <v>1926213</v>
      </c>
      <c r="E27" s="106">
        <f t="shared" si="56"/>
        <v>849608</v>
      </c>
      <c r="F27" s="106">
        <f t="shared" ref="F27" si="57">SUM(F28:F31)</f>
        <v>0</v>
      </c>
      <c r="G27" s="106">
        <f t="shared" si="56"/>
        <v>0</v>
      </c>
      <c r="H27" s="106">
        <f t="shared" si="56"/>
        <v>2775821</v>
      </c>
      <c r="I27" s="106">
        <f t="shared" si="56"/>
        <v>758595</v>
      </c>
      <c r="J27" s="106">
        <f t="shared" si="56"/>
        <v>700472</v>
      </c>
      <c r="K27" s="106">
        <f t="shared" ref="K27" si="58">SUM(K28:K31)</f>
        <v>0</v>
      </c>
      <c r="L27" s="106">
        <f t="shared" si="56"/>
        <v>0</v>
      </c>
      <c r="M27" s="106">
        <f t="shared" si="56"/>
        <v>1459067</v>
      </c>
      <c r="N27" s="106">
        <f t="shared" si="56"/>
        <v>0</v>
      </c>
      <c r="O27" s="106">
        <f t="shared" si="56"/>
        <v>255589</v>
      </c>
      <c r="P27" s="106">
        <f t="shared" ref="P27" si="59">SUM(P28:P31)</f>
        <v>0</v>
      </c>
      <c r="Q27" s="106">
        <f t="shared" si="56"/>
        <v>0</v>
      </c>
      <c r="R27" s="106">
        <f t="shared" si="56"/>
        <v>255589</v>
      </c>
      <c r="S27" s="1322"/>
      <c r="T27" s="1322"/>
      <c r="U27" s="1322"/>
      <c r="V27" s="1322"/>
      <c r="W27" s="1322"/>
    </row>
    <row r="28" spans="1:23" s="2" customFormat="1" ht="60">
      <c r="A28" s="149">
        <v>17110</v>
      </c>
      <c r="B28" s="208" t="s">
        <v>218</v>
      </c>
      <c r="C28" s="107">
        <f>C112+C196</f>
        <v>0</v>
      </c>
      <c r="D28" s="107">
        <f t="shared" ref="D28:R28" si="60">D112+D196</f>
        <v>1926213</v>
      </c>
      <c r="E28" s="107">
        <f t="shared" si="60"/>
        <v>849608</v>
      </c>
      <c r="F28" s="107">
        <f t="shared" ref="F28" si="61">F112+F196</f>
        <v>0</v>
      </c>
      <c r="G28" s="107">
        <f t="shared" si="60"/>
        <v>0</v>
      </c>
      <c r="H28" s="107">
        <f t="shared" si="60"/>
        <v>2775821</v>
      </c>
      <c r="I28" s="107">
        <f t="shared" si="60"/>
        <v>758595</v>
      </c>
      <c r="J28" s="107">
        <f t="shared" si="60"/>
        <v>700472</v>
      </c>
      <c r="K28" s="107">
        <f t="shared" ref="K28" si="62">K112+K196</f>
        <v>0</v>
      </c>
      <c r="L28" s="107">
        <f t="shared" si="60"/>
        <v>0</v>
      </c>
      <c r="M28" s="107">
        <f t="shared" si="60"/>
        <v>1459067</v>
      </c>
      <c r="N28" s="107">
        <f t="shared" si="60"/>
        <v>0</v>
      </c>
      <c r="O28" s="107">
        <f t="shared" si="60"/>
        <v>255589</v>
      </c>
      <c r="P28" s="107">
        <f t="shared" ref="P28" si="63">P112+P196</f>
        <v>0</v>
      </c>
      <c r="Q28" s="107">
        <f t="shared" si="60"/>
        <v>0</v>
      </c>
      <c r="R28" s="107">
        <f t="shared" si="60"/>
        <v>255589</v>
      </c>
      <c r="S28" s="1322"/>
      <c r="T28" s="1322"/>
      <c r="U28" s="1322"/>
      <c r="V28" s="1322"/>
      <c r="W28" s="1322"/>
    </row>
    <row r="29" spans="1:23" s="2" customFormat="1" ht="60" hidden="1">
      <c r="A29" s="149">
        <v>17120</v>
      </c>
      <c r="B29" s="208" t="s">
        <v>219</v>
      </c>
      <c r="C29" s="107">
        <f>C113+C197</f>
        <v>0</v>
      </c>
      <c r="D29" s="107">
        <f t="shared" ref="D29:R29" si="64">D113+D197</f>
        <v>0</v>
      </c>
      <c r="E29" s="107">
        <f t="shared" si="64"/>
        <v>0</v>
      </c>
      <c r="F29" s="107">
        <f t="shared" ref="F29" si="65">F113+F197</f>
        <v>0</v>
      </c>
      <c r="G29" s="107">
        <f t="shared" si="64"/>
        <v>0</v>
      </c>
      <c r="H29" s="107">
        <f t="shared" si="64"/>
        <v>0</v>
      </c>
      <c r="I29" s="107">
        <f t="shared" si="64"/>
        <v>0</v>
      </c>
      <c r="J29" s="107">
        <f t="shared" si="64"/>
        <v>0</v>
      </c>
      <c r="K29" s="107">
        <f t="shared" ref="K29" si="66">K113+K197</f>
        <v>0</v>
      </c>
      <c r="L29" s="107">
        <f t="shared" si="64"/>
        <v>0</v>
      </c>
      <c r="M29" s="107">
        <f t="shared" si="64"/>
        <v>0</v>
      </c>
      <c r="N29" s="107">
        <f t="shared" si="64"/>
        <v>0</v>
      </c>
      <c r="O29" s="107">
        <f t="shared" si="64"/>
        <v>0</v>
      </c>
      <c r="P29" s="107">
        <f t="shared" ref="P29" si="67">P113+P197</f>
        <v>0</v>
      </c>
      <c r="Q29" s="107">
        <f t="shared" si="64"/>
        <v>0</v>
      </c>
      <c r="R29" s="107">
        <f t="shared" si="64"/>
        <v>0</v>
      </c>
      <c r="S29" s="1322"/>
      <c r="T29" s="1322"/>
      <c r="U29" s="1322"/>
      <c r="V29" s="1322"/>
      <c r="W29" s="1322"/>
    </row>
    <row r="30" spans="1:23" s="2" customFormat="1" ht="108" hidden="1">
      <c r="A30" s="149">
        <v>17130</v>
      </c>
      <c r="B30" s="208" t="s">
        <v>220</v>
      </c>
      <c r="C30" s="107">
        <f>C114+C198</f>
        <v>0</v>
      </c>
      <c r="D30" s="107">
        <f t="shared" ref="D30:R30" si="68">D114+D198</f>
        <v>0</v>
      </c>
      <c r="E30" s="107">
        <f t="shared" si="68"/>
        <v>0</v>
      </c>
      <c r="F30" s="107">
        <f t="shared" ref="F30" si="69">F114+F198</f>
        <v>0</v>
      </c>
      <c r="G30" s="107">
        <f t="shared" si="68"/>
        <v>0</v>
      </c>
      <c r="H30" s="107">
        <f t="shared" si="68"/>
        <v>0</v>
      </c>
      <c r="I30" s="107">
        <f t="shared" si="68"/>
        <v>0</v>
      </c>
      <c r="J30" s="107">
        <f t="shared" si="68"/>
        <v>0</v>
      </c>
      <c r="K30" s="107">
        <f t="shared" ref="K30" si="70">K114+K198</f>
        <v>0</v>
      </c>
      <c r="L30" s="107">
        <f t="shared" si="68"/>
        <v>0</v>
      </c>
      <c r="M30" s="107">
        <f t="shared" si="68"/>
        <v>0</v>
      </c>
      <c r="N30" s="107">
        <f t="shared" si="68"/>
        <v>0</v>
      </c>
      <c r="O30" s="107">
        <f t="shared" si="68"/>
        <v>0</v>
      </c>
      <c r="P30" s="107">
        <f t="shared" ref="P30" si="71">P114+P198</f>
        <v>0</v>
      </c>
      <c r="Q30" s="107">
        <f t="shared" si="68"/>
        <v>0</v>
      </c>
      <c r="R30" s="107">
        <f t="shared" si="68"/>
        <v>0</v>
      </c>
      <c r="S30" s="1322"/>
      <c r="T30" s="1322"/>
      <c r="U30" s="1322"/>
      <c r="V30" s="1322"/>
      <c r="W30" s="1322"/>
    </row>
    <row r="31" spans="1:23" s="2" customFormat="1" ht="96" hidden="1">
      <c r="A31" s="149">
        <v>17140</v>
      </c>
      <c r="B31" s="208" t="s">
        <v>221</v>
      </c>
      <c r="C31" s="107">
        <f>C115+C199</f>
        <v>0</v>
      </c>
      <c r="D31" s="107">
        <f t="shared" ref="D31:R31" si="72">D115+D199</f>
        <v>0</v>
      </c>
      <c r="E31" s="107">
        <f t="shared" si="72"/>
        <v>0</v>
      </c>
      <c r="F31" s="107">
        <f t="shared" ref="F31" si="73">F115+F199</f>
        <v>0</v>
      </c>
      <c r="G31" s="107">
        <f t="shared" si="72"/>
        <v>0</v>
      </c>
      <c r="H31" s="107">
        <f t="shared" si="72"/>
        <v>0</v>
      </c>
      <c r="I31" s="107">
        <f t="shared" si="72"/>
        <v>0</v>
      </c>
      <c r="J31" s="107">
        <f t="shared" si="72"/>
        <v>0</v>
      </c>
      <c r="K31" s="107">
        <f t="shared" ref="K31" si="74">K115+K199</f>
        <v>0</v>
      </c>
      <c r="L31" s="107">
        <f t="shared" si="72"/>
        <v>0</v>
      </c>
      <c r="M31" s="107">
        <f t="shared" si="72"/>
        <v>0</v>
      </c>
      <c r="N31" s="107">
        <f t="shared" si="72"/>
        <v>0</v>
      </c>
      <c r="O31" s="107">
        <f t="shared" si="72"/>
        <v>0</v>
      </c>
      <c r="P31" s="107">
        <f t="shared" ref="P31" si="75">P115+P199</f>
        <v>0</v>
      </c>
      <c r="Q31" s="107">
        <f t="shared" si="72"/>
        <v>0</v>
      </c>
      <c r="R31" s="107">
        <f t="shared" si="72"/>
        <v>0</v>
      </c>
      <c r="S31" s="1322"/>
      <c r="T31" s="1322"/>
      <c r="U31" s="1322"/>
      <c r="V31" s="1322"/>
      <c r="W31" s="1322"/>
    </row>
    <row r="32" spans="1:23" s="2" customFormat="1" ht="12">
      <c r="A32" s="137">
        <v>21700</v>
      </c>
      <c r="B32" s="100" t="s">
        <v>97</v>
      </c>
      <c r="C32" s="107">
        <f>C33+C34</f>
        <v>3125191403</v>
      </c>
      <c r="D32" s="107">
        <f t="shared" ref="D32:R32" si="76">D33+D34</f>
        <v>3061701087</v>
      </c>
      <c r="E32" s="107">
        <f t="shared" si="76"/>
        <v>736624</v>
      </c>
      <c r="F32" s="107">
        <f t="shared" ref="F32" si="77">F33+F34</f>
        <v>65105473</v>
      </c>
      <c r="G32" s="107">
        <f t="shared" si="76"/>
        <v>120864100</v>
      </c>
      <c r="H32" s="107">
        <f t="shared" si="76"/>
        <v>3248407284</v>
      </c>
      <c r="I32" s="107">
        <f t="shared" si="76"/>
        <v>3287172742</v>
      </c>
      <c r="J32" s="107">
        <f t="shared" si="76"/>
        <v>-2347130</v>
      </c>
      <c r="K32" s="107">
        <f t="shared" ref="K32" si="78">K33+K34</f>
        <v>88800345</v>
      </c>
      <c r="L32" s="107">
        <f t="shared" si="76"/>
        <v>147878082</v>
      </c>
      <c r="M32" s="107">
        <f t="shared" si="76"/>
        <v>3521504039</v>
      </c>
      <c r="N32" s="107">
        <f t="shared" si="76"/>
        <v>3105001051</v>
      </c>
      <c r="O32" s="107">
        <f t="shared" si="76"/>
        <v>-2504629</v>
      </c>
      <c r="P32" s="107">
        <f t="shared" ref="P32" si="79">P33+P34</f>
        <v>120560658</v>
      </c>
      <c r="Q32" s="107">
        <f t="shared" si="76"/>
        <v>118158082</v>
      </c>
      <c r="R32" s="107">
        <f t="shared" si="76"/>
        <v>3341215162</v>
      </c>
      <c r="S32" s="1322"/>
      <c r="T32" s="1322"/>
      <c r="U32" s="1322"/>
      <c r="V32" s="1322"/>
      <c r="W32" s="1322"/>
    </row>
    <row r="33" spans="1:23" s="2" customFormat="1" ht="24">
      <c r="A33" s="138">
        <v>21710</v>
      </c>
      <c r="B33" s="101" t="s">
        <v>98</v>
      </c>
      <c r="C33" s="107">
        <f>C117+C201</f>
        <v>3125191403</v>
      </c>
      <c r="D33" s="107">
        <f t="shared" ref="D33:R33" si="80">D117+D201</f>
        <v>3061701087</v>
      </c>
      <c r="E33" s="107">
        <f t="shared" si="80"/>
        <v>736624</v>
      </c>
      <c r="F33" s="107">
        <f t="shared" ref="F33" si="81">F117+F201</f>
        <v>65105473</v>
      </c>
      <c r="G33" s="107">
        <f t="shared" si="80"/>
        <v>120864100</v>
      </c>
      <c r="H33" s="107">
        <f t="shared" si="80"/>
        <v>3248407284</v>
      </c>
      <c r="I33" s="107">
        <f t="shared" si="80"/>
        <v>3287172742</v>
      </c>
      <c r="J33" s="107">
        <f t="shared" si="80"/>
        <v>-2347130</v>
      </c>
      <c r="K33" s="107">
        <f t="shared" ref="K33" si="82">K117+K201</f>
        <v>88800345</v>
      </c>
      <c r="L33" s="107">
        <f t="shared" si="80"/>
        <v>147878082</v>
      </c>
      <c r="M33" s="107">
        <f t="shared" si="80"/>
        <v>3521504039</v>
      </c>
      <c r="N33" s="107">
        <f t="shared" si="80"/>
        <v>3105001051</v>
      </c>
      <c r="O33" s="107">
        <f t="shared" si="80"/>
        <v>-2504629</v>
      </c>
      <c r="P33" s="107">
        <f t="shared" ref="P33" si="83">P117+P201</f>
        <v>120560658</v>
      </c>
      <c r="Q33" s="107">
        <f t="shared" si="80"/>
        <v>118158082</v>
      </c>
      <c r="R33" s="107">
        <f t="shared" si="80"/>
        <v>3341215162</v>
      </c>
      <c r="S33" s="1322"/>
      <c r="T33" s="1322"/>
      <c r="U33" s="1322"/>
      <c r="V33" s="1322"/>
      <c r="W33" s="1322"/>
    </row>
    <row r="34" spans="1:23" s="2" customFormat="1" ht="24" hidden="1">
      <c r="A34" s="138">
        <v>21720</v>
      </c>
      <c r="B34" s="101" t="s">
        <v>99</v>
      </c>
      <c r="C34" s="300">
        <f>C118+C202</f>
        <v>0</v>
      </c>
      <c r="D34" s="300">
        <f t="shared" ref="D34:R34" si="84">D118+D202</f>
        <v>0</v>
      </c>
      <c r="E34" s="300">
        <f t="shared" si="84"/>
        <v>0</v>
      </c>
      <c r="F34" s="300">
        <f t="shared" ref="F34" si="85">F118+F202</f>
        <v>0</v>
      </c>
      <c r="G34" s="300">
        <f t="shared" si="84"/>
        <v>0</v>
      </c>
      <c r="H34" s="300">
        <f t="shared" si="84"/>
        <v>0</v>
      </c>
      <c r="I34" s="300">
        <f t="shared" si="84"/>
        <v>0</v>
      </c>
      <c r="J34" s="300">
        <f t="shared" si="84"/>
        <v>0</v>
      </c>
      <c r="K34" s="300">
        <f t="shared" ref="K34" si="86">K118+K202</f>
        <v>0</v>
      </c>
      <c r="L34" s="300">
        <f t="shared" si="84"/>
        <v>0</v>
      </c>
      <c r="M34" s="300">
        <f t="shared" si="84"/>
        <v>0</v>
      </c>
      <c r="N34" s="300">
        <f t="shared" si="84"/>
        <v>0</v>
      </c>
      <c r="O34" s="300">
        <f t="shared" si="84"/>
        <v>0</v>
      </c>
      <c r="P34" s="300">
        <f t="shared" ref="P34" si="87">P118+P202</f>
        <v>0</v>
      </c>
      <c r="Q34" s="300">
        <f t="shared" si="84"/>
        <v>0</v>
      </c>
      <c r="R34" s="300">
        <f t="shared" si="84"/>
        <v>0</v>
      </c>
      <c r="S34" s="1322"/>
      <c r="T34" s="1322"/>
      <c r="U34" s="1322"/>
      <c r="V34" s="1322"/>
      <c r="W34" s="1322"/>
    </row>
    <row r="35" spans="1:23" s="2" customFormat="1" ht="11.4">
      <c r="A35" s="129" t="s">
        <v>100</v>
      </c>
      <c r="B35" s="99" t="s">
        <v>101</v>
      </c>
      <c r="C35" s="111">
        <f t="shared" ref="C35" si="88">C36+C63</f>
        <v>3257060183</v>
      </c>
      <c r="D35" s="111">
        <f t="shared" ref="D35:R35" si="89">D36+D63</f>
        <v>3173051457</v>
      </c>
      <c r="E35" s="111">
        <f t="shared" si="89"/>
        <v>1962416</v>
      </c>
      <c r="F35" s="111">
        <f t="shared" ref="F35" si="90">F36+F63</f>
        <v>65277225</v>
      </c>
      <c r="G35" s="111">
        <f t="shared" si="89"/>
        <v>114458082</v>
      </c>
      <c r="H35" s="111">
        <f t="shared" si="89"/>
        <v>3354749180</v>
      </c>
      <c r="I35" s="111">
        <f t="shared" si="89"/>
        <v>3361383305</v>
      </c>
      <c r="J35" s="111">
        <f t="shared" si="89"/>
        <v>-1674608</v>
      </c>
      <c r="K35" s="111">
        <f t="shared" ref="K35" si="91">K36+K63</f>
        <v>89784946</v>
      </c>
      <c r="L35" s="111">
        <f t="shared" si="89"/>
        <v>147885768</v>
      </c>
      <c r="M35" s="111">
        <f t="shared" si="89"/>
        <v>3597379411</v>
      </c>
      <c r="N35" s="111">
        <f t="shared" si="89"/>
        <v>3170365654</v>
      </c>
      <c r="O35" s="111">
        <f>O36+O63</f>
        <v>-2313099</v>
      </c>
      <c r="P35" s="111">
        <f>P36+P63</f>
        <v>121545259</v>
      </c>
      <c r="Q35" s="111">
        <f>Q36+Q63</f>
        <v>118158082</v>
      </c>
      <c r="R35" s="111">
        <f t="shared" si="89"/>
        <v>3407755896</v>
      </c>
      <c r="S35" s="1322"/>
      <c r="T35" s="1322"/>
      <c r="U35" s="1322"/>
      <c r="V35" s="1322"/>
      <c r="W35" s="1322"/>
    </row>
    <row r="36" spans="1:23" s="2" customFormat="1" ht="20.399999999999999">
      <c r="A36" s="130" t="s">
        <v>102</v>
      </c>
      <c r="B36" s="100" t="s">
        <v>103</v>
      </c>
      <c r="C36" s="107">
        <f>C37+C41+C42+C45+C48</f>
        <v>2904090139</v>
      </c>
      <c r="D36" s="107">
        <f t="shared" ref="D36:R36" si="92">D37+D41+D42+D45+D48</f>
        <v>2941273998</v>
      </c>
      <c r="E36" s="107">
        <f t="shared" si="92"/>
        <v>-1649035</v>
      </c>
      <c r="F36" s="107">
        <f t="shared" ref="F36" si="93">F37+F41+F42+F45+F48</f>
        <v>64799491</v>
      </c>
      <c r="G36" s="107">
        <f t="shared" si="92"/>
        <v>97889218</v>
      </c>
      <c r="H36" s="107">
        <f t="shared" si="92"/>
        <v>3102313672</v>
      </c>
      <c r="I36" s="107">
        <f t="shared" si="92"/>
        <v>3293307550</v>
      </c>
      <c r="J36" s="107">
        <f t="shared" si="92"/>
        <v>-2977774</v>
      </c>
      <c r="K36" s="107">
        <f t="shared" ref="K36" si="94">K37+K41+K42+K45+K48</f>
        <v>89611495</v>
      </c>
      <c r="L36" s="107">
        <f t="shared" si="92"/>
        <v>119450580</v>
      </c>
      <c r="M36" s="107">
        <f t="shared" si="92"/>
        <v>3499391851</v>
      </c>
      <c r="N36" s="107">
        <f t="shared" si="92"/>
        <v>3130080810</v>
      </c>
      <c r="O36" s="107">
        <f t="shared" si="92"/>
        <v>-2484793</v>
      </c>
      <c r="P36" s="107">
        <f t="shared" ref="P36" si="95">P37+P41+P42+P45+P48</f>
        <v>120971487</v>
      </c>
      <c r="Q36" s="107">
        <f t="shared" si="92"/>
        <v>92733719</v>
      </c>
      <c r="R36" s="107">
        <f t="shared" si="92"/>
        <v>3341301223</v>
      </c>
      <c r="S36" s="1322"/>
      <c r="T36" s="1322"/>
      <c r="U36" s="1322"/>
      <c r="V36" s="1322"/>
      <c r="W36" s="1322"/>
    </row>
    <row r="37" spans="1:23" s="2" customFormat="1" ht="12">
      <c r="A37" s="130" t="s">
        <v>104</v>
      </c>
      <c r="B37" s="100" t="s">
        <v>105</v>
      </c>
      <c r="C37" s="107">
        <f>C38+C40</f>
        <v>832268347</v>
      </c>
      <c r="D37" s="107">
        <f t="shared" ref="D37:R37" si="96">D38+D40</f>
        <v>806692769</v>
      </c>
      <c r="E37" s="107">
        <f t="shared" si="96"/>
        <v>684844</v>
      </c>
      <c r="F37" s="107">
        <f t="shared" ref="F37" si="97">F38+F40</f>
        <v>44746123</v>
      </c>
      <c r="G37" s="107">
        <f t="shared" si="96"/>
        <v>24249425</v>
      </c>
      <c r="H37" s="107">
        <f t="shared" si="96"/>
        <v>876373161</v>
      </c>
      <c r="I37" s="107">
        <f t="shared" si="96"/>
        <v>781126918</v>
      </c>
      <c r="J37" s="107">
        <f t="shared" si="96"/>
        <v>827173</v>
      </c>
      <c r="K37" s="107">
        <f t="shared" ref="K37" si="98">K38+K40</f>
        <v>39892181</v>
      </c>
      <c r="L37" s="107">
        <f t="shared" si="96"/>
        <v>34764046</v>
      </c>
      <c r="M37" s="107">
        <f t="shared" si="96"/>
        <v>856610318</v>
      </c>
      <c r="N37" s="107">
        <f t="shared" si="96"/>
        <v>737126477</v>
      </c>
      <c r="O37" s="107">
        <f t="shared" si="96"/>
        <v>-23182</v>
      </c>
      <c r="P37" s="107">
        <f t="shared" ref="P37" si="99">P38+P40</f>
        <v>50580549</v>
      </c>
      <c r="Q37" s="107">
        <f t="shared" si="96"/>
        <v>28613112</v>
      </c>
      <c r="R37" s="107">
        <f t="shared" si="96"/>
        <v>816296956</v>
      </c>
      <c r="S37" s="1322"/>
      <c r="T37" s="1322"/>
      <c r="U37" s="1322"/>
      <c r="V37" s="1322"/>
      <c r="W37" s="1322"/>
    </row>
    <row r="38" spans="1:23" s="2" customFormat="1" ht="12">
      <c r="A38" s="132">
        <v>1000</v>
      </c>
      <c r="B38" s="101" t="s">
        <v>106</v>
      </c>
      <c r="C38" s="107">
        <f>C122+C206</f>
        <v>479253539</v>
      </c>
      <c r="D38" s="107">
        <f t="shared" ref="D38:R38" si="100">D122+D206</f>
        <v>470883946.59574383</v>
      </c>
      <c r="E38" s="107">
        <f t="shared" si="100"/>
        <v>105866</v>
      </c>
      <c r="F38" s="107">
        <f t="shared" ref="F38" si="101">F122+F206</f>
        <v>27084542</v>
      </c>
      <c r="G38" s="107">
        <f t="shared" si="100"/>
        <v>10511353</v>
      </c>
      <c r="H38" s="107">
        <f t="shared" si="100"/>
        <v>508585707.59574383</v>
      </c>
      <c r="I38" s="107">
        <f t="shared" si="100"/>
        <v>463795368.59574383</v>
      </c>
      <c r="J38" s="107">
        <f t="shared" si="100"/>
        <v>966625</v>
      </c>
      <c r="K38" s="107">
        <f t="shared" ref="K38" si="102">K122+K206</f>
        <v>27795479</v>
      </c>
      <c r="L38" s="107">
        <f t="shared" si="100"/>
        <v>13562373</v>
      </c>
      <c r="M38" s="107">
        <f t="shared" si="100"/>
        <v>506119845.59574383</v>
      </c>
      <c r="N38" s="107">
        <f t="shared" si="100"/>
        <v>453817735.59574383</v>
      </c>
      <c r="O38" s="107">
        <f t="shared" si="100"/>
        <v>524326</v>
      </c>
      <c r="P38" s="107">
        <f t="shared" ref="P38" si="103">P122+P206</f>
        <v>27167846</v>
      </c>
      <c r="Q38" s="107">
        <f t="shared" si="100"/>
        <v>13166538</v>
      </c>
      <c r="R38" s="107">
        <f t="shared" si="100"/>
        <v>494676445.59574383</v>
      </c>
      <c r="S38" s="1322"/>
      <c r="T38" s="1322"/>
      <c r="U38" s="1322"/>
      <c r="V38" s="1322"/>
      <c r="W38" s="1322"/>
    </row>
    <row r="39" spans="1:23" s="2" customFormat="1" ht="12">
      <c r="A39" s="139">
        <v>1100</v>
      </c>
      <c r="B39" s="101" t="s">
        <v>107</v>
      </c>
      <c r="C39" s="107">
        <f>C123+C207</f>
        <v>359813706</v>
      </c>
      <c r="D39" s="107">
        <f t="shared" ref="D39:R39" si="104">D123+D207</f>
        <v>353106574.31656182</v>
      </c>
      <c r="E39" s="107">
        <f t="shared" si="104"/>
        <v>29014</v>
      </c>
      <c r="F39" s="107">
        <f t="shared" ref="F39" si="105">F123+F207</f>
        <v>18991159</v>
      </c>
      <c r="G39" s="107">
        <f t="shared" si="104"/>
        <v>7786252</v>
      </c>
      <c r="H39" s="107">
        <f t="shared" si="104"/>
        <v>379912999.31656182</v>
      </c>
      <c r="I39" s="107">
        <f t="shared" si="104"/>
        <v>347533754.31656182</v>
      </c>
      <c r="J39" s="107">
        <f t="shared" si="104"/>
        <v>721495</v>
      </c>
      <c r="K39" s="107">
        <f t="shared" ref="K39" si="106">K123+K207</f>
        <v>19224207</v>
      </c>
      <c r="L39" s="107">
        <f t="shared" si="104"/>
        <v>10212626</v>
      </c>
      <c r="M39" s="107">
        <f t="shared" si="104"/>
        <v>377692082.31656182</v>
      </c>
      <c r="N39" s="107">
        <f t="shared" si="104"/>
        <v>339712629.31656182</v>
      </c>
      <c r="O39" s="107">
        <f t="shared" si="104"/>
        <v>367627</v>
      </c>
      <c r="P39" s="107">
        <f t="shared" ref="P39" si="107">P123+P207</f>
        <v>18978692</v>
      </c>
      <c r="Q39" s="107">
        <f t="shared" si="104"/>
        <v>9847606</v>
      </c>
      <c r="R39" s="107">
        <f t="shared" si="104"/>
        <v>368906554.31656182</v>
      </c>
      <c r="S39" s="1322"/>
      <c r="T39" s="1322"/>
      <c r="U39" s="1322"/>
      <c r="V39" s="1322"/>
      <c r="W39" s="1322"/>
    </row>
    <row r="40" spans="1:23" s="2" customFormat="1" ht="12">
      <c r="A40" s="132">
        <v>2000</v>
      </c>
      <c r="B40" s="101" t="s">
        <v>108</v>
      </c>
      <c r="C40" s="107">
        <f>C124+C208</f>
        <v>353014808</v>
      </c>
      <c r="D40" s="107">
        <f t="shared" ref="D40:R40" si="108">D124+D208</f>
        <v>335808822.40425617</v>
      </c>
      <c r="E40" s="107">
        <f t="shared" si="108"/>
        <v>578978</v>
      </c>
      <c r="F40" s="107">
        <f t="shared" ref="F40" si="109">F124+F208</f>
        <v>17661581</v>
      </c>
      <c r="G40" s="107">
        <f t="shared" si="108"/>
        <v>13738072</v>
      </c>
      <c r="H40" s="107">
        <f t="shared" si="108"/>
        <v>367787453.40425617</v>
      </c>
      <c r="I40" s="107">
        <f t="shared" si="108"/>
        <v>317331549.40425617</v>
      </c>
      <c r="J40" s="107">
        <f t="shared" si="108"/>
        <v>-139452</v>
      </c>
      <c r="K40" s="107">
        <f t="shared" ref="K40" si="110">K124+K208</f>
        <v>12096702</v>
      </c>
      <c r="L40" s="107">
        <f t="shared" si="108"/>
        <v>21201673</v>
      </c>
      <c r="M40" s="107">
        <f t="shared" si="108"/>
        <v>350490472.40425617</v>
      </c>
      <c r="N40" s="107">
        <f t="shared" si="108"/>
        <v>283308741.40425617</v>
      </c>
      <c r="O40" s="107">
        <f t="shared" si="108"/>
        <v>-547508</v>
      </c>
      <c r="P40" s="107">
        <f t="shared" ref="P40" si="111">P124+P208</f>
        <v>23412703</v>
      </c>
      <c r="Q40" s="107">
        <f t="shared" si="108"/>
        <v>15446574</v>
      </c>
      <c r="R40" s="107">
        <f t="shared" si="108"/>
        <v>321620510.40425617</v>
      </c>
      <c r="S40" s="1322"/>
      <c r="T40" s="1322"/>
      <c r="U40" s="1322"/>
      <c r="V40" s="1322"/>
      <c r="W40" s="1322"/>
    </row>
    <row r="41" spans="1:23" s="2" customFormat="1" ht="12">
      <c r="A41" s="140">
        <v>4000</v>
      </c>
      <c r="B41" s="100" t="s">
        <v>132</v>
      </c>
      <c r="C41" s="107">
        <f>C125+C209</f>
        <v>233782825</v>
      </c>
      <c r="D41" s="107">
        <f t="shared" ref="D41:R41" si="112">D125+D209</f>
        <v>253957394</v>
      </c>
      <c r="E41" s="107">
        <f t="shared" si="112"/>
        <v>0</v>
      </c>
      <c r="F41" s="107">
        <f t="shared" ref="F41" si="113">F125+F209</f>
        <v>0</v>
      </c>
      <c r="G41" s="107">
        <f t="shared" si="112"/>
        <v>0</v>
      </c>
      <c r="H41" s="107">
        <f t="shared" si="112"/>
        <v>253957394</v>
      </c>
      <c r="I41" s="107">
        <f t="shared" si="112"/>
        <v>319845392</v>
      </c>
      <c r="J41" s="107">
        <f t="shared" si="112"/>
        <v>0</v>
      </c>
      <c r="K41" s="107">
        <f t="shared" ref="K41" si="114">K125+K209</f>
        <v>0</v>
      </c>
      <c r="L41" s="107">
        <f t="shared" si="112"/>
        <v>0</v>
      </c>
      <c r="M41" s="107">
        <f t="shared" si="112"/>
        <v>319845392</v>
      </c>
      <c r="N41" s="107">
        <f t="shared" si="112"/>
        <v>358258636</v>
      </c>
      <c r="O41" s="107">
        <f t="shared" si="112"/>
        <v>0</v>
      </c>
      <c r="P41" s="107">
        <f t="shared" ref="P41" si="115">P125+P209</f>
        <v>0</v>
      </c>
      <c r="Q41" s="107">
        <f t="shared" si="112"/>
        <v>0</v>
      </c>
      <c r="R41" s="107">
        <f t="shared" si="112"/>
        <v>358258636</v>
      </c>
      <c r="S41" s="1322"/>
      <c r="T41" s="1322"/>
      <c r="U41" s="1322"/>
      <c r="V41" s="1322"/>
      <c r="W41" s="1322"/>
    </row>
    <row r="42" spans="1:23" s="2" customFormat="1" ht="12">
      <c r="A42" s="140" t="s">
        <v>109</v>
      </c>
      <c r="B42" s="100" t="s">
        <v>110</v>
      </c>
      <c r="C42" s="107">
        <f>C43+C44</f>
        <v>1216480694</v>
      </c>
      <c r="D42" s="107">
        <f t="shared" ref="D42:R42" si="116">D43+D44</f>
        <v>1273281146</v>
      </c>
      <c r="E42" s="107">
        <f t="shared" si="116"/>
        <v>-3189141</v>
      </c>
      <c r="F42" s="107">
        <f t="shared" ref="F42" si="117">F43+F44</f>
        <v>4791897</v>
      </c>
      <c r="G42" s="107">
        <f t="shared" si="116"/>
        <v>56287050</v>
      </c>
      <c r="H42" s="107">
        <f t="shared" si="116"/>
        <v>1331170952</v>
      </c>
      <c r="I42" s="107">
        <f t="shared" si="116"/>
        <v>1636410817</v>
      </c>
      <c r="J42" s="107">
        <f t="shared" si="116"/>
        <v>-132381307</v>
      </c>
      <c r="K42" s="107">
        <f t="shared" ref="K42" si="118">K43+K44</f>
        <v>33496255</v>
      </c>
      <c r="L42" s="107">
        <f t="shared" si="116"/>
        <v>60584784</v>
      </c>
      <c r="M42" s="107">
        <f t="shared" si="116"/>
        <v>1598110549</v>
      </c>
      <c r="N42" s="107">
        <f t="shared" si="116"/>
        <v>1495143464</v>
      </c>
      <c r="O42" s="107">
        <f t="shared" si="116"/>
        <v>-124996478</v>
      </c>
      <c r="P42" s="107">
        <f t="shared" ref="P42" si="119">P43+P44</f>
        <v>58268720</v>
      </c>
      <c r="Q42" s="107">
        <f t="shared" si="116"/>
        <v>40040212</v>
      </c>
      <c r="R42" s="107">
        <f t="shared" si="116"/>
        <v>1468455918</v>
      </c>
      <c r="S42" s="1322"/>
      <c r="T42" s="1322"/>
      <c r="U42" s="1322"/>
      <c r="V42" s="1322"/>
      <c r="W42" s="1322"/>
    </row>
    <row r="43" spans="1:23" s="2" customFormat="1" ht="12">
      <c r="A43" s="132">
        <v>3000</v>
      </c>
      <c r="B43" s="101" t="s">
        <v>111</v>
      </c>
      <c r="C43" s="107">
        <f>C127+C211</f>
        <v>1078648511</v>
      </c>
      <c r="D43" s="107">
        <f t="shared" ref="D43:R43" si="120">D127+D211</f>
        <v>1135866513</v>
      </c>
      <c r="E43" s="107">
        <f t="shared" si="120"/>
        <v>-3917035</v>
      </c>
      <c r="F43" s="107">
        <f t="shared" ref="F43" si="121">F127+F211</f>
        <v>4105171</v>
      </c>
      <c r="G43" s="107">
        <f t="shared" si="120"/>
        <v>55113715</v>
      </c>
      <c r="H43" s="107">
        <f t="shared" si="120"/>
        <v>1191168364</v>
      </c>
      <c r="I43" s="107">
        <f t="shared" si="120"/>
        <v>1368703929</v>
      </c>
      <c r="J43" s="107">
        <f t="shared" si="120"/>
        <v>-2943579</v>
      </c>
      <c r="K43" s="107">
        <f t="shared" ref="K43" si="122">K127+K211</f>
        <v>31808715</v>
      </c>
      <c r="L43" s="107">
        <f t="shared" si="120"/>
        <v>56005433</v>
      </c>
      <c r="M43" s="107">
        <f t="shared" si="120"/>
        <v>1453574498</v>
      </c>
      <c r="N43" s="107">
        <f t="shared" si="120"/>
        <v>1227655841</v>
      </c>
      <c r="O43" s="107">
        <f t="shared" si="120"/>
        <v>-45340</v>
      </c>
      <c r="P43" s="107">
        <f t="shared" ref="P43" si="123">P127+P211</f>
        <v>38431528</v>
      </c>
      <c r="Q43" s="107">
        <f t="shared" si="120"/>
        <v>33115742</v>
      </c>
      <c r="R43" s="107">
        <f t="shared" si="120"/>
        <v>1299157771</v>
      </c>
      <c r="S43" s="1322"/>
      <c r="T43" s="1322"/>
      <c r="U43" s="1322"/>
      <c r="V43" s="1322"/>
      <c r="W43" s="1322"/>
    </row>
    <row r="44" spans="1:23" s="2" customFormat="1" ht="12">
      <c r="A44" s="132">
        <v>6000</v>
      </c>
      <c r="B44" s="101" t="s">
        <v>112</v>
      </c>
      <c r="C44" s="107">
        <f>C128+C212</f>
        <v>137832183</v>
      </c>
      <c r="D44" s="107">
        <f t="shared" ref="D44:R44" si="124">D128+D212</f>
        <v>137414633</v>
      </c>
      <c r="E44" s="107">
        <f t="shared" si="124"/>
        <v>727894</v>
      </c>
      <c r="F44" s="107">
        <f t="shared" ref="F44" si="125">F128+F212</f>
        <v>686726</v>
      </c>
      <c r="G44" s="107">
        <f t="shared" si="124"/>
        <v>1173335</v>
      </c>
      <c r="H44" s="107">
        <f t="shared" si="124"/>
        <v>140002588</v>
      </c>
      <c r="I44" s="107">
        <f t="shared" si="124"/>
        <v>267706888</v>
      </c>
      <c r="J44" s="107">
        <f t="shared" si="124"/>
        <v>-129437728</v>
      </c>
      <c r="K44" s="107">
        <f t="shared" ref="K44" si="126">K128+K212</f>
        <v>1687540</v>
      </c>
      <c r="L44" s="107">
        <f t="shared" si="124"/>
        <v>4579351</v>
      </c>
      <c r="M44" s="107">
        <f t="shared" si="124"/>
        <v>144536051</v>
      </c>
      <c r="N44" s="107">
        <f t="shared" si="124"/>
        <v>267487623</v>
      </c>
      <c r="O44" s="107">
        <f t="shared" si="124"/>
        <v>-124951138</v>
      </c>
      <c r="P44" s="107">
        <f t="shared" ref="P44" si="127">P128+P212</f>
        <v>19837192</v>
      </c>
      <c r="Q44" s="107">
        <f t="shared" si="124"/>
        <v>6924470</v>
      </c>
      <c r="R44" s="107">
        <f t="shared" si="124"/>
        <v>169298147</v>
      </c>
      <c r="S44" s="1322"/>
      <c r="T44" s="1322"/>
      <c r="U44" s="1322"/>
      <c r="V44" s="1322"/>
      <c r="W44" s="1322"/>
    </row>
    <row r="45" spans="1:23" s="2" customFormat="1" ht="22.8">
      <c r="A45" s="140" t="s">
        <v>113</v>
      </c>
      <c r="B45" s="100" t="s">
        <v>183</v>
      </c>
      <c r="C45" s="107">
        <f>C46+C47</f>
        <v>162968138</v>
      </c>
      <c r="D45" s="107">
        <f t="shared" ref="D45:R45" si="128">D46+D47</f>
        <v>176925597</v>
      </c>
      <c r="E45" s="107">
        <f t="shared" si="128"/>
        <v>360882</v>
      </c>
      <c r="F45" s="107">
        <f t="shared" ref="F45" si="129">F46+F47</f>
        <v>8701492</v>
      </c>
      <c r="G45" s="107">
        <f t="shared" si="128"/>
        <v>24163</v>
      </c>
      <c r="H45" s="107">
        <f t="shared" si="128"/>
        <v>186012134</v>
      </c>
      <c r="I45" s="107">
        <f t="shared" si="128"/>
        <v>176392909</v>
      </c>
      <c r="J45" s="107">
        <f t="shared" si="128"/>
        <v>0</v>
      </c>
      <c r="K45" s="107">
        <f t="shared" ref="K45" si="130">K46+K47</f>
        <v>9991492</v>
      </c>
      <c r="L45" s="107">
        <f t="shared" si="128"/>
        <v>24163</v>
      </c>
      <c r="M45" s="107">
        <f t="shared" si="128"/>
        <v>186408564</v>
      </c>
      <c r="N45" s="107">
        <f t="shared" si="128"/>
        <v>181468753</v>
      </c>
      <c r="O45" s="107">
        <f t="shared" si="128"/>
        <v>0</v>
      </c>
      <c r="P45" s="107">
        <f t="shared" ref="P45" si="131">P46+P47</f>
        <v>5001492</v>
      </c>
      <c r="Q45" s="107">
        <f t="shared" si="128"/>
        <v>24163</v>
      </c>
      <c r="R45" s="107">
        <f t="shared" si="128"/>
        <v>186494408</v>
      </c>
      <c r="S45" s="1322"/>
      <c r="T45" s="1322"/>
      <c r="U45" s="1322"/>
      <c r="V45" s="1322"/>
      <c r="W45" s="1322"/>
    </row>
    <row r="46" spans="1:23" s="2" customFormat="1" ht="12">
      <c r="A46" s="132">
        <v>7600</v>
      </c>
      <c r="B46" s="112" t="s">
        <v>184</v>
      </c>
      <c r="C46" s="107">
        <f>C130+C214</f>
        <v>139174143</v>
      </c>
      <c r="D46" s="107">
        <f t="shared" ref="D46:R46" si="132">D130+D214</f>
        <v>150000000</v>
      </c>
      <c r="E46" s="107">
        <f t="shared" si="132"/>
        <v>300000</v>
      </c>
      <c r="F46" s="107">
        <f t="shared" ref="F46" si="133">F130+F214</f>
        <v>8700000</v>
      </c>
      <c r="G46" s="107">
        <f t="shared" si="132"/>
        <v>0</v>
      </c>
      <c r="H46" s="107">
        <f t="shared" si="132"/>
        <v>159000000</v>
      </c>
      <c r="I46" s="107">
        <f t="shared" si="132"/>
        <v>158000000</v>
      </c>
      <c r="J46" s="107">
        <f t="shared" si="132"/>
        <v>0</v>
      </c>
      <c r="K46" s="107">
        <f t="shared" ref="K46" si="134">K130+K214</f>
        <v>9990000</v>
      </c>
      <c r="L46" s="107">
        <f t="shared" si="132"/>
        <v>0</v>
      </c>
      <c r="M46" s="107">
        <f t="shared" si="132"/>
        <v>167990000</v>
      </c>
      <c r="N46" s="107">
        <f t="shared" si="132"/>
        <v>167000000</v>
      </c>
      <c r="O46" s="107">
        <f t="shared" si="132"/>
        <v>0</v>
      </c>
      <c r="P46" s="107">
        <f t="shared" ref="P46" si="135">P130+P214</f>
        <v>5000000</v>
      </c>
      <c r="Q46" s="107">
        <f t="shared" si="132"/>
        <v>0</v>
      </c>
      <c r="R46" s="107">
        <f t="shared" si="132"/>
        <v>172000000</v>
      </c>
      <c r="S46" s="1322"/>
      <c r="T46" s="1322"/>
      <c r="U46" s="1322"/>
      <c r="V46" s="1322"/>
      <c r="W46" s="1322"/>
    </row>
    <row r="47" spans="1:23" s="2" customFormat="1" ht="12">
      <c r="A47" s="132">
        <v>7700</v>
      </c>
      <c r="B47" s="102" t="s">
        <v>114</v>
      </c>
      <c r="C47" s="107">
        <f>C131+C215</f>
        <v>23793995</v>
      </c>
      <c r="D47" s="107">
        <f t="shared" ref="D47:R47" si="136">D131+D215</f>
        <v>26925597</v>
      </c>
      <c r="E47" s="107">
        <f t="shared" si="136"/>
        <v>60882</v>
      </c>
      <c r="F47" s="107">
        <f t="shared" ref="F47" si="137">F131+F215</f>
        <v>1492</v>
      </c>
      <c r="G47" s="107">
        <f t="shared" si="136"/>
        <v>24163</v>
      </c>
      <c r="H47" s="107">
        <f t="shared" si="136"/>
        <v>27012134</v>
      </c>
      <c r="I47" s="107">
        <f t="shared" si="136"/>
        <v>18392909</v>
      </c>
      <c r="J47" s="107">
        <f t="shared" si="136"/>
        <v>0</v>
      </c>
      <c r="K47" s="107">
        <f t="shared" ref="K47" si="138">K131+K215</f>
        <v>1492</v>
      </c>
      <c r="L47" s="107">
        <f t="shared" si="136"/>
        <v>24163</v>
      </c>
      <c r="M47" s="107">
        <f t="shared" si="136"/>
        <v>18418564</v>
      </c>
      <c r="N47" s="107">
        <f t="shared" si="136"/>
        <v>14468753</v>
      </c>
      <c r="O47" s="107">
        <f t="shared" si="136"/>
        <v>0</v>
      </c>
      <c r="P47" s="107">
        <f t="shared" ref="P47" si="139">P131+P215</f>
        <v>1492</v>
      </c>
      <c r="Q47" s="107">
        <f t="shared" si="136"/>
        <v>24163</v>
      </c>
      <c r="R47" s="107">
        <f t="shared" si="136"/>
        <v>14494408</v>
      </c>
      <c r="S47" s="1322"/>
      <c r="T47" s="1322"/>
      <c r="U47" s="1322"/>
      <c r="V47" s="1322"/>
      <c r="W47" s="1322"/>
    </row>
    <row r="48" spans="1:23" s="2" customFormat="1" ht="20.399999999999999">
      <c r="A48" s="140" t="s">
        <v>185</v>
      </c>
      <c r="B48" s="100" t="s">
        <v>115</v>
      </c>
      <c r="C48" s="107">
        <f t="shared" ref="C48" si="140">C49+C55+C59+C62</f>
        <v>458590135</v>
      </c>
      <c r="D48" s="107">
        <f t="shared" ref="D48:R48" si="141">D49+D55+D59+D62</f>
        <v>430417092</v>
      </c>
      <c r="E48" s="107">
        <f t="shared" si="141"/>
        <v>494380</v>
      </c>
      <c r="F48" s="107">
        <f t="shared" ref="F48" si="142">F49+F55+F59+F62</f>
        <v>6559979</v>
      </c>
      <c r="G48" s="107">
        <f t="shared" si="141"/>
        <v>17328580</v>
      </c>
      <c r="H48" s="107">
        <f t="shared" si="141"/>
        <v>454800031</v>
      </c>
      <c r="I48" s="107">
        <f t="shared" si="141"/>
        <v>379531514</v>
      </c>
      <c r="J48" s="107">
        <f t="shared" si="141"/>
        <v>128576360</v>
      </c>
      <c r="K48" s="107">
        <f t="shared" ref="K48" si="143">K49+K55+K59+K62</f>
        <v>6231567</v>
      </c>
      <c r="L48" s="107">
        <f t="shared" si="141"/>
        <v>24077587</v>
      </c>
      <c r="M48" s="107">
        <f t="shared" si="141"/>
        <v>538417028</v>
      </c>
      <c r="N48" s="107">
        <f t="shared" si="141"/>
        <v>358083480</v>
      </c>
      <c r="O48" s="107">
        <f t="shared" si="141"/>
        <v>122534867</v>
      </c>
      <c r="P48" s="107">
        <f t="shared" ref="P48" si="144">P49+P55+P59+P62</f>
        <v>7120726</v>
      </c>
      <c r="Q48" s="107">
        <f t="shared" si="141"/>
        <v>24056232</v>
      </c>
      <c r="R48" s="107">
        <f t="shared" si="141"/>
        <v>511795305</v>
      </c>
      <c r="S48" s="1322"/>
      <c r="T48" s="1322"/>
      <c r="U48" s="1322"/>
      <c r="V48" s="1322"/>
      <c r="W48" s="1322"/>
    </row>
    <row r="49" spans="1:23" s="2" customFormat="1" ht="12">
      <c r="A49" s="132">
        <v>7100</v>
      </c>
      <c r="B49" s="112" t="s">
        <v>116</v>
      </c>
      <c r="C49" s="107">
        <f>C50+C51</f>
        <v>15010694</v>
      </c>
      <c r="D49" s="107">
        <f t="shared" ref="D49:R49" si="145">D50+D51</f>
        <v>14945734</v>
      </c>
      <c r="E49" s="107">
        <f t="shared" si="145"/>
        <v>538667</v>
      </c>
      <c r="F49" s="107">
        <f t="shared" ref="F49" si="146">F50+F51</f>
        <v>2457230</v>
      </c>
      <c r="G49" s="107">
        <f t="shared" si="145"/>
        <v>1476000</v>
      </c>
      <c r="H49" s="107">
        <f t="shared" si="145"/>
        <v>19417631</v>
      </c>
      <c r="I49" s="107">
        <f t="shared" si="145"/>
        <v>14272437</v>
      </c>
      <c r="J49" s="107">
        <f t="shared" si="145"/>
        <v>127365954</v>
      </c>
      <c r="K49" s="107">
        <f t="shared" ref="K49" si="147">K50+K51</f>
        <v>2094445</v>
      </c>
      <c r="L49" s="107">
        <f t="shared" si="145"/>
        <v>1476000</v>
      </c>
      <c r="M49" s="107">
        <f t="shared" si="145"/>
        <v>145208836</v>
      </c>
      <c r="N49" s="107">
        <f t="shared" si="145"/>
        <v>14030007</v>
      </c>
      <c r="O49" s="107">
        <f t="shared" si="145"/>
        <v>122448021</v>
      </c>
      <c r="P49" s="107">
        <f t="shared" ref="P49" si="148">P50+P51</f>
        <v>1703419</v>
      </c>
      <c r="Q49" s="107">
        <f t="shared" si="145"/>
        <v>1476000</v>
      </c>
      <c r="R49" s="107">
        <f t="shared" si="145"/>
        <v>139657447</v>
      </c>
      <c r="S49" s="1322"/>
      <c r="T49" s="1322"/>
      <c r="U49" s="1322"/>
      <c r="V49" s="1322"/>
      <c r="W49" s="1322"/>
    </row>
    <row r="50" spans="1:23" s="2" customFormat="1" ht="24">
      <c r="A50" s="133" t="s">
        <v>117</v>
      </c>
      <c r="B50" s="112" t="s">
        <v>118</v>
      </c>
      <c r="C50" s="107">
        <f t="shared" ref="C50" si="149">C134+C218</f>
        <v>15010694</v>
      </c>
      <c r="D50" s="107">
        <f t="shared" ref="D50:R50" si="150">D134+D218</f>
        <v>14945734</v>
      </c>
      <c r="E50" s="107">
        <f t="shared" si="150"/>
        <v>538667</v>
      </c>
      <c r="F50" s="107">
        <f t="shared" ref="F50" si="151">F134+F218</f>
        <v>2457230</v>
      </c>
      <c r="G50" s="107">
        <f t="shared" si="150"/>
        <v>1476000</v>
      </c>
      <c r="H50" s="107">
        <f t="shared" si="150"/>
        <v>19417631</v>
      </c>
      <c r="I50" s="107">
        <f t="shared" si="150"/>
        <v>14272437</v>
      </c>
      <c r="J50" s="107">
        <f t="shared" si="150"/>
        <v>127365954</v>
      </c>
      <c r="K50" s="107">
        <f t="shared" ref="K50" si="152">K134+K218</f>
        <v>2094445</v>
      </c>
      <c r="L50" s="107">
        <f t="shared" si="150"/>
        <v>1476000</v>
      </c>
      <c r="M50" s="107">
        <f t="shared" si="150"/>
        <v>145208836</v>
      </c>
      <c r="N50" s="107">
        <f t="shared" si="150"/>
        <v>14030007</v>
      </c>
      <c r="O50" s="107">
        <f t="shared" si="150"/>
        <v>122448021</v>
      </c>
      <c r="P50" s="107">
        <f t="shared" ref="P50" si="153">P134+P218</f>
        <v>1703419</v>
      </c>
      <c r="Q50" s="107">
        <f t="shared" si="150"/>
        <v>1476000</v>
      </c>
      <c r="R50" s="107">
        <f t="shared" si="150"/>
        <v>139657447</v>
      </c>
      <c r="S50" s="1322"/>
      <c r="T50" s="1322"/>
      <c r="U50" s="1322"/>
      <c r="V50" s="1322"/>
      <c r="W50" s="1322"/>
    </row>
    <row r="51" spans="1:23" s="2" customFormat="1" ht="24" hidden="1">
      <c r="A51" s="133">
        <v>7130</v>
      </c>
      <c r="B51" s="112" t="s">
        <v>119</v>
      </c>
      <c r="C51" s="107">
        <f>SUM(C52:C54)</f>
        <v>0</v>
      </c>
      <c r="D51" s="107">
        <f t="shared" ref="D51:R51" si="154">SUM(D52:D54)</f>
        <v>0</v>
      </c>
      <c r="E51" s="107">
        <f t="shared" si="154"/>
        <v>0</v>
      </c>
      <c r="F51" s="107">
        <f t="shared" ref="F51" si="155">SUM(F52:F54)</f>
        <v>0</v>
      </c>
      <c r="G51" s="107">
        <f t="shared" si="154"/>
        <v>0</v>
      </c>
      <c r="H51" s="107">
        <f t="shared" si="154"/>
        <v>0</v>
      </c>
      <c r="I51" s="107">
        <f t="shared" si="154"/>
        <v>0</v>
      </c>
      <c r="J51" s="107">
        <f t="shared" si="154"/>
        <v>0</v>
      </c>
      <c r="K51" s="107">
        <f t="shared" ref="K51" si="156">SUM(K52:K54)</f>
        <v>0</v>
      </c>
      <c r="L51" s="107">
        <f t="shared" si="154"/>
        <v>0</v>
      </c>
      <c r="M51" s="107">
        <f t="shared" si="154"/>
        <v>0</v>
      </c>
      <c r="N51" s="107">
        <f t="shared" si="154"/>
        <v>0</v>
      </c>
      <c r="O51" s="107">
        <f t="shared" si="154"/>
        <v>0</v>
      </c>
      <c r="P51" s="107">
        <f t="shared" ref="P51" si="157">SUM(P52:P54)</f>
        <v>0</v>
      </c>
      <c r="Q51" s="107">
        <f t="shared" si="154"/>
        <v>0</v>
      </c>
      <c r="R51" s="107">
        <f t="shared" si="154"/>
        <v>0</v>
      </c>
      <c r="S51" s="1322"/>
      <c r="T51" s="1322"/>
      <c r="U51" s="1322"/>
      <c r="V51" s="1322"/>
      <c r="W51" s="1322"/>
    </row>
    <row r="52" spans="1:23" s="2" customFormat="1" ht="36" hidden="1">
      <c r="A52" s="134">
        <v>7131</v>
      </c>
      <c r="B52" s="112" t="s">
        <v>120</v>
      </c>
      <c r="C52" s="300">
        <f>C136+C220</f>
        <v>0</v>
      </c>
      <c r="D52" s="300">
        <f t="shared" ref="D52:R52" si="158">D136+D220</f>
        <v>0</v>
      </c>
      <c r="E52" s="300">
        <f t="shared" si="158"/>
        <v>0</v>
      </c>
      <c r="F52" s="300">
        <f t="shared" ref="F52" si="159">F136+F220</f>
        <v>0</v>
      </c>
      <c r="G52" s="300">
        <f t="shared" si="158"/>
        <v>0</v>
      </c>
      <c r="H52" s="300">
        <f t="shared" si="158"/>
        <v>0</v>
      </c>
      <c r="I52" s="300">
        <f t="shared" si="158"/>
        <v>0</v>
      </c>
      <c r="J52" s="300">
        <f t="shared" si="158"/>
        <v>0</v>
      </c>
      <c r="K52" s="300">
        <f t="shared" ref="K52" si="160">K136+K220</f>
        <v>0</v>
      </c>
      <c r="L52" s="300">
        <f t="shared" si="158"/>
        <v>0</v>
      </c>
      <c r="M52" s="300">
        <f t="shared" si="158"/>
        <v>0</v>
      </c>
      <c r="N52" s="300">
        <f t="shared" si="158"/>
        <v>0</v>
      </c>
      <c r="O52" s="300">
        <f t="shared" si="158"/>
        <v>0</v>
      </c>
      <c r="P52" s="300">
        <f t="shared" ref="P52" si="161">P136+P220</f>
        <v>0</v>
      </c>
      <c r="Q52" s="300">
        <f t="shared" si="158"/>
        <v>0</v>
      </c>
      <c r="R52" s="300">
        <f t="shared" si="158"/>
        <v>0</v>
      </c>
      <c r="S52" s="1322"/>
      <c r="T52" s="1322"/>
      <c r="U52" s="1322"/>
      <c r="V52" s="1322"/>
      <c r="W52" s="1322"/>
    </row>
    <row r="53" spans="1:23" s="2" customFormat="1" ht="36" hidden="1">
      <c r="A53" s="134">
        <v>7132</v>
      </c>
      <c r="B53" s="112" t="s">
        <v>121</v>
      </c>
      <c r="C53" s="300">
        <f>C137+C221</f>
        <v>0</v>
      </c>
      <c r="D53" s="300">
        <f t="shared" ref="D53:R53" si="162">D137+D221</f>
        <v>0</v>
      </c>
      <c r="E53" s="300">
        <f t="shared" si="162"/>
        <v>0</v>
      </c>
      <c r="F53" s="300">
        <f t="shared" ref="F53" si="163">F137+F221</f>
        <v>0</v>
      </c>
      <c r="G53" s="300">
        <f t="shared" si="162"/>
        <v>0</v>
      </c>
      <c r="H53" s="300">
        <f t="shared" si="162"/>
        <v>0</v>
      </c>
      <c r="I53" s="300">
        <f t="shared" si="162"/>
        <v>0</v>
      </c>
      <c r="J53" s="300">
        <f t="shared" si="162"/>
        <v>0</v>
      </c>
      <c r="K53" s="300">
        <f t="shared" ref="K53" si="164">K137+K221</f>
        <v>0</v>
      </c>
      <c r="L53" s="300">
        <f t="shared" si="162"/>
        <v>0</v>
      </c>
      <c r="M53" s="300">
        <f t="shared" si="162"/>
        <v>0</v>
      </c>
      <c r="N53" s="300">
        <f t="shared" si="162"/>
        <v>0</v>
      </c>
      <c r="O53" s="300">
        <f t="shared" si="162"/>
        <v>0</v>
      </c>
      <c r="P53" s="300">
        <f t="shared" ref="P53" si="165">P137+P221</f>
        <v>0</v>
      </c>
      <c r="Q53" s="300">
        <f t="shared" si="162"/>
        <v>0</v>
      </c>
      <c r="R53" s="300">
        <f t="shared" si="162"/>
        <v>0</v>
      </c>
      <c r="S53" s="1322"/>
      <c r="T53" s="1322"/>
      <c r="U53" s="1322"/>
      <c r="V53" s="1322"/>
      <c r="W53" s="1322"/>
    </row>
    <row r="54" spans="1:23" s="2" customFormat="1" ht="36" hidden="1">
      <c r="A54" s="134" t="s">
        <v>186</v>
      </c>
      <c r="B54" s="112" t="s">
        <v>187</v>
      </c>
      <c r="C54" s="300">
        <f>C138+C222</f>
        <v>0</v>
      </c>
      <c r="D54" s="300">
        <f t="shared" ref="D54:R54" si="166">D138+D222</f>
        <v>0</v>
      </c>
      <c r="E54" s="300">
        <f t="shared" si="166"/>
        <v>0</v>
      </c>
      <c r="F54" s="300">
        <f t="shared" ref="F54" si="167">F138+F222</f>
        <v>0</v>
      </c>
      <c r="G54" s="300">
        <f t="shared" si="166"/>
        <v>0</v>
      </c>
      <c r="H54" s="300">
        <f t="shared" si="166"/>
        <v>0</v>
      </c>
      <c r="I54" s="300">
        <f t="shared" si="166"/>
        <v>0</v>
      </c>
      <c r="J54" s="300">
        <f t="shared" si="166"/>
        <v>0</v>
      </c>
      <c r="K54" s="300">
        <f t="shared" ref="K54" si="168">K138+K222</f>
        <v>0</v>
      </c>
      <c r="L54" s="300">
        <f t="shared" si="166"/>
        <v>0</v>
      </c>
      <c r="M54" s="300">
        <f t="shared" si="166"/>
        <v>0</v>
      </c>
      <c r="N54" s="300">
        <f t="shared" si="166"/>
        <v>0</v>
      </c>
      <c r="O54" s="300">
        <f t="shared" si="166"/>
        <v>0</v>
      </c>
      <c r="P54" s="300">
        <f t="shared" ref="P54" si="169">P138+P222</f>
        <v>0</v>
      </c>
      <c r="Q54" s="300">
        <f t="shared" si="166"/>
        <v>0</v>
      </c>
      <c r="R54" s="300">
        <f t="shared" si="166"/>
        <v>0</v>
      </c>
      <c r="S54" s="1322"/>
      <c r="T54" s="1322"/>
      <c r="U54" s="1322"/>
      <c r="V54" s="1322"/>
      <c r="W54" s="1322"/>
    </row>
    <row r="55" spans="1:23" s="2" customFormat="1" ht="24">
      <c r="A55" s="132">
        <v>7300</v>
      </c>
      <c r="B55" s="108" t="s">
        <v>155</v>
      </c>
      <c r="C55" s="107">
        <f>SUM(C56:C58)</f>
        <v>415302774</v>
      </c>
      <c r="D55" s="107">
        <f t="shared" ref="D55:R55" si="170">SUM(D56:D58)</f>
        <v>388816723</v>
      </c>
      <c r="E55" s="107">
        <f t="shared" si="170"/>
        <v>-44287</v>
      </c>
      <c r="F55" s="107">
        <f t="shared" ref="F55" si="171">SUM(F56:F58)</f>
        <v>4299793</v>
      </c>
      <c r="G55" s="107">
        <f t="shared" si="170"/>
        <v>13637638</v>
      </c>
      <c r="H55" s="107">
        <f t="shared" si="170"/>
        <v>406709867</v>
      </c>
      <c r="I55" s="107">
        <f t="shared" si="170"/>
        <v>344318716</v>
      </c>
      <c r="J55" s="107">
        <f t="shared" si="170"/>
        <v>1210406</v>
      </c>
      <c r="K55" s="107">
        <f t="shared" ref="K55" si="172">SUM(K56:K58)</f>
        <v>4337122</v>
      </c>
      <c r="L55" s="107">
        <f t="shared" si="170"/>
        <v>19580305</v>
      </c>
      <c r="M55" s="107">
        <f t="shared" si="170"/>
        <v>369446549</v>
      </c>
      <c r="N55" s="107">
        <f t="shared" si="170"/>
        <v>323113112</v>
      </c>
      <c r="O55" s="107">
        <f t="shared" si="170"/>
        <v>86846</v>
      </c>
      <c r="P55" s="107">
        <f t="shared" ref="P55" si="173">SUM(P56:P58)</f>
        <v>5617307</v>
      </c>
      <c r="Q55" s="107">
        <f t="shared" si="170"/>
        <v>19530507</v>
      </c>
      <c r="R55" s="107">
        <f t="shared" si="170"/>
        <v>348347772</v>
      </c>
      <c r="S55" s="1322"/>
      <c r="T55" s="1322"/>
      <c r="U55" s="1322"/>
      <c r="V55" s="1322"/>
      <c r="W55" s="1322"/>
    </row>
    <row r="56" spans="1:23" s="2" customFormat="1" ht="24">
      <c r="A56" s="133" t="s">
        <v>188</v>
      </c>
      <c r="B56" s="112" t="s">
        <v>170</v>
      </c>
      <c r="C56" s="107">
        <f>C140+C224</f>
        <v>272762561</v>
      </c>
      <c r="D56" s="107">
        <f t="shared" ref="D56:R56" si="174">D140+D224</f>
        <v>261174978</v>
      </c>
      <c r="E56" s="107">
        <f t="shared" si="174"/>
        <v>-3716212</v>
      </c>
      <c r="F56" s="107">
        <f t="shared" ref="F56" si="175">F140+F224</f>
        <v>4299793</v>
      </c>
      <c r="G56" s="107">
        <f t="shared" si="174"/>
        <v>13504340</v>
      </c>
      <c r="H56" s="107">
        <f t="shared" si="174"/>
        <v>275262899</v>
      </c>
      <c r="I56" s="107">
        <f t="shared" si="174"/>
        <v>252441429</v>
      </c>
      <c r="J56" s="107">
        <f t="shared" si="174"/>
        <v>0</v>
      </c>
      <c r="K56" s="107">
        <f t="shared" ref="K56" si="176">K140+K224</f>
        <v>4337122</v>
      </c>
      <c r="L56" s="107">
        <f t="shared" si="174"/>
        <v>19340558</v>
      </c>
      <c r="M56" s="107">
        <f t="shared" si="174"/>
        <v>276119109</v>
      </c>
      <c r="N56" s="107">
        <f t="shared" si="174"/>
        <v>242865380</v>
      </c>
      <c r="O56" s="107">
        <f t="shared" si="174"/>
        <v>0</v>
      </c>
      <c r="P56" s="107">
        <f t="shared" ref="P56" si="177">P140+P224</f>
        <v>5617307</v>
      </c>
      <c r="Q56" s="107">
        <f t="shared" si="174"/>
        <v>19417903</v>
      </c>
      <c r="R56" s="107">
        <f t="shared" si="174"/>
        <v>267900590</v>
      </c>
      <c r="S56" s="1322"/>
      <c r="T56" s="1322"/>
      <c r="U56" s="1322"/>
      <c r="V56" s="1322"/>
      <c r="W56" s="1322"/>
    </row>
    <row r="57" spans="1:23" s="2" customFormat="1" ht="48">
      <c r="A57" s="133" t="s">
        <v>189</v>
      </c>
      <c r="B57" s="112" t="s">
        <v>156</v>
      </c>
      <c r="C57" s="107">
        <f>C141+C225</f>
        <v>20092545</v>
      </c>
      <c r="D57" s="107">
        <f t="shared" ref="D57:R57" si="178">D141+D225</f>
        <v>16199021</v>
      </c>
      <c r="E57" s="107">
        <f t="shared" si="178"/>
        <v>6304778</v>
      </c>
      <c r="F57" s="107">
        <f t="shared" ref="F57" si="179">F141+F225</f>
        <v>0</v>
      </c>
      <c r="G57" s="107">
        <f t="shared" si="178"/>
        <v>0</v>
      </c>
      <c r="H57" s="107">
        <f t="shared" si="178"/>
        <v>22503799</v>
      </c>
      <c r="I57" s="107">
        <f t="shared" si="178"/>
        <v>4499690</v>
      </c>
      <c r="J57" s="107">
        <f t="shared" si="178"/>
        <v>1790439</v>
      </c>
      <c r="K57" s="107">
        <f t="shared" ref="K57" si="180">K141+K225</f>
        <v>0</v>
      </c>
      <c r="L57" s="107">
        <f t="shared" si="178"/>
        <v>0</v>
      </c>
      <c r="M57" s="107">
        <f t="shared" si="178"/>
        <v>6290129</v>
      </c>
      <c r="N57" s="107">
        <f t="shared" si="178"/>
        <v>1719025</v>
      </c>
      <c r="O57" s="107">
        <f t="shared" si="178"/>
        <v>300000</v>
      </c>
      <c r="P57" s="107">
        <f t="shared" ref="P57" si="181">P141+P225</f>
        <v>0</v>
      </c>
      <c r="Q57" s="107">
        <f t="shared" si="178"/>
        <v>0</v>
      </c>
      <c r="R57" s="107">
        <f t="shared" si="178"/>
        <v>2019025</v>
      </c>
      <c r="S57" s="1322"/>
      <c r="T57" s="1322"/>
      <c r="U57" s="1322"/>
      <c r="V57" s="1322"/>
      <c r="W57" s="1322"/>
    </row>
    <row r="58" spans="1:23" s="2" customFormat="1" ht="36">
      <c r="A58" s="133">
        <v>7350</v>
      </c>
      <c r="B58" s="112" t="s">
        <v>163</v>
      </c>
      <c r="C58" s="107">
        <f>C142+C226</f>
        <v>122447668</v>
      </c>
      <c r="D58" s="107">
        <f t="shared" ref="D58:R58" si="182">D142+D226</f>
        <v>111442724</v>
      </c>
      <c r="E58" s="107">
        <f t="shared" si="182"/>
        <v>-2632853</v>
      </c>
      <c r="F58" s="107">
        <f t="shared" ref="F58" si="183">F142+F226</f>
        <v>0</v>
      </c>
      <c r="G58" s="107">
        <f t="shared" si="182"/>
        <v>133298</v>
      </c>
      <c r="H58" s="107">
        <f t="shared" si="182"/>
        <v>108943169</v>
      </c>
      <c r="I58" s="107">
        <f t="shared" si="182"/>
        <v>87377597</v>
      </c>
      <c r="J58" s="107">
        <f t="shared" si="182"/>
        <v>-580033</v>
      </c>
      <c r="K58" s="107">
        <f t="shared" ref="K58" si="184">K142+K226</f>
        <v>0</v>
      </c>
      <c r="L58" s="107">
        <f t="shared" si="182"/>
        <v>239747</v>
      </c>
      <c r="M58" s="107">
        <f t="shared" si="182"/>
        <v>87037311</v>
      </c>
      <c r="N58" s="107">
        <f t="shared" si="182"/>
        <v>78528707</v>
      </c>
      <c r="O58" s="107">
        <f t="shared" si="182"/>
        <v>-213154</v>
      </c>
      <c r="P58" s="107">
        <f t="shared" ref="P58" si="185">P142+P226</f>
        <v>0</v>
      </c>
      <c r="Q58" s="107">
        <f t="shared" si="182"/>
        <v>112604</v>
      </c>
      <c r="R58" s="107">
        <f t="shared" si="182"/>
        <v>78428157</v>
      </c>
      <c r="S58" s="1322"/>
      <c r="T58" s="1322"/>
      <c r="U58" s="1322"/>
      <c r="V58" s="1322"/>
      <c r="W58" s="1322"/>
    </row>
    <row r="59" spans="1:23" s="2" customFormat="1" ht="24">
      <c r="A59" s="132">
        <v>7400</v>
      </c>
      <c r="B59" s="108" t="s">
        <v>161</v>
      </c>
      <c r="C59" s="107">
        <f>SUM(C60:C61)</f>
        <v>28276667</v>
      </c>
      <c r="D59" s="107">
        <f t="shared" ref="D59:R59" si="186">SUM(D60:D61)</f>
        <v>26654635</v>
      </c>
      <c r="E59" s="107">
        <f t="shared" si="186"/>
        <v>0</v>
      </c>
      <c r="F59" s="107">
        <f t="shared" ref="F59" si="187">SUM(F60:F61)</f>
        <v>-197044</v>
      </c>
      <c r="G59" s="107">
        <f t="shared" si="186"/>
        <v>2214942</v>
      </c>
      <c r="H59" s="107">
        <f t="shared" si="186"/>
        <v>28672533</v>
      </c>
      <c r="I59" s="107">
        <f t="shared" si="186"/>
        <v>20940361</v>
      </c>
      <c r="J59" s="107">
        <f t="shared" si="186"/>
        <v>0</v>
      </c>
      <c r="K59" s="107">
        <f t="shared" ref="K59" si="188">SUM(K60:K61)</f>
        <v>-200000</v>
      </c>
      <c r="L59" s="107">
        <f t="shared" si="186"/>
        <v>3021282</v>
      </c>
      <c r="M59" s="107">
        <f t="shared" si="186"/>
        <v>23761643</v>
      </c>
      <c r="N59" s="107">
        <f t="shared" si="186"/>
        <v>20940361</v>
      </c>
      <c r="O59" s="107">
        <f t="shared" si="186"/>
        <v>0</v>
      </c>
      <c r="P59" s="107">
        <f t="shared" ref="P59" si="189">SUM(P60:P61)</f>
        <v>-200000</v>
      </c>
      <c r="Q59" s="107">
        <f t="shared" si="186"/>
        <v>3049725</v>
      </c>
      <c r="R59" s="107">
        <f t="shared" si="186"/>
        <v>23790086</v>
      </c>
      <c r="S59" s="1322"/>
      <c r="T59" s="1322"/>
      <c r="U59" s="1322"/>
      <c r="V59" s="1322"/>
      <c r="W59" s="1322"/>
    </row>
    <row r="60" spans="1:23" s="2" customFormat="1" ht="24">
      <c r="A60" s="133">
        <v>7460</v>
      </c>
      <c r="B60" s="108" t="s">
        <v>162</v>
      </c>
      <c r="C60" s="107">
        <f>C144+C228</f>
        <v>16444725</v>
      </c>
      <c r="D60" s="107">
        <f t="shared" ref="D60:R60" si="190">D144+D228</f>
        <v>16447171</v>
      </c>
      <c r="E60" s="107">
        <f t="shared" si="190"/>
        <v>0</v>
      </c>
      <c r="F60" s="107">
        <f t="shared" ref="F60" si="191">F144+F228</f>
        <v>0</v>
      </c>
      <c r="G60" s="107">
        <f t="shared" si="190"/>
        <v>114935</v>
      </c>
      <c r="H60" s="107">
        <f t="shared" si="190"/>
        <v>16562106</v>
      </c>
      <c r="I60" s="107">
        <f t="shared" si="190"/>
        <v>10732897</v>
      </c>
      <c r="J60" s="107">
        <f t="shared" si="190"/>
        <v>0</v>
      </c>
      <c r="K60" s="107">
        <f t="shared" ref="K60" si="192">K144+K228</f>
        <v>0</v>
      </c>
      <c r="L60" s="107">
        <f t="shared" si="190"/>
        <v>114935</v>
      </c>
      <c r="M60" s="107">
        <f t="shared" si="190"/>
        <v>10847832</v>
      </c>
      <c r="N60" s="107">
        <f t="shared" si="190"/>
        <v>10732897</v>
      </c>
      <c r="O60" s="107">
        <f t="shared" si="190"/>
        <v>0</v>
      </c>
      <c r="P60" s="107">
        <f t="shared" ref="P60" si="193">P144+P228</f>
        <v>0</v>
      </c>
      <c r="Q60" s="107">
        <f t="shared" si="190"/>
        <v>114935</v>
      </c>
      <c r="R60" s="107">
        <f t="shared" si="190"/>
        <v>10847832</v>
      </c>
      <c r="S60" s="1322"/>
      <c r="T60" s="1322"/>
      <c r="U60" s="1322"/>
      <c r="V60" s="1322"/>
      <c r="W60" s="1322"/>
    </row>
    <row r="61" spans="1:23" s="2" customFormat="1" ht="48">
      <c r="A61" s="133">
        <v>7470</v>
      </c>
      <c r="B61" s="112" t="s">
        <v>167</v>
      </c>
      <c r="C61" s="107">
        <f>C145+C229</f>
        <v>11831942</v>
      </c>
      <c r="D61" s="107">
        <f t="shared" ref="D61:R61" si="194">D145+D229</f>
        <v>10207464</v>
      </c>
      <c r="E61" s="107">
        <f t="shared" si="194"/>
        <v>0</v>
      </c>
      <c r="F61" s="107">
        <f t="shared" ref="F61" si="195">F145+F229</f>
        <v>-197044</v>
      </c>
      <c r="G61" s="107">
        <f t="shared" si="194"/>
        <v>2100007</v>
      </c>
      <c r="H61" s="107">
        <f t="shared" si="194"/>
        <v>12110427</v>
      </c>
      <c r="I61" s="107">
        <f t="shared" si="194"/>
        <v>10207464</v>
      </c>
      <c r="J61" s="107">
        <f t="shared" si="194"/>
        <v>0</v>
      </c>
      <c r="K61" s="107">
        <f t="shared" ref="K61" si="196">K145+K229</f>
        <v>-200000</v>
      </c>
      <c r="L61" s="107">
        <f t="shared" si="194"/>
        <v>2906347</v>
      </c>
      <c r="M61" s="107">
        <f t="shared" si="194"/>
        <v>12913811</v>
      </c>
      <c r="N61" s="107">
        <f t="shared" si="194"/>
        <v>10207464</v>
      </c>
      <c r="O61" s="107">
        <f t="shared" si="194"/>
        <v>0</v>
      </c>
      <c r="P61" s="107">
        <f t="shared" ref="P61" si="197">P145+P229</f>
        <v>-200000</v>
      </c>
      <c r="Q61" s="107">
        <f t="shared" si="194"/>
        <v>2934790</v>
      </c>
      <c r="R61" s="107">
        <f t="shared" si="194"/>
        <v>12942254</v>
      </c>
      <c r="S61" s="1322"/>
      <c r="T61" s="1322"/>
      <c r="U61" s="1322"/>
      <c r="V61" s="1322"/>
      <c r="W61" s="1322"/>
    </row>
    <row r="62" spans="1:23" s="2" customFormat="1" ht="24" hidden="1">
      <c r="A62" s="132">
        <v>7500</v>
      </c>
      <c r="B62" s="112" t="s">
        <v>157</v>
      </c>
      <c r="C62" s="300">
        <f>C146+C230</f>
        <v>0</v>
      </c>
      <c r="D62" s="300">
        <f t="shared" ref="D62:R62" si="198">D146+D230</f>
        <v>0</v>
      </c>
      <c r="E62" s="300">
        <f t="shared" si="198"/>
        <v>0</v>
      </c>
      <c r="F62" s="300">
        <f t="shared" ref="F62" si="199">F146+F230</f>
        <v>0</v>
      </c>
      <c r="G62" s="300">
        <f t="shared" si="198"/>
        <v>0</v>
      </c>
      <c r="H62" s="300">
        <f t="shared" si="198"/>
        <v>0</v>
      </c>
      <c r="I62" s="300">
        <f t="shared" si="198"/>
        <v>0</v>
      </c>
      <c r="J62" s="300">
        <f t="shared" si="198"/>
        <v>0</v>
      </c>
      <c r="K62" s="300">
        <f t="shared" ref="K62" si="200">K146+K230</f>
        <v>0</v>
      </c>
      <c r="L62" s="300">
        <f t="shared" si="198"/>
        <v>0</v>
      </c>
      <c r="M62" s="300">
        <f t="shared" si="198"/>
        <v>0</v>
      </c>
      <c r="N62" s="300">
        <f t="shared" si="198"/>
        <v>0</v>
      </c>
      <c r="O62" s="300">
        <f t="shared" si="198"/>
        <v>0</v>
      </c>
      <c r="P62" s="300">
        <f t="shared" ref="P62" si="201">P146+P230</f>
        <v>0</v>
      </c>
      <c r="Q62" s="300">
        <f t="shared" si="198"/>
        <v>0</v>
      </c>
      <c r="R62" s="300">
        <f t="shared" si="198"/>
        <v>0</v>
      </c>
      <c r="S62" s="1322"/>
      <c r="T62" s="1322"/>
      <c r="U62" s="1322"/>
      <c r="V62" s="1322"/>
      <c r="W62" s="1322"/>
    </row>
    <row r="63" spans="1:23" s="2" customFormat="1" ht="11.4">
      <c r="A63" s="140" t="s">
        <v>133</v>
      </c>
      <c r="B63" s="100" t="s">
        <v>122</v>
      </c>
      <c r="C63" s="114">
        <f>C64+C65</f>
        <v>352970044</v>
      </c>
      <c r="D63" s="114">
        <f t="shared" ref="D63:R63" si="202">D64+D65</f>
        <v>231777459</v>
      </c>
      <c r="E63" s="114">
        <f t="shared" si="202"/>
        <v>3611451</v>
      </c>
      <c r="F63" s="114">
        <f t="shared" ref="F63" si="203">F64+F65</f>
        <v>477734</v>
      </c>
      <c r="G63" s="114">
        <f t="shared" si="202"/>
        <v>16568864</v>
      </c>
      <c r="H63" s="114">
        <f t="shared" si="202"/>
        <v>252435508</v>
      </c>
      <c r="I63" s="114">
        <f t="shared" si="202"/>
        <v>68075755</v>
      </c>
      <c r="J63" s="114">
        <f t="shared" si="202"/>
        <v>1303166</v>
      </c>
      <c r="K63" s="114">
        <f t="shared" ref="K63" si="204">K64+K65</f>
        <v>173451</v>
      </c>
      <c r="L63" s="114">
        <f t="shared" si="202"/>
        <v>28435188</v>
      </c>
      <c r="M63" s="114">
        <f t="shared" si="202"/>
        <v>97987560</v>
      </c>
      <c r="N63" s="114">
        <f t="shared" si="202"/>
        <v>40284844</v>
      </c>
      <c r="O63" s="114">
        <f t="shared" si="202"/>
        <v>171694</v>
      </c>
      <c r="P63" s="114">
        <f t="shared" ref="P63" si="205">P64+P65</f>
        <v>573772</v>
      </c>
      <c r="Q63" s="114">
        <f t="shared" si="202"/>
        <v>25424363</v>
      </c>
      <c r="R63" s="114">
        <f t="shared" si="202"/>
        <v>66454673</v>
      </c>
      <c r="S63" s="1322"/>
      <c r="T63" s="1322"/>
      <c r="U63" s="1322"/>
      <c r="V63" s="1322"/>
      <c r="W63" s="1322"/>
    </row>
    <row r="64" spans="1:23" s="2" customFormat="1" ht="12">
      <c r="A64" s="140">
        <v>5000</v>
      </c>
      <c r="B64" s="100" t="s">
        <v>123</v>
      </c>
      <c r="C64" s="107">
        <f t="shared" ref="C64" si="206">C148+C232</f>
        <v>235896287</v>
      </c>
      <c r="D64" s="107">
        <f t="shared" ref="D64:R64" si="207">D148+D232</f>
        <v>150893209</v>
      </c>
      <c r="E64" s="107">
        <f t="shared" si="207"/>
        <v>3611451</v>
      </c>
      <c r="F64" s="107">
        <f t="shared" ref="F64" si="208">F148+F232</f>
        <v>477734</v>
      </c>
      <c r="G64" s="107">
        <f t="shared" si="207"/>
        <v>16568864</v>
      </c>
      <c r="H64" s="107">
        <f t="shared" si="207"/>
        <v>171551258</v>
      </c>
      <c r="I64" s="107">
        <f t="shared" si="207"/>
        <v>37395170</v>
      </c>
      <c r="J64" s="107">
        <f t="shared" si="207"/>
        <v>1303166</v>
      </c>
      <c r="K64" s="107">
        <f t="shared" ref="K64" si="209">K148+K232</f>
        <v>173451</v>
      </c>
      <c r="L64" s="107">
        <f t="shared" si="207"/>
        <v>28435188</v>
      </c>
      <c r="M64" s="107">
        <f t="shared" si="207"/>
        <v>67306975</v>
      </c>
      <c r="N64" s="107">
        <f t="shared" si="207"/>
        <v>29625436</v>
      </c>
      <c r="O64" s="107">
        <f t="shared" si="207"/>
        <v>171694</v>
      </c>
      <c r="P64" s="107">
        <f t="shared" ref="P64" si="210">P148+P232</f>
        <v>573772</v>
      </c>
      <c r="Q64" s="107">
        <f t="shared" si="207"/>
        <v>25424363</v>
      </c>
      <c r="R64" s="107">
        <f t="shared" si="207"/>
        <v>55795265</v>
      </c>
      <c r="S64" s="1322"/>
      <c r="T64" s="1322"/>
      <c r="U64" s="1322"/>
      <c r="V64" s="1322"/>
      <c r="W64" s="1322"/>
    </row>
    <row r="65" spans="1:23" s="2" customFormat="1" ht="12">
      <c r="A65" s="140">
        <v>9000</v>
      </c>
      <c r="B65" s="115" t="s">
        <v>164</v>
      </c>
      <c r="C65" s="107">
        <f t="shared" ref="C65" si="211">C66+C72+C76+C79</f>
        <v>117073757</v>
      </c>
      <c r="D65" s="107">
        <f t="shared" ref="D65:R65" si="212">D66+D72+D76+D79</f>
        <v>80884250</v>
      </c>
      <c r="E65" s="107">
        <f t="shared" si="212"/>
        <v>0</v>
      </c>
      <c r="F65" s="107">
        <f t="shared" ref="F65" si="213">F66+F72+F76+F79</f>
        <v>0</v>
      </c>
      <c r="G65" s="107">
        <f t="shared" si="212"/>
        <v>0</v>
      </c>
      <c r="H65" s="107">
        <f t="shared" si="212"/>
        <v>80884250</v>
      </c>
      <c r="I65" s="107">
        <f t="shared" si="212"/>
        <v>30680585</v>
      </c>
      <c r="J65" s="107">
        <f t="shared" si="212"/>
        <v>0</v>
      </c>
      <c r="K65" s="107">
        <f t="shared" ref="K65" si="214">K66+K72+K76+K79</f>
        <v>0</v>
      </c>
      <c r="L65" s="107">
        <f t="shared" si="212"/>
        <v>0</v>
      </c>
      <c r="M65" s="107">
        <f t="shared" si="212"/>
        <v>30680585</v>
      </c>
      <c r="N65" s="107">
        <f t="shared" si="212"/>
        <v>10659408</v>
      </c>
      <c r="O65" s="107">
        <f t="shared" si="212"/>
        <v>0</v>
      </c>
      <c r="P65" s="107">
        <f t="shared" ref="P65" si="215">P66+P72+P76+P79</f>
        <v>0</v>
      </c>
      <c r="Q65" s="107">
        <f t="shared" si="212"/>
        <v>0</v>
      </c>
      <c r="R65" s="107">
        <f t="shared" si="212"/>
        <v>10659408</v>
      </c>
      <c r="S65" s="1322"/>
      <c r="T65" s="1322"/>
      <c r="U65" s="1322"/>
      <c r="V65" s="1322"/>
      <c r="W65" s="1322"/>
    </row>
    <row r="66" spans="1:23" s="2" customFormat="1" ht="12" hidden="1">
      <c r="A66" s="141">
        <v>9100</v>
      </c>
      <c r="B66" s="112" t="s">
        <v>124</v>
      </c>
      <c r="C66" s="107">
        <f t="shared" ref="C66" si="216">SUM(C67:C68)</f>
        <v>0</v>
      </c>
      <c r="D66" s="107">
        <f t="shared" ref="D66:R66" si="217">SUM(D67:D68)</f>
        <v>0</v>
      </c>
      <c r="E66" s="107">
        <f t="shared" si="217"/>
        <v>0</v>
      </c>
      <c r="F66" s="107">
        <f t="shared" ref="F66" si="218">SUM(F67:F68)</f>
        <v>0</v>
      </c>
      <c r="G66" s="107">
        <f t="shared" si="217"/>
        <v>0</v>
      </c>
      <c r="H66" s="107">
        <f t="shared" si="217"/>
        <v>0</v>
      </c>
      <c r="I66" s="107">
        <f t="shared" si="217"/>
        <v>0</v>
      </c>
      <c r="J66" s="107">
        <f t="shared" si="217"/>
        <v>0</v>
      </c>
      <c r="K66" s="107">
        <f t="shared" ref="K66" si="219">SUM(K67:K68)</f>
        <v>0</v>
      </c>
      <c r="L66" s="107">
        <f t="shared" si="217"/>
        <v>0</v>
      </c>
      <c r="M66" s="107">
        <f t="shared" si="217"/>
        <v>0</v>
      </c>
      <c r="N66" s="107">
        <f t="shared" si="217"/>
        <v>0</v>
      </c>
      <c r="O66" s="107">
        <f t="shared" si="217"/>
        <v>0</v>
      </c>
      <c r="P66" s="107">
        <f t="shared" ref="P66" si="220">SUM(P67:P68)</f>
        <v>0</v>
      </c>
      <c r="Q66" s="107">
        <f t="shared" si="217"/>
        <v>0</v>
      </c>
      <c r="R66" s="107">
        <f t="shared" si="217"/>
        <v>0</v>
      </c>
      <c r="S66" s="1322"/>
      <c r="T66" s="1322"/>
      <c r="U66" s="1322"/>
      <c r="V66" s="1322"/>
      <c r="W66" s="1322"/>
    </row>
    <row r="67" spans="1:23" s="2" customFormat="1" ht="24" hidden="1">
      <c r="A67" s="133" t="s">
        <v>125</v>
      </c>
      <c r="B67" s="112" t="s">
        <v>203</v>
      </c>
      <c r="C67" s="107">
        <f t="shared" ref="C67" si="221">C151+C235</f>
        <v>0</v>
      </c>
      <c r="D67" s="107">
        <f t="shared" ref="D67:R67" si="222">D151+D235</f>
        <v>0</v>
      </c>
      <c r="E67" s="107">
        <f t="shared" si="222"/>
        <v>0</v>
      </c>
      <c r="F67" s="107">
        <f t="shared" ref="F67" si="223">F151+F235</f>
        <v>0</v>
      </c>
      <c r="G67" s="107">
        <f t="shared" si="222"/>
        <v>0</v>
      </c>
      <c r="H67" s="107">
        <f t="shared" si="222"/>
        <v>0</v>
      </c>
      <c r="I67" s="107">
        <f t="shared" si="222"/>
        <v>0</v>
      </c>
      <c r="J67" s="107">
        <f t="shared" si="222"/>
        <v>0</v>
      </c>
      <c r="K67" s="107">
        <f t="shared" ref="K67" si="224">K151+K235</f>
        <v>0</v>
      </c>
      <c r="L67" s="107">
        <f t="shared" si="222"/>
        <v>0</v>
      </c>
      <c r="M67" s="107">
        <f t="shared" si="222"/>
        <v>0</v>
      </c>
      <c r="N67" s="107">
        <f t="shared" si="222"/>
        <v>0</v>
      </c>
      <c r="O67" s="107">
        <f t="shared" si="222"/>
        <v>0</v>
      </c>
      <c r="P67" s="107">
        <f t="shared" ref="P67" si="225">P151+P235</f>
        <v>0</v>
      </c>
      <c r="Q67" s="107">
        <f t="shared" si="222"/>
        <v>0</v>
      </c>
      <c r="R67" s="107">
        <f t="shared" si="222"/>
        <v>0</v>
      </c>
      <c r="S67" s="1322"/>
      <c r="T67" s="1322"/>
      <c r="U67" s="1322"/>
      <c r="V67" s="1322"/>
      <c r="W67" s="1322"/>
    </row>
    <row r="68" spans="1:23" s="2" customFormat="1" ht="24" hidden="1">
      <c r="A68" s="133">
        <v>9140</v>
      </c>
      <c r="B68" s="112" t="s">
        <v>204</v>
      </c>
      <c r="C68" s="107">
        <f>SUM(C69:C71)</f>
        <v>0</v>
      </c>
      <c r="D68" s="107">
        <f t="shared" ref="D68:R68" si="226">SUM(D69:D71)</f>
        <v>0</v>
      </c>
      <c r="E68" s="107">
        <f t="shared" si="226"/>
        <v>0</v>
      </c>
      <c r="F68" s="107">
        <f t="shared" ref="F68" si="227">SUM(F69:F71)</f>
        <v>0</v>
      </c>
      <c r="G68" s="107">
        <f t="shared" si="226"/>
        <v>0</v>
      </c>
      <c r="H68" s="107">
        <f t="shared" si="226"/>
        <v>0</v>
      </c>
      <c r="I68" s="107">
        <f t="shared" si="226"/>
        <v>0</v>
      </c>
      <c r="J68" s="107">
        <f t="shared" si="226"/>
        <v>0</v>
      </c>
      <c r="K68" s="107">
        <f t="shared" ref="K68" si="228">SUM(K69:K71)</f>
        <v>0</v>
      </c>
      <c r="L68" s="107">
        <f t="shared" si="226"/>
        <v>0</v>
      </c>
      <c r="M68" s="107">
        <f t="shared" si="226"/>
        <v>0</v>
      </c>
      <c r="N68" s="107">
        <f t="shared" si="226"/>
        <v>0</v>
      </c>
      <c r="O68" s="107">
        <f t="shared" si="226"/>
        <v>0</v>
      </c>
      <c r="P68" s="107">
        <f t="shared" ref="P68" si="229">SUM(P69:P71)</f>
        <v>0</v>
      </c>
      <c r="Q68" s="107">
        <f t="shared" si="226"/>
        <v>0</v>
      </c>
      <c r="R68" s="107">
        <f t="shared" si="226"/>
        <v>0</v>
      </c>
      <c r="S68" s="1322"/>
      <c r="T68" s="1322"/>
      <c r="U68" s="1322"/>
      <c r="V68" s="1322"/>
      <c r="W68" s="1322"/>
    </row>
    <row r="69" spans="1:23" s="2" customFormat="1" ht="36" hidden="1">
      <c r="A69" s="134">
        <v>9141</v>
      </c>
      <c r="B69" s="108" t="s">
        <v>190</v>
      </c>
      <c r="C69" s="107">
        <f>C153+C237</f>
        <v>0</v>
      </c>
      <c r="D69" s="107">
        <f t="shared" ref="D69:R69" si="230">D153+D237</f>
        <v>0</v>
      </c>
      <c r="E69" s="107">
        <f t="shared" si="230"/>
        <v>0</v>
      </c>
      <c r="F69" s="107">
        <f t="shared" ref="F69" si="231">F153+F237</f>
        <v>0</v>
      </c>
      <c r="G69" s="107">
        <f t="shared" si="230"/>
        <v>0</v>
      </c>
      <c r="H69" s="107">
        <f t="shared" si="230"/>
        <v>0</v>
      </c>
      <c r="I69" s="107">
        <f t="shared" si="230"/>
        <v>0</v>
      </c>
      <c r="J69" s="107">
        <f t="shared" si="230"/>
        <v>0</v>
      </c>
      <c r="K69" s="107">
        <f t="shared" ref="K69" si="232">K153+K237</f>
        <v>0</v>
      </c>
      <c r="L69" s="107">
        <f t="shared" si="230"/>
        <v>0</v>
      </c>
      <c r="M69" s="107">
        <f t="shared" si="230"/>
        <v>0</v>
      </c>
      <c r="N69" s="107">
        <f t="shared" si="230"/>
        <v>0</v>
      </c>
      <c r="O69" s="107">
        <f t="shared" si="230"/>
        <v>0</v>
      </c>
      <c r="P69" s="107">
        <f t="shared" ref="P69" si="233">P153+P237</f>
        <v>0</v>
      </c>
      <c r="Q69" s="107">
        <f t="shared" si="230"/>
        <v>0</v>
      </c>
      <c r="R69" s="107">
        <f t="shared" si="230"/>
        <v>0</v>
      </c>
      <c r="S69" s="1322"/>
      <c r="T69" s="1322"/>
      <c r="U69" s="1322"/>
      <c r="V69" s="1322"/>
      <c r="W69" s="1322"/>
    </row>
    <row r="70" spans="1:23" s="2" customFormat="1" ht="36" hidden="1">
      <c r="A70" s="134">
        <v>9142</v>
      </c>
      <c r="B70" s="108" t="s">
        <v>191</v>
      </c>
      <c r="C70" s="107">
        <f>C154+C238</f>
        <v>0</v>
      </c>
      <c r="D70" s="107">
        <f t="shared" ref="D70:R70" si="234">D154+D238</f>
        <v>0</v>
      </c>
      <c r="E70" s="107">
        <f t="shared" si="234"/>
        <v>0</v>
      </c>
      <c r="F70" s="107">
        <f t="shared" ref="F70" si="235">F154+F238</f>
        <v>0</v>
      </c>
      <c r="G70" s="107">
        <f t="shared" si="234"/>
        <v>0</v>
      </c>
      <c r="H70" s="107">
        <f t="shared" si="234"/>
        <v>0</v>
      </c>
      <c r="I70" s="107">
        <f t="shared" si="234"/>
        <v>0</v>
      </c>
      <c r="J70" s="107">
        <f t="shared" si="234"/>
        <v>0</v>
      </c>
      <c r="K70" s="107">
        <f t="shared" ref="K70" si="236">K154+K238</f>
        <v>0</v>
      </c>
      <c r="L70" s="107">
        <f t="shared" si="234"/>
        <v>0</v>
      </c>
      <c r="M70" s="107">
        <f t="shared" si="234"/>
        <v>0</v>
      </c>
      <c r="N70" s="107">
        <f t="shared" si="234"/>
        <v>0</v>
      </c>
      <c r="O70" s="107">
        <f t="shared" si="234"/>
        <v>0</v>
      </c>
      <c r="P70" s="107">
        <f t="shared" ref="P70" si="237">P154+P238</f>
        <v>0</v>
      </c>
      <c r="Q70" s="107">
        <f t="shared" si="234"/>
        <v>0</v>
      </c>
      <c r="R70" s="107">
        <f t="shared" si="234"/>
        <v>0</v>
      </c>
      <c r="S70" s="1322"/>
      <c r="T70" s="1322"/>
      <c r="U70" s="1322"/>
      <c r="V70" s="1322"/>
      <c r="W70" s="1322"/>
    </row>
    <row r="71" spans="1:23" s="2" customFormat="1" ht="24" hidden="1">
      <c r="A71" s="134">
        <v>9149</v>
      </c>
      <c r="B71" s="108" t="s">
        <v>192</v>
      </c>
      <c r="C71" s="107">
        <f>C155+C239</f>
        <v>0</v>
      </c>
      <c r="D71" s="107">
        <f t="shared" ref="D71:R71" si="238">D155+D239</f>
        <v>0</v>
      </c>
      <c r="E71" s="107">
        <f t="shared" si="238"/>
        <v>0</v>
      </c>
      <c r="F71" s="107">
        <f t="shared" ref="F71" si="239">F155+F239</f>
        <v>0</v>
      </c>
      <c r="G71" s="107">
        <f t="shared" si="238"/>
        <v>0</v>
      </c>
      <c r="H71" s="107">
        <f t="shared" si="238"/>
        <v>0</v>
      </c>
      <c r="I71" s="107">
        <f t="shared" si="238"/>
        <v>0</v>
      </c>
      <c r="J71" s="107">
        <f t="shared" si="238"/>
        <v>0</v>
      </c>
      <c r="K71" s="107">
        <f t="shared" ref="K71" si="240">K155+K239</f>
        <v>0</v>
      </c>
      <c r="L71" s="107">
        <f t="shared" si="238"/>
        <v>0</v>
      </c>
      <c r="M71" s="107">
        <f t="shared" si="238"/>
        <v>0</v>
      </c>
      <c r="N71" s="107">
        <f t="shared" si="238"/>
        <v>0</v>
      </c>
      <c r="O71" s="107">
        <f t="shared" si="238"/>
        <v>0</v>
      </c>
      <c r="P71" s="107">
        <f t="shared" ref="P71" si="241">P155+P239</f>
        <v>0</v>
      </c>
      <c r="Q71" s="107">
        <f t="shared" si="238"/>
        <v>0</v>
      </c>
      <c r="R71" s="107">
        <f t="shared" si="238"/>
        <v>0</v>
      </c>
      <c r="S71" s="1322"/>
      <c r="T71" s="1322"/>
      <c r="U71" s="1322"/>
      <c r="V71" s="1322"/>
      <c r="W71" s="1322"/>
    </row>
    <row r="72" spans="1:23" s="2" customFormat="1" ht="24">
      <c r="A72" s="141">
        <v>9500</v>
      </c>
      <c r="B72" s="108" t="s">
        <v>165</v>
      </c>
      <c r="C72" s="107">
        <f>SUM(C73:C75)</f>
        <v>117073757</v>
      </c>
      <c r="D72" s="107">
        <f t="shared" ref="D72:R72" si="242">SUM(D73:D75)</f>
        <v>80884250</v>
      </c>
      <c r="E72" s="107">
        <f t="shared" si="242"/>
        <v>0</v>
      </c>
      <c r="F72" s="107">
        <f t="shared" ref="F72" si="243">SUM(F73:F75)</f>
        <v>0</v>
      </c>
      <c r="G72" s="107">
        <f t="shared" si="242"/>
        <v>0</v>
      </c>
      <c r="H72" s="107">
        <f t="shared" si="242"/>
        <v>80884250</v>
      </c>
      <c r="I72" s="107">
        <f t="shared" si="242"/>
        <v>30680585</v>
      </c>
      <c r="J72" s="107">
        <f t="shared" si="242"/>
        <v>0</v>
      </c>
      <c r="K72" s="107">
        <f t="shared" ref="K72" si="244">SUM(K73:K75)</f>
        <v>0</v>
      </c>
      <c r="L72" s="107">
        <f t="shared" si="242"/>
        <v>0</v>
      </c>
      <c r="M72" s="107">
        <f t="shared" si="242"/>
        <v>30680585</v>
      </c>
      <c r="N72" s="107">
        <f t="shared" si="242"/>
        <v>10659408</v>
      </c>
      <c r="O72" s="107">
        <f t="shared" si="242"/>
        <v>0</v>
      </c>
      <c r="P72" s="107">
        <f t="shared" ref="P72" si="245">SUM(P73:P75)</f>
        <v>0</v>
      </c>
      <c r="Q72" s="107">
        <f t="shared" si="242"/>
        <v>0</v>
      </c>
      <c r="R72" s="107">
        <f t="shared" si="242"/>
        <v>10659408</v>
      </c>
      <c r="S72" s="1322"/>
      <c r="T72" s="1322"/>
      <c r="U72" s="1322"/>
      <c r="V72" s="1322"/>
      <c r="W72" s="1322"/>
    </row>
    <row r="73" spans="1:23" s="2" customFormat="1" ht="24">
      <c r="A73" s="133" t="s">
        <v>193</v>
      </c>
      <c r="B73" s="108" t="s">
        <v>171</v>
      </c>
      <c r="C73" s="107">
        <f>C157+C241</f>
        <v>407188</v>
      </c>
      <c r="D73" s="107">
        <f t="shared" ref="D73:R73" si="246">D157+D241</f>
        <v>407188</v>
      </c>
      <c r="E73" s="107">
        <f t="shared" si="246"/>
        <v>0</v>
      </c>
      <c r="F73" s="107">
        <f t="shared" ref="F73" si="247">F157+F241</f>
        <v>0</v>
      </c>
      <c r="G73" s="107">
        <f t="shared" si="246"/>
        <v>0</v>
      </c>
      <c r="H73" s="107">
        <f t="shared" si="246"/>
        <v>407188</v>
      </c>
      <c r="I73" s="107">
        <f t="shared" si="246"/>
        <v>407188</v>
      </c>
      <c r="J73" s="107">
        <f t="shared" si="246"/>
        <v>0</v>
      </c>
      <c r="K73" s="107">
        <f t="shared" ref="K73" si="248">K157+K241</f>
        <v>0</v>
      </c>
      <c r="L73" s="107">
        <f t="shared" si="246"/>
        <v>0</v>
      </c>
      <c r="M73" s="107">
        <f t="shared" si="246"/>
        <v>407188</v>
      </c>
      <c r="N73" s="107">
        <f t="shared" si="246"/>
        <v>407188</v>
      </c>
      <c r="O73" s="107">
        <f t="shared" si="246"/>
        <v>0</v>
      </c>
      <c r="P73" s="107">
        <f t="shared" ref="P73" si="249">P157+P241</f>
        <v>0</v>
      </c>
      <c r="Q73" s="107">
        <f t="shared" si="246"/>
        <v>0</v>
      </c>
      <c r="R73" s="107">
        <f t="shared" si="246"/>
        <v>407188</v>
      </c>
      <c r="S73" s="1322"/>
      <c r="T73" s="1322"/>
      <c r="U73" s="1322"/>
      <c r="V73" s="1322"/>
      <c r="W73" s="1322"/>
    </row>
    <row r="74" spans="1:23" s="2" customFormat="1" ht="48">
      <c r="A74" s="133">
        <v>9580</v>
      </c>
      <c r="B74" s="108" t="s">
        <v>166</v>
      </c>
      <c r="C74" s="107">
        <f>C158+C242</f>
        <v>89864659</v>
      </c>
      <c r="D74" s="107">
        <f t="shared" ref="D74:R74" si="250">D158+D242</f>
        <v>42665974</v>
      </c>
      <c r="E74" s="107">
        <f t="shared" si="250"/>
        <v>0</v>
      </c>
      <c r="F74" s="107">
        <f t="shared" ref="F74" si="251">F158+F242</f>
        <v>0</v>
      </c>
      <c r="G74" s="107">
        <f t="shared" si="250"/>
        <v>0</v>
      </c>
      <c r="H74" s="107">
        <f t="shared" si="250"/>
        <v>42665974</v>
      </c>
      <c r="I74" s="107">
        <f t="shared" si="250"/>
        <v>9818354</v>
      </c>
      <c r="J74" s="107">
        <f t="shared" si="250"/>
        <v>0</v>
      </c>
      <c r="K74" s="107">
        <f t="shared" ref="K74" si="252">K158+K242</f>
        <v>0</v>
      </c>
      <c r="L74" s="107">
        <f t="shared" si="250"/>
        <v>0</v>
      </c>
      <c r="M74" s="107">
        <f t="shared" si="250"/>
        <v>9818354</v>
      </c>
      <c r="N74" s="107">
        <f t="shared" si="250"/>
        <v>823141</v>
      </c>
      <c r="O74" s="107">
        <f t="shared" si="250"/>
        <v>0</v>
      </c>
      <c r="P74" s="107">
        <f t="shared" ref="P74" si="253">P158+P242</f>
        <v>0</v>
      </c>
      <c r="Q74" s="107">
        <f t="shared" si="250"/>
        <v>0</v>
      </c>
      <c r="R74" s="107">
        <f t="shared" si="250"/>
        <v>823141</v>
      </c>
      <c r="S74" s="1322"/>
      <c r="T74" s="1322"/>
      <c r="U74" s="1322"/>
      <c r="V74" s="1322"/>
      <c r="W74" s="1322"/>
    </row>
    <row r="75" spans="1:23" s="2" customFormat="1" ht="48">
      <c r="A75" s="133">
        <v>9590</v>
      </c>
      <c r="B75" s="112" t="s">
        <v>172</v>
      </c>
      <c r="C75" s="107">
        <f>C159+C243</f>
        <v>26801910</v>
      </c>
      <c r="D75" s="107">
        <f t="shared" ref="D75:R75" si="254">D159+D243</f>
        <v>37811088</v>
      </c>
      <c r="E75" s="107">
        <f t="shared" si="254"/>
        <v>0</v>
      </c>
      <c r="F75" s="107">
        <f t="shared" ref="F75" si="255">F159+F243</f>
        <v>0</v>
      </c>
      <c r="G75" s="107">
        <f t="shared" si="254"/>
        <v>0</v>
      </c>
      <c r="H75" s="107">
        <f t="shared" si="254"/>
        <v>37811088</v>
      </c>
      <c r="I75" s="107">
        <f t="shared" si="254"/>
        <v>20455043</v>
      </c>
      <c r="J75" s="107">
        <f t="shared" si="254"/>
        <v>0</v>
      </c>
      <c r="K75" s="107">
        <f t="shared" ref="K75" si="256">K159+K243</f>
        <v>0</v>
      </c>
      <c r="L75" s="107">
        <f t="shared" si="254"/>
        <v>0</v>
      </c>
      <c r="M75" s="107">
        <f t="shared" si="254"/>
        <v>20455043</v>
      </c>
      <c r="N75" s="107">
        <f t="shared" si="254"/>
        <v>9429079</v>
      </c>
      <c r="O75" s="107">
        <f t="shared" si="254"/>
        <v>0</v>
      </c>
      <c r="P75" s="107">
        <f t="shared" ref="P75" si="257">P159+P243</f>
        <v>0</v>
      </c>
      <c r="Q75" s="107">
        <f t="shared" si="254"/>
        <v>0</v>
      </c>
      <c r="R75" s="107">
        <f t="shared" si="254"/>
        <v>9429079</v>
      </c>
      <c r="S75" s="1322"/>
      <c r="T75" s="1322"/>
      <c r="U75" s="1322"/>
      <c r="V75" s="1322"/>
      <c r="W75" s="1322"/>
    </row>
    <row r="76" spans="1:23" s="2" customFormat="1" ht="24" hidden="1">
      <c r="A76" s="141">
        <v>9700</v>
      </c>
      <c r="B76" s="116" t="s">
        <v>194</v>
      </c>
      <c r="C76" s="107">
        <f>SUM(C77:C78)</f>
        <v>0</v>
      </c>
      <c r="D76" s="107">
        <f t="shared" ref="D76:R76" si="258">SUM(D77:D78)</f>
        <v>0</v>
      </c>
      <c r="E76" s="107">
        <f t="shared" si="258"/>
        <v>0</v>
      </c>
      <c r="F76" s="107">
        <f t="shared" ref="F76" si="259">SUM(F77:F78)</f>
        <v>0</v>
      </c>
      <c r="G76" s="107">
        <f t="shared" si="258"/>
        <v>0</v>
      </c>
      <c r="H76" s="107">
        <f t="shared" si="258"/>
        <v>0</v>
      </c>
      <c r="I76" s="107">
        <f t="shared" si="258"/>
        <v>0</v>
      </c>
      <c r="J76" s="107">
        <f t="shared" si="258"/>
        <v>0</v>
      </c>
      <c r="K76" s="107">
        <f t="shared" ref="K76" si="260">SUM(K77:K78)</f>
        <v>0</v>
      </c>
      <c r="L76" s="107">
        <f t="shared" si="258"/>
        <v>0</v>
      </c>
      <c r="M76" s="107">
        <f t="shared" si="258"/>
        <v>0</v>
      </c>
      <c r="N76" s="107">
        <f t="shared" si="258"/>
        <v>0</v>
      </c>
      <c r="O76" s="107">
        <f t="shared" si="258"/>
        <v>0</v>
      </c>
      <c r="P76" s="107">
        <f t="shared" ref="P76" si="261">SUM(P77:P78)</f>
        <v>0</v>
      </c>
      <c r="Q76" s="107">
        <f t="shared" si="258"/>
        <v>0</v>
      </c>
      <c r="R76" s="107">
        <f t="shared" si="258"/>
        <v>0</v>
      </c>
      <c r="S76" s="1322"/>
      <c r="T76" s="1322"/>
      <c r="U76" s="1322"/>
      <c r="V76" s="1322"/>
      <c r="W76" s="1322"/>
    </row>
    <row r="77" spans="1:23" s="2" customFormat="1" ht="24" hidden="1">
      <c r="A77" s="133">
        <v>9710</v>
      </c>
      <c r="B77" s="117" t="s">
        <v>195</v>
      </c>
      <c r="C77" s="107">
        <f>C161+C245</f>
        <v>0</v>
      </c>
      <c r="D77" s="107">
        <f t="shared" ref="D77:R77" si="262">D161+D245</f>
        <v>0</v>
      </c>
      <c r="E77" s="107">
        <f t="shared" si="262"/>
        <v>0</v>
      </c>
      <c r="F77" s="107">
        <f t="shared" ref="F77" si="263">F161+F245</f>
        <v>0</v>
      </c>
      <c r="G77" s="107">
        <f t="shared" si="262"/>
        <v>0</v>
      </c>
      <c r="H77" s="107">
        <f t="shared" si="262"/>
        <v>0</v>
      </c>
      <c r="I77" s="107">
        <f t="shared" si="262"/>
        <v>0</v>
      </c>
      <c r="J77" s="107">
        <f t="shared" si="262"/>
        <v>0</v>
      </c>
      <c r="K77" s="107">
        <f t="shared" ref="K77" si="264">K161+K245</f>
        <v>0</v>
      </c>
      <c r="L77" s="107">
        <f t="shared" si="262"/>
        <v>0</v>
      </c>
      <c r="M77" s="107">
        <f t="shared" si="262"/>
        <v>0</v>
      </c>
      <c r="N77" s="107">
        <f t="shared" si="262"/>
        <v>0</v>
      </c>
      <c r="O77" s="107">
        <f t="shared" si="262"/>
        <v>0</v>
      </c>
      <c r="P77" s="107">
        <f t="shared" ref="P77" si="265">P161+P245</f>
        <v>0</v>
      </c>
      <c r="Q77" s="107">
        <f t="shared" si="262"/>
        <v>0</v>
      </c>
      <c r="R77" s="107">
        <f t="shared" si="262"/>
        <v>0</v>
      </c>
      <c r="S77" s="1322"/>
      <c r="T77" s="1322"/>
      <c r="U77" s="1322"/>
      <c r="V77" s="1322"/>
      <c r="W77" s="1322"/>
    </row>
    <row r="78" spans="1:23" s="2" customFormat="1" ht="48" hidden="1">
      <c r="A78" s="142">
        <v>9720</v>
      </c>
      <c r="B78" s="116" t="s">
        <v>196</v>
      </c>
      <c r="C78" s="107">
        <f>C162+C246</f>
        <v>0</v>
      </c>
      <c r="D78" s="107">
        <f t="shared" ref="D78:R78" si="266">D162+D246</f>
        <v>0</v>
      </c>
      <c r="E78" s="107">
        <f t="shared" si="266"/>
        <v>0</v>
      </c>
      <c r="F78" s="107">
        <f t="shared" ref="F78" si="267">F162+F246</f>
        <v>0</v>
      </c>
      <c r="G78" s="107">
        <f t="shared" si="266"/>
        <v>0</v>
      </c>
      <c r="H78" s="107">
        <f t="shared" si="266"/>
        <v>0</v>
      </c>
      <c r="I78" s="107">
        <f t="shared" si="266"/>
        <v>0</v>
      </c>
      <c r="J78" s="107">
        <f t="shared" si="266"/>
        <v>0</v>
      </c>
      <c r="K78" s="107">
        <f t="shared" ref="K78" si="268">K162+K246</f>
        <v>0</v>
      </c>
      <c r="L78" s="107">
        <f t="shared" si="266"/>
        <v>0</v>
      </c>
      <c r="M78" s="107">
        <f t="shared" si="266"/>
        <v>0</v>
      </c>
      <c r="N78" s="107">
        <f t="shared" si="266"/>
        <v>0</v>
      </c>
      <c r="O78" s="107">
        <f t="shared" si="266"/>
        <v>0</v>
      </c>
      <c r="P78" s="107">
        <f t="shared" ref="P78" si="269">P162+P246</f>
        <v>0</v>
      </c>
      <c r="Q78" s="107">
        <f t="shared" si="266"/>
        <v>0</v>
      </c>
      <c r="R78" s="107">
        <f t="shared" si="266"/>
        <v>0</v>
      </c>
      <c r="S78" s="1322"/>
      <c r="T78" s="1322"/>
      <c r="U78" s="1322"/>
      <c r="V78" s="1322"/>
      <c r="W78" s="1322"/>
    </row>
    <row r="79" spans="1:23" s="2" customFormat="1" ht="24" hidden="1">
      <c r="A79" s="141">
        <v>9600</v>
      </c>
      <c r="B79" s="112" t="s">
        <v>134</v>
      </c>
      <c r="C79" s="300">
        <f>C163+C247</f>
        <v>0</v>
      </c>
      <c r="D79" s="300">
        <f t="shared" ref="D79:R79" si="270">D163+D247</f>
        <v>0</v>
      </c>
      <c r="E79" s="300">
        <f t="shared" si="270"/>
        <v>0</v>
      </c>
      <c r="F79" s="300">
        <f t="shared" ref="F79" si="271">F163+F247</f>
        <v>0</v>
      </c>
      <c r="G79" s="300">
        <f t="shared" si="270"/>
        <v>0</v>
      </c>
      <c r="H79" s="300">
        <f t="shared" si="270"/>
        <v>0</v>
      </c>
      <c r="I79" s="300">
        <f t="shared" si="270"/>
        <v>0</v>
      </c>
      <c r="J79" s="300">
        <f t="shared" si="270"/>
        <v>0</v>
      </c>
      <c r="K79" s="300">
        <f t="shared" ref="K79" si="272">K163+K247</f>
        <v>0</v>
      </c>
      <c r="L79" s="300">
        <f t="shared" si="270"/>
        <v>0</v>
      </c>
      <c r="M79" s="300">
        <f t="shared" si="270"/>
        <v>0</v>
      </c>
      <c r="N79" s="300">
        <f t="shared" si="270"/>
        <v>0</v>
      </c>
      <c r="O79" s="300">
        <f t="shared" si="270"/>
        <v>0</v>
      </c>
      <c r="P79" s="300">
        <f t="shared" ref="P79" si="273">P163+P247</f>
        <v>0</v>
      </c>
      <c r="Q79" s="300">
        <f t="shared" si="270"/>
        <v>0</v>
      </c>
      <c r="R79" s="300">
        <f t="shared" si="270"/>
        <v>0</v>
      </c>
      <c r="S79" s="1322"/>
      <c r="T79" s="1322"/>
      <c r="U79" s="1322"/>
      <c r="V79" s="1322"/>
      <c r="W79" s="1322"/>
    </row>
    <row r="80" spans="1:23" s="2" customFormat="1" ht="30.6">
      <c r="A80" s="130" t="s">
        <v>197</v>
      </c>
      <c r="B80" s="118" t="s">
        <v>47</v>
      </c>
      <c r="C80" s="114">
        <f t="shared" ref="C80:R80" si="274">C10-C35</f>
        <v>-8648192</v>
      </c>
      <c r="D80" s="114">
        <f t="shared" si="274"/>
        <v>-2251137</v>
      </c>
      <c r="E80" s="114">
        <f t="shared" si="274"/>
        <v>0</v>
      </c>
      <c r="F80" s="114">
        <f t="shared" ref="F80" si="275">F10-F35</f>
        <v>14355</v>
      </c>
      <c r="G80" s="114">
        <f t="shared" si="274"/>
        <v>6406018</v>
      </c>
      <c r="H80" s="114">
        <f t="shared" si="274"/>
        <v>4169236</v>
      </c>
      <c r="I80" s="114">
        <f t="shared" si="274"/>
        <v>706588</v>
      </c>
      <c r="J80" s="114">
        <f t="shared" si="274"/>
        <v>0</v>
      </c>
      <c r="K80" s="114">
        <f t="shared" ref="K80" si="276">K10-K35</f>
        <v>14355</v>
      </c>
      <c r="L80" s="114">
        <f t="shared" si="274"/>
        <v>-7686</v>
      </c>
      <c r="M80" s="114">
        <f t="shared" si="274"/>
        <v>713257</v>
      </c>
      <c r="N80" s="114">
        <f t="shared" si="274"/>
        <v>909333</v>
      </c>
      <c r="O80" s="114">
        <f t="shared" si="274"/>
        <v>0</v>
      </c>
      <c r="P80" s="114">
        <f t="shared" ref="P80" si="277">P10-P35</f>
        <v>14355</v>
      </c>
      <c r="Q80" s="114">
        <f t="shared" si="274"/>
        <v>0</v>
      </c>
      <c r="R80" s="114">
        <f t="shared" si="274"/>
        <v>923688</v>
      </c>
      <c r="S80" s="1322"/>
      <c r="T80" s="1322"/>
      <c r="U80" s="1322"/>
      <c r="V80" s="1322"/>
      <c r="W80" s="1322"/>
    </row>
    <row r="81" spans="1:23" s="2" customFormat="1" ht="11.4">
      <c r="A81" s="143" t="s">
        <v>48</v>
      </c>
      <c r="B81" s="118" t="s">
        <v>49</v>
      </c>
      <c r="C81" s="114">
        <f>C82+C85+C89+C88</f>
        <v>8648192</v>
      </c>
      <c r="D81" s="114">
        <f t="shared" ref="D81:R81" si="278">D82+D85+D89+D88</f>
        <v>2251137</v>
      </c>
      <c r="E81" s="114">
        <f t="shared" si="278"/>
        <v>0</v>
      </c>
      <c r="F81" s="114">
        <f t="shared" ref="F81" si="279">F82+F85+F89+F88</f>
        <v>-14355</v>
      </c>
      <c r="G81" s="114">
        <f t="shared" si="278"/>
        <v>-6406018</v>
      </c>
      <c r="H81" s="114">
        <f t="shared" si="278"/>
        <v>-4169236</v>
      </c>
      <c r="I81" s="114">
        <f t="shared" si="278"/>
        <v>-706588</v>
      </c>
      <c r="J81" s="114">
        <f t="shared" si="278"/>
        <v>0</v>
      </c>
      <c r="K81" s="114">
        <f t="shared" ref="K81" si="280">K82+K85+K89+K88</f>
        <v>-14355</v>
      </c>
      <c r="L81" s="114">
        <f t="shared" si="278"/>
        <v>7686</v>
      </c>
      <c r="M81" s="114">
        <f t="shared" si="278"/>
        <v>-713257</v>
      </c>
      <c r="N81" s="114">
        <f t="shared" si="278"/>
        <v>-909333</v>
      </c>
      <c r="O81" s="114">
        <f t="shared" si="278"/>
        <v>0</v>
      </c>
      <c r="P81" s="114">
        <f t="shared" ref="P81" si="281">P82+P85+P89+P88</f>
        <v>-14355</v>
      </c>
      <c r="Q81" s="114">
        <f t="shared" si="278"/>
        <v>0</v>
      </c>
      <c r="R81" s="114">
        <f t="shared" si="278"/>
        <v>-923688</v>
      </c>
      <c r="S81" s="1322"/>
      <c r="T81" s="1322"/>
      <c r="U81" s="1322"/>
      <c r="V81" s="1322"/>
      <c r="W81" s="1322"/>
    </row>
    <row r="82" spans="1:23" s="2" customFormat="1" ht="12">
      <c r="A82" s="141" t="s">
        <v>50</v>
      </c>
      <c r="B82" s="112" t="s">
        <v>51</v>
      </c>
      <c r="C82" s="107">
        <f>C83+C84</f>
        <v>-3999814</v>
      </c>
      <c r="D82" s="107">
        <f t="shared" ref="D82:R82" si="282">D83+D84</f>
        <v>-2831114</v>
      </c>
      <c r="E82" s="107">
        <f t="shared" si="282"/>
        <v>0</v>
      </c>
      <c r="F82" s="107">
        <f t="shared" ref="F82" si="283">F83+F84</f>
        <v>0</v>
      </c>
      <c r="G82" s="107">
        <f t="shared" si="282"/>
        <v>0</v>
      </c>
      <c r="H82" s="107">
        <f t="shared" si="282"/>
        <v>-2831114</v>
      </c>
      <c r="I82" s="107">
        <f t="shared" si="282"/>
        <v>-3004368</v>
      </c>
      <c r="J82" s="107">
        <f t="shared" si="282"/>
        <v>0</v>
      </c>
      <c r="K82" s="107">
        <f t="shared" ref="K82" si="284">K83+K84</f>
        <v>0</v>
      </c>
      <c r="L82" s="107">
        <f t="shared" si="282"/>
        <v>0</v>
      </c>
      <c r="M82" s="107">
        <f t="shared" si="282"/>
        <v>-3004368</v>
      </c>
      <c r="N82" s="107">
        <f t="shared" si="282"/>
        <v>-3201613</v>
      </c>
      <c r="O82" s="107">
        <f t="shared" si="282"/>
        <v>0</v>
      </c>
      <c r="P82" s="107">
        <f t="shared" ref="P82" si="285">P83+P84</f>
        <v>0</v>
      </c>
      <c r="Q82" s="107">
        <f t="shared" si="282"/>
        <v>0</v>
      </c>
      <c r="R82" s="107">
        <f t="shared" si="282"/>
        <v>-3201613</v>
      </c>
      <c r="S82" s="1322"/>
      <c r="T82" s="1322"/>
      <c r="U82" s="1322"/>
      <c r="V82" s="1322"/>
      <c r="W82" s="1322"/>
    </row>
    <row r="83" spans="1:23" s="2" customFormat="1" ht="12">
      <c r="A83" s="141" t="s">
        <v>52</v>
      </c>
      <c r="B83" s="112" t="s">
        <v>53</v>
      </c>
      <c r="C83" s="107">
        <f>C167+C251</f>
        <v>0</v>
      </c>
      <c r="D83" s="107">
        <f t="shared" ref="D83:R83" si="286">D167+D251</f>
        <v>0</v>
      </c>
      <c r="E83" s="107">
        <f t="shared" si="286"/>
        <v>0</v>
      </c>
      <c r="F83" s="107">
        <f t="shared" ref="F83" si="287">F167+F251</f>
        <v>0</v>
      </c>
      <c r="G83" s="107">
        <f t="shared" si="286"/>
        <v>0</v>
      </c>
      <c r="H83" s="107">
        <f t="shared" si="286"/>
        <v>0</v>
      </c>
      <c r="I83" s="107">
        <f t="shared" si="286"/>
        <v>0</v>
      </c>
      <c r="J83" s="107">
        <f t="shared" si="286"/>
        <v>0</v>
      </c>
      <c r="K83" s="107">
        <f t="shared" ref="K83" si="288">K167+K251</f>
        <v>0</v>
      </c>
      <c r="L83" s="107">
        <f t="shared" si="286"/>
        <v>0</v>
      </c>
      <c r="M83" s="107">
        <f t="shared" si="286"/>
        <v>0</v>
      </c>
      <c r="N83" s="107">
        <f t="shared" si="286"/>
        <v>0</v>
      </c>
      <c r="O83" s="107">
        <f t="shared" si="286"/>
        <v>0</v>
      </c>
      <c r="P83" s="107">
        <f t="shared" ref="P83" si="289">P167+P251</f>
        <v>0</v>
      </c>
      <c r="Q83" s="107">
        <f t="shared" si="286"/>
        <v>0</v>
      </c>
      <c r="R83" s="107">
        <f t="shared" si="286"/>
        <v>0</v>
      </c>
      <c r="S83" s="1322"/>
      <c r="T83" s="1322"/>
      <c r="U83" s="1322"/>
      <c r="V83" s="1322"/>
      <c r="W83" s="1322"/>
    </row>
    <row r="84" spans="1:23" s="2" customFormat="1" ht="12">
      <c r="A84" s="141" t="s">
        <v>54</v>
      </c>
      <c r="B84" s="112" t="s">
        <v>55</v>
      </c>
      <c r="C84" s="107">
        <f>C168+C252</f>
        <v>-3999814</v>
      </c>
      <c r="D84" s="107">
        <f t="shared" ref="D84:R84" si="290">D168+D252</f>
        <v>-2831114</v>
      </c>
      <c r="E84" s="107">
        <f t="shared" si="290"/>
        <v>0</v>
      </c>
      <c r="F84" s="107">
        <f t="shared" ref="F84" si="291">F168+F252</f>
        <v>0</v>
      </c>
      <c r="G84" s="107">
        <f t="shared" si="290"/>
        <v>0</v>
      </c>
      <c r="H84" s="107">
        <f t="shared" si="290"/>
        <v>-2831114</v>
      </c>
      <c r="I84" s="107">
        <f t="shared" si="290"/>
        <v>-3004368</v>
      </c>
      <c r="J84" s="107">
        <f t="shared" si="290"/>
        <v>0</v>
      </c>
      <c r="K84" s="107">
        <f t="shared" ref="K84" si="292">K168+K252</f>
        <v>0</v>
      </c>
      <c r="L84" s="107">
        <f t="shared" si="290"/>
        <v>0</v>
      </c>
      <c r="M84" s="107">
        <f t="shared" si="290"/>
        <v>-3004368</v>
      </c>
      <c r="N84" s="107">
        <f t="shared" si="290"/>
        <v>-3201613</v>
      </c>
      <c r="O84" s="107">
        <f t="shared" si="290"/>
        <v>0</v>
      </c>
      <c r="P84" s="107">
        <f t="shared" ref="P84" si="293">P168+P252</f>
        <v>0</v>
      </c>
      <c r="Q84" s="107">
        <f t="shared" si="290"/>
        <v>0</v>
      </c>
      <c r="R84" s="107">
        <f t="shared" si="290"/>
        <v>-3201613</v>
      </c>
      <c r="S84" s="1322"/>
      <c r="T84" s="1322"/>
      <c r="U84" s="1322"/>
      <c r="V84" s="1322"/>
      <c r="W84" s="1322"/>
    </row>
    <row r="85" spans="1:23" s="2" customFormat="1" ht="12">
      <c r="A85" s="141" t="s">
        <v>56</v>
      </c>
      <c r="B85" s="112" t="s">
        <v>57</v>
      </c>
      <c r="C85" s="107">
        <f>C86+C87</f>
        <v>2603640</v>
      </c>
      <c r="D85" s="107">
        <f t="shared" ref="D85:R85" si="294">D86+D87</f>
        <v>1810000</v>
      </c>
      <c r="E85" s="107">
        <f t="shared" si="294"/>
        <v>0</v>
      </c>
      <c r="F85" s="107">
        <f t="shared" ref="F85" si="295">F86+F87</f>
        <v>0</v>
      </c>
      <c r="G85" s="107">
        <f t="shared" si="294"/>
        <v>0</v>
      </c>
      <c r="H85" s="107">
        <f t="shared" si="294"/>
        <v>1810000</v>
      </c>
      <c r="I85" s="107">
        <f t="shared" si="294"/>
        <v>1810000</v>
      </c>
      <c r="J85" s="107">
        <f t="shared" si="294"/>
        <v>0</v>
      </c>
      <c r="K85" s="107">
        <f t="shared" ref="K85" si="296">K86+K87</f>
        <v>0</v>
      </c>
      <c r="L85" s="107">
        <f t="shared" si="294"/>
        <v>0</v>
      </c>
      <c r="M85" s="107">
        <f t="shared" si="294"/>
        <v>1810000</v>
      </c>
      <c r="N85" s="107">
        <f t="shared" si="294"/>
        <v>1810000</v>
      </c>
      <c r="O85" s="107">
        <f t="shared" si="294"/>
        <v>0</v>
      </c>
      <c r="P85" s="107">
        <f t="shared" ref="P85" si="297">P86+P87</f>
        <v>0</v>
      </c>
      <c r="Q85" s="107">
        <f t="shared" si="294"/>
        <v>0</v>
      </c>
      <c r="R85" s="107">
        <f t="shared" si="294"/>
        <v>1810000</v>
      </c>
      <c r="S85" s="1322"/>
      <c r="T85" s="1322"/>
      <c r="U85" s="1322"/>
      <c r="V85" s="1322"/>
      <c r="W85" s="1322"/>
    </row>
    <row r="86" spans="1:23" s="2" customFormat="1" ht="12">
      <c r="A86" s="141" t="s">
        <v>58</v>
      </c>
      <c r="B86" s="112" t="s">
        <v>59</v>
      </c>
      <c r="C86" s="107">
        <f>C170+C254</f>
        <v>0</v>
      </c>
      <c r="D86" s="107">
        <f t="shared" ref="D86:R86" si="298">D170+D254</f>
        <v>0</v>
      </c>
      <c r="E86" s="107">
        <f t="shared" si="298"/>
        <v>0</v>
      </c>
      <c r="F86" s="107">
        <f t="shared" ref="F86" si="299">F170+F254</f>
        <v>0</v>
      </c>
      <c r="G86" s="107">
        <f t="shared" si="298"/>
        <v>0</v>
      </c>
      <c r="H86" s="107">
        <f t="shared" si="298"/>
        <v>0</v>
      </c>
      <c r="I86" s="107">
        <f t="shared" si="298"/>
        <v>0</v>
      </c>
      <c r="J86" s="107">
        <f t="shared" si="298"/>
        <v>0</v>
      </c>
      <c r="K86" s="107">
        <f t="shared" ref="K86" si="300">K170+K254</f>
        <v>0</v>
      </c>
      <c r="L86" s="107">
        <f t="shared" si="298"/>
        <v>0</v>
      </c>
      <c r="M86" s="107">
        <f t="shared" si="298"/>
        <v>0</v>
      </c>
      <c r="N86" s="107">
        <f t="shared" si="298"/>
        <v>0</v>
      </c>
      <c r="O86" s="107">
        <f t="shared" si="298"/>
        <v>0</v>
      </c>
      <c r="P86" s="107">
        <f t="shared" ref="P86" si="301">P170+P254</f>
        <v>0</v>
      </c>
      <c r="Q86" s="107">
        <f t="shared" si="298"/>
        <v>0</v>
      </c>
      <c r="R86" s="107">
        <f t="shared" si="298"/>
        <v>0</v>
      </c>
      <c r="S86" s="1322"/>
      <c r="T86" s="1322"/>
      <c r="U86" s="1322"/>
      <c r="V86" s="1322"/>
      <c r="W86" s="1322"/>
    </row>
    <row r="87" spans="1:23" s="2" customFormat="1" ht="12">
      <c r="A87" s="141" t="s">
        <v>60</v>
      </c>
      <c r="B87" s="112" t="s">
        <v>61</v>
      </c>
      <c r="C87" s="107">
        <f>C171+C255</f>
        <v>2603640</v>
      </c>
      <c r="D87" s="107">
        <f t="shared" ref="D87:R87" si="302">D171+D255</f>
        <v>1810000</v>
      </c>
      <c r="E87" s="107">
        <f t="shared" si="302"/>
        <v>0</v>
      </c>
      <c r="F87" s="107">
        <f t="shared" ref="F87" si="303">F171+F255</f>
        <v>0</v>
      </c>
      <c r="G87" s="107">
        <f t="shared" si="302"/>
        <v>0</v>
      </c>
      <c r="H87" s="107">
        <f t="shared" si="302"/>
        <v>1810000</v>
      </c>
      <c r="I87" s="107">
        <f t="shared" si="302"/>
        <v>1810000</v>
      </c>
      <c r="J87" s="107">
        <f t="shared" si="302"/>
        <v>0</v>
      </c>
      <c r="K87" s="107">
        <f t="shared" ref="K87" si="304">K171+K255</f>
        <v>0</v>
      </c>
      <c r="L87" s="107">
        <f t="shared" si="302"/>
        <v>0</v>
      </c>
      <c r="M87" s="107">
        <f t="shared" si="302"/>
        <v>1810000</v>
      </c>
      <c r="N87" s="107">
        <f t="shared" si="302"/>
        <v>1810000</v>
      </c>
      <c r="O87" s="107">
        <f t="shared" si="302"/>
        <v>0</v>
      </c>
      <c r="P87" s="107">
        <f t="shared" ref="P87" si="305">P171+P255</f>
        <v>0</v>
      </c>
      <c r="Q87" s="107">
        <f t="shared" si="302"/>
        <v>0</v>
      </c>
      <c r="R87" s="107">
        <f t="shared" si="302"/>
        <v>1810000</v>
      </c>
      <c r="S87" s="1322"/>
      <c r="T87" s="1322"/>
      <c r="U87" s="1322"/>
      <c r="V87" s="1322"/>
      <c r="W87" s="1322"/>
    </row>
    <row r="88" spans="1:23" s="2" customFormat="1" ht="12">
      <c r="A88" s="141" t="s">
        <v>198</v>
      </c>
      <c r="B88" s="120" t="s">
        <v>168</v>
      </c>
      <c r="C88" s="107">
        <f>C172+C256</f>
        <v>-4300500</v>
      </c>
      <c r="D88" s="107">
        <f t="shared" ref="D88:R88" si="306">D172+D256</f>
        <v>0</v>
      </c>
      <c r="E88" s="107">
        <f t="shared" si="306"/>
        <v>0</v>
      </c>
      <c r="F88" s="107">
        <f t="shared" ref="F88" si="307">F172+F256</f>
        <v>0</v>
      </c>
      <c r="G88" s="107">
        <f t="shared" si="306"/>
        <v>-6496018</v>
      </c>
      <c r="H88" s="107">
        <f t="shared" si="306"/>
        <v>-6496018</v>
      </c>
      <c r="I88" s="107">
        <f t="shared" si="306"/>
        <v>0</v>
      </c>
      <c r="J88" s="107">
        <f t="shared" si="306"/>
        <v>0</v>
      </c>
      <c r="K88" s="107">
        <f t="shared" ref="K88" si="308">K172+K256</f>
        <v>0</v>
      </c>
      <c r="L88" s="107">
        <f t="shared" si="306"/>
        <v>0</v>
      </c>
      <c r="M88" s="107">
        <f t="shared" si="306"/>
        <v>0</v>
      </c>
      <c r="N88" s="107">
        <f t="shared" si="306"/>
        <v>0</v>
      </c>
      <c r="O88" s="107">
        <f t="shared" si="306"/>
        <v>0</v>
      </c>
      <c r="P88" s="107">
        <f t="shared" ref="P88" si="309">P172+P256</f>
        <v>0</v>
      </c>
      <c r="Q88" s="107">
        <f t="shared" si="306"/>
        <v>0</v>
      </c>
      <c r="R88" s="107">
        <f t="shared" si="306"/>
        <v>0</v>
      </c>
      <c r="S88" s="1322"/>
      <c r="T88" s="1322"/>
      <c r="U88" s="1322"/>
      <c r="V88" s="1322"/>
      <c r="W88" s="1322"/>
    </row>
    <row r="89" spans="1:23" s="2" customFormat="1" ht="12">
      <c r="A89" s="144" t="s">
        <v>62</v>
      </c>
      <c r="B89" s="101" t="s">
        <v>63</v>
      </c>
      <c r="C89" s="107">
        <f t="shared" ref="C89" si="310">C90+C91+C92</f>
        <v>14344866</v>
      </c>
      <c r="D89" s="107">
        <f t="shared" ref="D89:R89" si="311">D90+D91+D92</f>
        <v>3272251</v>
      </c>
      <c r="E89" s="107">
        <f t="shared" si="311"/>
        <v>0</v>
      </c>
      <c r="F89" s="107">
        <f t="shared" ref="F89" si="312">F90+F91+F92</f>
        <v>-14355</v>
      </c>
      <c r="G89" s="107">
        <f t="shared" si="311"/>
        <v>90000</v>
      </c>
      <c r="H89" s="107">
        <f t="shared" si="311"/>
        <v>3347896</v>
      </c>
      <c r="I89" s="107">
        <f t="shared" si="311"/>
        <v>487780</v>
      </c>
      <c r="J89" s="107">
        <f t="shared" si="311"/>
        <v>0</v>
      </c>
      <c r="K89" s="107">
        <f t="shared" ref="K89" si="313">K90+K91+K92</f>
        <v>-14355</v>
      </c>
      <c r="L89" s="107">
        <f t="shared" si="311"/>
        <v>7686</v>
      </c>
      <c r="M89" s="107">
        <f t="shared" si="311"/>
        <v>481111</v>
      </c>
      <c r="N89" s="107">
        <f t="shared" si="311"/>
        <v>482280</v>
      </c>
      <c r="O89" s="107">
        <f t="shared" si="311"/>
        <v>0</v>
      </c>
      <c r="P89" s="107">
        <f t="shared" ref="P89" si="314">P90+P91+P92</f>
        <v>-14355</v>
      </c>
      <c r="Q89" s="107">
        <f t="shared" si="311"/>
        <v>0</v>
      </c>
      <c r="R89" s="107">
        <f t="shared" si="311"/>
        <v>467925</v>
      </c>
      <c r="S89" s="1322"/>
      <c r="T89" s="1322"/>
      <c r="U89" s="1322"/>
      <c r="V89" s="1322"/>
      <c r="W89" s="1322"/>
    </row>
    <row r="90" spans="1:23" s="2" customFormat="1" ht="36">
      <c r="A90" s="144" t="s">
        <v>64</v>
      </c>
      <c r="B90" s="112" t="s">
        <v>65</v>
      </c>
      <c r="C90" s="107">
        <f>C174+C258</f>
        <v>2254762</v>
      </c>
      <c r="D90" s="107">
        <f t="shared" ref="D90:R90" si="315">D174+D258</f>
        <v>1055751</v>
      </c>
      <c r="E90" s="107">
        <f t="shared" si="315"/>
        <v>0</v>
      </c>
      <c r="F90" s="107">
        <f t="shared" ref="F90" si="316">F174+F258</f>
        <v>-14355</v>
      </c>
      <c r="G90" s="107">
        <f t="shared" si="315"/>
        <v>90000</v>
      </c>
      <c r="H90" s="107">
        <f t="shared" si="315"/>
        <v>1131396</v>
      </c>
      <c r="I90" s="107">
        <f t="shared" si="315"/>
        <v>482280</v>
      </c>
      <c r="J90" s="107">
        <f t="shared" si="315"/>
        <v>0</v>
      </c>
      <c r="K90" s="107">
        <f t="shared" ref="K90" si="317">K174+K258</f>
        <v>-14355</v>
      </c>
      <c r="L90" s="107">
        <f t="shared" si="315"/>
        <v>7686</v>
      </c>
      <c r="M90" s="107">
        <f t="shared" si="315"/>
        <v>475611</v>
      </c>
      <c r="N90" s="107">
        <f t="shared" si="315"/>
        <v>482280</v>
      </c>
      <c r="O90" s="107">
        <f t="shared" si="315"/>
        <v>0</v>
      </c>
      <c r="P90" s="107">
        <f t="shared" ref="P90" si="318">P174+P258</f>
        <v>-14355</v>
      </c>
      <c r="Q90" s="107">
        <f t="shared" si="315"/>
        <v>0</v>
      </c>
      <c r="R90" s="107">
        <f t="shared" si="315"/>
        <v>467925</v>
      </c>
      <c r="S90" s="1322"/>
      <c r="T90" s="1322"/>
      <c r="U90" s="1322"/>
      <c r="V90" s="1322"/>
      <c r="W90" s="1322"/>
    </row>
    <row r="91" spans="1:23" s="2" customFormat="1" ht="24">
      <c r="A91" s="144" t="s">
        <v>66</v>
      </c>
      <c r="B91" s="112" t="s">
        <v>67</v>
      </c>
      <c r="C91" s="107">
        <f>C175+C259</f>
        <v>12090104</v>
      </c>
      <c r="D91" s="107">
        <f t="shared" ref="D91:R91" si="319">D175+D259</f>
        <v>2216500</v>
      </c>
      <c r="E91" s="107">
        <f t="shared" si="319"/>
        <v>0</v>
      </c>
      <c r="F91" s="107">
        <f t="shared" ref="F91" si="320">F175+F259</f>
        <v>0</v>
      </c>
      <c r="G91" s="107">
        <f t="shared" si="319"/>
        <v>0</v>
      </c>
      <c r="H91" s="107">
        <f t="shared" si="319"/>
        <v>2216500</v>
      </c>
      <c r="I91" s="107">
        <f t="shared" si="319"/>
        <v>5500</v>
      </c>
      <c r="J91" s="107">
        <f t="shared" si="319"/>
        <v>0</v>
      </c>
      <c r="K91" s="107">
        <f t="shared" ref="K91" si="321">K175+K259</f>
        <v>0</v>
      </c>
      <c r="L91" s="107">
        <f t="shared" si="319"/>
        <v>0</v>
      </c>
      <c r="M91" s="107">
        <f t="shared" si="319"/>
        <v>5500</v>
      </c>
      <c r="N91" s="107">
        <f t="shared" si="319"/>
        <v>0</v>
      </c>
      <c r="O91" s="107">
        <f t="shared" si="319"/>
        <v>0</v>
      </c>
      <c r="P91" s="107">
        <f t="shared" ref="P91" si="322">P175+P259</f>
        <v>0</v>
      </c>
      <c r="Q91" s="107">
        <f t="shared" si="319"/>
        <v>0</v>
      </c>
      <c r="R91" s="107">
        <f t="shared" si="319"/>
        <v>0</v>
      </c>
      <c r="S91" s="1322"/>
      <c r="T91" s="1322"/>
      <c r="U91" s="1322"/>
      <c r="V91" s="1322"/>
      <c r="W91" s="1322"/>
    </row>
    <row r="92" spans="1:23" s="2" customFormat="1" ht="24" hidden="1">
      <c r="A92" s="144" t="s">
        <v>68</v>
      </c>
      <c r="B92" s="101" t="s">
        <v>69</v>
      </c>
      <c r="C92" s="107">
        <f>C176+C260</f>
        <v>0</v>
      </c>
      <c r="D92" s="107">
        <f t="shared" ref="D92:R92" si="323">D176+D260</f>
        <v>0</v>
      </c>
      <c r="E92" s="107">
        <f t="shared" si="323"/>
        <v>0</v>
      </c>
      <c r="F92" s="107">
        <f t="shared" ref="F92" si="324">F176+F260</f>
        <v>0</v>
      </c>
      <c r="G92" s="107">
        <f t="shared" si="323"/>
        <v>0</v>
      </c>
      <c r="H92" s="107">
        <f t="shared" si="323"/>
        <v>0</v>
      </c>
      <c r="I92" s="107">
        <f t="shared" si="323"/>
        <v>0</v>
      </c>
      <c r="J92" s="107">
        <f t="shared" si="323"/>
        <v>0</v>
      </c>
      <c r="K92" s="107">
        <f t="shared" ref="K92" si="325">K176+K260</f>
        <v>0</v>
      </c>
      <c r="L92" s="107">
        <f t="shared" si="323"/>
        <v>0</v>
      </c>
      <c r="M92" s="107">
        <f t="shared" si="323"/>
        <v>0</v>
      </c>
      <c r="N92" s="107">
        <f t="shared" si="323"/>
        <v>0</v>
      </c>
      <c r="O92" s="107">
        <f t="shared" si="323"/>
        <v>0</v>
      </c>
      <c r="P92" s="107">
        <f t="shared" ref="P92" si="326">P176+P260</f>
        <v>0</v>
      </c>
      <c r="Q92" s="107">
        <f t="shared" si="323"/>
        <v>0</v>
      </c>
      <c r="R92" s="107">
        <f t="shared" si="323"/>
        <v>0</v>
      </c>
      <c r="S92" s="1322"/>
      <c r="T92" s="1322"/>
      <c r="U92" s="1322"/>
      <c r="V92" s="1322"/>
      <c r="W92" s="1322"/>
    </row>
    <row r="93" spans="1:23" s="2" customFormat="1" ht="12">
      <c r="A93" s="145"/>
      <c r="B93" s="121" t="s">
        <v>199</v>
      </c>
      <c r="C93" s="199"/>
      <c r="D93" s="199"/>
      <c r="E93" s="199"/>
      <c r="F93" s="199"/>
      <c r="G93" s="199"/>
      <c r="H93" s="199"/>
      <c r="I93" s="199"/>
      <c r="J93" s="199"/>
      <c r="K93" s="199"/>
      <c r="L93" s="199"/>
      <c r="M93" s="199"/>
      <c r="N93" s="199"/>
      <c r="O93" s="199"/>
      <c r="P93" s="199"/>
      <c r="Q93" s="199"/>
      <c r="R93" s="199"/>
      <c r="S93" s="1322"/>
      <c r="T93" s="1322"/>
      <c r="U93" s="1322"/>
      <c r="V93" s="1322"/>
      <c r="W93" s="1322"/>
    </row>
    <row r="94" spans="1:23" s="2" customFormat="1" ht="20.399999999999999">
      <c r="A94" s="129" t="s">
        <v>201</v>
      </c>
      <c r="B94" s="99" t="s">
        <v>88</v>
      </c>
      <c r="C94" s="103">
        <f>C95+C96+C98+C116</f>
        <v>2266442463</v>
      </c>
      <c r="D94" s="103">
        <f t="shared" ref="D94:R94" si="327">D95+D96+D98+D116</f>
        <v>2240106760</v>
      </c>
      <c r="E94" s="103">
        <f t="shared" si="327"/>
        <v>-2135869</v>
      </c>
      <c r="F94" s="103">
        <f t="shared" ref="F94" si="328">F95+F96+F98+F116</f>
        <v>65291580</v>
      </c>
      <c r="G94" s="103">
        <f t="shared" si="327"/>
        <v>128195131</v>
      </c>
      <c r="H94" s="103">
        <f t="shared" si="327"/>
        <v>2431457602</v>
      </c>
      <c r="I94" s="103">
        <f t="shared" si="327"/>
        <v>2389624914</v>
      </c>
      <c r="J94" s="103">
        <f t="shared" si="327"/>
        <v>5575485</v>
      </c>
      <c r="K94" s="103">
        <f t="shared" ref="K94" si="329">K95+K96+K98+K116</f>
        <v>89799301</v>
      </c>
      <c r="L94" s="103">
        <f t="shared" si="327"/>
        <v>168261151</v>
      </c>
      <c r="M94" s="103">
        <f t="shared" si="327"/>
        <v>2653260851</v>
      </c>
      <c r="N94" s="103">
        <f t="shared" si="327"/>
        <v>2383711038</v>
      </c>
      <c r="O94" s="103">
        <f t="shared" si="327"/>
        <v>-3145534</v>
      </c>
      <c r="P94" s="103">
        <f t="shared" ref="P94" si="330">P95+P96+P98+P116</f>
        <v>121559614</v>
      </c>
      <c r="Q94" s="103">
        <f t="shared" si="327"/>
        <v>157563716</v>
      </c>
      <c r="R94" s="103">
        <f t="shared" si="327"/>
        <v>2659688834</v>
      </c>
      <c r="S94" s="1322"/>
      <c r="T94" s="1322"/>
      <c r="U94" s="1322"/>
      <c r="V94" s="1322"/>
      <c r="W94" s="1322"/>
    </row>
    <row r="95" spans="1:23" s="2" customFormat="1" ht="22.8">
      <c r="A95" s="130" t="s">
        <v>177</v>
      </c>
      <c r="B95" s="100" t="s">
        <v>90</v>
      </c>
      <c r="C95" s="107">
        <f>C349</f>
        <v>64564361</v>
      </c>
      <c r="D95" s="107">
        <f t="shared" ref="D95:R95" si="331">D349</f>
        <v>59617863</v>
      </c>
      <c r="E95" s="107">
        <f t="shared" si="331"/>
        <v>131979</v>
      </c>
      <c r="F95" s="107">
        <f t="shared" ref="F95" si="332">F349</f>
        <v>186107</v>
      </c>
      <c r="G95" s="107">
        <f t="shared" si="331"/>
        <v>0</v>
      </c>
      <c r="H95" s="107">
        <f t="shared" si="331"/>
        <v>59935949</v>
      </c>
      <c r="I95" s="107">
        <f t="shared" si="331"/>
        <v>58768245</v>
      </c>
      <c r="J95" s="107">
        <f t="shared" si="331"/>
        <v>-72315</v>
      </c>
      <c r="K95" s="107">
        <f t="shared" ref="K95" si="333">K349</f>
        <v>998956</v>
      </c>
      <c r="L95" s="107">
        <f t="shared" si="331"/>
        <v>0</v>
      </c>
      <c r="M95" s="107">
        <f t="shared" si="331"/>
        <v>59694886</v>
      </c>
      <c r="N95" s="107">
        <f t="shared" si="331"/>
        <v>58506966</v>
      </c>
      <c r="O95" s="107">
        <f t="shared" si="331"/>
        <v>-72315</v>
      </c>
      <c r="P95" s="107">
        <f t="shared" ref="P95" si="334">P349</f>
        <v>998956</v>
      </c>
      <c r="Q95" s="107">
        <f t="shared" si="331"/>
        <v>0</v>
      </c>
      <c r="R95" s="107">
        <f t="shared" si="331"/>
        <v>59433607</v>
      </c>
      <c r="S95" s="1322"/>
      <c r="T95" s="1322"/>
      <c r="U95" s="1322"/>
      <c r="V95" s="1322"/>
      <c r="W95" s="1322"/>
    </row>
    <row r="96" spans="1:23" s="2" customFormat="1" ht="12" hidden="1">
      <c r="A96" s="130" t="s">
        <v>91</v>
      </c>
      <c r="B96" s="100" t="s">
        <v>92</v>
      </c>
      <c r="C96" s="107">
        <f>C350</f>
        <v>0</v>
      </c>
      <c r="D96" s="107">
        <f t="shared" ref="D96:R96" si="335">D350</f>
        <v>0</v>
      </c>
      <c r="E96" s="107">
        <f t="shared" si="335"/>
        <v>0</v>
      </c>
      <c r="F96" s="107">
        <f t="shared" ref="F96" si="336">F350</f>
        <v>0</v>
      </c>
      <c r="G96" s="107">
        <f t="shared" si="335"/>
        <v>0</v>
      </c>
      <c r="H96" s="107">
        <f t="shared" si="335"/>
        <v>0</v>
      </c>
      <c r="I96" s="107">
        <f t="shared" si="335"/>
        <v>0</v>
      </c>
      <c r="J96" s="107">
        <f t="shared" si="335"/>
        <v>0</v>
      </c>
      <c r="K96" s="107">
        <f t="shared" ref="K96" si="337">K350</f>
        <v>0</v>
      </c>
      <c r="L96" s="107">
        <f t="shared" si="335"/>
        <v>0</v>
      </c>
      <c r="M96" s="107">
        <f t="shared" si="335"/>
        <v>0</v>
      </c>
      <c r="N96" s="107">
        <f t="shared" si="335"/>
        <v>0</v>
      </c>
      <c r="O96" s="107">
        <f t="shared" si="335"/>
        <v>0</v>
      </c>
      <c r="P96" s="107">
        <f t="shared" ref="P96" si="338">P350</f>
        <v>0</v>
      </c>
      <c r="Q96" s="107">
        <f t="shared" si="335"/>
        <v>0</v>
      </c>
      <c r="R96" s="107">
        <f t="shared" si="335"/>
        <v>0</v>
      </c>
      <c r="S96" s="1322"/>
      <c r="T96" s="1322"/>
      <c r="U96" s="1322"/>
      <c r="V96" s="1322"/>
      <c r="W96" s="1322"/>
    </row>
    <row r="97" spans="1:23" s="2" customFormat="1" ht="24" hidden="1">
      <c r="A97" s="131">
        <v>21210</v>
      </c>
      <c r="B97" s="101" t="s">
        <v>93</v>
      </c>
      <c r="C97" s="300"/>
      <c r="D97" s="300"/>
      <c r="E97" s="300"/>
      <c r="F97" s="300"/>
      <c r="G97" s="300"/>
      <c r="H97" s="300"/>
      <c r="I97" s="300"/>
      <c r="J97" s="300"/>
      <c r="K97" s="300"/>
      <c r="L97" s="300"/>
      <c r="M97" s="300"/>
      <c r="N97" s="300"/>
      <c r="O97" s="300"/>
      <c r="P97" s="300"/>
      <c r="Q97" s="300"/>
      <c r="R97" s="300"/>
      <c r="S97" s="1322"/>
      <c r="T97" s="1322"/>
      <c r="U97" s="1322"/>
      <c r="V97" s="1322"/>
      <c r="W97" s="1322"/>
    </row>
    <row r="98" spans="1:23" s="2" customFormat="1" ht="20.399999999999999" hidden="1">
      <c r="A98" s="130" t="s">
        <v>178</v>
      </c>
      <c r="B98" s="100" t="s">
        <v>94</v>
      </c>
      <c r="C98" s="107">
        <f t="shared" ref="C98" si="339">C99+C105</f>
        <v>0</v>
      </c>
      <c r="D98" s="107">
        <f t="shared" ref="D98:R98" si="340">D99+D105</f>
        <v>0</v>
      </c>
      <c r="E98" s="107">
        <f t="shared" si="340"/>
        <v>0</v>
      </c>
      <c r="F98" s="107">
        <f t="shared" ref="F98" si="341">F99+F105</f>
        <v>0</v>
      </c>
      <c r="G98" s="107">
        <f t="shared" si="340"/>
        <v>0</v>
      </c>
      <c r="H98" s="107">
        <f t="shared" si="340"/>
        <v>0</v>
      </c>
      <c r="I98" s="107">
        <f t="shared" si="340"/>
        <v>0</v>
      </c>
      <c r="J98" s="107">
        <f t="shared" si="340"/>
        <v>0</v>
      </c>
      <c r="K98" s="107">
        <f t="shared" ref="K98" si="342">K99+K105</f>
        <v>0</v>
      </c>
      <c r="L98" s="107">
        <f t="shared" si="340"/>
        <v>0</v>
      </c>
      <c r="M98" s="107">
        <f t="shared" si="340"/>
        <v>0</v>
      </c>
      <c r="N98" s="107">
        <f t="shared" si="340"/>
        <v>0</v>
      </c>
      <c r="O98" s="107">
        <f t="shared" si="340"/>
        <v>0</v>
      </c>
      <c r="P98" s="107">
        <f t="shared" ref="P98" si="343">P99+P105</f>
        <v>0</v>
      </c>
      <c r="Q98" s="107">
        <f t="shared" si="340"/>
        <v>0</v>
      </c>
      <c r="R98" s="107">
        <f t="shared" si="340"/>
        <v>0</v>
      </c>
      <c r="S98" s="1322"/>
      <c r="T98" s="1322"/>
      <c r="U98" s="1322"/>
      <c r="V98" s="1322"/>
      <c r="W98" s="1322"/>
    </row>
    <row r="99" spans="1:23" s="2" customFormat="1" ht="12" hidden="1">
      <c r="A99" s="132">
        <v>18000</v>
      </c>
      <c r="B99" s="101" t="s">
        <v>95</v>
      </c>
      <c r="C99" s="107">
        <f t="shared" ref="C99:R100" si="344">C100</f>
        <v>0</v>
      </c>
      <c r="D99" s="107">
        <f t="shared" si="344"/>
        <v>0</v>
      </c>
      <c r="E99" s="107">
        <f t="shared" si="344"/>
        <v>0</v>
      </c>
      <c r="F99" s="107">
        <f t="shared" si="344"/>
        <v>0</v>
      </c>
      <c r="G99" s="107">
        <f t="shared" si="344"/>
        <v>0</v>
      </c>
      <c r="H99" s="107">
        <f t="shared" si="344"/>
        <v>0</v>
      </c>
      <c r="I99" s="107">
        <f t="shared" si="344"/>
        <v>0</v>
      </c>
      <c r="J99" s="107">
        <f t="shared" si="344"/>
        <v>0</v>
      </c>
      <c r="K99" s="107">
        <f t="shared" si="344"/>
        <v>0</v>
      </c>
      <c r="L99" s="107">
        <f t="shared" si="344"/>
        <v>0</v>
      </c>
      <c r="M99" s="107">
        <f t="shared" si="344"/>
        <v>0</v>
      </c>
      <c r="N99" s="107">
        <f t="shared" si="344"/>
        <v>0</v>
      </c>
      <c r="O99" s="107">
        <f t="shared" si="344"/>
        <v>0</v>
      </c>
      <c r="P99" s="107">
        <f t="shared" si="344"/>
        <v>0</v>
      </c>
      <c r="Q99" s="107">
        <f t="shared" si="344"/>
        <v>0</v>
      </c>
      <c r="R99" s="107">
        <f t="shared" si="344"/>
        <v>0</v>
      </c>
      <c r="S99" s="1322"/>
      <c r="T99" s="1322"/>
      <c r="U99" s="1322"/>
      <c r="V99" s="1322"/>
      <c r="W99" s="1322"/>
    </row>
    <row r="100" spans="1:23" s="2" customFormat="1" ht="12" hidden="1">
      <c r="A100" s="132">
        <v>18100</v>
      </c>
      <c r="B100" s="101" t="s">
        <v>96</v>
      </c>
      <c r="C100" s="107">
        <f t="shared" si="344"/>
        <v>0</v>
      </c>
      <c r="D100" s="107">
        <f t="shared" si="344"/>
        <v>0</v>
      </c>
      <c r="E100" s="107">
        <f t="shared" si="344"/>
        <v>0</v>
      </c>
      <c r="F100" s="107">
        <f t="shared" si="344"/>
        <v>0</v>
      </c>
      <c r="G100" s="107">
        <f t="shared" si="344"/>
        <v>0</v>
      </c>
      <c r="H100" s="107">
        <f t="shared" si="344"/>
        <v>0</v>
      </c>
      <c r="I100" s="107">
        <f t="shared" si="344"/>
        <v>0</v>
      </c>
      <c r="J100" s="107">
        <f t="shared" si="344"/>
        <v>0</v>
      </c>
      <c r="K100" s="107">
        <f t="shared" si="344"/>
        <v>0</v>
      </c>
      <c r="L100" s="107">
        <f t="shared" si="344"/>
        <v>0</v>
      </c>
      <c r="M100" s="107">
        <f t="shared" si="344"/>
        <v>0</v>
      </c>
      <c r="N100" s="107">
        <f t="shared" si="344"/>
        <v>0</v>
      </c>
      <c r="O100" s="107">
        <f t="shared" si="344"/>
        <v>0</v>
      </c>
      <c r="P100" s="107">
        <f t="shared" si="344"/>
        <v>0</v>
      </c>
      <c r="Q100" s="107">
        <f t="shared" si="344"/>
        <v>0</v>
      </c>
      <c r="R100" s="107">
        <f t="shared" si="344"/>
        <v>0</v>
      </c>
      <c r="S100" s="1322"/>
      <c r="T100" s="1322"/>
      <c r="U100" s="1322"/>
      <c r="V100" s="1322"/>
      <c r="W100" s="1322"/>
    </row>
    <row r="101" spans="1:23" s="2" customFormat="1" ht="24" hidden="1">
      <c r="A101" s="133">
        <v>18130</v>
      </c>
      <c r="B101" s="108" t="s">
        <v>159</v>
      </c>
      <c r="C101" s="107">
        <f t="shared" ref="C101" si="345">SUM(C102:C104)</f>
        <v>0</v>
      </c>
      <c r="D101" s="107">
        <f t="shared" ref="D101:R101" si="346">SUM(D102:D104)</f>
        <v>0</v>
      </c>
      <c r="E101" s="107">
        <f t="shared" si="346"/>
        <v>0</v>
      </c>
      <c r="F101" s="107">
        <f t="shared" ref="F101" si="347">SUM(F102:F104)</f>
        <v>0</v>
      </c>
      <c r="G101" s="107">
        <f t="shared" si="346"/>
        <v>0</v>
      </c>
      <c r="H101" s="107">
        <f t="shared" si="346"/>
        <v>0</v>
      </c>
      <c r="I101" s="107">
        <f t="shared" si="346"/>
        <v>0</v>
      </c>
      <c r="J101" s="107">
        <f t="shared" si="346"/>
        <v>0</v>
      </c>
      <c r="K101" s="107">
        <f t="shared" ref="K101" si="348">SUM(K102:K104)</f>
        <v>0</v>
      </c>
      <c r="L101" s="107">
        <f t="shared" si="346"/>
        <v>0</v>
      </c>
      <c r="M101" s="107">
        <f t="shared" si="346"/>
        <v>0</v>
      </c>
      <c r="N101" s="107">
        <f t="shared" si="346"/>
        <v>0</v>
      </c>
      <c r="O101" s="107">
        <f t="shared" si="346"/>
        <v>0</v>
      </c>
      <c r="P101" s="107">
        <f t="shared" ref="P101" si="349">SUM(P102:P104)</f>
        <v>0</v>
      </c>
      <c r="Q101" s="107">
        <f t="shared" si="346"/>
        <v>0</v>
      </c>
      <c r="R101" s="107">
        <f t="shared" si="346"/>
        <v>0</v>
      </c>
      <c r="S101" s="1322"/>
      <c r="T101" s="1322"/>
      <c r="U101" s="1322"/>
      <c r="V101" s="1322"/>
      <c r="W101" s="1322"/>
    </row>
    <row r="102" spans="1:23" s="2" customFormat="1" ht="36" hidden="1">
      <c r="A102" s="134">
        <v>18131</v>
      </c>
      <c r="B102" s="108" t="s">
        <v>160</v>
      </c>
      <c r="C102" s="300"/>
      <c r="D102" s="300"/>
      <c r="E102" s="300"/>
      <c r="F102" s="300"/>
      <c r="G102" s="300"/>
      <c r="H102" s="300"/>
      <c r="I102" s="300"/>
      <c r="J102" s="300"/>
      <c r="K102" s="300"/>
      <c r="L102" s="300"/>
      <c r="M102" s="300"/>
      <c r="N102" s="300"/>
      <c r="O102" s="300"/>
      <c r="P102" s="300"/>
      <c r="Q102" s="300"/>
      <c r="R102" s="300"/>
      <c r="S102" s="1322"/>
      <c r="T102" s="1322"/>
      <c r="U102" s="1322"/>
      <c r="V102" s="1322"/>
      <c r="W102" s="1322"/>
    </row>
    <row r="103" spans="1:23" s="2" customFormat="1" ht="24" hidden="1">
      <c r="A103" s="134">
        <v>18132</v>
      </c>
      <c r="B103" s="108" t="s">
        <v>169</v>
      </c>
      <c r="C103" s="300"/>
      <c r="D103" s="300"/>
      <c r="E103" s="300"/>
      <c r="F103" s="300"/>
      <c r="G103" s="300"/>
      <c r="H103" s="300"/>
      <c r="I103" s="300"/>
      <c r="J103" s="300"/>
      <c r="K103" s="300"/>
      <c r="L103" s="300"/>
      <c r="M103" s="300"/>
      <c r="N103" s="300"/>
      <c r="O103" s="300"/>
      <c r="P103" s="300"/>
      <c r="Q103" s="300"/>
      <c r="R103" s="300"/>
      <c r="S103" s="1322"/>
      <c r="T103" s="1322"/>
      <c r="U103" s="1322"/>
      <c r="V103" s="1322"/>
      <c r="W103" s="1322"/>
    </row>
    <row r="104" spans="1:23" s="2" customFormat="1" ht="24" hidden="1">
      <c r="A104" s="134">
        <v>18139</v>
      </c>
      <c r="B104" s="108" t="s">
        <v>179</v>
      </c>
      <c r="C104" s="300"/>
      <c r="D104" s="300"/>
      <c r="E104" s="300"/>
      <c r="F104" s="300"/>
      <c r="G104" s="300"/>
      <c r="H104" s="300"/>
      <c r="I104" s="300"/>
      <c r="J104" s="300"/>
      <c r="K104" s="300"/>
      <c r="L104" s="300"/>
      <c r="M104" s="300"/>
      <c r="N104" s="300"/>
      <c r="O104" s="300"/>
      <c r="P104" s="300"/>
      <c r="Q104" s="300"/>
      <c r="R104" s="300"/>
      <c r="S104" s="1322"/>
      <c r="T104" s="1322"/>
      <c r="U104" s="1322"/>
      <c r="V104" s="1322"/>
      <c r="W104" s="1322"/>
    </row>
    <row r="105" spans="1:23" s="2" customFormat="1" ht="12" hidden="1">
      <c r="A105" s="135" t="s">
        <v>180</v>
      </c>
      <c r="B105" s="109" t="s">
        <v>173</v>
      </c>
      <c r="C105" s="110">
        <f t="shared" ref="C105:R105" si="350">C106</f>
        <v>0</v>
      </c>
      <c r="D105" s="110">
        <f t="shared" si="350"/>
        <v>0</v>
      </c>
      <c r="E105" s="110">
        <f t="shared" si="350"/>
        <v>0</v>
      </c>
      <c r="F105" s="110">
        <f t="shared" si="350"/>
        <v>0</v>
      </c>
      <c r="G105" s="110">
        <f t="shared" si="350"/>
        <v>0</v>
      </c>
      <c r="H105" s="110">
        <f t="shared" si="350"/>
        <v>0</v>
      </c>
      <c r="I105" s="110">
        <f t="shared" si="350"/>
        <v>0</v>
      </c>
      <c r="J105" s="110">
        <f t="shared" si="350"/>
        <v>0</v>
      </c>
      <c r="K105" s="110">
        <f t="shared" si="350"/>
        <v>0</v>
      </c>
      <c r="L105" s="110">
        <f t="shared" si="350"/>
        <v>0</v>
      </c>
      <c r="M105" s="110">
        <f t="shared" si="350"/>
        <v>0</v>
      </c>
      <c r="N105" s="110">
        <f t="shared" si="350"/>
        <v>0</v>
      </c>
      <c r="O105" s="110">
        <f t="shared" si="350"/>
        <v>0</v>
      </c>
      <c r="P105" s="110">
        <f t="shared" si="350"/>
        <v>0</v>
      </c>
      <c r="Q105" s="110">
        <f t="shared" si="350"/>
        <v>0</v>
      </c>
      <c r="R105" s="110">
        <f t="shared" si="350"/>
        <v>0</v>
      </c>
      <c r="S105" s="1322"/>
      <c r="T105" s="1322"/>
      <c r="U105" s="1322"/>
      <c r="V105" s="1322"/>
      <c r="W105" s="1322"/>
    </row>
    <row r="106" spans="1:23" s="2" customFormat="1" ht="24" hidden="1">
      <c r="A106" s="135">
        <v>19500</v>
      </c>
      <c r="B106" s="108" t="s">
        <v>174</v>
      </c>
      <c r="C106" s="107">
        <f t="shared" ref="C106" si="351">SUM(C107:C109)</f>
        <v>0</v>
      </c>
      <c r="D106" s="107">
        <f t="shared" ref="D106:R106" si="352">SUM(D107:D109)</f>
        <v>0</v>
      </c>
      <c r="E106" s="107">
        <f t="shared" si="352"/>
        <v>0</v>
      </c>
      <c r="F106" s="107">
        <f t="shared" ref="F106" si="353">SUM(F107:F109)</f>
        <v>0</v>
      </c>
      <c r="G106" s="107">
        <f t="shared" si="352"/>
        <v>0</v>
      </c>
      <c r="H106" s="107">
        <f t="shared" si="352"/>
        <v>0</v>
      </c>
      <c r="I106" s="107">
        <f t="shared" si="352"/>
        <v>0</v>
      </c>
      <c r="J106" s="107">
        <f t="shared" si="352"/>
        <v>0</v>
      </c>
      <c r="K106" s="107">
        <f t="shared" ref="K106" si="354">SUM(K107:K109)</f>
        <v>0</v>
      </c>
      <c r="L106" s="107">
        <f t="shared" si="352"/>
        <v>0</v>
      </c>
      <c r="M106" s="107">
        <f t="shared" si="352"/>
        <v>0</v>
      </c>
      <c r="N106" s="107">
        <f t="shared" si="352"/>
        <v>0</v>
      </c>
      <c r="O106" s="107">
        <f t="shared" si="352"/>
        <v>0</v>
      </c>
      <c r="P106" s="107">
        <f t="shared" ref="P106" si="355">SUM(P107:P109)</f>
        <v>0</v>
      </c>
      <c r="Q106" s="107">
        <f t="shared" si="352"/>
        <v>0</v>
      </c>
      <c r="R106" s="107">
        <f t="shared" si="352"/>
        <v>0</v>
      </c>
      <c r="S106" s="1322"/>
      <c r="T106" s="1322"/>
      <c r="U106" s="1322"/>
      <c r="V106" s="1322"/>
      <c r="W106" s="1322"/>
    </row>
    <row r="107" spans="1:23" s="2" customFormat="1" ht="24" hidden="1">
      <c r="A107" s="136">
        <v>19550</v>
      </c>
      <c r="B107" s="108" t="s">
        <v>175</v>
      </c>
      <c r="C107" s="107">
        <f t="shared" ref="C107" si="356">C361</f>
        <v>0</v>
      </c>
      <c r="D107" s="107">
        <f t="shared" ref="D107:R107" si="357">D361</f>
        <v>0</v>
      </c>
      <c r="E107" s="107">
        <f t="shared" si="357"/>
        <v>0</v>
      </c>
      <c r="F107" s="107">
        <f t="shared" ref="F107" si="358">F361</f>
        <v>0</v>
      </c>
      <c r="G107" s="107">
        <f t="shared" si="357"/>
        <v>0</v>
      </c>
      <c r="H107" s="107">
        <f t="shared" si="357"/>
        <v>0</v>
      </c>
      <c r="I107" s="107">
        <f t="shared" si="357"/>
        <v>0</v>
      </c>
      <c r="J107" s="107">
        <f t="shared" si="357"/>
        <v>0</v>
      </c>
      <c r="K107" s="107">
        <f t="shared" ref="K107" si="359">K361</f>
        <v>0</v>
      </c>
      <c r="L107" s="107">
        <f t="shared" si="357"/>
        <v>0</v>
      </c>
      <c r="M107" s="107">
        <f t="shared" si="357"/>
        <v>0</v>
      </c>
      <c r="N107" s="107">
        <f t="shared" si="357"/>
        <v>0</v>
      </c>
      <c r="O107" s="107">
        <f t="shared" si="357"/>
        <v>0</v>
      </c>
      <c r="P107" s="107">
        <f t="shared" ref="P107" si="360">P361</f>
        <v>0</v>
      </c>
      <c r="Q107" s="107">
        <f t="shared" si="357"/>
        <v>0</v>
      </c>
      <c r="R107" s="107">
        <f t="shared" si="357"/>
        <v>0</v>
      </c>
      <c r="S107" s="1322"/>
      <c r="T107" s="1322"/>
      <c r="U107" s="1322"/>
      <c r="V107" s="1322"/>
      <c r="W107" s="1322"/>
    </row>
    <row r="108" spans="1:23" s="2" customFormat="1" ht="36" hidden="1">
      <c r="A108" s="136">
        <v>19560</v>
      </c>
      <c r="B108" s="108" t="s">
        <v>181</v>
      </c>
      <c r="C108" s="107">
        <f t="shared" ref="C108" si="361">C362</f>
        <v>0</v>
      </c>
      <c r="D108" s="107">
        <f t="shared" ref="D108:R108" si="362">D362</f>
        <v>0</v>
      </c>
      <c r="E108" s="107">
        <f t="shared" si="362"/>
        <v>0</v>
      </c>
      <c r="F108" s="107">
        <f t="shared" ref="F108" si="363">F362</f>
        <v>0</v>
      </c>
      <c r="G108" s="107">
        <f t="shared" si="362"/>
        <v>0</v>
      </c>
      <c r="H108" s="107">
        <f t="shared" si="362"/>
        <v>0</v>
      </c>
      <c r="I108" s="107">
        <f t="shared" si="362"/>
        <v>0</v>
      </c>
      <c r="J108" s="107">
        <f t="shared" si="362"/>
        <v>0</v>
      </c>
      <c r="K108" s="107">
        <f t="shared" ref="K108" si="364">K362</f>
        <v>0</v>
      </c>
      <c r="L108" s="107">
        <f t="shared" si="362"/>
        <v>0</v>
      </c>
      <c r="M108" s="107">
        <f t="shared" si="362"/>
        <v>0</v>
      </c>
      <c r="N108" s="107">
        <f t="shared" si="362"/>
        <v>0</v>
      </c>
      <c r="O108" s="107">
        <f t="shared" si="362"/>
        <v>0</v>
      </c>
      <c r="P108" s="107">
        <f t="shared" ref="P108" si="365">P362</f>
        <v>0</v>
      </c>
      <c r="Q108" s="107">
        <f t="shared" si="362"/>
        <v>0</v>
      </c>
      <c r="R108" s="107">
        <f t="shared" si="362"/>
        <v>0</v>
      </c>
      <c r="S108" s="1322"/>
      <c r="T108" s="1322"/>
      <c r="U108" s="1322"/>
      <c r="V108" s="1322"/>
      <c r="W108" s="1322"/>
    </row>
    <row r="109" spans="1:23" s="2" customFormat="1" ht="72" hidden="1">
      <c r="A109" s="136">
        <v>19570</v>
      </c>
      <c r="B109" s="108" t="s">
        <v>182</v>
      </c>
      <c r="C109" s="107">
        <f t="shared" ref="C109" si="366">C363</f>
        <v>0</v>
      </c>
      <c r="D109" s="107">
        <f t="shared" ref="D109:R109" si="367">D363</f>
        <v>0</v>
      </c>
      <c r="E109" s="107">
        <f t="shared" si="367"/>
        <v>0</v>
      </c>
      <c r="F109" s="107">
        <f t="shared" ref="F109" si="368">F363</f>
        <v>0</v>
      </c>
      <c r="G109" s="107">
        <f t="shared" si="367"/>
        <v>0</v>
      </c>
      <c r="H109" s="107">
        <f t="shared" si="367"/>
        <v>0</v>
      </c>
      <c r="I109" s="107">
        <f t="shared" si="367"/>
        <v>0</v>
      </c>
      <c r="J109" s="107">
        <f t="shared" si="367"/>
        <v>0</v>
      </c>
      <c r="K109" s="107">
        <f t="shared" ref="K109" si="369">K363</f>
        <v>0</v>
      </c>
      <c r="L109" s="107">
        <f t="shared" si="367"/>
        <v>0</v>
      </c>
      <c r="M109" s="107">
        <f t="shared" si="367"/>
        <v>0</v>
      </c>
      <c r="N109" s="107">
        <f t="shared" si="367"/>
        <v>0</v>
      </c>
      <c r="O109" s="107">
        <f t="shared" si="367"/>
        <v>0</v>
      </c>
      <c r="P109" s="107">
        <f t="shared" ref="P109" si="370">P363</f>
        <v>0</v>
      </c>
      <c r="Q109" s="107">
        <f t="shared" si="367"/>
        <v>0</v>
      </c>
      <c r="R109" s="107">
        <f t="shared" si="367"/>
        <v>0</v>
      </c>
      <c r="S109" s="1322"/>
      <c r="T109" s="1322"/>
      <c r="U109" s="1322"/>
      <c r="V109" s="1322"/>
      <c r="W109" s="1322"/>
    </row>
    <row r="110" spans="1:23" s="2" customFormat="1" ht="24" hidden="1">
      <c r="A110" s="209" t="s">
        <v>222</v>
      </c>
      <c r="B110" s="208" t="s">
        <v>216</v>
      </c>
      <c r="C110" s="106">
        <f t="shared" ref="C110:R110" si="371">C111</f>
        <v>0</v>
      </c>
      <c r="D110" s="106">
        <f t="shared" si="371"/>
        <v>0</v>
      </c>
      <c r="E110" s="106">
        <f t="shared" si="371"/>
        <v>0</v>
      </c>
      <c r="F110" s="106">
        <f t="shared" si="371"/>
        <v>0</v>
      </c>
      <c r="G110" s="106">
        <f t="shared" si="371"/>
        <v>0</v>
      </c>
      <c r="H110" s="106">
        <f t="shared" si="371"/>
        <v>0</v>
      </c>
      <c r="I110" s="106">
        <f t="shared" si="371"/>
        <v>0</v>
      </c>
      <c r="J110" s="106">
        <f t="shared" si="371"/>
        <v>0</v>
      </c>
      <c r="K110" s="106">
        <f t="shared" si="371"/>
        <v>0</v>
      </c>
      <c r="L110" s="106">
        <f t="shared" si="371"/>
        <v>0</v>
      </c>
      <c r="M110" s="106">
        <f t="shared" si="371"/>
        <v>0</v>
      </c>
      <c r="N110" s="106">
        <f t="shared" si="371"/>
        <v>0</v>
      </c>
      <c r="O110" s="106">
        <f t="shared" si="371"/>
        <v>0</v>
      </c>
      <c r="P110" s="106">
        <f t="shared" si="371"/>
        <v>0</v>
      </c>
      <c r="Q110" s="106">
        <f t="shared" si="371"/>
        <v>0</v>
      </c>
      <c r="R110" s="106">
        <f t="shared" si="371"/>
        <v>0</v>
      </c>
      <c r="S110" s="1322"/>
      <c r="T110" s="1322"/>
      <c r="U110" s="1322"/>
      <c r="V110" s="1322"/>
      <c r="W110" s="1322"/>
    </row>
    <row r="111" spans="1:23" s="2" customFormat="1" ht="36" hidden="1">
      <c r="A111" s="209">
        <v>17100</v>
      </c>
      <c r="B111" s="208" t="s">
        <v>217</v>
      </c>
      <c r="C111" s="106">
        <f t="shared" ref="C111" si="372">SUM(C112:C115)</f>
        <v>0</v>
      </c>
      <c r="D111" s="106">
        <f t="shared" ref="D111:R111" si="373">SUM(D112:D115)</f>
        <v>0</v>
      </c>
      <c r="E111" s="106">
        <f t="shared" si="373"/>
        <v>0</v>
      </c>
      <c r="F111" s="106">
        <f t="shared" ref="F111" si="374">SUM(F112:F115)</f>
        <v>0</v>
      </c>
      <c r="G111" s="106">
        <f t="shared" si="373"/>
        <v>0</v>
      </c>
      <c r="H111" s="106">
        <f t="shared" si="373"/>
        <v>0</v>
      </c>
      <c r="I111" s="106">
        <f t="shared" si="373"/>
        <v>0</v>
      </c>
      <c r="J111" s="106">
        <f t="shared" si="373"/>
        <v>0</v>
      </c>
      <c r="K111" s="106">
        <f t="shared" ref="K111" si="375">SUM(K112:K115)</f>
        <v>0</v>
      </c>
      <c r="L111" s="106">
        <f t="shared" si="373"/>
        <v>0</v>
      </c>
      <c r="M111" s="106">
        <f t="shared" si="373"/>
        <v>0</v>
      </c>
      <c r="N111" s="106">
        <f t="shared" si="373"/>
        <v>0</v>
      </c>
      <c r="O111" s="106">
        <f t="shared" si="373"/>
        <v>0</v>
      </c>
      <c r="P111" s="106">
        <f t="shared" ref="P111" si="376">SUM(P112:P115)</f>
        <v>0</v>
      </c>
      <c r="Q111" s="106">
        <f t="shared" si="373"/>
        <v>0</v>
      </c>
      <c r="R111" s="106">
        <f t="shared" si="373"/>
        <v>0</v>
      </c>
      <c r="S111" s="1322"/>
      <c r="T111" s="1322"/>
      <c r="U111" s="1322"/>
      <c r="V111" s="1322"/>
      <c r="W111" s="1322"/>
    </row>
    <row r="112" spans="1:23" s="2" customFormat="1" ht="60" hidden="1">
      <c r="A112" s="149">
        <v>17110</v>
      </c>
      <c r="B112" s="208" t="s">
        <v>218</v>
      </c>
      <c r="C112" s="107">
        <f t="shared" ref="C112" si="377">C366</f>
        <v>0</v>
      </c>
      <c r="D112" s="107">
        <f t="shared" ref="D112:R112" si="378">D366</f>
        <v>0</v>
      </c>
      <c r="E112" s="107">
        <f t="shared" si="378"/>
        <v>0</v>
      </c>
      <c r="F112" s="107">
        <f t="shared" ref="F112" si="379">F366</f>
        <v>0</v>
      </c>
      <c r="G112" s="107">
        <f t="shared" si="378"/>
        <v>0</v>
      </c>
      <c r="H112" s="107">
        <f t="shared" si="378"/>
        <v>0</v>
      </c>
      <c r="I112" s="107">
        <f t="shared" si="378"/>
        <v>0</v>
      </c>
      <c r="J112" s="107">
        <f t="shared" si="378"/>
        <v>0</v>
      </c>
      <c r="K112" s="107">
        <f t="shared" ref="K112" si="380">K366</f>
        <v>0</v>
      </c>
      <c r="L112" s="107">
        <f t="shared" si="378"/>
        <v>0</v>
      </c>
      <c r="M112" s="107">
        <f t="shared" si="378"/>
        <v>0</v>
      </c>
      <c r="N112" s="107">
        <f t="shared" si="378"/>
        <v>0</v>
      </c>
      <c r="O112" s="107">
        <f t="shared" si="378"/>
        <v>0</v>
      </c>
      <c r="P112" s="107">
        <f t="shared" ref="P112" si="381">P366</f>
        <v>0</v>
      </c>
      <c r="Q112" s="107">
        <f t="shared" si="378"/>
        <v>0</v>
      </c>
      <c r="R112" s="107">
        <f t="shared" si="378"/>
        <v>0</v>
      </c>
      <c r="S112" s="1322"/>
      <c r="T112" s="1322"/>
      <c r="U112" s="1322"/>
      <c r="V112" s="1322"/>
      <c r="W112" s="1322"/>
    </row>
    <row r="113" spans="1:23" s="2" customFormat="1" ht="60" hidden="1">
      <c r="A113" s="149">
        <v>17120</v>
      </c>
      <c r="B113" s="208" t="s">
        <v>219</v>
      </c>
      <c r="C113" s="107">
        <f t="shared" ref="C113" si="382">C367</f>
        <v>0</v>
      </c>
      <c r="D113" s="107">
        <f t="shared" ref="D113:R113" si="383">D367</f>
        <v>0</v>
      </c>
      <c r="E113" s="107">
        <f t="shared" si="383"/>
        <v>0</v>
      </c>
      <c r="F113" s="107">
        <f t="shared" ref="F113" si="384">F367</f>
        <v>0</v>
      </c>
      <c r="G113" s="107">
        <f t="shared" si="383"/>
        <v>0</v>
      </c>
      <c r="H113" s="107">
        <f t="shared" si="383"/>
        <v>0</v>
      </c>
      <c r="I113" s="107">
        <f t="shared" si="383"/>
        <v>0</v>
      </c>
      <c r="J113" s="107">
        <f t="shared" si="383"/>
        <v>0</v>
      </c>
      <c r="K113" s="107">
        <f t="shared" ref="K113" si="385">K367</f>
        <v>0</v>
      </c>
      <c r="L113" s="107">
        <f t="shared" si="383"/>
        <v>0</v>
      </c>
      <c r="M113" s="107">
        <f t="shared" si="383"/>
        <v>0</v>
      </c>
      <c r="N113" s="107">
        <f t="shared" si="383"/>
        <v>0</v>
      </c>
      <c r="O113" s="107">
        <f t="shared" si="383"/>
        <v>0</v>
      </c>
      <c r="P113" s="107">
        <f t="shared" ref="P113" si="386">P367</f>
        <v>0</v>
      </c>
      <c r="Q113" s="107">
        <f t="shared" si="383"/>
        <v>0</v>
      </c>
      <c r="R113" s="107">
        <f t="shared" si="383"/>
        <v>0</v>
      </c>
      <c r="S113" s="1322"/>
      <c r="T113" s="1322"/>
      <c r="U113" s="1322"/>
      <c r="V113" s="1322"/>
      <c r="W113" s="1322"/>
    </row>
    <row r="114" spans="1:23" s="2" customFormat="1" ht="108" hidden="1">
      <c r="A114" s="149">
        <v>17130</v>
      </c>
      <c r="B114" s="208" t="s">
        <v>220</v>
      </c>
      <c r="C114" s="107">
        <f t="shared" ref="C114" si="387">C368</f>
        <v>0</v>
      </c>
      <c r="D114" s="107">
        <f t="shared" ref="D114:R114" si="388">D368</f>
        <v>0</v>
      </c>
      <c r="E114" s="107">
        <f t="shared" si="388"/>
        <v>0</v>
      </c>
      <c r="F114" s="107">
        <f t="shared" ref="F114" si="389">F368</f>
        <v>0</v>
      </c>
      <c r="G114" s="107">
        <f t="shared" si="388"/>
        <v>0</v>
      </c>
      <c r="H114" s="107">
        <f t="shared" si="388"/>
        <v>0</v>
      </c>
      <c r="I114" s="107">
        <f t="shared" si="388"/>
        <v>0</v>
      </c>
      <c r="J114" s="107">
        <f t="shared" si="388"/>
        <v>0</v>
      </c>
      <c r="K114" s="107">
        <f t="shared" ref="K114" si="390">K368</f>
        <v>0</v>
      </c>
      <c r="L114" s="107">
        <f t="shared" si="388"/>
        <v>0</v>
      </c>
      <c r="M114" s="107">
        <f t="shared" si="388"/>
        <v>0</v>
      </c>
      <c r="N114" s="107">
        <f t="shared" si="388"/>
        <v>0</v>
      </c>
      <c r="O114" s="107">
        <f t="shared" si="388"/>
        <v>0</v>
      </c>
      <c r="P114" s="107">
        <f t="shared" ref="P114" si="391">P368</f>
        <v>0</v>
      </c>
      <c r="Q114" s="107">
        <f t="shared" si="388"/>
        <v>0</v>
      </c>
      <c r="R114" s="107">
        <f t="shared" si="388"/>
        <v>0</v>
      </c>
      <c r="S114" s="1322"/>
      <c r="T114" s="1322"/>
      <c r="U114" s="1322"/>
      <c r="V114" s="1322"/>
      <c r="W114" s="1322"/>
    </row>
    <row r="115" spans="1:23" s="2" customFormat="1" ht="108" hidden="1">
      <c r="A115" s="149">
        <v>17140</v>
      </c>
      <c r="B115" s="208" t="s">
        <v>221</v>
      </c>
      <c r="C115" s="107">
        <f>C369</f>
        <v>0</v>
      </c>
      <c r="D115" s="107">
        <f t="shared" ref="D115:R115" si="392">D369</f>
        <v>0</v>
      </c>
      <c r="E115" s="107">
        <f t="shared" si="392"/>
        <v>0</v>
      </c>
      <c r="F115" s="107">
        <f t="shared" ref="F115" si="393">F369</f>
        <v>0</v>
      </c>
      <c r="G115" s="107">
        <f t="shared" si="392"/>
        <v>0</v>
      </c>
      <c r="H115" s="107">
        <f t="shared" si="392"/>
        <v>0</v>
      </c>
      <c r="I115" s="107">
        <f t="shared" si="392"/>
        <v>0</v>
      </c>
      <c r="J115" s="107">
        <f t="shared" si="392"/>
        <v>0</v>
      </c>
      <c r="K115" s="107">
        <f t="shared" ref="K115" si="394">K369</f>
        <v>0</v>
      </c>
      <c r="L115" s="107">
        <f t="shared" si="392"/>
        <v>0</v>
      </c>
      <c r="M115" s="107">
        <f t="shared" si="392"/>
        <v>0</v>
      </c>
      <c r="N115" s="107">
        <f t="shared" si="392"/>
        <v>0</v>
      </c>
      <c r="O115" s="107">
        <f t="shared" si="392"/>
        <v>0</v>
      </c>
      <c r="P115" s="107">
        <f t="shared" ref="P115" si="395">P369</f>
        <v>0</v>
      </c>
      <c r="Q115" s="107">
        <f t="shared" si="392"/>
        <v>0</v>
      </c>
      <c r="R115" s="107">
        <f t="shared" si="392"/>
        <v>0</v>
      </c>
      <c r="S115" s="1322"/>
      <c r="T115" s="1322"/>
      <c r="U115" s="1322"/>
      <c r="V115" s="1322"/>
      <c r="W115" s="1322"/>
    </row>
    <row r="116" spans="1:23" s="2" customFormat="1" ht="12">
      <c r="A116" s="137">
        <v>21700</v>
      </c>
      <c r="B116" s="100" t="s">
        <v>97</v>
      </c>
      <c r="C116" s="107">
        <f t="shared" ref="C116" si="396">C117+C118</f>
        <v>2201878102</v>
      </c>
      <c r="D116" s="107">
        <f t="shared" ref="D116:R116" si="397">D117+D118</f>
        <v>2180488897</v>
      </c>
      <c r="E116" s="107">
        <f t="shared" si="397"/>
        <v>-2267848</v>
      </c>
      <c r="F116" s="107">
        <f t="shared" ref="F116" si="398">F117+F118</f>
        <v>65105473</v>
      </c>
      <c r="G116" s="107">
        <f t="shared" si="397"/>
        <v>128195131</v>
      </c>
      <c r="H116" s="107">
        <f t="shared" si="397"/>
        <v>2371521653</v>
      </c>
      <c r="I116" s="107">
        <f t="shared" si="397"/>
        <v>2330856669</v>
      </c>
      <c r="J116" s="107">
        <f t="shared" si="397"/>
        <v>5647800</v>
      </c>
      <c r="K116" s="107">
        <f t="shared" ref="K116" si="399">K117+K118</f>
        <v>88800345</v>
      </c>
      <c r="L116" s="107">
        <f t="shared" si="397"/>
        <v>168261151</v>
      </c>
      <c r="M116" s="107">
        <f t="shared" si="397"/>
        <v>2593565965</v>
      </c>
      <c r="N116" s="107">
        <f t="shared" si="397"/>
        <v>2325204072</v>
      </c>
      <c r="O116" s="107">
        <f t="shared" si="397"/>
        <v>-3073219</v>
      </c>
      <c r="P116" s="107">
        <f t="shared" ref="P116" si="400">P117+P118</f>
        <v>120560658</v>
      </c>
      <c r="Q116" s="107">
        <f t="shared" si="397"/>
        <v>157563716</v>
      </c>
      <c r="R116" s="107">
        <f t="shared" si="397"/>
        <v>2600255227</v>
      </c>
      <c r="S116" s="1322"/>
      <c r="T116" s="1322"/>
      <c r="U116" s="1322"/>
      <c r="V116" s="1322"/>
      <c r="W116" s="1322"/>
    </row>
    <row r="117" spans="1:23" s="2" customFormat="1" ht="24">
      <c r="A117" s="138">
        <v>21710</v>
      </c>
      <c r="B117" s="101" t="s">
        <v>98</v>
      </c>
      <c r="C117" s="107">
        <f>C371</f>
        <v>2201878102</v>
      </c>
      <c r="D117" s="107">
        <f t="shared" ref="D117:R117" si="401">D371</f>
        <v>2180488897</v>
      </c>
      <c r="E117" s="107">
        <f t="shared" si="401"/>
        <v>-2267848</v>
      </c>
      <c r="F117" s="107">
        <f t="shared" ref="F117" si="402">F371</f>
        <v>65105473</v>
      </c>
      <c r="G117" s="107">
        <f t="shared" si="401"/>
        <v>128195131</v>
      </c>
      <c r="H117" s="107">
        <f t="shared" si="401"/>
        <v>2371521653</v>
      </c>
      <c r="I117" s="107">
        <f t="shared" si="401"/>
        <v>2330856669</v>
      </c>
      <c r="J117" s="107">
        <f t="shared" si="401"/>
        <v>5647800</v>
      </c>
      <c r="K117" s="107">
        <f t="shared" ref="K117" si="403">K371</f>
        <v>88800345</v>
      </c>
      <c r="L117" s="107">
        <f t="shared" si="401"/>
        <v>168261151</v>
      </c>
      <c r="M117" s="107">
        <f t="shared" si="401"/>
        <v>2593565965</v>
      </c>
      <c r="N117" s="107">
        <f t="shared" si="401"/>
        <v>2325204072</v>
      </c>
      <c r="O117" s="107">
        <f t="shared" si="401"/>
        <v>-3073219</v>
      </c>
      <c r="P117" s="107">
        <f t="shared" ref="P117" si="404">P371</f>
        <v>120560658</v>
      </c>
      <c r="Q117" s="107">
        <f t="shared" si="401"/>
        <v>157563716</v>
      </c>
      <c r="R117" s="107">
        <f t="shared" si="401"/>
        <v>2600255227</v>
      </c>
      <c r="S117" s="1322"/>
      <c r="T117" s="1322"/>
      <c r="U117" s="1322"/>
      <c r="V117" s="1322"/>
      <c r="W117" s="1322"/>
    </row>
    <row r="118" spans="1:23" s="2" customFormat="1" ht="24" hidden="1">
      <c r="A118" s="138">
        <v>21720</v>
      </c>
      <c r="B118" s="101" t="s">
        <v>99</v>
      </c>
      <c r="C118" s="300"/>
      <c r="D118" s="300"/>
      <c r="E118" s="300"/>
      <c r="F118" s="300"/>
      <c r="G118" s="300"/>
      <c r="H118" s="300"/>
      <c r="I118" s="300"/>
      <c r="J118" s="300"/>
      <c r="K118" s="300"/>
      <c r="L118" s="300"/>
      <c r="M118" s="300"/>
      <c r="N118" s="300"/>
      <c r="O118" s="300"/>
      <c r="P118" s="300"/>
      <c r="Q118" s="300"/>
      <c r="R118" s="300"/>
      <c r="S118" s="1322"/>
      <c r="T118" s="1322"/>
      <c r="U118" s="1322"/>
      <c r="V118" s="1322"/>
      <c r="W118" s="1322"/>
    </row>
    <row r="119" spans="1:23" s="2" customFormat="1" ht="11.4">
      <c r="A119" s="129" t="s">
        <v>100</v>
      </c>
      <c r="B119" s="99" t="s">
        <v>101</v>
      </c>
      <c r="C119" s="111">
        <f t="shared" ref="C119" si="405">C120+C147</f>
        <v>2263000551</v>
      </c>
      <c r="D119" s="111">
        <f t="shared" ref="D119:R119" si="406">D120+D147</f>
        <v>2240141397</v>
      </c>
      <c r="E119" s="111">
        <f t="shared" si="406"/>
        <v>-2135869</v>
      </c>
      <c r="F119" s="111">
        <f t="shared" ref="F119" si="407">F120+F147</f>
        <v>65277225</v>
      </c>
      <c r="G119" s="111">
        <f t="shared" si="406"/>
        <v>121789113</v>
      </c>
      <c r="H119" s="111">
        <f t="shared" si="406"/>
        <v>2425071866</v>
      </c>
      <c r="I119" s="111">
        <f t="shared" si="406"/>
        <v>2388912826</v>
      </c>
      <c r="J119" s="111">
        <f t="shared" si="406"/>
        <v>5575485</v>
      </c>
      <c r="K119" s="111">
        <f t="shared" ref="K119" si="408">K120+K147</f>
        <v>89784946</v>
      </c>
      <c r="L119" s="111">
        <f t="shared" si="406"/>
        <v>168268837</v>
      </c>
      <c r="M119" s="111">
        <f t="shared" si="406"/>
        <v>2652542094</v>
      </c>
      <c r="N119" s="111">
        <f t="shared" si="406"/>
        <v>2382801705</v>
      </c>
      <c r="O119" s="111">
        <f t="shared" si="406"/>
        <v>-3145534</v>
      </c>
      <c r="P119" s="111">
        <f t="shared" ref="P119" si="409">P120+P147</f>
        <v>121545259</v>
      </c>
      <c r="Q119" s="111">
        <f t="shared" si="406"/>
        <v>157563716</v>
      </c>
      <c r="R119" s="111">
        <f t="shared" si="406"/>
        <v>2658765146</v>
      </c>
      <c r="S119" s="1322"/>
      <c r="T119" s="1322"/>
      <c r="U119" s="1322"/>
      <c r="V119" s="1322"/>
      <c r="W119" s="1322"/>
    </row>
    <row r="120" spans="1:23" s="2" customFormat="1" ht="20.399999999999999">
      <c r="A120" s="130" t="s">
        <v>102</v>
      </c>
      <c r="B120" s="100" t="s">
        <v>103</v>
      </c>
      <c r="C120" s="107">
        <f t="shared" ref="C120" si="410">C121+C125+C126+C129+C132</f>
        <v>2195473574</v>
      </c>
      <c r="D120" s="107">
        <f t="shared" ref="D120:R120" si="411">D121+D125+D126+D129+D132</f>
        <v>2197287502</v>
      </c>
      <c r="E120" s="107">
        <f t="shared" si="411"/>
        <v>-2086665</v>
      </c>
      <c r="F120" s="107">
        <f t="shared" ref="F120" si="412">F121+F125+F126+F129+F132</f>
        <v>64799491</v>
      </c>
      <c r="G120" s="107">
        <f t="shared" si="411"/>
        <v>105220249</v>
      </c>
      <c r="H120" s="107">
        <f t="shared" si="411"/>
        <v>2365220577</v>
      </c>
      <c r="I120" s="107">
        <f t="shared" si="411"/>
        <v>2363518822</v>
      </c>
      <c r="J120" s="107">
        <f t="shared" si="411"/>
        <v>5632319</v>
      </c>
      <c r="K120" s="107">
        <f t="shared" ref="K120" si="413">K121+K125+K126+K129+K132</f>
        <v>89611495</v>
      </c>
      <c r="L120" s="107">
        <f t="shared" si="411"/>
        <v>139833649</v>
      </c>
      <c r="M120" s="107">
        <f t="shared" si="411"/>
        <v>2598596285</v>
      </c>
      <c r="N120" s="107">
        <f t="shared" si="411"/>
        <v>2357783733</v>
      </c>
      <c r="O120" s="107">
        <f t="shared" si="411"/>
        <v>-3098700</v>
      </c>
      <c r="P120" s="107">
        <f t="shared" ref="P120" si="414">P121+P125+P126+P129+P132</f>
        <v>120971487</v>
      </c>
      <c r="Q120" s="107">
        <f t="shared" si="411"/>
        <v>132139353</v>
      </c>
      <c r="R120" s="107">
        <f t="shared" si="411"/>
        <v>2607795873</v>
      </c>
      <c r="S120" s="1322"/>
      <c r="T120" s="1322"/>
      <c r="U120" s="1322"/>
      <c r="V120" s="1322"/>
      <c r="W120" s="1322"/>
    </row>
    <row r="121" spans="1:23" s="2" customFormat="1" ht="12">
      <c r="A121" s="130" t="s">
        <v>104</v>
      </c>
      <c r="B121" s="100" t="s">
        <v>105</v>
      </c>
      <c r="C121" s="107">
        <f t="shared" ref="C121" si="415">C122+C124</f>
        <v>765320178</v>
      </c>
      <c r="D121" s="107">
        <f t="shared" ref="D121:R121" si="416">D122+D124</f>
        <v>756988655</v>
      </c>
      <c r="E121" s="107">
        <f t="shared" si="416"/>
        <v>-527838</v>
      </c>
      <c r="F121" s="107">
        <f t="shared" ref="F121" si="417">F122+F124</f>
        <v>44746123</v>
      </c>
      <c r="G121" s="107">
        <f t="shared" si="416"/>
        <v>24249425</v>
      </c>
      <c r="H121" s="107">
        <f t="shared" si="416"/>
        <v>825456365</v>
      </c>
      <c r="I121" s="107">
        <f t="shared" si="416"/>
        <v>754923186</v>
      </c>
      <c r="J121" s="107">
        <f t="shared" si="416"/>
        <v>-758718</v>
      </c>
      <c r="K121" s="107">
        <f t="shared" ref="K121" si="418">K122+K124</f>
        <v>39892181</v>
      </c>
      <c r="L121" s="107">
        <f t="shared" si="416"/>
        <v>34764046</v>
      </c>
      <c r="M121" s="107">
        <f t="shared" si="416"/>
        <v>828820695</v>
      </c>
      <c r="N121" s="107">
        <f t="shared" si="416"/>
        <v>725236579</v>
      </c>
      <c r="O121" s="107">
        <f t="shared" si="416"/>
        <v>-791218</v>
      </c>
      <c r="P121" s="107">
        <f t="shared" ref="P121" si="419">P122+P124</f>
        <v>50580549</v>
      </c>
      <c r="Q121" s="107">
        <f t="shared" si="416"/>
        <v>28613112</v>
      </c>
      <c r="R121" s="107">
        <f t="shared" si="416"/>
        <v>803639022</v>
      </c>
      <c r="S121" s="1322"/>
      <c r="T121" s="1322"/>
      <c r="U121" s="1322"/>
      <c r="V121" s="1322"/>
      <c r="W121" s="1322"/>
    </row>
    <row r="122" spans="1:23" s="2" customFormat="1" ht="12">
      <c r="A122" s="132">
        <v>1000</v>
      </c>
      <c r="B122" s="101" t="s">
        <v>106</v>
      </c>
      <c r="C122" s="107">
        <f t="shared" ref="C122:C125" si="420">C376</f>
        <v>455989489</v>
      </c>
      <c r="D122" s="107">
        <f t="shared" ref="D122:R122" si="421">D376</f>
        <v>450090258.59574383</v>
      </c>
      <c r="E122" s="107">
        <f t="shared" si="421"/>
        <v>21138</v>
      </c>
      <c r="F122" s="107">
        <f t="shared" ref="F122" si="422">F376</f>
        <v>27084542</v>
      </c>
      <c r="G122" s="107">
        <f t="shared" si="421"/>
        <v>10511353</v>
      </c>
      <c r="H122" s="107">
        <f t="shared" si="421"/>
        <v>487707291.59574383</v>
      </c>
      <c r="I122" s="107">
        <f t="shared" si="421"/>
        <v>452717154.59574383</v>
      </c>
      <c r="J122" s="107">
        <f t="shared" si="421"/>
        <v>-55416</v>
      </c>
      <c r="K122" s="107">
        <f t="shared" ref="K122" si="423">K376</f>
        <v>27795479</v>
      </c>
      <c r="L122" s="107">
        <f t="shared" si="421"/>
        <v>13562373</v>
      </c>
      <c r="M122" s="107">
        <f t="shared" si="421"/>
        <v>494019590.59574383</v>
      </c>
      <c r="N122" s="107">
        <f t="shared" si="421"/>
        <v>449020175.59574383</v>
      </c>
      <c r="O122" s="107">
        <f t="shared" si="421"/>
        <v>-55416</v>
      </c>
      <c r="P122" s="107">
        <f t="shared" ref="P122" si="424">P376</f>
        <v>27167846</v>
      </c>
      <c r="Q122" s="107">
        <f t="shared" si="421"/>
        <v>13166538</v>
      </c>
      <c r="R122" s="107">
        <f t="shared" si="421"/>
        <v>489299143.59574383</v>
      </c>
      <c r="S122" s="1322"/>
      <c r="T122" s="1322"/>
      <c r="U122" s="1322"/>
      <c r="V122" s="1322"/>
      <c r="W122" s="1322"/>
    </row>
    <row r="123" spans="1:23" s="2" customFormat="1" ht="12">
      <c r="A123" s="139">
        <v>1100</v>
      </c>
      <c r="B123" s="101" t="s">
        <v>107</v>
      </c>
      <c r="C123" s="107">
        <f t="shared" si="420"/>
        <v>341380600</v>
      </c>
      <c r="D123" s="107">
        <f t="shared" ref="D123:R123" si="425">D377</f>
        <v>336591360.31656182</v>
      </c>
      <c r="E123" s="107">
        <f t="shared" si="425"/>
        <v>-24992</v>
      </c>
      <c r="F123" s="107">
        <f t="shared" ref="F123" si="426">F377</f>
        <v>18991159</v>
      </c>
      <c r="G123" s="107">
        <f t="shared" si="425"/>
        <v>7786252</v>
      </c>
      <c r="H123" s="107">
        <f t="shared" si="425"/>
        <v>363343779.31656182</v>
      </c>
      <c r="I123" s="107">
        <f t="shared" si="425"/>
        <v>338689953.31656182</v>
      </c>
      <c r="J123" s="107">
        <f t="shared" si="425"/>
        <v>-93963</v>
      </c>
      <c r="K123" s="107">
        <f t="shared" ref="K123" si="427">K377</f>
        <v>19224207</v>
      </c>
      <c r="L123" s="107">
        <f t="shared" si="425"/>
        <v>10212626</v>
      </c>
      <c r="M123" s="107">
        <f t="shared" si="425"/>
        <v>368032823.31656182</v>
      </c>
      <c r="N123" s="107">
        <f t="shared" si="425"/>
        <v>335913475.31656182</v>
      </c>
      <c r="O123" s="107">
        <f t="shared" si="425"/>
        <v>-93963</v>
      </c>
      <c r="P123" s="107">
        <f t="shared" ref="P123" si="428">P377</f>
        <v>18978692</v>
      </c>
      <c r="Q123" s="107">
        <f t="shared" si="425"/>
        <v>9847606</v>
      </c>
      <c r="R123" s="107">
        <f t="shared" si="425"/>
        <v>364645810.31656182</v>
      </c>
      <c r="S123" s="1322"/>
      <c r="T123" s="1322"/>
      <c r="U123" s="1322"/>
      <c r="V123" s="1322"/>
      <c r="W123" s="1322"/>
    </row>
    <row r="124" spans="1:23" s="2" customFormat="1" ht="12">
      <c r="A124" s="132">
        <v>2000</v>
      </c>
      <c r="B124" s="101" t="s">
        <v>108</v>
      </c>
      <c r="C124" s="107">
        <f t="shared" si="420"/>
        <v>309330689</v>
      </c>
      <c r="D124" s="107">
        <f t="shared" ref="D124:R124" si="429">D378</f>
        <v>306898396.40425617</v>
      </c>
      <c r="E124" s="107">
        <f t="shared" si="429"/>
        <v>-548976</v>
      </c>
      <c r="F124" s="107">
        <f t="shared" ref="F124" si="430">F378</f>
        <v>17661581</v>
      </c>
      <c r="G124" s="107">
        <f t="shared" si="429"/>
        <v>13738072</v>
      </c>
      <c r="H124" s="107">
        <f t="shared" si="429"/>
        <v>337749073.40425617</v>
      </c>
      <c r="I124" s="107">
        <f t="shared" si="429"/>
        <v>302206031.40425617</v>
      </c>
      <c r="J124" s="107">
        <f t="shared" si="429"/>
        <v>-703302</v>
      </c>
      <c r="K124" s="107">
        <f t="shared" ref="K124" si="431">K378</f>
        <v>12096702</v>
      </c>
      <c r="L124" s="107">
        <f t="shared" si="429"/>
        <v>21201673</v>
      </c>
      <c r="M124" s="107">
        <f t="shared" si="429"/>
        <v>334801104.40425617</v>
      </c>
      <c r="N124" s="107">
        <f t="shared" si="429"/>
        <v>276216403.40425617</v>
      </c>
      <c r="O124" s="107">
        <f t="shared" si="429"/>
        <v>-735802</v>
      </c>
      <c r="P124" s="107">
        <f t="shared" ref="P124" si="432">P378</f>
        <v>23412703</v>
      </c>
      <c r="Q124" s="107">
        <f t="shared" si="429"/>
        <v>15446574</v>
      </c>
      <c r="R124" s="107">
        <f t="shared" si="429"/>
        <v>314339878.40425617</v>
      </c>
      <c r="S124" s="1322"/>
      <c r="T124" s="1322"/>
      <c r="U124" s="1322"/>
      <c r="V124" s="1322"/>
      <c r="W124" s="1322"/>
    </row>
    <row r="125" spans="1:23" s="2" customFormat="1" ht="12">
      <c r="A125" s="140">
        <v>4000</v>
      </c>
      <c r="B125" s="100" t="s">
        <v>132</v>
      </c>
      <c r="C125" s="107">
        <f t="shared" si="420"/>
        <v>233782825</v>
      </c>
      <c r="D125" s="107">
        <f t="shared" ref="D125:R125" si="433">D379</f>
        <v>253957394</v>
      </c>
      <c r="E125" s="107">
        <f t="shared" si="433"/>
        <v>0</v>
      </c>
      <c r="F125" s="107">
        <f t="shared" ref="F125" si="434">F379</f>
        <v>0</v>
      </c>
      <c r="G125" s="107">
        <f t="shared" si="433"/>
        <v>0</v>
      </c>
      <c r="H125" s="107">
        <f t="shared" si="433"/>
        <v>253957394</v>
      </c>
      <c r="I125" s="107">
        <f t="shared" si="433"/>
        <v>319845392</v>
      </c>
      <c r="J125" s="107">
        <f t="shared" si="433"/>
        <v>0</v>
      </c>
      <c r="K125" s="107">
        <f t="shared" ref="K125" si="435">K379</f>
        <v>0</v>
      </c>
      <c r="L125" s="107">
        <f t="shared" si="433"/>
        <v>0</v>
      </c>
      <c r="M125" s="107">
        <f t="shared" si="433"/>
        <v>319845392</v>
      </c>
      <c r="N125" s="107">
        <f t="shared" si="433"/>
        <v>358258636</v>
      </c>
      <c r="O125" s="107">
        <f t="shared" si="433"/>
        <v>0</v>
      </c>
      <c r="P125" s="107">
        <f t="shared" ref="P125" si="436">P379</f>
        <v>0</v>
      </c>
      <c r="Q125" s="107">
        <f t="shared" si="433"/>
        <v>0</v>
      </c>
      <c r="R125" s="107">
        <f t="shared" si="433"/>
        <v>358258636</v>
      </c>
      <c r="S125" s="1322"/>
      <c r="T125" s="1322"/>
      <c r="U125" s="1322"/>
      <c r="V125" s="1322"/>
      <c r="W125" s="1322"/>
    </row>
    <row r="126" spans="1:23" s="2" customFormat="1" ht="12">
      <c r="A126" s="140" t="s">
        <v>109</v>
      </c>
      <c r="B126" s="100" t="s">
        <v>110</v>
      </c>
      <c r="C126" s="107">
        <f t="shared" ref="C126" si="437">C127+C128</f>
        <v>650451442</v>
      </c>
      <c r="D126" s="107">
        <f t="shared" ref="D126:R126" si="438">D127+D128</f>
        <v>643720748</v>
      </c>
      <c r="E126" s="107">
        <f t="shared" si="438"/>
        <v>3070351</v>
      </c>
      <c r="F126" s="107">
        <f t="shared" ref="F126" si="439">F127+F128</f>
        <v>4791897</v>
      </c>
      <c r="G126" s="107">
        <f t="shared" si="438"/>
        <v>63618081</v>
      </c>
      <c r="H126" s="107">
        <f t="shared" si="438"/>
        <v>715201077</v>
      </c>
      <c r="I126" s="107">
        <f t="shared" si="438"/>
        <v>754565223</v>
      </c>
      <c r="J126" s="107">
        <f t="shared" si="438"/>
        <v>-120701073</v>
      </c>
      <c r="K126" s="107">
        <f t="shared" ref="K126" si="440">K127+K128</f>
        <v>33496255</v>
      </c>
      <c r="L126" s="107">
        <f t="shared" si="438"/>
        <v>80967853</v>
      </c>
      <c r="M126" s="107">
        <f t="shared" si="438"/>
        <v>748328258</v>
      </c>
      <c r="N126" s="107">
        <f t="shared" si="438"/>
        <v>741842730</v>
      </c>
      <c r="O126" s="107">
        <f t="shared" si="438"/>
        <v>-124755503</v>
      </c>
      <c r="P126" s="107">
        <f t="shared" ref="P126" si="441">P127+P128</f>
        <v>58268720</v>
      </c>
      <c r="Q126" s="107">
        <f t="shared" si="438"/>
        <v>79445846</v>
      </c>
      <c r="R126" s="107">
        <f t="shared" si="438"/>
        <v>754801793</v>
      </c>
      <c r="S126" s="1322"/>
      <c r="T126" s="1322"/>
      <c r="U126" s="1322"/>
      <c r="V126" s="1322"/>
      <c r="W126" s="1322"/>
    </row>
    <row r="127" spans="1:23" s="2" customFormat="1" ht="12">
      <c r="A127" s="132">
        <v>3000</v>
      </c>
      <c r="B127" s="101" t="s">
        <v>111</v>
      </c>
      <c r="C127" s="107">
        <f>C381</f>
        <v>518771168</v>
      </c>
      <c r="D127" s="107">
        <f t="shared" ref="D127:R127" si="442">D381</f>
        <v>509494600</v>
      </c>
      <c r="E127" s="107">
        <f t="shared" si="442"/>
        <v>2342457</v>
      </c>
      <c r="F127" s="107">
        <f t="shared" ref="F127" si="443">F381</f>
        <v>4105171</v>
      </c>
      <c r="G127" s="107">
        <f t="shared" si="442"/>
        <v>62444746</v>
      </c>
      <c r="H127" s="107">
        <f t="shared" si="442"/>
        <v>578386974</v>
      </c>
      <c r="I127" s="107">
        <f t="shared" si="442"/>
        <v>486858335</v>
      </c>
      <c r="J127" s="107">
        <f t="shared" si="442"/>
        <v>8736655</v>
      </c>
      <c r="K127" s="107">
        <f t="shared" ref="K127" si="444">K381</f>
        <v>31808715</v>
      </c>
      <c r="L127" s="107">
        <f t="shared" si="442"/>
        <v>76388502</v>
      </c>
      <c r="M127" s="107">
        <f t="shared" si="442"/>
        <v>603792207</v>
      </c>
      <c r="N127" s="107">
        <f t="shared" si="442"/>
        <v>474355107</v>
      </c>
      <c r="O127" s="107">
        <f t="shared" si="442"/>
        <v>195635</v>
      </c>
      <c r="P127" s="107">
        <f t="shared" ref="P127" si="445">P381</f>
        <v>38431528</v>
      </c>
      <c r="Q127" s="107">
        <f t="shared" si="442"/>
        <v>72521376</v>
      </c>
      <c r="R127" s="107">
        <f t="shared" si="442"/>
        <v>585503646</v>
      </c>
      <c r="S127" s="1322"/>
      <c r="T127" s="1322"/>
      <c r="U127" s="1322"/>
      <c r="V127" s="1322"/>
      <c r="W127" s="1322"/>
    </row>
    <row r="128" spans="1:23" s="2" customFormat="1" ht="12">
      <c r="A128" s="132">
        <v>6000</v>
      </c>
      <c r="B128" s="101" t="s">
        <v>112</v>
      </c>
      <c r="C128" s="107">
        <f>C382</f>
        <v>131680274</v>
      </c>
      <c r="D128" s="107">
        <f t="shared" ref="D128:R128" si="446">D382</f>
        <v>134226148</v>
      </c>
      <c r="E128" s="107">
        <f t="shared" si="446"/>
        <v>727894</v>
      </c>
      <c r="F128" s="107">
        <f t="shared" ref="F128" si="447">F382</f>
        <v>686726</v>
      </c>
      <c r="G128" s="107">
        <f t="shared" si="446"/>
        <v>1173335</v>
      </c>
      <c r="H128" s="107">
        <f t="shared" si="446"/>
        <v>136814103</v>
      </c>
      <c r="I128" s="107">
        <f t="shared" si="446"/>
        <v>267706888</v>
      </c>
      <c r="J128" s="107">
        <f t="shared" si="446"/>
        <v>-129437728</v>
      </c>
      <c r="K128" s="107">
        <f t="shared" ref="K128" si="448">K382</f>
        <v>1687540</v>
      </c>
      <c r="L128" s="107">
        <f t="shared" si="446"/>
        <v>4579351</v>
      </c>
      <c r="M128" s="107">
        <f t="shared" si="446"/>
        <v>144536051</v>
      </c>
      <c r="N128" s="107">
        <f t="shared" si="446"/>
        <v>267487623</v>
      </c>
      <c r="O128" s="107">
        <f t="shared" si="446"/>
        <v>-124951138</v>
      </c>
      <c r="P128" s="107">
        <f t="shared" ref="P128" si="449">P382</f>
        <v>19837192</v>
      </c>
      <c r="Q128" s="107">
        <f t="shared" si="446"/>
        <v>6924470</v>
      </c>
      <c r="R128" s="107">
        <f t="shared" si="446"/>
        <v>169298147</v>
      </c>
      <c r="S128" s="1322"/>
      <c r="T128" s="1322"/>
      <c r="U128" s="1322"/>
      <c r="V128" s="1322"/>
      <c r="W128" s="1322"/>
    </row>
    <row r="129" spans="1:23" s="2" customFormat="1" ht="22.8">
      <c r="A129" s="140" t="s">
        <v>113</v>
      </c>
      <c r="B129" s="100" t="s">
        <v>183</v>
      </c>
      <c r="C129" s="107">
        <f t="shared" ref="C129" si="450">C130+C131</f>
        <v>151769171</v>
      </c>
      <c r="D129" s="107">
        <f t="shared" ref="D129:R129" si="451">D130+D131</f>
        <v>162193378</v>
      </c>
      <c r="E129" s="107">
        <f t="shared" si="451"/>
        <v>0</v>
      </c>
      <c r="F129" s="107">
        <f t="shared" ref="F129" si="452">F130+F131</f>
        <v>8701492</v>
      </c>
      <c r="G129" s="107">
        <f t="shared" si="451"/>
        <v>24163</v>
      </c>
      <c r="H129" s="107">
        <f t="shared" si="451"/>
        <v>170919033</v>
      </c>
      <c r="I129" s="107">
        <f t="shared" si="451"/>
        <v>170236689</v>
      </c>
      <c r="J129" s="107">
        <f t="shared" si="451"/>
        <v>0</v>
      </c>
      <c r="K129" s="107">
        <f t="shared" ref="K129" si="453">K130+K131</f>
        <v>9991492</v>
      </c>
      <c r="L129" s="107">
        <f t="shared" si="451"/>
        <v>24163</v>
      </c>
      <c r="M129" s="107">
        <f t="shared" si="451"/>
        <v>180252344</v>
      </c>
      <c r="N129" s="107">
        <f t="shared" si="451"/>
        <v>179251617</v>
      </c>
      <c r="O129" s="107">
        <f t="shared" si="451"/>
        <v>0</v>
      </c>
      <c r="P129" s="107">
        <f t="shared" ref="P129" si="454">P130+P131</f>
        <v>5001492</v>
      </c>
      <c r="Q129" s="107">
        <f t="shared" si="451"/>
        <v>24163</v>
      </c>
      <c r="R129" s="107">
        <f t="shared" si="451"/>
        <v>184277272</v>
      </c>
      <c r="S129" s="1322"/>
      <c r="T129" s="1322"/>
      <c r="U129" s="1322"/>
      <c r="V129" s="1322"/>
      <c r="W129" s="1322"/>
    </row>
    <row r="130" spans="1:23" s="2" customFormat="1" ht="12">
      <c r="A130" s="132">
        <v>7600</v>
      </c>
      <c r="B130" s="112" t="s">
        <v>184</v>
      </c>
      <c r="C130" s="107">
        <f>C384</f>
        <v>138883717</v>
      </c>
      <c r="D130" s="107">
        <f t="shared" ref="D130:R130" si="455">D384</f>
        <v>150000000</v>
      </c>
      <c r="E130" s="107">
        <f t="shared" si="455"/>
        <v>0</v>
      </c>
      <c r="F130" s="107">
        <f t="shared" ref="F130" si="456">F384</f>
        <v>8700000</v>
      </c>
      <c r="G130" s="107">
        <f t="shared" si="455"/>
        <v>0</v>
      </c>
      <c r="H130" s="107">
        <f t="shared" si="455"/>
        <v>158700000</v>
      </c>
      <c r="I130" s="107">
        <f t="shared" si="455"/>
        <v>158000000</v>
      </c>
      <c r="J130" s="107">
        <f t="shared" si="455"/>
        <v>0</v>
      </c>
      <c r="K130" s="107">
        <f t="shared" ref="K130" si="457">K384</f>
        <v>9990000</v>
      </c>
      <c r="L130" s="107">
        <f t="shared" si="455"/>
        <v>0</v>
      </c>
      <c r="M130" s="107">
        <f t="shared" si="455"/>
        <v>167990000</v>
      </c>
      <c r="N130" s="107">
        <f t="shared" si="455"/>
        <v>167000000</v>
      </c>
      <c r="O130" s="107">
        <f t="shared" si="455"/>
        <v>0</v>
      </c>
      <c r="P130" s="107">
        <f t="shared" ref="P130" si="458">P384</f>
        <v>5000000</v>
      </c>
      <c r="Q130" s="107">
        <f t="shared" si="455"/>
        <v>0</v>
      </c>
      <c r="R130" s="107">
        <f t="shared" si="455"/>
        <v>172000000</v>
      </c>
      <c r="S130" s="1322"/>
      <c r="T130" s="1322"/>
      <c r="U130" s="1322"/>
      <c r="V130" s="1322"/>
      <c r="W130" s="1322"/>
    </row>
    <row r="131" spans="1:23" s="2" customFormat="1" ht="12">
      <c r="A131" s="132">
        <v>7700</v>
      </c>
      <c r="B131" s="102" t="s">
        <v>114</v>
      </c>
      <c r="C131" s="107">
        <f>C385</f>
        <v>12885454</v>
      </c>
      <c r="D131" s="107">
        <f t="shared" ref="D131:R131" si="459">D385</f>
        <v>12193378</v>
      </c>
      <c r="E131" s="107">
        <f t="shared" si="459"/>
        <v>0</v>
      </c>
      <c r="F131" s="107">
        <f t="shared" ref="F131" si="460">F385</f>
        <v>1492</v>
      </c>
      <c r="G131" s="107">
        <f t="shared" si="459"/>
        <v>24163</v>
      </c>
      <c r="H131" s="107">
        <f t="shared" si="459"/>
        <v>12219033</v>
      </c>
      <c r="I131" s="107">
        <f t="shared" si="459"/>
        <v>12236689</v>
      </c>
      <c r="J131" s="107">
        <f t="shared" si="459"/>
        <v>0</v>
      </c>
      <c r="K131" s="107">
        <f t="shared" ref="K131" si="461">K385</f>
        <v>1492</v>
      </c>
      <c r="L131" s="107">
        <f t="shared" si="459"/>
        <v>24163</v>
      </c>
      <c r="M131" s="107">
        <f t="shared" si="459"/>
        <v>12262344</v>
      </c>
      <c r="N131" s="107">
        <f t="shared" si="459"/>
        <v>12251617</v>
      </c>
      <c r="O131" s="107">
        <f t="shared" si="459"/>
        <v>0</v>
      </c>
      <c r="P131" s="107">
        <f t="shared" ref="P131" si="462">P385</f>
        <v>1492</v>
      </c>
      <c r="Q131" s="107">
        <f t="shared" si="459"/>
        <v>24163</v>
      </c>
      <c r="R131" s="107">
        <f t="shared" si="459"/>
        <v>12277272</v>
      </c>
      <c r="S131" s="1322"/>
      <c r="T131" s="1322"/>
      <c r="U131" s="1322"/>
      <c r="V131" s="1322"/>
      <c r="W131" s="1322"/>
    </row>
    <row r="132" spans="1:23" s="2" customFormat="1" ht="20.399999999999999">
      <c r="A132" s="140" t="s">
        <v>185</v>
      </c>
      <c r="B132" s="100" t="s">
        <v>115</v>
      </c>
      <c r="C132" s="107">
        <f t="shared" ref="C132" si="463">C133+C139+C143+C146</f>
        <v>394149958</v>
      </c>
      <c r="D132" s="107">
        <f t="shared" ref="D132:R132" si="464">D133+D139+D143+D146</f>
        <v>380427327</v>
      </c>
      <c r="E132" s="107">
        <f t="shared" si="464"/>
        <v>-4629178</v>
      </c>
      <c r="F132" s="107">
        <f t="shared" ref="F132" si="465">F133+F139+F143+F146</f>
        <v>6559979</v>
      </c>
      <c r="G132" s="107">
        <f t="shared" si="464"/>
        <v>17328580</v>
      </c>
      <c r="H132" s="107">
        <f t="shared" si="464"/>
        <v>399686708</v>
      </c>
      <c r="I132" s="107">
        <f t="shared" si="464"/>
        <v>363948332</v>
      </c>
      <c r="J132" s="107">
        <f t="shared" si="464"/>
        <v>127092110</v>
      </c>
      <c r="K132" s="107">
        <f t="shared" ref="K132" si="466">K133+K139+K143+K146</f>
        <v>6231567</v>
      </c>
      <c r="L132" s="107">
        <f t="shared" si="464"/>
        <v>24077587</v>
      </c>
      <c r="M132" s="107">
        <f t="shared" si="464"/>
        <v>521349596</v>
      </c>
      <c r="N132" s="107">
        <f t="shared" si="464"/>
        <v>353194171</v>
      </c>
      <c r="O132" s="107">
        <f t="shared" si="464"/>
        <v>122448021</v>
      </c>
      <c r="P132" s="107">
        <f t="shared" ref="P132" si="467">P133+P139+P143+P146</f>
        <v>7120726</v>
      </c>
      <c r="Q132" s="107">
        <f t="shared" si="464"/>
        <v>24056232</v>
      </c>
      <c r="R132" s="107">
        <f t="shared" si="464"/>
        <v>506819150</v>
      </c>
      <c r="S132" s="1322"/>
      <c r="T132" s="1322"/>
      <c r="U132" s="1322"/>
      <c r="V132" s="1322"/>
      <c r="W132" s="1322"/>
    </row>
    <row r="133" spans="1:23" s="2" customFormat="1" ht="12">
      <c r="A133" s="132">
        <v>7100</v>
      </c>
      <c r="B133" s="112" t="s">
        <v>116</v>
      </c>
      <c r="C133" s="107">
        <f t="shared" ref="C133" si="468">C134+C135</f>
        <v>15010694</v>
      </c>
      <c r="D133" s="107">
        <f t="shared" ref="D133:R133" si="469">D134+D135</f>
        <v>14556451</v>
      </c>
      <c r="E133" s="107">
        <f t="shared" si="469"/>
        <v>8117</v>
      </c>
      <c r="F133" s="107">
        <f t="shared" ref="F133" si="470">F134+F135</f>
        <v>2457230</v>
      </c>
      <c r="G133" s="107">
        <f t="shared" si="469"/>
        <v>1476000</v>
      </c>
      <c r="H133" s="107">
        <f t="shared" si="469"/>
        <v>18497798</v>
      </c>
      <c r="I133" s="107">
        <f t="shared" si="469"/>
        <v>14272437</v>
      </c>
      <c r="J133" s="107">
        <f t="shared" si="469"/>
        <v>127092110</v>
      </c>
      <c r="K133" s="107">
        <f t="shared" ref="K133" si="471">K134+K135</f>
        <v>2094445</v>
      </c>
      <c r="L133" s="107">
        <f t="shared" si="469"/>
        <v>1476000</v>
      </c>
      <c r="M133" s="107">
        <f t="shared" si="469"/>
        <v>144934992</v>
      </c>
      <c r="N133" s="107">
        <f t="shared" si="469"/>
        <v>14030007</v>
      </c>
      <c r="O133" s="107">
        <f t="shared" si="469"/>
        <v>122448021</v>
      </c>
      <c r="P133" s="107">
        <f t="shared" ref="P133" si="472">P134+P135</f>
        <v>1703419</v>
      </c>
      <c r="Q133" s="107">
        <f t="shared" si="469"/>
        <v>1476000</v>
      </c>
      <c r="R133" s="107">
        <f t="shared" si="469"/>
        <v>139657447</v>
      </c>
      <c r="S133" s="1322"/>
      <c r="T133" s="1322"/>
      <c r="U133" s="1322"/>
      <c r="V133" s="1322"/>
      <c r="W133" s="1322"/>
    </row>
    <row r="134" spans="1:23" s="2" customFormat="1" ht="24">
      <c r="A134" s="133" t="s">
        <v>117</v>
      </c>
      <c r="B134" s="112" t="s">
        <v>118</v>
      </c>
      <c r="C134" s="107">
        <f t="shared" ref="C134" si="473">C388</f>
        <v>15010694</v>
      </c>
      <c r="D134" s="107">
        <f t="shared" ref="D134:R134" si="474">D388</f>
        <v>14556451</v>
      </c>
      <c r="E134" s="107">
        <f t="shared" si="474"/>
        <v>8117</v>
      </c>
      <c r="F134" s="107">
        <f t="shared" ref="F134" si="475">F388</f>
        <v>2457230</v>
      </c>
      <c r="G134" s="107">
        <f t="shared" si="474"/>
        <v>1476000</v>
      </c>
      <c r="H134" s="107">
        <f t="shared" si="474"/>
        <v>18497798</v>
      </c>
      <c r="I134" s="107">
        <f t="shared" si="474"/>
        <v>14272437</v>
      </c>
      <c r="J134" s="107">
        <f t="shared" si="474"/>
        <v>127092110</v>
      </c>
      <c r="K134" s="107">
        <f t="shared" ref="K134" si="476">K388</f>
        <v>2094445</v>
      </c>
      <c r="L134" s="107">
        <f t="shared" si="474"/>
        <v>1476000</v>
      </c>
      <c r="M134" s="107">
        <f t="shared" si="474"/>
        <v>144934992</v>
      </c>
      <c r="N134" s="107">
        <f t="shared" si="474"/>
        <v>14030007</v>
      </c>
      <c r="O134" s="107">
        <f t="shared" si="474"/>
        <v>122448021</v>
      </c>
      <c r="P134" s="107">
        <f t="shared" ref="P134" si="477">P388</f>
        <v>1703419</v>
      </c>
      <c r="Q134" s="107">
        <f t="shared" si="474"/>
        <v>1476000</v>
      </c>
      <c r="R134" s="107">
        <f t="shared" si="474"/>
        <v>139657447</v>
      </c>
      <c r="S134" s="1322"/>
      <c r="T134" s="1322"/>
      <c r="U134" s="1322"/>
      <c r="V134" s="1322"/>
      <c r="W134" s="1322"/>
    </row>
    <row r="135" spans="1:23" s="2" customFormat="1" ht="24" hidden="1">
      <c r="A135" s="133">
        <v>7130</v>
      </c>
      <c r="B135" s="112" t="s">
        <v>119</v>
      </c>
      <c r="C135" s="107">
        <f t="shared" ref="C135" si="478">SUM(C136:C138)</f>
        <v>0</v>
      </c>
      <c r="D135" s="107">
        <f t="shared" ref="D135:R135" si="479">SUM(D136:D138)</f>
        <v>0</v>
      </c>
      <c r="E135" s="107">
        <f t="shared" si="479"/>
        <v>0</v>
      </c>
      <c r="F135" s="107">
        <f t="shared" ref="F135" si="480">SUM(F136:F138)</f>
        <v>0</v>
      </c>
      <c r="G135" s="107">
        <f t="shared" si="479"/>
        <v>0</v>
      </c>
      <c r="H135" s="107">
        <f t="shared" si="479"/>
        <v>0</v>
      </c>
      <c r="I135" s="107">
        <f t="shared" si="479"/>
        <v>0</v>
      </c>
      <c r="J135" s="107">
        <f t="shared" si="479"/>
        <v>0</v>
      </c>
      <c r="K135" s="107">
        <f t="shared" ref="K135" si="481">SUM(K136:K138)</f>
        <v>0</v>
      </c>
      <c r="L135" s="107">
        <f t="shared" si="479"/>
        <v>0</v>
      </c>
      <c r="M135" s="107">
        <f t="shared" si="479"/>
        <v>0</v>
      </c>
      <c r="N135" s="107">
        <f t="shared" si="479"/>
        <v>0</v>
      </c>
      <c r="O135" s="107">
        <f t="shared" si="479"/>
        <v>0</v>
      </c>
      <c r="P135" s="107">
        <f t="shared" ref="P135" si="482">SUM(P136:P138)</f>
        <v>0</v>
      </c>
      <c r="Q135" s="107">
        <f t="shared" si="479"/>
        <v>0</v>
      </c>
      <c r="R135" s="107">
        <f t="shared" si="479"/>
        <v>0</v>
      </c>
      <c r="S135" s="1322"/>
      <c r="T135" s="1322"/>
      <c r="U135" s="1322"/>
      <c r="V135" s="1322"/>
      <c r="W135" s="1322"/>
    </row>
    <row r="136" spans="1:23" s="2" customFormat="1" ht="36" hidden="1">
      <c r="A136" s="134">
        <v>7131</v>
      </c>
      <c r="B136" s="112" t="s">
        <v>120</v>
      </c>
      <c r="C136" s="300"/>
      <c r="D136" s="300"/>
      <c r="E136" s="300"/>
      <c r="F136" s="300"/>
      <c r="G136" s="300"/>
      <c r="H136" s="300"/>
      <c r="I136" s="300"/>
      <c r="J136" s="300"/>
      <c r="K136" s="300"/>
      <c r="L136" s="300"/>
      <c r="M136" s="300"/>
      <c r="N136" s="300"/>
      <c r="O136" s="300"/>
      <c r="P136" s="300"/>
      <c r="Q136" s="300"/>
      <c r="R136" s="300"/>
      <c r="S136" s="1322"/>
      <c r="T136" s="1322"/>
      <c r="U136" s="1322"/>
      <c r="V136" s="1322"/>
      <c r="W136" s="1322"/>
    </row>
    <row r="137" spans="1:23" s="2" customFormat="1" ht="36" hidden="1">
      <c r="A137" s="134">
        <v>7132</v>
      </c>
      <c r="B137" s="112" t="s">
        <v>121</v>
      </c>
      <c r="C137" s="300"/>
      <c r="D137" s="300"/>
      <c r="E137" s="300"/>
      <c r="F137" s="300"/>
      <c r="G137" s="300"/>
      <c r="H137" s="300"/>
      <c r="I137" s="300"/>
      <c r="J137" s="300"/>
      <c r="K137" s="300"/>
      <c r="L137" s="300"/>
      <c r="M137" s="300"/>
      <c r="N137" s="300"/>
      <c r="O137" s="300"/>
      <c r="P137" s="300"/>
      <c r="Q137" s="300"/>
      <c r="R137" s="300"/>
      <c r="S137" s="1322"/>
      <c r="T137" s="1322"/>
      <c r="U137" s="1322"/>
      <c r="V137" s="1322"/>
      <c r="W137" s="1322"/>
    </row>
    <row r="138" spans="1:23" s="2" customFormat="1" ht="36" hidden="1">
      <c r="A138" s="134" t="s">
        <v>186</v>
      </c>
      <c r="B138" s="112" t="s">
        <v>187</v>
      </c>
      <c r="C138" s="300"/>
      <c r="D138" s="300"/>
      <c r="E138" s="300"/>
      <c r="F138" s="300"/>
      <c r="G138" s="300"/>
      <c r="H138" s="300"/>
      <c r="I138" s="300"/>
      <c r="J138" s="300"/>
      <c r="K138" s="300"/>
      <c r="L138" s="300"/>
      <c r="M138" s="300"/>
      <c r="N138" s="300"/>
      <c r="O138" s="300"/>
      <c r="P138" s="300"/>
      <c r="Q138" s="300"/>
      <c r="R138" s="300"/>
      <c r="S138" s="1322"/>
      <c r="T138" s="1322"/>
      <c r="U138" s="1322"/>
      <c r="V138" s="1322"/>
      <c r="W138" s="1322"/>
    </row>
    <row r="139" spans="1:23" s="2" customFormat="1" ht="24">
      <c r="A139" s="132">
        <v>7300</v>
      </c>
      <c r="B139" s="108" t="s">
        <v>155</v>
      </c>
      <c r="C139" s="107">
        <f t="shared" ref="C139" si="483">SUM(C140:C142)</f>
        <v>350916399</v>
      </c>
      <c r="D139" s="107">
        <f t="shared" ref="D139:R139" si="484">SUM(D140:D142)</f>
        <v>339216241</v>
      </c>
      <c r="E139" s="107">
        <f t="shared" si="484"/>
        <v>-4637295</v>
      </c>
      <c r="F139" s="107">
        <f t="shared" ref="F139" si="485">SUM(F140:F142)</f>
        <v>4299793</v>
      </c>
      <c r="G139" s="107">
        <f t="shared" si="484"/>
        <v>13637638</v>
      </c>
      <c r="H139" s="107">
        <f t="shared" si="484"/>
        <v>352516377</v>
      </c>
      <c r="I139" s="107">
        <f t="shared" si="484"/>
        <v>328735534</v>
      </c>
      <c r="J139" s="107">
        <f t="shared" si="484"/>
        <v>0</v>
      </c>
      <c r="K139" s="107">
        <f t="shared" ref="K139" si="486">SUM(K140:K142)</f>
        <v>4337122</v>
      </c>
      <c r="L139" s="107">
        <f t="shared" si="484"/>
        <v>19580305</v>
      </c>
      <c r="M139" s="107">
        <f t="shared" si="484"/>
        <v>352652961</v>
      </c>
      <c r="N139" s="107">
        <f t="shared" si="484"/>
        <v>318223803</v>
      </c>
      <c r="O139" s="107">
        <f t="shared" si="484"/>
        <v>0</v>
      </c>
      <c r="P139" s="107">
        <f t="shared" ref="P139" si="487">SUM(P140:P142)</f>
        <v>5617307</v>
      </c>
      <c r="Q139" s="107">
        <f t="shared" si="484"/>
        <v>19530507</v>
      </c>
      <c r="R139" s="107">
        <f t="shared" si="484"/>
        <v>343371617</v>
      </c>
      <c r="S139" s="1322"/>
      <c r="T139" s="1322"/>
      <c r="U139" s="1322"/>
      <c r="V139" s="1322"/>
      <c r="W139" s="1322"/>
    </row>
    <row r="140" spans="1:23" s="2" customFormat="1" ht="24">
      <c r="A140" s="133" t="s">
        <v>188</v>
      </c>
      <c r="B140" s="112" t="s">
        <v>170</v>
      </c>
      <c r="C140" s="107">
        <f t="shared" ref="C140" si="488">C394</f>
        <v>272762561</v>
      </c>
      <c r="D140" s="107">
        <f t="shared" ref="D140:R140" si="489">D394</f>
        <v>261174978</v>
      </c>
      <c r="E140" s="107">
        <f t="shared" si="489"/>
        <v>-3716212</v>
      </c>
      <c r="F140" s="107">
        <f t="shared" ref="F140" si="490">F394</f>
        <v>4299793</v>
      </c>
      <c r="G140" s="107">
        <f t="shared" si="489"/>
        <v>13504340</v>
      </c>
      <c r="H140" s="107">
        <f t="shared" si="489"/>
        <v>275262899</v>
      </c>
      <c r="I140" s="107">
        <f t="shared" si="489"/>
        <v>252441429</v>
      </c>
      <c r="J140" s="107">
        <f t="shared" si="489"/>
        <v>0</v>
      </c>
      <c r="K140" s="107">
        <f t="shared" ref="K140" si="491">K394</f>
        <v>4337122</v>
      </c>
      <c r="L140" s="107">
        <f t="shared" si="489"/>
        <v>19340558</v>
      </c>
      <c r="M140" s="107">
        <f t="shared" si="489"/>
        <v>276119109</v>
      </c>
      <c r="N140" s="107">
        <f t="shared" si="489"/>
        <v>242865380</v>
      </c>
      <c r="O140" s="107">
        <f t="shared" si="489"/>
        <v>0</v>
      </c>
      <c r="P140" s="107">
        <f t="shared" ref="P140" si="492">P394</f>
        <v>5617307</v>
      </c>
      <c r="Q140" s="107">
        <f t="shared" si="489"/>
        <v>19417903</v>
      </c>
      <c r="R140" s="107">
        <f t="shared" si="489"/>
        <v>267900590</v>
      </c>
      <c r="S140" s="1322"/>
      <c r="T140" s="1322"/>
      <c r="U140" s="1322"/>
      <c r="V140" s="1322"/>
      <c r="W140" s="1322"/>
    </row>
    <row r="141" spans="1:23" s="2" customFormat="1" ht="48" hidden="1">
      <c r="A141" s="133" t="s">
        <v>189</v>
      </c>
      <c r="B141" s="112" t="s">
        <v>156</v>
      </c>
      <c r="C141" s="107">
        <f t="shared" ref="C141" si="493">C395</f>
        <v>0</v>
      </c>
      <c r="D141" s="107">
        <f t="shared" ref="D141:R141" si="494">D395</f>
        <v>0</v>
      </c>
      <c r="E141" s="107">
        <f t="shared" si="494"/>
        <v>0</v>
      </c>
      <c r="F141" s="107">
        <f t="shared" ref="F141" si="495">F395</f>
        <v>0</v>
      </c>
      <c r="G141" s="107">
        <f t="shared" si="494"/>
        <v>0</v>
      </c>
      <c r="H141" s="107">
        <f t="shared" si="494"/>
        <v>0</v>
      </c>
      <c r="I141" s="107">
        <f t="shared" si="494"/>
        <v>0</v>
      </c>
      <c r="J141" s="107">
        <f t="shared" si="494"/>
        <v>0</v>
      </c>
      <c r="K141" s="107">
        <f t="shared" ref="K141" si="496">K395</f>
        <v>0</v>
      </c>
      <c r="L141" s="107">
        <f t="shared" si="494"/>
        <v>0</v>
      </c>
      <c r="M141" s="107">
        <f t="shared" si="494"/>
        <v>0</v>
      </c>
      <c r="N141" s="107">
        <f t="shared" si="494"/>
        <v>0</v>
      </c>
      <c r="O141" s="107">
        <f t="shared" si="494"/>
        <v>0</v>
      </c>
      <c r="P141" s="107">
        <f t="shared" ref="P141" si="497">P395</f>
        <v>0</v>
      </c>
      <c r="Q141" s="107">
        <f t="shared" si="494"/>
        <v>0</v>
      </c>
      <c r="R141" s="107">
        <f t="shared" si="494"/>
        <v>0</v>
      </c>
      <c r="S141" s="1322"/>
      <c r="T141" s="1322"/>
      <c r="U141" s="1322"/>
      <c r="V141" s="1322"/>
      <c r="W141" s="1322"/>
    </row>
    <row r="142" spans="1:23" s="2" customFormat="1" ht="36">
      <c r="A142" s="133">
        <v>7350</v>
      </c>
      <c r="B142" s="112" t="s">
        <v>163</v>
      </c>
      <c r="C142" s="107">
        <f t="shared" ref="C142" si="498">C396</f>
        <v>78153838</v>
      </c>
      <c r="D142" s="107">
        <f t="shared" ref="D142:R142" si="499">D396</f>
        <v>78041263</v>
      </c>
      <c r="E142" s="107">
        <f t="shared" si="499"/>
        <v>-921083</v>
      </c>
      <c r="F142" s="107">
        <f t="shared" ref="F142" si="500">F396</f>
        <v>0</v>
      </c>
      <c r="G142" s="107">
        <f t="shared" si="499"/>
        <v>133298</v>
      </c>
      <c r="H142" s="107">
        <f t="shared" si="499"/>
        <v>77253478</v>
      </c>
      <c r="I142" s="107">
        <f t="shared" si="499"/>
        <v>76294105</v>
      </c>
      <c r="J142" s="107">
        <f t="shared" si="499"/>
        <v>0</v>
      </c>
      <c r="K142" s="107">
        <f t="shared" ref="K142" si="501">K396</f>
        <v>0</v>
      </c>
      <c r="L142" s="107">
        <f t="shared" si="499"/>
        <v>239747</v>
      </c>
      <c r="M142" s="107">
        <f t="shared" si="499"/>
        <v>76533852</v>
      </c>
      <c r="N142" s="107">
        <f t="shared" si="499"/>
        <v>75358423</v>
      </c>
      <c r="O142" s="107">
        <f t="shared" si="499"/>
        <v>0</v>
      </c>
      <c r="P142" s="107">
        <f t="shared" ref="P142" si="502">P396</f>
        <v>0</v>
      </c>
      <c r="Q142" s="107">
        <f t="shared" si="499"/>
        <v>112604</v>
      </c>
      <c r="R142" s="107">
        <f t="shared" si="499"/>
        <v>75471027</v>
      </c>
      <c r="S142" s="1322"/>
      <c r="T142" s="1322"/>
      <c r="U142" s="1322"/>
      <c r="V142" s="1322"/>
      <c r="W142" s="1322"/>
    </row>
    <row r="143" spans="1:23" s="2" customFormat="1" ht="24">
      <c r="A143" s="132">
        <v>7400</v>
      </c>
      <c r="B143" s="108" t="s">
        <v>161</v>
      </c>
      <c r="C143" s="107">
        <f t="shared" ref="C143" si="503">SUM(C144:C145)</f>
        <v>28222865</v>
      </c>
      <c r="D143" s="107">
        <f t="shared" ref="D143:R143" si="504">SUM(D144:D145)</f>
        <v>26654635</v>
      </c>
      <c r="E143" s="107">
        <f t="shared" si="504"/>
        <v>0</v>
      </c>
      <c r="F143" s="107">
        <f t="shared" ref="F143" si="505">SUM(F144:F145)</f>
        <v>-197044</v>
      </c>
      <c r="G143" s="107">
        <f t="shared" si="504"/>
        <v>2214942</v>
      </c>
      <c r="H143" s="107">
        <f t="shared" si="504"/>
        <v>28672533</v>
      </c>
      <c r="I143" s="107">
        <f t="shared" si="504"/>
        <v>20940361</v>
      </c>
      <c r="J143" s="107">
        <f t="shared" si="504"/>
        <v>0</v>
      </c>
      <c r="K143" s="107">
        <f t="shared" ref="K143" si="506">SUM(K144:K145)</f>
        <v>-200000</v>
      </c>
      <c r="L143" s="107">
        <f t="shared" si="504"/>
        <v>3021282</v>
      </c>
      <c r="M143" s="107">
        <f t="shared" si="504"/>
        <v>23761643</v>
      </c>
      <c r="N143" s="107">
        <f t="shared" si="504"/>
        <v>20940361</v>
      </c>
      <c r="O143" s="107">
        <f t="shared" si="504"/>
        <v>0</v>
      </c>
      <c r="P143" s="107">
        <f t="shared" ref="P143" si="507">SUM(P144:P145)</f>
        <v>-200000</v>
      </c>
      <c r="Q143" s="107">
        <f t="shared" si="504"/>
        <v>3049725</v>
      </c>
      <c r="R143" s="107">
        <f t="shared" si="504"/>
        <v>23790086</v>
      </c>
      <c r="S143" s="1322"/>
      <c r="T143" s="1322"/>
      <c r="U143" s="1322"/>
      <c r="V143" s="1322"/>
      <c r="W143" s="1322"/>
    </row>
    <row r="144" spans="1:23" s="2" customFormat="1" ht="24">
      <c r="A144" s="133">
        <v>7460</v>
      </c>
      <c r="B144" s="108" t="s">
        <v>162</v>
      </c>
      <c r="C144" s="107">
        <f t="shared" ref="C144" si="508">C398</f>
        <v>16429517</v>
      </c>
      <c r="D144" s="107">
        <f t="shared" ref="D144:R144" si="509">D398</f>
        <v>16447171</v>
      </c>
      <c r="E144" s="107">
        <f t="shared" si="509"/>
        <v>0</v>
      </c>
      <c r="F144" s="107">
        <f t="shared" ref="F144" si="510">F398</f>
        <v>0</v>
      </c>
      <c r="G144" s="107">
        <f t="shared" si="509"/>
        <v>114935</v>
      </c>
      <c r="H144" s="107">
        <f t="shared" si="509"/>
        <v>16562106</v>
      </c>
      <c r="I144" s="107">
        <f t="shared" si="509"/>
        <v>10732897</v>
      </c>
      <c r="J144" s="107">
        <f t="shared" si="509"/>
        <v>0</v>
      </c>
      <c r="K144" s="107">
        <f t="shared" ref="K144" si="511">K398</f>
        <v>0</v>
      </c>
      <c r="L144" s="107">
        <f t="shared" si="509"/>
        <v>114935</v>
      </c>
      <c r="M144" s="107">
        <f t="shared" si="509"/>
        <v>10847832</v>
      </c>
      <c r="N144" s="107">
        <f t="shared" si="509"/>
        <v>10732897</v>
      </c>
      <c r="O144" s="107">
        <f t="shared" si="509"/>
        <v>0</v>
      </c>
      <c r="P144" s="107">
        <f t="shared" ref="P144" si="512">P398</f>
        <v>0</v>
      </c>
      <c r="Q144" s="107">
        <f t="shared" si="509"/>
        <v>114935</v>
      </c>
      <c r="R144" s="107">
        <f t="shared" si="509"/>
        <v>10847832</v>
      </c>
      <c r="S144" s="1322"/>
      <c r="T144" s="1322"/>
      <c r="U144" s="1322"/>
      <c r="V144" s="1322"/>
      <c r="W144" s="1322"/>
    </row>
    <row r="145" spans="1:23" s="2" customFormat="1" ht="48">
      <c r="A145" s="133">
        <v>7470</v>
      </c>
      <c r="B145" s="112" t="s">
        <v>167</v>
      </c>
      <c r="C145" s="107">
        <f t="shared" ref="C145" si="513">C399</f>
        <v>11793348</v>
      </c>
      <c r="D145" s="107">
        <f t="shared" ref="D145:R145" si="514">D399</f>
        <v>10207464</v>
      </c>
      <c r="E145" s="107">
        <f t="shared" si="514"/>
        <v>0</v>
      </c>
      <c r="F145" s="107">
        <f t="shared" ref="F145" si="515">F399</f>
        <v>-197044</v>
      </c>
      <c r="G145" s="107">
        <f t="shared" si="514"/>
        <v>2100007</v>
      </c>
      <c r="H145" s="107">
        <f t="shared" si="514"/>
        <v>12110427</v>
      </c>
      <c r="I145" s="107">
        <f t="shared" si="514"/>
        <v>10207464</v>
      </c>
      <c r="J145" s="107">
        <f t="shared" si="514"/>
        <v>0</v>
      </c>
      <c r="K145" s="107">
        <f t="shared" ref="K145" si="516">K399</f>
        <v>-200000</v>
      </c>
      <c r="L145" s="107">
        <f t="shared" si="514"/>
        <v>2906347</v>
      </c>
      <c r="M145" s="107">
        <f t="shared" si="514"/>
        <v>12913811</v>
      </c>
      <c r="N145" s="107">
        <f t="shared" si="514"/>
        <v>10207464</v>
      </c>
      <c r="O145" s="107">
        <f t="shared" si="514"/>
        <v>0</v>
      </c>
      <c r="P145" s="107">
        <f t="shared" ref="P145" si="517">P399</f>
        <v>-200000</v>
      </c>
      <c r="Q145" s="107">
        <f t="shared" si="514"/>
        <v>2934790</v>
      </c>
      <c r="R145" s="107">
        <f t="shared" si="514"/>
        <v>12942254</v>
      </c>
      <c r="S145" s="1322"/>
      <c r="T145" s="1322"/>
      <c r="U145" s="1322"/>
      <c r="V145" s="1322"/>
      <c r="W145" s="1322"/>
    </row>
    <row r="146" spans="1:23" s="2" customFormat="1" ht="24" hidden="1">
      <c r="A146" s="132">
        <v>7500</v>
      </c>
      <c r="B146" s="112" t="s">
        <v>157</v>
      </c>
      <c r="C146" s="300"/>
      <c r="D146" s="300"/>
      <c r="E146" s="300"/>
      <c r="F146" s="300"/>
      <c r="G146" s="300"/>
      <c r="H146" s="300"/>
      <c r="I146" s="300"/>
      <c r="J146" s="300"/>
      <c r="K146" s="300"/>
      <c r="L146" s="300"/>
      <c r="M146" s="300"/>
      <c r="N146" s="300"/>
      <c r="O146" s="300"/>
      <c r="P146" s="300"/>
      <c r="Q146" s="300"/>
      <c r="R146" s="300"/>
      <c r="S146" s="1322"/>
      <c r="T146" s="1322"/>
      <c r="U146" s="1322"/>
      <c r="V146" s="1322"/>
      <c r="W146" s="1322"/>
    </row>
    <row r="147" spans="1:23" s="2" customFormat="1" ht="11.4">
      <c r="A147" s="140" t="s">
        <v>133</v>
      </c>
      <c r="B147" s="100" t="s">
        <v>122</v>
      </c>
      <c r="C147" s="114">
        <f t="shared" ref="C147" si="518">C148+C149</f>
        <v>67526977</v>
      </c>
      <c r="D147" s="114">
        <f t="shared" ref="D147:R147" si="519">D148+D149</f>
        <v>42853895</v>
      </c>
      <c r="E147" s="114">
        <f t="shared" si="519"/>
        <v>-49204</v>
      </c>
      <c r="F147" s="114">
        <f t="shared" ref="F147" si="520">F148+F149</f>
        <v>477734</v>
      </c>
      <c r="G147" s="114">
        <f t="shared" si="519"/>
        <v>16568864</v>
      </c>
      <c r="H147" s="114">
        <f t="shared" si="519"/>
        <v>59851289</v>
      </c>
      <c r="I147" s="114">
        <f t="shared" si="519"/>
        <v>25394004</v>
      </c>
      <c r="J147" s="114">
        <f t="shared" si="519"/>
        <v>-56834</v>
      </c>
      <c r="K147" s="114">
        <f t="shared" ref="K147" si="521">K148+K149</f>
        <v>173451</v>
      </c>
      <c r="L147" s="114">
        <f t="shared" si="519"/>
        <v>28435188</v>
      </c>
      <c r="M147" s="114">
        <f t="shared" si="519"/>
        <v>53945809</v>
      </c>
      <c r="N147" s="114">
        <f t="shared" si="519"/>
        <v>25017972</v>
      </c>
      <c r="O147" s="114">
        <f t="shared" si="519"/>
        <v>-46834</v>
      </c>
      <c r="P147" s="114">
        <f t="shared" ref="P147" si="522">P148+P149</f>
        <v>573772</v>
      </c>
      <c r="Q147" s="114">
        <f t="shared" si="519"/>
        <v>25424363</v>
      </c>
      <c r="R147" s="114">
        <f t="shared" si="519"/>
        <v>50969273</v>
      </c>
      <c r="S147" s="1322"/>
      <c r="T147" s="1322"/>
      <c r="U147" s="1322"/>
      <c r="V147" s="1322"/>
      <c r="W147" s="1322"/>
    </row>
    <row r="148" spans="1:23" s="2" customFormat="1" ht="12">
      <c r="A148" s="140">
        <v>5000</v>
      </c>
      <c r="B148" s="100" t="s">
        <v>123</v>
      </c>
      <c r="C148" s="107">
        <f t="shared" ref="C148" si="523">C402</f>
        <v>67119789</v>
      </c>
      <c r="D148" s="107">
        <f t="shared" ref="D148:R148" si="524">D402</f>
        <v>42446707</v>
      </c>
      <c r="E148" s="107">
        <f t="shared" si="524"/>
        <v>-49204</v>
      </c>
      <c r="F148" s="107">
        <f t="shared" ref="F148" si="525">F402</f>
        <v>477734</v>
      </c>
      <c r="G148" s="107">
        <f t="shared" si="524"/>
        <v>16568864</v>
      </c>
      <c r="H148" s="107">
        <f t="shared" si="524"/>
        <v>59444101</v>
      </c>
      <c r="I148" s="107">
        <f t="shared" si="524"/>
        <v>24986816</v>
      </c>
      <c r="J148" s="107">
        <f t="shared" si="524"/>
        <v>-56834</v>
      </c>
      <c r="K148" s="107">
        <f t="shared" ref="K148" si="526">K402</f>
        <v>173451</v>
      </c>
      <c r="L148" s="107">
        <f t="shared" si="524"/>
        <v>28435188</v>
      </c>
      <c r="M148" s="107">
        <f t="shared" si="524"/>
        <v>53538621</v>
      </c>
      <c r="N148" s="107">
        <f t="shared" si="524"/>
        <v>24610784</v>
      </c>
      <c r="O148" s="107">
        <f t="shared" si="524"/>
        <v>-46834</v>
      </c>
      <c r="P148" s="107">
        <f t="shared" ref="P148" si="527">P402</f>
        <v>573772</v>
      </c>
      <c r="Q148" s="107">
        <f t="shared" si="524"/>
        <v>25424363</v>
      </c>
      <c r="R148" s="107">
        <f t="shared" si="524"/>
        <v>50562085</v>
      </c>
      <c r="S148" s="1322"/>
      <c r="T148" s="1322"/>
      <c r="U148" s="1322"/>
      <c r="V148" s="1322"/>
      <c r="W148" s="1322"/>
    </row>
    <row r="149" spans="1:23" s="2" customFormat="1" ht="12">
      <c r="A149" s="140">
        <v>9000</v>
      </c>
      <c r="B149" s="115" t="s">
        <v>164</v>
      </c>
      <c r="C149" s="107">
        <f t="shared" ref="C149" si="528">C150+C156+C160+C163</f>
        <v>407188</v>
      </c>
      <c r="D149" s="107">
        <f t="shared" ref="D149:R149" si="529">D150+D156+D160+D163</f>
        <v>407188</v>
      </c>
      <c r="E149" s="107">
        <f t="shared" si="529"/>
        <v>0</v>
      </c>
      <c r="F149" s="107">
        <f t="shared" ref="F149" si="530">F150+F156+F160+F163</f>
        <v>0</v>
      </c>
      <c r="G149" s="107">
        <f t="shared" si="529"/>
        <v>0</v>
      </c>
      <c r="H149" s="107">
        <f t="shared" si="529"/>
        <v>407188</v>
      </c>
      <c r="I149" s="107">
        <f t="shared" si="529"/>
        <v>407188</v>
      </c>
      <c r="J149" s="107">
        <f t="shared" si="529"/>
        <v>0</v>
      </c>
      <c r="K149" s="107">
        <f t="shared" ref="K149" si="531">K150+K156+K160+K163</f>
        <v>0</v>
      </c>
      <c r="L149" s="107">
        <f t="shared" si="529"/>
        <v>0</v>
      </c>
      <c r="M149" s="107">
        <f t="shared" si="529"/>
        <v>407188</v>
      </c>
      <c r="N149" s="107">
        <f t="shared" si="529"/>
        <v>407188</v>
      </c>
      <c r="O149" s="107">
        <f t="shared" si="529"/>
        <v>0</v>
      </c>
      <c r="P149" s="107">
        <f t="shared" ref="P149" si="532">P150+P156+P160+P163</f>
        <v>0</v>
      </c>
      <c r="Q149" s="107">
        <f t="shared" si="529"/>
        <v>0</v>
      </c>
      <c r="R149" s="107">
        <f t="shared" si="529"/>
        <v>407188</v>
      </c>
      <c r="S149" s="1322"/>
      <c r="T149" s="1322"/>
      <c r="U149" s="1322"/>
      <c r="V149" s="1322"/>
      <c r="W149" s="1322"/>
    </row>
    <row r="150" spans="1:23" s="2" customFormat="1" ht="12" hidden="1">
      <c r="A150" s="141">
        <v>9100</v>
      </c>
      <c r="B150" s="112" t="s">
        <v>124</v>
      </c>
      <c r="C150" s="107">
        <f t="shared" ref="C150" si="533">SUM(C151:C152)</f>
        <v>0</v>
      </c>
      <c r="D150" s="107">
        <f t="shared" ref="D150:R150" si="534">SUM(D151:D152)</f>
        <v>0</v>
      </c>
      <c r="E150" s="107">
        <f t="shared" si="534"/>
        <v>0</v>
      </c>
      <c r="F150" s="107">
        <f t="shared" ref="F150" si="535">SUM(F151:F152)</f>
        <v>0</v>
      </c>
      <c r="G150" s="107">
        <f t="shared" si="534"/>
        <v>0</v>
      </c>
      <c r="H150" s="107">
        <f t="shared" si="534"/>
        <v>0</v>
      </c>
      <c r="I150" s="107">
        <f t="shared" si="534"/>
        <v>0</v>
      </c>
      <c r="J150" s="107">
        <f t="shared" si="534"/>
        <v>0</v>
      </c>
      <c r="K150" s="107">
        <f t="shared" ref="K150" si="536">SUM(K151:K152)</f>
        <v>0</v>
      </c>
      <c r="L150" s="107">
        <f t="shared" si="534"/>
        <v>0</v>
      </c>
      <c r="M150" s="107">
        <f t="shared" si="534"/>
        <v>0</v>
      </c>
      <c r="N150" s="107">
        <f t="shared" si="534"/>
        <v>0</v>
      </c>
      <c r="O150" s="107">
        <f t="shared" si="534"/>
        <v>0</v>
      </c>
      <c r="P150" s="107">
        <f t="shared" ref="P150" si="537">SUM(P151:P152)</f>
        <v>0</v>
      </c>
      <c r="Q150" s="107">
        <f t="shared" si="534"/>
        <v>0</v>
      </c>
      <c r="R150" s="107">
        <f t="shared" si="534"/>
        <v>0</v>
      </c>
      <c r="S150" s="1322"/>
      <c r="T150" s="1322"/>
      <c r="U150" s="1322"/>
      <c r="V150" s="1322"/>
      <c r="W150" s="1322"/>
    </row>
    <row r="151" spans="1:23" s="2" customFormat="1" ht="24" hidden="1">
      <c r="A151" s="133" t="s">
        <v>125</v>
      </c>
      <c r="B151" s="112" t="s">
        <v>203</v>
      </c>
      <c r="C151" s="107">
        <f t="shared" ref="C151" si="538">C405</f>
        <v>0</v>
      </c>
      <c r="D151" s="107">
        <f t="shared" ref="D151:R151" si="539">D405</f>
        <v>0</v>
      </c>
      <c r="E151" s="107">
        <f t="shared" si="539"/>
        <v>0</v>
      </c>
      <c r="F151" s="107">
        <f t="shared" ref="F151" si="540">F405</f>
        <v>0</v>
      </c>
      <c r="G151" s="107">
        <f t="shared" si="539"/>
        <v>0</v>
      </c>
      <c r="H151" s="107">
        <f t="shared" si="539"/>
        <v>0</v>
      </c>
      <c r="I151" s="107">
        <f t="shared" si="539"/>
        <v>0</v>
      </c>
      <c r="J151" s="107">
        <f t="shared" si="539"/>
        <v>0</v>
      </c>
      <c r="K151" s="107">
        <f t="shared" ref="K151" si="541">K405</f>
        <v>0</v>
      </c>
      <c r="L151" s="107">
        <f t="shared" si="539"/>
        <v>0</v>
      </c>
      <c r="M151" s="107">
        <f t="shared" si="539"/>
        <v>0</v>
      </c>
      <c r="N151" s="107">
        <f t="shared" si="539"/>
        <v>0</v>
      </c>
      <c r="O151" s="107">
        <f t="shared" si="539"/>
        <v>0</v>
      </c>
      <c r="P151" s="107">
        <f t="shared" ref="P151" si="542">P405</f>
        <v>0</v>
      </c>
      <c r="Q151" s="107">
        <f t="shared" si="539"/>
        <v>0</v>
      </c>
      <c r="R151" s="107">
        <f t="shared" si="539"/>
        <v>0</v>
      </c>
      <c r="S151" s="1322"/>
      <c r="T151" s="1322"/>
      <c r="U151" s="1322"/>
      <c r="V151" s="1322"/>
      <c r="W151" s="1322"/>
    </row>
    <row r="152" spans="1:23" s="2" customFormat="1" ht="24" hidden="1">
      <c r="A152" s="133">
        <v>9140</v>
      </c>
      <c r="B152" s="112" t="s">
        <v>204</v>
      </c>
      <c r="C152" s="107">
        <f t="shared" ref="C152" si="543">SUM(C153:C155)</f>
        <v>0</v>
      </c>
      <c r="D152" s="107">
        <f t="shared" ref="D152:R152" si="544">SUM(D153:D155)</f>
        <v>0</v>
      </c>
      <c r="E152" s="107">
        <f t="shared" si="544"/>
        <v>0</v>
      </c>
      <c r="F152" s="107">
        <f t="shared" ref="F152" si="545">SUM(F153:F155)</f>
        <v>0</v>
      </c>
      <c r="G152" s="107">
        <f t="shared" si="544"/>
        <v>0</v>
      </c>
      <c r="H152" s="107">
        <f t="shared" si="544"/>
        <v>0</v>
      </c>
      <c r="I152" s="107">
        <f t="shared" si="544"/>
        <v>0</v>
      </c>
      <c r="J152" s="107">
        <f t="shared" si="544"/>
        <v>0</v>
      </c>
      <c r="K152" s="107">
        <f t="shared" ref="K152" si="546">SUM(K153:K155)</f>
        <v>0</v>
      </c>
      <c r="L152" s="107">
        <f t="shared" si="544"/>
        <v>0</v>
      </c>
      <c r="M152" s="107">
        <f t="shared" si="544"/>
        <v>0</v>
      </c>
      <c r="N152" s="107">
        <f t="shared" si="544"/>
        <v>0</v>
      </c>
      <c r="O152" s="107">
        <f t="shared" si="544"/>
        <v>0</v>
      </c>
      <c r="P152" s="107">
        <f t="shared" ref="P152" si="547">SUM(P153:P155)</f>
        <v>0</v>
      </c>
      <c r="Q152" s="107">
        <f t="shared" si="544"/>
        <v>0</v>
      </c>
      <c r="R152" s="107">
        <f t="shared" si="544"/>
        <v>0</v>
      </c>
      <c r="S152" s="1322"/>
      <c r="T152" s="1322"/>
      <c r="U152" s="1322"/>
      <c r="V152" s="1322"/>
      <c r="W152" s="1322"/>
    </row>
    <row r="153" spans="1:23" s="2" customFormat="1" ht="36" hidden="1">
      <c r="A153" s="134">
        <v>9141</v>
      </c>
      <c r="B153" s="108" t="s">
        <v>190</v>
      </c>
      <c r="C153" s="300"/>
      <c r="D153" s="300"/>
      <c r="E153" s="300"/>
      <c r="F153" s="300"/>
      <c r="G153" s="300"/>
      <c r="H153" s="300"/>
      <c r="I153" s="300"/>
      <c r="J153" s="300"/>
      <c r="K153" s="300"/>
      <c r="L153" s="300"/>
      <c r="M153" s="300"/>
      <c r="N153" s="300"/>
      <c r="O153" s="300"/>
      <c r="P153" s="300"/>
      <c r="Q153" s="300"/>
      <c r="R153" s="300"/>
      <c r="S153" s="1322"/>
      <c r="T153" s="1322"/>
      <c r="U153" s="1322"/>
      <c r="V153" s="1322"/>
      <c r="W153" s="1322"/>
    </row>
    <row r="154" spans="1:23" s="2" customFormat="1" ht="36" hidden="1">
      <c r="A154" s="134">
        <v>9142</v>
      </c>
      <c r="B154" s="108" t="s">
        <v>191</v>
      </c>
      <c r="C154" s="300"/>
      <c r="D154" s="300"/>
      <c r="E154" s="300"/>
      <c r="F154" s="300"/>
      <c r="G154" s="300"/>
      <c r="H154" s="300"/>
      <c r="I154" s="300"/>
      <c r="J154" s="300"/>
      <c r="K154" s="300"/>
      <c r="L154" s="300"/>
      <c r="M154" s="300"/>
      <c r="N154" s="300"/>
      <c r="O154" s="300"/>
      <c r="P154" s="300"/>
      <c r="Q154" s="300"/>
      <c r="R154" s="300"/>
      <c r="S154" s="1322"/>
      <c r="T154" s="1322"/>
      <c r="U154" s="1322"/>
      <c r="V154" s="1322"/>
      <c r="W154" s="1322"/>
    </row>
    <row r="155" spans="1:23" s="2" customFormat="1" ht="24" hidden="1">
      <c r="A155" s="134">
        <v>9149</v>
      </c>
      <c r="B155" s="108" t="s">
        <v>192</v>
      </c>
      <c r="C155" s="300"/>
      <c r="D155" s="300"/>
      <c r="E155" s="300"/>
      <c r="F155" s="300"/>
      <c r="G155" s="300"/>
      <c r="H155" s="300"/>
      <c r="I155" s="300"/>
      <c r="J155" s="300"/>
      <c r="K155" s="300"/>
      <c r="L155" s="300"/>
      <c r="M155" s="300"/>
      <c r="N155" s="300"/>
      <c r="O155" s="300"/>
      <c r="P155" s="300"/>
      <c r="Q155" s="300"/>
      <c r="R155" s="300"/>
      <c r="S155" s="1322"/>
      <c r="T155" s="1322"/>
      <c r="U155" s="1322"/>
      <c r="V155" s="1322"/>
      <c r="W155" s="1322"/>
    </row>
    <row r="156" spans="1:23" s="2" customFormat="1" ht="24">
      <c r="A156" s="141">
        <v>9500</v>
      </c>
      <c r="B156" s="108" t="s">
        <v>165</v>
      </c>
      <c r="C156" s="107">
        <f t="shared" ref="C156" si="548">SUM(C157:C159)</f>
        <v>407188</v>
      </c>
      <c r="D156" s="107">
        <f t="shared" ref="D156:R156" si="549">SUM(D157:D159)</f>
        <v>407188</v>
      </c>
      <c r="E156" s="107">
        <f t="shared" si="549"/>
        <v>0</v>
      </c>
      <c r="F156" s="107">
        <f t="shared" ref="F156" si="550">SUM(F157:F159)</f>
        <v>0</v>
      </c>
      <c r="G156" s="107">
        <f t="shared" si="549"/>
        <v>0</v>
      </c>
      <c r="H156" s="107">
        <f t="shared" si="549"/>
        <v>407188</v>
      </c>
      <c r="I156" s="107">
        <f t="shared" si="549"/>
        <v>407188</v>
      </c>
      <c r="J156" s="107">
        <f t="shared" si="549"/>
        <v>0</v>
      </c>
      <c r="K156" s="107">
        <f t="shared" ref="K156" si="551">SUM(K157:K159)</f>
        <v>0</v>
      </c>
      <c r="L156" s="107">
        <f t="shared" si="549"/>
        <v>0</v>
      </c>
      <c r="M156" s="107">
        <f t="shared" si="549"/>
        <v>407188</v>
      </c>
      <c r="N156" s="107">
        <f t="shared" si="549"/>
        <v>407188</v>
      </c>
      <c r="O156" s="107">
        <f t="shared" si="549"/>
        <v>0</v>
      </c>
      <c r="P156" s="107">
        <f t="shared" ref="P156" si="552">SUM(P157:P159)</f>
        <v>0</v>
      </c>
      <c r="Q156" s="107">
        <f t="shared" si="549"/>
        <v>0</v>
      </c>
      <c r="R156" s="107">
        <f t="shared" si="549"/>
        <v>407188</v>
      </c>
      <c r="S156" s="1322"/>
      <c r="T156" s="1322"/>
      <c r="U156" s="1322"/>
      <c r="V156" s="1322"/>
      <c r="W156" s="1322"/>
    </row>
    <row r="157" spans="1:23" s="2" customFormat="1" ht="24">
      <c r="A157" s="133" t="s">
        <v>193</v>
      </c>
      <c r="B157" s="108" t="s">
        <v>171</v>
      </c>
      <c r="C157" s="107">
        <f t="shared" ref="C157" si="553">C411</f>
        <v>407188</v>
      </c>
      <c r="D157" s="107">
        <f t="shared" ref="D157:R157" si="554">D411</f>
        <v>407188</v>
      </c>
      <c r="E157" s="107">
        <f t="shared" si="554"/>
        <v>0</v>
      </c>
      <c r="F157" s="107">
        <f t="shared" ref="F157" si="555">F411</f>
        <v>0</v>
      </c>
      <c r="G157" s="107">
        <f t="shared" si="554"/>
        <v>0</v>
      </c>
      <c r="H157" s="107">
        <f t="shared" si="554"/>
        <v>407188</v>
      </c>
      <c r="I157" s="107">
        <f t="shared" si="554"/>
        <v>407188</v>
      </c>
      <c r="J157" s="107">
        <f t="shared" si="554"/>
        <v>0</v>
      </c>
      <c r="K157" s="107">
        <f t="shared" ref="K157" si="556">K411</f>
        <v>0</v>
      </c>
      <c r="L157" s="107">
        <f t="shared" si="554"/>
        <v>0</v>
      </c>
      <c r="M157" s="107">
        <f t="shared" si="554"/>
        <v>407188</v>
      </c>
      <c r="N157" s="107">
        <f t="shared" si="554"/>
        <v>407188</v>
      </c>
      <c r="O157" s="107">
        <f t="shared" si="554"/>
        <v>0</v>
      </c>
      <c r="P157" s="107">
        <f t="shared" ref="P157" si="557">P411</f>
        <v>0</v>
      </c>
      <c r="Q157" s="107">
        <f t="shared" si="554"/>
        <v>0</v>
      </c>
      <c r="R157" s="107">
        <f t="shared" si="554"/>
        <v>407188</v>
      </c>
      <c r="S157" s="1322"/>
      <c r="T157" s="1322"/>
      <c r="U157" s="1322"/>
      <c r="V157" s="1322"/>
      <c r="W157" s="1322"/>
    </row>
    <row r="158" spans="1:23" s="2" customFormat="1" ht="48" hidden="1">
      <c r="A158" s="133">
        <v>9580</v>
      </c>
      <c r="B158" s="108" t="s">
        <v>166</v>
      </c>
      <c r="C158" s="107">
        <f t="shared" ref="C158" si="558">C412</f>
        <v>0</v>
      </c>
      <c r="D158" s="107">
        <f t="shared" ref="D158:R158" si="559">D412</f>
        <v>0</v>
      </c>
      <c r="E158" s="107">
        <f t="shared" si="559"/>
        <v>0</v>
      </c>
      <c r="F158" s="107">
        <f t="shared" ref="F158" si="560">F412</f>
        <v>0</v>
      </c>
      <c r="G158" s="107">
        <f t="shared" si="559"/>
        <v>0</v>
      </c>
      <c r="H158" s="107">
        <f t="shared" si="559"/>
        <v>0</v>
      </c>
      <c r="I158" s="107">
        <f t="shared" si="559"/>
        <v>0</v>
      </c>
      <c r="J158" s="107">
        <f t="shared" si="559"/>
        <v>0</v>
      </c>
      <c r="K158" s="107">
        <f t="shared" ref="K158" si="561">K412</f>
        <v>0</v>
      </c>
      <c r="L158" s="107">
        <f t="shared" si="559"/>
        <v>0</v>
      </c>
      <c r="M158" s="107">
        <f t="shared" si="559"/>
        <v>0</v>
      </c>
      <c r="N158" s="107">
        <f t="shared" si="559"/>
        <v>0</v>
      </c>
      <c r="O158" s="107">
        <f t="shared" si="559"/>
        <v>0</v>
      </c>
      <c r="P158" s="107">
        <f t="shared" ref="P158" si="562">P412</f>
        <v>0</v>
      </c>
      <c r="Q158" s="107">
        <f t="shared" si="559"/>
        <v>0</v>
      </c>
      <c r="R158" s="107">
        <f t="shared" si="559"/>
        <v>0</v>
      </c>
      <c r="S158" s="1322"/>
      <c r="T158" s="1322"/>
      <c r="U158" s="1322"/>
      <c r="V158" s="1322"/>
      <c r="W158" s="1322"/>
    </row>
    <row r="159" spans="1:23" s="2" customFormat="1" ht="48" hidden="1">
      <c r="A159" s="133">
        <v>9590</v>
      </c>
      <c r="B159" s="112" t="s">
        <v>172</v>
      </c>
      <c r="C159" s="107">
        <f t="shared" ref="C159" si="563">C413</f>
        <v>0</v>
      </c>
      <c r="D159" s="107">
        <f t="shared" ref="D159:R159" si="564">D413</f>
        <v>0</v>
      </c>
      <c r="E159" s="107">
        <f t="shared" si="564"/>
        <v>0</v>
      </c>
      <c r="F159" s="107">
        <f t="shared" ref="F159" si="565">F413</f>
        <v>0</v>
      </c>
      <c r="G159" s="107">
        <f t="shared" si="564"/>
        <v>0</v>
      </c>
      <c r="H159" s="107">
        <f t="shared" si="564"/>
        <v>0</v>
      </c>
      <c r="I159" s="107">
        <f t="shared" si="564"/>
        <v>0</v>
      </c>
      <c r="J159" s="107">
        <f t="shared" si="564"/>
        <v>0</v>
      </c>
      <c r="K159" s="107">
        <f t="shared" ref="K159" si="566">K413</f>
        <v>0</v>
      </c>
      <c r="L159" s="107">
        <f t="shared" si="564"/>
        <v>0</v>
      </c>
      <c r="M159" s="107">
        <f t="shared" si="564"/>
        <v>0</v>
      </c>
      <c r="N159" s="107">
        <f t="shared" si="564"/>
        <v>0</v>
      </c>
      <c r="O159" s="107">
        <f t="shared" si="564"/>
        <v>0</v>
      </c>
      <c r="P159" s="107">
        <f t="shared" ref="P159" si="567">P413</f>
        <v>0</v>
      </c>
      <c r="Q159" s="107">
        <f t="shared" si="564"/>
        <v>0</v>
      </c>
      <c r="R159" s="107">
        <f t="shared" si="564"/>
        <v>0</v>
      </c>
      <c r="S159" s="1322"/>
      <c r="T159" s="1322"/>
      <c r="U159" s="1322"/>
      <c r="V159" s="1322"/>
      <c r="W159" s="1322"/>
    </row>
    <row r="160" spans="1:23" s="2" customFormat="1" ht="24" hidden="1">
      <c r="A160" s="141">
        <v>9700</v>
      </c>
      <c r="B160" s="116" t="s">
        <v>194</v>
      </c>
      <c r="C160" s="107">
        <f t="shared" ref="C160" si="568">SUM(C161:C162)</f>
        <v>0</v>
      </c>
      <c r="D160" s="107">
        <f t="shared" ref="D160:R160" si="569">SUM(D161:D162)</f>
        <v>0</v>
      </c>
      <c r="E160" s="107">
        <f t="shared" si="569"/>
        <v>0</v>
      </c>
      <c r="F160" s="107">
        <f t="shared" ref="F160" si="570">SUM(F161:F162)</f>
        <v>0</v>
      </c>
      <c r="G160" s="107">
        <f t="shared" si="569"/>
        <v>0</v>
      </c>
      <c r="H160" s="107">
        <f t="shared" si="569"/>
        <v>0</v>
      </c>
      <c r="I160" s="107">
        <f t="shared" si="569"/>
        <v>0</v>
      </c>
      <c r="J160" s="107">
        <f t="shared" si="569"/>
        <v>0</v>
      </c>
      <c r="K160" s="107">
        <f t="shared" ref="K160" si="571">SUM(K161:K162)</f>
        <v>0</v>
      </c>
      <c r="L160" s="107">
        <f t="shared" si="569"/>
        <v>0</v>
      </c>
      <c r="M160" s="107">
        <f t="shared" si="569"/>
        <v>0</v>
      </c>
      <c r="N160" s="107">
        <f t="shared" si="569"/>
        <v>0</v>
      </c>
      <c r="O160" s="107">
        <f t="shared" si="569"/>
        <v>0</v>
      </c>
      <c r="P160" s="107">
        <f t="shared" ref="P160" si="572">SUM(P161:P162)</f>
        <v>0</v>
      </c>
      <c r="Q160" s="107">
        <f t="shared" si="569"/>
        <v>0</v>
      </c>
      <c r="R160" s="107">
        <f t="shared" si="569"/>
        <v>0</v>
      </c>
      <c r="S160" s="1322"/>
      <c r="T160" s="1322"/>
      <c r="U160" s="1322"/>
      <c r="V160" s="1322"/>
      <c r="W160" s="1322"/>
    </row>
    <row r="161" spans="1:23" s="2" customFormat="1" ht="24" hidden="1">
      <c r="A161" s="133">
        <v>9710</v>
      </c>
      <c r="B161" s="117" t="s">
        <v>195</v>
      </c>
      <c r="C161" s="107">
        <f>C415</f>
        <v>0</v>
      </c>
      <c r="D161" s="107">
        <f t="shared" ref="D161:R161" si="573">D415</f>
        <v>0</v>
      </c>
      <c r="E161" s="107">
        <f t="shared" si="573"/>
        <v>0</v>
      </c>
      <c r="F161" s="107">
        <f t="shared" ref="F161" si="574">F415</f>
        <v>0</v>
      </c>
      <c r="G161" s="107">
        <f t="shared" si="573"/>
        <v>0</v>
      </c>
      <c r="H161" s="107">
        <f t="shared" si="573"/>
        <v>0</v>
      </c>
      <c r="I161" s="107">
        <f t="shared" si="573"/>
        <v>0</v>
      </c>
      <c r="J161" s="107">
        <f t="shared" si="573"/>
        <v>0</v>
      </c>
      <c r="K161" s="107">
        <f t="shared" ref="K161" si="575">K415</f>
        <v>0</v>
      </c>
      <c r="L161" s="107">
        <f t="shared" si="573"/>
        <v>0</v>
      </c>
      <c r="M161" s="107">
        <f t="shared" si="573"/>
        <v>0</v>
      </c>
      <c r="N161" s="107">
        <f t="shared" si="573"/>
        <v>0</v>
      </c>
      <c r="O161" s="107">
        <f t="shared" si="573"/>
        <v>0</v>
      </c>
      <c r="P161" s="107">
        <f t="shared" ref="P161" si="576">P415</f>
        <v>0</v>
      </c>
      <c r="Q161" s="107">
        <f t="shared" si="573"/>
        <v>0</v>
      </c>
      <c r="R161" s="107">
        <f t="shared" si="573"/>
        <v>0</v>
      </c>
      <c r="S161" s="1322"/>
      <c r="T161" s="1322"/>
      <c r="U161" s="1322"/>
      <c r="V161" s="1322"/>
      <c r="W161" s="1322"/>
    </row>
    <row r="162" spans="1:23" s="2" customFormat="1" ht="48" hidden="1">
      <c r="A162" s="142">
        <v>9720</v>
      </c>
      <c r="B162" s="116" t="s">
        <v>196</v>
      </c>
      <c r="C162" s="107">
        <f>C416</f>
        <v>0</v>
      </c>
      <c r="D162" s="107">
        <f t="shared" ref="D162:R162" si="577">D416</f>
        <v>0</v>
      </c>
      <c r="E162" s="107">
        <f t="shared" si="577"/>
        <v>0</v>
      </c>
      <c r="F162" s="107">
        <f t="shared" ref="F162" si="578">F416</f>
        <v>0</v>
      </c>
      <c r="G162" s="107">
        <f t="shared" si="577"/>
        <v>0</v>
      </c>
      <c r="H162" s="107">
        <f t="shared" si="577"/>
        <v>0</v>
      </c>
      <c r="I162" s="107">
        <f t="shared" si="577"/>
        <v>0</v>
      </c>
      <c r="J162" s="107">
        <f t="shared" si="577"/>
        <v>0</v>
      </c>
      <c r="K162" s="107">
        <f t="shared" ref="K162" si="579">K416</f>
        <v>0</v>
      </c>
      <c r="L162" s="107">
        <f t="shared" si="577"/>
        <v>0</v>
      </c>
      <c r="M162" s="107">
        <f t="shared" si="577"/>
        <v>0</v>
      </c>
      <c r="N162" s="107">
        <f t="shared" si="577"/>
        <v>0</v>
      </c>
      <c r="O162" s="107">
        <f t="shared" si="577"/>
        <v>0</v>
      </c>
      <c r="P162" s="107">
        <f t="shared" ref="P162" si="580">P416</f>
        <v>0</v>
      </c>
      <c r="Q162" s="107">
        <f t="shared" si="577"/>
        <v>0</v>
      </c>
      <c r="R162" s="107">
        <f t="shared" si="577"/>
        <v>0</v>
      </c>
      <c r="S162" s="1322"/>
      <c r="T162" s="1322"/>
      <c r="U162" s="1322"/>
      <c r="V162" s="1322"/>
      <c r="W162" s="1322"/>
    </row>
    <row r="163" spans="1:23" s="2" customFormat="1" ht="24" hidden="1">
      <c r="A163" s="141">
        <v>9600</v>
      </c>
      <c r="B163" s="112" t="s">
        <v>134</v>
      </c>
      <c r="C163" s="300"/>
      <c r="D163" s="300"/>
      <c r="E163" s="300"/>
      <c r="F163" s="300"/>
      <c r="G163" s="300"/>
      <c r="H163" s="300"/>
      <c r="I163" s="300"/>
      <c r="J163" s="300"/>
      <c r="K163" s="300"/>
      <c r="L163" s="300"/>
      <c r="M163" s="300"/>
      <c r="N163" s="300"/>
      <c r="O163" s="300"/>
      <c r="P163" s="300"/>
      <c r="Q163" s="300"/>
      <c r="R163" s="300"/>
      <c r="S163" s="1322"/>
      <c r="T163" s="1322"/>
      <c r="U163" s="1322"/>
      <c r="V163" s="1322"/>
      <c r="W163" s="1322"/>
    </row>
    <row r="164" spans="1:23" s="2" customFormat="1" ht="30.6">
      <c r="A164" s="130" t="s">
        <v>197</v>
      </c>
      <c r="B164" s="118" t="s">
        <v>47</v>
      </c>
      <c r="C164" s="114">
        <f t="shared" ref="C164" si="581">C94-C119</f>
        <v>3441912</v>
      </c>
      <c r="D164" s="114">
        <f t="shared" ref="D164:R164" si="582">D94-D119</f>
        <v>-34637</v>
      </c>
      <c r="E164" s="114">
        <f t="shared" si="582"/>
        <v>0</v>
      </c>
      <c r="F164" s="114">
        <f t="shared" ref="F164" si="583">F94-F119</f>
        <v>14355</v>
      </c>
      <c r="G164" s="114">
        <f t="shared" si="582"/>
        <v>6406018</v>
      </c>
      <c r="H164" s="114">
        <f t="shared" si="582"/>
        <v>6385736</v>
      </c>
      <c r="I164" s="114">
        <f t="shared" si="582"/>
        <v>712088</v>
      </c>
      <c r="J164" s="114">
        <f t="shared" si="582"/>
        <v>0</v>
      </c>
      <c r="K164" s="114">
        <f t="shared" ref="K164" si="584">K94-K119</f>
        <v>14355</v>
      </c>
      <c r="L164" s="114">
        <f t="shared" si="582"/>
        <v>-7686</v>
      </c>
      <c r="M164" s="114">
        <f t="shared" si="582"/>
        <v>718757</v>
      </c>
      <c r="N164" s="114">
        <f t="shared" si="582"/>
        <v>909333</v>
      </c>
      <c r="O164" s="114">
        <f t="shared" si="582"/>
        <v>0</v>
      </c>
      <c r="P164" s="114">
        <f t="shared" ref="P164" si="585">P94-P119</f>
        <v>14355</v>
      </c>
      <c r="Q164" s="114">
        <f t="shared" si="582"/>
        <v>0</v>
      </c>
      <c r="R164" s="114">
        <f t="shared" si="582"/>
        <v>923688</v>
      </c>
      <c r="S164" s="1322"/>
      <c r="T164" s="1322"/>
      <c r="U164" s="1322"/>
      <c r="V164" s="1322"/>
      <c r="W164" s="1322"/>
    </row>
    <row r="165" spans="1:23" s="2" customFormat="1" ht="11.4">
      <c r="A165" s="143" t="s">
        <v>48</v>
      </c>
      <c r="B165" s="118" t="s">
        <v>49</v>
      </c>
      <c r="C165" s="114">
        <f t="shared" ref="C165" si="586">C166+C169+C173+C172</f>
        <v>-3441912</v>
      </c>
      <c r="D165" s="114">
        <f t="shared" ref="D165:R165" si="587">D166+D169+D173+D172</f>
        <v>34637</v>
      </c>
      <c r="E165" s="114">
        <f t="shared" si="587"/>
        <v>0</v>
      </c>
      <c r="F165" s="114">
        <f t="shared" ref="F165" si="588">F166+F169+F173+F172</f>
        <v>-14355</v>
      </c>
      <c r="G165" s="114">
        <f t="shared" si="587"/>
        <v>-6406018</v>
      </c>
      <c r="H165" s="114">
        <f t="shared" si="587"/>
        <v>-6385736</v>
      </c>
      <c r="I165" s="114">
        <f t="shared" si="587"/>
        <v>-712088</v>
      </c>
      <c r="J165" s="114">
        <f t="shared" si="587"/>
        <v>0</v>
      </c>
      <c r="K165" s="114">
        <f t="shared" ref="K165" si="589">K166+K169+K173+K172</f>
        <v>-14355</v>
      </c>
      <c r="L165" s="114">
        <f t="shared" si="587"/>
        <v>7686</v>
      </c>
      <c r="M165" s="114">
        <f t="shared" si="587"/>
        <v>-718757</v>
      </c>
      <c r="N165" s="114">
        <f t="shared" si="587"/>
        <v>-909333</v>
      </c>
      <c r="O165" s="114">
        <f t="shared" si="587"/>
        <v>0</v>
      </c>
      <c r="P165" s="114">
        <f t="shared" ref="P165" si="590">P166+P169+P173+P172</f>
        <v>-14355</v>
      </c>
      <c r="Q165" s="114">
        <f t="shared" si="587"/>
        <v>0</v>
      </c>
      <c r="R165" s="114">
        <f t="shared" si="587"/>
        <v>-923688</v>
      </c>
      <c r="S165" s="1322"/>
      <c r="T165" s="1322"/>
      <c r="U165" s="1322"/>
      <c r="V165" s="1322"/>
      <c r="W165" s="1322"/>
    </row>
    <row r="166" spans="1:23" s="2" customFormat="1" ht="12">
      <c r="A166" s="141" t="s">
        <v>50</v>
      </c>
      <c r="B166" s="112" t="s">
        <v>51</v>
      </c>
      <c r="C166" s="107">
        <f t="shared" ref="C166" si="591">C167+C168</f>
        <v>-3999814</v>
      </c>
      <c r="D166" s="107">
        <f t="shared" ref="D166:R166" si="592">D167+D168</f>
        <v>-2831114</v>
      </c>
      <c r="E166" s="107">
        <f t="shared" si="592"/>
        <v>0</v>
      </c>
      <c r="F166" s="107">
        <f t="shared" ref="F166" si="593">F167+F168</f>
        <v>0</v>
      </c>
      <c r="G166" s="107">
        <f t="shared" si="592"/>
        <v>0</v>
      </c>
      <c r="H166" s="107">
        <f t="shared" si="592"/>
        <v>-2831114</v>
      </c>
      <c r="I166" s="107">
        <f t="shared" si="592"/>
        <v>-3004368</v>
      </c>
      <c r="J166" s="107">
        <f t="shared" si="592"/>
        <v>0</v>
      </c>
      <c r="K166" s="107">
        <f t="shared" ref="K166" si="594">K167+K168</f>
        <v>0</v>
      </c>
      <c r="L166" s="107">
        <f t="shared" si="592"/>
        <v>0</v>
      </c>
      <c r="M166" s="107">
        <f t="shared" si="592"/>
        <v>-3004368</v>
      </c>
      <c r="N166" s="107">
        <f t="shared" si="592"/>
        <v>-3201613</v>
      </c>
      <c r="O166" s="107">
        <f t="shared" si="592"/>
        <v>0</v>
      </c>
      <c r="P166" s="107">
        <f t="shared" ref="P166" si="595">P167+P168</f>
        <v>0</v>
      </c>
      <c r="Q166" s="107">
        <f t="shared" si="592"/>
        <v>0</v>
      </c>
      <c r="R166" s="107">
        <f t="shared" si="592"/>
        <v>-3201613</v>
      </c>
      <c r="S166" s="1322"/>
      <c r="T166" s="1322"/>
      <c r="U166" s="1322"/>
      <c r="V166" s="1322"/>
      <c r="W166" s="1322"/>
    </row>
    <row r="167" spans="1:23" s="2" customFormat="1" ht="12">
      <c r="A167" s="141" t="s">
        <v>52</v>
      </c>
      <c r="B167" s="112" t="s">
        <v>53</v>
      </c>
      <c r="C167" s="107">
        <f>C421</f>
        <v>0</v>
      </c>
      <c r="D167" s="107">
        <f t="shared" ref="D167:R167" si="596">D421</f>
        <v>0</v>
      </c>
      <c r="E167" s="107">
        <f t="shared" si="596"/>
        <v>0</v>
      </c>
      <c r="F167" s="107">
        <f t="shared" ref="F167" si="597">F421</f>
        <v>0</v>
      </c>
      <c r="G167" s="107">
        <f t="shared" si="596"/>
        <v>0</v>
      </c>
      <c r="H167" s="107">
        <f t="shared" si="596"/>
        <v>0</v>
      </c>
      <c r="I167" s="107">
        <f t="shared" si="596"/>
        <v>0</v>
      </c>
      <c r="J167" s="107">
        <f t="shared" si="596"/>
        <v>0</v>
      </c>
      <c r="K167" s="107">
        <f t="shared" ref="K167" si="598">K421</f>
        <v>0</v>
      </c>
      <c r="L167" s="107">
        <f t="shared" si="596"/>
        <v>0</v>
      </c>
      <c r="M167" s="107">
        <f t="shared" si="596"/>
        <v>0</v>
      </c>
      <c r="N167" s="107">
        <f t="shared" si="596"/>
        <v>0</v>
      </c>
      <c r="O167" s="107">
        <f t="shared" si="596"/>
        <v>0</v>
      </c>
      <c r="P167" s="107">
        <f t="shared" ref="P167" si="599">P421</f>
        <v>0</v>
      </c>
      <c r="Q167" s="107">
        <f t="shared" si="596"/>
        <v>0</v>
      </c>
      <c r="R167" s="107">
        <f t="shared" si="596"/>
        <v>0</v>
      </c>
      <c r="S167" s="1322"/>
      <c r="T167" s="1322"/>
      <c r="U167" s="1322"/>
      <c r="V167" s="1322"/>
      <c r="W167" s="1322"/>
    </row>
    <row r="168" spans="1:23" s="2" customFormat="1" ht="12">
      <c r="A168" s="141" t="s">
        <v>54</v>
      </c>
      <c r="B168" s="112" t="s">
        <v>55</v>
      </c>
      <c r="C168" s="107">
        <f>C422</f>
        <v>-3999814</v>
      </c>
      <c r="D168" s="107">
        <f t="shared" ref="D168:R168" si="600">D422</f>
        <v>-2831114</v>
      </c>
      <c r="E168" s="107">
        <f t="shared" si="600"/>
        <v>0</v>
      </c>
      <c r="F168" s="107">
        <f t="shared" ref="F168" si="601">F422</f>
        <v>0</v>
      </c>
      <c r="G168" s="107">
        <f t="shared" si="600"/>
        <v>0</v>
      </c>
      <c r="H168" s="107">
        <f t="shared" si="600"/>
        <v>-2831114</v>
      </c>
      <c r="I168" s="107">
        <f t="shared" si="600"/>
        <v>-3004368</v>
      </c>
      <c r="J168" s="107">
        <f t="shared" si="600"/>
        <v>0</v>
      </c>
      <c r="K168" s="107">
        <f t="shared" ref="K168" si="602">K422</f>
        <v>0</v>
      </c>
      <c r="L168" s="107">
        <f t="shared" si="600"/>
        <v>0</v>
      </c>
      <c r="M168" s="107">
        <f t="shared" si="600"/>
        <v>-3004368</v>
      </c>
      <c r="N168" s="107">
        <f t="shared" si="600"/>
        <v>-3201613</v>
      </c>
      <c r="O168" s="107">
        <f t="shared" si="600"/>
        <v>0</v>
      </c>
      <c r="P168" s="107">
        <f t="shared" ref="P168" si="603">P422</f>
        <v>0</v>
      </c>
      <c r="Q168" s="107">
        <f t="shared" si="600"/>
        <v>0</v>
      </c>
      <c r="R168" s="107">
        <f t="shared" si="600"/>
        <v>-3201613</v>
      </c>
      <c r="S168" s="1322"/>
      <c r="T168" s="1322"/>
      <c r="U168" s="1322"/>
      <c r="V168" s="1322"/>
      <c r="W168" s="1322"/>
    </row>
    <row r="169" spans="1:23" s="2" customFormat="1" ht="12">
      <c r="A169" s="141" t="s">
        <v>56</v>
      </c>
      <c r="B169" s="112" t="s">
        <v>57</v>
      </c>
      <c r="C169" s="107">
        <f t="shared" ref="C169" si="604">C170+C171</f>
        <v>2603640</v>
      </c>
      <c r="D169" s="107">
        <f t="shared" ref="D169:R169" si="605">D170+D171</f>
        <v>1810000</v>
      </c>
      <c r="E169" s="107">
        <f t="shared" si="605"/>
        <v>0</v>
      </c>
      <c r="F169" s="107">
        <f t="shared" ref="F169" si="606">F170+F171</f>
        <v>0</v>
      </c>
      <c r="G169" s="107">
        <f t="shared" si="605"/>
        <v>0</v>
      </c>
      <c r="H169" s="107">
        <f t="shared" si="605"/>
        <v>1810000</v>
      </c>
      <c r="I169" s="107">
        <f t="shared" si="605"/>
        <v>1810000</v>
      </c>
      <c r="J169" s="107">
        <f t="shared" si="605"/>
        <v>0</v>
      </c>
      <c r="K169" s="107">
        <f t="shared" ref="K169" si="607">K170+K171</f>
        <v>0</v>
      </c>
      <c r="L169" s="107">
        <f t="shared" si="605"/>
        <v>0</v>
      </c>
      <c r="M169" s="107">
        <f t="shared" si="605"/>
        <v>1810000</v>
      </c>
      <c r="N169" s="107">
        <f t="shared" si="605"/>
        <v>1810000</v>
      </c>
      <c r="O169" s="107">
        <f t="shared" si="605"/>
        <v>0</v>
      </c>
      <c r="P169" s="107">
        <f t="shared" ref="P169" si="608">P170+P171</f>
        <v>0</v>
      </c>
      <c r="Q169" s="107">
        <f t="shared" si="605"/>
        <v>0</v>
      </c>
      <c r="R169" s="107">
        <f t="shared" si="605"/>
        <v>1810000</v>
      </c>
      <c r="S169" s="1322"/>
      <c r="T169" s="1322"/>
      <c r="U169" s="1322"/>
      <c r="V169" s="1322"/>
      <c r="W169" s="1322"/>
    </row>
    <row r="170" spans="1:23" s="2" customFormat="1" ht="12">
      <c r="A170" s="141" t="s">
        <v>58</v>
      </c>
      <c r="B170" s="112" t="s">
        <v>59</v>
      </c>
      <c r="C170" s="107">
        <f>C424</f>
        <v>0</v>
      </c>
      <c r="D170" s="107">
        <f t="shared" ref="D170:R170" si="609">D424</f>
        <v>0</v>
      </c>
      <c r="E170" s="107">
        <f t="shared" si="609"/>
        <v>0</v>
      </c>
      <c r="F170" s="107">
        <f t="shared" ref="F170" si="610">F424</f>
        <v>0</v>
      </c>
      <c r="G170" s="107">
        <f t="shared" si="609"/>
        <v>0</v>
      </c>
      <c r="H170" s="107">
        <f t="shared" si="609"/>
        <v>0</v>
      </c>
      <c r="I170" s="107">
        <f t="shared" si="609"/>
        <v>0</v>
      </c>
      <c r="J170" s="107">
        <f t="shared" si="609"/>
        <v>0</v>
      </c>
      <c r="K170" s="107">
        <f t="shared" ref="K170" si="611">K424</f>
        <v>0</v>
      </c>
      <c r="L170" s="107">
        <f t="shared" si="609"/>
        <v>0</v>
      </c>
      <c r="M170" s="107">
        <f t="shared" si="609"/>
        <v>0</v>
      </c>
      <c r="N170" s="107">
        <f t="shared" si="609"/>
        <v>0</v>
      </c>
      <c r="O170" s="107">
        <f t="shared" si="609"/>
        <v>0</v>
      </c>
      <c r="P170" s="107">
        <f t="shared" ref="P170" si="612">P424</f>
        <v>0</v>
      </c>
      <c r="Q170" s="107">
        <f t="shared" si="609"/>
        <v>0</v>
      </c>
      <c r="R170" s="107">
        <f t="shared" si="609"/>
        <v>0</v>
      </c>
      <c r="S170" s="1322"/>
      <c r="T170" s="1322"/>
      <c r="U170" s="1322"/>
      <c r="V170" s="1322"/>
      <c r="W170" s="1322"/>
    </row>
    <row r="171" spans="1:23" s="2" customFormat="1" ht="12">
      <c r="A171" s="141" t="s">
        <v>60</v>
      </c>
      <c r="B171" s="112" t="s">
        <v>61</v>
      </c>
      <c r="C171" s="107">
        <f>C425</f>
        <v>2603640</v>
      </c>
      <c r="D171" s="107">
        <f t="shared" ref="D171:R171" si="613">D425</f>
        <v>1810000</v>
      </c>
      <c r="E171" s="107">
        <f t="shared" si="613"/>
        <v>0</v>
      </c>
      <c r="F171" s="107">
        <f t="shared" ref="F171" si="614">F425</f>
        <v>0</v>
      </c>
      <c r="G171" s="107">
        <f t="shared" si="613"/>
        <v>0</v>
      </c>
      <c r="H171" s="107">
        <f t="shared" si="613"/>
        <v>1810000</v>
      </c>
      <c r="I171" s="107">
        <f t="shared" si="613"/>
        <v>1810000</v>
      </c>
      <c r="J171" s="107">
        <f t="shared" si="613"/>
        <v>0</v>
      </c>
      <c r="K171" s="107">
        <f t="shared" ref="K171" si="615">K425</f>
        <v>0</v>
      </c>
      <c r="L171" s="107">
        <f t="shared" si="613"/>
        <v>0</v>
      </c>
      <c r="M171" s="107">
        <f t="shared" si="613"/>
        <v>1810000</v>
      </c>
      <c r="N171" s="107">
        <f t="shared" si="613"/>
        <v>1810000</v>
      </c>
      <c r="O171" s="107">
        <f t="shared" si="613"/>
        <v>0</v>
      </c>
      <c r="P171" s="107">
        <f t="shared" ref="P171" si="616">P425</f>
        <v>0</v>
      </c>
      <c r="Q171" s="107">
        <f t="shared" si="613"/>
        <v>0</v>
      </c>
      <c r="R171" s="107">
        <f t="shared" si="613"/>
        <v>1810000</v>
      </c>
      <c r="S171" s="1322"/>
      <c r="T171" s="1322"/>
      <c r="U171" s="1322"/>
      <c r="V171" s="1322"/>
      <c r="W171" s="1322"/>
    </row>
    <row r="172" spans="1:23" s="2" customFormat="1" ht="12">
      <c r="A172" s="141" t="s">
        <v>198</v>
      </c>
      <c r="B172" s="120" t="s">
        <v>168</v>
      </c>
      <c r="C172" s="107">
        <f>C426</f>
        <v>-4300500</v>
      </c>
      <c r="D172" s="107">
        <f t="shared" ref="D172:R172" si="617">D426</f>
        <v>0</v>
      </c>
      <c r="E172" s="107">
        <f t="shared" si="617"/>
        <v>0</v>
      </c>
      <c r="F172" s="107">
        <f t="shared" ref="F172" si="618">F426</f>
        <v>0</v>
      </c>
      <c r="G172" s="107">
        <f t="shared" si="617"/>
        <v>-6496018</v>
      </c>
      <c r="H172" s="107">
        <f t="shared" si="617"/>
        <v>-6496018</v>
      </c>
      <c r="I172" s="107">
        <f t="shared" si="617"/>
        <v>0</v>
      </c>
      <c r="J172" s="107">
        <f t="shared" si="617"/>
        <v>0</v>
      </c>
      <c r="K172" s="107">
        <f t="shared" ref="K172" si="619">K426</f>
        <v>0</v>
      </c>
      <c r="L172" s="107">
        <f t="shared" si="617"/>
        <v>0</v>
      </c>
      <c r="M172" s="107">
        <f t="shared" si="617"/>
        <v>0</v>
      </c>
      <c r="N172" s="107">
        <f t="shared" si="617"/>
        <v>0</v>
      </c>
      <c r="O172" s="107">
        <f t="shared" si="617"/>
        <v>0</v>
      </c>
      <c r="P172" s="107">
        <f t="shared" ref="P172" si="620">P426</f>
        <v>0</v>
      </c>
      <c r="Q172" s="107">
        <f t="shared" si="617"/>
        <v>0</v>
      </c>
      <c r="R172" s="107">
        <f t="shared" si="617"/>
        <v>0</v>
      </c>
      <c r="S172" s="1322"/>
      <c r="T172" s="1322"/>
      <c r="U172" s="1322"/>
      <c r="V172" s="1322"/>
      <c r="W172" s="1322"/>
    </row>
    <row r="173" spans="1:23" s="2" customFormat="1" ht="12">
      <c r="A173" s="144" t="s">
        <v>62</v>
      </c>
      <c r="B173" s="101" t="s">
        <v>63</v>
      </c>
      <c r="C173" s="107">
        <f t="shared" ref="C173" si="621">C174+C175+C176</f>
        <v>2254762</v>
      </c>
      <c r="D173" s="107">
        <f t="shared" ref="D173:R173" si="622">D174+D175+D176</f>
        <v>1055751</v>
      </c>
      <c r="E173" s="107">
        <f t="shared" si="622"/>
        <v>0</v>
      </c>
      <c r="F173" s="107">
        <f t="shared" ref="F173" si="623">F174+F175+F176</f>
        <v>-14355</v>
      </c>
      <c r="G173" s="107">
        <f t="shared" si="622"/>
        <v>90000</v>
      </c>
      <c r="H173" s="107">
        <f t="shared" si="622"/>
        <v>1131396</v>
      </c>
      <c r="I173" s="107">
        <f t="shared" si="622"/>
        <v>482280</v>
      </c>
      <c r="J173" s="107">
        <f t="shared" si="622"/>
        <v>0</v>
      </c>
      <c r="K173" s="107">
        <f t="shared" ref="K173" si="624">K174+K175+K176</f>
        <v>-14355</v>
      </c>
      <c r="L173" s="107">
        <f t="shared" si="622"/>
        <v>7686</v>
      </c>
      <c r="M173" s="107">
        <f t="shared" si="622"/>
        <v>475611</v>
      </c>
      <c r="N173" s="107">
        <f t="shared" si="622"/>
        <v>482280</v>
      </c>
      <c r="O173" s="107">
        <f t="shared" si="622"/>
        <v>0</v>
      </c>
      <c r="P173" s="107">
        <f t="shared" ref="P173" si="625">P174+P175+P176</f>
        <v>-14355</v>
      </c>
      <c r="Q173" s="107">
        <f t="shared" si="622"/>
        <v>0</v>
      </c>
      <c r="R173" s="107">
        <f t="shared" si="622"/>
        <v>467925</v>
      </c>
      <c r="S173" s="1322"/>
      <c r="T173" s="1322"/>
      <c r="U173" s="1322"/>
      <c r="V173" s="1322"/>
      <c r="W173" s="1322"/>
    </row>
    <row r="174" spans="1:23" s="2" customFormat="1" ht="36">
      <c r="A174" s="144" t="s">
        <v>64</v>
      </c>
      <c r="B174" s="112" t="s">
        <v>65</v>
      </c>
      <c r="C174" s="107">
        <f>C428</f>
        <v>2254762</v>
      </c>
      <c r="D174" s="107">
        <f t="shared" ref="D174:R174" si="626">D428</f>
        <v>1055751</v>
      </c>
      <c r="E174" s="107">
        <f t="shared" si="626"/>
        <v>0</v>
      </c>
      <c r="F174" s="107">
        <f t="shared" ref="F174" si="627">F428</f>
        <v>-14355</v>
      </c>
      <c r="G174" s="107">
        <f t="shared" si="626"/>
        <v>90000</v>
      </c>
      <c r="H174" s="107">
        <f t="shared" si="626"/>
        <v>1131396</v>
      </c>
      <c r="I174" s="107">
        <f t="shared" si="626"/>
        <v>482280</v>
      </c>
      <c r="J174" s="107">
        <f t="shared" si="626"/>
        <v>0</v>
      </c>
      <c r="K174" s="107">
        <f t="shared" ref="K174" si="628">K428</f>
        <v>-14355</v>
      </c>
      <c r="L174" s="107">
        <f t="shared" si="626"/>
        <v>7686</v>
      </c>
      <c r="M174" s="107">
        <f t="shared" si="626"/>
        <v>475611</v>
      </c>
      <c r="N174" s="107">
        <f t="shared" si="626"/>
        <v>482280</v>
      </c>
      <c r="O174" s="107">
        <f t="shared" si="626"/>
        <v>0</v>
      </c>
      <c r="P174" s="107">
        <f t="shared" ref="P174" si="629">P428</f>
        <v>-14355</v>
      </c>
      <c r="Q174" s="107">
        <f t="shared" si="626"/>
        <v>0</v>
      </c>
      <c r="R174" s="107">
        <f t="shared" si="626"/>
        <v>467925</v>
      </c>
      <c r="S174" s="1322"/>
      <c r="T174" s="1322"/>
      <c r="U174" s="1322"/>
      <c r="V174" s="1322"/>
      <c r="W174" s="1322"/>
    </row>
    <row r="175" spans="1:23" s="2" customFormat="1" ht="24" hidden="1">
      <c r="A175" s="144" t="s">
        <v>66</v>
      </c>
      <c r="B175" s="112" t="s">
        <v>67</v>
      </c>
      <c r="C175" s="107">
        <f>C429</f>
        <v>0</v>
      </c>
      <c r="D175" s="107">
        <f t="shared" ref="D175:R175" si="630">D429</f>
        <v>0</v>
      </c>
      <c r="E175" s="107">
        <f t="shared" si="630"/>
        <v>0</v>
      </c>
      <c r="F175" s="107">
        <f t="shared" ref="F175" si="631">F429</f>
        <v>0</v>
      </c>
      <c r="G175" s="107">
        <f t="shared" si="630"/>
        <v>0</v>
      </c>
      <c r="H175" s="107">
        <f t="shared" si="630"/>
        <v>0</v>
      </c>
      <c r="I175" s="107">
        <f t="shared" si="630"/>
        <v>0</v>
      </c>
      <c r="J175" s="107">
        <f t="shared" si="630"/>
        <v>0</v>
      </c>
      <c r="K175" s="107">
        <f t="shared" ref="K175" si="632">K429</f>
        <v>0</v>
      </c>
      <c r="L175" s="107">
        <f t="shared" si="630"/>
        <v>0</v>
      </c>
      <c r="M175" s="107">
        <f t="shared" si="630"/>
        <v>0</v>
      </c>
      <c r="N175" s="107">
        <f t="shared" si="630"/>
        <v>0</v>
      </c>
      <c r="O175" s="107">
        <f t="shared" si="630"/>
        <v>0</v>
      </c>
      <c r="P175" s="107">
        <f t="shared" ref="P175" si="633">P429</f>
        <v>0</v>
      </c>
      <c r="Q175" s="107">
        <f t="shared" si="630"/>
        <v>0</v>
      </c>
      <c r="R175" s="107">
        <f t="shared" si="630"/>
        <v>0</v>
      </c>
      <c r="S175" s="1322"/>
      <c r="T175" s="1322"/>
      <c r="U175" s="1322"/>
      <c r="V175" s="1322"/>
      <c r="W175" s="1322"/>
    </row>
    <row r="176" spans="1:23" s="2" customFormat="1" ht="24" hidden="1">
      <c r="A176" s="144" t="s">
        <v>68</v>
      </c>
      <c r="B176" s="101" t="s">
        <v>69</v>
      </c>
      <c r="C176" s="107">
        <f>C430</f>
        <v>0</v>
      </c>
      <c r="D176" s="107">
        <f t="shared" ref="D176:R176" si="634">D430</f>
        <v>0</v>
      </c>
      <c r="E176" s="107">
        <f t="shared" si="634"/>
        <v>0</v>
      </c>
      <c r="F176" s="107">
        <f t="shared" ref="F176" si="635">F430</f>
        <v>0</v>
      </c>
      <c r="G176" s="107">
        <f t="shared" si="634"/>
        <v>0</v>
      </c>
      <c r="H176" s="107">
        <f t="shared" si="634"/>
        <v>0</v>
      </c>
      <c r="I176" s="107">
        <f t="shared" si="634"/>
        <v>0</v>
      </c>
      <c r="J176" s="107">
        <f t="shared" si="634"/>
        <v>0</v>
      </c>
      <c r="K176" s="107">
        <f t="shared" ref="K176" si="636">K430</f>
        <v>0</v>
      </c>
      <c r="L176" s="107">
        <f t="shared" si="634"/>
        <v>0</v>
      </c>
      <c r="M176" s="107">
        <f t="shared" si="634"/>
        <v>0</v>
      </c>
      <c r="N176" s="107">
        <f t="shared" si="634"/>
        <v>0</v>
      </c>
      <c r="O176" s="107">
        <f t="shared" si="634"/>
        <v>0</v>
      </c>
      <c r="P176" s="107">
        <f t="shared" ref="P176" si="637">P430</f>
        <v>0</v>
      </c>
      <c r="Q176" s="107">
        <f t="shared" si="634"/>
        <v>0</v>
      </c>
      <c r="R176" s="107">
        <f t="shared" si="634"/>
        <v>0</v>
      </c>
      <c r="S176" s="1322"/>
      <c r="T176" s="1322"/>
      <c r="U176" s="1322"/>
      <c r="V176" s="1322"/>
      <c r="W176" s="1322"/>
    </row>
    <row r="177" spans="1:23" s="2" customFormat="1" ht="34.200000000000003">
      <c r="A177" s="145"/>
      <c r="B177" s="121" t="s">
        <v>200</v>
      </c>
      <c r="C177" s="199"/>
      <c r="D177" s="199"/>
      <c r="E177" s="199"/>
      <c r="F177" s="199"/>
      <c r="G177" s="199"/>
      <c r="H177" s="199"/>
      <c r="I177" s="199"/>
      <c r="J177" s="199"/>
      <c r="K177" s="199"/>
      <c r="L177" s="199"/>
      <c r="M177" s="199"/>
      <c r="N177" s="199"/>
      <c r="O177" s="199"/>
      <c r="P177" s="199"/>
      <c r="Q177" s="199"/>
      <c r="R177" s="199"/>
      <c r="S177" s="1322"/>
      <c r="T177" s="1322"/>
      <c r="U177" s="1322"/>
      <c r="V177" s="1322"/>
      <c r="W177" s="1322"/>
    </row>
    <row r="178" spans="1:23" s="2" customFormat="1" ht="20.399999999999999">
      <c r="A178" s="129" t="s">
        <v>201</v>
      </c>
      <c r="B178" s="99" t="s">
        <v>88</v>
      </c>
      <c r="C178" s="103">
        <f>C179+C180+C182+C200</f>
        <v>981969528</v>
      </c>
      <c r="D178" s="103">
        <f t="shared" ref="D178:R178" si="638">D179+D180+D182+D200</f>
        <v>930693560</v>
      </c>
      <c r="E178" s="103">
        <f t="shared" si="638"/>
        <v>4098285</v>
      </c>
      <c r="F178" s="103">
        <f t="shared" ref="F178" si="639">F179+F180+F182+F200</f>
        <v>0</v>
      </c>
      <c r="G178" s="103">
        <f t="shared" si="638"/>
        <v>-7331031</v>
      </c>
      <c r="H178" s="103">
        <f t="shared" si="638"/>
        <v>927460814</v>
      </c>
      <c r="I178" s="103">
        <f t="shared" si="638"/>
        <v>972464979</v>
      </c>
      <c r="J178" s="103">
        <f t="shared" si="638"/>
        <v>-7250093</v>
      </c>
      <c r="K178" s="103">
        <f t="shared" ref="K178" si="640">K179+K180+K182+K200</f>
        <v>0</v>
      </c>
      <c r="L178" s="103">
        <f t="shared" si="638"/>
        <v>-20383069</v>
      </c>
      <c r="M178" s="103">
        <f t="shared" si="638"/>
        <v>944831817</v>
      </c>
      <c r="N178" s="103">
        <f t="shared" si="638"/>
        <v>787563949</v>
      </c>
      <c r="O178" s="103">
        <f t="shared" si="638"/>
        <v>832435</v>
      </c>
      <c r="P178" s="103">
        <f t="shared" ref="P178" si="641">P179+P180+P182+P200</f>
        <v>0</v>
      </c>
      <c r="Q178" s="103">
        <f t="shared" si="638"/>
        <v>-39405634</v>
      </c>
      <c r="R178" s="103">
        <f t="shared" si="638"/>
        <v>748990750</v>
      </c>
      <c r="S178" s="1322"/>
      <c r="T178" s="1322"/>
      <c r="U178" s="1322"/>
      <c r="V178" s="1322"/>
      <c r="W178" s="1322"/>
    </row>
    <row r="179" spans="1:23" s="2" customFormat="1" ht="22.8">
      <c r="A179" s="130" t="s">
        <v>177</v>
      </c>
      <c r="B179" s="100" t="s">
        <v>90</v>
      </c>
      <c r="C179" s="107">
        <f>C433</f>
        <v>8968</v>
      </c>
      <c r="D179" s="107">
        <f t="shared" ref="D179:R179" si="642">D433</f>
        <v>5000</v>
      </c>
      <c r="E179" s="107">
        <f t="shared" si="642"/>
        <v>0</v>
      </c>
      <c r="F179" s="107">
        <f t="shared" ref="F179" si="643">F433</f>
        <v>0</v>
      </c>
      <c r="G179" s="107">
        <f t="shared" si="642"/>
        <v>0</v>
      </c>
      <c r="H179" s="107">
        <f t="shared" si="642"/>
        <v>5000</v>
      </c>
      <c r="I179" s="107">
        <f t="shared" si="642"/>
        <v>0</v>
      </c>
      <c r="J179" s="107">
        <f t="shared" si="642"/>
        <v>0</v>
      </c>
      <c r="K179" s="107">
        <f t="shared" ref="K179" si="644">K433</f>
        <v>0</v>
      </c>
      <c r="L179" s="107">
        <f t="shared" si="642"/>
        <v>0</v>
      </c>
      <c r="M179" s="107">
        <f t="shared" si="642"/>
        <v>0</v>
      </c>
      <c r="N179" s="107">
        <f t="shared" si="642"/>
        <v>0</v>
      </c>
      <c r="O179" s="107">
        <f t="shared" si="642"/>
        <v>0</v>
      </c>
      <c r="P179" s="107">
        <f t="shared" ref="P179" si="645">P433</f>
        <v>0</v>
      </c>
      <c r="Q179" s="107">
        <f t="shared" si="642"/>
        <v>0</v>
      </c>
      <c r="R179" s="107">
        <f t="shared" si="642"/>
        <v>0</v>
      </c>
      <c r="S179" s="1322"/>
      <c r="T179" s="1322"/>
      <c r="U179" s="1322"/>
      <c r="V179" s="1322"/>
      <c r="W179" s="1322"/>
    </row>
    <row r="180" spans="1:23" s="2" customFormat="1" ht="12">
      <c r="A180" s="130" t="s">
        <v>91</v>
      </c>
      <c r="B180" s="100" t="s">
        <v>92</v>
      </c>
      <c r="C180" s="107">
        <f>C434-C435</f>
        <v>58533342</v>
      </c>
      <c r="D180" s="107">
        <f t="shared" ref="D180:R180" si="646">D434-D435</f>
        <v>47207704</v>
      </c>
      <c r="E180" s="107">
        <f t="shared" si="646"/>
        <v>244205</v>
      </c>
      <c r="F180" s="107">
        <f t="shared" ref="F180" si="647">F434-F435</f>
        <v>0</v>
      </c>
      <c r="G180" s="107">
        <f t="shared" si="646"/>
        <v>0</v>
      </c>
      <c r="H180" s="107">
        <f t="shared" si="646"/>
        <v>47451909</v>
      </c>
      <c r="I180" s="107">
        <f t="shared" si="646"/>
        <v>15127378</v>
      </c>
      <c r="J180" s="107">
        <f t="shared" si="646"/>
        <v>44365</v>
      </c>
      <c r="K180" s="107">
        <f t="shared" ref="K180" si="648">K434-K435</f>
        <v>0</v>
      </c>
      <c r="L180" s="107">
        <f t="shared" si="646"/>
        <v>0</v>
      </c>
      <c r="M180" s="107">
        <f t="shared" si="646"/>
        <v>15171743</v>
      </c>
      <c r="N180" s="107">
        <f t="shared" si="646"/>
        <v>7604517</v>
      </c>
      <c r="O180" s="107">
        <f t="shared" si="646"/>
        <v>8256</v>
      </c>
      <c r="P180" s="107">
        <f t="shared" ref="P180" si="649">P434-P435</f>
        <v>0</v>
      </c>
      <c r="Q180" s="107">
        <f t="shared" si="646"/>
        <v>0</v>
      </c>
      <c r="R180" s="107">
        <f t="shared" si="646"/>
        <v>7612773</v>
      </c>
      <c r="S180" s="1322"/>
      <c r="T180" s="1322"/>
      <c r="U180" s="1322"/>
      <c r="V180" s="1322"/>
      <c r="W180" s="1322"/>
    </row>
    <row r="181" spans="1:23" s="2" customFormat="1" ht="24" hidden="1">
      <c r="A181" s="131">
        <v>21210</v>
      </c>
      <c r="B181" s="101" t="s">
        <v>93</v>
      </c>
      <c r="C181" s="300"/>
      <c r="D181" s="300"/>
      <c r="E181" s="300"/>
      <c r="F181" s="300"/>
      <c r="G181" s="300"/>
      <c r="H181" s="300"/>
      <c r="I181" s="300"/>
      <c r="J181" s="300"/>
      <c r="K181" s="300"/>
      <c r="L181" s="300"/>
      <c r="M181" s="300"/>
      <c r="N181" s="300"/>
      <c r="O181" s="300"/>
      <c r="P181" s="300"/>
      <c r="Q181" s="300"/>
      <c r="R181" s="300"/>
      <c r="S181" s="1322"/>
      <c r="T181" s="1322"/>
      <c r="U181" s="1322"/>
      <c r="V181" s="1322"/>
      <c r="W181" s="1322"/>
    </row>
    <row r="182" spans="1:23" s="2" customFormat="1" ht="20.399999999999999">
      <c r="A182" s="130" t="s">
        <v>178</v>
      </c>
      <c r="B182" s="100" t="s">
        <v>94</v>
      </c>
      <c r="C182" s="107">
        <f>C183+C189+C194</f>
        <v>113917</v>
      </c>
      <c r="D182" s="107">
        <f t="shared" ref="D182:R182" si="650">D183+D189+D194</f>
        <v>2268666</v>
      </c>
      <c r="E182" s="107">
        <f t="shared" si="650"/>
        <v>849608</v>
      </c>
      <c r="F182" s="107">
        <f t="shared" ref="F182" si="651">F183+F189+F194</f>
        <v>0</v>
      </c>
      <c r="G182" s="107">
        <f t="shared" si="650"/>
        <v>0</v>
      </c>
      <c r="H182" s="107">
        <f t="shared" si="650"/>
        <v>3118274</v>
      </c>
      <c r="I182" s="107">
        <f t="shared" si="650"/>
        <v>1021528</v>
      </c>
      <c r="J182" s="107">
        <f t="shared" si="650"/>
        <v>700472</v>
      </c>
      <c r="K182" s="107">
        <f t="shared" ref="K182" si="652">K183+K189+K194</f>
        <v>0</v>
      </c>
      <c r="L182" s="107">
        <f t="shared" si="650"/>
        <v>0</v>
      </c>
      <c r="M182" s="107">
        <f t="shared" si="650"/>
        <v>1722000</v>
      </c>
      <c r="N182" s="107">
        <f t="shared" si="650"/>
        <v>162453</v>
      </c>
      <c r="O182" s="107">
        <f t="shared" si="650"/>
        <v>255589</v>
      </c>
      <c r="P182" s="107">
        <f t="shared" ref="P182" si="653">P183+P189+P194</f>
        <v>0</v>
      </c>
      <c r="Q182" s="107">
        <f t="shared" si="650"/>
        <v>0</v>
      </c>
      <c r="R182" s="107">
        <f t="shared" si="650"/>
        <v>418042</v>
      </c>
      <c r="S182" s="1322"/>
      <c r="T182" s="1322"/>
      <c r="U182" s="1322"/>
      <c r="V182" s="1322"/>
      <c r="W182" s="1322"/>
    </row>
    <row r="183" spans="1:23" s="2" customFormat="1" ht="12" hidden="1">
      <c r="A183" s="132">
        <v>18000</v>
      </c>
      <c r="B183" s="101" t="s">
        <v>95</v>
      </c>
      <c r="C183" s="107">
        <f t="shared" ref="C183:R184" si="654">C184</f>
        <v>0</v>
      </c>
      <c r="D183" s="107">
        <f t="shared" si="654"/>
        <v>0</v>
      </c>
      <c r="E183" s="107">
        <f t="shared" si="654"/>
        <v>0</v>
      </c>
      <c r="F183" s="107">
        <f t="shared" si="654"/>
        <v>0</v>
      </c>
      <c r="G183" s="107">
        <f t="shared" si="654"/>
        <v>0</v>
      </c>
      <c r="H183" s="107">
        <f t="shared" si="654"/>
        <v>0</v>
      </c>
      <c r="I183" s="107">
        <f t="shared" si="654"/>
        <v>0</v>
      </c>
      <c r="J183" s="107">
        <f t="shared" si="654"/>
        <v>0</v>
      </c>
      <c r="K183" s="107">
        <f t="shared" si="654"/>
        <v>0</v>
      </c>
      <c r="L183" s="107">
        <f t="shared" si="654"/>
        <v>0</v>
      </c>
      <c r="M183" s="107">
        <f t="shared" si="654"/>
        <v>0</v>
      </c>
      <c r="N183" s="107">
        <f t="shared" si="654"/>
        <v>0</v>
      </c>
      <c r="O183" s="107">
        <f t="shared" si="654"/>
        <v>0</v>
      </c>
      <c r="P183" s="107">
        <f t="shared" si="654"/>
        <v>0</v>
      </c>
      <c r="Q183" s="107">
        <f t="shared" si="654"/>
        <v>0</v>
      </c>
      <c r="R183" s="107">
        <f t="shared" si="654"/>
        <v>0</v>
      </c>
      <c r="S183" s="1322"/>
      <c r="T183" s="1322"/>
      <c r="U183" s="1322"/>
      <c r="V183" s="1322"/>
      <c r="W183" s="1322"/>
    </row>
    <row r="184" spans="1:23" s="2" customFormat="1" ht="12" hidden="1">
      <c r="A184" s="132">
        <v>18100</v>
      </c>
      <c r="B184" s="101" t="s">
        <v>96</v>
      </c>
      <c r="C184" s="107">
        <f t="shared" si="654"/>
        <v>0</v>
      </c>
      <c r="D184" s="107">
        <f t="shared" si="654"/>
        <v>0</v>
      </c>
      <c r="E184" s="107">
        <f t="shared" si="654"/>
        <v>0</v>
      </c>
      <c r="F184" s="107">
        <f t="shared" si="654"/>
        <v>0</v>
      </c>
      <c r="G184" s="107">
        <f t="shared" si="654"/>
        <v>0</v>
      </c>
      <c r="H184" s="107">
        <f t="shared" si="654"/>
        <v>0</v>
      </c>
      <c r="I184" s="107">
        <f t="shared" si="654"/>
        <v>0</v>
      </c>
      <c r="J184" s="107">
        <f t="shared" si="654"/>
        <v>0</v>
      </c>
      <c r="K184" s="107">
        <f t="shared" si="654"/>
        <v>0</v>
      </c>
      <c r="L184" s="107">
        <f t="shared" si="654"/>
        <v>0</v>
      </c>
      <c r="M184" s="107">
        <f t="shared" si="654"/>
        <v>0</v>
      </c>
      <c r="N184" s="107">
        <f t="shared" si="654"/>
        <v>0</v>
      </c>
      <c r="O184" s="107">
        <f t="shared" si="654"/>
        <v>0</v>
      </c>
      <c r="P184" s="107">
        <f t="shared" si="654"/>
        <v>0</v>
      </c>
      <c r="Q184" s="107">
        <f t="shared" si="654"/>
        <v>0</v>
      </c>
      <c r="R184" s="107">
        <f t="shared" si="654"/>
        <v>0</v>
      </c>
      <c r="S184" s="1322"/>
      <c r="T184" s="1322"/>
      <c r="U184" s="1322"/>
      <c r="V184" s="1322"/>
      <c r="W184" s="1322"/>
    </row>
    <row r="185" spans="1:23" s="2" customFormat="1" ht="24" hidden="1">
      <c r="A185" s="133">
        <v>18130</v>
      </c>
      <c r="B185" s="108" t="s">
        <v>159</v>
      </c>
      <c r="C185" s="107">
        <f>SUM(C186:C188)</f>
        <v>0</v>
      </c>
      <c r="D185" s="107">
        <f t="shared" ref="D185:R185" si="655">SUM(D186:D188)</f>
        <v>0</v>
      </c>
      <c r="E185" s="107">
        <f t="shared" si="655"/>
        <v>0</v>
      </c>
      <c r="F185" s="107">
        <f t="shared" ref="F185" si="656">SUM(F186:F188)</f>
        <v>0</v>
      </c>
      <c r="G185" s="107">
        <f t="shared" si="655"/>
        <v>0</v>
      </c>
      <c r="H185" s="107">
        <f t="shared" si="655"/>
        <v>0</v>
      </c>
      <c r="I185" s="107">
        <f t="shared" si="655"/>
        <v>0</v>
      </c>
      <c r="J185" s="107">
        <f t="shared" si="655"/>
        <v>0</v>
      </c>
      <c r="K185" s="107">
        <f t="shared" ref="K185" si="657">SUM(K186:K188)</f>
        <v>0</v>
      </c>
      <c r="L185" s="107">
        <f t="shared" si="655"/>
        <v>0</v>
      </c>
      <c r="M185" s="107">
        <f t="shared" si="655"/>
        <v>0</v>
      </c>
      <c r="N185" s="107">
        <f t="shared" si="655"/>
        <v>0</v>
      </c>
      <c r="O185" s="107">
        <f t="shared" si="655"/>
        <v>0</v>
      </c>
      <c r="P185" s="107">
        <f t="shared" ref="P185" si="658">SUM(P186:P188)</f>
        <v>0</v>
      </c>
      <c r="Q185" s="107">
        <f t="shared" si="655"/>
        <v>0</v>
      </c>
      <c r="R185" s="107">
        <f t="shared" si="655"/>
        <v>0</v>
      </c>
      <c r="S185" s="1322"/>
      <c r="T185" s="1322"/>
      <c r="U185" s="1322"/>
      <c r="V185" s="1322"/>
      <c r="W185" s="1322"/>
    </row>
    <row r="186" spans="1:23" s="2" customFormat="1" ht="36" hidden="1">
      <c r="A186" s="134">
        <v>18131</v>
      </c>
      <c r="B186" s="108" t="s">
        <v>160</v>
      </c>
      <c r="C186" s="300"/>
      <c r="D186" s="300"/>
      <c r="E186" s="300"/>
      <c r="F186" s="300"/>
      <c r="G186" s="300"/>
      <c r="H186" s="300"/>
      <c r="I186" s="300"/>
      <c r="J186" s="300"/>
      <c r="K186" s="300"/>
      <c r="L186" s="300"/>
      <c r="M186" s="300"/>
      <c r="N186" s="300"/>
      <c r="O186" s="300"/>
      <c r="P186" s="300"/>
      <c r="Q186" s="300"/>
      <c r="R186" s="300"/>
      <c r="S186" s="1322"/>
      <c r="T186" s="1322"/>
      <c r="U186" s="1322"/>
      <c r="V186" s="1322"/>
      <c r="W186" s="1322"/>
    </row>
    <row r="187" spans="1:23" s="2" customFormat="1" ht="24" hidden="1">
      <c r="A187" s="134">
        <v>18132</v>
      </c>
      <c r="B187" s="108" t="s">
        <v>169</v>
      </c>
      <c r="C187" s="300"/>
      <c r="D187" s="300"/>
      <c r="E187" s="300"/>
      <c r="F187" s="300"/>
      <c r="G187" s="300"/>
      <c r="H187" s="300"/>
      <c r="I187" s="300"/>
      <c r="J187" s="300"/>
      <c r="K187" s="300"/>
      <c r="L187" s="300"/>
      <c r="M187" s="300"/>
      <c r="N187" s="300"/>
      <c r="O187" s="300"/>
      <c r="P187" s="300"/>
      <c r="Q187" s="300"/>
      <c r="R187" s="300"/>
      <c r="S187" s="1322"/>
      <c r="T187" s="1322"/>
      <c r="U187" s="1322"/>
      <c r="V187" s="1322"/>
      <c r="W187" s="1322"/>
    </row>
    <row r="188" spans="1:23" s="2" customFormat="1" ht="24" hidden="1">
      <c r="A188" s="134">
        <v>18139</v>
      </c>
      <c r="B188" s="108" t="s">
        <v>179</v>
      </c>
      <c r="C188" s="300"/>
      <c r="D188" s="300"/>
      <c r="E188" s="300"/>
      <c r="F188" s="300"/>
      <c r="G188" s="300"/>
      <c r="H188" s="300"/>
      <c r="I188" s="300"/>
      <c r="J188" s="300"/>
      <c r="K188" s="300"/>
      <c r="L188" s="300"/>
      <c r="M188" s="300"/>
      <c r="N188" s="300"/>
      <c r="O188" s="300"/>
      <c r="P188" s="300"/>
      <c r="Q188" s="300"/>
      <c r="R188" s="300"/>
      <c r="S188" s="1322"/>
      <c r="T188" s="1322"/>
      <c r="U188" s="1322"/>
      <c r="V188" s="1322"/>
      <c r="W188" s="1322"/>
    </row>
    <row r="189" spans="1:23" s="2" customFormat="1" ht="12">
      <c r="A189" s="135" t="s">
        <v>180</v>
      </c>
      <c r="B189" s="109" t="s">
        <v>173</v>
      </c>
      <c r="C189" s="110">
        <f t="shared" ref="C189:R189" si="659">C190</f>
        <v>113917</v>
      </c>
      <c r="D189" s="110">
        <f t="shared" si="659"/>
        <v>342453</v>
      </c>
      <c r="E189" s="110">
        <f t="shared" si="659"/>
        <v>0</v>
      </c>
      <c r="F189" s="110">
        <f t="shared" si="659"/>
        <v>0</v>
      </c>
      <c r="G189" s="110">
        <f t="shared" si="659"/>
        <v>0</v>
      </c>
      <c r="H189" s="110">
        <f t="shared" si="659"/>
        <v>342453</v>
      </c>
      <c r="I189" s="110">
        <f t="shared" si="659"/>
        <v>262933</v>
      </c>
      <c r="J189" s="110">
        <f t="shared" si="659"/>
        <v>0</v>
      </c>
      <c r="K189" s="110">
        <f t="shared" si="659"/>
        <v>0</v>
      </c>
      <c r="L189" s="110">
        <f t="shared" si="659"/>
        <v>0</v>
      </c>
      <c r="M189" s="110">
        <f t="shared" si="659"/>
        <v>262933</v>
      </c>
      <c r="N189" s="110">
        <f t="shared" si="659"/>
        <v>162453</v>
      </c>
      <c r="O189" s="110">
        <f t="shared" si="659"/>
        <v>0</v>
      </c>
      <c r="P189" s="110">
        <f t="shared" si="659"/>
        <v>0</v>
      </c>
      <c r="Q189" s="110">
        <f t="shared" si="659"/>
        <v>0</v>
      </c>
      <c r="R189" s="110">
        <f t="shared" si="659"/>
        <v>162453</v>
      </c>
      <c r="S189" s="1322"/>
      <c r="T189" s="1322"/>
      <c r="U189" s="1322"/>
      <c r="V189" s="1322"/>
      <c r="W189" s="1322"/>
    </row>
    <row r="190" spans="1:23" s="2" customFormat="1" ht="24">
      <c r="A190" s="135">
        <v>19500</v>
      </c>
      <c r="B190" s="108" t="s">
        <v>174</v>
      </c>
      <c r="C190" s="107">
        <f>SUM(C191:C193)</f>
        <v>113917</v>
      </c>
      <c r="D190" s="107">
        <f t="shared" ref="D190:R190" si="660">SUM(D191:D193)</f>
        <v>342453</v>
      </c>
      <c r="E190" s="107">
        <f t="shared" si="660"/>
        <v>0</v>
      </c>
      <c r="F190" s="107">
        <f t="shared" ref="F190" si="661">SUM(F191:F193)</f>
        <v>0</v>
      </c>
      <c r="G190" s="107">
        <f t="shared" si="660"/>
        <v>0</v>
      </c>
      <c r="H190" s="107">
        <f t="shared" si="660"/>
        <v>342453</v>
      </c>
      <c r="I190" s="107">
        <f t="shared" si="660"/>
        <v>262933</v>
      </c>
      <c r="J190" s="107">
        <f t="shared" si="660"/>
        <v>0</v>
      </c>
      <c r="K190" s="107">
        <f t="shared" ref="K190" si="662">SUM(K191:K193)</f>
        <v>0</v>
      </c>
      <c r="L190" s="107">
        <f t="shared" si="660"/>
        <v>0</v>
      </c>
      <c r="M190" s="107">
        <f t="shared" si="660"/>
        <v>262933</v>
      </c>
      <c r="N190" s="107">
        <f t="shared" si="660"/>
        <v>162453</v>
      </c>
      <c r="O190" s="107">
        <f t="shared" si="660"/>
        <v>0</v>
      </c>
      <c r="P190" s="107">
        <f t="shared" ref="P190" si="663">SUM(P191:P193)</f>
        <v>0</v>
      </c>
      <c r="Q190" s="107">
        <f t="shared" si="660"/>
        <v>0</v>
      </c>
      <c r="R190" s="107">
        <f t="shared" si="660"/>
        <v>162453</v>
      </c>
      <c r="S190" s="1322"/>
      <c r="T190" s="1322"/>
      <c r="U190" s="1322"/>
      <c r="V190" s="1322"/>
      <c r="W190" s="1322"/>
    </row>
    <row r="191" spans="1:23" s="2" customFormat="1" ht="24">
      <c r="A191" s="136">
        <v>19550</v>
      </c>
      <c r="B191" s="108" t="s">
        <v>175</v>
      </c>
      <c r="C191" s="107">
        <f>C445</f>
        <v>113917</v>
      </c>
      <c r="D191" s="107">
        <f t="shared" ref="D191:R191" si="664">D445</f>
        <v>342453</v>
      </c>
      <c r="E191" s="107">
        <f t="shared" si="664"/>
        <v>0</v>
      </c>
      <c r="F191" s="107">
        <f t="shared" ref="F191" si="665">F445</f>
        <v>0</v>
      </c>
      <c r="G191" s="107">
        <f t="shared" si="664"/>
        <v>0</v>
      </c>
      <c r="H191" s="107">
        <f t="shared" si="664"/>
        <v>342453</v>
      </c>
      <c r="I191" s="107">
        <f t="shared" si="664"/>
        <v>262933</v>
      </c>
      <c r="J191" s="107">
        <f t="shared" si="664"/>
        <v>0</v>
      </c>
      <c r="K191" s="107">
        <f t="shared" ref="K191" si="666">K445</f>
        <v>0</v>
      </c>
      <c r="L191" s="107">
        <f t="shared" si="664"/>
        <v>0</v>
      </c>
      <c r="M191" s="107">
        <f t="shared" si="664"/>
        <v>262933</v>
      </c>
      <c r="N191" s="107">
        <f t="shared" si="664"/>
        <v>162453</v>
      </c>
      <c r="O191" s="107">
        <f t="shared" si="664"/>
        <v>0</v>
      </c>
      <c r="P191" s="107">
        <f t="shared" ref="P191" si="667">P445</f>
        <v>0</v>
      </c>
      <c r="Q191" s="107">
        <f t="shared" si="664"/>
        <v>0</v>
      </c>
      <c r="R191" s="107">
        <f t="shared" si="664"/>
        <v>162453</v>
      </c>
      <c r="S191" s="1322"/>
      <c r="T191" s="1322"/>
      <c r="U191" s="1322"/>
      <c r="V191" s="1322"/>
      <c r="W191" s="1322"/>
    </row>
    <row r="192" spans="1:23" s="2" customFormat="1" ht="36" hidden="1">
      <c r="A192" s="136">
        <v>19560</v>
      </c>
      <c r="B192" s="108" t="s">
        <v>181</v>
      </c>
      <c r="C192" s="107">
        <f>C446</f>
        <v>0</v>
      </c>
      <c r="D192" s="107">
        <f t="shared" ref="D192:R192" si="668">D446</f>
        <v>0</v>
      </c>
      <c r="E192" s="107">
        <f t="shared" si="668"/>
        <v>0</v>
      </c>
      <c r="F192" s="107">
        <f t="shared" ref="F192" si="669">F446</f>
        <v>0</v>
      </c>
      <c r="G192" s="107">
        <f t="shared" si="668"/>
        <v>0</v>
      </c>
      <c r="H192" s="107">
        <f t="shared" si="668"/>
        <v>0</v>
      </c>
      <c r="I192" s="107">
        <f t="shared" si="668"/>
        <v>0</v>
      </c>
      <c r="J192" s="107">
        <f t="shared" si="668"/>
        <v>0</v>
      </c>
      <c r="K192" s="107">
        <f t="shared" ref="K192" si="670">K446</f>
        <v>0</v>
      </c>
      <c r="L192" s="107">
        <f t="shared" si="668"/>
        <v>0</v>
      </c>
      <c r="M192" s="107">
        <f t="shared" si="668"/>
        <v>0</v>
      </c>
      <c r="N192" s="107">
        <f t="shared" si="668"/>
        <v>0</v>
      </c>
      <c r="O192" s="107">
        <f t="shared" si="668"/>
        <v>0</v>
      </c>
      <c r="P192" s="107">
        <f t="shared" ref="P192" si="671">P446</f>
        <v>0</v>
      </c>
      <c r="Q192" s="107">
        <f t="shared" si="668"/>
        <v>0</v>
      </c>
      <c r="R192" s="107">
        <f t="shared" si="668"/>
        <v>0</v>
      </c>
      <c r="S192" s="1322"/>
      <c r="T192" s="1322"/>
      <c r="U192" s="1322"/>
      <c r="V192" s="1322"/>
      <c r="W192" s="1322"/>
    </row>
    <row r="193" spans="1:23" s="2" customFormat="1" ht="72" hidden="1">
      <c r="A193" s="136">
        <v>19570</v>
      </c>
      <c r="B193" s="108" t="s">
        <v>182</v>
      </c>
      <c r="C193" s="107">
        <f>C447</f>
        <v>0</v>
      </c>
      <c r="D193" s="107">
        <f t="shared" ref="D193:R193" si="672">D447</f>
        <v>0</v>
      </c>
      <c r="E193" s="107">
        <f t="shared" si="672"/>
        <v>0</v>
      </c>
      <c r="F193" s="107">
        <f t="shared" ref="F193" si="673">F447</f>
        <v>0</v>
      </c>
      <c r="G193" s="107">
        <f t="shared" si="672"/>
        <v>0</v>
      </c>
      <c r="H193" s="107">
        <f t="shared" si="672"/>
        <v>0</v>
      </c>
      <c r="I193" s="107">
        <f t="shared" si="672"/>
        <v>0</v>
      </c>
      <c r="J193" s="107">
        <f t="shared" si="672"/>
        <v>0</v>
      </c>
      <c r="K193" s="107">
        <f t="shared" ref="K193" si="674">K447</f>
        <v>0</v>
      </c>
      <c r="L193" s="107">
        <f t="shared" si="672"/>
        <v>0</v>
      </c>
      <c r="M193" s="107">
        <f t="shared" si="672"/>
        <v>0</v>
      </c>
      <c r="N193" s="107">
        <f t="shared" si="672"/>
        <v>0</v>
      </c>
      <c r="O193" s="107">
        <f t="shared" si="672"/>
        <v>0</v>
      </c>
      <c r="P193" s="107">
        <f t="shared" ref="P193" si="675">P447</f>
        <v>0</v>
      </c>
      <c r="Q193" s="107">
        <f t="shared" si="672"/>
        <v>0</v>
      </c>
      <c r="R193" s="107">
        <f t="shared" si="672"/>
        <v>0</v>
      </c>
      <c r="S193" s="1322"/>
      <c r="T193" s="1322"/>
      <c r="U193" s="1322"/>
      <c r="V193" s="1322"/>
      <c r="W193" s="1322"/>
    </row>
    <row r="194" spans="1:23" s="2" customFormat="1" ht="24">
      <c r="A194" s="209" t="s">
        <v>222</v>
      </c>
      <c r="B194" s="208" t="s">
        <v>216</v>
      </c>
      <c r="C194" s="106">
        <f t="shared" ref="C194:R194" si="676">C195</f>
        <v>0</v>
      </c>
      <c r="D194" s="106">
        <f t="shared" si="676"/>
        <v>1926213</v>
      </c>
      <c r="E194" s="106">
        <f t="shared" si="676"/>
        <v>849608</v>
      </c>
      <c r="F194" s="106">
        <f t="shared" si="676"/>
        <v>0</v>
      </c>
      <c r="G194" s="106">
        <f t="shared" si="676"/>
        <v>0</v>
      </c>
      <c r="H194" s="106">
        <f t="shared" si="676"/>
        <v>2775821</v>
      </c>
      <c r="I194" s="106">
        <f t="shared" si="676"/>
        <v>758595</v>
      </c>
      <c r="J194" s="106">
        <f t="shared" si="676"/>
        <v>700472</v>
      </c>
      <c r="K194" s="106">
        <f t="shared" si="676"/>
        <v>0</v>
      </c>
      <c r="L194" s="106">
        <f t="shared" si="676"/>
        <v>0</v>
      </c>
      <c r="M194" s="106">
        <f t="shared" si="676"/>
        <v>1459067</v>
      </c>
      <c r="N194" s="106">
        <f t="shared" si="676"/>
        <v>0</v>
      </c>
      <c r="O194" s="106">
        <f t="shared" si="676"/>
        <v>255589</v>
      </c>
      <c r="P194" s="106">
        <f t="shared" si="676"/>
        <v>0</v>
      </c>
      <c r="Q194" s="106">
        <f t="shared" si="676"/>
        <v>0</v>
      </c>
      <c r="R194" s="106">
        <f t="shared" si="676"/>
        <v>255589</v>
      </c>
      <c r="S194" s="1322"/>
      <c r="T194" s="1322"/>
      <c r="U194" s="1322"/>
      <c r="V194" s="1322"/>
      <c r="W194" s="1322"/>
    </row>
    <row r="195" spans="1:23" s="2" customFormat="1" ht="36">
      <c r="A195" s="209">
        <v>17100</v>
      </c>
      <c r="B195" s="208" t="s">
        <v>217</v>
      </c>
      <c r="C195" s="106">
        <f>SUM(C196:C199)</f>
        <v>0</v>
      </c>
      <c r="D195" s="106">
        <f t="shared" ref="D195:R195" si="677">SUM(D196:D199)</f>
        <v>1926213</v>
      </c>
      <c r="E195" s="106">
        <f t="shared" si="677"/>
        <v>849608</v>
      </c>
      <c r="F195" s="106">
        <f t="shared" ref="F195" si="678">SUM(F196:F199)</f>
        <v>0</v>
      </c>
      <c r="G195" s="106">
        <f t="shared" si="677"/>
        <v>0</v>
      </c>
      <c r="H195" s="106">
        <f t="shared" si="677"/>
        <v>2775821</v>
      </c>
      <c r="I195" s="106">
        <f t="shared" si="677"/>
        <v>758595</v>
      </c>
      <c r="J195" s="106">
        <f t="shared" si="677"/>
        <v>700472</v>
      </c>
      <c r="K195" s="106">
        <f t="shared" ref="K195" si="679">SUM(K196:K199)</f>
        <v>0</v>
      </c>
      <c r="L195" s="106">
        <f t="shared" si="677"/>
        <v>0</v>
      </c>
      <c r="M195" s="106">
        <f t="shared" si="677"/>
        <v>1459067</v>
      </c>
      <c r="N195" s="106">
        <f t="shared" si="677"/>
        <v>0</v>
      </c>
      <c r="O195" s="106">
        <f t="shared" si="677"/>
        <v>255589</v>
      </c>
      <c r="P195" s="106">
        <f t="shared" ref="P195" si="680">SUM(P196:P199)</f>
        <v>0</v>
      </c>
      <c r="Q195" s="106">
        <f t="shared" si="677"/>
        <v>0</v>
      </c>
      <c r="R195" s="106">
        <f t="shared" si="677"/>
        <v>255589</v>
      </c>
      <c r="S195" s="1322"/>
      <c r="T195" s="1322"/>
      <c r="U195" s="1322"/>
      <c r="V195" s="1322"/>
      <c r="W195" s="1322"/>
    </row>
    <row r="196" spans="1:23" s="2" customFormat="1" ht="60">
      <c r="A196" s="149">
        <v>17110</v>
      </c>
      <c r="B196" s="208" t="s">
        <v>218</v>
      </c>
      <c r="C196" s="107">
        <f>C450</f>
        <v>0</v>
      </c>
      <c r="D196" s="107">
        <f t="shared" ref="D196:R196" si="681">D450</f>
        <v>1926213</v>
      </c>
      <c r="E196" s="107">
        <f t="shared" si="681"/>
        <v>849608</v>
      </c>
      <c r="F196" s="107">
        <f t="shared" ref="F196" si="682">F450</f>
        <v>0</v>
      </c>
      <c r="G196" s="107">
        <f t="shared" si="681"/>
        <v>0</v>
      </c>
      <c r="H196" s="107">
        <f t="shared" si="681"/>
        <v>2775821</v>
      </c>
      <c r="I196" s="107">
        <f t="shared" si="681"/>
        <v>758595</v>
      </c>
      <c r="J196" s="107">
        <f t="shared" si="681"/>
        <v>700472</v>
      </c>
      <c r="K196" s="107">
        <f t="shared" ref="K196" si="683">K450</f>
        <v>0</v>
      </c>
      <c r="L196" s="107">
        <f t="shared" si="681"/>
        <v>0</v>
      </c>
      <c r="M196" s="107">
        <f t="shared" si="681"/>
        <v>1459067</v>
      </c>
      <c r="N196" s="107">
        <f t="shared" si="681"/>
        <v>0</v>
      </c>
      <c r="O196" s="107">
        <f t="shared" si="681"/>
        <v>255589</v>
      </c>
      <c r="P196" s="107">
        <f t="shared" ref="P196" si="684">P450</f>
        <v>0</v>
      </c>
      <c r="Q196" s="107">
        <f t="shared" si="681"/>
        <v>0</v>
      </c>
      <c r="R196" s="107">
        <f t="shared" si="681"/>
        <v>255589</v>
      </c>
      <c r="S196" s="1322"/>
      <c r="T196" s="1322"/>
      <c r="U196" s="1322"/>
      <c r="V196" s="1322"/>
      <c r="W196" s="1322"/>
    </row>
    <row r="197" spans="1:23" s="2" customFormat="1" ht="60" hidden="1">
      <c r="A197" s="149">
        <v>17120</v>
      </c>
      <c r="B197" s="208" t="s">
        <v>219</v>
      </c>
      <c r="C197" s="107">
        <f>C451</f>
        <v>0</v>
      </c>
      <c r="D197" s="107">
        <f t="shared" ref="D197:R197" si="685">D451</f>
        <v>0</v>
      </c>
      <c r="E197" s="107">
        <f t="shared" si="685"/>
        <v>0</v>
      </c>
      <c r="F197" s="107">
        <f t="shared" ref="F197" si="686">F451</f>
        <v>0</v>
      </c>
      <c r="G197" s="107">
        <f t="shared" si="685"/>
        <v>0</v>
      </c>
      <c r="H197" s="107">
        <f t="shared" si="685"/>
        <v>0</v>
      </c>
      <c r="I197" s="107">
        <f t="shared" si="685"/>
        <v>0</v>
      </c>
      <c r="J197" s="107">
        <f t="shared" si="685"/>
        <v>0</v>
      </c>
      <c r="K197" s="107">
        <f t="shared" ref="K197" si="687">K451</f>
        <v>0</v>
      </c>
      <c r="L197" s="107">
        <f t="shared" si="685"/>
        <v>0</v>
      </c>
      <c r="M197" s="107">
        <f t="shared" si="685"/>
        <v>0</v>
      </c>
      <c r="N197" s="107">
        <f t="shared" si="685"/>
        <v>0</v>
      </c>
      <c r="O197" s="107">
        <f t="shared" si="685"/>
        <v>0</v>
      </c>
      <c r="P197" s="107">
        <f t="shared" ref="P197" si="688">P451</f>
        <v>0</v>
      </c>
      <c r="Q197" s="107">
        <f t="shared" si="685"/>
        <v>0</v>
      </c>
      <c r="R197" s="107">
        <f t="shared" si="685"/>
        <v>0</v>
      </c>
      <c r="S197" s="1322"/>
      <c r="T197" s="1322"/>
      <c r="U197" s="1322"/>
      <c r="V197" s="1322"/>
      <c r="W197" s="1322"/>
    </row>
    <row r="198" spans="1:23" s="2" customFormat="1" ht="108" hidden="1">
      <c r="A198" s="149">
        <v>17130</v>
      </c>
      <c r="B198" s="208" t="s">
        <v>220</v>
      </c>
      <c r="C198" s="107">
        <f>C452</f>
        <v>0</v>
      </c>
      <c r="D198" s="107">
        <f t="shared" ref="D198:R198" si="689">D452</f>
        <v>0</v>
      </c>
      <c r="E198" s="107">
        <f t="shared" si="689"/>
        <v>0</v>
      </c>
      <c r="F198" s="107">
        <f t="shared" ref="F198" si="690">F452</f>
        <v>0</v>
      </c>
      <c r="G198" s="107">
        <f t="shared" si="689"/>
        <v>0</v>
      </c>
      <c r="H198" s="107">
        <f t="shared" si="689"/>
        <v>0</v>
      </c>
      <c r="I198" s="107">
        <f t="shared" si="689"/>
        <v>0</v>
      </c>
      <c r="J198" s="107">
        <f t="shared" si="689"/>
        <v>0</v>
      </c>
      <c r="K198" s="107">
        <f t="shared" ref="K198" si="691">K452</f>
        <v>0</v>
      </c>
      <c r="L198" s="107">
        <f t="shared" si="689"/>
        <v>0</v>
      </c>
      <c r="M198" s="107">
        <f t="shared" si="689"/>
        <v>0</v>
      </c>
      <c r="N198" s="107">
        <f t="shared" si="689"/>
        <v>0</v>
      </c>
      <c r="O198" s="107">
        <f t="shared" si="689"/>
        <v>0</v>
      </c>
      <c r="P198" s="107">
        <f t="shared" ref="P198" si="692">P452</f>
        <v>0</v>
      </c>
      <c r="Q198" s="107">
        <f t="shared" si="689"/>
        <v>0</v>
      </c>
      <c r="R198" s="107">
        <f t="shared" si="689"/>
        <v>0</v>
      </c>
      <c r="S198" s="1322"/>
      <c r="T198" s="1322"/>
      <c r="U198" s="1322"/>
      <c r="V198" s="1322"/>
      <c r="W198" s="1322"/>
    </row>
    <row r="199" spans="1:23" s="2" customFormat="1" ht="108" hidden="1">
      <c r="A199" s="149">
        <v>17140</v>
      </c>
      <c r="B199" s="208" t="s">
        <v>221</v>
      </c>
      <c r="C199" s="107">
        <f>C453</f>
        <v>0</v>
      </c>
      <c r="D199" s="107">
        <f t="shared" ref="D199:R199" si="693">D453</f>
        <v>0</v>
      </c>
      <c r="E199" s="107">
        <f t="shared" si="693"/>
        <v>0</v>
      </c>
      <c r="F199" s="107">
        <f t="shared" ref="F199" si="694">F453</f>
        <v>0</v>
      </c>
      <c r="G199" s="107">
        <f t="shared" si="693"/>
        <v>0</v>
      </c>
      <c r="H199" s="107">
        <f t="shared" si="693"/>
        <v>0</v>
      </c>
      <c r="I199" s="107">
        <f t="shared" si="693"/>
        <v>0</v>
      </c>
      <c r="J199" s="107">
        <f t="shared" si="693"/>
        <v>0</v>
      </c>
      <c r="K199" s="107">
        <f t="shared" ref="K199" si="695">K453</f>
        <v>0</v>
      </c>
      <c r="L199" s="107">
        <f t="shared" si="693"/>
        <v>0</v>
      </c>
      <c r="M199" s="107">
        <f t="shared" si="693"/>
        <v>0</v>
      </c>
      <c r="N199" s="107">
        <f t="shared" si="693"/>
        <v>0</v>
      </c>
      <c r="O199" s="107">
        <f t="shared" si="693"/>
        <v>0</v>
      </c>
      <c r="P199" s="107">
        <f t="shared" ref="P199" si="696">P453</f>
        <v>0</v>
      </c>
      <c r="Q199" s="107">
        <f t="shared" si="693"/>
        <v>0</v>
      </c>
      <c r="R199" s="107">
        <f t="shared" si="693"/>
        <v>0</v>
      </c>
      <c r="S199" s="1322"/>
      <c r="T199" s="1322"/>
      <c r="U199" s="1322"/>
      <c r="V199" s="1322"/>
      <c r="W199" s="1322"/>
    </row>
    <row r="200" spans="1:23" s="2" customFormat="1" ht="12">
      <c r="A200" s="137">
        <v>21700</v>
      </c>
      <c r="B200" s="100" t="s">
        <v>97</v>
      </c>
      <c r="C200" s="107">
        <f t="shared" ref="C200" si="697">C201+C202</f>
        <v>923313301</v>
      </c>
      <c r="D200" s="107">
        <f t="shared" ref="D200:R200" si="698">D201+D202</f>
        <v>881212190</v>
      </c>
      <c r="E200" s="107">
        <f t="shared" si="698"/>
        <v>3004472</v>
      </c>
      <c r="F200" s="107">
        <f t="shared" ref="F200" si="699">F201+F202</f>
        <v>0</v>
      </c>
      <c r="G200" s="107">
        <f t="shared" si="698"/>
        <v>-7331031</v>
      </c>
      <c r="H200" s="107">
        <f t="shared" si="698"/>
        <v>876885631</v>
      </c>
      <c r="I200" s="107">
        <f t="shared" si="698"/>
        <v>956316073</v>
      </c>
      <c r="J200" s="107">
        <f t="shared" si="698"/>
        <v>-7994930</v>
      </c>
      <c r="K200" s="107">
        <f t="shared" ref="K200" si="700">K201+K202</f>
        <v>0</v>
      </c>
      <c r="L200" s="107">
        <f t="shared" si="698"/>
        <v>-20383069</v>
      </c>
      <c r="M200" s="107">
        <f t="shared" si="698"/>
        <v>927938074</v>
      </c>
      <c r="N200" s="107">
        <f t="shared" si="698"/>
        <v>779796979</v>
      </c>
      <c r="O200" s="107">
        <f t="shared" si="698"/>
        <v>568590</v>
      </c>
      <c r="P200" s="107">
        <f t="shared" ref="P200" si="701">P201+P202</f>
        <v>0</v>
      </c>
      <c r="Q200" s="107">
        <f t="shared" si="698"/>
        <v>-39405634</v>
      </c>
      <c r="R200" s="107">
        <f t="shared" si="698"/>
        <v>740959935</v>
      </c>
      <c r="S200" s="1322"/>
      <c r="T200" s="1322"/>
      <c r="U200" s="1322"/>
      <c r="V200" s="1322"/>
      <c r="W200" s="1322"/>
    </row>
    <row r="201" spans="1:23" s="2" customFormat="1" ht="24">
      <c r="A201" s="138">
        <v>21710</v>
      </c>
      <c r="B201" s="101" t="s">
        <v>98</v>
      </c>
      <c r="C201" s="107">
        <f>C455</f>
        <v>923313301</v>
      </c>
      <c r="D201" s="107">
        <f t="shared" ref="D201:R201" si="702">D455</f>
        <v>881212190</v>
      </c>
      <c r="E201" s="107">
        <f t="shared" si="702"/>
        <v>3004472</v>
      </c>
      <c r="F201" s="107">
        <f t="shared" ref="F201" si="703">F455</f>
        <v>0</v>
      </c>
      <c r="G201" s="107">
        <f t="shared" si="702"/>
        <v>-7331031</v>
      </c>
      <c r="H201" s="107">
        <f t="shared" si="702"/>
        <v>876885631</v>
      </c>
      <c r="I201" s="107">
        <f t="shared" si="702"/>
        <v>956316073</v>
      </c>
      <c r="J201" s="107">
        <f t="shared" si="702"/>
        <v>-7994930</v>
      </c>
      <c r="K201" s="107">
        <f t="shared" ref="K201" si="704">K455</f>
        <v>0</v>
      </c>
      <c r="L201" s="107">
        <f t="shared" si="702"/>
        <v>-20383069</v>
      </c>
      <c r="M201" s="107">
        <f t="shared" si="702"/>
        <v>927938074</v>
      </c>
      <c r="N201" s="107">
        <f t="shared" si="702"/>
        <v>779796979</v>
      </c>
      <c r="O201" s="107">
        <f t="shared" si="702"/>
        <v>568590</v>
      </c>
      <c r="P201" s="107">
        <f t="shared" ref="P201" si="705">P455</f>
        <v>0</v>
      </c>
      <c r="Q201" s="107">
        <f t="shared" si="702"/>
        <v>-39405634</v>
      </c>
      <c r="R201" s="107">
        <f t="shared" si="702"/>
        <v>740959935</v>
      </c>
      <c r="S201" s="1322"/>
      <c r="T201" s="1322"/>
      <c r="U201" s="1322"/>
      <c r="V201" s="1322"/>
      <c r="W201" s="1322"/>
    </row>
    <row r="202" spans="1:23" s="2" customFormat="1" ht="24" hidden="1">
      <c r="A202" s="138">
        <v>21720</v>
      </c>
      <c r="B202" s="101" t="s">
        <v>99</v>
      </c>
      <c r="C202" s="300"/>
      <c r="D202" s="300"/>
      <c r="E202" s="300"/>
      <c r="F202" s="300"/>
      <c r="G202" s="300"/>
      <c r="H202" s="300"/>
      <c r="I202" s="300"/>
      <c r="J202" s="300"/>
      <c r="K202" s="300"/>
      <c r="L202" s="300"/>
      <c r="M202" s="300"/>
      <c r="N202" s="300"/>
      <c r="O202" s="300"/>
      <c r="P202" s="300"/>
      <c r="Q202" s="300"/>
      <c r="R202" s="300"/>
      <c r="S202" s="1322"/>
      <c r="T202" s="1322"/>
      <c r="U202" s="1322"/>
      <c r="V202" s="1322"/>
      <c r="W202" s="1322"/>
    </row>
    <row r="203" spans="1:23" s="2" customFormat="1" ht="11.4">
      <c r="A203" s="129" t="s">
        <v>100</v>
      </c>
      <c r="B203" s="99" t="s">
        <v>101</v>
      </c>
      <c r="C203" s="111">
        <f>C204+C231</f>
        <v>994059632</v>
      </c>
      <c r="D203" s="111">
        <f t="shared" ref="D203:R203" si="706">D204+D231</f>
        <v>932910060</v>
      </c>
      <c r="E203" s="111">
        <f t="shared" si="706"/>
        <v>4098285</v>
      </c>
      <c r="F203" s="111">
        <f t="shared" ref="F203" si="707">F204+F231</f>
        <v>0</v>
      </c>
      <c r="G203" s="111">
        <f t="shared" si="706"/>
        <v>-7331031</v>
      </c>
      <c r="H203" s="111">
        <f t="shared" si="706"/>
        <v>929677314</v>
      </c>
      <c r="I203" s="111">
        <f t="shared" si="706"/>
        <v>972470479</v>
      </c>
      <c r="J203" s="111">
        <f t="shared" si="706"/>
        <v>-7250093</v>
      </c>
      <c r="K203" s="111">
        <f t="shared" ref="K203" si="708">K204+K231</f>
        <v>0</v>
      </c>
      <c r="L203" s="111">
        <f t="shared" si="706"/>
        <v>-20383069</v>
      </c>
      <c r="M203" s="111">
        <f t="shared" si="706"/>
        <v>944837317</v>
      </c>
      <c r="N203" s="111">
        <f t="shared" si="706"/>
        <v>787563949</v>
      </c>
      <c r="O203" s="111">
        <f t="shared" si="706"/>
        <v>832435</v>
      </c>
      <c r="P203" s="111">
        <f t="shared" ref="P203" si="709">P204+P231</f>
        <v>0</v>
      </c>
      <c r="Q203" s="111">
        <f t="shared" si="706"/>
        <v>-39405634</v>
      </c>
      <c r="R203" s="111">
        <f t="shared" si="706"/>
        <v>748990750</v>
      </c>
      <c r="S203" s="1322"/>
      <c r="T203" s="1322"/>
      <c r="U203" s="1322"/>
      <c r="V203" s="1322"/>
      <c r="W203" s="1322"/>
    </row>
    <row r="204" spans="1:23" s="2" customFormat="1" ht="20.399999999999999">
      <c r="A204" s="130" t="s">
        <v>102</v>
      </c>
      <c r="B204" s="100" t="s">
        <v>103</v>
      </c>
      <c r="C204" s="107">
        <f>C205+C209+C210+C213+C216</f>
        <v>708616565</v>
      </c>
      <c r="D204" s="107">
        <f t="shared" ref="D204:R204" si="710">D205+D209+D210+D213+D216</f>
        <v>743986496</v>
      </c>
      <c r="E204" s="107">
        <f t="shared" si="710"/>
        <v>437630</v>
      </c>
      <c r="F204" s="107">
        <f t="shared" ref="F204" si="711">F205+F209+F210+F213+F216</f>
        <v>0</v>
      </c>
      <c r="G204" s="107">
        <f t="shared" si="710"/>
        <v>-7331031</v>
      </c>
      <c r="H204" s="107">
        <f t="shared" si="710"/>
        <v>737093095</v>
      </c>
      <c r="I204" s="107">
        <f t="shared" si="710"/>
        <v>929788728</v>
      </c>
      <c r="J204" s="107">
        <f t="shared" si="710"/>
        <v>-8610093</v>
      </c>
      <c r="K204" s="107">
        <f t="shared" ref="K204" si="712">K205+K209+K210+K213+K216</f>
        <v>0</v>
      </c>
      <c r="L204" s="107">
        <f t="shared" si="710"/>
        <v>-20383069</v>
      </c>
      <c r="M204" s="107">
        <f t="shared" si="710"/>
        <v>900795566</v>
      </c>
      <c r="N204" s="107">
        <f t="shared" si="710"/>
        <v>772297077</v>
      </c>
      <c r="O204" s="107">
        <f t="shared" si="710"/>
        <v>613907</v>
      </c>
      <c r="P204" s="107">
        <f t="shared" ref="P204" si="713">P205+P209+P210+P213+P216</f>
        <v>0</v>
      </c>
      <c r="Q204" s="107">
        <f t="shared" si="710"/>
        <v>-39405634</v>
      </c>
      <c r="R204" s="107">
        <f t="shared" si="710"/>
        <v>733505350</v>
      </c>
      <c r="S204" s="1322"/>
      <c r="T204" s="1322"/>
      <c r="U204" s="1322"/>
      <c r="V204" s="1322"/>
      <c r="W204" s="1322"/>
    </row>
    <row r="205" spans="1:23" s="2" customFormat="1" ht="12">
      <c r="A205" s="130" t="s">
        <v>104</v>
      </c>
      <c r="B205" s="100" t="s">
        <v>105</v>
      </c>
      <c r="C205" s="107">
        <f>C206+C208</f>
        <v>66948169</v>
      </c>
      <c r="D205" s="107">
        <f t="shared" ref="D205:R205" si="714">D206+D208</f>
        <v>49704114</v>
      </c>
      <c r="E205" s="107">
        <f t="shared" si="714"/>
        <v>1212682</v>
      </c>
      <c r="F205" s="107">
        <f t="shared" ref="F205" si="715">F206+F208</f>
        <v>0</v>
      </c>
      <c r="G205" s="107">
        <f t="shared" si="714"/>
        <v>0</v>
      </c>
      <c r="H205" s="107">
        <f t="shared" si="714"/>
        <v>50916796</v>
      </c>
      <c r="I205" s="107">
        <f t="shared" si="714"/>
        <v>26203732</v>
      </c>
      <c r="J205" s="107">
        <f t="shared" si="714"/>
        <v>1585891</v>
      </c>
      <c r="K205" s="107">
        <f t="shared" ref="K205" si="716">K206+K208</f>
        <v>0</v>
      </c>
      <c r="L205" s="107">
        <f t="shared" si="714"/>
        <v>0</v>
      </c>
      <c r="M205" s="107">
        <f t="shared" si="714"/>
        <v>27789623</v>
      </c>
      <c r="N205" s="107">
        <f t="shared" si="714"/>
        <v>11889898</v>
      </c>
      <c r="O205" s="107">
        <f t="shared" si="714"/>
        <v>768036</v>
      </c>
      <c r="P205" s="107">
        <f t="shared" ref="P205" si="717">P206+P208</f>
        <v>0</v>
      </c>
      <c r="Q205" s="107">
        <f t="shared" si="714"/>
        <v>0</v>
      </c>
      <c r="R205" s="107">
        <f t="shared" si="714"/>
        <v>12657934</v>
      </c>
      <c r="S205" s="1322"/>
      <c r="T205" s="1322"/>
      <c r="U205" s="1322"/>
      <c r="V205" s="1322"/>
      <c r="W205" s="1322"/>
    </row>
    <row r="206" spans="1:23" s="2" customFormat="1" ht="12">
      <c r="A206" s="132">
        <v>1000</v>
      </c>
      <c r="B206" s="101" t="s">
        <v>106</v>
      </c>
      <c r="C206" s="107">
        <f>C460</f>
        <v>23264050</v>
      </c>
      <c r="D206" s="107">
        <f t="shared" ref="D206:R206" si="718">D460</f>
        <v>20793688</v>
      </c>
      <c r="E206" s="107">
        <f t="shared" si="718"/>
        <v>84728</v>
      </c>
      <c r="F206" s="107">
        <f t="shared" ref="F206" si="719">F460</f>
        <v>0</v>
      </c>
      <c r="G206" s="107">
        <f t="shared" si="718"/>
        <v>0</v>
      </c>
      <c r="H206" s="107">
        <f t="shared" si="718"/>
        <v>20878416</v>
      </c>
      <c r="I206" s="107">
        <f t="shared" si="718"/>
        <v>11078214</v>
      </c>
      <c r="J206" s="107">
        <f t="shared" si="718"/>
        <v>1022041</v>
      </c>
      <c r="K206" s="107">
        <f t="shared" ref="K206" si="720">K460</f>
        <v>0</v>
      </c>
      <c r="L206" s="107">
        <f t="shared" si="718"/>
        <v>0</v>
      </c>
      <c r="M206" s="107">
        <f t="shared" si="718"/>
        <v>12100255</v>
      </c>
      <c r="N206" s="107">
        <f t="shared" si="718"/>
        <v>4797560</v>
      </c>
      <c r="O206" s="107">
        <f t="shared" si="718"/>
        <v>579742</v>
      </c>
      <c r="P206" s="107">
        <f t="shared" ref="P206" si="721">P460</f>
        <v>0</v>
      </c>
      <c r="Q206" s="107">
        <f t="shared" si="718"/>
        <v>0</v>
      </c>
      <c r="R206" s="107">
        <f t="shared" si="718"/>
        <v>5377302</v>
      </c>
      <c r="S206" s="1322"/>
      <c r="T206" s="1322"/>
      <c r="U206" s="1322"/>
      <c r="V206" s="1322"/>
      <c r="W206" s="1322"/>
    </row>
    <row r="207" spans="1:23" s="2" customFormat="1" ht="12">
      <c r="A207" s="139">
        <v>1100</v>
      </c>
      <c r="B207" s="101" t="s">
        <v>107</v>
      </c>
      <c r="C207" s="107">
        <f>C461</f>
        <v>18433106</v>
      </c>
      <c r="D207" s="107">
        <f t="shared" ref="D207:R207" si="722">D461</f>
        <v>16515214</v>
      </c>
      <c r="E207" s="107">
        <f t="shared" si="722"/>
        <v>54006</v>
      </c>
      <c r="F207" s="107">
        <f t="shared" ref="F207" si="723">F461</f>
        <v>0</v>
      </c>
      <c r="G207" s="107">
        <f t="shared" si="722"/>
        <v>0</v>
      </c>
      <c r="H207" s="107">
        <f t="shared" si="722"/>
        <v>16569220</v>
      </c>
      <c r="I207" s="107">
        <f t="shared" si="722"/>
        <v>8843801</v>
      </c>
      <c r="J207" s="107">
        <f t="shared" si="722"/>
        <v>815458</v>
      </c>
      <c r="K207" s="107">
        <f t="shared" ref="K207" si="724">K461</f>
        <v>0</v>
      </c>
      <c r="L207" s="107">
        <f t="shared" si="722"/>
        <v>0</v>
      </c>
      <c r="M207" s="107">
        <f t="shared" si="722"/>
        <v>9659259</v>
      </c>
      <c r="N207" s="107">
        <f t="shared" si="722"/>
        <v>3799154</v>
      </c>
      <c r="O207" s="107">
        <f t="shared" si="722"/>
        <v>461590</v>
      </c>
      <c r="P207" s="107">
        <f t="shared" ref="P207" si="725">P461</f>
        <v>0</v>
      </c>
      <c r="Q207" s="107">
        <f t="shared" si="722"/>
        <v>0</v>
      </c>
      <c r="R207" s="107">
        <f t="shared" si="722"/>
        <v>4260744</v>
      </c>
      <c r="S207" s="1322"/>
      <c r="T207" s="1322"/>
      <c r="U207" s="1322"/>
      <c r="V207" s="1322"/>
      <c r="W207" s="1322"/>
    </row>
    <row r="208" spans="1:23" s="2" customFormat="1" ht="12">
      <c r="A208" s="132">
        <v>2000</v>
      </c>
      <c r="B208" s="101" t="s">
        <v>108</v>
      </c>
      <c r="C208" s="107">
        <f>C462</f>
        <v>43684119</v>
      </c>
      <c r="D208" s="107">
        <f t="shared" ref="D208:R208" si="726">D462</f>
        <v>28910426</v>
      </c>
      <c r="E208" s="107">
        <f t="shared" si="726"/>
        <v>1127954</v>
      </c>
      <c r="F208" s="107">
        <f t="shared" ref="F208" si="727">F462</f>
        <v>0</v>
      </c>
      <c r="G208" s="107">
        <f t="shared" si="726"/>
        <v>0</v>
      </c>
      <c r="H208" s="107">
        <f t="shared" si="726"/>
        <v>30038380</v>
      </c>
      <c r="I208" s="107">
        <f t="shared" si="726"/>
        <v>15125518</v>
      </c>
      <c r="J208" s="107">
        <f t="shared" si="726"/>
        <v>563850</v>
      </c>
      <c r="K208" s="107">
        <f t="shared" ref="K208" si="728">K462</f>
        <v>0</v>
      </c>
      <c r="L208" s="107">
        <f t="shared" si="726"/>
        <v>0</v>
      </c>
      <c r="M208" s="107">
        <f t="shared" si="726"/>
        <v>15689368</v>
      </c>
      <c r="N208" s="107">
        <f t="shared" si="726"/>
        <v>7092338</v>
      </c>
      <c r="O208" s="107">
        <f t="shared" si="726"/>
        <v>188294</v>
      </c>
      <c r="P208" s="107">
        <f t="shared" ref="P208" si="729">P462</f>
        <v>0</v>
      </c>
      <c r="Q208" s="107">
        <f t="shared" si="726"/>
        <v>0</v>
      </c>
      <c r="R208" s="107">
        <f t="shared" si="726"/>
        <v>7280632</v>
      </c>
      <c r="S208" s="1322"/>
      <c r="T208" s="1322"/>
      <c r="U208" s="1322"/>
      <c r="V208" s="1322"/>
      <c r="W208" s="1322"/>
    </row>
    <row r="209" spans="1:23" s="2" customFormat="1" ht="12">
      <c r="A209" s="140">
        <v>4000</v>
      </c>
      <c r="B209" s="100" t="s">
        <v>132</v>
      </c>
      <c r="C209" s="107">
        <f>C463</f>
        <v>0</v>
      </c>
      <c r="D209" s="107">
        <f t="shared" ref="D209:R209" si="730">D463</f>
        <v>0</v>
      </c>
      <c r="E209" s="107">
        <f t="shared" si="730"/>
        <v>0</v>
      </c>
      <c r="F209" s="107">
        <f t="shared" ref="F209" si="731">F463</f>
        <v>0</v>
      </c>
      <c r="G209" s="107">
        <f t="shared" si="730"/>
        <v>0</v>
      </c>
      <c r="H209" s="107">
        <f t="shared" si="730"/>
        <v>0</v>
      </c>
      <c r="I209" s="107">
        <f t="shared" si="730"/>
        <v>0</v>
      </c>
      <c r="J209" s="107">
        <f t="shared" si="730"/>
        <v>0</v>
      </c>
      <c r="K209" s="107">
        <f t="shared" ref="K209" si="732">K463</f>
        <v>0</v>
      </c>
      <c r="L209" s="107">
        <f t="shared" si="730"/>
        <v>0</v>
      </c>
      <c r="M209" s="107">
        <f t="shared" si="730"/>
        <v>0</v>
      </c>
      <c r="N209" s="107">
        <f t="shared" si="730"/>
        <v>0</v>
      </c>
      <c r="O209" s="107">
        <f t="shared" si="730"/>
        <v>0</v>
      </c>
      <c r="P209" s="107">
        <f t="shared" ref="P209" si="733">P463</f>
        <v>0</v>
      </c>
      <c r="Q209" s="107">
        <f t="shared" si="730"/>
        <v>0</v>
      </c>
      <c r="R209" s="107">
        <f t="shared" si="730"/>
        <v>0</v>
      </c>
      <c r="S209" s="1322"/>
      <c r="T209" s="1322"/>
      <c r="U209" s="1322"/>
      <c r="V209" s="1322"/>
      <c r="W209" s="1322"/>
    </row>
    <row r="210" spans="1:23" s="2" customFormat="1" ht="12">
      <c r="A210" s="140" t="s">
        <v>109</v>
      </c>
      <c r="B210" s="100" t="s">
        <v>110</v>
      </c>
      <c r="C210" s="107">
        <f t="shared" ref="C210" si="734">C211+C212</f>
        <v>566029252</v>
      </c>
      <c r="D210" s="107">
        <f t="shared" ref="D210:R210" si="735">D211+D212</f>
        <v>629560398</v>
      </c>
      <c r="E210" s="107">
        <f t="shared" si="735"/>
        <v>-6259492</v>
      </c>
      <c r="F210" s="107">
        <f t="shared" ref="F210" si="736">F211+F212</f>
        <v>0</v>
      </c>
      <c r="G210" s="107">
        <f t="shared" si="735"/>
        <v>-7331031</v>
      </c>
      <c r="H210" s="107">
        <f t="shared" si="735"/>
        <v>615969875</v>
      </c>
      <c r="I210" s="107">
        <f t="shared" si="735"/>
        <v>881845594</v>
      </c>
      <c r="J210" s="107">
        <f t="shared" si="735"/>
        <v>-11680234</v>
      </c>
      <c r="K210" s="107">
        <f t="shared" ref="K210" si="737">K211+K212</f>
        <v>0</v>
      </c>
      <c r="L210" s="107">
        <f t="shared" si="735"/>
        <v>-20383069</v>
      </c>
      <c r="M210" s="107">
        <f t="shared" si="735"/>
        <v>849782291</v>
      </c>
      <c r="N210" s="107">
        <f t="shared" si="735"/>
        <v>753300734</v>
      </c>
      <c r="O210" s="107">
        <f t="shared" si="735"/>
        <v>-240975</v>
      </c>
      <c r="P210" s="107">
        <f t="shared" ref="P210" si="738">P211+P212</f>
        <v>0</v>
      </c>
      <c r="Q210" s="107">
        <f t="shared" si="735"/>
        <v>-39405634</v>
      </c>
      <c r="R210" s="107">
        <f t="shared" si="735"/>
        <v>713654125</v>
      </c>
      <c r="S210" s="1322"/>
      <c r="T210" s="1322"/>
      <c r="U210" s="1322"/>
      <c r="V210" s="1322"/>
      <c r="W210" s="1322"/>
    </row>
    <row r="211" spans="1:23" s="2" customFormat="1" ht="12">
      <c r="A211" s="132">
        <v>3000</v>
      </c>
      <c r="B211" s="101" t="s">
        <v>111</v>
      </c>
      <c r="C211" s="107">
        <f>C465</f>
        <v>559877343</v>
      </c>
      <c r="D211" s="107">
        <f t="shared" ref="D211:R211" si="739">D465</f>
        <v>626371913</v>
      </c>
      <c r="E211" s="107">
        <f t="shared" si="739"/>
        <v>-6259492</v>
      </c>
      <c r="F211" s="107">
        <f t="shared" ref="F211" si="740">F465</f>
        <v>0</v>
      </c>
      <c r="G211" s="107">
        <f t="shared" si="739"/>
        <v>-7331031</v>
      </c>
      <c r="H211" s="107">
        <f t="shared" si="739"/>
        <v>612781390</v>
      </c>
      <c r="I211" s="107">
        <f t="shared" si="739"/>
        <v>881845594</v>
      </c>
      <c r="J211" s="107">
        <f t="shared" si="739"/>
        <v>-11680234</v>
      </c>
      <c r="K211" s="107">
        <f t="shared" ref="K211" si="741">K465</f>
        <v>0</v>
      </c>
      <c r="L211" s="107">
        <f t="shared" si="739"/>
        <v>-20383069</v>
      </c>
      <c r="M211" s="107">
        <f t="shared" si="739"/>
        <v>849782291</v>
      </c>
      <c r="N211" s="107">
        <f t="shared" si="739"/>
        <v>753300734</v>
      </c>
      <c r="O211" s="107">
        <f t="shared" si="739"/>
        <v>-240975</v>
      </c>
      <c r="P211" s="107">
        <f t="shared" ref="P211" si="742">P465</f>
        <v>0</v>
      </c>
      <c r="Q211" s="107">
        <f t="shared" si="739"/>
        <v>-39405634</v>
      </c>
      <c r="R211" s="107">
        <f t="shared" si="739"/>
        <v>713654125</v>
      </c>
      <c r="S211" s="1322"/>
      <c r="T211" s="1322"/>
      <c r="U211" s="1322"/>
      <c r="V211" s="1322"/>
      <c r="W211" s="1322"/>
    </row>
    <row r="212" spans="1:23" s="2" customFormat="1" ht="12">
      <c r="A212" s="132">
        <v>6000</v>
      </c>
      <c r="B212" s="101" t="s">
        <v>112</v>
      </c>
      <c r="C212" s="107">
        <f>C466</f>
        <v>6151909</v>
      </c>
      <c r="D212" s="107">
        <f t="shared" ref="D212:R212" si="743">D466</f>
        <v>3188485</v>
      </c>
      <c r="E212" s="107">
        <f t="shared" si="743"/>
        <v>0</v>
      </c>
      <c r="F212" s="107">
        <f t="shared" ref="F212" si="744">F466</f>
        <v>0</v>
      </c>
      <c r="G212" s="107">
        <f t="shared" si="743"/>
        <v>0</v>
      </c>
      <c r="H212" s="107">
        <f t="shared" si="743"/>
        <v>3188485</v>
      </c>
      <c r="I212" s="107">
        <f t="shared" si="743"/>
        <v>0</v>
      </c>
      <c r="J212" s="107">
        <f t="shared" si="743"/>
        <v>0</v>
      </c>
      <c r="K212" s="107">
        <f t="shared" ref="K212" si="745">K466</f>
        <v>0</v>
      </c>
      <c r="L212" s="107">
        <f t="shared" si="743"/>
        <v>0</v>
      </c>
      <c r="M212" s="107">
        <f t="shared" si="743"/>
        <v>0</v>
      </c>
      <c r="N212" s="107">
        <f t="shared" si="743"/>
        <v>0</v>
      </c>
      <c r="O212" s="107">
        <f t="shared" si="743"/>
        <v>0</v>
      </c>
      <c r="P212" s="107">
        <f t="shared" ref="P212" si="746">P466</f>
        <v>0</v>
      </c>
      <c r="Q212" s="107">
        <f t="shared" si="743"/>
        <v>0</v>
      </c>
      <c r="R212" s="107">
        <f t="shared" si="743"/>
        <v>0</v>
      </c>
      <c r="S212" s="1322"/>
      <c r="T212" s="1322"/>
      <c r="U212" s="1322"/>
      <c r="V212" s="1322"/>
      <c r="W212" s="1322"/>
    </row>
    <row r="213" spans="1:23" s="2" customFormat="1" ht="22.8">
      <c r="A213" s="140" t="s">
        <v>113</v>
      </c>
      <c r="B213" s="100" t="s">
        <v>183</v>
      </c>
      <c r="C213" s="107">
        <f t="shared" ref="C213" si="747">C214+C215</f>
        <v>11198967</v>
      </c>
      <c r="D213" s="107">
        <f t="shared" ref="D213:R213" si="748">D214+D215</f>
        <v>14732219</v>
      </c>
      <c r="E213" s="107">
        <f t="shared" si="748"/>
        <v>360882</v>
      </c>
      <c r="F213" s="107">
        <f t="shared" ref="F213" si="749">F214+F215</f>
        <v>0</v>
      </c>
      <c r="G213" s="107">
        <f t="shared" si="748"/>
        <v>0</v>
      </c>
      <c r="H213" s="107">
        <f t="shared" si="748"/>
        <v>15093101</v>
      </c>
      <c r="I213" s="107">
        <f t="shared" si="748"/>
        <v>6156220</v>
      </c>
      <c r="J213" s="107">
        <f t="shared" si="748"/>
        <v>0</v>
      </c>
      <c r="K213" s="107">
        <f t="shared" ref="K213" si="750">K214+K215</f>
        <v>0</v>
      </c>
      <c r="L213" s="107">
        <f t="shared" si="748"/>
        <v>0</v>
      </c>
      <c r="M213" s="107">
        <f t="shared" si="748"/>
        <v>6156220</v>
      </c>
      <c r="N213" s="107">
        <f t="shared" si="748"/>
        <v>2217136</v>
      </c>
      <c r="O213" s="107">
        <f t="shared" si="748"/>
        <v>0</v>
      </c>
      <c r="P213" s="107">
        <f t="shared" ref="P213" si="751">P214+P215</f>
        <v>0</v>
      </c>
      <c r="Q213" s="107">
        <f t="shared" si="748"/>
        <v>0</v>
      </c>
      <c r="R213" s="107">
        <f t="shared" si="748"/>
        <v>2217136</v>
      </c>
      <c r="S213" s="1322"/>
      <c r="T213" s="1322"/>
      <c r="U213" s="1322"/>
      <c r="V213" s="1322"/>
      <c r="W213" s="1322"/>
    </row>
    <row r="214" spans="1:23" s="2" customFormat="1" ht="12">
      <c r="A214" s="132">
        <v>7600</v>
      </c>
      <c r="B214" s="112" t="s">
        <v>184</v>
      </c>
      <c r="C214" s="107">
        <f>C468</f>
        <v>290426</v>
      </c>
      <c r="D214" s="107">
        <f t="shared" ref="D214:R214" si="752">D468</f>
        <v>0</v>
      </c>
      <c r="E214" s="107">
        <f t="shared" si="752"/>
        <v>300000</v>
      </c>
      <c r="F214" s="107">
        <f t="shared" ref="F214" si="753">F468</f>
        <v>0</v>
      </c>
      <c r="G214" s="107">
        <f t="shared" si="752"/>
        <v>0</v>
      </c>
      <c r="H214" s="107">
        <f t="shared" si="752"/>
        <v>300000</v>
      </c>
      <c r="I214" s="107">
        <f t="shared" si="752"/>
        <v>0</v>
      </c>
      <c r="J214" s="107">
        <f t="shared" si="752"/>
        <v>0</v>
      </c>
      <c r="K214" s="107">
        <f t="shared" ref="K214" si="754">K468</f>
        <v>0</v>
      </c>
      <c r="L214" s="107">
        <f t="shared" si="752"/>
        <v>0</v>
      </c>
      <c r="M214" s="107">
        <f t="shared" si="752"/>
        <v>0</v>
      </c>
      <c r="N214" s="107">
        <f t="shared" si="752"/>
        <v>0</v>
      </c>
      <c r="O214" s="107">
        <f t="shared" si="752"/>
        <v>0</v>
      </c>
      <c r="P214" s="107">
        <f t="shared" ref="P214" si="755">P468</f>
        <v>0</v>
      </c>
      <c r="Q214" s="107">
        <f t="shared" si="752"/>
        <v>0</v>
      </c>
      <c r="R214" s="107">
        <f t="shared" si="752"/>
        <v>0</v>
      </c>
      <c r="S214" s="1322"/>
      <c r="T214" s="1322"/>
      <c r="U214" s="1322"/>
      <c r="V214" s="1322"/>
      <c r="W214" s="1322"/>
    </row>
    <row r="215" spans="1:23" s="2" customFormat="1" ht="12">
      <c r="A215" s="132">
        <v>7700</v>
      </c>
      <c r="B215" s="102" t="s">
        <v>114</v>
      </c>
      <c r="C215" s="107">
        <f>C469</f>
        <v>10908541</v>
      </c>
      <c r="D215" s="107">
        <f t="shared" ref="D215:R215" si="756">D469</f>
        <v>14732219</v>
      </c>
      <c r="E215" s="107">
        <f t="shared" si="756"/>
        <v>60882</v>
      </c>
      <c r="F215" s="107">
        <f t="shared" ref="F215" si="757">F469</f>
        <v>0</v>
      </c>
      <c r="G215" s="107">
        <f t="shared" si="756"/>
        <v>0</v>
      </c>
      <c r="H215" s="107">
        <f t="shared" si="756"/>
        <v>14793101</v>
      </c>
      <c r="I215" s="107">
        <f t="shared" si="756"/>
        <v>6156220</v>
      </c>
      <c r="J215" s="107">
        <f t="shared" si="756"/>
        <v>0</v>
      </c>
      <c r="K215" s="107">
        <f t="shared" ref="K215" si="758">K469</f>
        <v>0</v>
      </c>
      <c r="L215" s="107">
        <f t="shared" si="756"/>
        <v>0</v>
      </c>
      <c r="M215" s="107">
        <f t="shared" si="756"/>
        <v>6156220</v>
      </c>
      <c r="N215" s="107">
        <f t="shared" si="756"/>
        <v>2217136</v>
      </c>
      <c r="O215" s="107">
        <f t="shared" si="756"/>
        <v>0</v>
      </c>
      <c r="P215" s="107">
        <f t="shared" ref="P215" si="759">P469</f>
        <v>0</v>
      </c>
      <c r="Q215" s="107">
        <f t="shared" si="756"/>
        <v>0</v>
      </c>
      <c r="R215" s="107">
        <f t="shared" si="756"/>
        <v>2217136</v>
      </c>
      <c r="S215" s="1322"/>
      <c r="T215" s="1322"/>
      <c r="U215" s="1322"/>
      <c r="V215" s="1322"/>
      <c r="W215" s="1322"/>
    </row>
    <row r="216" spans="1:23" s="2" customFormat="1" ht="20.399999999999999">
      <c r="A216" s="140" t="s">
        <v>185</v>
      </c>
      <c r="B216" s="100" t="s">
        <v>115</v>
      </c>
      <c r="C216" s="107">
        <f t="shared" ref="C216" si="760">C217+C223+C227+C230</f>
        <v>64440177</v>
      </c>
      <c r="D216" s="107">
        <f t="shared" ref="D216:R216" si="761">D217+D223+D227+D230</f>
        <v>49989765</v>
      </c>
      <c r="E216" s="107">
        <f t="shared" si="761"/>
        <v>5123558</v>
      </c>
      <c r="F216" s="107">
        <f t="shared" ref="F216" si="762">F217+F223+F227+F230</f>
        <v>0</v>
      </c>
      <c r="G216" s="107">
        <f t="shared" si="761"/>
        <v>0</v>
      </c>
      <c r="H216" s="107">
        <f t="shared" si="761"/>
        <v>55113323</v>
      </c>
      <c r="I216" s="107">
        <f t="shared" si="761"/>
        <v>15583182</v>
      </c>
      <c r="J216" s="107">
        <f t="shared" si="761"/>
        <v>1484250</v>
      </c>
      <c r="K216" s="107">
        <f t="shared" ref="K216" si="763">K217+K223+K227+K230</f>
        <v>0</v>
      </c>
      <c r="L216" s="107">
        <f t="shared" si="761"/>
        <v>0</v>
      </c>
      <c r="M216" s="107">
        <f t="shared" si="761"/>
        <v>17067432</v>
      </c>
      <c r="N216" s="107">
        <f t="shared" si="761"/>
        <v>4889309</v>
      </c>
      <c r="O216" s="107">
        <f t="shared" si="761"/>
        <v>86846</v>
      </c>
      <c r="P216" s="107">
        <f t="shared" ref="P216" si="764">P217+P223+P227+P230</f>
        <v>0</v>
      </c>
      <c r="Q216" s="107">
        <f t="shared" si="761"/>
        <v>0</v>
      </c>
      <c r="R216" s="107">
        <f t="shared" si="761"/>
        <v>4976155</v>
      </c>
      <c r="S216" s="1322"/>
      <c r="T216" s="1322"/>
      <c r="U216" s="1322"/>
      <c r="V216" s="1322"/>
      <c r="W216" s="1322"/>
    </row>
    <row r="217" spans="1:23" s="2" customFormat="1" ht="12">
      <c r="A217" s="132">
        <v>7100</v>
      </c>
      <c r="B217" s="112" t="s">
        <v>116</v>
      </c>
      <c r="C217" s="107">
        <f>C218+C219</f>
        <v>0</v>
      </c>
      <c r="D217" s="107">
        <f t="shared" ref="D217:R217" si="765">D218+D219</f>
        <v>389283</v>
      </c>
      <c r="E217" s="107">
        <f t="shared" si="765"/>
        <v>530550</v>
      </c>
      <c r="F217" s="107">
        <f t="shared" ref="F217" si="766">F218+F219</f>
        <v>0</v>
      </c>
      <c r="G217" s="107">
        <f t="shared" si="765"/>
        <v>0</v>
      </c>
      <c r="H217" s="107">
        <f t="shared" si="765"/>
        <v>919833</v>
      </c>
      <c r="I217" s="107">
        <f t="shared" si="765"/>
        <v>0</v>
      </c>
      <c r="J217" s="107">
        <f t="shared" si="765"/>
        <v>273844</v>
      </c>
      <c r="K217" s="107">
        <f t="shared" ref="K217" si="767">K218+K219</f>
        <v>0</v>
      </c>
      <c r="L217" s="107">
        <f t="shared" si="765"/>
        <v>0</v>
      </c>
      <c r="M217" s="107">
        <f t="shared" si="765"/>
        <v>273844</v>
      </c>
      <c r="N217" s="107">
        <f t="shared" si="765"/>
        <v>0</v>
      </c>
      <c r="O217" s="107">
        <f t="shared" si="765"/>
        <v>0</v>
      </c>
      <c r="P217" s="107">
        <f t="shared" ref="P217" si="768">P218+P219</f>
        <v>0</v>
      </c>
      <c r="Q217" s="107">
        <f t="shared" si="765"/>
        <v>0</v>
      </c>
      <c r="R217" s="107">
        <f t="shared" si="765"/>
        <v>0</v>
      </c>
      <c r="S217" s="1322"/>
      <c r="T217" s="1322"/>
      <c r="U217" s="1322"/>
      <c r="V217" s="1322"/>
      <c r="W217" s="1322"/>
    </row>
    <row r="218" spans="1:23" s="2" customFormat="1" ht="24">
      <c r="A218" s="133" t="s">
        <v>117</v>
      </c>
      <c r="B218" s="112" t="s">
        <v>118</v>
      </c>
      <c r="C218" s="107">
        <f t="shared" ref="C218" si="769">C472</f>
        <v>0</v>
      </c>
      <c r="D218" s="107">
        <f t="shared" ref="D218:R218" si="770">D472</f>
        <v>389283</v>
      </c>
      <c r="E218" s="107">
        <f t="shared" si="770"/>
        <v>530550</v>
      </c>
      <c r="F218" s="107">
        <f t="shared" ref="F218" si="771">F472</f>
        <v>0</v>
      </c>
      <c r="G218" s="107">
        <f t="shared" si="770"/>
        <v>0</v>
      </c>
      <c r="H218" s="107">
        <f t="shared" si="770"/>
        <v>919833</v>
      </c>
      <c r="I218" s="107">
        <f t="shared" si="770"/>
        <v>0</v>
      </c>
      <c r="J218" s="107">
        <f t="shared" si="770"/>
        <v>273844</v>
      </c>
      <c r="K218" s="107">
        <f t="shared" ref="K218" si="772">K472</f>
        <v>0</v>
      </c>
      <c r="L218" s="107">
        <f t="shared" si="770"/>
        <v>0</v>
      </c>
      <c r="M218" s="107">
        <f t="shared" si="770"/>
        <v>273844</v>
      </c>
      <c r="N218" s="107">
        <f t="shared" si="770"/>
        <v>0</v>
      </c>
      <c r="O218" s="107">
        <f t="shared" si="770"/>
        <v>0</v>
      </c>
      <c r="P218" s="107">
        <f t="shared" ref="P218" si="773">P472</f>
        <v>0</v>
      </c>
      <c r="Q218" s="107">
        <f t="shared" si="770"/>
        <v>0</v>
      </c>
      <c r="R218" s="107">
        <f t="shared" si="770"/>
        <v>0</v>
      </c>
      <c r="S218" s="1322"/>
      <c r="T218" s="1322"/>
      <c r="U218" s="1322"/>
      <c r="V218" s="1322"/>
      <c r="W218" s="1322"/>
    </row>
    <row r="219" spans="1:23" s="2" customFormat="1" ht="24" hidden="1">
      <c r="A219" s="133">
        <v>7130</v>
      </c>
      <c r="B219" s="112" t="s">
        <v>119</v>
      </c>
      <c r="C219" s="107">
        <f t="shared" ref="C219" si="774">SUM(C220:C222)</f>
        <v>0</v>
      </c>
      <c r="D219" s="107">
        <f t="shared" ref="D219:R219" si="775">SUM(D220:D222)</f>
        <v>0</v>
      </c>
      <c r="E219" s="107">
        <f t="shared" si="775"/>
        <v>0</v>
      </c>
      <c r="F219" s="107">
        <f t="shared" ref="F219" si="776">SUM(F220:F222)</f>
        <v>0</v>
      </c>
      <c r="G219" s="107">
        <f t="shared" si="775"/>
        <v>0</v>
      </c>
      <c r="H219" s="107">
        <f t="shared" si="775"/>
        <v>0</v>
      </c>
      <c r="I219" s="107">
        <f t="shared" si="775"/>
        <v>0</v>
      </c>
      <c r="J219" s="107">
        <f t="shared" si="775"/>
        <v>0</v>
      </c>
      <c r="K219" s="107">
        <f t="shared" ref="K219" si="777">SUM(K220:K222)</f>
        <v>0</v>
      </c>
      <c r="L219" s="107">
        <f t="shared" si="775"/>
        <v>0</v>
      </c>
      <c r="M219" s="107">
        <f t="shared" si="775"/>
        <v>0</v>
      </c>
      <c r="N219" s="107">
        <f t="shared" si="775"/>
        <v>0</v>
      </c>
      <c r="O219" s="107">
        <f t="shared" si="775"/>
        <v>0</v>
      </c>
      <c r="P219" s="107">
        <f t="shared" ref="P219" si="778">SUM(P220:P222)</f>
        <v>0</v>
      </c>
      <c r="Q219" s="107">
        <f t="shared" si="775"/>
        <v>0</v>
      </c>
      <c r="R219" s="107">
        <f t="shared" si="775"/>
        <v>0</v>
      </c>
      <c r="S219" s="1322"/>
      <c r="T219" s="1322"/>
      <c r="U219" s="1322"/>
      <c r="V219" s="1322"/>
      <c r="W219" s="1322"/>
    </row>
    <row r="220" spans="1:23" s="2" customFormat="1" ht="36" hidden="1">
      <c r="A220" s="134">
        <v>7131</v>
      </c>
      <c r="B220" s="112" t="s">
        <v>120</v>
      </c>
      <c r="C220" s="300"/>
      <c r="D220" s="300"/>
      <c r="E220" s="300"/>
      <c r="F220" s="300"/>
      <c r="G220" s="300"/>
      <c r="H220" s="300"/>
      <c r="I220" s="300"/>
      <c r="J220" s="300"/>
      <c r="K220" s="300"/>
      <c r="L220" s="300"/>
      <c r="M220" s="300"/>
      <c r="N220" s="300"/>
      <c r="O220" s="300"/>
      <c r="P220" s="300"/>
      <c r="Q220" s="300"/>
      <c r="R220" s="300"/>
      <c r="S220" s="1322"/>
      <c r="T220" s="1322"/>
      <c r="U220" s="1322"/>
      <c r="V220" s="1322"/>
      <c r="W220" s="1322"/>
    </row>
    <row r="221" spans="1:23" s="2" customFormat="1" ht="36" hidden="1">
      <c r="A221" s="134">
        <v>7132</v>
      </c>
      <c r="B221" s="112" t="s">
        <v>121</v>
      </c>
      <c r="C221" s="300"/>
      <c r="D221" s="300"/>
      <c r="E221" s="300"/>
      <c r="F221" s="300"/>
      <c r="G221" s="300"/>
      <c r="H221" s="300"/>
      <c r="I221" s="300"/>
      <c r="J221" s="300"/>
      <c r="K221" s="300"/>
      <c r="L221" s="300"/>
      <c r="M221" s="300"/>
      <c r="N221" s="300"/>
      <c r="O221" s="300"/>
      <c r="P221" s="300"/>
      <c r="Q221" s="300"/>
      <c r="R221" s="300"/>
      <c r="S221" s="1322"/>
      <c r="T221" s="1322"/>
      <c r="U221" s="1322"/>
      <c r="V221" s="1322"/>
      <c r="W221" s="1322"/>
    </row>
    <row r="222" spans="1:23" s="2" customFormat="1" ht="36" hidden="1">
      <c r="A222" s="134" t="s">
        <v>186</v>
      </c>
      <c r="B222" s="112" t="s">
        <v>187</v>
      </c>
      <c r="C222" s="300"/>
      <c r="D222" s="300"/>
      <c r="E222" s="300"/>
      <c r="F222" s="300"/>
      <c r="G222" s="300"/>
      <c r="H222" s="300"/>
      <c r="I222" s="300"/>
      <c r="J222" s="300"/>
      <c r="K222" s="300"/>
      <c r="L222" s="300"/>
      <c r="M222" s="300"/>
      <c r="N222" s="300"/>
      <c r="O222" s="300"/>
      <c r="P222" s="300"/>
      <c r="Q222" s="300"/>
      <c r="R222" s="300"/>
      <c r="S222" s="1322"/>
      <c r="T222" s="1322"/>
      <c r="U222" s="1322"/>
      <c r="V222" s="1322"/>
      <c r="W222" s="1322"/>
    </row>
    <row r="223" spans="1:23" s="2" customFormat="1" ht="24">
      <c r="A223" s="132">
        <v>7300</v>
      </c>
      <c r="B223" s="108" t="s">
        <v>155</v>
      </c>
      <c r="C223" s="107">
        <f t="shared" ref="C223" si="779">SUM(C224:C226)</f>
        <v>64386375</v>
      </c>
      <c r="D223" s="107">
        <f t="shared" ref="D223:R223" si="780">SUM(D224:D226)</f>
        <v>49600482</v>
      </c>
      <c r="E223" s="107">
        <f t="shared" si="780"/>
        <v>4593008</v>
      </c>
      <c r="F223" s="107">
        <f t="shared" ref="F223" si="781">SUM(F224:F226)</f>
        <v>0</v>
      </c>
      <c r="G223" s="107">
        <f t="shared" si="780"/>
        <v>0</v>
      </c>
      <c r="H223" s="107">
        <f t="shared" si="780"/>
        <v>54193490</v>
      </c>
      <c r="I223" s="107">
        <f t="shared" si="780"/>
        <v>15583182</v>
      </c>
      <c r="J223" s="107">
        <f t="shared" si="780"/>
        <v>1210406</v>
      </c>
      <c r="K223" s="107">
        <f t="shared" ref="K223" si="782">SUM(K224:K226)</f>
        <v>0</v>
      </c>
      <c r="L223" s="107">
        <f t="shared" si="780"/>
        <v>0</v>
      </c>
      <c r="M223" s="107">
        <f t="shared" si="780"/>
        <v>16793588</v>
      </c>
      <c r="N223" s="107">
        <f t="shared" si="780"/>
        <v>4889309</v>
      </c>
      <c r="O223" s="107">
        <f t="shared" si="780"/>
        <v>86846</v>
      </c>
      <c r="P223" s="107">
        <f t="shared" ref="P223" si="783">SUM(P224:P226)</f>
        <v>0</v>
      </c>
      <c r="Q223" s="107">
        <f t="shared" si="780"/>
        <v>0</v>
      </c>
      <c r="R223" s="107">
        <f t="shared" si="780"/>
        <v>4976155</v>
      </c>
      <c r="S223" s="1322"/>
      <c r="T223" s="1322"/>
      <c r="U223" s="1322"/>
      <c r="V223" s="1322"/>
      <c r="W223" s="1322"/>
    </row>
    <row r="224" spans="1:23" s="2" customFormat="1" ht="24">
      <c r="A224" s="133" t="s">
        <v>188</v>
      </c>
      <c r="B224" s="112" t="s">
        <v>170</v>
      </c>
      <c r="C224" s="107">
        <f>C478</f>
        <v>0</v>
      </c>
      <c r="D224" s="107">
        <f t="shared" ref="D224:R224" si="784">D478</f>
        <v>0</v>
      </c>
      <c r="E224" s="107">
        <f t="shared" si="784"/>
        <v>0</v>
      </c>
      <c r="F224" s="107">
        <f t="shared" ref="F224" si="785">F478</f>
        <v>0</v>
      </c>
      <c r="G224" s="107">
        <f t="shared" si="784"/>
        <v>0</v>
      </c>
      <c r="H224" s="107">
        <f t="shared" si="784"/>
        <v>0</v>
      </c>
      <c r="I224" s="107">
        <f t="shared" si="784"/>
        <v>0</v>
      </c>
      <c r="J224" s="107">
        <f t="shared" si="784"/>
        <v>0</v>
      </c>
      <c r="K224" s="107">
        <f t="shared" ref="K224" si="786">K478</f>
        <v>0</v>
      </c>
      <c r="L224" s="107">
        <f t="shared" si="784"/>
        <v>0</v>
      </c>
      <c r="M224" s="107">
        <f t="shared" si="784"/>
        <v>0</v>
      </c>
      <c r="N224" s="107">
        <f t="shared" si="784"/>
        <v>0</v>
      </c>
      <c r="O224" s="107">
        <f t="shared" si="784"/>
        <v>0</v>
      </c>
      <c r="P224" s="107">
        <f t="shared" ref="P224" si="787">P478</f>
        <v>0</v>
      </c>
      <c r="Q224" s="107">
        <f t="shared" si="784"/>
        <v>0</v>
      </c>
      <c r="R224" s="107">
        <f t="shared" si="784"/>
        <v>0</v>
      </c>
      <c r="S224" s="1322"/>
      <c r="T224" s="1322"/>
      <c r="U224" s="1322"/>
      <c r="V224" s="1322"/>
      <c r="W224" s="1322"/>
    </row>
    <row r="225" spans="1:23" s="2" customFormat="1" ht="48">
      <c r="A225" s="133" t="s">
        <v>189</v>
      </c>
      <c r="B225" s="112" t="s">
        <v>156</v>
      </c>
      <c r="C225" s="107">
        <f>C479</f>
        <v>20092545</v>
      </c>
      <c r="D225" s="107">
        <f t="shared" ref="D225:R225" si="788">D479</f>
        <v>16199021</v>
      </c>
      <c r="E225" s="107">
        <f t="shared" si="788"/>
        <v>6304778</v>
      </c>
      <c r="F225" s="107">
        <f t="shared" ref="F225" si="789">F479</f>
        <v>0</v>
      </c>
      <c r="G225" s="107">
        <f t="shared" si="788"/>
        <v>0</v>
      </c>
      <c r="H225" s="107">
        <f t="shared" si="788"/>
        <v>22503799</v>
      </c>
      <c r="I225" s="107">
        <f t="shared" si="788"/>
        <v>4499690</v>
      </c>
      <c r="J225" s="107">
        <f t="shared" si="788"/>
        <v>1790439</v>
      </c>
      <c r="K225" s="107">
        <f t="shared" ref="K225" si="790">K479</f>
        <v>0</v>
      </c>
      <c r="L225" s="107">
        <f t="shared" si="788"/>
        <v>0</v>
      </c>
      <c r="M225" s="107">
        <f t="shared" si="788"/>
        <v>6290129</v>
      </c>
      <c r="N225" s="107">
        <f t="shared" si="788"/>
        <v>1719025</v>
      </c>
      <c r="O225" s="107">
        <f t="shared" si="788"/>
        <v>300000</v>
      </c>
      <c r="P225" s="107">
        <f t="shared" ref="P225" si="791">P479</f>
        <v>0</v>
      </c>
      <c r="Q225" s="107">
        <f t="shared" si="788"/>
        <v>0</v>
      </c>
      <c r="R225" s="107">
        <f t="shared" si="788"/>
        <v>2019025</v>
      </c>
      <c r="S225" s="1322"/>
      <c r="T225" s="1322"/>
      <c r="U225" s="1322"/>
      <c r="V225" s="1322"/>
      <c r="W225" s="1322"/>
    </row>
    <row r="226" spans="1:23" s="2" customFormat="1" ht="36">
      <c r="A226" s="133">
        <v>7350</v>
      </c>
      <c r="B226" s="112" t="s">
        <v>163</v>
      </c>
      <c r="C226" s="107">
        <f>C480</f>
        <v>44293830</v>
      </c>
      <c r="D226" s="107">
        <f t="shared" ref="D226:R226" si="792">D480</f>
        <v>33401461</v>
      </c>
      <c r="E226" s="107">
        <f t="shared" si="792"/>
        <v>-1711770</v>
      </c>
      <c r="F226" s="107">
        <f t="shared" ref="F226" si="793">F480</f>
        <v>0</v>
      </c>
      <c r="G226" s="107">
        <f t="shared" si="792"/>
        <v>0</v>
      </c>
      <c r="H226" s="107">
        <f t="shared" si="792"/>
        <v>31689691</v>
      </c>
      <c r="I226" s="107">
        <f t="shared" si="792"/>
        <v>11083492</v>
      </c>
      <c r="J226" s="107">
        <f t="shared" si="792"/>
        <v>-580033</v>
      </c>
      <c r="K226" s="107">
        <f t="shared" ref="K226" si="794">K480</f>
        <v>0</v>
      </c>
      <c r="L226" s="107">
        <f t="shared" si="792"/>
        <v>0</v>
      </c>
      <c r="M226" s="107">
        <f t="shared" si="792"/>
        <v>10503459</v>
      </c>
      <c r="N226" s="107">
        <f t="shared" si="792"/>
        <v>3170284</v>
      </c>
      <c r="O226" s="107">
        <f t="shared" si="792"/>
        <v>-213154</v>
      </c>
      <c r="P226" s="107">
        <f t="shared" ref="P226" si="795">P480</f>
        <v>0</v>
      </c>
      <c r="Q226" s="107">
        <f t="shared" si="792"/>
        <v>0</v>
      </c>
      <c r="R226" s="107">
        <f t="shared" si="792"/>
        <v>2957130</v>
      </c>
      <c r="S226" s="1322"/>
      <c r="T226" s="1322"/>
      <c r="U226" s="1322"/>
      <c r="V226" s="1322"/>
      <c r="W226" s="1322"/>
    </row>
    <row r="227" spans="1:23" s="2" customFormat="1" ht="24">
      <c r="A227" s="132">
        <v>7400</v>
      </c>
      <c r="B227" s="108" t="s">
        <v>161</v>
      </c>
      <c r="C227" s="107">
        <f t="shared" ref="C227" si="796">SUM(C228:C229)</f>
        <v>53802</v>
      </c>
      <c r="D227" s="107">
        <f t="shared" ref="D227:R227" si="797">SUM(D228:D229)</f>
        <v>0</v>
      </c>
      <c r="E227" s="107">
        <f t="shared" si="797"/>
        <v>0</v>
      </c>
      <c r="F227" s="107">
        <f t="shared" ref="F227" si="798">SUM(F228:F229)</f>
        <v>0</v>
      </c>
      <c r="G227" s="107">
        <f t="shared" si="797"/>
        <v>0</v>
      </c>
      <c r="H227" s="107">
        <f t="shared" si="797"/>
        <v>0</v>
      </c>
      <c r="I227" s="107">
        <f t="shared" si="797"/>
        <v>0</v>
      </c>
      <c r="J227" s="107">
        <f t="shared" si="797"/>
        <v>0</v>
      </c>
      <c r="K227" s="107">
        <f t="shared" ref="K227" si="799">SUM(K228:K229)</f>
        <v>0</v>
      </c>
      <c r="L227" s="107">
        <f t="shared" si="797"/>
        <v>0</v>
      </c>
      <c r="M227" s="107">
        <f t="shared" si="797"/>
        <v>0</v>
      </c>
      <c r="N227" s="107">
        <f t="shared" si="797"/>
        <v>0</v>
      </c>
      <c r="O227" s="107">
        <f t="shared" si="797"/>
        <v>0</v>
      </c>
      <c r="P227" s="107">
        <f t="shared" ref="P227" si="800">SUM(P228:P229)</f>
        <v>0</v>
      </c>
      <c r="Q227" s="107">
        <f t="shared" si="797"/>
        <v>0</v>
      </c>
      <c r="R227" s="107">
        <f t="shared" si="797"/>
        <v>0</v>
      </c>
      <c r="S227" s="1322"/>
      <c r="T227" s="1322"/>
      <c r="U227" s="1322"/>
      <c r="V227" s="1322"/>
      <c r="W227" s="1322"/>
    </row>
    <row r="228" spans="1:23" s="2" customFormat="1" ht="24">
      <c r="A228" s="133">
        <v>7460</v>
      </c>
      <c r="B228" s="108" t="s">
        <v>162</v>
      </c>
      <c r="C228" s="107">
        <f>C482</f>
        <v>15208</v>
      </c>
      <c r="D228" s="107">
        <f t="shared" ref="D228:R228" si="801">D482</f>
        <v>0</v>
      </c>
      <c r="E228" s="107">
        <f t="shared" si="801"/>
        <v>0</v>
      </c>
      <c r="F228" s="107">
        <f t="shared" ref="F228" si="802">F482</f>
        <v>0</v>
      </c>
      <c r="G228" s="107">
        <f t="shared" si="801"/>
        <v>0</v>
      </c>
      <c r="H228" s="107">
        <f t="shared" si="801"/>
        <v>0</v>
      </c>
      <c r="I228" s="107">
        <f t="shared" si="801"/>
        <v>0</v>
      </c>
      <c r="J228" s="107">
        <f t="shared" si="801"/>
        <v>0</v>
      </c>
      <c r="K228" s="107">
        <f t="shared" ref="K228" si="803">K482</f>
        <v>0</v>
      </c>
      <c r="L228" s="107">
        <f t="shared" si="801"/>
        <v>0</v>
      </c>
      <c r="M228" s="107">
        <f t="shared" si="801"/>
        <v>0</v>
      </c>
      <c r="N228" s="107">
        <f t="shared" si="801"/>
        <v>0</v>
      </c>
      <c r="O228" s="107">
        <f t="shared" si="801"/>
        <v>0</v>
      </c>
      <c r="P228" s="107">
        <f t="shared" ref="P228" si="804">P482</f>
        <v>0</v>
      </c>
      <c r="Q228" s="107">
        <f t="shared" si="801"/>
        <v>0</v>
      </c>
      <c r="R228" s="107">
        <f t="shared" si="801"/>
        <v>0</v>
      </c>
      <c r="S228" s="1322"/>
      <c r="T228" s="1322"/>
      <c r="U228" s="1322"/>
      <c r="V228" s="1322"/>
      <c r="W228" s="1322"/>
    </row>
    <row r="229" spans="1:23" s="2" customFormat="1" ht="48">
      <c r="A229" s="133">
        <v>7470</v>
      </c>
      <c r="B229" s="112" t="s">
        <v>167</v>
      </c>
      <c r="C229" s="107">
        <f>C483</f>
        <v>38594</v>
      </c>
      <c r="D229" s="107">
        <f t="shared" ref="D229:R229" si="805">D483</f>
        <v>0</v>
      </c>
      <c r="E229" s="107">
        <f t="shared" si="805"/>
        <v>0</v>
      </c>
      <c r="F229" s="107">
        <f t="shared" ref="F229" si="806">F483</f>
        <v>0</v>
      </c>
      <c r="G229" s="107">
        <f t="shared" si="805"/>
        <v>0</v>
      </c>
      <c r="H229" s="107">
        <f t="shared" si="805"/>
        <v>0</v>
      </c>
      <c r="I229" s="107">
        <f t="shared" si="805"/>
        <v>0</v>
      </c>
      <c r="J229" s="107">
        <f t="shared" si="805"/>
        <v>0</v>
      </c>
      <c r="K229" s="107">
        <f t="shared" ref="K229" si="807">K483</f>
        <v>0</v>
      </c>
      <c r="L229" s="107">
        <f t="shared" si="805"/>
        <v>0</v>
      </c>
      <c r="M229" s="107">
        <f t="shared" si="805"/>
        <v>0</v>
      </c>
      <c r="N229" s="107">
        <f t="shared" si="805"/>
        <v>0</v>
      </c>
      <c r="O229" s="107">
        <f t="shared" si="805"/>
        <v>0</v>
      </c>
      <c r="P229" s="107">
        <f t="shared" ref="P229" si="808">P483</f>
        <v>0</v>
      </c>
      <c r="Q229" s="107">
        <f t="shared" si="805"/>
        <v>0</v>
      </c>
      <c r="R229" s="107">
        <f t="shared" si="805"/>
        <v>0</v>
      </c>
      <c r="S229" s="1322"/>
      <c r="T229" s="1322"/>
      <c r="U229" s="1322"/>
      <c r="V229" s="1322"/>
      <c r="W229" s="1322"/>
    </row>
    <row r="230" spans="1:23" s="2" customFormat="1" ht="24" hidden="1">
      <c r="A230" s="132">
        <v>7500</v>
      </c>
      <c r="B230" s="112" t="s">
        <v>157</v>
      </c>
      <c r="C230" s="300"/>
      <c r="D230" s="300"/>
      <c r="E230" s="300"/>
      <c r="F230" s="300"/>
      <c r="G230" s="300"/>
      <c r="H230" s="300"/>
      <c r="I230" s="300"/>
      <c r="J230" s="300"/>
      <c r="K230" s="300"/>
      <c r="L230" s="300"/>
      <c r="M230" s="300"/>
      <c r="N230" s="300"/>
      <c r="O230" s="300"/>
      <c r="P230" s="300"/>
      <c r="Q230" s="300"/>
      <c r="R230" s="300"/>
      <c r="S230" s="1322"/>
      <c r="T230" s="1322"/>
      <c r="U230" s="1322"/>
      <c r="V230" s="1322"/>
      <c r="W230" s="1322"/>
    </row>
    <row r="231" spans="1:23" s="2" customFormat="1" ht="11.4">
      <c r="A231" s="140" t="s">
        <v>133</v>
      </c>
      <c r="B231" s="100" t="s">
        <v>122</v>
      </c>
      <c r="C231" s="114">
        <f t="shared" ref="C231" si="809">C232+C233</f>
        <v>285443067</v>
      </c>
      <c r="D231" s="114">
        <f t="shared" ref="D231:R231" si="810">D232+D233</f>
        <v>188923564</v>
      </c>
      <c r="E231" s="114">
        <f t="shared" si="810"/>
        <v>3660655</v>
      </c>
      <c r="F231" s="114">
        <f t="shared" ref="F231" si="811">F232+F233</f>
        <v>0</v>
      </c>
      <c r="G231" s="114">
        <f t="shared" si="810"/>
        <v>0</v>
      </c>
      <c r="H231" s="114">
        <f t="shared" si="810"/>
        <v>192584219</v>
      </c>
      <c r="I231" s="114">
        <f t="shared" si="810"/>
        <v>42681751</v>
      </c>
      <c r="J231" s="114">
        <f t="shared" si="810"/>
        <v>1360000</v>
      </c>
      <c r="K231" s="114">
        <f t="shared" ref="K231" si="812">K232+K233</f>
        <v>0</v>
      </c>
      <c r="L231" s="114">
        <f t="shared" si="810"/>
        <v>0</v>
      </c>
      <c r="M231" s="114">
        <f t="shared" si="810"/>
        <v>44041751</v>
      </c>
      <c r="N231" s="114">
        <f t="shared" si="810"/>
        <v>15266872</v>
      </c>
      <c r="O231" s="114">
        <f t="shared" si="810"/>
        <v>218528</v>
      </c>
      <c r="P231" s="114">
        <f t="shared" ref="P231" si="813">P232+P233</f>
        <v>0</v>
      </c>
      <c r="Q231" s="114">
        <f t="shared" si="810"/>
        <v>0</v>
      </c>
      <c r="R231" s="114">
        <f t="shared" si="810"/>
        <v>15485400</v>
      </c>
      <c r="S231" s="1322"/>
      <c r="T231" s="1322"/>
      <c r="U231" s="1322"/>
      <c r="V231" s="1322"/>
      <c r="W231" s="1322"/>
    </row>
    <row r="232" spans="1:23" s="2" customFormat="1" ht="12">
      <c r="A232" s="140">
        <v>5000</v>
      </c>
      <c r="B232" s="100" t="s">
        <v>123</v>
      </c>
      <c r="C232" s="107">
        <f t="shared" ref="C232" si="814">C486</f>
        <v>168776498</v>
      </c>
      <c r="D232" s="107">
        <f t="shared" ref="D232:R232" si="815">D486</f>
        <v>108446502</v>
      </c>
      <c r="E232" s="107">
        <f t="shared" si="815"/>
        <v>3660655</v>
      </c>
      <c r="F232" s="107">
        <f t="shared" ref="F232" si="816">F486</f>
        <v>0</v>
      </c>
      <c r="G232" s="107">
        <f t="shared" si="815"/>
        <v>0</v>
      </c>
      <c r="H232" s="107">
        <f t="shared" si="815"/>
        <v>112107157</v>
      </c>
      <c r="I232" s="107">
        <f t="shared" si="815"/>
        <v>12408354</v>
      </c>
      <c r="J232" s="107">
        <f t="shared" si="815"/>
        <v>1360000</v>
      </c>
      <c r="K232" s="107">
        <f t="shared" ref="K232" si="817">K486</f>
        <v>0</v>
      </c>
      <c r="L232" s="107">
        <f t="shared" si="815"/>
        <v>0</v>
      </c>
      <c r="M232" s="107">
        <f t="shared" si="815"/>
        <v>13768354</v>
      </c>
      <c r="N232" s="107">
        <f t="shared" si="815"/>
        <v>5014652</v>
      </c>
      <c r="O232" s="107">
        <f t="shared" si="815"/>
        <v>218528</v>
      </c>
      <c r="P232" s="107">
        <f t="shared" ref="P232" si="818">P486</f>
        <v>0</v>
      </c>
      <c r="Q232" s="107">
        <f t="shared" si="815"/>
        <v>0</v>
      </c>
      <c r="R232" s="107">
        <f t="shared" si="815"/>
        <v>5233180</v>
      </c>
      <c r="S232" s="1322"/>
      <c r="T232" s="1322"/>
      <c r="U232" s="1322"/>
      <c r="V232" s="1322"/>
      <c r="W232" s="1322"/>
    </row>
    <row r="233" spans="1:23" s="2" customFormat="1" ht="12">
      <c r="A233" s="140">
        <v>9000</v>
      </c>
      <c r="B233" s="115" t="s">
        <v>164</v>
      </c>
      <c r="C233" s="107">
        <f>C234+C240+C244+C247</f>
        <v>116666569</v>
      </c>
      <c r="D233" s="107">
        <f t="shared" ref="D233:R233" si="819">D234+D240+D244+D247</f>
        <v>80477062</v>
      </c>
      <c r="E233" s="107">
        <f t="shared" si="819"/>
        <v>0</v>
      </c>
      <c r="F233" s="107">
        <f t="shared" ref="F233" si="820">F234+F240+F244+F247</f>
        <v>0</v>
      </c>
      <c r="G233" s="107">
        <f t="shared" si="819"/>
        <v>0</v>
      </c>
      <c r="H233" s="107">
        <f t="shared" si="819"/>
        <v>80477062</v>
      </c>
      <c r="I233" s="107">
        <f t="shared" si="819"/>
        <v>30273397</v>
      </c>
      <c r="J233" s="107">
        <f t="shared" si="819"/>
        <v>0</v>
      </c>
      <c r="K233" s="107">
        <f t="shared" ref="K233" si="821">K234+K240+K244+K247</f>
        <v>0</v>
      </c>
      <c r="L233" s="107">
        <f t="shared" si="819"/>
        <v>0</v>
      </c>
      <c r="M233" s="107">
        <f t="shared" si="819"/>
        <v>30273397</v>
      </c>
      <c r="N233" s="107">
        <f t="shared" si="819"/>
        <v>10252220</v>
      </c>
      <c r="O233" s="107">
        <f t="shared" si="819"/>
        <v>0</v>
      </c>
      <c r="P233" s="107">
        <f t="shared" ref="P233" si="822">P234+P240+P244+P247</f>
        <v>0</v>
      </c>
      <c r="Q233" s="107">
        <f t="shared" si="819"/>
        <v>0</v>
      </c>
      <c r="R233" s="107">
        <f t="shared" si="819"/>
        <v>10252220</v>
      </c>
      <c r="S233" s="1322"/>
      <c r="T233" s="1322"/>
      <c r="U233" s="1322"/>
      <c r="V233" s="1322"/>
      <c r="W233" s="1322"/>
    </row>
    <row r="234" spans="1:23" s="2" customFormat="1" ht="12" hidden="1">
      <c r="A234" s="141">
        <v>9100</v>
      </c>
      <c r="B234" s="112" t="s">
        <v>124</v>
      </c>
      <c r="C234" s="107">
        <f>SUM(C235:C236)</f>
        <v>0</v>
      </c>
      <c r="D234" s="107">
        <f t="shared" ref="D234:R234" si="823">SUM(D235:D236)</f>
        <v>0</v>
      </c>
      <c r="E234" s="107">
        <f t="shared" si="823"/>
        <v>0</v>
      </c>
      <c r="F234" s="107">
        <f t="shared" ref="F234" si="824">SUM(F235:F236)</f>
        <v>0</v>
      </c>
      <c r="G234" s="107">
        <f t="shared" si="823"/>
        <v>0</v>
      </c>
      <c r="H234" s="107">
        <f t="shared" si="823"/>
        <v>0</v>
      </c>
      <c r="I234" s="107">
        <f t="shared" si="823"/>
        <v>0</v>
      </c>
      <c r="J234" s="107">
        <f t="shared" si="823"/>
        <v>0</v>
      </c>
      <c r="K234" s="107">
        <f t="shared" ref="K234" si="825">SUM(K235:K236)</f>
        <v>0</v>
      </c>
      <c r="L234" s="107">
        <f t="shared" si="823"/>
        <v>0</v>
      </c>
      <c r="M234" s="107">
        <f t="shared" si="823"/>
        <v>0</v>
      </c>
      <c r="N234" s="107">
        <f t="shared" si="823"/>
        <v>0</v>
      </c>
      <c r="O234" s="107">
        <f t="shared" si="823"/>
        <v>0</v>
      </c>
      <c r="P234" s="107">
        <f t="shared" ref="P234" si="826">SUM(P235:P236)</f>
        <v>0</v>
      </c>
      <c r="Q234" s="107">
        <f t="shared" si="823"/>
        <v>0</v>
      </c>
      <c r="R234" s="107">
        <f t="shared" si="823"/>
        <v>0</v>
      </c>
      <c r="S234" s="1322"/>
      <c r="T234" s="1322"/>
      <c r="U234" s="1322"/>
      <c r="V234" s="1322"/>
      <c r="W234" s="1322"/>
    </row>
    <row r="235" spans="1:23" s="2" customFormat="1" ht="24" hidden="1">
      <c r="A235" s="133" t="s">
        <v>125</v>
      </c>
      <c r="B235" s="112" t="s">
        <v>203</v>
      </c>
      <c r="C235" s="107">
        <f t="shared" ref="C235" si="827">C489</f>
        <v>0</v>
      </c>
      <c r="D235" s="107">
        <f t="shared" ref="D235:R235" si="828">D489</f>
        <v>0</v>
      </c>
      <c r="E235" s="107">
        <f t="shared" si="828"/>
        <v>0</v>
      </c>
      <c r="F235" s="107">
        <f t="shared" ref="F235" si="829">F489</f>
        <v>0</v>
      </c>
      <c r="G235" s="107">
        <f t="shared" si="828"/>
        <v>0</v>
      </c>
      <c r="H235" s="107">
        <f t="shared" si="828"/>
        <v>0</v>
      </c>
      <c r="I235" s="107">
        <f t="shared" si="828"/>
        <v>0</v>
      </c>
      <c r="J235" s="107">
        <f t="shared" si="828"/>
        <v>0</v>
      </c>
      <c r="K235" s="107">
        <f t="shared" ref="K235" si="830">K489</f>
        <v>0</v>
      </c>
      <c r="L235" s="107">
        <f t="shared" si="828"/>
        <v>0</v>
      </c>
      <c r="M235" s="107">
        <f t="shared" si="828"/>
        <v>0</v>
      </c>
      <c r="N235" s="107">
        <f t="shared" si="828"/>
        <v>0</v>
      </c>
      <c r="O235" s="107">
        <f t="shared" si="828"/>
        <v>0</v>
      </c>
      <c r="P235" s="107">
        <f t="shared" ref="P235" si="831">P489</f>
        <v>0</v>
      </c>
      <c r="Q235" s="107">
        <f t="shared" si="828"/>
        <v>0</v>
      </c>
      <c r="R235" s="107">
        <f t="shared" si="828"/>
        <v>0</v>
      </c>
      <c r="S235" s="1322"/>
      <c r="T235" s="1322"/>
      <c r="U235" s="1322"/>
      <c r="V235" s="1322"/>
      <c r="W235" s="1322"/>
    </row>
    <row r="236" spans="1:23" s="2" customFormat="1" ht="24" hidden="1">
      <c r="A236" s="133">
        <v>9140</v>
      </c>
      <c r="B236" s="112" t="s">
        <v>204</v>
      </c>
      <c r="C236" s="107">
        <f t="shared" ref="C236" si="832">SUM(C237:C239)</f>
        <v>0</v>
      </c>
      <c r="D236" s="107">
        <f t="shared" ref="D236:R236" si="833">SUM(D237:D239)</f>
        <v>0</v>
      </c>
      <c r="E236" s="107">
        <f t="shared" si="833"/>
        <v>0</v>
      </c>
      <c r="F236" s="107">
        <f t="shared" ref="F236" si="834">SUM(F237:F239)</f>
        <v>0</v>
      </c>
      <c r="G236" s="107">
        <f t="shared" si="833"/>
        <v>0</v>
      </c>
      <c r="H236" s="107">
        <f t="shared" si="833"/>
        <v>0</v>
      </c>
      <c r="I236" s="107">
        <f t="shared" si="833"/>
        <v>0</v>
      </c>
      <c r="J236" s="107">
        <f t="shared" si="833"/>
        <v>0</v>
      </c>
      <c r="K236" s="107">
        <f t="shared" ref="K236" si="835">SUM(K237:K239)</f>
        <v>0</v>
      </c>
      <c r="L236" s="107">
        <f t="shared" si="833"/>
        <v>0</v>
      </c>
      <c r="M236" s="107">
        <f t="shared" si="833"/>
        <v>0</v>
      </c>
      <c r="N236" s="107">
        <f t="shared" si="833"/>
        <v>0</v>
      </c>
      <c r="O236" s="107">
        <f t="shared" si="833"/>
        <v>0</v>
      </c>
      <c r="P236" s="107">
        <f t="shared" ref="P236" si="836">SUM(P237:P239)</f>
        <v>0</v>
      </c>
      <c r="Q236" s="107">
        <f t="shared" si="833"/>
        <v>0</v>
      </c>
      <c r="R236" s="107">
        <f t="shared" si="833"/>
        <v>0</v>
      </c>
      <c r="S236" s="1322"/>
      <c r="T236" s="1322"/>
      <c r="U236" s="1322"/>
      <c r="V236" s="1322"/>
      <c r="W236" s="1322"/>
    </row>
    <row r="237" spans="1:23" s="2" customFormat="1" ht="36" hidden="1">
      <c r="A237" s="134">
        <v>9141</v>
      </c>
      <c r="B237" s="108" t="s">
        <v>190</v>
      </c>
      <c r="C237" s="300"/>
      <c r="D237" s="300"/>
      <c r="E237" s="300"/>
      <c r="F237" s="300"/>
      <c r="G237" s="300"/>
      <c r="H237" s="300"/>
      <c r="I237" s="300"/>
      <c r="J237" s="300"/>
      <c r="K237" s="300"/>
      <c r="L237" s="300"/>
      <c r="M237" s="300"/>
      <c r="N237" s="300"/>
      <c r="O237" s="300"/>
      <c r="P237" s="300"/>
      <c r="Q237" s="300"/>
      <c r="R237" s="300"/>
      <c r="S237" s="1322"/>
      <c r="T237" s="1322"/>
      <c r="U237" s="1322"/>
      <c r="V237" s="1322"/>
      <c r="W237" s="1322"/>
    </row>
    <row r="238" spans="1:23" s="2" customFormat="1" ht="36" hidden="1">
      <c r="A238" s="134">
        <v>9142</v>
      </c>
      <c r="B238" s="108" t="s">
        <v>191</v>
      </c>
      <c r="C238" s="300"/>
      <c r="D238" s="300"/>
      <c r="E238" s="300"/>
      <c r="F238" s="300"/>
      <c r="G238" s="300"/>
      <c r="H238" s="300"/>
      <c r="I238" s="300"/>
      <c r="J238" s="300"/>
      <c r="K238" s="300"/>
      <c r="L238" s="300"/>
      <c r="M238" s="300"/>
      <c r="N238" s="300"/>
      <c r="O238" s="300"/>
      <c r="P238" s="300"/>
      <c r="Q238" s="300"/>
      <c r="R238" s="300"/>
      <c r="S238" s="1322"/>
      <c r="T238" s="1322"/>
      <c r="U238" s="1322"/>
      <c r="V238" s="1322"/>
      <c r="W238" s="1322"/>
    </row>
    <row r="239" spans="1:23" s="2" customFormat="1" ht="24" hidden="1">
      <c r="A239" s="134">
        <v>9149</v>
      </c>
      <c r="B239" s="108" t="s">
        <v>192</v>
      </c>
      <c r="C239" s="300"/>
      <c r="D239" s="300"/>
      <c r="E239" s="300"/>
      <c r="F239" s="300"/>
      <c r="G239" s="300"/>
      <c r="H239" s="300"/>
      <c r="I239" s="300"/>
      <c r="J239" s="300"/>
      <c r="K239" s="300"/>
      <c r="L239" s="300"/>
      <c r="M239" s="300"/>
      <c r="N239" s="300"/>
      <c r="O239" s="300"/>
      <c r="P239" s="300"/>
      <c r="Q239" s="300"/>
      <c r="R239" s="300"/>
      <c r="S239" s="1322"/>
      <c r="T239" s="1322"/>
      <c r="U239" s="1322"/>
      <c r="V239" s="1322"/>
      <c r="W239" s="1322"/>
    </row>
    <row r="240" spans="1:23" s="2" customFormat="1" ht="24">
      <c r="A240" s="141">
        <v>9500</v>
      </c>
      <c r="B240" s="108" t="s">
        <v>165</v>
      </c>
      <c r="C240" s="107">
        <f t="shared" ref="C240" si="837">SUM(C241:C243)</f>
        <v>116666569</v>
      </c>
      <c r="D240" s="107">
        <f t="shared" ref="D240:R240" si="838">SUM(D241:D243)</f>
        <v>80477062</v>
      </c>
      <c r="E240" s="107">
        <f t="shared" si="838"/>
        <v>0</v>
      </c>
      <c r="F240" s="107">
        <f t="shared" ref="F240" si="839">SUM(F241:F243)</f>
        <v>0</v>
      </c>
      <c r="G240" s="107">
        <f t="shared" si="838"/>
        <v>0</v>
      </c>
      <c r="H240" s="107">
        <f t="shared" si="838"/>
        <v>80477062</v>
      </c>
      <c r="I240" s="107">
        <f t="shared" si="838"/>
        <v>30273397</v>
      </c>
      <c r="J240" s="107">
        <f t="shared" si="838"/>
        <v>0</v>
      </c>
      <c r="K240" s="107">
        <f t="shared" ref="K240" si="840">SUM(K241:K243)</f>
        <v>0</v>
      </c>
      <c r="L240" s="107">
        <f t="shared" si="838"/>
        <v>0</v>
      </c>
      <c r="M240" s="107">
        <f t="shared" si="838"/>
        <v>30273397</v>
      </c>
      <c r="N240" s="107">
        <f t="shared" si="838"/>
        <v>10252220</v>
      </c>
      <c r="O240" s="107">
        <f t="shared" si="838"/>
        <v>0</v>
      </c>
      <c r="P240" s="107">
        <f t="shared" ref="P240" si="841">SUM(P241:P243)</f>
        <v>0</v>
      </c>
      <c r="Q240" s="107">
        <f t="shared" si="838"/>
        <v>0</v>
      </c>
      <c r="R240" s="107">
        <f t="shared" si="838"/>
        <v>10252220</v>
      </c>
      <c r="S240" s="1322"/>
      <c r="T240" s="1322"/>
      <c r="U240" s="1322"/>
      <c r="V240" s="1322"/>
      <c r="W240" s="1322"/>
    </row>
    <row r="241" spans="1:23" s="2" customFormat="1" ht="24" hidden="1">
      <c r="A241" s="133" t="s">
        <v>193</v>
      </c>
      <c r="B241" s="108" t="s">
        <v>171</v>
      </c>
      <c r="C241" s="107">
        <f>C495</f>
        <v>0</v>
      </c>
      <c r="D241" s="107">
        <f t="shared" ref="D241:R241" si="842">D495</f>
        <v>0</v>
      </c>
      <c r="E241" s="107">
        <f t="shared" si="842"/>
        <v>0</v>
      </c>
      <c r="F241" s="107">
        <f t="shared" ref="F241" si="843">F495</f>
        <v>0</v>
      </c>
      <c r="G241" s="107">
        <f t="shared" si="842"/>
        <v>0</v>
      </c>
      <c r="H241" s="107">
        <f t="shared" si="842"/>
        <v>0</v>
      </c>
      <c r="I241" s="107">
        <f t="shared" si="842"/>
        <v>0</v>
      </c>
      <c r="J241" s="107">
        <f t="shared" si="842"/>
        <v>0</v>
      </c>
      <c r="K241" s="107">
        <f t="shared" ref="K241" si="844">K495</f>
        <v>0</v>
      </c>
      <c r="L241" s="107">
        <f t="shared" si="842"/>
        <v>0</v>
      </c>
      <c r="M241" s="107">
        <f t="shared" si="842"/>
        <v>0</v>
      </c>
      <c r="N241" s="107">
        <f t="shared" si="842"/>
        <v>0</v>
      </c>
      <c r="O241" s="107">
        <f t="shared" si="842"/>
        <v>0</v>
      </c>
      <c r="P241" s="107">
        <f t="shared" ref="P241" si="845">P495</f>
        <v>0</v>
      </c>
      <c r="Q241" s="107">
        <f t="shared" si="842"/>
        <v>0</v>
      </c>
      <c r="R241" s="107">
        <f t="shared" si="842"/>
        <v>0</v>
      </c>
      <c r="S241" s="1322"/>
      <c r="T241" s="1322"/>
      <c r="U241" s="1322"/>
      <c r="V241" s="1322"/>
      <c r="W241" s="1322"/>
    </row>
    <row r="242" spans="1:23" s="2" customFormat="1" ht="48">
      <c r="A242" s="133">
        <v>9580</v>
      </c>
      <c r="B242" s="108" t="s">
        <v>166</v>
      </c>
      <c r="C242" s="107">
        <f>C496</f>
        <v>89864659</v>
      </c>
      <c r="D242" s="107">
        <f t="shared" ref="D242:R242" si="846">D496</f>
        <v>42665974</v>
      </c>
      <c r="E242" s="107">
        <f t="shared" si="846"/>
        <v>0</v>
      </c>
      <c r="F242" s="107">
        <f t="shared" ref="F242" si="847">F496</f>
        <v>0</v>
      </c>
      <c r="G242" s="107">
        <f t="shared" si="846"/>
        <v>0</v>
      </c>
      <c r="H242" s="107">
        <f t="shared" si="846"/>
        <v>42665974</v>
      </c>
      <c r="I242" s="107">
        <f t="shared" si="846"/>
        <v>9818354</v>
      </c>
      <c r="J242" s="107">
        <f t="shared" si="846"/>
        <v>0</v>
      </c>
      <c r="K242" s="107">
        <f t="shared" ref="K242" si="848">K496</f>
        <v>0</v>
      </c>
      <c r="L242" s="107">
        <f t="shared" si="846"/>
        <v>0</v>
      </c>
      <c r="M242" s="107">
        <f t="shared" si="846"/>
        <v>9818354</v>
      </c>
      <c r="N242" s="107">
        <f t="shared" si="846"/>
        <v>823141</v>
      </c>
      <c r="O242" s="107">
        <f t="shared" si="846"/>
        <v>0</v>
      </c>
      <c r="P242" s="107">
        <f t="shared" ref="P242" si="849">P496</f>
        <v>0</v>
      </c>
      <c r="Q242" s="107">
        <f t="shared" si="846"/>
        <v>0</v>
      </c>
      <c r="R242" s="107">
        <f t="shared" si="846"/>
        <v>823141</v>
      </c>
      <c r="S242" s="1322"/>
      <c r="T242" s="1322"/>
      <c r="U242" s="1322"/>
      <c r="V242" s="1322"/>
      <c r="W242" s="1322"/>
    </row>
    <row r="243" spans="1:23" s="2" customFormat="1" ht="48">
      <c r="A243" s="133">
        <v>9590</v>
      </c>
      <c r="B243" s="112" t="s">
        <v>172</v>
      </c>
      <c r="C243" s="107">
        <f>C497</f>
        <v>26801910</v>
      </c>
      <c r="D243" s="107">
        <f t="shared" ref="D243:R243" si="850">D497</f>
        <v>37811088</v>
      </c>
      <c r="E243" s="107">
        <f t="shared" si="850"/>
        <v>0</v>
      </c>
      <c r="F243" s="107">
        <f t="shared" ref="F243" si="851">F497</f>
        <v>0</v>
      </c>
      <c r="G243" s="107">
        <f t="shared" si="850"/>
        <v>0</v>
      </c>
      <c r="H243" s="107">
        <f t="shared" si="850"/>
        <v>37811088</v>
      </c>
      <c r="I243" s="107">
        <f t="shared" si="850"/>
        <v>20455043</v>
      </c>
      <c r="J243" s="107">
        <f t="shared" si="850"/>
        <v>0</v>
      </c>
      <c r="K243" s="107">
        <f t="shared" ref="K243" si="852">K497</f>
        <v>0</v>
      </c>
      <c r="L243" s="107">
        <f t="shared" si="850"/>
        <v>0</v>
      </c>
      <c r="M243" s="107">
        <f t="shared" si="850"/>
        <v>20455043</v>
      </c>
      <c r="N243" s="107">
        <f t="shared" si="850"/>
        <v>9429079</v>
      </c>
      <c r="O243" s="107">
        <f t="shared" si="850"/>
        <v>0</v>
      </c>
      <c r="P243" s="107">
        <f t="shared" ref="P243" si="853">P497</f>
        <v>0</v>
      </c>
      <c r="Q243" s="107">
        <f t="shared" si="850"/>
        <v>0</v>
      </c>
      <c r="R243" s="107">
        <f t="shared" si="850"/>
        <v>9429079</v>
      </c>
      <c r="S243" s="1322"/>
      <c r="T243" s="1322"/>
      <c r="U243" s="1322"/>
      <c r="V243" s="1322"/>
      <c r="W243" s="1322"/>
    </row>
    <row r="244" spans="1:23" s="2" customFormat="1" ht="24" hidden="1">
      <c r="A244" s="141">
        <v>9700</v>
      </c>
      <c r="B244" s="116" t="s">
        <v>194</v>
      </c>
      <c r="C244" s="107">
        <f t="shared" ref="C244" si="854">SUM(C245:C246)</f>
        <v>0</v>
      </c>
      <c r="D244" s="107">
        <f t="shared" ref="D244:R244" si="855">SUM(D245:D246)</f>
        <v>0</v>
      </c>
      <c r="E244" s="107">
        <f t="shared" si="855"/>
        <v>0</v>
      </c>
      <c r="F244" s="107">
        <f t="shared" ref="F244" si="856">SUM(F245:F246)</f>
        <v>0</v>
      </c>
      <c r="G244" s="107">
        <f t="shared" si="855"/>
        <v>0</v>
      </c>
      <c r="H244" s="107">
        <f t="shared" si="855"/>
        <v>0</v>
      </c>
      <c r="I244" s="107">
        <f t="shared" si="855"/>
        <v>0</v>
      </c>
      <c r="J244" s="107">
        <f t="shared" si="855"/>
        <v>0</v>
      </c>
      <c r="K244" s="107">
        <f t="shared" ref="K244" si="857">SUM(K245:K246)</f>
        <v>0</v>
      </c>
      <c r="L244" s="107">
        <f t="shared" si="855"/>
        <v>0</v>
      </c>
      <c r="M244" s="107">
        <f t="shared" si="855"/>
        <v>0</v>
      </c>
      <c r="N244" s="107">
        <f t="shared" si="855"/>
        <v>0</v>
      </c>
      <c r="O244" s="107">
        <f t="shared" si="855"/>
        <v>0</v>
      </c>
      <c r="P244" s="107">
        <f t="shared" ref="P244" si="858">SUM(P245:P246)</f>
        <v>0</v>
      </c>
      <c r="Q244" s="107">
        <f t="shared" si="855"/>
        <v>0</v>
      </c>
      <c r="R244" s="107">
        <f t="shared" si="855"/>
        <v>0</v>
      </c>
      <c r="S244" s="1322"/>
      <c r="T244" s="1322"/>
      <c r="U244" s="1322"/>
      <c r="V244" s="1322"/>
      <c r="W244" s="1322"/>
    </row>
    <row r="245" spans="1:23" s="2" customFormat="1" ht="24" hidden="1">
      <c r="A245" s="133">
        <v>9710</v>
      </c>
      <c r="B245" s="117" t="s">
        <v>195</v>
      </c>
      <c r="C245" s="107">
        <f>C499</f>
        <v>0</v>
      </c>
      <c r="D245" s="107">
        <f t="shared" ref="D245:R245" si="859">D499</f>
        <v>0</v>
      </c>
      <c r="E245" s="107">
        <f t="shared" si="859"/>
        <v>0</v>
      </c>
      <c r="F245" s="107">
        <f t="shared" ref="F245" si="860">F499</f>
        <v>0</v>
      </c>
      <c r="G245" s="107">
        <f t="shared" si="859"/>
        <v>0</v>
      </c>
      <c r="H245" s="107">
        <f t="shared" si="859"/>
        <v>0</v>
      </c>
      <c r="I245" s="107">
        <f t="shared" si="859"/>
        <v>0</v>
      </c>
      <c r="J245" s="107">
        <f t="shared" si="859"/>
        <v>0</v>
      </c>
      <c r="K245" s="107">
        <f t="shared" ref="K245" si="861">K499</f>
        <v>0</v>
      </c>
      <c r="L245" s="107">
        <f t="shared" si="859"/>
        <v>0</v>
      </c>
      <c r="M245" s="107">
        <f t="shared" si="859"/>
        <v>0</v>
      </c>
      <c r="N245" s="107">
        <f t="shared" si="859"/>
        <v>0</v>
      </c>
      <c r="O245" s="107">
        <f t="shared" si="859"/>
        <v>0</v>
      </c>
      <c r="P245" s="107">
        <f t="shared" ref="P245" si="862">P499</f>
        <v>0</v>
      </c>
      <c r="Q245" s="107">
        <f t="shared" si="859"/>
        <v>0</v>
      </c>
      <c r="R245" s="107">
        <f t="shared" si="859"/>
        <v>0</v>
      </c>
      <c r="S245" s="1322"/>
      <c r="T245" s="1322"/>
      <c r="U245" s="1322"/>
      <c r="V245" s="1322"/>
      <c r="W245" s="1322"/>
    </row>
    <row r="246" spans="1:23" s="2" customFormat="1" ht="48" hidden="1">
      <c r="A246" s="142">
        <v>9720</v>
      </c>
      <c r="B246" s="116" t="s">
        <v>196</v>
      </c>
      <c r="C246" s="107">
        <f>C500</f>
        <v>0</v>
      </c>
      <c r="D246" s="107">
        <f t="shared" ref="D246:R246" si="863">D500</f>
        <v>0</v>
      </c>
      <c r="E246" s="107">
        <f t="shared" si="863"/>
        <v>0</v>
      </c>
      <c r="F246" s="107">
        <f t="shared" ref="F246" si="864">F500</f>
        <v>0</v>
      </c>
      <c r="G246" s="107">
        <f t="shared" si="863"/>
        <v>0</v>
      </c>
      <c r="H246" s="107">
        <f t="shared" si="863"/>
        <v>0</v>
      </c>
      <c r="I246" s="107">
        <f t="shared" si="863"/>
        <v>0</v>
      </c>
      <c r="J246" s="107">
        <f t="shared" si="863"/>
        <v>0</v>
      </c>
      <c r="K246" s="107">
        <f t="shared" ref="K246" si="865">K500</f>
        <v>0</v>
      </c>
      <c r="L246" s="107">
        <f t="shared" si="863"/>
        <v>0</v>
      </c>
      <c r="M246" s="107">
        <f t="shared" si="863"/>
        <v>0</v>
      </c>
      <c r="N246" s="107">
        <f t="shared" si="863"/>
        <v>0</v>
      </c>
      <c r="O246" s="107">
        <f t="shared" si="863"/>
        <v>0</v>
      </c>
      <c r="P246" s="107">
        <f t="shared" ref="P246" si="866">P500</f>
        <v>0</v>
      </c>
      <c r="Q246" s="107">
        <f t="shared" si="863"/>
        <v>0</v>
      </c>
      <c r="R246" s="107">
        <f t="shared" si="863"/>
        <v>0</v>
      </c>
      <c r="S246" s="1322"/>
      <c r="T246" s="1322"/>
      <c r="U246" s="1322"/>
      <c r="V246" s="1322"/>
      <c r="W246" s="1322"/>
    </row>
    <row r="247" spans="1:23" s="2" customFormat="1" ht="24" hidden="1">
      <c r="A247" s="141">
        <v>9600</v>
      </c>
      <c r="B247" s="112" t="s">
        <v>134</v>
      </c>
      <c r="C247" s="300"/>
      <c r="D247" s="300"/>
      <c r="E247" s="300"/>
      <c r="F247" s="300"/>
      <c r="G247" s="300"/>
      <c r="H247" s="300"/>
      <c r="I247" s="300"/>
      <c r="J247" s="300"/>
      <c r="K247" s="300"/>
      <c r="L247" s="300"/>
      <c r="M247" s="300"/>
      <c r="N247" s="300"/>
      <c r="O247" s="300"/>
      <c r="P247" s="300"/>
      <c r="Q247" s="300"/>
      <c r="R247" s="300"/>
      <c r="S247" s="1322"/>
      <c r="T247" s="1322"/>
      <c r="U247" s="1322"/>
      <c r="V247" s="1322"/>
      <c r="W247" s="1322"/>
    </row>
    <row r="248" spans="1:23" s="2" customFormat="1" ht="30.6">
      <c r="A248" s="130" t="s">
        <v>197</v>
      </c>
      <c r="B248" s="118" t="s">
        <v>47</v>
      </c>
      <c r="C248" s="119">
        <f t="shared" ref="C248" si="867">C178-C203</f>
        <v>-12090104</v>
      </c>
      <c r="D248" s="119">
        <f t="shared" ref="D248:R248" si="868">D178-D203</f>
        <v>-2216500</v>
      </c>
      <c r="E248" s="119">
        <f t="shared" si="868"/>
        <v>0</v>
      </c>
      <c r="F248" s="119">
        <f t="shared" ref="F248" si="869">F178-F203</f>
        <v>0</v>
      </c>
      <c r="G248" s="119">
        <f t="shared" si="868"/>
        <v>0</v>
      </c>
      <c r="H248" s="119">
        <f t="shared" si="868"/>
        <v>-2216500</v>
      </c>
      <c r="I248" s="119">
        <f t="shared" si="868"/>
        <v>-5500</v>
      </c>
      <c r="J248" s="119">
        <f t="shared" si="868"/>
        <v>0</v>
      </c>
      <c r="K248" s="119">
        <f t="shared" ref="K248" si="870">K178-K203</f>
        <v>0</v>
      </c>
      <c r="L248" s="119">
        <f t="shared" si="868"/>
        <v>0</v>
      </c>
      <c r="M248" s="119">
        <f t="shared" si="868"/>
        <v>-5500</v>
      </c>
      <c r="N248" s="119">
        <f t="shared" si="868"/>
        <v>0</v>
      </c>
      <c r="O248" s="119">
        <f t="shared" si="868"/>
        <v>0</v>
      </c>
      <c r="P248" s="119">
        <f t="shared" ref="P248" si="871">P178-P203</f>
        <v>0</v>
      </c>
      <c r="Q248" s="119">
        <f t="shared" si="868"/>
        <v>0</v>
      </c>
      <c r="R248" s="119">
        <f t="shared" si="868"/>
        <v>0</v>
      </c>
      <c r="S248" s="1322"/>
      <c r="T248" s="1322"/>
      <c r="U248" s="1322"/>
      <c r="V248" s="1322"/>
      <c r="W248" s="1322"/>
    </row>
    <row r="249" spans="1:23" s="2" customFormat="1" ht="11.4">
      <c r="A249" s="143" t="s">
        <v>48</v>
      </c>
      <c r="B249" s="118" t="s">
        <v>49</v>
      </c>
      <c r="C249" s="119">
        <f>C250+C253+C257+C256</f>
        <v>12090104</v>
      </c>
      <c r="D249" s="119">
        <f t="shared" ref="D249:R249" si="872">D250+D253+D257+D256</f>
        <v>2216500</v>
      </c>
      <c r="E249" s="119">
        <f t="shared" si="872"/>
        <v>0</v>
      </c>
      <c r="F249" s="119">
        <f t="shared" ref="F249" si="873">F250+F253+F257+F256</f>
        <v>0</v>
      </c>
      <c r="G249" s="119">
        <f t="shared" si="872"/>
        <v>0</v>
      </c>
      <c r="H249" s="119">
        <f t="shared" si="872"/>
        <v>2216500</v>
      </c>
      <c r="I249" s="119">
        <f t="shared" si="872"/>
        <v>5500</v>
      </c>
      <c r="J249" s="119">
        <f t="shared" si="872"/>
        <v>0</v>
      </c>
      <c r="K249" s="119">
        <f t="shared" ref="K249" si="874">K250+K253+K257+K256</f>
        <v>0</v>
      </c>
      <c r="L249" s="119">
        <f t="shared" si="872"/>
        <v>0</v>
      </c>
      <c r="M249" s="119">
        <f t="shared" si="872"/>
        <v>5500</v>
      </c>
      <c r="N249" s="119">
        <f t="shared" si="872"/>
        <v>0</v>
      </c>
      <c r="O249" s="119">
        <f t="shared" si="872"/>
        <v>0</v>
      </c>
      <c r="P249" s="119">
        <f t="shared" ref="P249" si="875">P250+P253+P257+P256</f>
        <v>0</v>
      </c>
      <c r="Q249" s="119">
        <f t="shared" si="872"/>
        <v>0</v>
      </c>
      <c r="R249" s="119">
        <f t="shared" si="872"/>
        <v>0</v>
      </c>
      <c r="S249" s="1322"/>
      <c r="T249" s="1322"/>
      <c r="U249" s="1322"/>
      <c r="V249" s="1322"/>
      <c r="W249" s="1322"/>
    </row>
    <row r="250" spans="1:23" s="2" customFormat="1" ht="12" hidden="1">
      <c r="A250" s="141" t="s">
        <v>50</v>
      </c>
      <c r="B250" s="112" t="s">
        <v>51</v>
      </c>
      <c r="C250" s="105">
        <f t="shared" ref="C250" si="876">C251+C252</f>
        <v>0</v>
      </c>
      <c r="D250" s="105">
        <f t="shared" ref="D250:R250" si="877">D251+D252</f>
        <v>0</v>
      </c>
      <c r="E250" s="105">
        <f t="shared" si="877"/>
        <v>0</v>
      </c>
      <c r="F250" s="105">
        <f t="shared" ref="F250" si="878">F251+F252</f>
        <v>0</v>
      </c>
      <c r="G250" s="105">
        <f t="shared" si="877"/>
        <v>0</v>
      </c>
      <c r="H250" s="105">
        <f t="shared" si="877"/>
        <v>0</v>
      </c>
      <c r="I250" s="105">
        <f t="shared" si="877"/>
        <v>0</v>
      </c>
      <c r="J250" s="105">
        <f t="shared" si="877"/>
        <v>0</v>
      </c>
      <c r="K250" s="105">
        <f t="shared" ref="K250" si="879">K251+K252</f>
        <v>0</v>
      </c>
      <c r="L250" s="105">
        <f t="shared" si="877"/>
        <v>0</v>
      </c>
      <c r="M250" s="105">
        <f t="shared" si="877"/>
        <v>0</v>
      </c>
      <c r="N250" s="105">
        <f t="shared" si="877"/>
        <v>0</v>
      </c>
      <c r="O250" s="105">
        <f t="shared" si="877"/>
        <v>0</v>
      </c>
      <c r="P250" s="105">
        <f t="shared" ref="P250" si="880">P251+P252</f>
        <v>0</v>
      </c>
      <c r="Q250" s="105">
        <f t="shared" si="877"/>
        <v>0</v>
      </c>
      <c r="R250" s="105">
        <f t="shared" si="877"/>
        <v>0</v>
      </c>
      <c r="S250" s="1322"/>
      <c r="T250" s="1322"/>
      <c r="U250" s="1322"/>
      <c r="V250" s="1322"/>
      <c r="W250" s="1322"/>
    </row>
    <row r="251" spans="1:23" s="2" customFormat="1" ht="12" hidden="1">
      <c r="A251" s="141" t="s">
        <v>52</v>
      </c>
      <c r="B251" s="112" t="s">
        <v>53</v>
      </c>
      <c r="C251" s="107">
        <f>C505</f>
        <v>0</v>
      </c>
      <c r="D251" s="107">
        <f t="shared" ref="D251:R251" si="881">D505</f>
        <v>0</v>
      </c>
      <c r="E251" s="107">
        <f t="shared" si="881"/>
        <v>0</v>
      </c>
      <c r="F251" s="107">
        <f t="shared" ref="F251" si="882">F505</f>
        <v>0</v>
      </c>
      <c r="G251" s="107">
        <f t="shared" si="881"/>
        <v>0</v>
      </c>
      <c r="H251" s="107">
        <f t="shared" si="881"/>
        <v>0</v>
      </c>
      <c r="I251" s="107">
        <f t="shared" si="881"/>
        <v>0</v>
      </c>
      <c r="J251" s="107">
        <f t="shared" si="881"/>
        <v>0</v>
      </c>
      <c r="K251" s="107">
        <f t="shared" ref="K251" si="883">K505</f>
        <v>0</v>
      </c>
      <c r="L251" s="107">
        <f t="shared" si="881"/>
        <v>0</v>
      </c>
      <c r="M251" s="107">
        <f t="shared" si="881"/>
        <v>0</v>
      </c>
      <c r="N251" s="107">
        <f t="shared" si="881"/>
        <v>0</v>
      </c>
      <c r="O251" s="107">
        <f t="shared" si="881"/>
        <v>0</v>
      </c>
      <c r="P251" s="107">
        <f t="shared" ref="P251" si="884">P505</f>
        <v>0</v>
      </c>
      <c r="Q251" s="107">
        <f t="shared" si="881"/>
        <v>0</v>
      </c>
      <c r="R251" s="107">
        <f t="shared" si="881"/>
        <v>0</v>
      </c>
      <c r="S251" s="1322"/>
      <c r="T251" s="1322"/>
      <c r="U251" s="1322"/>
      <c r="V251" s="1322"/>
      <c r="W251" s="1322"/>
    </row>
    <row r="252" spans="1:23" s="2" customFormat="1" ht="12" hidden="1">
      <c r="A252" s="141" t="s">
        <v>54</v>
      </c>
      <c r="B252" s="112" t="s">
        <v>55</v>
      </c>
      <c r="C252" s="107">
        <f>C506</f>
        <v>0</v>
      </c>
      <c r="D252" s="107">
        <f t="shared" ref="D252:R252" si="885">D506</f>
        <v>0</v>
      </c>
      <c r="E252" s="107">
        <f t="shared" si="885"/>
        <v>0</v>
      </c>
      <c r="F252" s="107">
        <f t="shared" ref="F252" si="886">F506</f>
        <v>0</v>
      </c>
      <c r="G252" s="107">
        <f t="shared" si="885"/>
        <v>0</v>
      </c>
      <c r="H252" s="107">
        <f t="shared" si="885"/>
        <v>0</v>
      </c>
      <c r="I252" s="107">
        <f t="shared" si="885"/>
        <v>0</v>
      </c>
      <c r="J252" s="107">
        <f t="shared" si="885"/>
        <v>0</v>
      </c>
      <c r="K252" s="107">
        <f t="shared" ref="K252" si="887">K506</f>
        <v>0</v>
      </c>
      <c r="L252" s="107">
        <f t="shared" si="885"/>
        <v>0</v>
      </c>
      <c r="M252" s="107">
        <f t="shared" si="885"/>
        <v>0</v>
      </c>
      <c r="N252" s="107">
        <f t="shared" si="885"/>
        <v>0</v>
      </c>
      <c r="O252" s="107">
        <f t="shared" si="885"/>
        <v>0</v>
      </c>
      <c r="P252" s="107">
        <f t="shared" ref="P252" si="888">P506</f>
        <v>0</v>
      </c>
      <c r="Q252" s="107">
        <f t="shared" si="885"/>
        <v>0</v>
      </c>
      <c r="R252" s="107">
        <f t="shared" si="885"/>
        <v>0</v>
      </c>
      <c r="S252" s="1322"/>
      <c r="T252" s="1322"/>
      <c r="U252" s="1322"/>
      <c r="V252" s="1322"/>
      <c r="W252" s="1322"/>
    </row>
    <row r="253" spans="1:23" s="2" customFormat="1" ht="12" hidden="1">
      <c r="A253" s="141" t="s">
        <v>56</v>
      </c>
      <c r="B253" s="112" t="s">
        <v>57</v>
      </c>
      <c r="C253" s="107">
        <f t="shared" ref="C253" si="889">C254+C255</f>
        <v>0</v>
      </c>
      <c r="D253" s="107">
        <f t="shared" ref="D253:R253" si="890">D254+D255</f>
        <v>0</v>
      </c>
      <c r="E253" s="107">
        <f t="shared" si="890"/>
        <v>0</v>
      </c>
      <c r="F253" s="107">
        <f t="shared" ref="F253" si="891">F254+F255</f>
        <v>0</v>
      </c>
      <c r="G253" s="107">
        <f t="shared" si="890"/>
        <v>0</v>
      </c>
      <c r="H253" s="107">
        <f t="shared" si="890"/>
        <v>0</v>
      </c>
      <c r="I253" s="107">
        <f t="shared" si="890"/>
        <v>0</v>
      </c>
      <c r="J253" s="107">
        <f t="shared" si="890"/>
        <v>0</v>
      </c>
      <c r="K253" s="107">
        <f t="shared" ref="K253" si="892">K254+K255</f>
        <v>0</v>
      </c>
      <c r="L253" s="107">
        <f t="shared" si="890"/>
        <v>0</v>
      </c>
      <c r="M253" s="107">
        <f t="shared" si="890"/>
        <v>0</v>
      </c>
      <c r="N253" s="107">
        <f t="shared" si="890"/>
        <v>0</v>
      </c>
      <c r="O253" s="107">
        <f t="shared" si="890"/>
        <v>0</v>
      </c>
      <c r="P253" s="107">
        <f t="shared" ref="P253" si="893">P254+P255</f>
        <v>0</v>
      </c>
      <c r="Q253" s="107">
        <f t="shared" si="890"/>
        <v>0</v>
      </c>
      <c r="R253" s="107">
        <f t="shared" si="890"/>
        <v>0</v>
      </c>
      <c r="S253" s="1322"/>
      <c r="T253" s="1322"/>
      <c r="U253" s="1322"/>
      <c r="V253" s="1322"/>
      <c r="W253" s="1322"/>
    </row>
    <row r="254" spans="1:23" s="2" customFormat="1" ht="12" hidden="1">
      <c r="A254" s="141" t="s">
        <v>58</v>
      </c>
      <c r="B254" s="112" t="s">
        <v>59</v>
      </c>
      <c r="C254" s="107">
        <f>C508</f>
        <v>0</v>
      </c>
      <c r="D254" s="107">
        <f t="shared" ref="D254:R254" si="894">D508</f>
        <v>0</v>
      </c>
      <c r="E254" s="107">
        <f t="shared" si="894"/>
        <v>0</v>
      </c>
      <c r="F254" s="107">
        <f t="shared" ref="F254" si="895">F508</f>
        <v>0</v>
      </c>
      <c r="G254" s="107">
        <f t="shared" si="894"/>
        <v>0</v>
      </c>
      <c r="H254" s="107">
        <f t="shared" si="894"/>
        <v>0</v>
      </c>
      <c r="I254" s="107">
        <f t="shared" si="894"/>
        <v>0</v>
      </c>
      <c r="J254" s="107">
        <f t="shared" si="894"/>
        <v>0</v>
      </c>
      <c r="K254" s="107">
        <f t="shared" ref="K254" si="896">K508</f>
        <v>0</v>
      </c>
      <c r="L254" s="107">
        <f t="shared" si="894"/>
        <v>0</v>
      </c>
      <c r="M254" s="107">
        <f t="shared" si="894"/>
        <v>0</v>
      </c>
      <c r="N254" s="107">
        <f t="shared" si="894"/>
        <v>0</v>
      </c>
      <c r="O254" s="107">
        <f t="shared" si="894"/>
        <v>0</v>
      </c>
      <c r="P254" s="107">
        <f t="shared" ref="P254" si="897">P508</f>
        <v>0</v>
      </c>
      <c r="Q254" s="107">
        <f t="shared" si="894"/>
        <v>0</v>
      </c>
      <c r="R254" s="107">
        <f t="shared" si="894"/>
        <v>0</v>
      </c>
      <c r="S254" s="1322"/>
      <c r="T254" s="1322"/>
      <c r="U254" s="1322"/>
      <c r="V254" s="1322"/>
      <c r="W254" s="1322"/>
    </row>
    <row r="255" spans="1:23" s="2" customFormat="1" ht="12" hidden="1">
      <c r="A255" s="141" t="s">
        <v>60</v>
      </c>
      <c r="B255" s="112" t="s">
        <v>61</v>
      </c>
      <c r="C255" s="107">
        <f>C509</f>
        <v>0</v>
      </c>
      <c r="D255" s="107">
        <f t="shared" ref="D255:R255" si="898">D509</f>
        <v>0</v>
      </c>
      <c r="E255" s="107">
        <f t="shared" si="898"/>
        <v>0</v>
      </c>
      <c r="F255" s="107">
        <f t="shared" ref="F255" si="899">F509</f>
        <v>0</v>
      </c>
      <c r="G255" s="107">
        <f t="shared" si="898"/>
        <v>0</v>
      </c>
      <c r="H255" s="107">
        <f t="shared" si="898"/>
        <v>0</v>
      </c>
      <c r="I255" s="107">
        <f t="shared" si="898"/>
        <v>0</v>
      </c>
      <c r="J255" s="107">
        <f t="shared" si="898"/>
        <v>0</v>
      </c>
      <c r="K255" s="107">
        <f t="shared" ref="K255" si="900">K509</f>
        <v>0</v>
      </c>
      <c r="L255" s="107">
        <f t="shared" si="898"/>
        <v>0</v>
      </c>
      <c r="M255" s="107">
        <f t="shared" si="898"/>
        <v>0</v>
      </c>
      <c r="N255" s="107">
        <f t="shared" si="898"/>
        <v>0</v>
      </c>
      <c r="O255" s="107">
        <f t="shared" si="898"/>
        <v>0</v>
      </c>
      <c r="P255" s="107">
        <f t="shared" ref="P255" si="901">P509</f>
        <v>0</v>
      </c>
      <c r="Q255" s="107">
        <f t="shared" si="898"/>
        <v>0</v>
      </c>
      <c r="R255" s="107">
        <f t="shared" si="898"/>
        <v>0</v>
      </c>
      <c r="S255" s="1322"/>
      <c r="T255" s="1322"/>
      <c r="U255" s="1322"/>
      <c r="V255" s="1322"/>
      <c r="W255" s="1322"/>
    </row>
    <row r="256" spans="1:23" s="2" customFormat="1" ht="12" hidden="1">
      <c r="A256" s="141" t="s">
        <v>198</v>
      </c>
      <c r="B256" s="120" t="s">
        <v>168</v>
      </c>
      <c r="C256" s="107">
        <f>C510</f>
        <v>0</v>
      </c>
      <c r="D256" s="107">
        <f t="shared" ref="D256:R256" si="902">D510</f>
        <v>0</v>
      </c>
      <c r="E256" s="107">
        <f t="shared" si="902"/>
        <v>0</v>
      </c>
      <c r="F256" s="107">
        <f t="shared" ref="F256" si="903">F510</f>
        <v>0</v>
      </c>
      <c r="G256" s="107">
        <f t="shared" si="902"/>
        <v>0</v>
      </c>
      <c r="H256" s="107">
        <f t="shared" si="902"/>
        <v>0</v>
      </c>
      <c r="I256" s="107">
        <f t="shared" si="902"/>
        <v>0</v>
      </c>
      <c r="J256" s="107">
        <f t="shared" si="902"/>
        <v>0</v>
      </c>
      <c r="K256" s="107">
        <f t="shared" ref="K256" si="904">K510</f>
        <v>0</v>
      </c>
      <c r="L256" s="107">
        <f t="shared" si="902"/>
        <v>0</v>
      </c>
      <c r="M256" s="107">
        <f t="shared" si="902"/>
        <v>0</v>
      </c>
      <c r="N256" s="107">
        <f t="shared" si="902"/>
        <v>0</v>
      </c>
      <c r="O256" s="107">
        <f t="shared" si="902"/>
        <v>0</v>
      </c>
      <c r="P256" s="107">
        <f t="shared" ref="P256" si="905">P510</f>
        <v>0</v>
      </c>
      <c r="Q256" s="107">
        <f t="shared" si="902"/>
        <v>0</v>
      </c>
      <c r="R256" s="107">
        <f t="shared" si="902"/>
        <v>0</v>
      </c>
      <c r="S256" s="1322"/>
      <c r="T256" s="1322"/>
      <c r="U256" s="1322"/>
      <c r="V256" s="1322"/>
      <c r="W256" s="1322"/>
    </row>
    <row r="257" spans="1:23" s="2" customFormat="1" ht="12">
      <c r="A257" s="144" t="s">
        <v>62</v>
      </c>
      <c r="B257" s="101" t="s">
        <v>63</v>
      </c>
      <c r="C257" s="107">
        <f t="shared" ref="C257" si="906">C258+C259+C260</f>
        <v>12090104</v>
      </c>
      <c r="D257" s="107">
        <f t="shared" ref="D257:R257" si="907">D258+D259+D260</f>
        <v>2216500</v>
      </c>
      <c r="E257" s="107">
        <f t="shared" si="907"/>
        <v>0</v>
      </c>
      <c r="F257" s="107">
        <f t="shared" ref="F257" si="908">F258+F259+F260</f>
        <v>0</v>
      </c>
      <c r="G257" s="107">
        <f t="shared" si="907"/>
        <v>0</v>
      </c>
      <c r="H257" s="107">
        <f t="shared" si="907"/>
        <v>2216500</v>
      </c>
      <c r="I257" s="107">
        <f t="shared" si="907"/>
        <v>5500</v>
      </c>
      <c r="J257" s="107">
        <f t="shared" si="907"/>
        <v>0</v>
      </c>
      <c r="K257" s="107">
        <f t="shared" ref="K257" si="909">K258+K259+K260</f>
        <v>0</v>
      </c>
      <c r="L257" s="107">
        <f t="shared" si="907"/>
        <v>0</v>
      </c>
      <c r="M257" s="107">
        <f t="shared" si="907"/>
        <v>5500</v>
      </c>
      <c r="N257" s="107">
        <f t="shared" si="907"/>
        <v>0</v>
      </c>
      <c r="O257" s="107">
        <f t="shared" si="907"/>
        <v>0</v>
      </c>
      <c r="P257" s="107">
        <f t="shared" ref="P257" si="910">P258+P259+P260</f>
        <v>0</v>
      </c>
      <c r="Q257" s="107">
        <f t="shared" si="907"/>
        <v>0</v>
      </c>
      <c r="R257" s="107">
        <f t="shared" si="907"/>
        <v>0</v>
      </c>
      <c r="S257" s="1322"/>
      <c r="T257" s="1322"/>
      <c r="U257" s="1322"/>
      <c r="V257" s="1322"/>
      <c r="W257" s="1322"/>
    </row>
    <row r="258" spans="1:23" s="2" customFormat="1" ht="36" hidden="1">
      <c r="A258" s="144" t="s">
        <v>64</v>
      </c>
      <c r="B258" s="112" t="s">
        <v>65</v>
      </c>
      <c r="C258" s="107">
        <f>C512</f>
        <v>0</v>
      </c>
      <c r="D258" s="107">
        <f t="shared" ref="D258:R258" si="911">D512</f>
        <v>0</v>
      </c>
      <c r="E258" s="107">
        <f t="shared" si="911"/>
        <v>0</v>
      </c>
      <c r="F258" s="107">
        <f t="shared" ref="F258" si="912">F512</f>
        <v>0</v>
      </c>
      <c r="G258" s="107">
        <f t="shared" si="911"/>
        <v>0</v>
      </c>
      <c r="H258" s="107">
        <f t="shared" si="911"/>
        <v>0</v>
      </c>
      <c r="I258" s="107">
        <f t="shared" si="911"/>
        <v>0</v>
      </c>
      <c r="J258" s="107">
        <f t="shared" si="911"/>
        <v>0</v>
      </c>
      <c r="K258" s="107">
        <f t="shared" ref="K258" si="913">K512</f>
        <v>0</v>
      </c>
      <c r="L258" s="107">
        <f t="shared" si="911"/>
        <v>0</v>
      </c>
      <c r="M258" s="107">
        <f t="shared" si="911"/>
        <v>0</v>
      </c>
      <c r="N258" s="107">
        <f t="shared" si="911"/>
        <v>0</v>
      </c>
      <c r="O258" s="107">
        <f t="shared" si="911"/>
        <v>0</v>
      </c>
      <c r="P258" s="107">
        <f t="shared" ref="P258" si="914">P512</f>
        <v>0</v>
      </c>
      <c r="Q258" s="107">
        <f t="shared" si="911"/>
        <v>0</v>
      </c>
      <c r="R258" s="107">
        <f t="shared" si="911"/>
        <v>0</v>
      </c>
      <c r="S258" s="1322"/>
      <c r="T258" s="1322"/>
      <c r="U258" s="1322"/>
      <c r="V258" s="1322"/>
      <c r="W258" s="1322"/>
    </row>
    <row r="259" spans="1:23" s="2" customFormat="1" ht="24">
      <c r="A259" s="144" t="s">
        <v>66</v>
      </c>
      <c r="B259" s="112" t="s">
        <v>67</v>
      </c>
      <c r="C259" s="107">
        <f>C513</f>
        <v>12090104</v>
      </c>
      <c r="D259" s="107">
        <f t="shared" ref="D259:R259" si="915">D513</f>
        <v>2216500</v>
      </c>
      <c r="E259" s="107">
        <f t="shared" si="915"/>
        <v>0</v>
      </c>
      <c r="F259" s="107">
        <f t="shared" ref="F259" si="916">F513</f>
        <v>0</v>
      </c>
      <c r="G259" s="107">
        <f t="shared" si="915"/>
        <v>0</v>
      </c>
      <c r="H259" s="107">
        <f t="shared" si="915"/>
        <v>2216500</v>
      </c>
      <c r="I259" s="107">
        <f t="shared" si="915"/>
        <v>5500</v>
      </c>
      <c r="J259" s="107">
        <f t="shared" si="915"/>
        <v>0</v>
      </c>
      <c r="K259" s="107">
        <f t="shared" ref="K259" si="917">K513</f>
        <v>0</v>
      </c>
      <c r="L259" s="107">
        <f t="shared" si="915"/>
        <v>0</v>
      </c>
      <c r="M259" s="107">
        <f t="shared" si="915"/>
        <v>5500</v>
      </c>
      <c r="N259" s="107">
        <f t="shared" si="915"/>
        <v>0</v>
      </c>
      <c r="O259" s="107">
        <f t="shared" si="915"/>
        <v>0</v>
      </c>
      <c r="P259" s="107">
        <f t="shared" ref="P259" si="918">P513</f>
        <v>0</v>
      </c>
      <c r="Q259" s="107">
        <f t="shared" si="915"/>
        <v>0</v>
      </c>
      <c r="R259" s="107">
        <f t="shared" si="915"/>
        <v>0</v>
      </c>
      <c r="S259" s="1322"/>
      <c r="T259" s="1322"/>
      <c r="U259" s="1322"/>
      <c r="V259" s="1322"/>
      <c r="W259" s="1322"/>
    </row>
    <row r="260" spans="1:23" s="2" customFormat="1" ht="24" hidden="1">
      <c r="A260" s="144" t="s">
        <v>68</v>
      </c>
      <c r="B260" s="101" t="s">
        <v>69</v>
      </c>
      <c r="C260" s="107">
        <f>C514</f>
        <v>0</v>
      </c>
      <c r="D260" s="107">
        <f t="shared" ref="D260:R260" si="919">D514</f>
        <v>0</v>
      </c>
      <c r="E260" s="107">
        <f t="shared" si="919"/>
        <v>0</v>
      </c>
      <c r="F260" s="107">
        <f t="shared" ref="F260" si="920">F514</f>
        <v>0</v>
      </c>
      <c r="G260" s="107">
        <f t="shared" si="919"/>
        <v>0</v>
      </c>
      <c r="H260" s="107">
        <f t="shared" si="919"/>
        <v>0</v>
      </c>
      <c r="I260" s="107">
        <f t="shared" si="919"/>
        <v>0</v>
      </c>
      <c r="J260" s="107">
        <f t="shared" si="919"/>
        <v>0</v>
      </c>
      <c r="K260" s="107">
        <f t="shared" ref="K260" si="921">K514</f>
        <v>0</v>
      </c>
      <c r="L260" s="107">
        <f t="shared" si="919"/>
        <v>0</v>
      </c>
      <c r="M260" s="107">
        <f t="shared" si="919"/>
        <v>0</v>
      </c>
      <c r="N260" s="107">
        <f t="shared" si="919"/>
        <v>0</v>
      </c>
      <c r="O260" s="107">
        <f t="shared" si="919"/>
        <v>0</v>
      </c>
      <c r="P260" s="107">
        <f t="shared" ref="P260" si="922">P514</f>
        <v>0</v>
      </c>
      <c r="Q260" s="107">
        <f t="shared" si="919"/>
        <v>0</v>
      </c>
      <c r="R260" s="107">
        <f t="shared" si="919"/>
        <v>0</v>
      </c>
      <c r="S260" s="1322"/>
      <c r="T260" s="1322"/>
      <c r="U260" s="1322"/>
      <c r="V260" s="1322"/>
      <c r="W260" s="1322"/>
    </row>
    <row r="261" spans="1:23" s="2" customFormat="1">
      <c r="A261" s="159"/>
      <c r="B261" s="160"/>
      <c r="C261" s="161"/>
      <c r="D261" s="161"/>
      <c r="E261" s="161"/>
      <c r="F261" s="161"/>
      <c r="G261" s="161"/>
      <c r="H261" s="161"/>
      <c r="I261" s="161"/>
      <c r="J261" s="161"/>
      <c r="K261" s="161"/>
      <c r="L261" s="161"/>
      <c r="M261" s="161"/>
      <c r="N261" s="161"/>
      <c r="O261" s="161"/>
      <c r="P261" s="161"/>
      <c r="Q261" s="161"/>
      <c r="R261" s="161"/>
      <c r="S261" s="1322"/>
      <c r="T261" s="1322"/>
      <c r="U261" s="1322"/>
      <c r="V261" s="1322"/>
      <c r="W261" s="1322"/>
    </row>
    <row r="262" spans="1:23" s="2" customFormat="1">
      <c r="A262" s="19"/>
      <c r="B262" s="20"/>
      <c r="C262" s="43"/>
      <c r="D262" s="43"/>
      <c r="E262" s="43"/>
      <c r="F262" s="43"/>
      <c r="G262" s="43"/>
      <c r="H262" s="43"/>
      <c r="I262" s="43"/>
      <c r="J262" s="43"/>
      <c r="K262" s="43"/>
      <c r="L262" s="43"/>
      <c r="M262" s="43"/>
      <c r="N262" s="43"/>
      <c r="O262" s="43"/>
      <c r="P262" s="43"/>
      <c r="Q262" s="43"/>
      <c r="R262" s="43"/>
      <c r="S262" s="1322"/>
      <c r="T262" s="1322"/>
      <c r="U262" s="1322"/>
      <c r="V262" s="1322"/>
      <c r="W262" s="1322"/>
    </row>
    <row r="263" spans="1:23" s="2" customFormat="1" ht="15.6">
      <c r="A263" s="14"/>
      <c r="B263" s="48" t="s">
        <v>14</v>
      </c>
      <c r="C263" s="43"/>
      <c r="D263" s="43"/>
      <c r="E263" s="43"/>
      <c r="F263" s="43"/>
      <c r="G263" s="43"/>
      <c r="H263" s="43"/>
      <c r="I263" s="43"/>
      <c r="J263" s="43"/>
      <c r="K263" s="43"/>
      <c r="L263" s="43"/>
      <c r="M263" s="43"/>
      <c r="N263" s="43"/>
      <c r="O263" s="43"/>
      <c r="P263" s="43"/>
      <c r="Q263" s="43"/>
      <c r="R263" s="43"/>
      <c r="S263" s="1322"/>
      <c r="T263" s="1322"/>
      <c r="U263" s="1322"/>
      <c r="V263" s="1322"/>
      <c r="W263" s="1322"/>
    </row>
    <row r="264" spans="1:23" s="4" customFormat="1" ht="20.399999999999999">
      <c r="A264" s="129" t="s">
        <v>201</v>
      </c>
      <c r="B264" s="99" t="s">
        <v>88</v>
      </c>
      <c r="C264" s="299">
        <f>'01-3'!C10+'02-3'!C10+'03-3'!C10+'04-3'!C10+'05-3'!C10+'08-3'!C10+'09-3'!C10+'10-3'!C10+'11-3'!C10+'12-3'!C10+'13-3'!C10+'14-3'!C10+'15-3'!C10+'16-3'!C10+'17-3'!C10+'18-3'!C10+'19-3'!C10+'21-3'!C10+'22-3'!C10+'24-3'!C10+'25-3'!C10+'28-3'!C10+'29-3'!C10+'30-3'!C10+'32-3'!C10+'35-3'!C10+'37-3'!C10+'47-3'!C10+'62-3'!C10+'64-3'!C10+'74-3'!C10</f>
        <v>3415162213</v>
      </c>
      <c r="D264" s="299">
        <f>'01-3'!D10+'02-3'!D10+'03-3'!D10+'04-3'!D10+'05-3'!D10+'08-3'!D10+'09-3'!D10+'10-3'!D10+'11-3'!D10+'12-3'!D10+'13-3'!D10+'14-3'!D10+'15-3'!D10+'16-3'!D10+'17-3'!D10+'18-3'!D10+'19-3'!D10+'21-3'!D10+'22-3'!D10+'24-3'!D10+'25-3'!D10+'28-3'!D10+'29-3'!D10+'30-3'!D10+'32-3'!D10+'35-3'!D10+'37-3'!D10+'47-3'!D10+'62-3'!D10+'64-3'!D10+'74-3'!D10</f>
        <v>3349248352</v>
      </c>
      <c r="E264" s="299">
        <f>'01-3'!E10+'02-3'!E10+'03-3'!E10+'04-3'!E10+'05-3'!E10+'08-3'!E10+'09-3'!E10+'10-3'!E10+'11-3'!E10+'12-3'!E10+'13-3'!E10+'14-3'!E10+'15-3'!E10+'16-3'!E10+'17-3'!E10+'18-3'!E10+'19-3'!E10+'21-3'!E10+'22-3'!E10+'24-3'!E10+'25-3'!E10+'28-3'!E10+'29-3'!E10+'30-3'!E10+'32-3'!E10+'35-3'!E10+'37-3'!E10+'47-3'!E10+'62-3'!E10+'64-3'!E10+'74-3'!E10</f>
        <v>14015702</v>
      </c>
      <c r="F264" s="299">
        <f>'01-3'!F10+'02-3'!F10+'03-3'!F10+'04-3'!F10+'05-3'!F10+'08-3'!F10+'09-3'!F10+'10-3'!F10+'11-3'!F10+'12-3'!F10+'13-3'!F10+'14-3'!F10+'15-3'!F10+'16-3'!F10+'17-3'!F10+'18-3'!F10+'19-3'!F10+'21-3'!F10+'22-3'!F10+'24-3'!F10+'25-3'!F10+'28-3'!F10+'29-3'!F10+'30-3'!F10+'32-3'!F10+'35-3'!F10+'37-3'!F10+'47-3'!F10+'62-3'!F10+'64-3'!F10+'74-3'!F10</f>
        <v>65291580</v>
      </c>
      <c r="G264" s="299">
        <f>'01-3'!G10+'02-3'!G10+'03-3'!G10+'04-3'!G10+'05-3'!G10+'08-3'!G10+'09-3'!G10+'10-3'!G10+'11-3'!G10+'12-3'!G10+'13-3'!G10+'14-3'!G10+'15-3'!G10+'16-3'!G10+'17-3'!G10+'18-3'!G10+'19-3'!G10+'21-3'!G10+'22-3'!G10+'24-3'!G10+'25-3'!G10+'28-3'!G10+'29-3'!G10+'30-3'!G10+'32-3'!G10+'35-3'!G10+'37-3'!G10+'47-3'!G10+'62-3'!G10+'64-3'!G10+'74-3'!G10</f>
        <v>120884100</v>
      </c>
      <c r="H264" s="299">
        <f>'01-3'!H10+'02-3'!H10+'03-3'!H10+'04-3'!H10+'05-3'!H10+'08-3'!H10+'09-3'!H10+'10-3'!H10+'11-3'!H10+'12-3'!H10+'13-3'!H10+'14-3'!H10+'15-3'!H10+'16-3'!H10+'17-3'!H10+'18-3'!H10+'19-3'!H10+'21-3'!H10+'22-3'!H10+'24-3'!H10+'25-3'!H10+'28-3'!H10+'29-3'!H10+'30-3'!H10+'32-3'!H10+'35-3'!H10+'37-3'!H10+'47-3'!H10+'62-3'!H10+'64-3'!H10+'74-3'!H10</f>
        <v>3549439734</v>
      </c>
      <c r="I264" s="299">
        <f>'01-3'!I10+'02-3'!I10+'03-3'!I10+'04-3'!I10+'05-3'!I10+'08-3'!I10+'09-3'!I10+'10-3'!I10+'11-3'!I10+'12-3'!I10+'13-3'!I10+'14-3'!I10+'15-3'!I10+'16-3'!I10+'17-3'!I10+'18-3'!I10+'19-3'!I10+'21-3'!I10+'22-3'!I10+'24-3'!I10+'25-3'!I10+'28-3'!I10+'29-3'!I10+'30-3'!I10+'32-3'!I10+'35-3'!I10+'37-3'!I10+'47-3'!I10+'62-3'!I10+'64-3'!I10+'74-3'!I10</f>
        <v>3409011488</v>
      </c>
      <c r="J264" s="299">
        <f>'01-3'!J10+'02-3'!J10+'03-3'!J10+'04-3'!J10+'05-3'!J10+'08-3'!J10+'09-3'!J10+'10-3'!J10+'11-3'!J10+'12-3'!J10+'13-3'!J10+'14-3'!J10+'15-3'!J10+'16-3'!J10+'17-3'!J10+'18-3'!J10+'19-3'!J10+'21-3'!J10+'22-3'!J10+'24-3'!J10+'25-3'!J10+'28-3'!J10+'29-3'!J10+'30-3'!J10+'32-3'!J10+'35-3'!J10+'37-3'!J10+'47-3'!J10+'62-3'!J10+'64-3'!J10+'74-3'!J10</f>
        <v>7898798</v>
      </c>
      <c r="K264" s="299">
        <f>'01-3'!K10+'02-3'!K10+'03-3'!K10+'04-3'!K10+'05-3'!K10+'08-3'!K10+'09-3'!K10+'10-3'!K10+'11-3'!K10+'12-3'!K10+'13-3'!K10+'14-3'!K10+'15-3'!K10+'16-3'!K10+'17-3'!K10+'18-3'!K10+'19-3'!K10+'21-3'!K10+'22-3'!K10+'24-3'!K10+'25-3'!K10+'28-3'!K10+'29-3'!K10+'30-3'!K10+'32-3'!K10+'35-3'!K10+'37-3'!K10+'47-3'!K10+'62-3'!K10+'64-3'!K10+'74-3'!K10</f>
        <v>89799301</v>
      </c>
      <c r="L264" s="299">
        <f>'01-3'!L10+'02-3'!L10+'03-3'!L10+'04-3'!L10+'05-3'!L10+'08-3'!L10+'09-3'!L10+'10-3'!L10+'11-3'!L10+'12-3'!L10+'13-3'!L10+'14-3'!L10+'15-3'!L10+'16-3'!L10+'17-3'!L10+'18-3'!L10+'19-3'!L10+'21-3'!L10+'22-3'!L10+'24-3'!L10+'25-3'!L10+'28-3'!L10+'29-3'!L10+'30-3'!L10+'32-3'!L10+'35-3'!L10+'37-3'!L10+'47-3'!L10+'62-3'!L10+'64-3'!L10+'74-3'!L10</f>
        <v>147878082</v>
      </c>
      <c r="M264" s="299">
        <f>'01-3'!M10+'02-3'!M10+'03-3'!M10+'04-3'!M10+'05-3'!M10+'08-3'!M10+'09-3'!M10+'10-3'!M10+'11-3'!M10+'12-3'!M10+'13-3'!M10+'14-3'!M10+'15-3'!M10+'16-3'!M10+'17-3'!M10+'18-3'!M10+'19-3'!M10+'21-3'!M10+'22-3'!M10+'24-3'!M10+'25-3'!M10+'28-3'!M10+'29-3'!M10+'30-3'!M10+'32-3'!M10+'35-3'!M10+'37-3'!M10+'47-3'!M10+'62-3'!M10+'64-3'!M10+'74-3'!M10</f>
        <v>3654587669</v>
      </c>
      <c r="N264" s="299">
        <f>'01-3'!N10+'02-3'!N10+'03-3'!N10+'04-3'!N10+'05-3'!N10+'08-3'!N10+'09-3'!N10+'10-3'!N10+'11-3'!N10+'12-3'!N10+'13-3'!N10+'14-3'!N10+'15-3'!N10+'16-3'!N10+'17-3'!N10+'18-3'!N10+'19-3'!N10+'21-3'!N10+'22-3'!N10+'24-3'!N10+'25-3'!N10+'28-3'!N10+'29-3'!N10+'30-3'!N10+'32-3'!N10+'35-3'!N10+'37-3'!N10+'47-3'!N10+'62-3'!N10+'64-3'!N10+'74-3'!N10</f>
        <v>3187846809</v>
      </c>
      <c r="O264" s="299">
        <f>'01-3'!O10+'02-3'!O10+'03-3'!O10+'04-3'!O10+'05-3'!O10+'08-3'!O10+'09-3'!O10+'10-3'!O10+'11-3'!O10+'12-3'!O10+'13-3'!O10+'14-3'!O10+'15-3'!O10+'16-3'!O10+'17-3'!O10+'18-3'!O10+'19-3'!O10+'21-3'!O10+'22-3'!O10+'24-3'!O10+'25-3'!O10+'28-3'!O10+'29-3'!O10+'30-3'!O10+'32-3'!O10+'35-3'!O10+'37-3'!O10+'47-3'!O10+'62-3'!O10+'64-3'!O10+'74-3'!O10</f>
        <v>346831</v>
      </c>
      <c r="P264" s="299">
        <f>'01-3'!P10+'02-3'!P10+'03-3'!P10+'04-3'!P10+'05-3'!P10+'08-3'!P10+'09-3'!P10+'10-3'!P10+'11-3'!P10+'12-3'!P10+'13-3'!P10+'14-3'!P10+'15-3'!P10+'16-3'!P10+'17-3'!P10+'18-3'!P10+'19-3'!P10+'21-3'!P10+'22-3'!P10+'24-3'!P10+'25-3'!P10+'28-3'!P10+'29-3'!P10+'30-3'!P10+'32-3'!P10+'35-3'!P10+'37-3'!P10+'47-3'!P10+'62-3'!P10+'64-3'!P10+'74-3'!P10</f>
        <v>121559614</v>
      </c>
      <c r="Q264" s="299">
        <f>'01-3'!Q10+'02-3'!Q10+'03-3'!Q10+'04-3'!Q10+'05-3'!Q10+'08-3'!Q10+'09-3'!Q10+'10-3'!Q10+'11-3'!Q10+'12-3'!Q10+'13-3'!Q10+'14-3'!Q10+'15-3'!Q10+'16-3'!Q10+'17-3'!Q10+'18-3'!Q10+'19-3'!Q10+'21-3'!Q10+'22-3'!Q10+'24-3'!Q10+'25-3'!Q10+'28-3'!Q10+'29-3'!Q10+'30-3'!Q10+'32-3'!Q10+'35-3'!Q10+'37-3'!Q10+'47-3'!Q10+'62-3'!Q10+'64-3'!Q10+'74-3'!Q10</f>
        <v>118158082</v>
      </c>
      <c r="R264" s="299">
        <f>'01-3'!R10+'02-3'!R10+'03-3'!R10+'04-3'!R10+'05-3'!R10+'08-3'!R10+'09-3'!R10+'10-3'!R10+'11-3'!R10+'12-3'!R10+'13-3'!R10+'14-3'!R10+'15-3'!R10+'16-3'!R10+'17-3'!R10+'18-3'!R10+'19-3'!R10+'21-3'!R10+'22-3'!R10+'24-3'!R10+'25-3'!R10+'28-3'!R10+'29-3'!R10+'30-3'!R10+'32-3'!R10+'35-3'!R10+'37-3'!R10+'47-3'!R10+'62-3'!R10+'64-3'!R10+'74-3'!R10</f>
        <v>3427911336</v>
      </c>
      <c r="S264" s="1323"/>
      <c r="T264" s="1323"/>
      <c r="U264" s="1323"/>
      <c r="V264" s="1323"/>
      <c r="W264" s="1323"/>
    </row>
    <row r="265" spans="1:23" ht="22.8">
      <c r="A265" s="130" t="s">
        <v>177</v>
      </c>
      <c r="B265" s="100" t="s">
        <v>90</v>
      </c>
      <c r="C265" s="106">
        <f>'01-3'!C11+'02-3'!C11+'03-3'!C11+'04-3'!C11+'05-3'!C11+'08-3'!C11+'09-3'!C11+'10-3'!C11+'11-3'!C11+'12-3'!C11+'13-3'!C11+'14-3'!C11+'15-3'!C11+'16-3'!C11+'17-3'!C11+'18-3'!C11+'19-3'!C11+'21-3'!C11+'22-3'!C11+'24-3'!C11+'25-3'!C11+'28-3'!C11+'29-3'!C11+'30-3'!C11+'32-3'!C11+'35-3'!C11+'37-3'!C11+'47-3'!C11+'62-3'!C11+'64-3'!C11+'74-3'!C11</f>
        <v>64573329</v>
      </c>
      <c r="D265" s="106">
        <f>'01-3'!D11+'02-3'!D11+'03-3'!D11+'04-3'!D11+'05-3'!D11+'08-3'!D11+'09-3'!D11+'10-3'!D11+'11-3'!D11+'12-3'!D11+'13-3'!D11+'14-3'!D11+'15-3'!D11+'16-3'!D11+'17-3'!D11+'18-3'!D11+'19-3'!D11+'21-3'!D11+'22-3'!D11+'24-3'!D11+'25-3'!D11+'28-3'!D11+'29-3'!D11+'30-3'!D11+'32-3'!D11+'35-3'!D11+'37-3'!D11+'47-3'!D11+'62-3'!D11+'64-3'!D11+'74-3'!D11</f>
        <v>59622863</v>
      </c>
      <c r="E265" s="106">
        <f>'01-3'!E11+'02-3'!E11+'03-3'!E11+'04-3'!E11+'05-3'!E11+'08-3'!E11+'09-3'!E11+'10-3'!E11+'11-3'!E11+'12-3'!E11+'13-3'!E11+'14-3'!E11+'15-3'!E11+'16-3'!E11+'17-3'!E11+'18-3'!E11+'19-3'!E11+'21-3'!E11+'22-3'!E11+'24-3'!E11+'25-3'!E11+'28-3'!E11+'29-3'!E11+'30-3'!E11+'32-3'!E11+'35-3'!E11+'37-3'!E11+'47-3'!E11+'62-3'!E11+'64-3'!E11+'74-3'!E11</f>
        <v>131979</v>
      </c>
      <c r="F265" s="106">
        <f>'01-3'!F11+'02-3'!F11+'03-3'!F11+'04-3'!F11+'05-3'!F11+'08-3'!F11+'09-3'!F11+'10-3'!F11+'11-3'!F11+'12-3'!F11+'13-3'!F11+'14-3'!F11+'15-3'!F11+'16-3'!F11+'17-3'!F11+'18-3'!F11+'19-3'!F11+'21-3'!F11+'22-3'!F11+'24-3'!F11+'25-3'!F11+'28-3'!F11+'29-3'!F11+'30-3'!F11+'32-3'!F11+'35-3'!F11+'37-3'!F11+'47-3'!F11+'62-3'!F11+'64-3'!F11+'74-3'!F11</f>
        <v>186107</v>
      </c>
      <c r="G265" s="106">
        <f>'01-3'!G11+'02-3'!G11+'03-3'!G11+'04-3'!G11+'05-3'!G11+'08-3'!G11+'09-3'!G11+'10-3'!G11+'11-3'!G11+'12-3'!G11+'13-3'!G11+'14-3'!G11+'15-3'!G11+'16-3'!G11+'17-3'!G11+'18-3'!G11+'19-3'!G11+'21-3'!G11+'22-3'!G11+'24-3'!G11+'25-3'!G11+'28-3'!G11+'29-3'!G11+'30-3'!G11+'32-3'!G11+'35-3'!G11+'37-3'!G11+'47-3'!G11+'62-3'!G11+'64-3'!G11+'74-3'!G11</f>
        <v>0</v>
      </c>
      <c r="H265" s="106">
        <f>'01-3'!H11+'02-3'!H11+'03-3'!H11+'04-3'!H11+'05-3'!H11+'08-3'!H11+'09-3'!H11+'10-3'!H11+'11-3'!H11+'12-3'!H11+'13-3'!H11+'14-3'!H11+'15-3'!H11+'16-3'!H11+'17-3'!H11+'18-3'!H11+'19-3'!H11+'21-3'!H11+'22-3'!H11+'24-3'!H11+'25-3'!H11+'28-3'!H11+'29-3'!H11+'30-3'!H11+'32-3'!H11+'35-3'!H11+'37-3'!H11+'47-3'!H11+'62-3'!H11+'64-3'!H11+'74-3'!H11</f>
        <v>59940949</v>
      </c>
      <c r="I265" s="106">
        <f>'01-3'!I11+'02-3'!I11+'03-3'!I11+'04-3'!I11+'05-3'!I11+'08-3'!I11+'09-3'!I11+'10-3'!I11+'11-3'!I11+'12-3'!I11+'13-3'!I11+'14-3'!I11+'15-3'!I11+'16-3'!I11+'17-3'!I11+'18-3'!I11+'19-3'!I11+'21-3'!I11+'22-3'!I11+'24-3'!I11+'25-3'!I11+'28-3'!I11+'29-3'!I11+'30-3'!I11+'32-3'!I11+'35-3'!I11+'37-3'!I11+'47-3'!I11+'62-3'!I11+'64-3'!I11+'74-3'!I11</f>
        <v>58768245</v>
      </c>
      <c r="J265" s="106">
        <f>'01-3'!J11+'02-3'!J11+'03-3'!J11+'04-3'!J11+'05-3'!J11+'08-3'!J11+'09-3'!J11+'10-3'!J11+'11-3'!J11+'12-3'!J11+'13-3'!J11+'14-3'!J11+'15-3'!J11+'16-3'!J11+'17-3'!J11+'18-3'!J11+'19-3'!J11+'21-3'!J11+'22-3'!J11+'24-3'!J11+'25-3'!J11+'28-3'!J11+'29-3'!J11+'30-3'!J11+'32-3'!J11+'35-3'!J11+'37-3'!J11+'47-3'!J11+'62-3'!J11+'64-3'!J11+'74-3'!J11</f>
        <v>-72315</v>
      </c>
      <c r="K265" s="106">
        <f>'01-3'!K11+'02-3'!K11+'03-3'!K11+'04-3'!K11+'05-3'!K11+'08-3'!K11+'09-3'!K11+'10-3'!K11+'11-3'!K11+'12-3'!K11+'13-3'!K11+'14-3'!K11+'15-3'!K11+'16-3'!K11+'17-3'!K11+'18-3'!K11+'19-3'!K11+'21-3'!K11+'22-3'!K11+'24-3'!K11+'25-3'!K11+'28-3'!K11+'29-3'!K11+'30-3'!K11+'32-3'!K11+'35-3'!K11+'37-3'!K11+'47-3'!K11+'62-3'!K11+'64-3'!K11+'74-3'!K11</f>
        <v>998956</v>
      </c>
      <c r="L265" s="106">
        <f>'01-3'!L11+'02-3'!L11+'03-3'!L11+'04-3'!L11+'05-3'!L11+'08-3'!L11+'09-3'!L11+'10-3'!L11+'11-3'!L11+'12-3'!L11+'13-3'!L11+'14-3'!L11+'15-3'!L11+'16-3'!L11+'17-3'!L11+'18-3'!L11+'19-3'!L11+'21-3'!L11+'22-3'!L11+'24-3'!L11+'25-3'!L11+'28-3'!L11+'29-3'!L11+'30-3'!L11+'32-3'!L11+'35-3'!L11+'37-3'!L11+'47-3'!L11+'62-3'!L11+'64-3'!L11+'74-3'!L11</f>
        <v>0</v>
      </c>
      <c r="M265" s="106">
        <f>'01-3'!M11+'02-3'!M11+'03-3'!M11+'04-3'!M11+'05-3'!M11+'08-3'!M11+'09-3'!M11+'10-3'!M11+'11-3'!M11+'12-3'!M11+'13-3'!M11+'14-3'!M11+'15-3'!M11+'16-3'!M11+'17-3'!M11+'18-3'!M11+'19-3'!M11+'21-3'!M11+'22-3'!M11+'24-3'!M11+'25-3'!M11+'28-3'!M11+'29-3'!M11+'30-3'!M11+'32-3'!M11+'35-3'!M11+'37-3'!M11+'47-3'!M11+'62-3'!M11+'64-3'!M11+'74-3'!M11</f>
        <v>59694886</v>
      </c>
      <c r="N265" s="106">
        <f>'01-3'!N11+'02-3'!N11+'03-3'!N11+'04-3'!N11+'05-3'!N11+'08-3'!N11+'09-3'!N11+'10-3'!N11+'11-3'!N11+'12-3'!N11+'13-3'!N11+'14-3'!N11+'15-3'!N11+'16-3'!N11+'17-3'!N11+'18-3'!N11+'19-3'!N11+'21-3'!N11+'22-3'!N11+'24-3'!N11+'25-3'!N11+'28-3'!N11+'29-3'!N11+'30-3'!N11+'32-3'!N11+'35-3'!N11+'37-3'!N11+'47-3'!N11+'62-3'!N11+'64-3'!N11+'74-3'!N11</f>
        <v>58506966</v>
      </c>
      <c r="O265" s="106">
        <f>'01-3'!O11+'02-3'!O11+'03-3'!O11+'04-3'!O11+'05-3'!O11+'08-3'!O11+'09-3'!O11+'10-3'!O11+'11-3'!O11+'12-3'!O11+'13-3'!O11+'14-3'!O11+'15-3'!O11+'16-3'!O11+'17-3'!O11+'18-3'!O11+'19-3'!O11+'21-3'!O11+'22-3'!O11+'24-3'!O11+'25-3'!O11+'28-3'!O11+'29-3'!O11+'30-3'!O11+'32-3'!O11+'35-3'!O11+'37-3'!O11+'47-3'!O11+'62-3'!O11+'64-3'!O11+'74-3'!O11</f>
        <v>-72315</v>
      </c>
      <c r="P265" s="106">
        <f>'01-3'!P11+'02-3'!P11+'03-3'!P11+'04-3'!P11+'05-3'!P11+'08-3'!P11+'09-3'!P11+'10-3'!P11+'11-3'!P11+'12-3'!P11+'13-3'!P11+'14-3'!P11+'15-3'!P11+'16-3'!P11+'17-3'!P11+'18-3'!P11+'19-3'!P11+'21-3'!P11+'22-3'!P11+'24-3'!P11+'25-3'!P11+'28-3'!P11+'29-3'!P11+'30-3'!P11+'32-3'!P11+'35-3'!P11+'37-3'!P11+'47-3'!P11+'62-3'!P11+'64-3'!P11+'74-3'!P11</f>
        <v>998956</v>
      </c>
      <c r="Q265" s="106">
        <f>'01-3'!Q11+'02-3'!Q11+'03-3'!Q11+'04-3'!Q11+'05-3'!Q11+'08-3'!Q11+'09-3'!Q11+'10-3'!Q11+'11-3'!Q11+'12-3'!Q11+'13-3'!Q11+'14-3'!Q11+'15-3'!Q11+'16-3'!Q11+'17-3'!Q11+'18-3'!Q11+'19-3'!Q11+'21-3'!Q11+'22-3'!Q11+'24-3'!Q11+'25-3'!Q11+'28-3'!Q11+'29-3'!Q11+'30-3'!Q11+'32-3'!Q11+'35-3'!Q11+'37-3'!Q11+'47-3'!Q11+'62-3'!Q11+'64-3'!Q11+'74-3'!Q11</f>
        <v>0</v>
      </c>
      <c r="R265" s="106">
        <f>'01-3'!R11+'02-3'!R11+'03-3'!R11+'04-3'!R11+'05-3'!R11+'08-3'!R11+'09-3'!R11+'10-3'!R11+'11-3'!R11+'12-3'!R11+'13-3'!R11+'14-3'!R11+'15-3'!R11+'16-3'!R11+'17-3'!R11+'18-3'!R11+'19-3'!R11+'21-3'!R11+'22-3'!R11+'24-3'!R11+'25-3'!R11+'28-3'!R11+'29-3'!R11+'30-3'!R11+'32-3'!R11+'35-3'!R11+'37-3'!R11+'47-3'!R11+'62-3'!R11+'64-3'!R11+'74-3'!R11</f>
        <v>59433607</v>
      </c>
    </row>
    <row r="266" spans="1:23" ht="12">
      <c r="A266" s="130" t="s">
        <v>91</v>
      </c>
      <c r="B266" s="100" t="s">
        <v>92</v>
      </c>
      <c r="C266" s="106">
        <f>'01-3'!C12+'02-3'!C12+'03-3'!C12+'04-3'!C12+'05-3'!C12+'08-3'!C12+'09-3'!C12+'10-3'!C12+'11-3'!C12+'12-3'!C12+'13-3'!C12+'14-3'!C12+'15-3'!C12+'16-3'!C12+'17-3'!C12+'18-3'!C12+'19-3'!C12+'21-3'!C12+'22-3'!C12+'24-3'!C12+'25-3'!C12+'28-3'!C12+'29-3'!C12+'30-3'!C12+'32-3'!C12+'35-3'!C12+'37-3'!C12+'47-3'!C12+'62-3'!C12+'64-3'!C12+'74-3'!C12</f>
        <v>76645378</v>
      </c>
      <c r="D266" s="106">
        <f>'01-3'!D12+'02-3'!D12+'03-3'!D12+'04-3'!D12+'05-3'!D12+'08-3'!D12+'09-3'!D12+'10-3'!D12+'11-3'!D12+'12-3'!D12+'13-3'!D12+'14-3'!D12+'15-3'!D12+'16-3'!D12+'17-3'!D12+'18-3'!D12+'19-3'!D12+'21-3'!D12+'22-3'!D12+'24-3'!D12+'25-3'!D12+'28-3'!D12+'29-3'!D12+'30-3'!D12+'32-3'!D12+'35-3'!D12+'37-3'!D12+'47-3'!D12+'62-3'!D12+'64-3'!D12+'74-3'!D12</f>
        <v>53571756</v>
      </c>
      <c r="E266" s="106">
        <f>'01-3'!E12+'02-3'!E12+'03-3'!E12+'04-3'!E12+'05-3'!E12+'08-3'!E12+'09-3'!E12+'10-3'!E12+'11-3'!E12+'12-3'!E12+'13-3'!E12+'14-3'!E12+'15-3'!E12+'16-3'!E12+'17-3'!E12+'18-3'!E12+'19-3'!E12+'21-3'!E12+'22-3'!E12+'24-3'!E12+'25-3'!E12+'28-3'!E12+'29-3'!E12+'30-3'!E12+'32-3'!E12+'35-3'!E12+'37-3'!E12+'47-3'!E12+'62-3'!E12+'64-3'!E12+'74-3'!E12</f>
        <v>1277446</v>
      </c>
      <c r="F266" s="106">
        <f>'01-3'!F12+'02-3'!F12+'03-3'!F12+'04-3'!F12+'05-3'!F12+'08-3'!F12+'09-3'!F12+'10-3'!F12+'11-3'!F12+'12-3'!F12+'13-3'!F12+'14-3'!F12+'15-3'!F12+'16-3'!F12+'17-3'!F12+'18-3'!F12+'19-3'!F12+'21-3'!F12+'22-3'!F12+'24-3'!F12+'25-3'!F12+'28-3'!F12+'29-3'!F12+'30-3'!F12+'32-3'!F12+'35-3'!F12+'37-3'!F12+'47-3'!F12+'62-3'!F12+'64-3'!F12+'74-3'!F12</f>
        <v>0</v>
      </c>
      <c r="G266" s="106">
        <f>'01-3'!G12+'02-3'!G12+'03-3'!G12+'04-3'!G12+'05-3'!G12+'08-3'!G12+'09-3'!G12+'10-3'!G12+'11-3'!G12+'12-3'!G12+'13-3'!G12+'14-3'!G12+'15-3'!G12+'16-3'!G12+'17-3'!G12+'18-3'!G12+'19-3'!G12+'21-3'!G12+'22-3'!G12+'24-3'!G12+'25-3'!G12+'28-3'!G12+'29-3'!G12+'30-3'!G12+'32-3'!G12+'35-3'!G12+'37-3'!G12+'47-3'!G12+'62-3'!G12+'64-3'!G12+'74-3'!G12</f>
        <v>0</v>
      </c>
      <c r="H266" s="106">
        <f>'01-3'!H12+'02-3'!H12+'03-3'!H12+'04-3'!H12+'05-3'!H12+'08-3'!H12+'09-3'!H12+'10-3'!H12+'11-3'!H12+'12-3'!H12+'13-3'!H12+'14-3'!H12+'15-3'!H12+'16-3'!H12+'17-3'!H12+'18-3'!H12+'19-3'!H12+'21-3'!H12+'22-3'!H12+'24-3'!H12+'25-3'!H12+'28-3'!H12+'29-3'!H12+'30-3'!H12+'32-3'!H12+'35-3'!H12+'37-3'!H12+'47-3'!H12+'62-3'!H12+'64-3'!H12+'74-3'!H12</f>
        <v>54849202</v>
      </c>
      <c r="I266" s="106">
        <f>'01-3'!I12+'02-3'!I12+'03-3'!I12+'04-3'!I12+'05-3'!I12+'08-3'!I12+'09-3'!I12+'10-3'!I12+'11-3'!I12+'12-3'!I12+'13-3'!I12+'14-3'!I12+'15-3'!I12+'16-3'!I12+'17-3'!I12+'18-3'!I12+'19-3'!I12+'21-3'!I12+'22-3'!I12+'24-3'!I12+'25-3'!I12+'28-3'!I12+'29-3'!I12+'30-3'!I12+'32-3'!I12+'35-3'!I12+'37-3'!I12+'47-3'!I12+'62-3'!I12+'64-3'!I12+'74-3'!I12</f>
        <v>20878773</v>
      </c>
      <c r="J266" s="106">
        <f>'01-3'!J12+'02-3'!J12+'03-3'!J12+'04-3'!J12+'05-3'!J12+'08-3'!J12+'09-3'!J12+'10-3'!J12+'11-3'!J12+'12-3'!J12+'13-3'!J12+'14-3'!J12+'15-3'!J12+'16-3'!J12+'17-3'!J12+'18-3'!J12+'19-3'!J12+'21-3'!J12+'22-3'!J12+'24-3'!J12+'25-3'!J12+'28-3'!J12+'29-3'!J12+'30-3'!J12+'32-3'!J12+'35-3'!J12+'37-3'!J12+'47-3'!J12+'62-3'!J12+'64-3'!J12+'74-3'!J12</f>
        <v>76166</v>
      </c>
      <c r="K266" s="106">
        <f>'01-3'!K12+'02-3'!K12+'03-3'!K12+'04-3'!K12+'05-3'!K12+'08-3'!K12+'09-3'!K12+'10-3'!K12+'11-3'!K12+'12-3'!K12+'13-3'!K12+'14-3'!K12+'15-3'!K12+'16-3'!K12+'17-3'!K12+'18-3'!K12+'19-3'!K12+'21-3'!K12+'22-3'!K12+'24-3'!K12+'25-3'!K12+'28-3'!K12+'29-3'!K12+'30-3'!K12+'32-3'!K12+'35-3'!K12+'37-3'!K12+'47-3'!K12+'62-3'!K12+'64-3'!K12+'74-3'!K12</f>
        <v>0</v>
      </c>
      <c r="L266" s="106">
        <f>'01-3'!L12+'02-3'!L12+'03-3'!L12+'04-3'!L12+'05-3'!L12+'08-3'!L12+'09-3'!L12+'10-3'!L12+'11-3'!L12+'12-3'!L12+'13-3'!L12+'14-3'!L12+'15-3'!L12+'16-3'!L12+'17-3'!L12+'18-3'!L12+'19-3'!L12+'21-3'!L12+'22-3'!L12+'24-3'!L12+'25-3'!L12+'28-3'!L12+'29-3'!L12+'30-3'!L12+'32-3'!L12+'35-3'!L12+'37-3'!L12+'47-3'!L12+'62-3'!L12+'64-3'!L12+'74-3'!L12</f>
        <v>0</v>
      </c>
      <c r="M266" s="106">
        <f>'01-3'!M12+'02-3'!M12+'03-3'!M12+'04-3'!M12+'05-3'!M12+'08-3'!M12+'09-3'!M12+'10-3'!M12+'11-3'!M12+'12-3'!M12+'13-3'!M12+'14-3'!M12+'15-3'!M12+'16-3'!M12+'17-3'!M12+'18-3'!M12+'19-3'!M12+'21-3'!M12+'22-3'!M12+'24-3'!M12+'25-3'!M12+'28-3'!M12+'29-3'!M12+'30-3'!M12+'32-3'!M12+'35-3'!M12+'37-3'!M12+'47-3'!M12+'62-3'!M12+'64-3'!M12+'74-3'!M12</f>
        <v>20954939</v>
      </c>
      <c r="N266" s="106">
        <f>'01-3'!N12+'02-3'!N12+'03-3'!N12+'04-3'!N12+'05-3'!N12+'08-3'!N12+'09-3'!N12+'10-3'!N12+'11-3'!N12+'12-3'!N12+'13-3'!N12+'14-3'!N12+'15-3'!N12+'16-3'!N12+'17-3'!N12+'18-3'!N12+'19-3'!N12+'21-3'!N12+'22-3'!N12+'24-3'!N12+'25-3'!N12+'28-3'!N12+'29-3'!N12+'30-3'!N12+'32-3'!N12+'35-3'!N12+'37-3'!N12+'47-3'!N12+'62-3'!N12+'64-3'!N12+'74-3'!N12</f>
        <v>14563103</v>
      </c>
      <c r="O266" s="106">
        <f>'01-3'!O12+'02-3'!O12+'03-3'!O12+'04-3'!O12+'05-3'!O12+'08-3'!O12+'09-3'!O12+'10-3'!O12+'11-3'!O12+'12-3'!O12+'13-3'!O12+'14-3'!O12+'15-3'!O12+'16-3'!O12+'17-3'!O12+'18-3'!O12+'19-3'!O12+'21-3'!O12+'22-3'!O12+'24-3'!O12+'25-3'!O12+'28-3'!O12+'29-3'!O12+'30-3'!O12+'32-3'!O12+'35-3'!O12+'37-3'!O12+'47-3'!O12+'62-3'!O12+'64-3'!O12+'74-3'!O12</f>
        <v>8256</v>
      </c>
      <c r="P266" s="106">
        <f>'01-3'!P12+'02-3'!P12+'03-3'!P12+'04-3'!P12+'05-3'!P12+'08-3'!P12+'09-3'!P12+'10-3'!P12+'11-3'!P12+'12-3'!P12+'13-3'!P12+'14-3'!P12+'15-3'!P12+'16-3'!P12+'17-3'!P12+'18-3'!P12+'19-3'!P12+'21-3'!P12+'22-3'!P12+'24-3'!P12+'25-3'!P12+'28-3'!P12+'29-3'!P12+'30-3'!P12+'32-3'!P12+'35-3'!P12+'37-3'!P12+'47-3'!P12+'62-3'!P12+'64-3'!P12+'74-3'!P12</f>
        <v>0</v>
      </c>
      <c r="Q266" s="106">
        <f>'01-3'!Q12+'02-3'!Q12+'03-3'!Q12+'04-3'!Q12+'05-3'!Q12+'08-3'!Q12+'09-3'!Q12+'10-3'!Q12+'11-3'!Q12+'12-3'!Q12+'13-3'!Q12+'14-3'!Q12+'15-3'!Q12+'16-3'!Q12+'17-3'!Q12+'18-3'!Q12+'19-3'!Q12+'21-3'!Q12+'22-3'!Q12+'24-3'!Q12+'25-3'!Q12+'28-3'!Q12+'29-3'!Q12+'30-3'!Q12+'32-3'!Q12+'35-3'!Q12+'37-3'!Q12+'47-3'!Q12+'62-3'!Q12+'64-3'!Q12+'74-3'!Q12</f>
        <v>0</v>
      </c>
      <c r="R266" s="106">
        <f>'01-3'!R12+'02-3'!R12+'03-3'!R12+'04-3'!R12+'05-3'!R12+'08-3'!R12+'09-3'!R12+'10-3'!R12+'11-3'!R12+'12-3'!R12+'13-3'!R12+'14-3'!R12+'15-3'!R12+'16-3'!R12+'17-3'!R12+'18-3'!R12+'19-3'!R12+'21-3'!R12+'22-3'!R12+'24-3'!R12+'25-3'!R12+'28-3'!R12+'29-3'!R12+'30-3'!R12+'32-3'!R12+'35-3'!R12+'37-3'!R12+'47-3'!R12+'62-3'!R12+'64-3'!R12+'74-3'!R12</f>
        <v>14571359</v>
      </c>
    </row>
    <row r="267" spans="1:23" ht="24">
      <c r="A267" s="131">
        <v>21210</v>
      </c>
      <c r="B267" s="101" t="s">
        <v>93</v>
      </c>
      <c r="C267" s="106">
        <f>'01-3'!C13+'02-3'!C13+'03-3'!C13+'04-3'!C13+'05-3'!C13+'08-3'!C13+'09-3'!C13+'10-3'!C13+'11-3'!C13+'12-3'!C13+'13-3'!C13+'14-3'!C13+'15-3'!C13+'16-3'!C13+'17-3'!C13+'18-3'!C13+'19-3'!C13+'21-3'!C13+'22-3'!C13+'24-3'!C13+'25-3'!C13+'28-3'!C13+'29-3'!C13+'30-3'!C13+'32-3'!C13+'35-3'!C13+'37-3'!C13+'47-3'!C13+'62-3'!C13+'64-3'!C13+'74-3'!C13</f>
        <v>18112036</v>
      </c>
      <c r="D267" s="106">
        <f>'01-3'!D13+'02-3'!D13+'03-3'!D13+'04-3'!D13+'05-3'!D13+'08-3'!D13+'09-3'!D13+'10-3'!D13+'11-3'!D13+'12-3'!D13+'13-3'!D13+'14-3'!D13+'15-3'!D13+'16-3'!D13+'17-3'!D13+'18-3'!D13+'19-3'!D13+'21-3'!D13+'22-3'!D13+'24-3'!D13+'25-3'!D13+'28-3'!D13+'29-3'!D13+'30-3'!D13+'32-3'!D13+'35-3'!D13+'37-3'!D13+'47-3'!D13+'62-3'!D13+'64-3'!D13+'74-3'!D13</f>
        <v>6364052</v>
      </c>
      <c r="E267" s="106">
        <f>'01-3'!E13+'02-3'!E13+'03-3'!E13+'04-3'!E13+'05-3'!E13+'08-3'!E13+'09-3'!E13+'10-3'!E13+'11-3'!E13+'12-3'!E13+'13-3'!E13+'14-3'!E13+'15-3'!E13+'16-3'!E13+'17-3'!E13+'18-3'!E13+'19-3'!E13+'21-3'!E13+'22-3'!E13+'24-3'!E13+'25-3'!E13+'28-3'!E13+'29-3'!E13+'30-3'!E13+'32-3'!E13+'35-3'!E13+'37-3'!E13+'47-3'!E13+'62-3'!E13+'64-3'!E13+'74-3'!E13</f>
        <v>1033241</v>
      </c>
      <c r="F267" s="106">
        <f>'01-3'!F13+'02-3'!F13+'03-3'!F13+'04-3'!F13+'05-3'!F13+'08-3'!F13+'09-3'!F13+'10-3'!F13+'11-3'!F13+'12-3'!F13+'13-3'!F13+'14-3'!F13+'15-3'!F13+'16-3'!F13+'17-3'!F13+'18-3'!F13+'19-3'!F13+'21-3'!F13+'22-3'!F13+'24-3'!F13+'25-3'!F13+'28-3'!F13+'29-3'!F13+'30-3'!F13+'32-3'!F13+'35-3'!F13+'37-3'!F13+'47-3'!F13+'62-3'!F13+'64-3'!F13+'74-3'!F13</f>
        <v>0</v>
      </c>
      <c r="G267" s="106">
        <f>'01-3'!G13+'02-3'!G13+'03-3'!G13+'04-3'!G13+'05-3'!G13+'08-3'!G13+'09-3'!G13+'10-3'!G13+'11-3'!G13+'12-3'!G13+'13-3'!G13+'14-3'!G13+'15-3'!G13+'16-3'!G13+'17-3'!G13+'18-3'!G13+'19-3'!G13+'21-3'!G13+'22-3'!G13+'24-3'!G13+'25-3'!G13+'28-3'!G13+'29-3'!G13+'30-3'!G13+'32-3'!G13+'35-3'!G13+'37-3'!G13+'47-3'!G13+'62-3'!G13+'64-3'!G13+'74-3'!G13</f>
        <v>0</v>
      </c>
      <c r="H267" s="106">
        <f>'01-3'!H13+'02-3'!H13+'03-3'!H13+'04-3'!H13+'05-3'!H13+'08-3'!H13+'09-3'!H13+'10-3'!H13+'11-3'!H13+'12-3'!H13+'13-3'!H13+'14-3'!H13+'15-3'!H13+'16-3'!H13+'17-3'!H13+'18-3'!H13+'19-3'!H13+'21-3'!H13+'22-3'!H13+'24-3'!H13+'25-3'!H13+'28-3'!H13+'29-3'!H13+'30-3'!H13+'32-3'!H13+'35-3'!H13+'37-3'!H13+'47-3'!H13+'62-3'!H13+'64-3'!H13+'74-3'!H13</f>
        <v>7397293</v>
      </c>
      <c r="I267" s="106">
        <f>'01-3'!I13+'02-3'!I13+'03-3'!I13+'04-3'!I13+'05-3'!I13+'08-3'!I13+'09-3'!I13+'10-3'!I13+'11-3'!I13+'12-3'!I13+'13-3'!I13+'14-3'!I13+'15-3'!I13+'16-3'!I13+'17-3'!I13+'18-3'!I13+'19-3'!I13+'21-3'!I13+'22-3'!I13+'24-3'!I13+'25-3'!I13+'28-3'!I13+'29-3'!I13+'30-3'!I13+'32-3'!I13+'35-3'!I13+'37-3'!I13+'47-3'!I13+'62-3'!I13+'64-3'!I13+'74-3'!I13</f>
        <v>5751395</v>
      </c>
      <c r="J267" s="106">
        <f>'01-3'!J13+'02-3'!J13+'03-3'!J13+'04-3'!J13+'05-3'!J13+'08-3'!J13+'09-3'!J13+'10-3'!J13+'11-3'!J13+'12-3'!J13+'13-3'!J13+'14-3'!J13+'15-3'!J13+'16-3'!J13+'17-3'!J13+'18-3'!J13+'19-3'!J13+'21-3'!J13+'22-3'!J13+'24-3'!J13+'25-3'!J13+'28-3'!J13+'29-3'!J13+'30-3'!J13+'32-3'!J13+'35-3'!J13+'37-3'!J13+'47-3'!J13+'62-3'!J13+'64-3'!J13+'74-3'!J13</f>
        <v>31801</v>
      </c>
      <c r="K267" s="106">
        <f>'01-3'!K13+'02-3'!K13+'03-3'!K13+'04-3'!K13+'05-3'!K13+'08-3'!K13+'09-3'!K13+'10-3'!K13+'11-3'!K13+'12-3'!K13+'13-3'!K13+'14-3'!K13+'15-3'!K13+'16-3'!K13+'17-3'!K13+'18-3'!K13+'19-3'!K13+'21-3'!K13+'22-3'!K13+'24-3'!K13+'25-3'!K13+'28-3'!K13+'29-3'!K13+'30-3'!K13+'32-3'!K13+'35-3'!K13+'37-3'!K13+'47-3'!K13+'62-3'!K13+'64-3'!K13+'74-3'!K13</f>
        <v>0</v>
      </c>
      <c r="L267" s="106">
        <f>'01-3'!L13+'02-3'!L13+'03-3'!L13+'04-3'!L13+'05-3'!L13+'08-3'!L13+'09-3'!L13+'10-3'!L13+'11-3'!L13+'12-3'!L13+'13-3'!L13+'14-3'!L13+'15-3'!L13+'16-3'!L13+'17-3'!L13+'18-3'!L13+'19-3'!L13+'21-3'!L13+'22-3'!L13+'24-3'!L13+'25-3'!L13+'28-3'!L13+'29-3'!L13+'30-3'!L13+'32-3'!L13+'35-3'!L13+'37-3'!L13+'47-3'!L13+'62-3'!L13+'64-3'!L13+'74-3'!L13</f>
        <v>0</v>
      </c>
      <c r="M267" s="106">
        <f>'01-3'!M13+'02-3'!M13+'03-3'!M13+'04-3'!M13+'05-3'!M13+'08-3'!M13+'09-3'!M13+'10-3'!M13+'11-3'!M13+'12-3'!M13+'13-3'!M13+'14-3'!M13+'15-3'!M13+'16-3'!M13+'17-3'!M13+'18-3'!M13+'19-3'!M13+'21-3'!M13+'22-3'!M13+'24-3'!M13+'25-3'!M13+'28-3'!M13+'29-3'!M13+'30-3'!M13+'32-3'!M13+'35-3'!M13+'37-3'!M13+'47-3'!M13+'62-3'!M13+'64-3'!M13+'74-3'!M13</f>
        <v>5783196</v>
      </c>
      <c r="N267" s="106">
        <f>'01-3'!N13+'02-3'!N13+'03-3'!N13+'04-3'!N13+'05-3'!N13+'08-3'!N13+'09-3'!N13+'10-3'!N13+'11-3'!N13+'12-3'!N13+'13-3'!N13+'14-3'!N13+'15-3'!N13+'16-3'!N13+'17-3'!N13+'18-3'!N13+'19-3'!N13+'21-3'!N13+'22-3'!N13+'24-3'!N13+'25-3'!N13+'28-3'!N13+'29-3'!N13+'30-3'!N13+'32-3'!N13+'35-3'!N13+'37-3'!N13+'47-3'!N13+'62-3'!N13+'64-3'!N13+'74-3'!N13</f>
        <v>6958586</v>
      </c>
      <c r="O267" s="106">
        <f>'01-3'!O13+'02-3'!O13+'03-3'!O13+'04-3'!O13+'05-3'!O13+'08-3'!O13+'09-3'!O13+'10-3'!O13+'11-3'!O13+'12-3'!O13+'13-3'!O13+'14-3'!O13+'15-3'!O13+'16-3'!O13+'17-3'!O13+'18-3'!O13+'19-3'!O13+'21-3'!O13+'22-3'!O13+'24-3'!O13+'25-3'!O13+'28-3'!O13+'29-3'!O13+'30-3'!O13+'32-3'!O13+'35-3'!O13+'37-3'!O13+'47-3'!O13+'62-3'!O13+'64-3'!O13+'74-3'!O13</f>
        <v>0</v>
      </c>
      <c r="P267" s="106">
        <f>'01-3'!P13+'02-3'!P13+'03-3'!P13+'04-3'!P13+'05-3'!P13+'08-3'!P13+'09-3'!P13+'10-3'!P13+'11-3'!P13+'12-3'!P13+'13-3'!P13+'14-3'!P13+'15-3'!P13+'16-3'!P13+'17-3'!P13+'18-3'!P13+'19-3'!P13+'21-3'!P13+'22-3'!P13+'24-3'!P13+'25-3'!P13+'28-3'!P13+'29-3'!P13+'30-3'!P13+'32-3'!P13+'35-3'!P13+'37-3'!P13+'47-3'!P13+'62-3'!P13+'64-3'!P13+'74-3'!P13</f>
        <v>0</v>
      </c>
      <c r="Q267" s="106">
        <f>'01-3'!Q13+'02-3'!Q13+'03-3'!Q13+'04-3'!Q13+'05-3'!Q13+'08-3'!Q13+'09-3'!Q13+'10-3'!Q13+'11-3'!Q13+'12-3'!Q13+'13-3'!Q13+'14-3'!Q13+'15-3'!Q13+'16-3'!Q13+'17-3'!Q13+'18-3'!Q13+'19-3'!Q13+'21-3'!Q13+'22-3'!Q13+'24-3'!Q13+'25-3'!Q13+'28-3'!Q13+'29-3'!Q13+'30-3'!Q13+'32-3'!Q13+'35-3'!Q13+'37-3'!Q13+'47-3'!Q13+'62-3'!Q13+'64-3'!Q13+'74-3'!Q13</f>
        <v>0</v>
      </c>
      <c r="R267" s="106">
        <f>'01-3'!R13+'02-3'!R13+'03-3'!R13+'04-3'!R13+'05-3'!R13+'08-3'!R13+'09-3'!R13+'10-3'!R13+'11-3'!R13+'12-3'!R13+'13-3'!R13+'14-3'!R13+'15-3'!R13+'16-3'!R13+'17-3'!R13+'18-3'!R13+'19-3'!R13+'21-3'!R13+'22-3'!R13+'24-3'!R13+'25-3'!R13+'28-3'!R13+'29-3'!R13+'30-3'!R13+'32-3'!R13+'35-3'!R13+'37-3'!R13+'47-3'!R13+'62-3'!R13+'64-3'!R13+'74-3'!R13</f>
        <v>6958586</v>
      </c>
    </row>
    <row r="268" spans="1:23" ht="20.399999999999999">
      <c r="A268" s="130" t="s">
        <v>178</v>
      </c>
      <c r="B268" s="100" t="s">
        <v>94</v>
      </c>
      <c r="C268" s="106">
        <f>'01-3'!C14+'02-3'!C14+'03-3'!C14+'04-3'!C14+'05-3'!C14+'08-3'!C14+'09-3'!C14+'10-3'!C14+'11-3'!C14+'12-3'!C14+'13-3'!C14+'14-3'!C14+'15-3'!C14+'16-3'!C14+'17-3'!C14+'18-3'!C14+'19-3'!C14+'21-3'!C14+'22-3'!C14+'24-3'!C14+'25-3'!C14+'28-3'!C14+'29-3'!C14+'30-3'!C14+'32-3'!C14+'35-3'!C14+'37-3'!C14+'47-3'!C14+'62-3'!C14+'64-3'!C14+'74-3'!C14</f>
        <v>2080190</v>
      </c>
      <c r="D268" s="106">
        <f>'01-3'!D14+'02-3'!D14+'03-3'!D14+'04-3'!D14+'05-3'!D14+'08-3'!D14+'09-3'!D14+'10-3'!D14+'11-3'!D14+'12-3'!D14+'13-3'!D14+'14-3'!D14+'15-3'!D14+'16-3'!D14+'17-3'!D14+'18-3'!D14+'19-3'!D14+'21-3'!D14+'22-3'!D14+'24-3'!D14+'25-3'!D14+'28-3'!D14+'29-3'!D14+'30-3'!D14+'32-3'!D14+'35-3'!D14+'37-3'!D14+'47-3'!D14+'62-3'!D14+'64-3'!D14+'74-3'!D14</f>
        <v>2574482</v>
      </c>
      <c r="E268" s="106">
        <f>'01-3'!E14+'02-3'!E14+'03-3'!E14+'04-3'!E14+'05-3'!E14+'08-3'!E14+'09-3'!E14+'10-3'!E14+'11-3'!E14+'12-3'!E14+'13-3'!E14+'14-3'!E14+'15-3'!E14+'16-3'!E14+'17-3'!E14+'18-3'!E14+'19-3'!E14+'21-3'!E14+'22-3'!E14+'24-3'!E14+'25-3'!E14+'28-3'!E14+'29-3'!E14+'30-3'!E14+'32-3'!E14+'35-3'!E14+'37-3'!E14+'47-3'!E14+'62-3'!E14+'64-3'!E14+'74-3'!E14</f>
        <v>849535</v>
      </c>
      <c r="F268" s="106">
        <f>'01-3'!F14+'02-3'!F14+'03-3'!F14+'04-3'!F14+'05-3'!F14+'08-3'!F14+'09-3'!F14+'10-3'!F14+'11-3'!F14+'12-3'!F14+'13-3'!F14+'14-3'!F14+'15-3'!F14+'16-3'!F14+'17-3'!F14+'18-3'!F14+'19-3'!F14+'21-3'!F14+'22-3'!F14+'24-3'!F14+'25-3'!F14+'28-3'!F14+'29-3'!F14+'30-3'!F14+'32-3'!F14+'35-3'!F14+'37-3'!F14+'47-3'!F14+'62-3'!F14+'64-3'!F14+'74-3'!F14</f>
        <v>0</v>
      </c>
      <c r="G268" s="106">
        <f>'01-3'!G14+'02-3'!G14+'03-3'!G14+'04-3'!G14+'05-3'!G14+'08-3'!G14+'09-3'!G14+'10-3'!G14+'11-3'!G14+'12-3'!G14+'13-3'!G14+'14-3'!G14+'15-3'!G14+'16-3'!G14+'17-3'!G14+'18-3'!G14+'19-3'!G14+'21-3'!G14+'22-3'!G14+'24-3'!G14+'25-3'!G14+'28-3'!G14+'29-3'!G14+'30-3'!G14+'32-3'!G14+'35-3'!G14+'37-3'!G14+'47-3'!G14+'62-3'!G14+'64-3'!G14+'74-3'!G14</f>
        <v>20000</v>
      </c>
      <c r="H268" s="106">
        <f>'01-3'!H14+'02-3'!H14+'03-3'!H14+'04-3'!H14+'05-3'!H14+'08-3'!H14+'09-3'!H14+'10-3'!H14+'11-3'!H14+'12-3'!H14+'13-3'!H14+'14-3'!H14+'15-3'!H14+'16-3'!H14+'17-3'!H14+'18-3'!H14+'19-3'!H14+'21-3'!H14+'22-3'!H14+'24-3'!H14+'25-3'!H14+'28-3'!H14+'29-3'!H14+'30-3'!H14+'32-3'!H14+'35-3'!H14+'37-3'!H14+'47-3'!H14+'62-3'!H14+'64-3'!H14+'74-3'!H14</f>
        <v>3444017</v>
      </c>
      <c r="I268" s="106">
        <f>'01-3'!I14+'02-3'!I14+'03-3'!I14+'04-3'!I14+'05-3'!I14+'08-3'!I14+'09-3'!I14+'10-3'!I14+'11-3'!I14+'12-3'!I14+'13-3'!I14+'14-3'!I14+'15-3'!I14+'16-3'!I14+'17-3'!I14+'18-3'!I14+'19-3'!I14+'21-3'!I14+'22-3'!I14+'24-3'!I14+'25-3'!I14+'28-3'!I14+'29-3'!I14+'30-3'!I14+'32-3'!I14+'35-3'!I14+'37-3'!I14+'47-3'!I14+'62-3'!I14+'64-3'!I14+'74-3'!I14</f>
        <v>1099288</v>
      </c>
      <c r="J268" s="106">
        <f>'01-3'!J14+'02-3'!J14+'03-3'!J14+'04-3'!J14+'05-3'!J14+'08-3'!J14+'09-3'!J14+'10-3'!J14+'11-3'!J14+'12-3'!J14+'13-3'!J14+'14-3'!J14+'15-3'!J14+'16-3'!J14+'17-3'!J14+'18-3'!J14+'19-3'!J14+'21-3'!J14+'22-3'!J14+'24-3'!J14+'25-3'!J14+'28-3'!J14+'29-3'!J14+'30-3'!J14+'32-3'!J14+'35-3'!J14+'37-3'!J14+'47-3'!J14+'62-3'!J14+'64-3'!J14+'74-3'!J14</f>
        <v>700472</v>
      </c>
      <c r="K268" s="106">
        <f>'01-3'!K14+'02-3'!K14+'03-3'!K14+'04-3'!K14+'05-3'!K14+'08-3'!K14+'09-3'!K14+'10-3'!K14+'11-3'!K14+'12-3'!K14+'13-3'!K14+'14-3'!K14+'15-3'!K14+'16-3'!K14+'17-3'!K14+'18-3'!K14+'19-3'!K14+'21-3'!K14+'22-3'!K14+'24-3'!K14+'25-3'!K14+'28-3'!K14+'29-3'!K14+'30-3'!K14+'32-3'!K14+'35-3'!K14+'37-3'!K14+'47-3'!K14+'62-3'!K14+'64-3'!K14+'74-3'!K14</f>
        <v>0</v>
      </c>
      <c r="L268" s="106">
        <f>'01-3'!L14+'02-3'!L14+'03-3'!L14+'04-3'!L14+'05-3'!L14+'08-3'!L14+'09-3'!L14+'10-3'!L14+'11-3'!L14+'12-3'!L14+'13-3'!L14+'14-3'!L14+'15-3'!L14+'16-3'!L14+'17-3'!L14+'18-3'!L14+'19-3'!L14+'21-3'!L14+'22-3'!L14+'24-3'!L14+'25-3'!L14+'28-3'!L14+'29-3'!L14+'30-3'!L14+'32-3'!L14+'35-3'!L14+'37-3'!L14+'47-3'!L14+'62-3'!L14+'64-3'!L14+'74-3'!L14</f>
        <v>0</v>
      </c>
      <c r="M268" s="106">
        <f>'01-3'!M14+'02-3'!M14+'03-3'!M14+'04-3'!M14+'05-3'!M14+'08-3'!M14+'09-3'!M14+'10-3'!M14+'11-3'!M14+'12-3'!M14+'13-3'!M14+'14-3'!M14+'15-3'!M14+'16-3'!M14+'17-3'!M14+'18-3'!M14+'19-3'!M14+'21-3'!M14+'22-3'!M14+'24-3'!M14+'25-3'!M14+'28-3'!M14+'29-3'!M14+'30-3'!M14+'32-3'!M14+'35-3'!M14+'37-3'!M14+'47-3'!M14+'62-3'!M14+'64-3'!M14+'74-3'!M14</f>
        <v>1799760</v>
      </c>
      <c r="N268" s="106">
        <f>'01-3'!N14+'02-3'!N14+'03-3'!N14+'04-3'!N14+'05-3'!N14+'08-3'!N14+'09-3'!N14+'10-3'!N14+'11-3'!N14+'12-3'!N14+'13-3'!N14+'14-3'!N14+'15-3'!N14+'16-3'!N14+'17-3'!N14+'18-3'!N14+'19-3'!N14+'21-3'!N14+'22-3'!N14+'24-3'!N14+'25-3'!N14+'28-3'!N14+'29-3'!N14+'30-3'!N14+'32-3'!N14+'35-3'!N14+'37-3'!N14+'47-3'!N14+'62-3'!N14+'64-3'!N14+'74-3'!N14</f>
        <v>162453</v>
      </c>
      <c r="O268" s="106">
        <f>'01-3'!O14+'02-3'!O14+'03-3'!O14+'04-3'!O14+'05-3'!O14+'08-3'!O14+'09-3'!O14+'10-3'!O14+'11-3'!O14+'12-3'!O14+'13-3'!O14+'14-3'!O14+'15-3'!O14+'16-3'!O14+'17-3'!O14+'18-3'!O14+'19-3'!O14+'21-3'!O14+'22-3'!O14+'24-3'!O14+'25-3'!O14+'28-3'!O14+'29-3'!O14+'30-3'!O14+'32-3'!O14+'35-3'!O14+'37-3'!O14+'47-3'!O14+'62-3'!O14+'64-3'!O14+'74-3'!O14</f>
        <v>255589</v>
      </c>
      <c r="P268" s="106">
        <f>'01-3'!P14+'02-3'!P14+'03-3'!P14+'04-3'!P14+'05-3'!P14+'08-3'!P14+'09-3'!P14+'10-3'!P14+'11-3'!P14+'12-3'!P14+'13-3'!P14+'14-3'!P14+'15-3'!P14+'16-3'!P14+'17-3'!P14+'18-3'!P14+'19-3'!P14+'21-3'!P14+'22-3'!P14+'24-3'!P14+'25-3'!P14+'28-3'!P14+'29-3'!P14+'30-3'!P14+'32-3'!P14+'35-3'!P14+'37-3'!P14+'47-3'!P14+'62-3'!P14+'64-3'!P14+'74-3'!P14</f>
        <v>0</v>
      </c>
      <c r="Q268" s="106">
        <f>'01-3'!Q14+'02-3'!Q14+'03-3'!Q14+'04-3'!Q14+'05-3'!Q14+'08-3'!Q14+'09-3'!Q14+'10-3'!Q14+'11-3'!Q14+'12-3'!Q14+'13-3'!Q14+'14-3'!Q14+'15-3'!Q14+'16-3'!Q14+'17-3'!Q14+'18-3'!Q14+'19-3'!Q14+'21-3'!Q14+'22-3'!Q14+'24-3'!Q14+'25-3'!Q14+'28-3'!Q14+'29-3'!Q14+'30-3'!Q14+'32-3'!Q14+'35-3'!Q14+'37-3'!Q14+'47-3'!Q14+'62-3'!Q14+'64-3'!Q14+'74-3'!Q14</f>
        <v>0</v>
      </c>
      <c r="R268" s="106">
        <f>'01-3'!R14+'02-3'!R14+'03-3'!R14+'04-3'!R14+'05-3'!R14+'08-3'!R14+'09-3'!R14+'10-3'!R14+'11-3'!R14+'12-3'!R14+'13-3'!R14+'14-3'!R14+'15-3'!R14+'16-3'!R14+'17-3'!R14+'18-3'!R14+'19-3'!R14+'21-3'!R14+'22-3'!R14+'24-3'!R14+'25-3'!R14+'28-3'!R14+'29-3'!R14+'30-3'!R14+'32-3'!R14+'35-3'!R14+'37-3'!R14+'47-3'!R14+'62-3'!R14+'64-3'!R14+'74-3'!R14</f>
        <v>418042</v>
      </c>
    </row>
    <row r="269" spans="1:23" ht="12">
      <c r="A269" s="132">
        <v>18000</v>
      </c>
      <c r="B269" s="101" t="s">
        <v>95</v>
      </c>
      <c r="C269" s="106">
        <f>'01-3'!C15+'02-3'!C15+'03-3'!C15+'04-3'!C15+'05-3'!C15+'08-3'!C15+'09-3'!C15+'10-3'!C15+'11-3'!C15+'12-3'!C15+'13-3'!C15+'14-3'!C15+'15-3'!C15+'16-3'!C15+'17-3'!C15+'18-3'!C15+'19-3'!C15+'21-3'!C15+'22-3'!C15+'24-3'!C15+'25-3'!C15+'28-3'!C15+'29-3'!C15+'30-3'!C15+'32-3'!C15+'35-3'!C15+'37-3'!C15+'47-3'!C15+'62-3'!C15+'64-3'!C15+'74-3'!C15</f>
        <v>1966273</v>
      </c>
      <c r="D269" s="106">
        <f>'01-3'!D15+'02-3'!D15+'03-3'!D15+'04-3'!D15+'05-3'!D15+'08-3'!D15+'09-3'!D15+'10-3'!D15+'11-3'!D15+'12-3'!D15+'13-3'!D15+'14-3'!D15+'15-3'!D15+'16-3'!D15+'17-3'!D15+'18-3'!D15+'19-3'!D15+'21-3'!D15+'22-3'!D15+'24-3'!D15+'25-3'!D15+'28-3'!D15+'29-3'!D15+'30-3'!D15+'32-3'!D15+'35-3'!D15+'37-3'!D15+'47-3'!D15+'62-3'!D15+'64-3'!D15+'74-3'!D15</f>
        <v>305816</v>
      </c>
      <c r="E269" s="106">
        <f>'01-3'!E15+'02-3'!E15+'03-3'!E15+'04-3'!E15+'05-3'!E15+'08-3'!E15+'09-3'!E15+'10-3'!E15+'11-3'!E15+'12-3'!E15+'13-3'!E15+'14-3'!E15+'15-3'!E15+'16-3'!E15+'17-3'!E15+'18-3'!E15+'19-3'!E15+'21-3'!E15+'22-3'!E15+'24-3'!E15+'25-3'!E15+'28-3'!E15+'29-3'!E15+'30-3'!E15+'32-3'!E15+'35-3'!E15+'37-3'!E15+'47-3'!E15+'62-3'!E15+'64-3'!E15+'74-3'!E15</f>
        <v>-73</v>
      </c>
      <c r="F269" s="106">
        <f>'01-3'!F15+'02-3'!F15+'03-3'!F15+'04-3'!F15+'05-3'!F15+'08-3'!F15+'09-3'!F15+'10-3'!F15+'11-3'!F15+'12-3'!F15+'13-3'!F15+'14-3'!F15+'15-3'!F15+'16-3'!F15+'17-3'!F15+'18-3'!F15+'19-3'!F15+'21-3'!F15+'22-3'!F15+'24-3'!F15+'25-3'!F15+'28-3'!F15+'29-3'!F15+'30-3'!F15+'32-3'!F15+'35-3'!F15+'37-3'!F15+'47-3'!F15+'62-3'!F15+'64-3'!F15+'74-3'!F15</f>
        <v>0</v>
      </c>
      <c r="G269" s="106">
        <f>'01-3'!G15+'02-3'!G15+'03-3'!G15+'04-3'!G15+'05-3'!G15+'08-3'!G15+'09-3'!G15+'10-3'!G15+'11-3'!G15+'12-3'!G15+'13-3'!G15+'14-3'!G15+'15-3'!G15+'16-3'!G15+'17-3'!G15+'18-3'!G15+'19-3'!G15+'21-3'!G15+'22-3'!G15+'24-3'!G15+'25-3'!G15+'28-3'!G15+'29-3'!G15+'30-3'!G15+'32-3'!G15+'35-3'!G15+'37-3'!G15+'47-3'!G15+'62-3'!G15+'64-3'!G15+'74-3'!G15</f>
        <v>20000</v>
      </c>
      <c r="H269" s="106">
        <f>'01-3'!H15+'02-3'!H15+'03-3'!H15+'04-3'!H15+'05-3'!H15+'08-3'!H15+'09-3'!H15+'10-3'!H15+'11-3'!H15+'12-3'!H15+'13-3'!H15+'14-3'!H15+'15-3'!H15+'16-3'!H15+'17-3'!H15+'18-3'!H15+'19-3'!H15+'21-3'!H15+'22-3'!H15+'24-3'!H15+'25-3'!H15+'28-3'!H15+'29-3'!H15+'30-3'!H15+'32-3'!H15+'35-3'!H15+'37-3'!H15+'47-3'!H15+'62-3'!H15+'64-3'!H15+'74-3'!H15</f>
        <v>325743</v>
      </c>
      <c r="I269" s="106">
        <f>'01-3'!I15+'02-3'!I15+'03-3'!I15+'04-3'!I15+'05-3'!I15+'08-3'!I15+'09-3'!I15+'10-3'!I15+'11-3'!I15+'12-3'!I15+'13-3'!I15+'14-3'!I15+'15-3'!I15+'16-3'!I15+'17-3'!I15+'18-3'!I15+'19-3'!I15+'21-3'!I15+'22-3'!I15+'24-3'!I15+'25-3'!I15+'28-3'!I15+'29-3'!I15+'30-3'!I15+'32-3'!I15+'35-3'!I15+'37-3'!I15+'47-3'!I15+'62-3'!I15+'64-3'!I15+'74-3'!I15</f>
        <v>77760</v>
      </c>
      <c r="J269" s="106">
        <f>'01-3'!J15+'02-3'!J15+'03-3'!J15+'04-3'!J15+'05-3'!J15+'08-3'!J15+'09-3'!J15+'10-3'!J15+'11-3'!J15+'12-3'!J15+'13-3'!J15+'14-3'!J15+'15-3'!J15+'16-3'!J15+'17-3'!J15+'18-3'!J15+'19-3'!J15+'21-3'!J15+'22-3'!J15+'24-3'!J15+'25-3'!J15+'28-3'!J15+'29-3'!J15+'30-3'!J15+'32-3'!J15+'35-3'!J15+'37-3'!J15+'47-3'!J15+'62-3'!J15+'64-3'!J15+'74-3'!J15</f>
        <v>0</v>
      </c>
      <c r="K269" s="106">
        <f>'01-3'!K15+'02-3'!K15+'03-3'!K15+'04-3'!K15+'05-3'!K15+'08-3'!K15+'09-3'!K15+'10-3'!K15+'11-3'!K15+'12-3'!K15+'13-3'!K15+'14-3'!K15+'15-3'!K15+'16-3'!K15+'17-3'!K15+'18-3'!K15+'19-3'!K15+'21-3'!K15+'22-3'!K15+'24-3'!K15+'25-3'!K15+'28-3'!K15+'29-3'!K15+'30-3'!K15+'32-3'!K15+'35-3'!K15+'37-3'!K15+'47-3'!K15+'62-3'!K15+'64-3'!K15+'74-3'!K15</f>
        <v>0</v>
      </c>
      <c r="L269" s="106">
        <f>'01-3'!L15+'02-3'!L15+'03-3'!L15+'04-3'!L15+'05-3'!L15+'08-3'!L15+'09-3'!L15+'10-3'!L15+'11-3'!L15+'12-3'!L15+'13-3'!L15+'14-3'!L15+'15-3'!L15+'16-3'!L15+'17-3'!L15+'18-3'!L15+'19-3'!L15+'21-3'!L15+'22-3'!L15+'24-3'!L15+'25-3'!L15+'28-3'!L15+'29-3'!L15+'30-3'!L15+'32-3'!L15+'35-3'!L15+'37-3'!L15+'47-3'!L15+'62-3'!L15+'64-3'!L15+'74-3'!L15</f>
        <v>0</v>
      </c>
      <c r="M269" s="106">
        <f>'01-3'!M15+'02-3'!M15+'03-3'!M15+'04-3'!M15+'05-3'!M15+'08-3'!M15+'09-3'!M15+'10-3'!M15+'11-3'!M15+'12-3'!M15+'13-3'!M15+'14-3'!M15+'15-3'!M15+'16-3'!M15+'17-3'!M15+'18-3'!M15+'19-3'!M15+'21-3'!M15+'22-3'!M15+'24-3'!M15+'25-3'!M15+'28-3'!M15+'29-3'!M15+'30-3'!M15+'32-3'!M15+'35-3'!M15+'37-3'!M15+'47-3'!M15+'62-3'!M15+'64-3'!M15+'74-3'!M15</f>
        <v>77760</v>
      </c>
      <c r="N269" s="106">
        <f>'01-3'!N15+'02-3'!N15+'03-3'!N15+'04-3'!N15+'05-3'!N15+'08-3'!N15+'09-3'!N15+'10-3'!N15+'11-3'!N15+'12-3'!N15+'13-3'!N15+'14-3'!N15+'15-3'!N15+'16-3'!N15+'17-3'!N15+'18-3'!N15+'19-3'!N15+'21-3'!N15+'22-3'!N15+'24-3'!N15+'25-3'!N15+'28-3'!N15+'29-3'!N15+'30-3'!N15+'32-3'!N15+'35-3'!N15+'37-3'!N15+'47-3'!N15+'62-3'!N15+'64-3'!N15+'74-3'!N15</f>
        <v>0</v>
      </c>
      <c r="O269" s="106">
        <f>'01-3'!O15+'02-3'!O15+'03-3'!O15+'04-3'!O15+'05-3'!O15+'08-3'!O15+'09-3'!O15+'10-3'!O15+'11-3'!O15+'12-3'!O15+'13-3'!O15+'14-3'!O15+'15-3'!O15+'16-3'!O15+'17-3'!O15+'18-3'!O15+'19-3'!O15+'21-3'!O15+'22-3'!O15+'24-3'!O15+'25-3'!O15+'28-3'!O15+'29-3'!O15+'30-3'!O15+'32-3'!O15+'35-3'!O15+'37-3'!O15+'47-3'!O15+'62-3'!O15+'64-3'!O15+'74-3'!O15</f>
        <v>0</v>
      </c>
      <c r="P269" s="106">
        <f>'01-3'!P15+'02-3'!P15+'03-3'!P15+'04-3'!P15+'05-3'!P15+'08-3'!P15+'09-3'!P15+'10-3'!P15+'11-3'!P15+'12-3'!P15+'13-3'!P15+'14-3'!P15+'15-3'!P15+'16-3'!P15+'17-3'!P15+'18-3'!P15+'19-3'!P15+'21-3'!P15+'22-3'!P15+'24-3'!P15+'25-3'!P15+'28-3'!P15+'29-3'!P15+'30-3'!P15+'32-3'!P15+'35-3'!P15+'37-3'!P15+'47-3'!P15+'62-3'!P15+'64-3'!P15+'74-3'!P15</f>
        <v>0</v>
      </c>
      <c r="Q269" s="106">
        <f>'01-3'!Q15+'02-3'!Q15+'03-3'!Q15+'04-3'!Q15+'05-3'!Q15+'08-3'!Q15+'09-3'!Q15+'10-3'!Q15+'11-3'!Q15+'12-3'!Q15+'13-3'!Q15+'14-3'!Q15+'15-3'!Q15+'16-3'!Q15+'17-3'!Q15+'18-3'!Q15+'19-3'!Q15+'21-3'!Q15+'22-3'!Q15+'24-3'!Q15+'25-3'!Q15+'28-3'!Q15+'29-3'!Q15+'30-3'!Q15+'32-3'!Q15+'35-3'!Q15+'37-3'!Q15+'47-3'!Q15+'62-3'!Q15+'64-3'!Q15+'74-3'!Q15</f>
        <v>0</v>
      </c>
      <c r="R269" s="106">
        <f>'01-3'!R15+'02-3'!R15+'03-3'!R15+'04-3'!R15+'05-3'!R15+'08-3'!R15+'09-3'!R15+'10-3'!R15+'11-3'!R15+'12-3'!R15+'13-3'!R15+'14-3'!R15+'15-3'!R15+'16-3'!R15+'17-3'!R15+'18-3'!R15+'19-3'!R15+'21-3'!R15+'22-3'!R15+'24-3'!R15+'25-3'!R15+'28-3'!R15+'29-3'!R15+'30-3'!R15+'32-3'!R15+'35-3'!R15+'37-3'!R15+'47-3'!R15+'62-3'!R15+'64-3'!R15+'74-3'!R15</f>
        <v>0</v>
      </c>
    </row>
    <row r="270" spans="1:23" ht="12">
      <c r="A270" s="132">
        <v>18100</v>
      </c>
      <c r="B270" s="101" t="s">
        <v>96</v>
      </c>
      <c r="C270" s="106">
        <f>'01-3'!C16+'02-3'!C16+'03-3'!C16+'04-3'!C16+'05-3'!C16+'08-3'!C16+'09-3'!C16+'10-3'!C16+'11-3'!C16+'12-3'!C16+'13-3'!C16+'14-3'!C16+'15-3'!C16+'16-3'!C16+'17-3'!C16+'18-3'!C16+'19-3'!C16+'21-3'!C16+'22-3'!C16+'24-3'!C16+'25-3'!C16+'28-3'!C16+'29-3'!C16+'30-3'!C16+'32-3'!C16+'35-3'!C16+'37-3'!C16+'47-3'!C16+'62-3'!C16+'64-3'!C16+'74-3'!C16</f>
        <v>1966273</v>
      </c>
      <c r="D270" s="106">
        <f>'01-3'!D16+'02-3'!D16+'03-3'!D16+'04-3'!D16+'05-3'!D16+'08-3'!D16+'09-3'!D16+'10-3'!D16+'11-3'!D16+'12-3'!D16+'13-3'!D16+'14-3'!D16+'15-3'!D16+'16-3'!D16+'17-3'!D16+'18-3'!D16+'19-3'!D16+'21-3'!D16+'22-3'!D16+'24-3'!D16+'25-3'!D16+'28-3'!D16+'29-3'!D16+'30-3'!D16+'32-3'!D16+'35-3'!D16+'37-3'!D16+'47-3'!D16+'62-3'!D16+'64-3'!D16+'74-3'!D16</f>
        <v>305816</v>
      </c>
      <c r="E270" s="106">
        <f>'01-3'!E16+'02-3'!E16+'03-3'!E16+'04-3'!E16+'05-3'!E16+'08-3'!E16+'09-3'!E16+'10-3'!E16+'11-3'!E16+'12-3'!E16+'13-3'!E16+'14-3'!E16+'15-3'!E16+'16-3'!E16+'17-3'!E16+'18-3'!E16+'19-3'!E16+'21-3'!E16+'22-3'!E16+'24-3'!E16+'25-3'!E16+'28-3'!E16+'29-3'!E16+'30-3'!E16+'32-3'!E16+'35-3'!E16+'37-3'!E16+'47-3'!E16+'62-3'!E16+'64-3'!E16+'74-3'!E16</f>
        <v>-73</v>
      </c>
      <c r="F270" s="106">
        <f>'01-3'!F16+'02-3'!F16+'03-3'!F16+'04-3'!F16+'05-3'!F16+'08-3'!F16+'09-3'!F16+'10-3'!F16+'11-3'!F16+'12-3'!F16+'13-3'!F16+'14-3'!F16+'15-3'!F16+'16-3'!F16+'17-3'!F16+'18-3'!F16+'19-3'!F16+'21-3'!F16+'22-3'!F16+'24-3'!F16+'25-3'!F16+'28-3'!F16+'29-3'!F16+'30-3'!F16+'32-3'!F16+'35-3'!F16+'37-3'!F16+'47-3'!F16+'62-3'!F16+'64-3'!F16+'74-3'!F16</f>
        <v>0</v>
      </c>
      <c r="G270" s="106">
        <f>'01-3'!G16+'02-3'!G16+'03-3'!G16+'04-3'!G16+'05-3'!G16+'08-3'!G16+'09-3'!G16+'10-3'!G16+'11-3'!G16+'12-3'!G16+'13-3'!G16+'14-3'!G16+'15-3'!G16+'16-3'!G16+'17-3'!G16+'18-3'!G16+'19-3'!G16+'21-3'!G16+'22-3'!G16+'24-3'!G16+'25-3'!G16+'28-3'!G16+'29-3'!G16+'30-3'!G16+'32-3'!G16+'35-3'!G16+'37-3'!G16+'47-3'!G16+'62-3'!G16+'64-3'!G16+'74-3'!G16</f>
        <v>20000</v>
      </c>
      <c r="H270" s="106">
        <f>'01-3'!H16+'02-3'!H16+'03-3'!H16+'04-3'!H16+'05-3'!H16+'08-3'!H16+'09-3'!H16+'10-3'!H16+'11-3'!H16+'12-3'!H16+'13-3'!H16+'14-3'!H16+'15-3'!H16+'16-3'!H16+'17-3'!H16+'18-3'!H16+'19-3'!H16+'21-3'!H16+'22-3'!H16+'24-3'!H16+'25-3'!H16+'28-3'!H16+'29-3'!H16+'30-3'!H16+'32-3'!H16+'35-3'!H16+'37-3'!H16+'47-3'!H16+'62-3'!H16+'64-3'!H16+'74-3'!H16</f>
        <v>325743</v>
      </c>
      <c r="I270" s="106">
        <f>'01-3'!I16+'02-3'!I16+'03-3'!I16+'04-3'!I16+'05-3'!I16+'08-3'!I16+'09-3'!I16+'10-3'!I16+'11-3'!I16+'12-3'!I16+'13-3'!I16+'14-3'!I16+'15-3'!I16+'16-3'!I16+'17-3'!I16+'18-3'!I16+'19-3'!I16+'21-3'!I16+'22-3'!I16+'24-3'!I16+'25-3'!I16+'28-3'!I16+'29-3'!I16+'30-3'!I16+'32-3'!I16+'35-3'!I16+'37-3'!I16+'47-3'!I16+'62-3'!I16+'64-3'!I16+'74-3'!I16</f>
        <v>77760</v>
      </c>
      <c r="J270" s="106">
        <f>'01-3'!J16+'02-3'!J16+'03-3'!J16+'04-3'!J16+'05-3'!J16+'08-3'!J16+'09-3'!J16+'10-3'!J16+'11-3'!J16+'12-3'!J16+'13-3'!J16+'14-3'!J16+'15-3'!J16+'16-3'!J16+'17-3'!J16+'18-3'!J16+'19-3'!J16+'21-3'!J16+'22-3'!J16+'24-3'!J16+'25-3'!J16+'28-3'!J16+'29-3'!J16+'30-3'!J16+'32-3'!J16+'35-3'!J16+'37-3'!J16+'47-3'!J16+'62-3'!J16+'64-3'!J16+'74-3'!J16</f>
        <v>0</v>
      </c>
      <c r="K270" s="106">
        <f>'01-3'!K16+'02-3'!K16+'03-3'!K16+'04-3'!K16+'05-3'!K16+'08-3'!K16+'09-3'!K16+'10-3'!K16+'11-3'!K16+'12-3'!K16+'13-3'!K16+'14-3'!K16+'15-3'!K16+'16-3'!K16+'17-3'!K16+'18-3'!K16+'19-3'!K16+'21-3'!K16+'22-3'!K16+'24-3'!K16+'25-3'!K16+'28-3'!K16+'29-3'!K16+'30-3'!K16+'32-3'!K16+'35-3'!K16+'37-3'!K16+'47-3'!K16+'62-3'!K16+'64-3'!K16+'74-3'!K16</f>
        <v>0</v>
      </c>
      <c r="L270" s="106">
        <f>'01-3'!L16+'02-3'!L16+'03-3'!L16+'04-3'!L16+'05-3'!L16+'08-3'!L16+'09-3'!L16+'10-3'!L16+'11-3'!L16+'12-3'!L16+'13-3'!L16+'14-3'!L16+'15-3'!L16+'16-3'!L16+'17-3'!L16+'18-3'!L16+'19-3'!L16+'21-3'!L16+'22-3'!L16+'24-3'!L16+'25-3'!L16+'28-3'!L16+'29-3'!L16+'30-3'!L16+'32-3'!L16+'35-3'!L16+'37-3'!L16+'47-3'!L16+'62-3'!L16+'64-3'!L16+'74-3'!L16</f>
        <v>0</v>
      </c>
      <c r="M270" s="106">
        <f>'01-3'!M16+'02-3'!M16+'03-3'!M16+'04-3'!M16+'05-3'!M16+'08-3'!M16+'09-3'!M16+'10-3'!M16+'11-3'!M16+'12-3'!M16+'13-3'!M16+'14-3'!M16+'15-3'!M16+'16-3'!M16+'17-3'!M16+'18-3'!M16+'19-3'!M16+'21-3'!M16+'22-3'!M16+'24-3'!M16+'25-3'!M16+'28-3'!M16+'29-3'!M16+'30-3'!M16+'32-3'!M16+'35-3'!M16+'37-3'!M16+'47-3'!M16+'62-3'!M16+'64-3'!M16+'74-3'!M16</f>
        <v>77760</v>
      </c>
      <c r="N270" s="106">
        <f>'01-3'!N16+'02-3'!N16+'03-3'!N16+'04-3'!N16+'05-3'!N16+'08-3'!N16+'09-3'!N16+'10-3'!N16+'11-3'!N16+'12-3'!N16+'13-3'!N16+'14-3'!N16+'15-3'!N16+'16-3'!N16+'17-3'!N16+'18-3'!N16+'19-3'!N16+'21-3'!N16+'22-3'!N16+'24-3'!N16+'25-3'!N16+'28-3'!N16+'29-3'!N16+'30-3'!N16+'32-3'!N16+'35-3'!N16+'37-3'!N16+'47-3'!N16+'62-3'!N16+'64-3'!N16+'74-3'!N16</f>
        <v>0</v>
      </c>
      <c r="O270" s="106">
        <f>'01-3'!O16+'02-3'!O16+'03-3'!O16+'04-3'!O16+'05-3'!O16+'08-3'!O16+'09-3'!O16+'10-3'!O16+'11-3'!O16+'12-3'!O16+'13-3'!O16+'14-3'!O16+'15-3'!O16+'16-3'!O16+'17-3'!O16+'18-3'!O16+'19-3'!O16+'21-3'!O16+'22-3'!O16+'24-3'!O16+'25-3'!O16+'28-3'!O16+'29-3'!O16+'30-3'!O16+'32-3'!O16+'35-3'!O16+'37-3'!O16+'47-3'!O16+'62-3'!O16+'64-3'!O16+'74-3'!O16</f>
        <v>0</v>
      </c>
      <c r="P270" s="106">
        <f>'01-3'!P16+'02-3'!P16+'03-3'!P16+'04-3'!P16+'05-3'!P16+'08-3'!P16+'09-3'!P16+'10-3'!P16+'11-3'!P16+'12-3'!P16+'13-3'!P16+'14-3'!P16+'15-3'!P16+'16-3'!P16+'17-3'!P16+'18-3'!P16+'19-3'!P16+'21-3'!P16+'22-3'!P16+'24-3'!P16+'25-3'!P16+'28-3'!P16+'29-3'!P16+'30-3'!P16+'32-3'!P16+'35-3'!P16+'37-3'!P16+'47-3'!P16+'62-3'!P16+'64-3'!P16+'74-3'!P16</f>
        <v>0</v>
      </c>
      <c r="Q270" s="106">
        <f>'01-3'!Q16+'02-3'!Q16+'03-3'!Q16+'04-3'!Q16+'05-3'!Q16+'08-3'!Q16+'09-3'!Q16+'10-3'!Q16+'11-3'!Q16+'12-3'!Q16+'13-3'!Q16+'14-3'!Q16+'15-3'!Q16+'16-3'!Q16+'17-3'!Q16+'18-3'!Q16+'19-3'!Q16+'21-3'!Q16+'22-3'!Q16+'24-3'!Q16+'25-3'!Q16+'28-3'!Q16+'29-3'!Q16+'30-3'!Q16+'32-3'!Q16+'35-3'!Q16+'37-3'!Q16+'47-3'!Q16+'62-3'!Q16+'64-3'!Q16+'74-3'!Q16</f>
        <v>0</v>
      </c>
      <c r="R270" s="106">
        <f>'01-3'!R16+'02-3'!R16+'03-3'!R16+'04-3'!R16+'05-3'!R16+'08-3'!R16+'09-3'!R16+'10-3'!R16+'11-3'!R16+'12-3'!R16+'13-3'!R16+'14-3'!R16+'15-3'!R16+'16-3'!R16+'17-3'!R16+'18-3'!R16+'19-3'!R16+'21-3'!R16+'22-3'!R16+'24-3'!R16+'25-3'!R16+'28-3'!R16+'29-3'!R16+'30-3'!R16+'32-3'!R16+'35-3'!R16+'37-3'!R16+'47-3'!R16+'62-3'!R16+'64-3'!R16+'74-3'!R16</f>
        <v>0</v>
      </c>
    </row>
    <row r="271" spans="1:23" s="4" customFormat="1" ht="24">
      <c r="A271" s="133">
        <v>18130</v>
      </c>
      <c r="B271" s="108" t="s">
        <v>159</v>
      </c>
      <c r="C271" s="106">
        <f>'01-3'!C17+'02-3'!C17+'03-3'!C17+'04-3'!C17+'05-3'!C17+'08-3'!C17+'09-3'!C17+'10-3'!C17+'11-3'!C17+'12-3'!C17+'13-3'!C17+'14-3'!C17+'15-3'!C17+'16-3'!C17+'17-3'!C17+'18-3'!C17+'19-3'!C17+'21-3'!C17+'22-3'!C17+'24-3'!C17+'25-3'!C17+'28-3'!C17+'29-3'!C17+'30-3'!C17+'32-3'!C17+'35-3'!C17+'37-3'!C17+'47-3'!C17+'62-3'!C17+'64-3'!C17+'74-3'!C17</f>
        <v>1966273</v>
      </c>
      <c r="D271" s="106">
        <f>'01-3'!D17+'02-3'!D17+'03-3'!D17+'04-3'!D17+'05-3'!D17+'08-3'!D17+'09-3'!D17+'10-3'!D17+'11-3'!D17+'12-3'!D17+'13-3'!D17+'14-3'!D17+'15-3'!D17+'16-3'!D17+'17-3'!D17+'18-3'!D17+'19-3'!D17+'21-3'!D17+'22-3'!D17+'24-3'!D17+'25-3'!D17+'28-3'!D17+'29-3'!D17+'30-3'!D17+'32-3'!D17+'35-3'!D17+'37-3'!D17+'47-3'!D17+'62-3'!D17+'64-3'!D17+'74-3'!D17</f>
        <v>305816</v>
      </c>
      <c r="E271" s="106">
        <f>'01-3'!E17+'02-3'!E17+'03-3'!E17+'04-3'!E17+'05-3'!E17+'08-3'!E17+'09-3'!E17+'10-3'!E17+'11-3'!E17+'12-3'!E17+'13-3'!E17+'14-3'!E17+'15-3'!E17+'16-3'!E17+'17-3'!E17+'18-3'!E17+'19-3'!E17+'21-3'!E17+'22-3'!E17+'24-3'!E17+'25-3'!E17+'28-3'!E17+'29-3'!E17+'30-3'!E17+'32-3'!E17+'35-3'!E17+'37-3'!E17+'47-3'!E17+'62-3'!E17+'64-3'!E17+'74-3'!E17</f>
        <v>-73</v>
      </c>
      <c r="F271" s="106">
        <f>'01-3'!F17+'02-3'!F17+'03-3'!F17+'04-3'!F17+'05-3'!F17+'08-3'!F17+'09-3'!F17+'10-3'!F17+'11-3'!F17+'12-3'!F17+'13-3'!F17+'14-3'!F17+'15-3'!F17+'16-3'!F17+'17-3'!F17+'18-3'!F17+'19-3'!F17+'21-3'!F17+'22-3'!F17+'24-3'!F17+'25-3'!F17+'28-3'!F17+'29-3'!F17+'30-3'!F17+'32-3'!F17+'35-3'!F17+'37-3'!F17+'47-3'!F17+'62-3'!F17+'64-3'!F17+'74-3'!F17</f>
        <v>0</v>
      </c>
      <c r="G271" s="106">
        <f>'01-3'!G17+'02-3'!G17+'03-3'!G17+'04-3'!G17+'05-3'!G17+'08-3'!G17+'09-3'!G17+'10-3'!G17+'11-3'!G17+'12-3'!G17+'13-3'!G17+'14-3'!G17+'15-3'!G17+'16-3'!G17+'17-3'!G17+'18-3'!G17+'19-3'!G17+'21-3'!G17+'22-3'!G17+'24-3'!G17+'25-3'!G17+'28-3'!G17+'29-3'!G17+'30-3'!G17+'32-3'!G17+'35-3'!G17+'37-3'!G17+'47-3'!G17+'62-3'!G17+'64-3'!G17+'74-3'!G17</f>
        <v>20000</v>
      </c>
      <c r="H271" s="106">
        <f>'01-3'!H17+'02-3'!H17+'03-3'!H17+'04-3'!H17+'05-3'!H17+'08-3'!H17+'09-3'!H17+'10-3'!H17+'11-3'!H17+'12-3'!H17+'13-3'!H17+'14-3'!H17+'15-3'!H17+'16-3'!H17+'17-3'!H17+'18-3'!H17+'19-3'!H17+'21-3'!H17+'22-3'!H17+'24-3'!H17+'25-3'!H17+'28-3'!H17+'29-3'!H17+'30-3'!H17+'32-3'!H17+'35-3'!H17+'37-3'!H17+'47-3'!H17+'62-3'!H17+'64-3'!H17+'74-3'!H17</f>
        <v>325743</v>
      </c>
      <c r="I271" s="106">
        <f>'01-3'!I17+'02-3'!I17+'03-3'!I17+'04-3'!I17+'05-3'!I17+'08-3'!I17+'09-3'!I17+'10-3'!I17+'11-3'!I17+'12-3'!I17+'13-3'!I17+'14-3'!I17+'15-3'!I17+'16-3'!I17+'17-3'!I17+'18-3'!I17+'19-3'!I17+'21-3'!I17+'22-3'!I17+'24-3'!I17+'25-3'!I17+'28-3'!I17+'29-3'!I17+'30-3'!I17+'32-3'!I17+'35-3'!I17+'37-3'!I17+'47-3'!I17+'62-3'!I17+'64-3'!I17+'74-3'!I17</f>
        <v>77760</v>
      </c>
      <c r="J271" s="106">
        <f>'01-3'!J17+'02-3'!J17+'03-3'!J17+'04-3'!J17+'05-3'!J17+'08-3'!J17+'09-3'!J17+'10-3'!J17+'11-3'!J17+'12-3'!J17+'13-3'!J17+'14-3'!J17+'15-3'!J17+'16-3'!J17+'17-3'!J17+'18-3'!J17+'19-3'!J17+'21-3'!J17+'22-3'!J17+'24-3'!J17+'25-3'!J17+'28-3'!J17+'29-3'!J17+'30-3'!J17+'32-3'!J17+'35-3'!J17+'37-3'!J17+'47-3'!J17+'62-3'!J17+'64-3'!J17+'74-3'!J17</f>
        <v>0</v>
      </c>
      <c r="K271" s="106">
        <f>'01-3'!K17+'02-3'!K17+'03-3'!K17+'04-3'!K17+'05-3'!K17+'08-3'!K17+'09-3'!K17+'10-3'!K17+'11-3'!K17+'12-3'!K17+'13-3'!K17+'14-3'!K17+'15-3'!K17+'16-3'!K17+'17-3'!K17+'18-3'!K17+'19-3'!K17+'21-3'!K17+'22-3'!K17+'24-3'!K17+'25-3'!K17+'28-3'!K17+'29-3'!K17+'30-3'!K17+'32-3'!K17+'35-3'!K17+'37-3'!K17+'47-3'!K17+'62-3'!K17+'64-3'!K17+'74-3'!K17</f>
        <v>0</v>
      </c>
      <c r="L271" s="106">
        <f>'01-3'!L17+'02-3'!L17+'03-3'!L17+'04-3'!L17+'05-3'!L17+'08-3'!L17+'09-3'!L17+'10-3'!L17+'11-3'!L17+'12-3'!L17+'13-3'!L17+'14-3'!L17+'15-3'!L17+'16-3'!L17+'17-3'!L17+'18-3'!L17+'19-3'!L17+'21-3'!L17+'22-3'!L17+'24-3'!L17+'25-3'!L17+'28-3'!L17+'29-3'!L17+'30-3'!L17+'32-3'!L17+'35-3'!L17+'37-3'!L17+'47-3'!L17+'62-3'!L17+'64-3'!L17+'74-3'!L17</f>
        <v>0</v>
      </c>
      <c r="M271" s="106">
        <f>'01-3'!M17+'02-3'!M17+'03-3'!M17+'04-3'!M17+'05-3'!M17+'08-3'!M17+'09-3'!M17+'10-3'!M17+'11-3'!M17+'12-3'!M17+'13-3'!M17+'14-3'!M17+'15-3'!M17+'16-3'!M17+'17-3'!M17+'18-3'!M17+'19-3'!M17+'21-3'!M17+'22-3'!M17+'24-3'!M17+'25-3'!M17+'28-3'!M17+'29-3'!M17+'30-3'!M17+'32-3'!M17+'35-3'!M17+'37-3'!M17+'47-3'!M17+'62-3'!M17+'64-3'!M17+'74-3'!M17</f>
        <v>77760</v>
      </c>
      <c r="N271" s="106">
        <f>'01-3'!N17+'02-3'!N17+'03-3'!N17+'04-3'!N17+'05-3'!N17+'08-3'!N17+'09-3'!N17+'10-3'!N17+'11-3'!N17+'12-3'!N17+'13-3'!N17+'14-3'!N17+'15-3'!N17+'16-3'!N17+'17-3'!N17+'18-3'!N17+'19-3'!N17+'21-3'!N17+'22-3'!N17+'24-3'!N17+'25-3'!N17+'28-3'!N17+'29-3'!N17+'30-3'!N17+'32-3'!N17+'35-3'!N17+'37-3'!N17+'47-3'!N17+'62-3'!N17+'64-3'!N17+'74-3'!N17</f>
        <v>0</v>
      </c>
      <c r="O271" s="106">
        <f>'01-3'!O17+'02-3'!O17+'03-3'!O17+'04-3'!O17+'05-3'!O17+'08-3'!O17+'09-3'!O17+'10-3'!O17+'11-3'!O17+'12-3'!O17+'13-3'!O17+'14-3'!O17+'15-3'!O17+'16-3'!O17+'17-3'!O17+'18-3'!O17+'19-3'!O17+'21-3'!O17+'22-3'!O17+'24-3'!O17+'25-3'!O17+'28-3'!O17+'29-3'!O17+'30-3'!O17+'32-3'!O17+'35-3'!O17+'37-3'!O17+'47-3'!O17+'62-3'!O17+'64-3'!O17+'74-3'!O17</f>
        <v>0</v>
      </c>
      <c r="P271" s="106">
        <f>'01-3'!P17+'02-3'!P17+'03-3'!P17+'04-3'!P17+'05-3'!P17+'08-3'!P17+'09-3'!P17+'10-3'!P17+'11-3'!P17+'12-3'!P17+'13-3'!P17+'14-3'!P17+'15-3'!P17+'16-3'!P17+'17-3'!P17+'18-3'!P17+'19-3'!P17+'21-3'!P17+'22-3'!P17+'24-3'!P17+'25-3'!P17+'28-3'!P17+'29-3'!P17+'30-3'!P17+'32-3'!P17+'35-3'!P17+'37-3'!P17+'47-3'!P17+'62-3'!P17+'64-3'!P17+'74-3'!P17</f>
        <v>0</v>
      </c>
      <c r="Q271" s="106">
        <f>'01-3'!Q17+'02-3'!Q17+'03-3'!Q17+'04-3'!Q17+'05-3'!Q17+'08-3'!Q17+'09-3'!Q17+'10-3'!Q17+'11-3'!Q17+'12-3'!Q17+'13-3'!Q17+'14-3'!Q17+'15-3'!Q17+'16-3'!Q17+'17-3'!Q17+'18-3'!Q17+'19-3'!Q17+'21-3'!Q17+'22-3'!Q17+'24-3'!Q17+'25-3'!Q17+'28-3'!Q17+'29-3'!Q17+'30-3'!Q17+'32-3'!Q17+'35-3'!Q17+'37-3'!Q17+'47-3'!Q17+'62-3'!Q17+'64-3'!Q17+'74-3'!Q17</f>
        <v>0</v>
      </c>
      <c r="R271" s="106">
        <f>'01-3'!R17+'02-3'!R17+'03-3'!R17+'04-3'!R17+'05-3'!R17+'08-3'!R17+'09-3'!R17+'10-3'!R17+'11-3'!R17+'12-3'!R17+'13-3'!R17+'14-3'!R17+'15-3'!R17+'16-3'!R17+'17-3'!R17+'18-3'!R17+'19-3'!R17+'21-3'!R17+'22-3'!R17+'24-3'!R17+'25-3'!R17+'28-3'!R17+'29-3'!R17+'30-3'!R17+'32-3'!R17+'35-3'!R17+'37-3'!R17+'47-3'!R17+'62-3'!R17+'64-3'!R17+'74-3'!R17</f>
        <v>0</v>
      </c>
      <c r="S271" s="1323"/>
      <c r="T271" s="1323"/>
      <c r="U271" s="1323"/>
      <c r="V271" s="1323"/>
      <c r="W271" s="1323"/>
    </row>
    <row r="272" spans="1:23" s="6" customFormat="1" ht="36">
      <c r="A272" s="134">
        <v>18131</v>
      </c>
      <c r="B272" s="108" t="s">
        <v>160</v>
      </c>
      <c r="C272" s="106">
        <f>'01-3'!C18+'02-3'!C18+'03-3'!C18+'04-3'!C18+'05-3'!C18+'08-3'!C18+'09-3'!C18+'10-3'!C18+'11-3'!C18+'12-3'!C18+'13-3'!C18+'14-3'!C18+'15-3'!C18+'16-3'!C18+'17-3'!C18+'18-3'!C18+'19-3'!C18+'21-3'!C18+'22-3'!C18+'24-3'!C18+'25-3'!C18+'28-3'!C18+'29-3'!C18+'30-3'!C18+'32-3'!C18+'35-3'!C18+'37-3'!C18+'47-3'!C18+'62-3'!C18+'64-3'!C18+'74-3'!C18</f>
        <v>1924517</v>
      </c>
      <c r="D272" s="106">
        <f>'01-3'!D18+'02-3'!D18+'03-3'!D18+'04-3'!D18+'05-3'!D18+'08-3'!D18+'09-3'!D18+'10-3'!D18+'11-3'!D18+'12-3'!D18+'13-3'!D18+'14-3'!D18+'15-3'!D18+'16-3'!D18+'17-3'!D18+'18-3'!D18+'19-3'!D18+'21-3'!D18+'22-3'!D18+'24-3'!D18+'25-3'!D18+'28-3'!D18+'29-3'!D18+'30-3'!D18+'32-3'!D18+'35-3'!D18+'37-3'!D18+'47-3'!D18+'62-3'!D18+'64-3'!D18+'74-3'!D18</f>
        <v>305816</v>
      </c>
      <c r="E272" s="106">
        <f>'01-3'!E18+'02-3'!E18+'03-3'!E18+'04-3'!E18+'05-3'!E18+'08-3'!E18+'09-3'!E18+'10-3'!E18+'11-3'!E18+'12-3'!E18+'13-3'!E18+'14-3'!E18+'15-3'!E18+'16-3'!E18+'17-3'!E18+'18-3'!E18+'19-3'!E18+'21-3'!E18+'22-3'!E18+'24-3'!E18+'25-3'!E18+'28-3'!E18+'29-3'!E18+'30-3'!E18+'32-3'!E18+'35-3'!E18+'37-3'!E18+'47-3'!E18+'62-3'!E18+'64-3'!E18+'74-3'!E18</f>
        <v>-73</v>
      </c>
      <c r="F272" s="106">
        <f>'01-3'!F18+'02-3'!F18+'03-3'!F18+'04-3'!F18+'05-3'!F18+'08-3'!F18+'09-3'!F18+'10-3'!F18+'11-3'!F18+'12-3'!F18+'13-3'!F18+'14-3'!F18+'15-3'!F18+'16-3'!F18+'17-3'!F18+'18-3'!F18+'19-3'!F18+'21-3'!F18+'22-3'!F18+'24-3'!F18+'25-3'!F18+'28-3'!F18+'29-3'!F18+'30-3'!F18+'32-3'!F18+'35-3'!F18+'37-3'!F18+'47-3'!F18+'62-3'!F18+'64-3'!F18+'74-3'!F18</f>
        <v>0</v>
      </c>
      <c r="G272" s="106">
        <f>'01-3'!G18+'02-3'!G18+'03-3'!G18+'04-3'!G18+'05-3'!G18+'08-3'!G18+'09-3'!G18+'10-3'!G18+'11-3'!G18+'12-3'!G18+'13-3'!G18+'14-3'!G18+'15-3'!G18+'16-3'!G18+'17-3'!G18+'18-3'!G18+'19-3'!G18+'21-3'!G18+'22-3'!G18+'24-3'!G18+'25-3'!G18+'28-3'!G18+'29-3'!G18+'30-3'!G18+'32-3'!G18+'35-3'!G18+'37-3'!G18+'47-3'!G18+'62-3'!G18+'64-3'!G18+'74-3'!G18</f>
        <v>20000</v>
      </c>
      <c r="H272" s="106">
        <f>'01-3'!H18+'02-3'!H18+'03-3'!H18+'04-3'!H18+'05-3'!H18+'08-3'!H18+'09-3'!H18+'10-3'!H18+'11-3'!H18+'12-3'!H18+'13-3'!H18+'14-3'!H18+'15-3'!H18+'16-3'!H18+'17-3'!H18+'18-3'!H18+'19-3'!H18+'21-3'!H18+'22-3'!H18+'24-3'!H18+'25-3'!H18+'28-3'!H18+'29-3'!H18+'30-3'!H18+'32-3'!H18+'35-3'!H18+'37-3'!H18+'47-3'!H18+'62-3'!H18+'64-3'!H18+'74-3'!H18</f>
        <v>325743</v>
      </c>
      <c r="I272" s="106">
        <f>'01-3'!I18+'02-3'!I18+'03-3'!I18+'04-3'!I18+'05-3'!I18+'08-3'!I18+'09-3'!I18+'10-3'!I18+'11-3'!I18+'12-3'!I18+'13-3'!I18+'14-3'!I18+'15-3'!I18+'16-3'!I18+'17-3'!I18+'18-3'!I18+'19-3'!I18+'21-3'!I18+'22-3'!I18+'24-3'!I18+'25-3'!I18+'28-3'!I18+'29-3'!I18+'30-3'!I18+'32-3'!I18+'35-3'!I18+'37-3'!I18+'47-3'!I18+'62-3'!I18+'64-3'!I18+'74-3'!I18</f>
        <v>77760</v>
      </c>
      <c r="J272" s="106">
        <f>'01-3'!J18+'02-3'!J18+'03-3'!J18+'04-3'!J18+'05-3'!J18+'08-3'!J18+'09-3'!J18+'10-3'!J18+'11-3'!J18+'12-3'!J18+'13-3'!J18+'14-3'!J18+'15-3'!J18+'16-3'!J18+'17-3'!J18+'18-3'!J18+'19-3'!J18+'21-3'!J18+'22-3'!J18+'24-3'!J18+'25-3'!J18+'28-3'!J18+'29-3'!J18+'30-3'!J18+'32-3'!J18+'35-3'!J18+'37-3'!J18+'47-3'!J18+'62-3'!J18+'64-3'!J18+'74-3'!J18</f>
        <v>0</v>
      </c>
      <c r="K272" s="106">
        <f>'01-3'!K18+'02-3'!K18+'03-3'!K18+'04-3'!K18+'05-3'!K18+'08-3'!K18+'09-3'!K18+'10-3'!K18+'11-3'!K18+'12-3'!K18+'13-3'!K18+'14-3'!K18+'15-3'!K18+'16-3'!K18+'17-3'!K18+'18-3'!K18+'19-3'!K18+'21-3'!K18+'22-3'!K18+'24-3'!K18+'25-3'!K18+'28-3'!K18+'29-3'!K18+'30-3'!K18+'32-3'!K18+'35-3'!K18+'37-3'!K18+'47-3'!K18+'62-3'!K18+'64-3'!K18+'74-3'!K18</f>
        <v>0</v>
      </c>
      <c r="L272" s="106">
        <f>'01-3'!L18+'02-3'!L18+'03-3'!L18+'04-3'!L18+'05-3'!L18+'08-3'!L18+'09-3'!L18+'10-3'!L18+'11-3'!L18+'12-3'!L18+'13-3'!L18+'14-3'!L18+'15-3'!L18+'16-3'!L18+'17-3'!L18+'18-3'!L18+'19-3'!L18+'21-3'!L18+'22-3'!L18+'24-3'!L18+'25-3'!L18+'28-3'!L18+'29-3'!L18+'30-3'!L18+'32-3'!L18+'35-3'!L18+'37-3'!L18+'47-3'!L18+'62-3'!L18+'64-3'!L18+'74-3'!L18</f>
        <v>0</v>
      </c>
      <c r="M272" s="106">
        <f>'01-3'!M18+'02-3'!M18+'03-3'!M18+'04-3'!M18+'05-3'!M18+'08-3'!M18+'09-3'!M18+'10-3'!M18+'11-3'!M18+'12-3'!M18+'13-3'!M18+'14-3'!M18+'15-3'!M18+'16-3'!M18+'17-3'!M18+'18-3'!M18+'19-3'!M18+'21-3'!M18+'22-3'!M18+'24-3'!M18+'25-3'!M18+'28-3'!M18+'29-3'!M18+'30-3'!M18+'32-3'!M18+'35-3'!M18+'37-3'!M18+'47-3'!M18+'62-3'!M18+'64-3'!M18+'74-3'!M18</f>
        <v>77760</v>
      </c>
      <c r="N272" s="106">
        <f>'01-3'!N18+'02-3'!N18+'03-3'!N18+'04-3'!N18+'05-3'!N18+'08-3'!N18+'09-3'!N18+'10-3'!N18+'11-3'!N18+'12-3'!N18+'13-3'!N18+'14-3'!N18+'15-3'!N18+'16-3'!N18+'17-3'!N18+'18-3'!N18+'19-3'!N18+'21-3'!N18+'22-3'!N18+'24-3'!N18+'25-3'!N18+'28-3'!N18+'29-3'!N18+'30-3'!N18+'32-3'!N18+'35-3'!N18+'37-3'!N18+'47-3'!N18+'62-3'!N18+'64-3'!N18+'74-3'!N18</f>
        <v>0</v>
      </c>
      <c r="O272" s="106">
        <f>'01-3'!O18+'02-3'!O18+'03-3'!O18+'04-3'!O18+'05-3'!O18+'08-3'!O18+'09-3'!O18+'10-3'!O18+'11-3'!O18+'12-3'!O18+'13-3'!O18+'14-3'!O18+'15-3'!O18+'16-3'!O18+'17-3'!O18+'18-3'!O18+'19-3'!O18+'21-3'!O18+'22-3'!O18+'24-3'!O18+'25-3'!O18+'28-3'!O18+'29-3'!O18+'30-3'!O18+'32-3'!O18+'35-3'!O18+'37-3'!O18+'47-3'!O18+'62-3'!O18+'64-3'!O18+'74-3'!O18</f>
        <v>0</v>
      </c>
      <c r="P272" s="106">
        <f>'01-3'!P18+'02-3'!P18+'03-3'!P18+'04-3'!P18+'05-3'!P18+'08-3'!P18+'09-3'!P18+'10-3'!P18+'11-3'!P18+'12-3'!P18+'13-3'!P18+'14-3'!P18+'15-3'!P18+'16-3'!P18+'17-3'!P18+'18-3'!P18+'19-3'!P18+'21-3'!P18+'22-3'!P18+'24-3'!P18+'25-3'!P18+'28-3'!P18+'29-3'!P18+'30-3'!P18+'32-3'!P18+'35-3'!P18+'37-3'!P18+'47-3'!P18+'62-3'!P18+'64-3'!P18+'74-3'!P18</f>
        <v>0</v>
      </c>
      <c r="Q272" s="106">
        <f>'01-3'!Q18+'02-3'!Q18+'03-3'!Q18+'04-3'!Q18+'05-3'!Q18+'08-3'!Q18+'09-3'!Q18+'10-3'!Q18+'11-3'!Q18+'12-3'!Q18+'13-3'!Q18+'14-3'!Q18+'15-3'!Q18+'16-3'!Q18+'17-3'!Q18+'18-3'!Q18+'19-3'!Q18+'21-3'!Q18+'22-3'!Q18+'24-3'!Q18+'25-3'!Q18+'28-3'!Q18+'29-3'!Q18+'30-3'!Q18+'32-3'!Q18+'35-3'!Q18+'37-3'!Q18+'47-3'!Q18+'62-3'!Q18+'64-3'!Q18+'74-3'!Q18</f>
        <v>0</v>
      </c>
      <c r="R272" s="106">
        <f>'01-3'!R18+'02-3'!R18+'03-3'!R18+'04-3'!R18+'05-3'!R18+'08-3'!R18+'09-3'!R18+'10-3'!R18+'11-3'!R18+'12-3'!R18+'13-3'!R18+'14-3'!R18+'15-3'!R18+'16-3'!R18+'17-3'!R18+'18-3'!R18+'19-3'!R18+'21-3'!R18+'22-3'!R18+'24-3'!R18+'25-3'!R18+'28-3'!R18+'29-3'!R18+'30-3'!R18+'32-3'!R18+'35-3'!R18+'37-3'!R18+'47-3'!R18+'62-3'!R18+'64-3'!R18+'74-3'!R18</f>
        <v>0</v>
      </c>
      <c r="S272" s="954"/>
      <c r="T272" s="954"/>
      <c r="U272" s="954"/>
      <c r="V272" s="954"/>
      <c r="W272" s="954"/>
    </row>
    <row r="273" spans="1:23" s="6" customFormat="1" ht="24">
      <c r="A273" s="134">
        <v>18132</v>
      </c>
      <c r="B273" s="108" t="s">
        <v>169</v>
      </c>
      <c r="C273" s="106">
        <f>'01-3'!C19+'02-3'!C19+'03-3'!C19+'04-3'!C19+'05-3'!C19+'08-3'!C19+'09-3'!C19+'10-3'!C19+'11-3'!C19+'12-3'!C19+'13-3'!C19+'14-3'!C19+'15-3'!C19+'16-3'!C19+'17-3'!C19+'18-3'!C19+'19-3'!C19+'21-3'!C19+'22-3'!C19+'24-3'!C19+'25-3'!C19+'28-3'!C19+'29-3'!C19+'30-3'!C19+'32-3'!C19+'35-3'!C19+'37-3'!C19+'47-3'!C19+'62-3'!C19+'64-3'!C19+'74-3'!C19</f>
        <v>41756</v>
      </c>
      <c r="D273" s="106">
        <f>'01-3'!D19+'02-3'!D19+'03-3'!D19+'04-3'!D19+'05-3'!D19+'08-3'!D19+'09-3'!D19+'10-3'!D19+'11-3'!D19+'12-3'!D19+'13-3'!D19+'14-3'!D19+'15-3'!D19+'16-3'!D19+'17-3'!D19+'18-3'!D19+'19-3'!D19+'21-3'!D19+'22-3'!D19+'24-3'!D19+'25-3'!D19+'28-3'!D19+'29-3'!D19+'30-3'!D19+'32-3'!D19+'35-3'!D19+'37-3'!D19+'47-3'!D19+'62-3'!D19+'64-3'!D19+'74-3'!D19</f>
        <v>0</v>
      </c>
      <c r="E273" s="106">
        <f>'01-3'!E19+'02-3'!E19+'03-3'!E19+'04-3'!E19+'05-3'!E19+'08-3'!E19+'09-3'!E19+'10-3'!E19+'11-3'!E19+'12-3'!E19+'13-3'!E19+'14-3'!E19+'15-3'!E19+'16-3'!E19+'17-3'!E19+'18-3'!E19+'19-3'!E19+'21-3'!E19+'22-3'!E19+'24-3'!E19+'25-3'!E19+'28-3'!E19+'29-3'!E19+'30-3'!E19+'32-3'!E19+'35-3'!E19+'37-3'!E19+'47-3'!E19+'62-3'!E19+'64-3'!E19+'74-3'!E19</f>
        <v>0</v>
      </c>
      <c r="F273" s="106">
        <f>'01-3'!F19+'02-3'!F19+'03-3'!F19+'04-3'!F19+'05-3'!F19+'08-3'!F19+'09-3'!F19+'10-3'!F19+'11-3'!F19+'12-3'!F19+'13-3'!F19+'14-3'!F19+'15-3'!F19+'16-3'!F19+'17-3'!F19+'18-3'!F19+'19-3'!F19+'21-3'!F19+'22-3'!F19+'24-3'!F19+'25-3'!F19+'28-3'!F19+'29-3'!F19+'30-3'!F19+'32-3'!F19+'35-3'!F19+'37-3'!F19+'47-3'!F19+'62-3'!F19+'64-3'!F19+'74-3'!F19</f>
        <v>0</v>
      </c>
      <c r="G273" s="106">
        <f>'01-3'!G19+'02-3'!G19+'03-3'!G19+'04-3'!G19+'05-3'!G19+'08-3'!G19+'09-3'!G19+'10-3'!G19+'11-3'!G19+'12-3'!G19+'13-3'!G19+'14-3'!G19+'15-3'!G19+'16-3'!G19+'17-3'!G19+'18-3'!G19+'19-3'!G19+'21-3'!G19+'22-3'!G19+'24-3'!G19+'25-3'!G19+'28-3'!G19+'29-3'!G19+'30-3'!G19+'32-3'!G19+'35-3'!G19+'37-3'!G19+'47-3'!G19+'62-3'!G19+'64-3'!G19+'74-3'!G19</f>
        <v>0</v>
      </c>
      <c r="H273" s="106">
        <f>'01-3'!H19+'02-3'!H19+'03-3'!H19+'04-3'!H19+'05-3'!H19+'08-3'!H19+'09-3'!H19+'10-3'!H19+'11-3'!H19+'12-3'!H19+'13-3'!H19+'14-3'!H19+'15-3'!H19+'16-3'!H19+'17-3'!H19+'18-3'!H19+'19-3'!H19+'21-3'!H19+'22-3'!H19+'24-3'!H19+'25-3'!H19+'28-3'!H19+'29-3'!H19+'30-3'!H19+'32-3'!H19+'35-3'!H19+'37-3'!H19+'47-3'!H19+'62-3'!H19+'64-3'!H19+'74-3'!H19</f>
        <v>0</v>
      </c>
      <c r="I273" s="106">
        <f>'01-3'!I19+'02-3'!I19+'03-3'!I19+'04-3'!I19+'05-3'!I19+'08-3'!I19+'09-3'!I19+'10-3'!I19+'11-3'!I19+'12-3'!I19+'13-3'!I19+'14-3'!I19+'15-3'!I19+'16-3'!I19+'17-3'!I19+'18-3'!I19+'19-3'!I19+'21-3'!I19+'22-3'!I19+'24-3'!I19+'25-3'!I19+'28-3'!I19+'29-3'!I19+'30-3'!I19+'32-3'!I19+'35-3'!I19+'37-3'!I19+'47-3'!I19+'62-3'!I19+'64-3'!I19+'74-3'!I19</f>
        <v>0</v>
      </c>
      <c r="J273" s="106">
        <f>'01-3'!J19+'02-3'!J19+'03-3'!J19+'04-3'!J19+'05-3'!J19+'08-3'!J19+'09-3'!J19+'10-3'!J19+'11-3'!J19+'12-3'!J19+'13-3'!J19+'14-3'!J19+'15-3'!J19+'16-3'!J19+'17-3'!J19+'18-3'!J19+'19-3'!J19+'21-3'!J19+'22-3'!J19+'24-3'!J19+'25-3'!J19+'28-3'!J19+'29-3'!J19+'30-3'!J19+'32-3'!J19+'35-3'!J19+'37-3'!J19+'47-3'!J19+'62-3'!J19+'64-3'!J19+'74-3'!J19</f>
        <v>0</v>
      </c>
      <c r="K273" s="106">
        <f>'01-3'!K19+'02-3'!K19+'03-3'!K19+'04-3'!K19+'05-3'!K19+'08-3'!K19+'09-3'!K19+'10-3'!K19+'11-3'!K19+'12-3'!K19+'13-3'!K19+'14-3'!K19+'15-3'!K19+'16-3'!K19+'17-3'!K19+'18-3'!K19+'19-3'!K19+'21-3'!K19+'22-3'!K19+'24-3'!K19+'25-3'!K19+'28-3'!K19+'29-3'!K19+'30-3'!K19+'32-3'!K19+'35-3'!K19+'37-3'!K19+'47-3'!K19+'62-3'!K19+'64-3'!K19+'74-3'!K19</f>
        <v>0</v>
      </c>
      <c r="L273" s="106">
        <f>'01-3'!L19+'02-3'!L19+'03-3'!L19+'04-3'!L19+'05-3'!L19+'08-3'!L19+'09-3'!L19+'10-3'!L19+'11-3'!L19+'12-3'!L19+'13-3'!L19+'14-3'!L19+'15-3'!L19+'16-3'!L19+'17-3'!L19+'18-3'!L19+'19-3'!L19+'21-3'!L19+'22-3'!L19+'24-3'!L19+'25-3'!L19+'28-3'!L19+'29-3'!L19+'30-3'!L19+'32-3'!L19+'35-3'!L19+'37-3'!L19+'47-3'!L19+'62-3'!L19+'64-3'!L19+'74-3'!L19</f>
        <v>0</v>
      </c>
      <c r="M273" s="106">
        <f>'01-3'!M19+'02-3'!M19+'03-3'!M19+'04-3'!M19+'05-3'!M19+'08-3'!M19+'09-3'!M19+'10-3'!M19+'11-3'!M19+'12-3'!M19+'13-3'!M19+'14-3'!M19+'15-3'!M19+'16-3'!M19+'17-3'!M19+'18-3'!M19+'19-3'!M19+'21-3'!M19+'22-3'!M19+'24-3'!M19+'25-3'!M19+'28-3'!M19+'29-3'!M19+'30-3'!M19+'32-3'!M19+'35-3'!M19+'37-3'!M19+'47-3'!M19+'62-3'!M19+'64-3'!M19+'74-3'!M19</f>
        <v>0</v>
      </c>
      <c r="N273" s="106">
        <f>'01-3'!N19+'02-3'!N19+'03-3'!N19+'04-3'!N19+'05-3'!N19+'08-3'!N19+'09-3'!N19+'10-3'!N19+'11-3'!N19+'12-3'!N19+'13-3'!N19+'14-3'!N19+'15-3'!N19+'16-3'!N19+'17-3'!N19+'18-3'!N19+'19-3'!N19+'21-3'!N19+'22-3'!N19+'24-3'!N19+'25-3'!N19+'28-3'!N19+'29-3'!N19+'30-3'!N19+'32-3'!N19+'35-3'!N19+'37-3'!N19+'47-3'!N19+'62-3'!N19+'64-3'!N19+'74-3'!N19</f>
        <v>0</v>
      </c>
      <c r="O273" s="106">
        <f>'01-3'!O19+'02-3'!O19+'03-3'!O19+'04-3'!O19+'05-3'!O19+'08-3'!O19+'09-3'!O19+'10-3'!O19+'11-3'!O19+'12-3'!O19+'13-3'!O19+'14-3'!O19+'15-3'!O19+'16-3'!O19+'17-3'!O19+'18-3'!O19+'19-3'!O19+'21-3'!O19+'22-3'!O19+'24-3'!O19+'25-3'!O19+'28-3'!O19+'29-3'!O19+'30-3'!O19+'32-3'!O19+'35-3'!O19+'37-3'!O19+'47-3'!O19+'62-3'!O19+'64-3'!O19+'74-3'!O19</f>
        <v>0</v>
      </c>
      <c r="P273" s="106">
        <f>'01-3'!P19+'02-3'!P19+'03-3'!P19+'04-3'!P19+'05-3'!P19+'08-3'!P19+'09-3'!P19+'10-3'!P19+'11-3'!P19+'12-3'!P19+'13-3'!P19+'14-3'!P19+'15-3'!P19+'16-3'!P19+'17-3'!P19+'18-3'!P19+'19-3'!P19+'21-3'!P19+'22-3'!P19+'24-3'!P19+'25-3'!P19+'28-3'!P19+'29-3'!P19+'30-3'!P19+'32-3'!P19+'35-3'!P19+'37-3'!P19+'47-3'!P19+'62-3'!P19+'64-3'!P19+'74-3'!P19</f>
        <v>0</v>
      </c>
      <c r="Q273" s="106">
        <f>'01-3'!Q19+'02-3'!Q19+'03-3'!Q19+'04-3'!Q19+'05-3'!Q19+'08-3'!Q19+'09-3'!Q19+'10-3'!Q19+'11-3'!Q19+'12-3'!Q19+'13-3'!Q19+'14-3'!Q19+'15-3'!Q19+'16-3'!Q19+'17-3'!Q19+'18-3'!Q19+'19-3'!Q19+'21-3'!Q19+'22-3'!Q19+'24-3'!Q19+'25-3'!Q19+'28-3'!Q19+'29-3'!Q19+'30-3'!Q19+'32-3'!Q19+'35-3'!Q19+'37-3'!Q19+'47-3'!Q19+'62-3'!Q19+'64-3'!Q19+'74-3'!Q19</f>
        <v>0</v>
      </c>
      <c r="R273" s="106">
        <f>'01-3'!R19+'02-3'!R19+'03-3'!R19+'04-3'!R19+'05-3'!R19+'08-3'!R19+'09-3'!R19+'10-3'!R19+'11-3'!R19+'12-3'!R19+'13-3'!R19+'14-3'!R19+'15-3'!R19+'16-3'!R19+'17-3'!R19+'18-3'!R19+'19-3'!R19+'21-3'!R19+'22-3'!R19+'24-3'!R19+'25-3'!R19+'28-3'!R19+'29-3'!R19+'30-3'!R19+'32-3'!R19+'35-3'!R19+'37-3'!R19+'47-3'!R19+'62-3'!R19+'64-3'!R19+'74-3'!R19</f>
        <v>0</v>
      </c>
      <c r="S273" s="954"/>
      <c r="T273" s="954"/>
      <c r="U273" s="954"/>
      <c r="V273" s="954"/>
      <c r="W273" s="954"/>
    </row>
    <row r="274" spans="1:23" s="6" customFormat="1" ht="24">
      <c r="A274" s="134">
        <v>18139</v>
      </c>
      <c r="B274" s="108" t="s">
        <v>179</v>
      </c>
      <c r="C274" s="106">
        <f>'01-3'!C20+'02-3'!C20+'03-3'!C20+'04-3'!C20+'05-3'!C20+'08-3'!C20+'09-3'!C20+'10-3'!C20+'11-3'!C20+'12-3'!C20+'13-3'!C20+'14-3'!C20+'15-3'!C20+'16-3'!C20+'17-3'!C20+'18-3'!C20+'19-3'!C20+'21-3'!C20+'22-3'!C20+'24-3'!C20+'25-3'!C20+'28-3'!C20+'29-3'!C20+'30-3'!C20+'32-3'!C20+'35-3'!C20+'37-3'!C20+'47-3'!C20+'62-3'!C20+'64-3'!C20+'74-3'!C20</f>
        <v>0</v>
      </c>
      <c r="D274" s="106">
        <f>'01-3'!D20+'02-3'!D20+'03-3'!D20+'04-3'!D20+'05-3'!D20+'08-3'!D20+'09-3'!D20+'10-3'!D20+'11-3'!D20+'12-3'!D20+'13-3'!D20+'14-3'!D20+'15-3'!D20+'16-3'!D20+'17-3'!D20+'18-3'!D20+'19-3'!D20+'21-3'!D20+'22-3'!D20+'24-3'!D20+'25-3'!D20+'28-3'!D20+'29-3'!D20+'30-3'!D20+'32-3'!D20+'35-3'!D20+'37-3'!D20+'47-3'!D20+'62-3'!D20+'64-3'!D20+'74-3'!D20</f>
        <v>0</v>
      </c>
      <c r="E274" s="106">
        <f>'01-3'!E20+'02-3'!E20+'03-3'!E20+'04-3'!E20+'05-3'!E20+'08-3'!E20+'09-3'!E20+'10-3'!E20+'11-3'!E20+'12-3'!E20+'13-3'!E20+'14-3'!E20+'15-3'!E20+'16-3'!E20+'17-3'!E20+'18-3'!E20+'19-3'!E20+'21-3'!E20+'22-3'!E20+'24-3'!E20+'25-3'!E20+'28-3'!E20+'29-3'!E20+'30-3'!E20+'32-3'!E20+'35-3'!E20+'37-3'!E20+'47-3'!E20+'62-3'!E20+'64-3'!E20+'74-3'!E20</f>
        <v>0</v>
      </c>
      <c r="F274" s="106">
        <f>'01-3'!F20+'02-3'!F20+'03-3'!F20+'04-3'!F20+'05-3'!F20+'08-3'!F20+'09-3'!F20+'10-3'!F20+'11-3'!F20+'12-3'!F20+'13-3'!F20+'14-3'!F20+'15-3'!F20+'16-3'!F20+'17-3'!F20+'18-3'!F20+'19-3'!F20+'21-3'!F20+'22-3'!F20+'24-3'!F20+'25-3'!F20+'28-3'!F20+'29-3'!F20+'30-3'!F20+'32-3'!F20+'35-3'!F20+'37-3'!F20+'47-3'!F20+'62-3'!F20+'64-3'!F20+'74-3'!F20</f>
        <v>0</v>
      </c>
      <c r="G274" s="106">
        <f>'01-3'!G20+'02-3'!G20+'03-3'!G20+'04-3'!G20+'05-3'!G20+'08-3'!G20+'09-3'!G20+'10-3'!G20+'11-3'!G20+'12-3'!G20+'13-3'!G20+'14-3'!G20+'15-3'!G20+'16-3'!G20+'17-3'!G20+'18-3'!G20+'19-3'!G20+'21-3'!G20+'22-3'!G20+'24-3'!G20+'25-3'!G20+'28-3'!G20+'29-3'!G20+'30-3'!G20+'32-3'!G20+'35-3'!G20+'37-3'!G20+'47-3'!G20+'62-3'!G20+'64-3'!G20+'74-3'!G20</f>
        <v>0</v>
      </c>
      <c r="H274" s="106">
        <f>'01-3'!H20+'02-3'!H20+'03-3'!H20+'04-3'!H20+'05-3'!H20+'08-3'!H20+'09-3'!H20+'10-3'!H20+'11-3'!H20+'12-3'!H20+'13-3'!H20+'14-3'!H20+'15-3'!H20+'16-3'!H20+'17-3'!H20+'18-3'!H20+'19-3'!H20+'21-3'!H20+'22-3'!H20+'24-3'!H20+'25-3'!H20+'28-3'!H20+'29-3'!H20+'30-3'!H20+'32-3'!H20+'35-3'!H20+'37-3'!H20+'47-3'!H20+'62-3'!H20+'64-3'!H20+'74-3'!H20</f>
        <v>0</v>
      </c>
      <c r="I274" s="106">
        <f>'01-3'!I20+'02-3'!I20+'03-3'!I20+'04-3'!I20+'05-3'!I20+'08-3'!I20+'09-3'!I20+'10-3'!I20+'11-3'!I20+'12-3'!I20+'13-3'!I20+'14-3'!I20+'15-3'!I20+'16-3'!I20+'17-3'!I20+'18-3'!I20+'19-3'!I20+'21-3'!I20+'22-3'!I20+'24-3'!I20+'25-3'!I20+'28-3'!I20+'29-3'!I20+'30-3'!I20+'32-3'!I20+'35-3'!I20+'37-3'!I20+'47-3'!I20+'62-3'!I20+'64-3'!I20+'74-3'!I20</f>
        <v>0</v>
      </c>
      <c r="J274" s="106">
        <f>'01-3'!J20+'02-3'!J20+'03-3'!J20+'04-3'!J20+'05-3'!J20+'08-3'!J20+'09-3'!J20+'10-3'!J20+'11-3'!J20+'12-3'!J20+'13-3'!J20+'14-3'!J20+'15-3'!J20+'16-3'!J20+'17-3'!J20+'18-3'!J20+'19-3'!J20+'21-3'!J20+'22-3'!J20+'24-3'!J20+'25-3'!J20+'28-3'!J20+'29-3'!J20+'30-3'!J20+'32-3'!J20+'35-3'!J20+'37-3'!J20+'47-3'!J20+'62-3'!J20+'64-3'!J20+'74-3'!J20</f>
        <v>0</v>
      </c>
      <c r="K274" s="106">
        <f>'01-3'!K20+'02-3'!K20+'03-3'!K20+'04-3'!K20+'05-3'!K20+'08-3'!K20+'09-3'!K20+'10-3'!K20+'11-3'!K20+'12-3'!K20+'13-3'!K20+'14-3'!K20+'15-3'!K20+'16-3'!K20+'17-3'!K20+'18-3'!K20+'19-3'!K20+'21-3'!K20+'22-3'!K20+'24-3'!K20+'25-3'!K20+'28-3'!K20+'29-3'!K20+'30-3'!K20+'32-3'!K20+'35-3'!K20+'37-3'!K20+'47-3'!K20+'62-3'!K20+'64-3'!K20+'74-3'!K20</f>
        <v>0</v>
      </c>
      <c r="L274" s="106">
        <f>'01-3'!L20+'02-3'!L20+'03-3'!L20+'04-3'!L20+'05-3'!L20+'08-3'!L20+'09-3'!L20+'10-3'!L20+'11-3'!L20+'12-3'!L20+'13-3'!L20+'14-3'!L20+'15-3'!L20+'16-3'!L20+'17-3'!L20+'18-3'!L20+'19-3'!L20+'21-3'!L20+'22-3'!L20+'24-3'!L20+'25-3'!L20+'28-3'!L20+'29-3'!L20+'30-3'!L20+'32-3'!L20+'35-3'!L20+'37-3'!L20+'47-3'!L20+'62-3'!L20+'64-3'!L20+'74-3'!L20</f>
        <v>0</v>
      </c>
      <c r="M274" s="106">
        <f>'01-3'!M20+'02-3'!M20+'03-3'!M20+'04-3'!M20+'05-3'!M20+'08-3'!M20+'09-3'!M20+'10-3'!M20+'11-3'!M20+'12-3'!M20+'13-3'!M20+'14-3'!M20+'15-3'!M20+'16-3'!M20+'17-3'!M20+'18-3'!M20+'19-3'!M20+'21-3'!M20+'22-3'!M20+'24-3'!M20+'25-3'!M20+'28-3'!M20+'29-3'!M20+'30-3'!M20+'32-3'!M20+'35-3'!M20+'37-3'!M20+'47-3'!M20+'62-3'!M20+'64-3'!M20+'74-3'!M20</f>
        <v>0</v>
      </c>
      <c r="N274" s="106">
        <f>'01-3'!N20+'02-3'!N20+'03-3'!N20+'04-3'!N20+'05-3'!N20+'08-3'!N20+'09-3'!N20+'10-3'!N20+'11-3'!N20+'12-3'!N20+'13-3'!N20+'14-3'!N20+'15-3'!N20+'16-3'!N20+'17-3'!N20+'18-3'!N20+'19-3'!N20+'21-3'!N20+'22-3'!N20+'24-3'!N20+'25-3'!N20+'28-3'!N20+'29-3'!N20+'30-3'!N20+'32-3'!N20+'35-3'!N20+'37-3'!N20+'47-3'!N20+'62-3'!N20+'64-3'!N20+'74-3'!N20</f>
        <v>0</v>
      </c>
      <c r="O274" s="106">
        <f>'01-3'!O20+'02-3'!O20+'03-3'!O20+'04-3'!O20+'05-3'!O20+'08-3'!O20+'09-3'!O20+'10-3'!O20+'11-3'!O20+'12-3'!O20+'13-3'!O20+'14-3'!O20+'15-3'!O20+'16-3'!O20+'17-3'!O20+'18-3'!O20+'19-3'!O20+'21-3'!O20+'22-3'!O20+'24-3'!O20+'25-3'!O20+'28-3'!O20+'29-3'!O20+'30-3'!O20+'32-3'!O20+'35-3'!O20+'37-3'!O20+'47-3'!O20+'62-3'!O20+'64-3'!O20+'74-3'!O20</f>
        <v>0</v>
      </c>
      <c r="P274" s="106">
        <f>'01-3'!P20+'02-3'!P20+'03-3'!P20+'04-3'!P20+'05-3'!P20+'08-3'!P20+'09-3'!P20+'10-3'!P20+'11-3'!P20+'12-3'!P20+'13-3'!P20+'14-3'!P20+'15-3'!P20+'16-3'!P20+'17-3'!P20+'18-3'!P20+'19-3'!P20+'21-3'!P20+'22-3'!P20+'24-3'!P20+'25-3'!P20+'28-3'!P20+'29-3'!P20+'30-3'!P20+'32-3'!P20+'35-3'!P20+'37-3'!P20+'47-3'!P20+'62-3'!P20+'64-3'!P20+'74-3'!P20</f>
        <v>0</v>
      </c>
      <c r="Q274" s="106">
        <f>'01-3'!Q20+'02-3'!Q20+'03-3'!Q20+'04-3'!Q20+'05-3'!Q20+'08-3'!Q20+'09-3'!Q20+'10-3'!Q20+'11-3'!Q20+'12-3'!Q20+'13-3'!Q20+'14-3'!Q20+'15-3'!Q20+'16-3'!Q20+'17-3'!Q20+'18-3'!Q20+'19-3'!Q20+'21-3'!Q20+'22-3'!Q20+'24-3'!Q20+'25-3'!Q20+'28-3'!Q20+'29-3'!Q20+'30-3'!Q20+'32-3'!Q20+'35-3'!Q20+'37-3'!Q20+'47-3'!Q20+'62-3'!Q20+'64-3'!Q20+'74-3'!Q20</f>
        <v>0</v>
      </c>
      <c r="R274" s="106">
        <f>'01-3'!R20+'02-3'!R20+'03-3'!R20+'04-3'!R20+'05-3'!R20+'08-3'!R20+'09-3'!R20+'10-3'!R20+'11-3'!R20+'12-3'!R20+'13-3'!R20+'14-3'!R20+'15-3'!R20+'16-3'!R20+'17-3'!R20+'18-3'!R20+'19-3'!R20+'21-3'!R20+'22-3'!R20+'24-3'!R20+'25-3'!R20+'28-3'!R20+'29-3'!R20+'30-3'!R20+'32-3'!R20+'35-3'!R20+'37-3'!R20+'47-3'!R20+'62-3'!R20+'64-3'!R20+'74-3'!R20</f>
        <v>0</v>
      </c>
      <c r="S274" s="954"/>
      <c r="T274" s="954"/>
      <c r="U274" s="954"/>
      <c r="V274" s="954"/>
      <c r="W274" s="954"/>
    </row>
    <row r="275" spans="1:23" s="6" customFormat="1" ht="12">
      <c r="A275" s="135" t="s">
        <v>180</v>
      </c>
      <c r="B275" s="109" t="s">
        <v>173</v>
      </c>
      <c r="C275" s="106">
        <f>'01-3'!C21+'02-3'!C21+'03-3'!C21+'04-3'!C21+'05-3'!C21+'08-3'!C21+'09-3'!C21+'10-3'!C21+'11-3'!C21+'12-3'!C21+'13-3'!C21+'14-3'!C21+'15-3'!C21+'16-3'!C21+'17-3'!C21+'18-3'!C21+'19-3'!C21+'21-3'!C21+'22-3'!C21+'24-3'!C21+'25-3'!C21+'28-3'!C21+'29-3'!C21+'30-3'!C21+'32-3'!C21+'35-3'!C21+'37-3'!C21+'47-3'!C21+'62-3'!C21+'64-3'!C21+'74-3'!C21</f>
        <v>113917</v>
      </c>
      <c r="D275" s="106">
        <f>'01-3'!D21+'02-3'!D21+'03-3'!D21+'04-3'!D21+'05-3'!D21+'08-3'!D21+'09-3'!D21+'10-3'!D21+'11-3'!D21+'12-3'!D21+'13-3'!D21+'14-3'!D21+'15-3'!D21+'16-3'!D21+'17-3'!D21+'18-3'!D21+'19-3'!D21+'21-3'!D21+'22-3'!D21+'24-3'!D21+'25-3'!D21+'28-3'!D21+'29-3'!D21+'30-3'!D21+'32-3'!D21+'35-3'!D21+'37-3'!D21+'47-3'!D21+'62-3'!D21+'64-3'!D21+'74-3'!D21</f>
        <v>342453</v>
      </c>
      <c r="E275" s="106">
        <f>'01-3'!E21+'02-3'!E21+'03-3'!E21+'04-3'!E21+'05-3'!E21+'08-3'!E21+'09-3'!E21+'10-3'!E21+'11-3'!E21+'12-3'!E21+'13-3'!E21+'14-3'!E21+'15-3'!E21+'16-3'!E21+'17-3'!E21+'18-3'!E21+'19-3'!E21+'21-3'!E21+'22-3'!E21+'24-3'!E21+'25-3'!E21+'28-3'!E21+'29-3'!E21+'30-3'!E21+'32-3'!E21+'35-3'!E21+'37-3'!E21+'47-3'!E21+'62-3'!E21+'64-3'!E21+'74-3'!E21</f>
        <v>0</v>
      </c>
      <c r="F275" s="106">
        <f>'01-3'!F21+'02-3'!F21+'03-3'!F21+'04-3'!F21+'05-3'!F21+'08-3'!F21+'09-3'!F21+'10-3'!F21+'11-3'!F21+'12-3'!F21+'13-3'!F21+'14-3'!F21+'15-3'!F21+'16-3'!F21+'17-3'!F21+'18-3'!F21+'19-3'!F21+'21-3'!F21+'22-3'!F21+'24-3'!F21+'25-3'!F21+'28-3'!F21+'29-3'!F21+'30-3'!F21+'32-3'!F21+'35-3'!F21+'37-3'!F21+'47-3'!F21+'62-3'!F21+'64-3'!F21+'74-3'!F21</f>
        <v>0</v>
      </c>
      <c r="G275" s="106">
        <f>'01-3'!G21+'02-3'!G21+'03-3'!G21+'04-3'!G21+'05-3'!G21+'08-3'!G21+'09-3'!G21+'10-3'!G21+'11-3'!G21+'12-3'!G21+'13-3'!G21+'14-3'!G21+'15-3'!G21+'16-3'!G21+'17-3'!G21+'18-3'!G21+'19-3'!G21+'21-3'!G21+'22-3'!G21+'24-3'!G21+'25-3'!G21+'28-3'!G21+'29-3'!G21+'30-3'!G21+'32-3'!G21+'35-3'!G21+'37-3'!G21+'47-3'!G21+'62-3'!G21+'64-3'!G21+'74-3'!G21</f>
        <v>0</v>
      </c>
      <c r="H275" s="106">
        <f>'01-3'!H21+'02-3'!H21+'03-3'!H21+'04-3'!H21+'05-3'!H21+'08-3'!H21+'09-3'!H21+'10-3'!H21+'11-3'!H21+'12-3'!H21+'13-3'!H21+'14-3'!H21+'15-3'!H21+'16-3'!H21+'17-3'!H21+'18-3'!H21+'19-3'!H21+'21-3'!H21+'22-3'!H21+'24-3'!H21+'25-3'!H21+'28-3'!H21+'29-3'!H21+'30-3'!H21+'32-3'!H21+'35-3'!H21+'37-3'!H21+'47-3'!H21+'62-3'!H21+'64-3'!H21+'74-3'!H21</f>
        <v>342453</v>
      </c>
      <c r="I275" s="106">
        <f>'01-3'!I21+'02-3'!I21+'03-3'!I21+'04-3'!I21+'05-3'!I21+'08-3'!I21+'09-3'!I21+'10-3'!I21+'11-3'!I21+'12-3'!I21+'13-3'!I21+'14-3'!I21+'15-3'!I21+'16-3'!I21+'17-3'!I21+'18-3'!I21+'19-3'!I21+'21-3'!I21+'22-3'!I21+'24-3'!I21+'25-3'!I21+'28-3'!I21+'29-3'!I21+'30-3'!I21+'32-3'!I21+'35-3'!I21+'37-3'!I21+'47-3'!I21+'62-3'!I21+'64-3'!I21+'74-3'!I21</f>
        <v>262933</v>
      </c>
      <c r="J275" s="106">
        <f>'01-3'!J21+'02-3'!J21+'03-3'!J21+'04-3'!J21+'05-3'!J21+'08-3'!J21+'09-3'!J21+'10-3'!J21+'11-3'!J21+'12-3'!J21+'13-3'!J21+'14-3'!J21+'15-3'!J21+'16-3'!J21+'17-3'!J21+'18-3'!J21+'19-3'!J21+'21-3'!J21+'22-3'!J21+'24-3'!J21+'25-3'!J21+'28-3'!J21+'29-3'!J21+'30-3'!J21+'32-3'!J21+'35-3'!J21+'37-3'!J21+'47-3'!J21+'62-3'!J21+'64-3'!J21+'74-3'!J21</f>
        <v>0</v>
      </c>
      <c r="K275" s="106">
        <f>'01-3'!K21+'02-3'!K21+'03-3'!K21+'04-3'!K21+'05-3'!K21+'08-3'!K21+'09-3'!K21+'10-3'!K21+'11-3'!K21+'12-3'!K21+'13-3'!K21+'14-3'!K21+'15-3'!K21+'16-3'!K21+'17-3'!K21+'18-3'!K21+'19-3'!K21+'21-3'!K21+'22-3'!K21+'24-3'!K21+'25-3'!K21+'28-3'!K21+'29-3'!K21+'30-3'!K21+'32-3'!K21+'35-3'!K21+'37-3'!K21+'47-3'!K21+'62-3'!K21+'64-3'!K21+'74-3'!K21</f>
        <v>0</v>
      </c>
      <c r="L275" s="106">
        <f>'01-3'!L21+'02-3'!L21+'03-3'!L21+'04-3'!L21+'05-3'!L21+'08-3'!L21+'09-3'!L21+'10-3'!L21+'11-3'!L21+'12-3'!L21+'13-3'!L21+'14-3'!L21+'15-3'!L21+'16-3'!L21+'17-3'!L21+'18-3'!L21+'19-3'!L21+'21-3'!L21+'22-3'!L21+'24-3'!L21+'25-3'!L21+'28-3'!L21+'29-3'!L21+'30-3'!L21+'32-3'!L21+'35-3'!L21+'37-3'!L21+'47-3'!L21+'62-3'!L21+'64-3'!L21+'74-3'!L21</f>
        <v>0</v>
      </c>
      <c r="M275" s="106">
        <f>'01-3'!M21+'02-3'!M21+'03-3'!M21+'04-3'!M21+'05-3'!M21+'08-3'!M21+'09-3'!M21+'10-3'!M21+'11-3'!M21+'12-3'!M21+'13-3'!M21+'14-3'!M21+'15-3'!M21+'16-3'!M21+'17-3'!M21+'18-3'!M21+'19-3'!M21+'21-3'!M21+'22-3'!M21+'24-3'!M21+'25-3'!M21+'28-3'!M21+'29-3'!M21+'30-3'!M21+'32-3'!M21+'35-3'!M21+'37-3'!M21+'47-3'!M21+'62-3'!M21+'64-3'!M21+'74-3'!M21</f>
        <v>262933</v>
      </c>
      <c r="N275" s="106">
        <f>'01-3'!N21+'02-3'!N21+'03-3'!N21+'04-3'!N21+'05-3'!N21+'08-3'!N21+'09-3'!N21+'10-3'!N21+'11-3'!N21+'12-3'!N21+'13-3'!N21+'14-3'!N21+'15-3'!N21+'16-3'!N21+'17-3'!N21+'18-3'!N21+'19-3'!N21+'21-3'!N21+'22-3'!N21+'24-3'!N21+'25-3'!N21+'28-3'!N21+'29-3'!N21+'30-3'!N21+'32-3'!N21+'35-3'!N21+'37-3'!N21+'47-3'!N21+'62-3'!N21+'64-3'!N21+'74-3'!N21</f>
        <v>162453</v>
      </c>
      <c r="O275" s="106">
        <f>'01-3'!O21+'02-3'!O21+'03-3'!O21+'04-3'!O21+'05-3'!O21+'08-3'!O21+'09-3'!O21+'10-3'!O21+'11-3'!O21+'12-3'!O21+'13-3'!O21+'14-3'!O21+'15-3'!O21+'16-3'!O21+'17-3'!O21+'18-3'!O21+'19-3'!O21+'21-3'!O21+'22-3'!O21+'24-3'!O21+'25-3'!O21+'28-3'!O21+'29-3'!O21+'30-3'!O21+'32-3'!O21+'35-3'!O21+'37-3'!O21+'47-3'!O21+'62-3'!O21+'64-3'!O21+'74-3'!O21</f>
        <v>0</v>
      </c>
      <c r="P275" s="106">
        <f>'01-3'!P21+'02-3'!P21+'03-3'!P21+'04-3'!P21+'05-3'!P21+'08-3'!P21+'09-3'!P21+'10-3'!P21+'11-3'!P21+'12-3'!P21+'13-3'!P21+'14-3'!P21+'15-3'!P21+'16-3'!P21+'17-3'!P21+'18-3'!P21+'19-3'!P21+'21-3'!P21+'22-3'!P21+'24-3'!P21+'25-3'!P21+'28-3'!P21+'29-3'!P21+'30-3'!P21+'32-3'!P21+'35-3'!P21+'37-3'!P21+'47-3'!P21+'62-3'!P21+'64-3'!P21+'74-3'!P21</f>
        <v>0</v>
      </c>
      <c r="Q275" s="106">
        <f>'01-3'!Q21+'02-3'!Q21+'03-3'!Q21+'04-3'!Q21+'05-3'!Q21+'08-3'!Q21+'09-3'!Q21+'10-3'!Q21+'11-3'!Q21+'12-3'!Q21+'13-3'!Q21+'14-3'!Q21+'15-3'!Q21+'16-3'!Q21+'17-3'!Q21+'18-3'!Q21+'19-3'!Q21+'21-3'!Q21+'22-3'!Q21+'24-3'!Q21+'25-3'!Q21+'28-3'!Q21+'29-3'!Q21+'30-3'!Q21+'32-3'!Q21+'35-3'!Q21+'37-3'!Q21+'47-3'!Q21+'62-3'!Q21+'64-3'!Q21+'74-3'!Q21</f>
        <v>0</v>
      </c>
      <c r="R275" s="106">
        <f>'01-3'!R21+'02-3'!R21+'03-3'!R21+'04-3'!R21+'05-3'!R21+'08-3'!R21+'09-3'!R21+'10-3'!R21+'11-3'!R21+'12-3'!R21+'13-3'!R21+'14-3'!R21+'15-3'!R21+'16-3'!R21+'17-3'!R21+'18-3'!R21+'19-3'!R21+'21-3'!R21+'22-3'!R21+'24-3'!R21+'25-3'!R21+'28-3'!R21+'29-3'!R21+'30-3'!R21+'32-3'!R21+'35-3'!R21+'37-3'!R21+'47-3'!R21+'62-3'!R21+'64-3'!R21+'74-3'!R21</f>
        <v>162453</v>
      </c>
      <c r="S275" s="954"/>
      <c r="T275" s="954"/>
      <c r="U275" s="954"/>
      <c r="V275" s="954"/>
      <c r="W275" s="954"/>
    </row>
    <row r="276" spans="1:23" s="6" customFormat="1" ht="24">
      <c r="A276" s="135">
        <v>19500</v>
      </c>
      <c r="B276" s="108" t="s">
        <v>174</v>
      </c>
      <c r="C276" s="106">
        <f>'01-3'!C22+'02-3'!C22+'03-3'!C22+'04-3'!C22+'05-3'!C22+'08-3'!C22+'09-3'!C22+'10-3'!C22+'11-3'!C22+'12-3'!C22+'13-3'!C22+'14-3'!C22+'15-3'!C22+'16-3'!C22+'17-3'!C22+'18-3'!C22+'19-3'!C22+'21-3'!C22+'22-3'!C22+'24-3'!C22+'25-3'!C22+'28-3'!C22+'29-3'!C22+'30-3'!C22+'32-3'!C22+'35-3'!C22+'37-3'!C22+'47-3'!C22+'62-3'!C22+'64-3'!C22+'74-3'!C22</f>
        <v>113917</v>
      </c>
      <c r="D276" s="106">
        <f>'01-3'!D22+'02-3'!D22+'03-3'!D22+'04-3'!D22+'05-3'!D22+'08-3'!D22+'09-3'!D22+'10-3'!D22+'11-3'!D22+'12-3'!D22+'13-3'!D22+'14-3'!D22+'15-3'!D22+'16-3'!D22+'17-3'!D22+'18-3'!D22+'19-3'!D22+'21-3'!D22+'22-3'!D22+'24-3'!D22+'25-3'!D22+'28-3'!D22+'29-3'!D22+'30-3'!D22+'32-3'!D22+'35-3'!D22+'37-3'!D22+'47-3'!D22+'62-3'!D22+'64-3'!D22+'74-3'!D22</f>
        <v>342453</v>
      </c>
      <c r="E276" s="106">
        <f>'01-3'!E22+'02-3'!E22+'03-3'!E22+'04-3'!E22+'05-3'!E22+'08-3'!E22+'09-3'!E22+'10-3'!E22+'11-3'!E22+'12-3'!E22+'13-3'!E22+'14-3'!E22+'15-3'!E22+'16-3'!E22+'17-3'!E22+'18-3'!E22+'19-3'!E22+'21-3'!E22+'22-3'!E22+'24-3'!E22+'25-3'!E22+'28-3'!E22+'29-3'!E22+'30-3'!E22+'32-3'!E22+'35-3'!E22+'37-3'!E22+'47-3'!E22+'62-3'!E22+'64-3'!E22+'74-3'!E22</f>
        <v>0</v>
      </c>
      <c r="F276" s="106">
        <f>'01-3'!F22+'02-3'!F22+'03-3'!F22+'04-3'!F22+'05-3'!F22+'08-3'!F22+'09-3'!F22+'10-3'!F22+'11-3'!F22+'12-3'!F22+'13-3'!F22+'14-3'!F22+'15-3'!F22+'16-3'!F22+'17-3'!F22+'18-3'!F22+'19-3'!F22+'21-3'!F22+'22-3'!F22+'24-3'!F22+'25-3'!F22+'28-3'!F22+'29-3'!F22+'30-3'!F22+'32-3'!F22+'35-3'!F22+'37-3'!F22+'47-3'!F22+'62-3'!F22+'64-3'!F22+'74-3'!F22</f>
        <v>0</v>
      </c>
      <c r="G276" s="106">
        <f>'01-3'!G22+'02-3'!G22+'03-3'!G22+'04-3'!G22+'05-3'!G22+'08-3'!G22+'09-3'!G22+'10-3'!G22+'11-3'!G22+'12-3'!G22+'13-3'!G22+'14-3'!G22+'15-3'!G22+'16-3'!G22+'17-3'!G22+'18-3'!G22+'19-3'!G22+'21-3'!G22+'22-3'!G22+'24-3'!G22+'25-3'!G22+'28-3'!G22+'29-3'!G22+'30-3'!G22+'32-3'!G22+'35-3'!G22+'37-3'!G22+'47-3'!G22+'62-3'!G22+'64-3'!G22+'74-3'!G22</f>
        <v>0</v>
      </c>
      <c r="H276" s="106">
        <f>'01-3'!H22+'02-3'!H22+'03-3'!H22+'04-3'!H22+'05-3'!H22+'08-3'!H22+'09-3'!H22+'10-3'!H22+'11-3'!H22+'12-3'!H22+'13-3'!H22+'14-3'!H22+'15-3'!H22+'16-3'!H22+'17-3'!H22+'18-3'!H22+'19-3'!H22+'21-3'!H22+'22-3'!H22+'24-3'!H22+'25-3'!H22+'28-3'!H22+'29-3'!H22+'30-3'!H22+'32-3'!H22+'35-3'!H22+'37-3'!H22+'47-3'!H22+'62-3'!H22+'64-3'!H22+'74-3'!H22</f>
        <v>342453</v>
      </c>
      <c r="I276" s="106">
        <f>'01-3'!I22+'02-3'!I22+'03-3'!I22+'04-3'!I22+'05-3'!I22+'08-3'!I22+'09-3'!I22+'10-3'!I22+'11-3'!I22+'12-3'!I22+'13-3'!I22+'14-3'!I22+'15-3'!I22+'16-3'!I22+'17-3'!I22+'18-3'!I22+'19-3'!I22+'21-3'!I22+'22-3'!I22+'24-3'!I22+'25-3'!I22+'28-3'!I22+'29-3'!I22+'30-3'!I22+'32-3'!I22+'35-3'!I22+'37-3'!I22+'47-3'!I22+'62-3'!I22+'64-3'!I22+'74-3'!I22</f>
        <v>262933</v>
      </c>
      <c r="J276" s="106">
        <f>'01-3'!J22+'02-3'!J22+'03-3'!J22+'04-3'!J22+'05-3'!J22+'08-3'!J22+'09-3'!J22+'10-3'!J22+'11-3'!J22+'12-3'!J22+'13-3'!J22+'14-3'!J22+'15-3'!J22+'16-3'!J22+'17-3'!J22+'18-3'!J22+'19-3'!J22+'21-3'!J22+'22-3'!J22+'24-3'!J22+'25-3'!J22+'28-3'!J22+'29-3'!J22+'30-3'!J22+'32-3'!J22+'35-3'!J22+'37-3'!J22+'47-3'!J22+'62-3'!J22+'64-3'!J22+'74-3'!J22</f>
        <v>0</v>
      </c>
      <c r="K276" s="106">
        <f>'01-3'!K22+'02-3'!K22+'03-3'!K22+'04-3'!K22+'05-3'!K22+'08-3'!K22+'09-3'!K22+'10-3'!K22+'11-3'!K22+'12-3'!K22+'13-3'!K22+'14-3'!K22+'15-3'!K22+'16-3'!K22+'17-3'!K22+'18-3'!K22+'19-3'!K22+'21-3'!K22+'22-3'!K22+'24-3'!K22+'25-3'!K22+'28-3'!K22+'29-3'!K22+'30-3'!K22+'32-3'!K22+'35-3'!K22+'37-3'!K22+'47-3'!K22+'62-3'!K22+'64-3'!K22+'74-3'!K22</f>
        <v>0</v>
      </c>
      <c r="L276" s="106">
        <f>'01-3'!L22+'02-3'!L22+'03-3'!L22+'04-3'!L22+'05-3'!L22+'08-3'!L22+'09-3'!L22+'10-3'!L22+'11-3'!L22+'12-3'!L22+'13-3'!L22+'14-3'!L22+'15-3'!L22+'16-3'!L22+'17-3'!L22+'18-3'!L22+'19-3'!L22+'21-3'!L22+'22-3'!L22+'24-3'!L22+'25-3'!L22+'28-3'!L22+'29-3'!L22+'30-3'!L22+'32-3'!L22+'35-3'!L22+'37-3'!L22+'47-3'!L22+'62-3'!L22+'64-3'!L22+'74-3'!L22</f>
        <v>0</v>
      </c>
      <c r="M276" s="106">
        <f>'01-3'!M22+'02-3'!M22+'03-3'!M22+'04-3'!M22+'05-3'!M22+'08-3'!M22+'09-3'!M22+'10-3'!M22+'11-3'!M22+'12-3'!M22+'13-3'!M22+'14-3'!M22+'15-3'!M22+'16-3'!M22+'17-3'!M22+'18-3'!M22+'19-3'!M22+'21-3'!M22+'22-3'!M22+'24-3'!M22+'25-3'!M22+'28-3'!M22+'29-3'!M22+'30-3'!M22+'32-3'!M22+'35-3'!M22+'37-3'!M22+'47-3'!M22+'62-3'!M22+'64-3'!M22+'74-3'!M22</f>
        <v>262933</v>
      </c>
      <c r="N276" s="106">
        <f>'01-3'!N22+'02-3'!N22+'03-3'!N22+'04-3'!N22+'05-3'!N22+'08-3'!N22+'09-3'!N22+'10-3'!N22+'11-3'!N22+'12-3'!N22+'13-3'!N22+'14-3'!N22+'15-3'!N22+'16-3'!N22+'17-3'!N22+'18-3'!N22+'19-3'!N22+'21-3'!N22+'22-3'!N22+'24-3'!N22+'25-3'!N22+'28-3'!N22+'29-3'!N22+'30-3'!N22+'32-3'!N22+'35-3'!N22+'37-3'!N22+'47-3'!N22+'62-3'!N22+'64-3'!N22+'74-3'!N22</f>
        <v>162453</v>
      </c>
      <c r="O276" s="106">
        <f>'01-3'!O22+'02-3'!O22+'03-3'!O22+'04-3'!O22+'05-3'!O22+'08-3'!O22+'09-3'!O22+'10-3'!O22+'11-3'!O22+'12-3'!O22+'13-3'!O22+'14-3'!O22+'15-3'!O22+'16-3'!O22+'17-3'!O22+'18-3'!O22+'19-3'!O22+'21-3'!O22+'22-3'!O22+'24-3'!O22+'25-3'!O22+'28-3'!O22+'29-3'!O22+'30-3'!O22+'32-3'!O22+'35-3'!O22+'37-3'!O22+'47-3'!O22+'62-3'!O22+'64-3'!O22+'74-3'!O22</f>
        <v>0</v>
      </c>
      <c r="P276" s="106">
        <f>'01-3'!P22+'02-3'!P22+'03-3'!P22+'04-3'!P22+'05-3'!P22+'08-3'!P22+'09-3'!P22+'10-3'!P22+'11-3'!P22+'12-3'!P22+'13-3'!P22+'14-3'!P22+'15-3'!P22+'16-3'!P22+'17-3'!P22+'18-3'!P22+'19-3'!P22+'21-3'!P22+'22-3'!P22+'24-3'!P22+'25-3'!P22+'28-3'!P22+'29-3'!P22+'30-3'!P22+'32-3'!P22+'35-3'!P22+'37-3'!P22+'47-3'!P22+'62-3'!P22+'64-3'!P22+'74-3'!P22</f>
        <v>0</v>
      </c>
      <c r="Q276" s="106">
        <f>'01-3'!Q22+'02-3'!Q22+'03-3'!Q22+'04-3'!Q22+'05-3'!Q22+'08-3'!Q22+'09-3'!Q22+'10-3'!Q22+'11-3'!Q22+'12-3'!Q22+'13-3'!Q22+'14-3'!Q22+'15-3'!Q22+'16-3'!Q22+'17-3'!Q22+'18-3'!Q22+'19-3'!Q22+'21-3'!Q22+'22-3'!Q22+'24-3'!Q22+'25-3'!Q22+'28-3'!Q22+'29-3'!Q22+'30-3'!Q22+'32-3'!Q22+'35-3'!Q22+'37-3'!Q22+'47-3'!Q22+'62-3'!Q22+'64-3'!Q22+'74-3'!Q22</f>
        <v>0</v>
      </c>
      <c r="R276" s="106">
        <f>'01-3'!R22+'02-3'!R22+'03-3'!R22+'04-3'!R22+'05-3'!R22+'08-3'!R22+'09-3'!R22+'10-3'!R22+'11-3'!R22+'12-3'!R22+'13-3'!R22+'14-3'!R22+'15-3'!R22+'16-3'!R22+'17-3'!R22+'18-3'!R22+'19-3'!R22+'21-3'!R22+'22-3'!R22+'24-3'!R22+'25-3'!R22+'28-3'!R22+'29-3'!R22+'30-3'!R22+'32-3'!R22+'35-3'!R22+'37-3'!R22+'47-3'!R22+'62-3'!R22+'64-3'!R22+'74-3'!R22</f>
        <v>162453</v>
      </c>
      <c r="S276" s="954"/>
      <c r="T276" s="954"/>
      <c r="U276" s="954"/>
      <c r="V276" s="954"/>
      <c r="W276" s="954"/>
    </row>
    <row r="277" spans="1:23" s="6" customFormat="1" ht="24">
      <c r="A277" s="136">
        <v>19550</v>
      </c>
      <c r="B277" s="108" t="s">
        <v>175</v>
      </c>
      <c r="C277" s="106">
        <f>'01-3'!C23+'02-3'!C23+'03-3'!C23+'04-3'!C23+'05-3'!C23+'08-3'!C23+'09-3'!C23+'10-3'!C23+'11-3'!C23+'12-3'!C23+'13-3'!C23+'14-3'!C23+'15-3'!C23+'16-3'!C23+'17-3'!C23+'18-3'!C23+'19-3'!C23+'21-3'!C23+'22-3'!C23+'24-3'!C23+'25-3'!C23+'28-3'!C23+'29-3'!C23+'30-3'!C23+'32-3'!C23+'35-3'!C23+'37-3'!C23+'47-3'!C23+'62-3'!C23+'64-3'!C23+'74-3'!C23</f>
        <v>113917</v>
      </c>
      <c r="D277" s="106">
        <f>'01-3'!D23+'02-3'!D23+'03-3'!D23+'04-3'!D23+'05-3'!D23+'08-3'!D23+'09-3'!D23+'10-3'!D23+'11-3'!D23+'12-3'!D23+'13-3'!D23+'14-3'!D23+'15-3'!D23+'16-3'!D23+'17-3'!D23+'18-3'!D23+'19-3'!D23+'21-3'!D23+'22-3'!D23+'24-3'!D23+'25-3'!D23+'28-3'!D23+'29-3'!D23+'30-3'!D23+'32-3'!D23+'35-3'!D23+'37-3'!D23+'47-3'!D23+'62-3'!D23+'64-3'!D23+'74-3'!D23</f>
        <v>342453</v>
      </c>
      <c r="E277" s="106">
        <f>'01-3'!E23+'02-3'!E23+'03-3'!E23+'04-3'!E23+'05-3'!E23+'08-3'!E23+'09-3'!E23+'10-3'!E23+'11-3'!E23+'12-3'!E23+'13-3'!E23+'14-3'!E23+'15-3'!E23+'16-3'!E23+'17-3'!E23+'18-3'!E23+'19-3'!E23+'21-3'!E23+'22-3'!E23+'24-3'!E23+'25-3'!E23+'28-3'!E23+'29-3'!E23+'30-3'!E23+'32-3'!E23+'35-3'!E23+'37-3'!E23+'47-3'!E23+'62-3'!E23+'64-3'!E23+'74-3'!E23</f>
        <v>0</v>
      </c>
      <c r="F277" s="106">
        <f>'01-3'!F23+'02-3'!F23+'03-3'!F23+'04-3'!F23+'05-3'!F23+'08-3'!F23+'09-3'!F23+'10-3'!F23+'11-3'!F23+'12-3'!F23+'13-3'!F23+'14-3'!F23+'15-3'!F23+'16-3'!F23+'17-3'!F23+'18-3'!F23+'19-3'!F23+'21-3'!F23+'22-3'!F23+'24-3'!F23+'25-3'!F23+'28-3'!F23+'29-3'!F23+'30-3'!F23+'32-3'!F23+'35-3'!F23+'37-3'!F23+'47-3'!F23+'62-3'!F23+'64-3'!F23+'74-3'!F23</f>
        <v>0</v>
      </c>
      <c r="G277" s="106">
        <f>'01-3'!G23+'02-3'!G23+'03-3'!G23+'04-3'!G23+'05-3'!G23+'08-3'!G23+'09-3'!G23+'10-3'!G23+'11-3'!G23+'12-3'!G23+'13-3'!G23+'14-3'!G23+'15-3'!G23+'16-3'!G23+'17-3'!G23+'18-3'!G23+'19-3'!G23+'21-3'!G23+'22-3'!G23+'24-3'!G23+'25-3'!G23+'28-3'!G23+'29-3'!G23+'30-3'!G23+'32-3'!G23+'35-3'!G23+'37-3'!G23+'47-3'!G23+'62-3'!G23+'64-3'!G23+'74-3'!G23</f>
        <v>0</v>
      </c>
      <c r="H277" s="106">
        <f>'01-3'!H23+'02-3'!H23+'03-3'!H23+'04-3'!H23+'05-3'!H23+'08-3'!H23+'09-3'!H23+'10-3'!H23+'11-3'!H23+'12-3'!H23+'13-3'!H23+'14-3'!H23+'15-3'!H23+'16-3'!H23+'17-3'!H23+'18-3'!H23+'19-3'!H23+'21-3'!H23+'22-3'!H23+'24-3'!H23+'25-3'!H23+'28-3'!H23+'29-3'!H23+'30-3'!H23+'32-3'!H23+'35-3'!H23+'37-3'!H23+'47-3'!H23+'62-3'!H23+'64-3'!H23+'74-3'!H23</f>
        <v>342453</v>
      </c>
      <c r="I277" s="106">
        <f>'01-3'!I23+'02-3'!I23+'03-3'!I23+'04-3'!I23+'05-3'!I23+'08-3'!I23+'09-3'!I23+'10-3'!I23+'11-3'!I23+'12-3'!I23+'13-3'!I23+'14-3'!I23+'15-3'!I23+'16-3'!I23+'17-3'!I23+'18-3'!I23+'19-3'!I23+'21-3'!I23+'22-3'!I23+'24-3'!I23+'25-3'!I23+'28-3'!I23+'29-3'!I23+'30-3'!I23+'32-3'!I23+'35-3'!I23+'37-3'!I23+'47-3'!I23+'62-3'!I23+'64-3'!I23+'74-3'!I23</f>
        <v>262933</v>
      </c>
      <c r="J277" s="106">
        <f>'01-3'!J23+'02-3'!J23+'03-3'!J23+'04-3'!J23+'05-3'!J23+'08-3'!J23+'09-3'!J23+'10-3'!J23+'11-3'!J23+'12-3'!J23+'13-3'!J23+'14-3'!J23+'15-3'!J23+'16-3'!J23+'17-3'!J23+'18-3'!J23+'19-3'!J23+'21-3'!J23+'22-3'!J23+'24-3'!J23+'25-3'!J23+'28-3'!J23+'29-3'!J23+'30-3'!J23+'32-3'!J23+'35-3'!J23+'37-3'!J23+'47-3'!J23+'62-3'!J23+'64-3'!J23+'74-3'!J23</f>
        <v>0</v>
      </c>
      <c r="K277" s="106">
        <f>'01-3'!K23+'02-3'!K23+'03-3'!K23+'04-3'!K23+'05-3'!K23+'08-3'!K23+'09-3'!K23+'10-3'!K23+'11-3'!K23+'12-3'!K23+'13-3'!K23+'14-3'!K23+'15-3'!K23+'16-3'!K23+'17-3'!K23+'18-3'!K23+'19-3'!K23+'21-3'!K23+'22-3'!K23+'24-3'!K23+'25-3'!K23+'28-3'!K23+'29-3'!K23+'30-3'!K23+'32-3'!K23+'35-3'!K23+'37-3'!K23+'47-3'!K23+'62-3'!K23+'64-3'!K23+'74-3'!K23</f>
        <v>0</v>
      </c>
      <c r="L277" s="106">
        <f>'01-3'!L23+'02-3'!L23+'03-3'!L23+'04-3'!L23+'05-3'!L23+'08-3'!L23+'09-3'!L23+'10-3'!L23+'11-3'!L23+'12-3'!L23+'13-3'!L23+'14-3'!L23+'15-3'!L23+'16-3'!L23+'17-3'!L23+'18-3'!L23+'19-3'!L23+'21-3'!L23+'22-3'!L23+'24-3'!L23+'25-3'!L23+'28-3'!L23+'29-3'!L23+'30-3'!L23+'32-3'!L23+'35-3'!L23+'37-3'!L23+'47-3'!L23+'62-3'!L23+'64-3'!L23+'74-3'!L23</f>
        <v>0</v>
      </c>
      <c r="M277" s="106">
        <f>'01-3'!M23+'02-3'!M23+'03-3'!M23+'04-3'!M23+'05-3'!M23+'08-3'!M23+'09-3'!M23+'10-3'!M23+'11-3'!M23+'12-3'!M23+'13-3'!M23+'14-3'!M23+'15-3'!M23+'16-3'!M23+'17-3'!M23+'18-3'!M23+'19-3'!M23+'21-3'!M23+'22-3'!M23+'24-3'!M23+'25-3'!M23+'28-3'!M23+'29-3'!M23+'30-3'!M23+'32-3'!M23+'35-3'!M23+'37-3'!M23+'47-3'!M23+'62-3'!M23+'64-3'!M23+'74-3'!M23</f>
        <v>262933</v>
      </c>
      <c r="N277" s="106">
        <f>'01-3'!N23+'02-3'!N23+'03-3'!N23+'04-3'!N23+'05-3'!N23+'08-3'!N23+'09-3'!N23+'10-3'!N23+'11-3'!N23+'12-3'!N23+'13-3'!N23+'14-3'!N23+'15-3'!N23+'16-3'!N23+'17-3'!N23+'18-3'!N23+'19-3'!N23+'21-3'!N23+'22-3'!N23+'24-3'!N23+'25-3'!N23+'28-3'!N23+'29-3'!N23+'30-3'!N23+'32-3'!N23+'35-3'!N23+'37-3'!N23+'47-3'!N23+'62-3'!N23+'64-3'!N23+'74-3'!N23</f>
        <v>162453</v>
      </c>
      <c r="O277" s="106">
        <f>'01-3'!O23+'02-3'!O23+'03-3'!O23+'04-3'!O23+'05-3'!O23+'08-3'!O23+'09-3'!O23+'10-3'!O23+'11-3'!O23+'12-3'!O23+'13-3'!O23+'14-3'!O23+'15-3'!O23+'16-3'!O23+'17-3'!O23+'18-3'!O23+'19-3'!O23+'21-3'!O23+'22-3'!O23+'24-3'!O23+'25-3'!O23+'28-3'!O23+'29-3'!O23+'30-3'!O23+'32-3'!O23+'35-3'!O23+'37-3'!O23+'47-3'!O23+'62-3'!O23+'64-3'!O23+'74-3'!O23</f>
        <v>0</v>
      </c>
      <c r="P277" s="106">
        <f>'01-3'!P23+'02-3'!P23+'03-3'!P23+'04-3'!P23+'05-3'!P23+'08-3'!P23+'09-3'!P23+'10-3'!P23+'11-3'!P23+'12-3'!P23+'13-3'!P23+'14-3'!P23+'15-3'!P23+'16-3'!P23+'17-3'!P23+'18-3'!P23+'19-3'!P23+'21-3'!P23+'22-3'!P23+'24-3'!P23+'25-3'!P23+'28-3'!P23+'29-3'!P23+'30-3'!P23+'32-3'!P23+'35-3'!P23+'37-3'!P23+'47-3'!P23+'62-3'!P23+'64-3'!P23+'74-3'!P23</f>
        <v>0</v>
      </c>
      <c r="Q277" s="106">
        <f>'01-3'!Q23+'02-3'!Q23+'03-3'!Q23+'04-3'!Q23+'05-3'!Q23+'08-3'!Q23+'09-3'!Q23+'10-3'!Q23+'11-3'!Q23+'12-3'!Q23+'13-3'!Q23+'14-3'!Q23+'15-3'!Q23+'16-3'!Q23+'17-3'!Q23+'18-3'!Q23+'19-3'!Q23+'21-3'!Q23+'22-3'!Q23+'24-3'!Q23+'25-3'!Q23+'28-3'!Q23+'29-3'!Q23+'30-3'!Q23+'32-3'!Q23+'35-3'!Q23+'37-3'!Q23+'47-3'!Q23+'62-3'!Q23+'64-3'!Q23+'74-3'!Q23</f>
        <v>0</v>
      </c>
      <c r="R277" s="106">
        <f>'01-3'!R23+'02-3'!R23+'03-3'!R23+'04-3'!R23+'05-3'!R23+'08-3'!R23+'09-3'!R23+'10-3'!R23+'11-3'!R23+'12-3'!R23+'13-3'!R23+'14-3'!R23+'15-3'!R23+'16-3'!R23+'17-3'!R23+'18-3'!R23+'19-3'!R23+'21-3'!R23+'22-3'!R23+'24-3'!R23+'25-3'!R23+'28-3'!R23+'29-3'!R23+'30-3'!R23+'32-3'!R23+'35-3'!R23+'37-3'!R23+'47-3'!R23+'62-3'!R23+'64-3'!R23+'74-3'!R23</f>
        <v>162453</v>
      </c>
      <c r="S277" s="954"/>
      <c r="T277" s="954"/>
      <c r="U277" s="954"/>
      <c r="V277" s="954"/>
      <c r="W277" s="954"/>
    </row>
    <row r="278" spans="1:23" s="6" customFormat="1" ht="36" hidden="1">
      <c r="A278" s="136">
        <v>19560</v>
      </c>
      <c r="B278" s="108" t="s">
        <v>181</v>
      </c>
      <c r="C278" s="106">
        <f>'01-3'!C24+'02-3'!C24+'03-3'!C24+'04-3'!C24+'05-3'!C24+'08-3'!C24+'09-3'!C24+'10-3'!C24+'11-3'!C24+'12-3'!C24+'13-3'!C24+'14-3'!C24+'15-3'!C24+'16-3'!C24+'17-3'!C24+'18-3'!C24+'19-3'!C24+'21-3'!C24+'22-3'!C24+'24-3'!C24+'25-3'!C24+'28-3'!C24+'29-3'!C24+'30-3'!C24+'32-3'!C24+'35-3'!C24+'37-3'!C24+'47-3'!C24+'62-3'!C24+'64-3'!C24+'74-3'!C24</f>
        <v>0</v>
      </c>
      <c r="D278" s="106">
        <f>'01-3'!D24+'02-3'!D24+'03-3'!D24+'04-3'!D24+'05-3'!D24+'08-3'!D24+'09-3'!D24+'10-3'!D24+'11-3'!D24+'12-3'!D24+'13-3'!D24+'14-3'!D24+'15-3'!D24+'16-3'!D24+'17-3'!D24+'18-3'!D24+'19-3'!D24+'21-3'!D24+'22-3'!D24+'24-3'!D24+'25-3'!D24+'28-3'!D24+'29-3'!D24+'30-3'!D24+'32-3'!D24+'35-3'!D24+'37-3'!D24+'47-3'!D24+'62-3'!D24+'64-3'!D24+'74-3'!D24</f>
        <v>0</v>
      </c>
      <c r="E278" s="106">
        <f>'01-3'!E24+'02-3'!E24+'03-3'!E24+'04-3'!E24+'05-3'!E24+'08-3'!E24+'09-3'!E24+'10-3'!E24+'11-3'!E24+'12-3'!E24+'13-3'!E24+'14-3'!E24+'15-3'!E24+'16-3'!E24+'17-3'!E24+'18-3'!E24+'19-3'!E24+'21-3'!E24+'22-3'!E24+'24-3'!E24+'25-3'!E24+'28-3'!E24+'29-3'!E24+'30-3'!E24+'32-3'!E24+'35-3'!E24+'37-3'!E24+'47-3'!E24+'62-3'!E24+'64-3'!E24+'74-3'!E24</f>
        <v>0</v>
      </c>
      <c r="F278" s="106">
        <f>'01-3'!F24+'02-3'!F24+'03-3'!F24+'04-3'!F24+'05-3'!F24+'08-3'!F24+'09-3'!F24+'10-3'!F24+'11-3'!F24+'12-3'!F24+'13-3'!F24+'14-3'!F24+'15-3'!F24+'16-3'!F24+'17-3'!F24+'18-3'!F24+'19-3'!F24+'21-3'!F24+'22-3'!F24+'24-3'!F24+'25-3'!F24+'28-3'!F24+'29-3'!F24+'30-3'!F24+'32-3'!F24+'35-3'!F24+'37-3'!F24+'47-3'!F24+'62-3'!F24+'64-3'!F24+'74-3'!F24</f>
        <v>0</v>
      </c>
      <c r="G278" s="106">
        <f>'01-3'!G24+'02-3'!G24+'03-3'!G24+'04-3'!G24+'05-3'!G24+'08-3'!G24+'09-3'!G24+'10-3'!G24+'11-3'!G24+'12-3'!G24+'13-3'!G24+'14-3'!G24+'15-3'!G24+'16-3'!G24+'17-3'!G24+'18-3'!G24+'19-3'!G24+'21-3'!G24+'22-3'!G24+'24-3'!G24+'25-3'!G24+'28-3'!G24+'29-3'!G24+'30-3'!G24+'32-3'!G24+'35-3'!G24+'37-3'!G24+'47-3'!G24+'62-3'!G24+'64-3'!G24+'74-3'!G24</f>
        <v>0</v>
      </c>
      <c r="H278" s="106">
        <f>'01-3'!H24+'02-3'!H24+'03-3'!H24+'04-3'!H24+'05-3'!H24+'08-3'!H24+'09-3'!H24+'10-3'!H24+'11-3'!H24+'12-3'!H24+'13-3'!H24+'14-3'!H24+'15-3'!H24+'16-3'!H24+'17-3'!H24+'18-3'!H24+'19-3'!H24+'21-3'!H24+'22-3'!H24+'24-3'!H24+'25-3'!H24+'28-3'!H24+'29-3'!H24+'30-3'!H24+'32-3'!H24+'35-3'!H24+'37-3'!H24+'47-3'!H24+'62-3'!H24+'64-3'!H24+'74-3'!H24</f>
        <v>0</v>
      </c>
      <c r="I278" s="106">
        <f>'01-3'!I24+'02-3'!I24+'03-3'!I24+'04-3'!I24+'05-3'!I24+'08-3'!I24+'09-3'!I24+'10-3'!I24+'11-3'!I24+'12-3'!I24+'13-3'!I24+'14-3'!I24+'15-3'!I24+'16-3'!I24+'17-3'!I24+'18-3'!I24+'19-3'!I24+'21-3'!I24+'22-3'!I24+'24-3'!I24+'25-3'!I24+'28-3'!I24+'29-3'!I24+'30-3'!I24+'32-3'!I24+'35-3'!I24+'37-3'!I24+'47-3'!I24+'62-3'!I24+'64-3'!I24+'74-3'!I24</f>
        <v>0</v>
      </c>
      <c r="J278" s="106">
        <f>'01-3'!J24+'02-3'!J24+'03-3'!J24+'04-3'!J24+'05-3'!J24+'08-3'!J24+'09-3'!J24+'10-3'!J24+'11-3'!J24+'12-3'!J24+'13-3'!J24+'14-3'!J24+'15-3'!J24+'16-3'!J24+'17-3'!J24+'18-3'!J24+'19-3'!J24+'21-3'!J24+'22-3'!J24+'24-3'!J24+'25-3'!J24+'28-3'!J24+'29-3'!J24+'30-3'!J24+'32-3'!J24+'35-3'!J24+'37-3'!J24+'47-3'!J24+'62-3'!J24+'64-3'!J24+'74-3'!J24</f>
        <v>0</v>
      </c>
      <c r="K278" s="106">
        <f>'01-3'!K24+'02-3'!K24+'03-3'!K24+'04-3'!K24+'05-3'!K24+'08-3'!K24+'09-3'!K24+'10-3'!K24+'11-3'!K24+'12-3'!K24+'13-3'!K24+'14-3'!K24+'15-3'!K24+'16-3'!K24+'17-3'!K24+'18-3'!K24+'19-3'!K24+'21-3'!K24+'22-3'!K24+'24-3'!K24+'25-3'!K24+'28-3'!K24+'29-3'!K24+'30-3'!K24+'32-3'!K24+'35-3'!K24+'37-3'!K24+'47-3'!K24+'62-3'!K24+'64-3'!K24+'74-3'!K24</f>
        <v>0</v>
      </c>
      <c r="L278" s="106">
        <f>'01-3'!L24+'02-3'!L24+'03-3'!L24+'04-3'!L24+'05-3'!L24+'08-3'!L24+'09-3'!L24+'10-3'!L24+'11-3'!L24+'12-3'!L24+'13-3'!L24+'14-3'!L24+'15-3'!L24+'16-3'!L24+'17-3'!L24+'18-3'!L24+'19-3'!L24+'21-3'!L24+'22-3'!L24+'24-3'!L24+'25-3'!L24+'28-3'!L24+'29-3'!L24+'30-3'!L24+'32-3'!L24+'35-3'!L24+'37-3'!L24+'47-3'!L24+'62-3'!L24+'64-3'!L24+'74-3'!L24</f>
        <v>0</v>
      </c>
      <c r="M278" s="106">
        <f>'01-3'!M24+'02-3'!M24+'03-3'!M24+'04-3'!M24+'05-3'!M24+'08-3'!M24+'09-3'!M24+'10-3'!M24+'11-3'!M24+'12-3'!M24+'13-3'!M24+'14-3'!M24+'15-3'!M24+'16-3'!M24+'17-3'!M24+'18-3'!M24+'19-3'!M24+'21-3'!M24+'22-3'!M24+'24-3'!M24+'25-3'!M24+'28-3'!M24+'29-3'!M24+'30-3'!M24+'32-3'!M24+'35-3'!M24+'37-3'!M24+'47-3'!M24+'62-3'!M24+'64-3'!M24+'74-3'!M24</f>
        <v>0</v>
      </c>
      <c r="N278" s="106">
        <f>'01-3'!N24+'02-3'!N24+'03-3'!N24+'04-3'!N24+'05-3'!N24+'08-3'!N24+'09-3'!N24+'10-3'!N24+'11-3'!N24+'12-3'!N24+'13-3'!N24+'14-3'!N24+'15-3'!N24+'16-3'!N24+'17-3'!N24+'18-3'!N24+'19-3'!N24+'21-3'!N24+'22-3'!N24+'24-3'!N24+'25-3'!N24+'28-3'!N24+'29-3'!N24+'30-3'!N24+'32-3'!N24+'35-3'!N24+'37-3'!N24+'47-3'!N24+'62-3'!N24+'64-3'!N24+'74-3'!N24</f>
        <v>0</v>
      </c>
      <c r="O278" s="106">
        <f>'01-3'!O24+'02-3'!O24+'03-3'!O24+'04-3'!O24+'05-3'!O24+'08-3'!O24+'09-3'!O24+'10-3'!O24+'11-3'!O24+'12-3'!O24+'13-3'!O24+'14-3'!O24+'15-3'!O24+'16-3'!O24+'17-3'!O24+'18-3'!O24+'19-3'!O24+'21-3'!O24+'22-3'!O24+'24-3'!O24+'25-3'!O24+'28-3'!O24+'29-3'!O24+'30-3'!O24+'32-3'!O24+'35-3'!O24+'37-3'!O24+'47-3'!O24+'62-3'!O24+'64-3'!O24+'74-3'!O24</f>
        <v>0</v>
      </c>
      <c r="P278" s="106">
        <f>'01-3'!P24+'02-3'!P24+'03-3'!P24+'04-3'!P24+'05-3'!P24+'08-3'!P24+'09-3'!P24+'10-3'!P24+'11-3'!P24+'12-3'!P24+'13-3'!P24+'14-3'!P24+'15-3'!P24+'16-3'!P24+'17-3'!P24+'18-3'!P24+'19-3'!P24+'21-3'!P24+'22-3'!P24+'24-3'!P24+'25-3'!P24+'28-3'!P24+'29-3'!P24+'30-3'!P24+'32-3'!P24+'35-3'!P24+'37-3'!P24+'47-3'!P24+'62-3'!P24+'64-3'!P24+'74-3'!P24</f>
        <v>0</v>
      </c>
      <c r="Q278" s="106">
        <f>'01-3'!Q24+'02-3'!Q24+'03-3'!Q24+'04-3'!Q24+'05-3'!Q24+'08-3'!Q24+'09-3'!Q24+'10-3'!Q24+'11-3'!Q24+'12-3'!Q24+'13-3'!Q24+'14-3'!Q24+'15-3'!Q24+'16-3'!Q24+'17-3'!Q24+'18-3'!Q24+'19-3'!Q24+'21-3'!Q24+'22-3'!Q24+'24-3'!Q24+'25-3'!Q24+'28-3'!Q24+'29-3'!Q24+'30-3'!Q24+'32-3'!Q24+'35-3'!Q24+'37-3'!Q24+'47-3'!Q24+'62-3'!Q24+'64-3'!Q24+'74-3'!Q24</f>
        <v>0</v>
      </c>
      <c r="R278" s="106">
        <f>'01-3'!R24+'02-3'!R24+'03-3'!R24+'04-3'!R24+'05-3'!R24+'08-3'!R24+'09-3'!R24+'10-3'!R24+'11-3'!R24+'12-3'!R24+'13-3'!R24+'14-3'!R24+'15-3'!R24+'16-3'!R24+'17-3'!R24+'18-3'!R24+'19-3'!R24+'21-3'!R24+'22-3'!R24+'24-3'!R24+'25-3'!R24+'28-3'!R24+'29-3'!R24+'30-3'!R24+'32-3'!R24+'35-3'!R24+'37-3'!R24+'47-3'!R24+'62-3'!R24+'64-3'!R24+'74-3'!R24</f>
        <v>0</v>
      </c>
      <c r="S278" s="954"/>
      <c r="T278" s="954"/>
      <c r="U278" s="954"/>
      <c r="V278" s="954"/>
      <c r="W278" s="954"/>
    </row>
    <row r="279" spans="1:23" s="6" customFormat="1" ht="72" hidden="1">
      <c r="A279" s="136">
        <v>19570</v>
      </c>
      <c r="B279" s="108" t="s">
        <v>182</v>
      </c>
      <c r="C279" s="106">
        <f>'01-3'!C25+'02-3'!C25+'03-3'!C25+'04-3'!C25+'05-3'!C25+'08-3'!C25+'09-3'!C25+'10-3'!C25+'11-3'!C25+'12-3'!C25+'13-3'!C25+'14-3'!C25+'15-3'!C25+'16-3'!C25+'17-3'!C25+'18-3'!C25+'19-3'!C25+'21-3'!C25+'22-3'!C25+'24-3'!C25+'25-3'!C25+'28-3'!C25+'29-3'!C25+'30-3'!C25+'32-3'!C25+'35-3'!C25+'37-3'!C25+'47-3'!C25+'62-3'!C25+'64-3'!C25+'74-3'!C25</f>
        <v>0</v>
      </c>
      <c r="D279" s="106">
        <f>'01-3'!D25+'02-3'!D25+'03-3'!D25+'04-3'!D25+'05-3'!D25+'08-3'!D25+'09-3'!D25+'10-3'!D25+'11-3'!D25+'12-3'!D25+'13-3'!D25+'14-3'!D25+'15-3'!D25+'16-3'!D25+'17-3'!D25+'18-3'!D25+'19-3'!D25+'21-3'!D25+'22-3'!D25+'24-3'!D25+'25-3'!D25+'28-3'!D25+'29-3'!D25+'30-3'!D25+'32-3'!D25+'35-3'!D25+'37-3'!D25+'47-3'!D25+'62-3'!D25+'64-3'!D25+'74-3'!D25</f>
        <v>0</v>
      </c>
      <c r="E279" s="106">
        <f>'01-3'!E25+'02-3'!E25+'03-3'!E25+'04-3'!E25+'05-3'!E25+'08-3'!E25+'09-3'!E25+'10-3'!E25+'11-3'!E25+'12-3'!E25+'13-3'!E25+'14-3'!E25+'15-3'!E25+'16-3'!E25+'17-3'!E25+'18-3'!E25+'19-3'!E25+'21-3'!E25+'22-3'!E25+'24-3'!E25+'25-3'!E25+'28-3'!E25+'29-3'!E25+'30-3'!E25+'32-3'!E25+'35-3'!E25+'37-3'!E25+'47-3'!E25+'62-3'!E25+'64-3'!E25+'74-3'!E25</f>
        <v>0</v>
      </c>
      <c r="F279" s="106">
        <f>'01-3'!F25+'02-3'!F25+'03-3'!F25+'04-3'!F25+'05-3'!F25+'08-3'!F25+'09-3'!F25+'10-3'!F25+'11-3'!F25+'12-3'!F25+'13-3'!F25+'14-3'!F25+'15-3'!F25+'16-3'!F25+'17-3'!F25+'18-3'!F25+'19-3'!F25+'21-3'!F25+'22-3'!F25+'24-3'!F25+'25-3'!F25+'28-3'!F25+'29-3'!F25+'30-3'!F25+'32-3'!F25+'35-3'!F25+'37-3'!F25+'47-3'!F25+'62-3'!F25+'64-3'!F25+'74-3'!F25</f>
        <v>0</v>
      </c>
      <c r="G279" s="106">
        <f>'01-3'!G25+'02-3'!G25+'03-3'!G25+'04-3'!G25+'05-3'!G25+'08-3'!G25+'09-3'!G25+'10-3'!G25+'11-3'!G25+'12-3'!G25+'13-3'!G25+'14-3'!G25+'15-3'!G25+'16-3'!G25+'17-3'!G25+'18-3'!G25+'19-3'!G25+'21-3'!G25+'22-3'!G25+'24-3'!G25+'25-3'!G25+'28-3'!G25+'29-3'!G25+'30-3'!G25+'32-3'!G25+'35-3'!G25+'37-3'!G25+'47-3'!G25+'62-3'!G25+'64-3'!G25+'74-3'!G25</f>
        <v>0</v>
      </c>
      <c r="H279" s="106">
        <f>'01-3'!H25+'02-3'!H25+'03-3'!H25+'04-3'!H25+'05-3'!H25+'08-3'!H25+'09-3'!H25+'10-3'!H25+'11-3'!H25+'12-3'!H25+'13-3'!H25+'14-3'!H25+'15-3'!H25+'16-3'!H25+'17-3'!H25+'18-3'!H25+'19-3'!H25+'21-3'!H25+'22-3'!H25+'24-3'!H25+'25-3'!H25+'28-3'!H25+'29-3'!H25+'30-3'!H25+'32-3'!H25+'35-3'!H25+'37-3'!H25+'47-3'!H25+'62-3'!H25+'64-3'!H25+'74-3'!H25</f>
        <v>0</v>
      </c>
      <c r="I279" s="106">
        <f>'01-3'!I25+'02-3'!I25+'03-3'!I25+'04-3'!I25+'05-3'!I25+'08-3'!I25+'09-3'!I25+'10-3'!I25+'11-3'!I25+'12-3'!I25+'13-3'!I25+'14-3'!I25+'15-3'!I25+'16-3'!I25+'17-3'!I25+'18-3'!I25+'19-3'!I25+'21-3'!I25+'22-3'!I25+'24-3'!I25+'25-3'!I25+'28-3'!I25+'29-3'!I25+'30-3'!I25+'32-3'!I25+'35-3'!I25+'37-3'!I25+'47-3'!I25+'62-3'!I25+'64-3'!I25+'74-3'!I25</f>
        <v>0</v>
      </c>
      <c r="J279" s="106">
        <f>'01-3'!J25+'02-3'!J25+'03-3'!J25+'04-3'!J25+'05-3'!J25+'08-3'!J25+'09-3'!J25+'10-3'!J25+'11-3'!J25+'12-3'!J25+'13-3'!J25+'14-3'!J25+'15-3'!J25+'16-3'!J25+'17-3'!J25+'18-3'!J25+'19-3'!J25+'21-3'!J25+'22-3'!J25+'24-3'!J25+'25-3'!J25+'28-3'!J25+'29-3'!J25+'30-3'!J25+'32-3'!J25+'35-3'!J25+'37-3'!J25+'47-3'!J25+'62-3'!J25+'64-3'!J25+'74-3'!J25</f>
        <v>0</v>
      </c>
      <c r="K279" s="106">
        <f>'01-3'!K25+'02-3'!K25+'03-3'!K25+'04-3'!K25+'05-3'!K25+'08-3'!K25+'09-3'!K25+'10-3'!K25+'11-3'!K25+'12-3'!K25+'13-3'!K25+'14-3'!K25+'15-3'!K25+'16-3'!K25+'17-3'!K25+'18-3'!K25+'19-3'!K25+'21-3'!K25+'22-3'!K25+'24-3'!K25+'25-3'!K25+'28-3'!K25+'29-3'!K25+'30-3'!K25+'32-3'!K25+'35-3'!K25+'37-3'!K25+'47-3'!K25+'62-3'!K25+'64-3'!K25+'74-3'!K25</f>
        <v>0</v>
      </c>
      <c r="L279" s="106">
        <f>'01-3'!L25+'02-3'!L25+'03-3'!L25+'04-3'!L25+'05-3'!L25+'08-3'!L25+'09-3'!L25+'10-3'!L25+'11-3'!L25+'12-3'!L25+'13-3'!L25+'14-3'!L25+'15-3'!L25+'16-3'!L25+'17-3'!L25+'18-3'!L25+'19-3'!L25+'21-3'!L25+'22-3'!L25+'24-3'!L25+'25-3'!L25+'28-3'!L25+'29-3'!L25+'30-3'!L25+'32-3'!L25+'35-3'!L25+'37-3'!L25+'47-3'!L25+'62-3'!L25+'64-3'!L25+'74-3'!L25</f>
        <v>0</v>
      </c>
      <c r="M279" s="106">
        <f>'01-3'!M25+'02-3'!M25+'03-3'!M25+'04-3'!M25+'05-3'!M25+'08-3'!M25+'09-3'!M25+'10-3'!M25+'11-3'!M25+'12-3'!M25+'13-3'!M25+'14-3'!M25+'15-3'!M25+'16-3'!M25+'17-3'!M25+'18-3'!M25+'19-3'!M25+'21-3'!M25+'22-3'!M25+'24-3'!M25+'25-3'!M25+'28-3'!M25+'29-3'!M25+'30-3'!M25+'32-3'!M25+'35-3'!M25+'37-3'!M25+'47-3'!M25+'62-3'!M25+'64-3'!M25+'74-3'!M25</f>
        <v>0</v>
      </c>
      <c r="N279" s="106">
        <f>'01-3'!N25+'02-3'!N25+'03-3'!N25+'04-3'!N25+'05-3'!N25+'08-3'!N25+'09-3'!N25+'10-3'!N25+'11-3'!N25+'12-3'!N25+'13-3'!N25+'14-3'!N25+'15-3'!N25+'16-3'!N25+'17-3'!N25+'18-3'!N25+'19-3'!N25+'21-3'!N25+'22-3'!N25+'24-3'!N25+'25-3'!N25+'28-3'!N25+'29-3'!N25+'30-3'!N25+'32-3'!N25+'35-3'!N25+'37-3'!N25+'47-3'!N25+'62-3'!N25+'64-3'!N25+'74-3'!N25</f>
        <v>0</v>
      </c>
      <c r="O279" s="106">
        <f>'01-3'!O25+'02-3'!O25+'03-3'!O25+'04-3'!O25+'05-3'!O25+'08-3'!O25+'09-3'!O25+'10-3'!O25+'11-3'!O25+'12-3'!O25+'13-3'!O25+'14-3'!O25+'15-3'!O25+'16-3'!O25+'17-3'!O25+'18-3'!O25+'19-3'!O25+'21-3'!O25+'22-3'!O25+'24-3'!O25+'25-3'!O25+'28-3'!O25+'29-3'!O25+'30-3'!O25+'32-3'!O25+'35-3'!O25+'37-3'!O25+'47-3'!O25+'62-3'!O25+'64-3'!O25+'74-3'!O25</f>
        <v>0</v>
      </c>
      <c r="P279" s="106">
        <f>'01-3'!P25+'02-3'!P25+'03-3'!P25+'04-3'!P25+'05-3'!P25+'08-3'!P25+'09-3'!P25+'10-3'!P25+'11-3'!P25+'12-3'!P25+'13-3'!P25+'14-3'!P25+'15-3'!P25+'16-3'!P25+'17-3'!P25+'18-3'!P25+'19-3'!P25+'21-3'!P25+'22-3'!P25+'24-3'!P25+'25-3'!P25+'28-3'!P25+'29-3'!P25+'30-3'!P25+'32-3'!P25+'35-3'!P25+'37-3'!P25+'47-3'!P25+'62-3'!P25+'64-3'!P25+'74-3'!P25</f>
        <v>0</v>
      </c>
      <c r="Q279" s="106">
        <f>'01-3'!Q25+'02-3'!Q25+'03-3'!Q25+'04-3'!Q25+'05-3'!Q25+'08-3'!Q25+'09-3'!Q25+'10-3'!Q25+'11-3'!Q25+'12-3'!Q25+'13-3'!Q25+'14-3'!Q25+'15-3'!Q25+'16-3'!Q25+'17-3'!Q25+'18-3'!Q25+'19-3'!Q25+'21-3'!Q25+'22-3'!Q25+'24-3'!Q25+'25-3'!Q25+'28-3'!Q25+'29-3'!Q25+'30-3'!Q25+'32-3'!Q25+'35-3'!Q25+'37-3'!Q25+'47-3'!Q25+'62-3'!Q25+'64-3'!Q25+'74-3'!Q25</f>
        <v>0</v>
      </c>
      <c r="R279" s="106">
        <f>'01-3'!R25+'02-3'!R25+'03-3'!R25+'04-3'!R25+'05-3'!R25+'08-3'!R25+'09-3'!R25+'10-3'!R25+'11-3'!R25+'12-3'!R25+'13-3'!R25+'14-3'!R25+'15-3'!R25+'16-3'!R25+'17-3'!R25+'18-3'!R25+'19-3'!R25+'21-3'!R25+'22-3'!R25+'24-3'!R25+'25-3'!R25+'28-3'!R25+'29-3'!R25+'30-3'!R25+'32-3'!R25+'35-3'!R25+'37-3'!R25+'47-3'!R25+'62-3'!R25+'64-3'!R25+'74-3'!R25</f>
        <v>0</v>
      </c>
      <c r="S279" s="954"/>
      <c r="T279" s="954"/>
      <c r="U279" s="954"/>
      <c r="V279" s="954"/>
      <c r="W279" s="954"/>
    </row>
    <row r="280" spans="1:23" s="6" customFormat="1" ht="24">
      <c r="A280" s="209" t="s">
        <v>222</v>
      </c>
      <c r="B280" s="208" t="s">
        <v>216</v>
      </c>
      <c r="C280" s="106">
        <f>'01-3'!C26+'02-3'!C26+'03-3'!C26+'04-3'!C26+'05-3'!C26+'08-3'!C26+'09-3'!C26+'10-3'!C26+'11-3'!C26+'12-3'!C26+'13-3'!C26+'14-3'!C26+'15-3'!C26+'16-3'!C26+'17-3'!C26+'18-3'!C26+'19-3'!C26+'21-3'!C26+'22-3'!C26+'24-3'!C26+'25-3'!C26+'28-3'!C26+'29-3'!C26+'30-3'!C26+'32-3'!C26+'35-3'!C26+'37-3'!C26+'47-3'!C26+'62-3'!C26+'64-3'!C26+'74-3'!C26</f>
        <v>0</v>
      </c>
      <c r="D280" s="106">
        <f>'01-3'!D26+'02-3'!D26+'03-3'!D26+'04-3'!D26+'05-3'!D26+'08-3'!D26+'09-3'!D26+'10-3'!D26+'11-3'!D26+'12-3'!D26+'13-3'!D26+'14-3'!D26+'15-3'!D26+'16-3'!D26+'17-3'!D26+'18-3'!D26+'19-3'!D26+'21-3'!D26+'22-3'!D26+'24-3'!D26+'25-3'!D26+'28-3'!D26+'29-3'!D26+'30-3'!D26+'32-3'!D26+'35-3'!D26+'37-3'!D26+'47-3'!D26+'62-3'!D26+'64-3'!D26+'74-3'!D26</f>
        <v>1926213</v>
      </c>
      <c r="E280" s="106">
        <f>'01-3'!E26+'02-3'!E26+'03-3'!E26+'04-3'!E26+'05-3'!E26+'08-3'!E26+'09-3'!E26+'10-3'!E26+'11-3'!E26+'12-3'!E26+'13-3'!E26+'14-3'!E26+'15-3'!E26+'16-3'!E26+'17-3'!E26+'18-3'!E26+'19-3'!E26+'21-3'!E26+'22-3'!E26+'24-3'!E26+'25-3'!E26+'28-3'!E26+'29-3'!E26+'30-3'!E26+'32-3'!E26+'35-3'!E26+'37-3'!E26+'47-3'!E26+'62-3'!E26+'64-3'!E26+'74-3'!E26</f>
        <v>849608</v>
      </c>
      <c r="F280" s="106">
        <f>'01-3'!F26+'02-3'!F26+'03-3'!F26+'04-3'!F26+'05-3'!F26+'08-3'!F26+'09-3'!F26+'10-3'!F26+'11-3'!F26+'12-3'!F26+'13-3'!F26+'14-3'!F26+'15-3'!F26+'16-3'!F26+'17-3'!F26+'18-3'!F26+'19-3'!F26+'21-3'!F26+'22-3'!F26+'24-3'!F26+'25-3'!F26+'28-3'!F26+'29-3'!F26+'30-3'!F26+'32-3'!F26+'35-3'!F26+'37-3'!F26+'47-3'!F26+'62-3'!F26+'64-3'!F26+'74-3'!F26</f>
        <v>0</v>
      </c>
      <c r="G280" s="106">
        <f>'01-3'!G26+'02-3'!G26+'03-3'!G26+'04-3'!G26+'05-3'!G26+'08-3'!G26+'09-3'!G26+'10-3'!G26+'11-3'!G26+'12-3'!G26+'13-3'!G26+'14-3'!G26+'15-3'!G26+'16-3'!G26+'17-3'!G26+'18-3'!G26+'19-3'!G26+'21-3'!G26+'22-3'!G26+'24-3'!G26+'25-3'!G26+'28-3'!G26+'29-3'!G26+'30-3'!G26+'32-3'!G26+'35-3'!G26+'37-3'!G26+'47-3'!G26+'62-3'!G26+'64-3'!G26+'74-3'!G26</f>
        <v>0</v>
      </c>
      <c r="H280" s="106">
        <f>'01-3'!H26+'02-3'!H26+'03-3'!H26+'04-3'!H26+'05-3'!H26+'08-3'!H26+'09-3'!H26+'10-3'!H26+'11-3'!H26+'12-3'!H26+'13-3'!H26+'14-3'!H26+'15-3'!H26+'16-3'!H26+'17-3'!H26+'18-3'!H26+'19-3'!H26+'21-3'!H26+'22-3'!H26+'24-3'!H26+'25-3'!H26+'28-3'!H26+'29-3'!H26+'30-3'!H26+'32-3'!H26+'35-3'!H26+'37-3'!H26+'47-3'!H26+'62-3'!H26+'64-3'!H26+'74-3'!H26</f>
        <v>2775821</v>
      </c>
      <c r="I280" s="106">
        <f>'01-3'!I26+'02-3'!I26+'03-3'!I26+'04-3'!I26+'05-3'!I26+'08-3'!I26+'09-3'!I26+'10-3'!I26+'11-3'!I26+'12-3'!I26+'13-3'!I26+'14-3'!I26+'15-3'!I26+'16-3'!I26+'17-3'!I26+'18-3'!I26+'19-3'!I26+'21-3'!I26+'22-3'!I26+'24-3'!I26+'25-3'!I26+'28-3'!I26+'29-3'!I26+'30-3'!I26+'32-3'!I26+'35-3'!I26+'37-3'!I26+'47-3'!I26+'62-3'!I26+'64-3'!I26+'74-3'!I26</f>
        <v>758595</v>
      </c>
      <c r="J280" s="106">
        <f>'01-3'!J26+'02-3'!J26+'03-3'!J26+'04-3'!J26+'05-3'!J26+'08-3'!J26+'09-3'!J26+'10-3'!J26+'11-3'!J26+'12-3'!J26+'13-3'!J26+'14-3'!J26+'15-3'!J26+'16-3'!J26+'17-3'!J26+'18-3'!J26+'19-3'!J26+'21-3'!J26+'22-3'!J26+'24-3'!J26+'25-3'!J26+'28-3'!J26+'29-3'!J26+'30-3'!J26+'32-3'!J26+'35-3'!J26+'37-3'!J26+'47-3'!J26+'62-3'!J26+'64-3'!J26+'74-3'!J26</f>
        <v>700472</v>
      </c>
      <c r="K280" s="106">
        <f>'01-3'!K26+'02-3'!K26+'03-3'!K26+'04-3'!K26+'05-3'!K26+'08-3'!K26+'09-3'!K26+'10-3'!K26+'11-3'!K26+'12-3'!K26+'13-3'!K26+'14-3'!K26+'15-3'!K26+'16-3'!K26+'17-3'!K26+'18-3'!K26+'19-3'!K26+'21-3'!K26+'22-3'!K26+'24-3'!K26+'25-3'!K26+'28-3'!K26+'29-3'!K26+'30-3'!K26+'32-3'!K26+'35-3'!K26+'37-3'!K26+'47-3'!K26+'62-3'!K26+'64-3'!K26+'74-3'!K26</f>
        <v>0</v>
      </c>
      <c r="L280" s="106">
        <f>'01-3'!L26+'02-3'!L26+'03-3'!L26+'04-3'!L26+'05-3'!L26+'08-3'!L26+'09-3'!L26+'10-3'!L26+'11-3'!L26+'12-3'!L26+'13-3'!L26+'14-3'!L26+'15-3'!L26+'16-3'!L26+'17-3'!L26+'18-3'!L26+'19-3'!L26+'21-3'!L26+'22-3'!L26+'24-3'!L26+'25-3'!L26+'28-3'!L26+'29-3'!L26+'30-3'!L26+'32-3'!L26+'35-3'!L26+'37-3'!L26+'47-3'!L26+'62-3'!L26+'64-3'!L26+'74-3'!L26</f>
        <v>0</v>
      </c>
      <c r="M280" s="106">
        <f>'01-3'!M26+'02-3'!M26+'03-3'!M26+'04-3'!M26+'05-3'!M26+'08-3'!M26+'09-3'!M26+'10-3'!M26+'11-3'!M26+'12-3'!M26+'13-3'!M26+'14-3'!M26+'15-3'!M26+'16-3'!M26+'17-3'!M26+'18-3'!M26+'19-3'!M26+'21-3'!M26+'22-3'!M26+'24-3'!M26+'25-3'!M26+'28-3'!M26+'29-3'!M26+'30-3'!M26+'32-3'!M26+'35-3'!M26+'37-3'!M26+'47-3'!M26+'62-3'!M26+'64-3'!M26+'74-3'!M26</f>
        <v>1459067</v>
      </c>
      <c r="N280" s="106">
        <f>'01-3'!N26+'02-3'!N26+'03-3'!N26+'04-3'!N26+'05-3'!N26+'08-3'!N26+'09-3'!N26+'10-3'!N26+'11-3'!N26+'12-3'!N26+'13-3'!N26+'14-3'!N26+'15-3'!N26+'16-3'!N26+'17-3'!N26+'18-3'!N26+'19-3'!N26+'21-3'!N26+'22-3'!N26+'24-3'!N26+'25-3'!N26+'28-3'!N26+'29-3'!N26+'30-3'!N26+'32-3'!N26+'35-3'!N26+'37-3'!N26+'47-3'!N26+'62-3'!N26+'64-3'!N26+'74-3'!N26</f>
        <v>0</v>
      </c>
      <c r="O280" s="106">
        <f>'01-3'!O26+'02-3'!O26+'03-3'!O26+'04-3'!O26+'05-3'!O26+'08-3'!O26+'09-3'!O26+'10-3'!O26+'11-3'!O26+'12-3'!O26+'13-3'!O26+'14-3'!O26+'15-3'!O26+'16-3'!O26+'17-3'!O26+'18-3'!O26+'19-3'!O26+'21-3'!O26+'22-3'!O26+'24-3'!O26+'25-3'!O26+'28-3'!O26+'29-3'!O26+'30-3'!O26+'32-3'!O26+'35-3'!O26+'37-3'!O26+'47-3'!O26+'62-3'!O26+'64-3'!O26+'74-3'!O26</f>
        <v>255589</v>
      </c>
      <c r="P280" s="106">
        <f>'01-3'!P26+'02-3'!P26+'03-3'!P26+'04-3'!P26+'05-3'!P26+'08-3'!P26+'09-3'!P26+'10-3'!P26+'11-3'!P26+'12-3'!P26+'13-3'!P26+'14-3'!P26+'15-3'!P26+'16-3'!P26+'17-3'!P26+'18-3'!P26+'19-3'!P26+'21-3'!P26+'22-3'!P26+'24-3'!P26+'25-3'!P26+'28-3'!P26+'29-3'!P26+'30-3'!P26+'32-3'!P26+'35-3'!P26+'37-3'!P26+'47-3'!P26+'62-3'!P26+'64-3'!P26+'74-3'!P26</f>
        <v>0</v>
      </c>
      <c r="Q280" s="106">
        <f>'01-3'!Q26+'02-3'!Q26+'03-3'!Q26+'04-3'!Q26+'05-3'!Q26+'08-3'!Q26+'09-3'!Q26+'10-3'!Q26+'11-3'!Q26+'12-3'!Q26+'13-3'!Q26+'14-3'!Q26+'15-3'!Q26+'16-3'!Q26+'17-3'!Q26+'18-3'!Q26+'19-3'!Q26+'21-3'!Q26+'22-3'!Q26+'24-3'!Q26+'25-3'!Q26+'28-3'!Q26+'29-3'!Q26+'30-3'!Q26+'32-3'!Q26+'35-3'!Q26+'37-3'!Q26+'47-3'!Q26+'62-3'!Q26+'64-3'!Q26+'74-3'!Q26</f>
        <v>0</v>
      </c>
      <c r="R280" s="106">
        <f>'01-3'!R26+'02-3'!R26+'03-3'!R26+'04-3'!R26+'05-3'!R26+'08-3'!R26+'09-3'!R26+'10-3'!R26+'11-3'!R26+'12-3'!R26+'13-3'!R26+'14-3'!R26+'15-3'!R26+'16-3'!R26+'17-3'!R26+'18-3'!R26+'19-3'!R26+'21-3'!R26+'22-3'!R26+'24-3'!R26+'25-3'!R26+'28-3'!R26+'29-3'!R26+'30-3'!R26+'32-3'!R26+'35-3'!R26+'37-3'!R26+'47-3'!R26+'62-3'!R26+'64-3'!R26+'74-3'!R26</f>
        <v>255589</v>
      </c>
      <c r="S280" s="954"/>
      <c r="T280" s="954"/>
      <c r="U280" s="954"/>
      <c r="V280" s="954"/>
      <c r="W280" s="954"/>
    </row>
    <row r="281" spans="1:23" s="6" customFormat="1" ht="36">
      <c r="A281" s="209">
        <v>17100</v>
      </c>
      <c r="B281" s="208" t="s">
        <v>217</v>
      </c>
      <c r="C281" s="106">
        <f>'01-3'!C27+'02-3'!C27+'03-3'!C27+'04-3'!C27+'05-3'!C27+'08-3'!C27+'09-3'!C27+'10-3'!C27+'11-3'!C27+'12-3'!C27+'13-3'!C27+'14-3'!C27+'15-3'!C27+'16-3'!C27+'17-3'!C27+'18-3'!C27+'19-3'!C27+'21-3'!C27+'22-3'!C27+'24-3'!C27+'25-3'!C27+'28-3'!C27+'29-3'!C27+'30-3'!C27+'32-3'!C27+'35-3'!C27+'37-3'!C27+'47-3'!C27+'62-3'!C27+'64-3'!C27+'74-3'!C27</f>
        <v>0</v>
      </c>
      <c r="D281" s="106">
        <f>'01-3'!D27+'02-3'!D27+'03-3'!D27+'04-3'!D27+'05-3'!D27+'08-3'!D27+'09-3'!D27+'10-3'!D27+'11-3'!D27+'12-3'!D27+'13-3'!D27+'14-3'!D27+'15-3'!D27+'16-3'!D27+'17-3'!D27+'18-3'!D27+'19-3'!D27+'21-3'!D27+'22-3'!D27+'24-3'!D27+'25-3'!D27+'28-3'!D27+'29-3'!D27+'30-3'!D27+'32-3'!D27+'35-3'!D27+'37-3'!D27+'47-3'!D27+'62-3'!D27+'64-3'!D27+'74-3'!D27</f>
        <v>1926213</v>
      </c>
      <c r="E281" s="106">
        <f>'01-3'!E27+'02-3'!E27+'03-3'!E27+'04-3'!E27+'05-3'!E27+'08-3'!E27+'09-3'!E27+'10-3'!E27+'11-3'!E27+'12-3'!E27+'13-3'!E27+'14-3'!E27+'15-3'!E27+'16-3'!E27+'17-3'!E27+'18-3'!E27+'19-3'!E27+'21-3'!E27+'22-3'!E27+'24-3'!E27+'25-3'!E27+'28-3'!E27+'29-3'!E27+'30-3'!E27+'32-3'!E27+'35-3'!E27+'37-3'!E27+'47-3'!E27+'62-3'!E27+'64-3'!E27+'74-3'!E27</f>
        <v>849608</v>
      </c>
      <c r="F281" s="106">
        <f>'01-3'!F27+'02-3'!F27+'03-3'!F27+'04-3'!F27+'05-3'!F27+'08-3'!F27+'09-3'!F27+'10-3'!F27+'11-3'!F27+'12-3'!F27+'13-3'!F27+'14-3'!F27+'15-3'!F27+'16-3'!F27+'17-3'!F27+'18-3'!F27+'19-3'!F27+'21-3'!F27+'22-3'!F27+'24-3'!F27+'25-3'!F27+'28-3'!F27+'29-3'!F27+'30-3'!F27+'32-3'!F27+'35-3'!F27+'37-3'!F27+'47-3'!F27+'62-3'!F27+'64-3'!F27+'74-3'!F27</f>
        <v>0</v>
      </c>
      <c r="G281" s="106">
        <f>'01-3'!G27+'02-3'!G27+'03-3'!G27+'04-3'!G27+'05-3'!G27+'08-3'!G27+'09-3'!G27+'10-3'!G27+'11-3'!G27+'12-3'!G27+'13-3'!G27+'14-3'!G27+'15-3'!G27+'16-3'!G27+'17-3'!G27+'18-3'!G27+'19-3'!G27+'21-3'!G27+'22-3'!G27+'24-3'!G27+'25-3'!G27+'28-3'!G27+'29-3'!G27+'30-3'!G27+'32-3'!G27+'35-3'!G27+'37-3'!G27+'47-3'!G27+'62-3'!G27+'64-3'!G27+'74-3'!G27</f>
        <v>0</v>
      </c>
      <c r="H281" s="106">
        <f>'01-3'!H27+'02-3'!H27+'03-3'!H27+'04-3'!H27+'05-3'!H27+'08-3'!H27+'09-3'!H27+'10-3'!H27+'11-3'!H27+'12-3'!H27+'13-3'!H27+'14-3'!H27+'15-3'!H27+'16-3'!H27+'17-3'!H27+'18-3'!H27+'19-3'!H27+'21-3'!H27+'22-3'!H27+'24-3'!H27+'25-3'!H27+'28-3'!H27+'29-3'!H27+'30-3'!H27+'32-3'!H27+'35-3'!H27+'37-3'!H27+'47-3'!H27+'62-3'!H27+'64-3'!H27+'74-3'!H27</f>
        <v>2775821</v>
      </c>
      <c r="I281" s="106">
        <f>'01-3'!I27+'02-3'!I27+'03-3'!I27+'04-3'!I27+'05-3'!I27+'08-3'!I27+'09-3'!I27+'10-3'!I27+'11-3'!I27+'12-3'!I27+'13-3'!I27+'14-3'!I27+'15-3'!I27+'16-3'!I27+'17-3'!I27+'18-3'!I27+'19-3'!I27+'21-3'!I27+'22-3'!I27+'24-3'!I27+'25-3'!I27+'28-3'!I27+'29-3'!I27+'30-3'!I27+'32-3'!I27+'35-3'!I27+'37-3'!I27+'47-3'!I27+'62-3'!I27+'64-3'!I27+'74-3'!I27</f>
        <v>758595</v>
      </c>
      <c r="J281" s="106">
        <f>'01-3'!J27+'02-3'!J27+'03-3'!J27+'04-3'!J27+'05-3'!J27+'08-3'!J27+'09-3'!J27+'10-3'!J27+'11-3'!J27+'12-3'!J27+'13-3'!J27+'14-3'!J27+'15-3'!J27+'16-3'!J27+'17-3'!J27+'18-3'!J27+'19-3'!J27+'21-3'!J27+'22-3'!J27+'24-3'!J27+'25-3'!J27+'28-3'!J27+'29-3'!J27+'30-3'!J27+'32-3'!J27+'35-3'!J27+'37-3'!J27+'47-3'!J27+'62-3'!J27+'64-3'!J27+'74-3'!J27</f>
        <v>700472</v>
      </c>
      <c r="K281" s="106">
        <f>'01-3'!K27+'02-3'!K27+'03-3'!K27+'04-3'!K27+'05-3'!K27+'08-3'!K27+'09-3'!K27+'10-3'!K27+'11-3'!K27+'12-3'!K27+'13-3'!K27+'14-3'!K27+'15-3'!K27+'16-3'!K27+'17-3'!K27+'18-3'!K27+'19-3'!K27+'21-3'!K27+'22-3'!K27+'24-3'!K27+'25-3'!K27+'28-3'!K27+'29-3'!K27+'30-3'!K27+'32-3'!K27+'35-3'!K27+'37-3'!K27+'47-3'!K27+'62-3'!K27+'64-3'!K27+'74-3'!K27</f>
        <v>0</v>
      </c>
      <c r="L281" s="106">
        <f>'01-3'!L27+'02-3'!L27+'03-3'!L27+'04-3'!L27+'05-3'!L27+'08-3'!L27+'09-3'!L27+'10-3'!L27+'11-3'!L27+'12-3'!L27+'13-3'!L27+'14-3'!L27+'15-3'!L27+'16-3'!L27+'17-3'!L27+'18-3'!L27+'19-3'!L27+'21-3'!L27+'22-3'!L27+'24-3'!L27+'25-3'!L27+'28-3'!L27+'29-3'!L27+'30-3'!L27+'32-3'!L27+'35-3'!L27+'37-3'!L27+'47-3'!L27+'62-3'!L27+'64-3'!L27+'74-3'!L27</f>
        <v>0</v>
      </c>
      <c r="M281" s="106">
        <f>'01-3'!M27+'02-3'!M27+'03-3'!M27+'04-3'!M27+'05-3'!M27+'08-3'!M27+'09-3'!M27+'10-3'!M27+'11-3'!M27+'12-3'!M27+'13-3'!M27+'14-3'!M27+'15-3'!M27+'16-3'!M27+'17-3'!M27+'18-3'!M27+'19-3'!M27+'21-3'!M27+'22-3'!M27+'24-3'!M27+'25-3'!M27+'28-3'!M27+'29-3'!M27+'30-3'!M27+'32-3'!M27+'35-3'!M27+'37-3'!M27+'47-3'!M27+'62-3'!M27+'64-3'!M27+'74-3'!M27</f>
        <v>1459067</v>
      </c>
      <c r="N281" s="106">
        <f>'01-3'!N27+'02-3'!N27+'03-3'!N27+'04-3'!N27+'05-3'!N27+'08-3'!N27+'09-3'!N27+'10-3'!N27+'11-3'!N27+'12-3'!N27+'13-3'!N27+'14-3'!N27+'15-3'!N27+'16-3'!N27+'17-3'!N27+'18-3'!N27+'19-3'!N27+'21-3'!N27+'22-3'!N27+'24-3'!N27+'25-3'!N27+'28-3'!N27+'29-3'!N27+'30-3'!N27+'32-3'!N27+'35-3'!N27+'37-3'!N27+'47-3'!N27+'62-3'!N27+'64-3'!N27+'74-3'!N27</f>
        <v>0</v>
      </c>
      <c r="O281" s="106">
        <f>'01-3'!O27+'02-3'!O27+'03-3'!O27+'04-3'!O27+'05-3'!O27+'08-3'!O27+'09-3'!O27+'10-3'!O27+'11-3'!O27+'12-3'!O27+'13-3'!O27+'14-3'!O27+'15-3'!O27+'16-3'!O27+'17-3'!O27+'18-3'!O27+'19-3'!O27+'21-3'!O27+'22-3'!O27+'24-3'!O27+'25-3'!O27+'28-3'!O27+'29-3'!O27+'30-3'!O27+'32-3'!O27+'35-3'!O27+'37-3'!O27+'47-3'!O27+'62-3'!O27+'64-3'!O27+'74-3'!O27</f>
        <v>255589</v>
      </c>
      <c r="P281" s="106">
        <f>'01-3'!P27+'02-3'!P27+'03-3'!P27+'04-3'!P27+'05-3'!P27+'08-3'!P27+'09-3'!P27+'10-3'!P27+'11-3'!P27+'12-3'!P27+'13-3'!P27+'14-3'!P27+'15-3'!P27+'16-3'!P27+'17-3'!P27+'18-3'!P27+'19-3'!P27+'21-3'!P27+'22-3'!P27+'24-3'!P27+'25-3'!P27+'28-3'!P27+'29-3'!P27+'30-3'!P27+'32-3'!P27+'35-3'!P27+'37-3'!P27+'47-3'!P27+'62-3'!P27+'64-3'!P27+'74-3'!P27</f>
        <v>0</v>
      </c>
      <c r="Q281" s="106">
        <f>'01-3'!Q27+'02-3'!Q27+'03-3'!Q27+'04-3'!Q27+'05-3'!Q27+'08-3'!Q27+'09-3'!Q27+'10-3'!Q27+'11-3'!Q27+'12-3'!Q27+'13-3'!Q27+'14-3'!Q27+'15-3'!Q27+'16-3'!Q27+'17-3'!Q27+'18-3'!Q27+'19-3'!Q27+'21-3'!Q27+'22-3'!Q27+'24-3'!Q27+'25-3'!Q27+'28-3'!Q27+'29-3'!Q27+'30-3'!Q27+'32-3'!Q27+'35-3'!Q27+'37-3'!Q27+'47-3'!Q27+'62-3'!Q27+'64-3'!Q27+'74-3'!Q27</f>
        <v>0</v>
      </c>
      <c r="R281" s="106">
        <f>'01-3'!R27+'02-3'!R27+'03-3'!R27+'04-3'!R27+'05-3'!R27+'08-3'!R27+'09-3'!R27+'10-3'!R27+'11-3'!R27+'12-3'!R27+'13-3'!R27+'14-3'!R27+'15-3'!R27+'16-3'!R27+'17-3'!R27+'18-3'!R27+'19-3'!R27+'21-3'!R27+'22-3'!R27+'24-3'!R27+'25-3'!R27+'28-3'!R27+'29-3'!R27+'30-3'!R27+'32-3'!R27+'35-3'!R27+'37-3'!R27+'47-3'!R27+'62-3'!R27+'64-3'!R27+'74-3'!R27</f>
        <v>255589</v>
      </c>
      <c r="S281" s="954"/>
      <c r="T281" s="954"/>
      <c r="U281" s="954"/>
      <c r="V281" s="954"/>
      <c r="W281" s="954"/>
    </row>
    <row r="282" spans="1:23" s="6" customFormat="1" ht="60">
      <c r="A282" s="149">
        <v>17110</v>
      </c>
      <c r="B282" s="208" t="s">
        <v>218</v>
      </c>
      <c r="C282" s="106">
        <f>'01-3'!C28+'02-3'!C28+'03-3'!C28+'04-3'!C28+'05-3'!C28+'08-3'!C28+'09-3'!C28+'10-3'!C28+'11-3'!C28+'12-3'!C28+'13-3'!C28+'14-3'!C28+'15-3'!C28+'16-3'!C28+'17-3'!C28+'18-3'!C28+'19-3'!C28+'21-3'!C28+'22-3'!C28+'24-3'!C28+'25-3'!C28+'28-3'!C28+'29-3'!C28+'30-3'!C28+'32-3'!C28+'35-3'!C28+'37-3'!C28+'47-3'!C28+'62-3'!C28+'64-3'!C28+'74-3'!C28</f>
        <v>0</v>
      </c>
      <c r="D282" s="106">
        <f>'01-3'!D28+'02-3'!D28+'03-3'!D28+'04-3'!D28+'05-3'!D28+'08-3'!D28+'09-3'!D28+'10-3'!D28+'11-3'!D28+'12-3'!D28+'13-3'!D28+'14-3'!D28+'15-3'!D28+'16-3'!D28+'17-3'!D28+'18-3'!D28+'19-3'!D28+'21-3'!D28+'22-3'!D28+'24-3'!D28+'25-3'!D28+'28-3'!D28+'29-3'!D28+'30-3'!D28+'32-3'!D28+'35-3'!D28+'37-3'!D28+'47-3'!D28+'62-3'!D28+'64-3'!D28+'74-3'!D28</f>
        <v>1926213</v>
      </c>
      <c r="E282" s="106">
        <f>'01-3'!E28+'02-3'!E28+'03-3'!E28+'04-3'!E28+'05-3'!E28+'08-3'!E28+'09-3'!E28+'10-3'!E28+'11-3'!E28+'12-3'!E28+'13-3'!E28+'14-3'!E28+'15-3'!E28+'16-3'!E28+'17-3'!E28+'18-3'!E28+'19-3'!E28+'21-3'!E28+'22-3'!E28+'24-3'!E28+'25-3'!E28+'28-3'!E28+'29-3'!E28+'30-3'!E28+'32-3'!E28+'35-3'!E28+'37-3'!E28+'47-3'!E28+'62-3'!E28+'64-3'!E28+'74-3'!E28</f>
        <v>849608</v>
      </c>
      <c r="F282" s="106">
        <f>'01-3'!F28+'02-3'!F28+'03-3'!F28+'04-3'!F28+'05-3'!F28+'08-3'!F28+'09-3'!F28+'10-3'!F28+'11-3'!F28+'12-3'!F28+'13-3'!F28+'14-3'!F28+'15-3'!F28+'16-3'!F28+'17-3'!F28+'18-3'!F28+'19-3'!F28+'21-3'!F28+'22-3'!F28+'24-3'!F28+'25-3'!F28+'28-3'!F28+'29-3'!F28+'30-3'!F28+'32-3'!F28+'35-3'!F28+'37-3'!F28+'47-3'!F28+'62-3'!F28+'64-3'!F28+'74-3'!F28</f>
        <v>0</v>
      </c>
      <c r="G282" s="106">
        <f>'01-3'!G28+'02-3'!G28+'03-3'!G28+'04-3'!G28+'05-3'!G28+'08-3'!G28+'09-3'!G28+'10-3'!G28+'11-3'!G28+'12-3'!G28+'13-3'!G28+'14-3'!G28+'15-3'!G28+'16-3'!G28+'17-3'!G28+'18-3'!G28+'19-3'!G28+'21-3'!G28+'22-3'!G28+'24-3'!G28+'25-3'!G28+'28-3'!G28+'29-3'!G28+'30-3'!G28+'32-3'!G28+'35-3'!G28+'37-3'!G28+'47-3'!G28+'62-3'!G28+'64-3'!G28+'74-3'!G28</f>
        <v>0</v>
      </c>
      <c r="H282" s="106">
        <f>'01-3'!H28+'02-3'!H28+'03-3'!H28+'04-3'!H28+'05-3'!H28+'08-3'!H28+'09-3'!H28+'10-3'!H28+'11-3'!H28+'12-3'!H28+'13-3'!H28+'14-3'!H28+'15-3'!H28+'16-3'!H28+'17-3'!H28+'18-3'!H28+'19-3'!H28+'21-3'!H28+'22-3'!H28+'24-3'!H28+'25-3'!H28+'28-3'!H28+'29-3'!H28+'30-3'!H28+'32-3'!H28+'35-3'!H28+'37-3'!H28+'47-3'!H28+'62-3'!H28+'64-3'!H28+'74-3'!H28</f>
        <v>2775821</v>
      </c>
      <c r="I282" s="106">
        <f>'01-3'!I28+'02-3'!I28+'03-3'!I28+'04-3'!I28+'05-3'!I28+'08-3'!I28+'09-3'!I28+'10-3'!I28+'11-3'!I28+'12-3'!I28+'13-3'!I28+'14-3'!I28+'15-3'!I28+'16-3'!I28+'17-3'!I28+'18-3'!I28+'19-3'!I28+'21-3'!I28+'22-3'!I28+'24-3'!I28+'25-3'!I28+'28-3'!I28+'29-3'!I28+'30-3'!I28+'32-3'!I28+'35-3'!I28+'37-3'!I28+'47-3'!I28+'62-3'!I28+'64-3'!I28+'74-3'!I28</f>
        <v>758595</v>
      </c>
      <c r="J282" s="106">
        <f>'01-3'!J28+'02-3'!J28+'03-3'!J28+'04-3'!J28+'05-3'!J28+'08-3'!J28+'09-3'!J28+'10-3'!J28+'11-3'!J28+'12-3'!J28+'13-3'!J28+'14-3'!J28+'15-3'!J28+'16-3'!J28+'17-3'!J28+'18-3'!J28+'19-3'!J28+'21-3'!J28+'22-3'!J28+'24-3'!J28+'25-3'!J28+'28-3'!J28+'29-3'!J28+'30-3'!J28+'32-3'!J28+'35-3'!J28+'37-3'!J28+'47-3'!J28+'62-3'!J28+'64-3'!J28+'74-3'!J28</f>
        <v>700472</v>
      </c>
      <c r="K282" s="106">
        <f>'01-3'!K28+'02-3'!K28+'03-3'!K28+'04-3'!K28+'05-3'!K28+'08-3'!K28+'09-3'!K28+'10-3'!K28+'11-3'!K28+'12-3'!K28+'13-3'!K28+'14-3'!K28+'15-3'!K28+'16-3'!K28+'17-3'!K28+'18-3'!K28+'19-3'!K28+'21-3'!K28+'22-3'!K28+'24-3'!K28+'25-3'!K28+'28-3'!K28+'29-3'!K28+'30-3'!K28+'32-3'!K28+'35-3'!K28+'37-3'!K28+'47-3'!K28+'62-3'!K28+'64-3'!K28+'74-3'!K28</f>
        <v>0</v>
      </c>
      <c r="L282" s="106">
        <f>'01-3'!L28+'02-3'!L28+'03-3'!L28+'04-3'!L28+'05-3'!L28+'08-3'!L28+'09-3'!L28+'10-3'!L28+'11-3'!L28+'12-3'!L28+'13-3'!L28+'14-3'!L28+'15-3'!L28+'16-3'!L28+'17-3'!L28+'18-3'!L28+'19-3'!L28+'21-3'!L28+'22-3'!L28+'24-3'!L28+'25-3'!L28+'28-3'!L28+'29-3'!L28+'30-3'!L28+'32-3'!L28+'35-3'!L28+'37-3'!L28+'47-3'!L28+'62-3'!L28+'64-3'!L28+'74-3'!L28</f>
        <v>0</v>
      </c>
      <c r="M282" s="106">
        <f>'01-3'!M28+'02-3'!M28+'03-3'!M28+'04-3'!M28+'05-3'!M28+'08-3'!M28+'09-3'!M28+'10-3'!M28+'11-3'!M28+'12-3'!M28+'13-3'!M28+'14-3'!M28+'15-3'!M28+'16-3'!M28+'17-3'!M28+'18-3'!M28+'19-3'!M28+'21-3'!M28+'22-3'!M28+'24-3'!M28+'25-3'!M28+'28-3'!M28+'29-3'!M28+'30-3'!M28+'32-3'!M28+'35-3'!M28+'37-3'!M28+'47-3'!M28+'62-3'!M28+'64-3'!M28+'74-3'!M28</f>
        <v>1459067</v>
      </c>
      <c r="N282" s="106">
        <f>'01-3'!N28+'02-3'!N28+'03-3'!N28+'04-3'!N28+'05-3'!N28+'08-3'!N28+'09-3'!N28+'10-3'!N28+'11-3'!N28+'12-3'!N28+'13-3'!N28+'14-3'!N28+'15-3'!N28+'16-3'!N28+'17-3'!N28+'18-3'!N28+'19-3'!N28+'21-3'!N28+'22-3'!N28+'24-3'!N28+'25-3'!N28+'28-3'!N28+'29-3'!N28+'30-3'!N28+'32-3'!N28+'35-3'!N28+'37-3'!N28+'47-3'!N28+'62-3'!N28+'64-3'!N28+'74-3'!N28</f>
        <v>0</v>
      </c>
      <c r="O282" s="106">
        <f>'01-3'!O28+'02-3'!O28+'03-3'!O28+'04-3'!O28+'05-3'!O28+'08-3'!O28+'09-3'!O28+'10-3'!O28+'11-3'!O28+'12-3'!O28+'13-3'!O28+'14-3'!O28+'15-3'!O28+'16-3'!O28+'17-3'!O28+'18-3'!O28+'19-3'!O28+'21-3'!O28+'22-3'!O28+'24-3'!O28+'25-3'!O28+'28-3'!O28+'29-3'!O28+'30-3'!O28+'32-3'!O28+'35-3'!O28+'37-3'!O28+'47-3'!O28+'62-3'!O28+'64-3'!O28+'74-3'!O28</f>
        <v>255589</v>
      </c>
      <c r="P282" s="106">
        <f>'01-3'!P28+'02-3'!P28+'03-3'!P28+'04-3'!P28+'05-3'!P28+'08-3'!P28+'09-3'!P28+'10-3'!P28+'11-3'!P28+'12-3'!P28+'13-3'!P28+'14-3'!P28+'15-3'!P28+'16-3'!P28+'17-3'!P28+'18-3'!P28+'19-3'!P28+'21-3'!P28+'22-3'!P28+'24-3'!P28+'25-3'!P28+'28-3'!P28+'29-3'!P28+'30-3'!P28+'32-3'!P28+'35-3'!P28+'37-3'!P28+'47-3'!P28+'62-3'!P28+'64-3'!P28+'74-3'!P28</f>
        <v>0</v>
      </c>
      <c r="Q282" s="106">
        <f>'01-3'!Q28+'02-3'!Q28+'03-3'!Q28+'04-3'!Q28+'05-3'!Q28+'08-3'!Q28+'09-3'!Q28+'10-3'!Q28+'11-3'!Q28+'12-3'!Q28+'13-3'!Q28+'14-3'!Q28+'15-3'!Q28+'16-3'!Q28+'17-3'!Q28+'18-3'!Q28+'19-3'!Q28+'21-3'!Q28+'22-3'!Q28+'24-3'!Q28+'25-3'!Q28+'28-3'!Q28+'29-3'!Q28+'30-3'!Q28+'32-3'!Q28+'35-3'!Q28+'37-3'!Q28+'47-3'!Q28+'62-3'!Q28+'64-3'!Q28+'74-3'!Q28</f>
        <v>0</v>
      </c>
      <c r="R282" s="106">
        <f>'01-3'!R28+'02-3'!R28+'03-3'!R28+'04-3'!R28+'05-3'!R28+'08-3'!R28+'09-3'!R28+'10-3'!R28+'11-3'!R28+'12-3'!R28+'13-3'!R28+'14-3'!R28+'15-3'!R28+'16-3'!R28+'17-3'!R28+'18-3'!R28+'19-3'!R28+'21-3'!R28+'22-3'!R28+'24-3'!R28+'25-3'!R28+'28-3'!R28+'29-3'!R28+'30-3'!R28+'32-3'!R28+'35-3'!R28+'37-3'!R28+'47-3'!R28+'62-3'!R28+'64-3'!R28+'74-3'!R28</f>
        <v>255589</v>
      </c>
      <c r="S282" s="954"/>
      <c r="T282" s="954"/>
      <c r="U282" s="954"/>
      <c r="V282" s="954"/>
      <c r="W282" s="954"/>
    </row>
    <row r="283" spans="1:23" s="6" customFormat="1" ht="60" hidden="1">
      <c r="A283" s="149">
        <v>17120</v>
      </c>
      <c r="B283" s="208" t="s">
        <v>219</v>
      </c>
      <c r="C283" s="106">
        <f>'01-3'!C29+'02-3'!C29+'03-3'!C29+'04-3'!C29+'05-3'!C29+'08-3'!C29+'09-3'!C29+'10-3'!C29+'11-3'!C29+'12-3'!C29+'13-3'!C29+'14-3'!C29+'15-3'!C29+'16-3'!C29+'17-3'!C29+'18-3'!C29+'19-3'!C29+'21-3'!C29+'22-3'!C29+'24-3'!C29+'25-3'!C29+'28-3'!C29+'29-3'!C29+'30-3'!C29+'32-3'!C29+'35-3'!C29+'37-3'!C29+'47-3'!C29+'62-3'!C29+'64-3'!C29+'74-3'!C29</f>
        <v>0</v>
      </c>
      <c r="D283" s="106">
        <f>'01-3'!D29+'02-3'!D29+'03-3'!D29+'04-3'!D29+'05-3'!D29+'08-3'!D29+'09-3'!D29+'10-3'!D29+'11-3'!D29+'12-3'!D29+'13-3'!D29+'14-3'!D29+'15-3'!D29+'16-3'!D29+'17-3'!D29+'18-3'!D29+'19-3'!D29+'21-3'!D29+'22-3'!D29+'24-3'!D29+'25-3'!D29+'28-3'!D29+'29-3'!D29+'30-3'!D29+'32-3'!D29+'35-3'!D29+'37-3'!D29+'47-3'!D29+'62-3'!D29+'64-3'!D29+'74-3'!D29</f>
        <v>0</v>
      </c>
      <c r="E283" s="106">
        <f>'01-3'!E29+'02-3'!E29+'03-3'!E29+'04-3'!E29+'05-3'!E29+'08-3'!E29+'09-3'!E29+'10-3'!E29+'11-3'!E29+'12-3'!E29+'13-3'!E29+'14-3'!E29+'15-3'!E29+'16-3'!E29+'17-3'!E29+'18-3'!E29+'19-3'!E29+'21-3'!E29+'22-3'!E29+'24-3'!E29+'25-3'!E29+'28-3'!E29+'29-3'!E29+'30-3'!E29+'32-3'!E29+'35-3'!E29+'37-3'!E29+'47-3'!E29+'62-3'!E29+'64-3'!E29+'74-3'!E29</f>
        <v>0</v>
      </c>
      <c r="F283" s="106">
        <f>'01-3'!F29+'02-3'!F29+'03-3'!F29+'04-3'!F29+'05-3'!F29+'08-3'!F29+'09-3'!F29+'10-3'!F29+'11-3'!F29+'12-3'!F29+'13-3'!F29+'14-3'!F29+'15-3'!F29+'16-3'!F29+'17-3'!F29+'18-3'!F29+'19-3'!F29+'21-3'!F29+'22-3'!F29+'24-3'!F29+'25-3'!F29+'28-3'!F29+'29-3'!F29+'30-3'!F29+'32-3'!F29+'35-3'!F29+'37-3'!F29+'47-3'!F29+'62-3'!F29+'64-3'!F29+'74-3'!F29</f>
        <v>0</v>
      </c>
      <c r="G283" s="106">
        <f>'01-3'!G29+'02-3'!G29+'03-3'!G29+'04-3'!G29+'05-3'!G29+'08-3'!G29+'09-3'!G29+'10-3'!G29+'11-3'!G29+'12-3'!G29+'13-3'!G29+'14-3'!G29+'15-3'!G29+'16-3'!G29+'17-3'!G29+'18-3'!G29+'19-3'!G29+'21-3'!G29+'22-3'!G29+'24-3'!G29+'25-3'!G29+'28-3'!G29+'29-3'!G29+'30-3'!G29+'32-3'!G29+'35-3'!G29+'37-3'!G29+'47-3'!G29+'62-3'!G29+'64-3'!G29+'74-3'!G29</f>
        <v>0</v>
      </c>
      <c r="H283" s="106">
        <f>'01-3'!H29+'02-3'!H29+'03-3'!H29+'04-3'!H29+'05-3'!H29+'08-3'!H29+'09-3'!H29+'10-3'!H29+'11-3'!H29+'12-3'!H29+'13-3'!H29+'14-3'!H29+'15-3'!H29+'16-3'!H29+'17-3'!H29+'18-3'!H29+'19-3'!H29+'21-3'!H29+'22-3'!H29+'24-3'!H29+'25-3'!H29+'28-3'!H29+'29-3'!H29+'30-3'!H29+'32-3'!H29+'35-3'!H29+'37-3'!H29+'47-3'!H29+'62-3'!H29+'64-3'!H29+'74-3'!H29</f>
        <v>0</v>
      </c>
      <c r="I283" s="106">
        <f>'01-3'!I29+'02-3'!I29+'03-3'!I29+'04-3'!I29+'05-3'!I29+'08-3'!I29+'09-3'!I29+'10-3'!I29+'11-3'!I29+'12-3'!I29+'13-3'!I29+'14-3'!I29+'15-3'!I29+'16-3'!I29+'17-3'!I29+'18-3'!I29+'19-3'!I29+'21-3'!I29+'22-3'!I29+'24-3'!I29+'25-3'!I29+'28-3'!I29+'29-3'!I29+'30-3'!I29+'32-3'!I29+'35-3'!I29+'37-3'!I29+'47-3'!I29+'62-3'!I29+'64-3'!I29+'74-3'!I29</f>
        <v>0</v>
      </c>
      <c r="J283" s="106">
        <f>'01-3'!J29+'02-3'!J29+'03-3'!J29+'04-3'!J29+'05-3'!J29+'08-3'!J29+'09-3'!J29+'10-3'!J29+'11-3'!J29+'12-3'!J29+'13-3'!J29+'14-3'!J29+'15-3'!J29+'16-3'!J29+'17-3'!J29+'18-3'!J29+'19-3'!J29+'21-3'!J29+'22-3'!J29+'24-3'!J29+'25-3'!J29+'28-3'!J29+'29-3'!J29+'30-3'!J29+'32-3'!J29+'35-3'!J29+'37-3'!J29+'47-3'!J29+'62-3'!J29+'64-3'!J29+'74-3'!J29</f>
        <v>0</v>
      </c>
      <c r="K283" s="106">
        <f>'01-3'!K29+'02-3'!K29+'03-3'!K29+'04-3'!K29+'05-3'!K29+'08-3'!K29+'09-3'!K29+'10-3'!K29+'11-3'!K29+'12-3'!K29+'13-3'!K29+'14-3'!K29+'15-3'!K29+'16-3'!K29+'17-3'!K29+'18-3'!K29+'19-3'!K29+'21-3'!K29+'22-3'!K29+'24-3'!K29+'25-3'!K29+'28-3'!K29+'29-3'!K29+'30-3'!K29+'32-3'!K29+'35-3'!K29+'37-3'!K29+'47-3'!K29+'62-3'!K29+'64-3'!K29+'74-3'!K29</f>
        <v>0</v>
      </c>
      <c r="L283" s="106">
        <f>'01-3'!L29+'02-3'!L29+'03-3'!L29+'04-3'!L29+'05-3'!L29+'08-3'!L29+'09-3'!L29+'10-3'!L29+'11-3'!L29+'12-3'!L29+'13-3'!L29+'14-3'!L29+'15-3'!L29+'16-3'!L29+'17-3'!L29+'18-3'!L29+'19-3'!L29+'21-3'!L29+'22-3'!L29+'24-3'!L29+'25-3'!L29+'28-3'!L29+'29-3'!L29+'30-3'!L29+'32-3'!L29+'35-3'!L29+'37-3'!L29+'47-3'!L29+'62-3'!L29+'64-3'!L29+'74-3'!L29</f>
        <v>0</v>
      </c>
      <c r="M283" s="106">
        <f>'01-3'!M29+'02-3'!M29+'03-3'!M29+'04-3'!M29+'05-3'!M29+'08-3'!M29+'09-3'!M29+'10-3'!M29+'11-3'!M29+'12-3'!M29+'13-3'!M29+'14-3'!M29+'15-3'!M29+'16-3'!M29+'17-3'!M29+'18-3'!M29+'19-3'!M29+'21-3'!M29+'22-3'!M29+'24-3'!M29+'25-3'!M29+'28-3'!M29+'29-3'!M29+'30-3'!M29+'32-3'!M29+'35-3'!M29+'37-3'!M29+'47-3'!M29+'62-3'!M29+'64-3'!M29+'74-3'!M29</f>
        <v>0</v>
      </c>
      <c r="N283" s="106">
        <f>'01-3'!N29+'02-3'!N29+'03-3'!N29+'04-3'!N29+'05-3'!N29+'08-3'!N29+'09-3'!N29+'10-3'!N29+'11-3'!N29+'12-3'!N29+'13-3'!N29+'14-3'!N29+'15-3'!N29+'16-3'!N29+'17-3'!N29+'18-3'!N29+'19-3'!N29+'21-3'!N29+'22-3'!N29+'24-3'!N29+'25-3'!N29+'28-3'!N29+'29-3'!N29+'30-3'!N29+'32-3'!N29+'35-3'!N29+'37-3'!N29+'47-3'!N29+'62-3'!N29+'64-3'!N29+'74-3'!N29</f>
        <v>0</v>
      </c>
      <c r="O283" s="106">
        <f>'01-3'!O29+'02-3'!O29+'03-3'!O29+'04-3'!O29+'05-3'!O29+'08-3'!O29+'09-3'!O29+'10-3'!O29+'11-3'!O29+'12-3'!O29+'13-3'!O29+'14-3'!O29+'15-3'!O29+'16-3'!O29+'17-3'!O29+'18-3'!O29+'19-3'!O29+'21-3'!O29+'22-3'!O29+'24-3'!O29+'25-3'!O29+'28-3'!O29+'29-3'!O29+'30-3'!O29+'32-3'!O29+'35-3'!O29+'37-3'!O29+'47-3'!O29+'62-3'!O29+'64-3'!O29+'74-3'!O29</f>
        <v>0</v>
      </c>
      <c r="P283" s="106">
        <f>'01-3'!P29+'02-3'!P29+'03-3'!P29+'04-3'!P29+'05-3'!P29+'08-3'!P29+'09-3'!P29+'10-3'!P29+'11-3'!P29+'12-3'!P29+'13-3'!P29+'14-3'!P29+'15-3'!P29+'16-3'!P29+'17-3'!P29+'18-3'!P29+'19-3'!P29+'21-3'!P29+'22-3'!P29+'24-3'!P29+'25-3'!P29+'28-3'!P29+'29-3'!P29+'30-3'!P29+'32-3'!P29+'35-3'!P29+'37-3'!P29+'47-3'!P29+'62-3'!P29+'64-3'!P29+'74-3'!P29</f>
        <v>0</v>
      </c>
      <c r="Q283" s="106">
        <f>'01-3'!Q29+'02-3'!Q29+'03-3'!Q29+'04-3'!Q29+'05-3'!Q29+'08-3'!Q29+'09-3'!Q29+'10-3'!Q29+'11-3'!Q29+'12-3'!Q29+'13-3'!Q29+'14-3'!Q29+'15-3'!Q29+'16-3'!Q29+'17-3'!Q29+'18-3'!Q29+'19-3'!Q29+'21-3'!Q29+'22-3'!Q29+'24-3'!Q29+'25-3'!Q29+'28-3'!Q29+'29-3'!Q29+'30-3'!Q29+'32-3'!Q29+'35-3'!Q29+'37-3'!Q29+'47-3'!Q29+'62-3'!Q29+'64-3'!Q29+'74-3'!Q29</f>
        <v>0</v>
      </c>
      <c r="R283" s="106">
        <f>'01-3'!R29+'02-3'!R29+'03-3'!R29+'04-3'!R29+'05-3'!R29+'08-3'!R29+'09-3'!R29+'10-3'!R29+'11-3'!R29+'12-3'!R29+'13-3'!R29+'14-3'!R29+'15-3'!R29+'16-3'!R29+'17-3'!R29+'18-3'!R29+'19-3'!R29+'21-3'!R29+'22-3'!R29+'24-3'!R29+'25-3'!R29+'28-3'!R29+'29-3'!R29+'30-3'!R29+'32-3'!R29+'35-3'!R29+'37-3'!R29+'47-3'!R29+'62-3'!R29+'64-3'!R29+'74-3'!R29</f>
        <v>0</v>
      </c>
      <c r="S283" s="954"/>
      <c r="T283" s="954"/>
      <c r="U283" s="954"/>
      <c r="V283" s="954"/>
      <c r="W283" s="954"/>
    </row>
    <row r="284" spans="1:23" s="6" customFormat="1" ht="108" hidden="1">
      <c r="A284" s="149">
        <v>17130</v>
      </c>
      <c r="B284" s="208" t="s">
        <v>220</v>
      </c>
      <c r="C284" s="106">
        <f>'01-3'!C30+'02-3'!C30+'03-3'!C30+'04-3'!C30+'05-3'!C30+'08-3'!C30+'09-3'!C30+'10-3'!C30+'11-3'!C30+'12-3'!C30+'13-3'!C30+'14-3'!C30+'15-3'!C30+'16-3'!C30+'17-3'!C30+'18-3'!C30+'19-3'!C30+'21-3'!C30+'22-3'!C30+'24-3'!C30+'25-3'!C30+'28-3'!C30+'29-3'!C30+'30-3'!C30+'32-3'!C30+'35-3'!C30+'37-3'!C30+'47-3'!C30+'62-3'!C30+'64-3'!C30+'74-3'!C30</f>
        <v>0</v>
      </c>
      <c r="D284" s="106">
        <f>'01-3'!D30+'02-3'!D30+'03-3'!D30+'04-3'!D30+'05-3'!D30+'08-3'!D30+'09-3'!D30+'10-3'!D30+'11-3'!D30+'12-3'!D30+'13-3'!D30+'14-3'!D30+'15-3'!D30+'16-3'!D30+'17-3'!D30+'18-3'!D30+'19-3'!D30+'21-3'!D30+'22-3'!D30+'24-3'!D30+'25-3'!D30+'28-3'!D30+'29-3'!D30+'30-3'!D30+'32-3'!D30+'35-3'!D30+'37-3'!D30+'47-3'!D30+'62-3'!D30+'64-3'!D30+'74-3'!D30</f>
        <v>0</v>
      </c>
      <c r="E284" s="106">
        <f>'01-3'!E30+'02-3'!E30+'03-3'!E30+'04-3'!E30+'05-3'!E30+'08-3'!E30+'09-3'!E30+'10-3'!E30+'11-3'!E30+'12-3'!E30+'13-3'!E30+'14-3'!E30+'15-3'!E30+'16-3'!E30+'17-3'!E30+'18-3'!E30+'19-3'!E30+'21-3'!E30+'22-3'!E30+'24-3'!E30+'25-3'!E30+'28-3'!E30+'29-3'!E30+'30-3'!E30+'32-3'!E30+'35-3'!E30+'37-3'!E30+'47-3'!E30+'62-3'!E30+'64-3'!E30+'74-3'!E30</f>
        <v>0</v>
      </c>
      <c r="F284" s="106">
        <f>'01-3'!F30+'02-3'!F30+'03-3'!F30+'04-3'!F30+'05-3'!F30+'08-3'!F30+'09-3'!F30+'10-3'!F30+'11-3'!F30+'12-3'!F30+'13-3'!F30+'14-3'!F30+'15-3'!F30+'16-3'!F30+'17-3'!F30+'18-3'!F30+'19-3'!F30+'21-3'!F30+'22-3'!F30+'24-3'!F30+'25-3'!F30+'28-3'!F30+'29-3'!F30+'30-3'!F30+'32-3'!F30+'35-3'!F30+'37-3'!F30+'47-3'!F30+'62-3'!F30+'64-3'!F30+'74-3'!F30</f>
        <v>0</v>
      </c>
      <c r="G284" s="106">
        <f>'01-3'!G30+'02-3'!G30+'03-3'!G30+'04-3'!G30+'05-3'!G30+'08-3'!G30+'09-3'!G30+'10-3'!G30+'11-3'!G30+'12-3'!G30+'13-3'!G30+'14-3'!G30+'15-3'!G30+'16-3'!G30+'17-3'!G30+'18-3'!G30+'19-3'!G30+'21-3'!G30+'22-3'!G30+'24-3'!G30+'25-3'!G30+'28-3'!G30+'29-3'!G30+'30-3'!G30+'32-3'!G30+'35-3'!G30+'37-3'!G30+'47-3'!G30+'62-3'!G30+'64-3'!G30+'74-3'!G30</f>
        <v>0</v>
      </c>
      <c r="H284" s="106">
        <f>'01-3'!H30+'02-3'!H30+'03-3'!H30+'04-3'!H30+'05-3'!H30+'08-3'!H30+'09-3'!H30+'10-3'!H30+'11-3'!H30+'12-3'!H30+'13-3'!H30+'14-3'!H30+'15-3'!H30+'16-3'!H30+'17-3'!H30+'18-3'!H30+'19-3'!H30+'21-3'!H30+'22-3'!H30+'24-3'!H30+'25-3'!H30+'28-3'!H30+'29-3'!H30+'30-3'!H30+'32-3'!H30+'35-3'!H30+'37-3'!H30+'47-3'!H30+'62-3'!H30+'64-3'!H30+'74-3'!H30</f>
        <v>0</v>
      </c>
      <c r="I284" s="106">
        <f>'01-3'!I30+'02-3'!I30+'03-3'!I30+'04-3'!I30+'05-3'!I30+'08-3'!I30+'09-3'!I30+'10-3'!I30+'11-3'!I30+'12-3'!I30+'13-3'!I30+'14-3'!I30+'15-3'!I30+'16-3'!I30+'17-3'!I30+'18-3'!I30+'19-3'!I30+'21-3'!I30+'22-3'!I30+'24-3'!I30+'25-3'!I30+'28-3'!I30+'29-3'!I30+'30-3'!I30+'32-3'!I30+'35-3'!I30+'37-3'!I30+'47-3'!I30+'62-3'!I30+'64-3'!I30+'74-3'!I30</f>
        <v>0</v>
      </c>
      <c r="J284" s="106">
        <f>'01-3'!J30+'02-3'!J30+'03-3'!J30+'04-3'!J30+'05-3'!J30+'08-3'!J30+'09-3'!J30+'10-3'!J30+'11-3'!J30+'12-3'!J30+'13-3'!J30+'14-3'!J30+'15-3'!J30+'16-3'!J30+'17-3'!J30+'18-3'!J30+'19-3'!J30+'21-3'!J30+'22-3'!J30+'24-3'!J30+'25-3'!J30+'28-3'!J30+'29-3'!J30+'30-3'!J30+'32-3'!J30+'35-3'!J30+'37-3'!J30+'47-3'!J30+'62-3'!J30+'64-3'!J30+'74-3'!J30</f>
        <v>0</v>
      </c>
      <c r="K284" s="106">
        <f>'01-3'!K30+'02-3'!K30+'03-3'!K30+'04-3'!K30+'05-3'!K30+'08-3'!K30+'09-3'!K30+'10-3'!K30+'11-3'!K30+'12-3'!K30+'13-3'!K30+'14-3'!K30+'15-3'!K30+'16-3'!K30+'17-3'!K30+'18-3'!K30+'19-3'!K30+'21-3'!K30+'22-3'!K30+'24-3'!K30+'25-3'!K30+'28-3'!K30+'29-3'!K30+'30-3'!K30+'32-3'!K30+'35-3'!K30+'37-3'!K30+'47-3'!K30+'62-3'!K30+'64-3'!K30+'74-3'!K30</f>
        <v>0</v>
      </c>
      <c r="L284" s="106">
        <f>'01-3'!L30+'02-3'!L30+'03-3'!L30+'04-3'!L30+'05-3'!L30+'08-3'!L30+'09-3'!L30+'10-3'!L30+'11-3'!L30+'12-3'!L30+'13-3'!L30+'14-3'!L30+'15-3'!L30+'16-3'!L30+'17-3'!L30+'18-3'!L30+'19-3'!L30+'21-3'!L30+'22-3'!L30+'24-3'!L30+'25-3'!L30+'28-3'!L30+'29-3'!L30+'30-3'!L30+'32-3'!L30+'35-3'!L30+'37-3'!L30+'47-3'!L30+'62-3'!L30+'64-3'!L30+'74-3'!L30</f>
        <v>0</v>
      </c>
      <c r="M284" s="106">
        <f>'01-3'!M30+'02-3'!M30+'03-3'!M30+'04-3'!M30+'05-3'!M30+'08-3'!M30+'09-3'!M30+'10-3'!M30+'11-3'!M30+'12-3'!M30+'13-3'!M30+'14-3'!M30+'15-3'!M30+'16-3'!M30+'17-3'!M30+'18-3'!M30+'19-3'!M30+'21-3'!M30+'22-3'!M30+'24-3'!M30+'25-3'!M30+'28-3'!M30+'29-3'!M30+'30-3'!M30+'32-3'!M30+'35-3'!M30+'37-3'!M30+'47-3'!M30+'62-3'!M30+'64-3'!M30+'74-3'!M30</f>
        <v>0</v>
      </c>
      <c r="N284" s="106">
        <f>'01-3'!N30+'02-3'!N30+'03-3'!N30+'04-3'!N30+'05-3'!N30+'08-3'!N30+'09-3'!N30+'10-3'!N30+'11-3'!N30+'12-3'!N30+'13-3'!N30+'14-3'!N30+'15-3'!N30+'16-3'!N30+'17-3'!N30+'18-3'!N30+'19-3'!N30+'21-3'!N30+'22-3'!N30+'24-3'!N30+'25-3'!N30+'28-3'!N30+'29-3'!N30+'30-3'!N30+'32-3'!N30+'35-3'!N30+'37-3'!N30+'47-3'!N30+'62-3'!N30+'64-3'!N30+'74-3'!N30</f>
        <v>0</v>
      </c>
      <c r="O284" s="106">
        <f>'01-3'!O30+'02-3'!O30+'03-3'!O30+'04-3'!O30+'05-3'!O30+'08-3'!O30+'09-3'!O30+'10-3'!O30+'11-3'!O30+'12-3'!O30+'13-3'!O30+'14-3'!O30+'15-3'!O30+'16-3'!O30+'17-3'!O30+'18-3'!O30+'19-3'!O30+'21-3'!O30+'22-3'!O30+'24-3'!O30+'25-3'!O30+'28-3'!O30+'29-3'!O30+'30-3'!O30+'32-3'!O30+'35-3'!O30+'37-3'!O30+'47-3'!O30+'62-3'!O30+'64-3'!O30+'74-3'!O30</f>
        <v>0</v>
      </c>
      <c r="P284" s="106">
        <f>'01-3'!P30+'02-3'!P30+'03-3'!P30+'04-3'!P30+'05-3'!P30+'08-3'!P30+'09-3'!P30+'10-3'!P30+'11-3'!P30+'12-3'!P30+'13-3'!P30+'14-3'!P30+'15-3'!P30+'16-3'!P30+'17-3'!P30+'18-3'!P30+'19-3'!P30+'21-3'!P30+'22-3'!P30+'24-3'!P30+'25-3'!P30+'28-3'!P30+'29-3'!P30+'30-3'!P30+'32-3'!P30+'35-3'!P30+'37-3'!P30+'47-3'!P30+'62-3'!P30+'64-3'!P30+'74-3'!P30</f>
        <v>0</v>
      </c>
      <c r="Q284" s="106">
        <f>'01-3'!Q30+'02-3'!Q30+'03-3'!Q30+'04-3'!Q30+'05-3'!Q30+'08-3'!Q30+'09-3'!Q30+'10-3'!Q30+'11-3'!Q30+'12-3'!Q30+'13-3'!Q30+'14-3'!Q30+'15-3'!Q30+'16-3'!Q30+'17-3'!Q30+'18-3'!Q30+'19-3'!Q30+'21-3'!Q30+'22-3'!Q30+'24-3'!Q30+'25-3'!Q30+'28-3'!Q30+'29-3'!Q30+'30-3'!Q30+'32-3'!Q30+'35-3'!Q30+'37-3'!Q30+'47-3'!Q30+'62-3'!Q30+'64-3'!Q30+'74-3'!Q30</f>
        <v>0</v>
      </c>
      <c r="R284" s="106">
        <f>'01-3'!R30+'02-3'!R30+'03-3'!R30+'04-3'!R30+'05-3'!R30+'08-3'!R30+'09-3'!R30+'10-3'!R30+'11-3'!R30+'12-3'!R30+'13-3'!R30+'14-3'!R30+'15-3'!R30+'16-3'!R30+'17-3'!R30+'18-3'!R30+'19-3'!R30+'21-3'!R30+'22-3'!R30+'24-3'!R30+'25-3'!R30+'28-3'!R30+'29-3'!R30+'30-3'!R30+'32-3'!R30+'35-3'!R30+'37-3'!R30+'47-3'!R30+'62-3'!R30+'64-3'!R30+'74-3'!R30</f>
        <v>0</v>
      </c>
      <c r="S284" s="954"/>
      <c r="T284" s="954"/>
      <c r="U284" s="954"/>
      <c r="V284" s="954"/>
      <c r="W284" s="954"/>
    </row>
    <row r="285" spans="1:23" s="6" customFormat="1" ht="108" hidden="1">
      <c r="A285" s="149">
        <v>17140</v>
      </c>
      <c r="B285" s="208" t="s">
        <v>221</v>
      </c>
      <c r="C285" s="106">
        <f>'01-3'!C31+'02-3'!C31+'03-3'!C31+'04-3'!C31+'05-3'!C31+'08-3'!C31+'09-3'!C31+'10-3'!C31+'11-3'!C31+'12-3'!C31+'13-3'!C31+'14-3'!C31+'15-3'!C31+'16-3'!C31+'17-3'!C31+'18-3'!C31+'19-3'!C31+'21-3'!C31+'22-3'!C31+'24-3'!C31+'25-3'!C31+'28-3'!C31+'29-3'!C31+'30-3'!C31+'32-3'!C31+'35-3'!C31+'37-3'!C31+'47-3'!C31+'62-3'!C31+'64-3'!C31+'74-3'!C31</f>
        <v>0</v>
      </c>
      <c r="D285" s="106">
        <f>'01-3'!D31+'02-3'!D31+'03-3'!D31+'04-3'!D31+'05-3'!D31+'08-3'!D31+'09-3'!D31+'10-3'!D31+'11-3'!D31+'12-3'!D31+'13-3'!D31+'14-3'!D31+'15-3'!D31+'16-3'!D31+'17-3'!D31+'18-3'!D31+'19-3'!D31+'21-3'!D31+'22-3'!D31+'24-3'!D31+'25-3'!D31+'28-3'!D31+'29-3'!D31+'30-3'!D31+'32-3'!D31+'35-3'!D31+'37-3'!D31+'47-3'!D31+'62-3'!D31+'64-3'!D31+'74-3'!D31</f>
        <v>0</v>
      </c>
      <c r="E285" s="106">
        <f>'01-3'!E31+'02-3'!E31+'03-3'!E31+'04-3'!E31+'05-3'!E31+'08-3'!E31+'09-3'!E31+'10-3'!E31+'11-3'!E31+'12-3'!E31+'13-3'!E31+'14-3'!E31+'15-3'!E31+'16-3'!E31+'17-3'!E31+'18-3'!E31+'19-3'!E31+'21-3'!E31+'22-3'!E31+'24-3'!E31+'25-3'!E31+'28-3'!E31+'29-3'!E31+'30-3'!E31+'32-3'!E31+'35-3'!E31+'37-3'!E31+'47-3'!E31+'62-3'!E31+'64-3'!E31+'74-3'!E31</f>
        <v>0</v>
      </c>
      <c r="F285" s="106">
        <f>'01-3'!F31+'02-3'!F31+'03-3'!F31+'04-3'!F31+'05-3'!F31+'08-3'!F31+'09-3'!F31+'10-3'!F31+'11-3'!F31+'12-3'!F31+'13-3'!F31+'14-3'!F31+'15-3'!F31+'16-3'!F31+'17-3'!F31+'18-3'!F31+'19-3'!F31+'21-3'!F31+'22-3'!F31+'24-3'!F31+'25-3'!F31+'28-3'!F31+'29-3'!F31+'30-3'!F31+'32-3'!F31+'35-3'!F31+'37-3'!F31+'47-3'!F31+'62-3'!F31+'64-3'!F31+'74-3'!F31</f>
        <v>0</v>
      </c>
      <c r="G285" s="106">
        <f>'01-3'!G31+'02-3'!G31+'03-3'!G31+'04-3'!G31+'05-3'!G31+'08-3'!G31+'09-3'!G31+'10-3'!G31+'11-3'!G31+'12-3'!G31+'13-3'!G31+'14-3'!G31+'15-3'!G31+'16-3'!G31+'17-3'!G31+'18-3'!G31+'19-3'!G31+'21-3'!G31+'22-3'!G31+'24-3'!G31+'25-3'!G31+'28-3'!G31+'29-3'!G31+'30-3'!G31+'32-3'!G31+'35-3'!G31+'37-3'!G31+'47-3'!G31+'62-3'!G31+'64-3'!G31+'74-3'!G31</f>
        <v>0</v>
      </c>
      <c r="H285" s="106">
        <f>'01-3'!H31+'02-3'!H31+'03-3'!H31+'04-3'!H31+'05-3'!H31+'08-3'!H31+'09-3'!H31+'10-3'!H31+'11-3'!H31+'12-3'!H31+'13-3'!H31+'14-3'!H31+'15-3'!H31+'16-3'!H31+'17-3'!H31+'18-3'!H31+'19-3'!H31+'21-3'!H31+'22-3'!H31+'24-3'!H31+'25-3'!H31+'28-3'!H31+'29-3'!H31+'30-3'!H31+'32-3'!H31+'35-3'!H31+'37-3'!H31+'47-3'!H31+'62-3'!H31+'64-3'!H31+'74-3'!H31</f>
        <v>0</v>
      </c>
      <c r="I285" s="106">
        <f>'01-3'!I31+'02-3'!I31+'03-3'!I31+'04-3'!I31+'05-3'!I31+'08-3'!I31+'09-3'!I31+'10-3'!I31+'11-3'!I31+'12-3'!I31+'13-3'!I31+'14-3'!I31+'15-3'!I31+'16-3'!I31+'17-3'!I31+'18-3'!I31+'19-3'!I31+'21-3'!I31+'22-3'!I31+'24-3'!I31+'25-3'!I31+'28-3'!I31+'29-3'!I31+'30-3'!I31+'32-3'!I31+'35-3'!I31+'37-3'!I31+'47-3'!I31+'62-3'!I31+'64-3'!I31+'74-3'!I31</f>
        <v>0</v>
      </c>
      <c r="J285" s="106">
        <f>'01-3'!J31+'02-3'!J31+'03-3'!J31+'04-3'!J31+'05-3'!J31+'08-3'!J31+'09-3'!J31+'10-3'!J31+'11-3'!J31+'12-3'!J31+'13-3'!J31+'14-3'!J31+'15-3'!J31+'16-3'!J31+'17-3'!J31+'18-3'!J31+'19-3'!J31+'21-3'!J31+'22-3'!J31+'24-3'!J31+'25-3'!J31+'28-3'!J31+'29-3'!J31+'30-3'!J31+'32-3'!J31+'35-3'!J31+'37-3'!J31+'47-3'!J31+'62-3'!J31+'64-3'!J31+'74-3'!J31</f>
        <v>0</v>
      </c>
      <c r="K285" s="106">
        <f>'01-3'!K31+'02-3'!K31+'03-3'!K31+'04-3'!K31+'05-3'!K31+'08-3'!K31+'09-3'!K31+'10-3'!K31+'11-3'!K31+'12-3'!K31+'13-3'!K31+'14-3'!K31+'15-3'!K31+'16-3'!K31+'17-3'!K31+'18-3'!K31+'19-3'!K31+'21-3'!K31+'22-3'!K31+'24-3'!K31+'25-3'!K31+'28-3'!K31+'29-3'!K31+'30-3'!K31+'32-3'!K31+'35-3'!K31+'37-3'!K31+'47-3'!K31+'62-3'!K31+'64-3'!K31+'74-3'!K31</f>
        <v>0</v>
      </c>
      <c r="L285" s="106">
        <f>'01-3'!L31+'02-3'!L31+'03-3'!L31+'04-3'!L31+'05-3'!L31+'08-3'!L31+'09-3'!L31+'10-3'!L31+'11-3'!L31+'12-3'!L31+'13-3'!L31+'14-3'!L31+'15-3'!L31+'16-3'!L31+'17-3'!L31+'18-3'!L31+'19-3'!L31+'21-3'!L31+'22-3'!L31+'24-3'!L31+'25-3'!L31+'28-3'!L31+'29-3'!L31+'30-3'!L31+'32-3'!L31+'35-3'!L31+'37-3'!L31+'47-3'!L31+'62-3'!L31+'64-3'!L31+'74-3'!L31</f>
        <v>0</v>
      </c>
      <c r="M285" s="106">
        <f>'01-3'!M31+'02-3'!M31+'03-3'!M31+'04-3'!M31+'05-3'!M31+'08-3'!M31+'09-3'!M31+'10-3'!M31+'11-3'!M31+'12-3'!M31+'13-3'!M31+'14-3'!M31+'15-3'!M31+'16-3'!M31+'17-3'!M31+'18-3'!M31+'19-3'!M31+'21-3'!M31+'22-3'!M31+'24-3'!M31+'25-3'!M31+'28-3'!M31+'29-3'!M31+'30-3'!M31+'32-3'!M31+'35-3'!M31+'37-3'!M31+'47-3'!M31+'62-3'!M31+'64-3'!M31+'74-3'!M31</f>
        <v>0</v>
      </c>
      <c r="N285" s="106">
        <f>'01-3'!N31+'02-3'!N31+'03-3'!N31+'04-3'!N31+'05-3'!N31+'08-3'!N31+'09-3'!N31+'10-3'!N31+'11-3'!N31+'12-3'!N31+'13-3'!N31+'14-3'!N31+'15-3'!N31+'16-3'!N31+'17-3'!N31+'18-3'!N31+'19-3'!N31+'21-3'!N31+'22-3'!N31+'24-3'!N31+'25-3'!N31+'28-3'!N31+'29-3'!N31+'30-3'!N31+'32-3'!N31+'35-3'!N31+'37-3'!N31+'47-3'!N31+'62-3'!N31+'64-3'!N31+'74-3'!N31</f>
        <v>0</v>
      </c>
      <c r="O285" s="106">
        <f>'01-3'!O31+'02-3'!O31+'03-3'!O31+'04-3'!O31+'05-3'!O31+'08-3'!O31+'09-3'!O31+'10-3'!O31+'11-3'!O31+'12-3'!O31+'13-3'!O31+'14-3'!O31+'15-3'!O31+'16-3'!O31+'17-3'!O31+'18-3'!O31+'19-3'!O31+'21-3'!O31+'22-3'!O31+'24-3'!O31+'25-3'!O31+'28-3'!O31+'29-3'!O31+'30-3'!O31+'32-3'!O31+'35-3'!O31+'37-3'!O31+'47-3'!O31+'62-3'!O31+'64-3'!O31+'74-3'!O31</f>
        <v>0</v>
      </c>
      <c r="P285" s="106">
        <f>'01-3'!P31+'02-3'!P31+'03-3'!P31+'04-3'!P31+'05-3'!P31+'08-3'!P31+'09-3'!P31+'10-3'!P31+'11-3'!P31+'12-3'!P31+'13-3'!P31+'14-3'!P31+'15-3'!P31+'16-3'!P31+'17-3'!P31+'18-3'!P31+'19-3'!P31+'21-3'!P31+'22-3'!P31+'24-3'!P31+'25-3'!P31+'28-3'!P31+'29-3'!P31+'30-3'!P31+'32-3'!P31+'35-3'!P31+'37-3'!P31+'47-3'!P31+'62-3'!P31+'64-3'!P31+'74-3'!P31</f>
        <v>0</v>
      </c>
      <c r="Q285" s="106">
        <f>'01-3'!Q31+'02-3'!Q31+'03-3'!Q31+'04-3'!Q31+'05-3'!Q31+'08-3'!Q31+'09-3'!Q31+'10-3'!Q31+'11-3'!Q31+'12-3'!Q31+'13-3'!Q31+'14-3'!Q31+'15-3'!Q31+'16-3'!Q31+'17-3'!Q31+'18-3'!Q31+'19-3'!Q31+'21-3'!Q31+'22-3'!Q31+'24-3'!Q31+'25-3'!Q31+'28-3'!Q31+'29-3'!Q31+'30-3'!Q31+'32-3'!Q31+'35-3'!Q31+'37-3'!Q31+'47-3'!Q31+'62-3'!Q31+'64-3'!Q31+'74-3'!Q31</f>
        <v>0</v>
      </c>
      <c r="R285" s="106">
        <f>'01-3'!R31+'02-3'!R31+'03-3'!R31+'04-3'!R31+'05-3'!R31+'08-3'!R31+'09-3'!R31+'10-3'!R31+'11-3'!R31+'12-3'!R31+'13-3'!R31+'14-3'!R31+'15-3'!R31+'16-3'!R31+'17-3'!R31+'18-3'!R31+'19-3'!R31+'21-3'!R31+'22-3'!R31+'24-3'!R31+'25-3'!R31+'28-3'!R31+'29-3'!R31+'30-3'!R31+'32-3'!R31+'35-3'!R31+'37-3'!R31+'47-3'!R31+'62-3'!R31+'64-3'!R31+'74-3'!R31</f>
        <v>0</v>
      </c>
      <c r="S285" s="954"/>
      <c r="T285" s="954"/>
      <c r="U285" s="954"/>
      <c r="V285" s="954"/>
      <c r="W285" s="954"/>
    </row>
    <row r="286" spans="1:23" s="6" customFormat="1" ht="12">
      <c r="A286" s="137">
        <v>21700</v>
      </c>
      <c r="B286" s="100" t="s">
        <v>97</v>
      </c>
      <c r="C286" s="106">
        <f>'01-3'!C32+'02-3'!C32+'03-3'!C32+'04-3'!C32+'05-3'!C32+'08-3'!C32+'09-3'!C32+'10-3'!C32+'11-3'!C32+'12-3'!C32+'13-3'!C32+'14-3'!C32+'15-3'!C32+'16-3'!C32+'17-3'!C32+'18-3'!C32+'19-3'!C32+'21-3'!C32+'22-3'!C32+'24-3'!C32+'25-3'!C32+'28-3'!C32+'29-3'!C32+'30-3'!C32+'32-3'!C32+'35-3'!C32+'37-3'!C32+'47-3'!C32+'62-3'!C32+'64-3'!C32+'74-3'!C32</f>
        <v>3271863316</v>
      </c>
      <c r="D286" s="106">
        <f>'01-3'!D32+'02-3'!D32+'03-3'!D32+'04-3'!D32+'05-3'!D32+'08-3'!D32+'09-3'!D32+'10-3'!D32+'11-3'!D32+'12-3'!D32+'13-3'!D32+'14-3'!D32+'15-3'!D32+'16-3'!D32+'17-3'!D32+'18-3'!D32+'19-3'!D32+'21-3'!D32+'22-3'!D32+'24-3'!D32+'25-3'!D32+'28-3'!D32+'29-3'!D32+'30-3'!D32+'32-3'!D32+'35-3'!D32+'37-3'!D32+'47-3'!D32+'62-3'!D32+'64-3'!D32+'74-3'!D32</f>
        <v>3233479251</v>
      </c>
      <c r="E286" s="106">
        <f>'01-3'!E32+'02-3'!E32+'03-3'!E32+'04-3'!E32+'05-3'!E32+'08-3'!E32+'09-3'!E32+'10-3'!E32+'11-3'!E32+'12-3'!E32+'13-3'!E32+'14-3'!E32+'15-3'!E32+'16-3'!E32+'17-3'!E32+'18-3'!E32+'19-3'!E32+'21-3'!E32+'22-3'!E32+'24-3'!E32+'25-3'!E32+'28-3'!E32+'29-3'!E32+'30-3'!E32+'32-3'!E32+'35-3'!E32+'37-3'!E32+'47-3'!E32+'62-3'!E32+'64-3'!E32+'74-3'!E32</f>
        <v>11756742</v>
      </c>
      <c r="F286" s="106">
        <f>'01-3'!F32+'02-3'!F32+'03-3'!F32+'04-3'!F32+'05-3'!F32+'08-3'!F32+'09-3'!F32+'10-3'!F32+'11-3'!F32+'12-3'!F32+'13-3'!F32+'14-3'!F32+'15-3'!F32+'16-3'!F32+'17-3'!F32+'18-3'!F32+'19-3'!F32+'21-3'!F32+'22-3'!F32+'24-3'!F32+'25-3'!F32+'28-3'!F32+'29-3'!F32+'30-3'!F32+'32-3'!F32+'35-3'!F32+'37-3'!F32+'47-3'!F32+'62-3'!F32+'64-3'!F32+'74-3'!F32</f>
        <v>65105473</v>
      </c>
      <c r="G286" s="106">
        <f>'01-3'!G32+'02-3'!G32+'03-3'!G32+'04-3'!G32+'05-3'!G32+'08-3'!G32+'09-3'!G32+'10-3'!G32+'11-3'!G32+'12-3'!G32+'13-3'!G32+'14-3'!G32+'15-3'!G32+'16-3'!G32+'17-3'!G32+'18-3'!G32+'19-3'!G32+'21-3'!G32+'22-3'!G32+'24-3'!G32+'25-3'!G32+'28-3'!G32+'29-3'!G32+'30-3'!G32+'32-3'!G32+'35-3'!G32+'37-3'!G32+'47-3'!G32+'62-3'!G32+'64-3'!G32+'74-3'!G32</f>
        <v>120864100</v>
      </c>
      <c r="H286" s="106">
        <f>'01-3'!H32+'02-3'!H32+'03-3'!H32+'04-3'!H32+'05-3'!H32+'08-3'!H32+'09-3'!H32+'10-3'!H32+'11-3'!H32+'12-3'!H32+'13-3'!H32+'14-3'!H32+'15-3'!H32+'16-3'!H32+'17-3'!H32+'18-3'!H32+'19-3'!H32+'21-3'!H32+'22-3'!H32+'24-3'!H32+'25-3'!H32+'28-3'!H32+'29-3'!H32+'30-3'!H32+'32-3'!H32+'35-3'!H32+'37-3'!H32+'47-3'!H32+'62-3'!H32+'64-3'!H32+'74-3'!H32</f>
        <v>3431205566</v>
      </c>
      <c r="I286" s="106">
        <f>'01-3'!I32+'02-3'!I32+'03-3'!I32+'04-3'!I32+'05-3'!I32+'08-3'!I32+'09-3'!I32+'10-3'!I32+'11-3'!I32+'12-3'!I32+'13-3'!I32+'14-3'!I32+'15-3'!I32+'16-3'!I32+'17-3'!I32+'18-3'!I32+'19-3'!I32+'21-3'!I32+'22-3'!I32+'24-3'!I32+'25-3'!I32+'28-3'!I32+'29-3'!I32+'30-3'!I32+'32-3'!I32+'35-3'!I32+'37-3'!I32+'47-3'!I32+'62-3'!I32+'64-3'!I32+'74-3'!I32</f>
        <v>3328265182</v>
      </c>
      <c r="J286" s="106">
        <f>'01-3'!J32+'02-3'!J32+'03-3'!J32+'04-3'!J32+'05-3'!J32+'08-3'!J32+'09-3'!J32+'10-3'!J32+'11-3'!J32+'12-3'!J32+'13-3'!J32+'14-3'!J32+'15-3'!J32+'16-3'!J32+'17-3'!J32+'18-3'!J32+'19-3'!J32+'21-3'!J32+'22-3'!J32+'24-3'!J32+'25-3'!J32+'28-3'!J32+'29-3'!J32+'30-3'!J32+'32-3'!J32+'35-3'!J32+'37-3'!J32+'47-3'!J32+'62-3'!J32+'64-3'!J32+'74-3'!J32</f>
        <v>7194475</v>
      </c>
      <c r="K286" s="106">
        <f>'01-3'!K32+'02-3'!K32+'03-3'!K32+'04-3'!K32+'05-3'!K32+'08-3'!K32+'09-3'!K32+'10-3'!K32+'11-3'!K32+'12-3'!K32+'13-3'!K32+'14-3'!K32+'15-3'!K32+'16-3'!K32+'17-3'!K32+'18-3'!K32+'19-3'!K32+'21-3'!K32+'22-3'!K32+'24-3'!K32+'25-3'!K32+'28-3'!K32+'29-3'!K32+'30-3'!K32+'32-3'!K32+'35-3'!K32+'37-3'!K32+'47-3'!K32+'62-3'!K32+'64-3'!K32+'74-3'!K32</f>
        <v>88800345</v>
      </c>
      <c r="L286" s="106">
        <f>'01-3'!L32+'02-3'!L32+'03-3'!L32+'04-3'!L32+'05-3'!L32+'08-3'!L32+'09-3'!L32+'10-3'!L32+'11-3'!L32+'12-3'!L32+'13-3'!L32+'14-3'!L32+'15-3'!L32+'16-3'!L32+'17-3'!L32+'18-3'!L32+'19-3'!L32+'21-3'!L32+'22-3'!L32+'24-3'!L32+'25-3'!L32+'28-3'!L32+'29-3'!L32+'30-3'!L32+'32-3'!L32+'35-3'!L32+'37-3'!L32+'47-3'!L32+'62-3'!L32+'64-3'!L32+'74-3'!L32</f>
        <v>147878082</v>
      </c>
      <c r="M286" s="106">
        <f>'01-3'!M32+'02-3'!M32+'03-3'!M32+'04-3'!M32+'05-3'!M32+'08-3'!M32+'09-3'!M32+'10-3'!M32+'11-3'!M32+'12-3'!M32+'13-3'!M32+'14-3'!M32+'15-3'!M32+'16-3'!M32+'17-3'!M32+'18-3'!M32+'19-3'!M32+'21-3'!M32+'22-3'!M32+'24-3'!M32+'25-3'!M32+'28-3'!M32+'29-3'!M32+'30-3'!M32+'32-3'!M32+'35-3'!M32+'37-3'!M32+'47-3'!M32+'62-3'!M32+'64-3'!M32+'74-3'!M32</f>
        <v>3572138084</v>
      </c>
      <c r="N286" s="106">
        <f>'01-3'!N32+'02-3'!N32+'03-3'!N32+'04-3'!N32+'05-3'!N32+'08-3'!N32+'09-3'!N32+'10-3'!N32+'11-3'!N32+'12-3'!N32+'13-3'!N32+'14-3'!N32+'15-3'!N32+'16-3'!N32+'17-3'!N32+'18-3'!N32+'19-3'!N32+'21-3'!N32+'22-3'!N32+'24-3'!N32+'25-3'!N32+'28-3'!N32+'29-3'!N32+'30-3'!N32+'32-3'!N32+'35-3'!N32+'37-3'!N32+'47-3'!N32+'62-3'!N32+'64-3'!N32+'74-3'!N32</f>
        <v>3114614287</v>
      </c>
      <c r="O286" s="106">
        <f>'01-3'!O32+'02-3'!O32+'03-3'!O32+'04-3'!O32+'05-3'!O32+'08-3'!O32+'09-3'!O32+'10-3'!O32+'11-3'!O32+'12-3'!O32+'13-3'!O32+'14-3'!O32+'15-3'!O32+'16-3'!O32+'17-3'!O32+'18-3'!O32+'19-3'!O32+'21-3'!O32+'22-3'!O32+'24-3'!O32+'25-3'!O32+'28-3'!O32+'29-3'!O32+'30-3'!O32+'32-3'!O32+'35-3'!O32+'37-3'!O32+'47-3'!O32+'62-3'!O32+'64-3'!O32+'74-3'!O32</f>
        <v>155301</v>
      </c>
      <c r="P286" s="106">
        <f>'01-3'!P32+'02-3'!P32+'03-3'!P32+'04-3'!P32+'05-3'!P32+'08-3'!P32+'09-3'!P32+'10-3'!P32+'11-3'!P32+'12-3'!P32+'13-3'!P32+'14-3'!P32+'15-3'!P32+'16-3'!P32+'17-3'!P32+'18-3'!P32+'19-3'!P32+'21-3'!P32+'22-3'!P32+'24-3'!P32+'25-3'!P32+'28-3'!P32+'29-3'!P32+'30-3'!P32+'32-3'!P32+'35-3'!P32+'37-3'!P32+'47-3'!P32+'62-3'!P32+'64-3'!P32+'74-3'!P32</f>
        <v>120560658</v>
      </c>
      <c r="Q286" s="106">
        <f>'01-3'!Q32+'02-3'!Q32+'03-3'!Q32+'04-3'!Q32+'05-3'!Q32+'08-3'!Q32+'09-3'!Q32+'10-3'!Q32+'11-3'!Q32+'12-3'!Q32+'13-3'!Q32+'14-3'!Q32+'15-3'!Q32+'16-3'!Q32+'17-3'!Q32+'18-3'!Q32+'19-3'!Q32+'21-3'!Q32+'22-3'!Q32+'24-3'!Q32+'25-3'!Q32+'28-3'!Q32+'29-3'!Q32+'30-3'!Q32+'32-3'!Q32+'35-3'!Q32+'37-3'!Q32+'47-3'!Q32+'62-3'!Q32+'64-3'!Q32+'74-3'!Q32</f>
        <v>118158082</v>
      </c>
      <c r="R286" s="106">
        <f>'01-3'!R32+'02-3'!R32+'03-3'!R32+'04-3'!R32+'05-3'!R32+'08-3'!R32+'09-3'!R32+'10-3'!R32+'11-3'!R32+'12-3'!R32+'13-3'!R32+'14-3'!R32+'15-3'!R32+'16-3'!R32+'17-3'!R32+'18-3'!R32+'19-3'!R32+'21-3'!R32+'22-3'!R32+'24-3'!R32+'25-3'!R32+'28-3'!R32+'29-3'!R32+'30-3'!R32+'32-3'!R32+'35-3'!R32+'37-3'!R32+'47-3'!R32+'62-3'!R32+'64-3'!R32+'74-3'!R32</f>
        <v>3353488328</v>
      </c>
      <c r="S286" s="954"/>
      <c r="T286" s="954"/>
      <c r="U286" s="954"/>
      <c r="V286" s="954"/>
      <c r="W286" s="954"/>
    </row>
    <row r="287" spans="1:23" s="6" customFormat="1" ht="24">
      <c r="A287" s="138">
        <v>21710</v>
      </c>
      <c r="B287" s="101" t="s">
        <v>98</v>
      </c>
      <c r="C287" s="106">
        <f>'01-3'!C33+'02-3'!C33+'03-3'!C33+'04-3'!C33+'05-3'!C33+'08-3'!C33+'09-3'!C33+'10-3'!C33+'11-3'!C33+'12-3'!C33+'13-3'!C33+'14-3'!C33+'15-3'!C33+'16-3'!C33+'17-3'!C33+'18-3'!C33+'19-3'!C33+'21-3'!C33+'22-3'!C33+'24-3'!C33+'25-3'!C33+'28-3'!C33+'29-3'!C33+'30-3'!C33+'32-3'!C33+'35-3'!C33+'37-3'!C33+'47-3'!C33+'62-3'!C33+'64-3'!C33+'74-3'!C33</f>
        <v>3125191403</v>
      </c>
      <c r="D287" s="106">
        <f>'01-3'!D33+'02-3'!D33+'03-3'!D33+'04-3'!D33+'05-3'!D33+'08-3'!D33+'09-3'!D33+'10-3'!D33+'11-3'!D33+'12-3'!D33+'13-3'!D33+'14-3'!D33+'15-3'!D33+'16-3'!D33+'17-3'!D33+'18-3'!D33+'19-3'!D33+'21-3'!D33+'22-3'!D33+'24-3'!D33+'25-3'!D33+'28-3'!D33+'29-3'!D33+'30-3'!D33+'32-3'!D33+'35-3'!D33+'37-3'!D33+'47-3'!D33+'62-3'!D33+'64-3'!D33+'74-3'!D33</f>
        <v>3061701087</v>
      </c>
      <c r="E287" s="106">
        <f>'01-3'!E33+'02-3'!E33+'03-3'!E33+'04-3'!E33+'05-3'!E33+'08-3'!E33+'09-3'!E33+'10-3'!E33+'11-3'!E33+'12-3'!E33+'13-3'!E33+'14-3'!E33+'15-3'!E33+'16-3'!E33+'17-3'!E33+'18-3'!E33+'19-3'!E33+'21-3'!E33+'22-3'!E33+'24-3'!E33+'25-3'!E33+'28-3'!E33+'29-3'!E33+'30-3'!E33+'32-3'!E33+'35-3'!E33+'37-3'!E33+'47-3'!E33+'62-3'!E33+'64-3'!E33+'74-3'!E33</f>
        <v>736624</v>
      </c>
      <c r="F287" s="106">
        <f>'01-3'!F33+'02-3'!F33+'03-3'!F33+'04-3'!F33+'05-3'!F33+'08-3'!F33+'09-3'!F33+'10-3'!F33+'11-3'!F33+'12-3'!F33+'13-3'!F33+'14-3'!F33+'15-3'!F33+'16-3'!F33+'17-3'!F33+'18-3'!F33+'19-3'!F33+'21-3'!F33+'22-3'!F33+'24-3'!F33+'25-3'!F33+'28-3'!F33+'29-3'!F33+'30-3'!F33+'32-3'!F33+'35-3'!F33+'37-3'!F33+'47-3'!F33+'62-3'!F33+'64-3'!F33+'74-3'!F33</f>
        <v>65105473</v>
      </c>
      <c r="G287" s="106">
        <f>'01-3'!G33+'02-3'!G33+'03-3'!G33+'04-3'!G33+'05-3'!G33+'08-3'!G33+'09-3'!G33+'10-3'!G33+'11-3'!G33+'12-3'!G33+'13-3'!G33+'14-3'!G33+'15-3'!G33+'16-3'!G33+'17-3'!G33+'18-3'!G33+'19-3'!G33+'21-3'!G33+'22-3'!G33+'24-3'!G33+'25-3'!G33+'28-3'!G33+'29-3'!G33+'30-3'!G33+'32-3'!G33+'35-3'!G33+'37-3'!G33+'47-3'!G33+'62-3'!G33+'64-3'!G33+'74-3'!G33</f>
        <v>120864100</v>
      </c>
      <c r="H287" s="106">
        <f>'01-3'!H33+'02-3'!H33+'03-3'!H33+'04-3'!H33+'05-3'!H33+'08-3'!H33+'09-3'!H33+'10-3'!H33+'11-3'!H33+'12-3'!H33+'13-3'!H33+'14-3'!H33+'15-3'!H33+'16-3'!H33+'17-3'!H33+'18-3'!H33+'19-3'!H33+'21-3'!H33+'22-3'!H33+'24-3'!H33+'25-3'!H33+'28-3'!H33+'29-3'!H33+'30-3'!H33+'32-3'!H33+'35-3'!H33+'37-3'!H33+'47-3'!H33+'62-3'!H33+'64-3'!H33+'74-3'!H33</f>
        <v>3248407284</v>
      </c>
      <c r="I287" s="106">
        <f>'01-3'!I33+'02-3'!I33+'03-3'!I33+'04-3'!I33+'05-3'!I33+'08-3'!I33+'09-3'!I33+'10-3'!I33+'11-3'!I33+'12-3'!I33+'13-3'!I33+'14-3'!I33+'15-3'!I33+'16-3'!I33+'17-3'!I33+'18-3'!I33+'19-3'!I33+'21-3'!I33+'22-3'!I33+'24-3'!I33+'25-3'!I33+'28-3'!I33+'29-3'!I33+'30-3'!I33+'32-3'!I33+'35-3'!I33+'37-3'!I33+'47-3'!I33+'62-3'!I33+'64-3'!I33+'74-3'!I33</f>
        <v>3287172742</v>
      </c>
      <c r="J287" s="106">
        <f>'01-3'!J33+'02-3'!J33+'03-3'!J33+'04-3'!J33+'05-3'!J33+'08-3'!J33+'09-3'!J33+'10-3'!J33+'11-3'!J33+'12-3'!J33+'13-3'!J33+'14-3'!J33+'15-3'!J33+'16-3'!J33+'17-3'!J33+'18-3'!J33+'19-3'!J33+'21-3'!J33+'22-3'!J33+'24-3'!J33+'25-3'!J33+'28-3'!J33+'29-3'!J33+'30-3'!J33+'32-3'!J33+'35-3'!J33+'37-3'!J33+'47-3'!J33+'62-3'!J33+'64-3'!J33+'74-3'!J33</f>
        <v>-2347130</v>
      </c>
      <c r="K287" s="106">
        <f>'01-3'!K33+'02-3'!K33+'03-3'!K33+'04-3'!K33+'05-3'!K33+'08-3'!K33+'09-3'!K33+'10-3'!K33+'11-3'!K33+'12-3'!K33+'13-3'!K33+'14-3'!K33+'15-3'!K33+'16-3'!K33+'17-3'!K33+'18-3'!K33+'19-3'!K33+'21-3'!K33+'22-3'!K33+'24-3'!K33+'25-3'!K33+'28-3'!K33+'29-3'!K33+'30-3'!K33+'32-3'!K33+'35-3'!K33+'37-3'!K33+'47-3'!K33+'62-3'!K33+'64-3'!K33+'74-3'!K33</f>
        <v>88800345</v>
      </c>
      <c r="L287" s="106">
        <f>'01-3'!L33+'02-3'!L33+'03-3'!L33+'04-3'!L33+'05-3'!L33+'08-3'!L33+'09-3'!L33+'10-3'!L33+'11-3'!L33+'12-3'!L33+'13-3'!L33+'14-3'!L33+'15-3'!L33+'16-3'!L33+'17-3'!L33+'18-3'!L33+'19-3'!L33+'21-3'!L33+'22-3'!L33+'24-3'!L33+'25-3'!L33+'28-3'!L33+'29-3'!L33+'30-3'!L33+'32-3'!L33+'35-3'!L33+'37-3'!L33+'47-3'!L33+'62-3'!L33+'64-3'!L33+'74-3'!L33</f>
        <v>147878082</v>
      </c>
      <c r="M287" s="106">
        <f>'01-3'!M33+'02-3'!M33+'03-3'!M33+'04-3'!M33+'05-3'!M33+'08-3'!M33+'09-3'!M33+'10-3'!M33+'11-3'!M33+'12-3'!M33+'13-3'!M33+'14-3'!M33+'15-3'!M33+'16-3'!M33+'17-3'!M33+'18-3'!M33+'19-3'!M33+'21-3'!M33+'22-3'!M33+'24-3'!M33+'25-3'!M33+'28-3'!M33+'29-3'!M33+'30-3'!M33+'32-3'!M33+'35-3'!M33+'37-3'!M33+'47-3'!M33+'62-3'!M33+'64-3'!M33+'74-3'!M33</f>
        <v>3521504039</v>
      </c>
      <c r="N287" s="106">
        <f>'01-3'!N33+'02-3'!N33+'03-3'!N33+'04-3'!N33+'05-3'!N33+'08-3'!N33+'09-3'!N33+'10-3'!N33+'11-3'!N33+'12-3'!N33+'13-3'!N33+'14-3'!N33+'15-3'!N33+'16-3'!N33+'17-3'!N33+'18-3'!N33+'19-3'!N33+'21-3'!N33+'22-3'!N33+'24-3'!N33+'25-3'!N33+'28-3'!N33+'29-3'!N33+'30-3'!N33+'32-3'!N33+'35-3'!N33+'37-3'!N33+'47-3'!N33+'62-3'!N33+'64-3'!N33+'74-3'!N33</f>
        <v>3105001051</v>
      </c>
      <c r="O287" s="106">
        <f>'01-3'!O33+'02-3'!O33+'03-3'!O33+'04-3'!O33+'05-3'!O33+'08-3'!O33+'09-3'!O33+'10-3'!O33+'11-3'!O33+'12-3'!O33+'13-3'!O33+'14-3'!O33+'15-3'!O33+'16-3'!O33+'17-3'!O33+'18-3'!O33+'19-3'!O33+'21-3'!O33+'22-3'!O33+'24-3'!O33+'25-3'!O33+'28-3'!O33+'29-3'!O33+'30-3'!O33+'32-3'!O33+'35-3'!O33+'37-3'!O33+'47-3'!O33+'62-3'!O33+'64-3'!O33+'74-3'!O33</f>
        <v>-2504629</v>
      </c>
      <c r="P287" s="106">
        <f>'01-3'!P33+'02-3'!P33+'03-3'!P33+'04-3'!P33+'05-3'!P33+'08-3'!P33+'09-3'!P33+'10-3'!P33+'11-3'!P33+'12-3'!P33+'13-3'!P33+'14-3'!P33+'15-3'!P33+'16-3'!P33+'17-3'!P33+'18-3'!P33+'19-3'!P33+'21-3'!P33+'22-3'!P33+'24-3'!P33+'25-3'!P33+'28-3'!P33+'29-3'!P33+'30-3'!P33+'32-3'!P33+'35-3'!P33+'37-3'!P33+'47-3'!P33+'62-3'!P33+'64-3'!P33+'74-3'!P33</f>
        <v>120560658</v>
      </c>
      <c r="Q287" s="106">
        <f>'01-3'!Q33+'02-3'!Q33+'03-3'!Q33+'04-3'!Q33+'05-3'!Q33+'08-3'!Q33+'09-3'!Q33+'10-3'!Q33+'11-3'!Q33+'12-3'!Q33+'13-3'!Q33+'14-3'!Q33+'15-3'!Q33+'16-3'!Q33+'17-3'!Q33+'18-3'!Q33+'19-3'!Q33+'21-3'!Q33+'22-3'!Q33+'24-3'!Q33+'25-3'!Q33+'28-3'!Q33+'29-3'!Q33+'30-3'!Q33+'32-3'!Q33+'35-3'!Q33+'37-3'!Q33+'47-3'!Q33+'62-3'!Q33+'64-3'!Q33+'74-3'!Q33</f>
        <v>118158082</v>
      </c>
      <c r="R287" s="106">
        <f>'01-3'!R33+'02-3'!R33+'03-3'!R33+'04-3'!R33+'05-3'!R33+'08-3'!R33+'09-3'!R33+'10-3'!R33+'11-3'!R33+'12-3'!R33+'13-3'!R33+'14-3'!R33+'15-3'!R33+'16-3'!R33+'17-3'!R33+'18-3'!R33+'19-3'!R33+'21-3'!R33+'22-3'!R33+'24-3'!R33+'25-3'!R33+'28-3'!R33+'29-3'!R33+'30-3'!R33+'32-3'!R33+'35-3'!R33+'37-3'!R33+'47-3'!R33+'62-3'!R33+'64-3'!R33+'74-3'!R33</f>
        <v>3341215162</v>
      </c>
      <c r="S287" s="954"/>
      <c r="T287" s="954"/>
      <c r="U287" s="954"/>
      <c r="V287" s="954"/>
      <c r="W287" s="954"/>
    </row>
    <row r="288" spans="1:23" s="6" customFormat="1" ht="24">
      <c r="A288" s="138">
        <v>21720</v>
      </c>
      <c r="B288" s="101" t="s">
        <v>99</v>
      </c>
      <c r="C288" s="106">
        <f>'01-3'!C34+'02-3'!C34+'03-3'!C34+'04-3'!C34+'05-3'!C34+'08-3'!C34+'09-3'!C34+'10-3'!C34+'11-3'!C34+'12-3'!C34+'13-3'!C34+'14-3'!C34+'15-3'!C34+'16-3'!C34+'17-3'!C34+'18-3'!C34+'19-3'!C34+'21-3'!C34+'22-3'!C34+'24-3'!C34+'25-3'!C34+'28-3'!C34+'29-3'!C34+'30-3'!C34+'32-3'!C34+'35-3'!C34+'37-3'!C34+'47-3'!C34+'62-3'!C34+'64-3'!C34+'74-3'!C34</f>
        <v>146671913</v>
      </c>
      <c r="D288" s="106">
        <f>'01-3'!D34+'02-3'!D34+'03-3'!D34+'04-3'!D34+'05-3'!D34+'08-3'!D34+'09-3'!D34+'10-3'!D34+'11-3'!D34+'12-3'!D34+'13-3'!D34+'14-3'!D34+'15-3'!D34+'16-3'!D34+'17-3'!D34+'18-3'!D34+'19-3'!D34+'21-3'!D34+'22-3'!D34+'24-3'!D34+'25-3'!D34+'28-3'!D34+'29-3'!D34+'30-3'!D34+'32-3'!D34+'35-3'!D34+'37-3'!D34+'47-3'!D34+'62-3'!D34+'64-3'!D34+'74-3'!D34</f>
        <v>171778164</v>
      </c>
      <c r="E288" s="106">
        <f>'01-3'!E34+'02-3'!E34+'03-3'!E34+'04-3'!E34+'05-3'!E34+'08-3'!E34+'09-3'!E34+'10-3'!E34+'11-3'!E34+'12-3'!E34+'13-3'!E34+'14-3'!E34+'15-3'!E34+'16-3'!E34+'17-3'!E34+'18-3'!E34+'19-3'!E34+'21-3'!E34+'22-3'!E34+'24-3'!E34+'25-3'!E34+'28-3'!E34+'29-3'!E34+'30-3'!E34+'32-3'!E34+'35-3'!E34+'37-3'!E34+'47-3'!E34+'62-3'!E34+'64-3'!E34+'74-3'!E34</f>
        <v>11020118</v>
      </c>
      <c r="F288" s="106">
        <f>'01-3'!F34+'02-3'!F34+'03-3'!F34+'04-3'!F34+'05-3'!F34+'08-3'!F34+'09-3'!F34+'10-3'!F34+'11-3'!F34+'12-3'!F34+'13-3'!F34+'14-3'!F34+'15-3'!F34+'16-3'!F34+'17-3'!F34+'18-3'!F34+'19-3'!F34+'21-3'!F34+'22-3'!F34+'24-3'!F34+'25-3'!F34+'28-3'!F34+'29-3'!F34+'30-3'!F34+'32-3'!F34+'35-3'!F34+'37-3'!F34+'47-3'!F34+'62-3'!F34+'64-3'!F34+'74-3'!F34</f>
        <v>0</v>
      </c>
      <c r="G288" s="106">
        <f>'01-3'!G34+'02-3'!G34+'03-3'!G34+'04-3'!G34+'05-3'!G34+'08-3'!G34+'09-3'!G34+'10-3'!G34+'11-3'!G34+'12-3'!G34+'13-3'!G34+'14-3'!G34+'15-3'!G34+'16-3'!G34+'17-3'!G34+'18-3'!G34+'19-3'!G34+'21-3'!G34+'22-3'!G34+'24-3'!G34+'25-3'!G34+'28-3'!G34+'29-3'!G34+'30-3'!G34+'32-3'!G34+'35-3'!G34+'37-3'!G34+'47-3'!G34+'62-3'!G34+'64-3'!G34+'74-3'!G34</f>
        <v>0</v>
      </c>
      <c r="H288" s="106">
        <f>'01-3'!H34+'02-3'!H34+'03-3'!H34+'04-3'!H34+'05-3'!H34+'08-3'!H34+'09-3'!H34+'10-3'!H34+'11-3'!H34+'12-3'!H34+'13-3'!H34+'14-3'!H34+'15-3'!H34+'16-3'!H34+'17-3'!H34+'18-3'!H34+'19-3'!H34+'21-3'!H34+'22-3'!H34+'24-3'!H34+'25-3'!H34+'28-3'!H34+'29-3'!H34+'30-3'!H34+'32-3'!H34+'35-3'!H34+'37-3'!H34+'47-3'!H34+'62-3'!H34+'64-3'!H34+'74-3'!H34</f>
        <v>182798282</v>
      </c>
      <c r="I288" s="106">
        <f>'01-3'!I34+'02-3'!I34+'03-3'!I34+'04-3'!I34+'05-3'!I34+'08-3'!I34+'09-3'!I34+'10-3'!I34+'11-3'!I34+'12-3'!I34+'13-3'!I34+'14-3'!I34+'15-3'!I34+'16-3'!I34+'17-3'!I34+'18-3'!I34+'19-3'!I34+'21-3'!I34+'22-3'!I34+'24-3'!I34+'25-3'!I34+'28-3'!I34+'29-3'!I34+'30-3'!I34+'32-3'!I34+'35-3'!I34+'37-3'!I34+'47-3'!I34+'62-3'!I34+'64-3'!I34+'74-3'!I34</f>
        <v>41092440</v>
      </c>
      <c r="J288" s="106">
        <f>'01-3'!J34+'02-3'!J34+'03-3'!J34+'04-3'!J34+'05-3'!J34+'08-3'!J34+'09-3'!J34+'10-3'!J34+'11-3'!J34+'12-3'!J34+'13-3'!J34+'14-3'!J34+'15-3'!J34+'16-3'!J34+'17-3'!J34+'18-3'!J34+'19-3'!J34+'21-3'!J34+'22-3'!J34+'24-3'!J34+'25-3'!J34+'28-3'!J34+'29-3'!J34+'30-3'!J34+'32-3'!J34+'35-3'!J34+'37-3'!J34+'47-3'!J34+'62-3'!J34+'64-3'!J34+'74-3'!J34</f>
        <v>9541605</v>
      </c>
      <c r="K288" s="106">
        <f>'01-3'!K34+'02-3'!K34+'03-3'!K34+'04-3'!K34+'05-3'!K34+'08-3'!K34+'09-3'!K34+'10-3'!K34+'11-3'!K34+'12-3'!K34+'13-3'!K34+'14-3'!K34+'15-3'!K34+'16-3'!K34+'17-3'!K34+'18-3'!K34+'19-3'!K34+'21-3'!K34+'22-3'!K34+'24-3'!K34+'25-3'!K34+'28-3'!K34+'29-3'!K34+'30-3'!K34+'32-3'!K34+'35-3'!K34+'37-3'!K34+'47-3'!K34+'62-3'!K34+'64-3'!K34+'74-3'!K34</f>
        <v>0</v>
      </c>
      <c r="L288" s="106">
        <f>'01-3'!L34+'02-3'!L34+'03-3'!L34+'04-3'!L34+'05-3'!L34+'08-3'!L34+'09-3'!L34+'10-3'!L34+'11-3'!L34+'12-3'!L34+'13-3'!L34+'14-3'!L34+'15-3'!L34+'16-3'!L34+'17-3'!L34+'18-3'!L34+'19-3'!L34+'21-3'!L34+'22-3'!L34+'24-3'!L34+'25-3'!L34+'28-3'!L34+'29-3'!L34+'30-3'!L34+'32-3'!L34+'35-3'!L34+'37-3'!L34+'47-3'!L34+'62-3'!L34+'64-3'!L34+'74-3'!L34</f>
        <v>0</v>
      </c>
      <c r="M288" s="106">
        <f>'01-3'!M34+'02-3'!M34+'03-3'!M34+'04-3'!M34+'05-3'!M34+'08-3'!M34+'09-3'!M34+'10-3'!M34+'11-3'!M34+'12-3'!M34+'13-3'!M34+'14-3'!M34+'15-3'!M34+'16-3'!M34+'17-3'!M34+'18-3'!M34+'19-3'!M34+'21-3'!M34+'22-3'!M34+'24-3'!M34+'25-3'!M34+'28-3'!M34+'29-3'!M34+'30-3'!M34+'32-3'!M34+'35-3'!M34+'37-3'!M34+'47-3'!M34+'62-3'!M34+'64-3'!M34+'74-3'!M34</f>
        <v>50634045</v>
      </c>
      <c r="N288" s="106">
        <f>'01-3'!N34+'02-3'!N34+'03-3'!N34+'04-3'!N34+'05-3'!N34+'08-3'!N34+'09-3'!N34+'10-3'!N34+'11-3'!N34+'12-3'!N34+'13-3'!N34+'14-3'!N34+'15-3'!N34+'16-3'!N34+'17-3'!N34+'18-3'!N34+'19-3'!N34+'21-3'!N34+'22-3'!N34+'24-3'!N34+'25-3'!N34+'28-3'!N34+'29-3'!N34+'30-3'!N34+'32-3'!N34+'35-3'!N34+'37-3'!N34+'47-3'!N34+'62-3'!N34+'64-3'!N34+'74-3'!N34</f>
        <v>9613236</v>
      </c>
      <c r="O288" s="106">
        <f>'01-3'!O34+'02-3'!O34+'03-3'!O34+'04-3'!O34+'05-3'!O34+'08-3'!O34+'09-3'!O34+'10-3'!O34+'11-3'!O34+'12-3'!O34+'13-3'!O34+'14-3'!O34+'15-3'!O34+'16-3'!O34+'17-3'!O34+'18-3'!O34+'19-3'!O34+'21-3'!O34+'22-3'!O34+'24-3'!O34+'25-3'!O34+'28-3'!O34+'29-3'!O34+'30-3'!O34+'32-3'!O34+'35-3'!O34+'37-3'!O34+'47-3'!O34+'62-3'!O34+'64-3'!O34+'74-3'!O34</f>
        <v>2659930</v>
      </c>
      <c r="P288" s="106">
        <f>'01-3'!P34+'02-3'!P34+'03-3'!P34+'04-3'!P34+'05-3'!P34+'08-3'!P34+'09-3'!P34+'10-3'!P34+'11-3'!P34+'12-3'!P34+'13-3'!P34+'14-3'!P34+'15-3'!P34+'16-3'!P34+'17-3'!P34+'18-3'!P34+'19-3'!P34+'21-3'!P34+'22-3'!P34+'24-3'!P34+'25-3'!P34+'28-3'!P34+'29-3'!P34+'30-3'!P34+'32-3'!P34+'35-3'!P34+'37-3'!P34+'47-3'!P34+'62-3'!P34+'64-3'!P34+'74-3'!P34</f>
        <v>0</v>
      </c>
      <c r="Q288" s="106">
        <f>'01-3'!Q34+'02-3'!Q34+'03-3'!Q34+'04-3'!Q34+'05-3'!Q34+'08-3'!Q34+'09-3'!Q34+'10-3'!Q34+'11-3'!Q34+'12-3'!Q34+'13-3'!Q34+'14-3'!Q34+'15-3'!Q34+'16-3'!Q34+'17-3'!Q34+'18-3'!Q34+'19-3'!Q34+'21-3'!Q34+'22-3'!Q34+'24-3'!Q34+'25-3'!Q34+'28-3'!Q34+'29-3'!Q34+'30-3'!Q34+'32-3'!Q34+'35-3'!Q34+'37-3'!Q34+'47-3'!Q34+'62-3'!Q34+'64-3'!Q34+'74-3'!Q34</f>
        <v>0</v>
      </c>
      <c r="R288" s="106">
        <f>'01-3'!R34+'02-3'!R34+'03-3'!R34+'04-3'!R34+'05-3'!R34+'08-3'!R34+'09-3'!R34+'10-3'!R34+'11-3'!R34+'12-3'!R34+'13-3'!R34+'14-3'!R34+'15-3'!R34+'16-3'!R34+'17-3'!R34+'18-3'!R34+'19-3'!R34+'21-3'!R34+'22-3'!R34+'24-3'!R34+'25-3'!R34+'28-3'!R34+'29-3'!R34+'30-3'!R34+'32-3'!R34+'35-3'!R34+'37-3'!R34+'47-3'!R34+'62-3'!R34+'64-3'!R34+'74-3'!R34</f>
        <v>12273166</v>
      </c>
      <c r="S288" s="954"/>
      <c r="T288" s="954"/>
      <c r="U288" s="954"/>
      <c r="V288" s="954"/>
      <c r="W288" s="954"/>
    </row>
    <row r="289" spans="1:23" s="6" customFormat="1" ht="11.4">
      <c r="A289" s="129" t="s">
        <v>100</v>
      </c>
      <c r="B289" s="99" t="s">
        <v>101</v>
      </c>
      <c r="C289" s="299">
        <f>'01-3'!C35+'02-3'!C35+'03-3'!C35+'04-3'!C35+'05-3'!C35+'08-3'!C35+'09-3'!C35+'10-3'!C35+'11-3'!C35+'12-3'!C35+'13-3'!C35+'14-3'!C35+'15-3'!C35+'16-3'!C35+'17-3'!C35+'18-3'!C35+'19-3'!C35+'21-3'!C35+'22-3'!C35+'24-3'!C35+'25-3'!C35+'28-3'!C35+'29-3'!C35+'30-3'!C35+'32-3'!C35+'35-3'!C35+'37-3'!C35+'47-3'!C35+'62-3'!C35+'64-3'!C35+'74-3'!C35</f>
        <v>3423810405</v>
      </c>
      <c r="D289" s="299">
        <f>'01-3'!D35+'02-3'!D35+'03-3'!D35+'04-3'!D35+'05-3'!D35+'08-3'!D35+'09-3'!D35+'10-3'!D35+'11-3'!D35+'12-3'!D35+'13-3'!D35+'14-3'!D35+'15-3'!D35+'16-3'!D35+'17-3'!D35+'18-3'!D35+'19-3'!D35+'21-3'!D35+'22-3'!D35+'24-3'!D35+'25-3'!D35+'28-3'!D35+'29-3'!D35+'30-3'!D35+'32-3'!D35+'35-3'!D35+'37-3'!D35+'47-3'!D35+'62-3'!D35+'64-3'!D35+'74-3'!D35</f>
        <v>3351499489</v>
      </c>
      <c r="E289" s="299">
        <f>'01-3'!E35+'02-3'!E35+'03-3'!E35+'04-3'!E35+'05-3'!E35+'08-3'!E35+'09-3'!E35+'10-3'!E35+'11-3'!E35+'12-3'!E35+'13-3'!E35+'14-3'!E35+'15-3'!E35+'16-3'!E35+'17-3'!E35+'18-3'!E35+'19-3'!E35+'21-3'!E35+'22-3'!E35+'24-3'!E35+'25-3'!E35+'28-3'!E35+'29-3'!E35+'30-3'!E35+'32-3'!E35+'35-3'!E35+'37-3'!E35+'47-3'!E35+'62-3'!E35+'64-3'!E35+'74-3'!E35</f>
        <v>14015702</v>
      </c>
      <c r="F289" s="299">
        <f>'01-3'!F35+'02-3'!F35+'03-3'!F35+'04-3'!F35+'05-3'!F35+'08-3'!F35+'09-3'!F35+'10-3'!F35+'11-3'!F35+'12-3'!F35+'13-3'!F35+'14-3'!F35+'15-3'!F35+'16-3'!F35+'17-3'!F35+'18-3'!F35+'19-3'!F35+'21-3'!F35+'22-3'!F35+'24-3'!F35+'25-3'!F35+'28-3'!F35+'29-3'!F35+'30-3'!F35+'32-3'!F35+'35-3'!F35+'37-3'!F35+'47-3'!F35+'62-3'!F35+'64-3'!F35+'74-3'!F35</f>
        <v>65277225</v>
      </c>
      <c r="G289" s="299">
        <f>'01-3'!G35+'02-3'!G35+'03-3'!G35+'04-3'!G35+'05-3'!G35+'08-3'!G35+'09-3'!G35+'10-3'!G35+'11-3'!G35+'12-3'!G35+'13-3'!G35+'14-3'!G35+'15-3'!G35+'16-3'!G35+'17-3'!G35+'18-3'!G35+'19-3'!G35+'21-3'!G35+'22-3'!G35+'24-3'!G35+'25-3'!G35+'28-3'!G35+'29-3'!G35+'30-3'!G35+'32-3'!G35+'35-3'!G35+'37-3'!G35+'47-3'!G35+'62-3'!G35+'64-3'!G35+'74-3'!G35</f>
        <v>114478082</v>
      </c>
      <c r="H289" s="299">
        <f>'01-3'!H35+'02-3'!H35+'03-3'!H35+'04-3'!H35+'05-3'!H35+'08-3'!H35+'09-3'!H35+'10-3'!H35+'11-3'!H35+'12-3'!H35+'13-3'!H35+'14-3'!H35+'15-3'!H35+'16-3'!H35+'17-3'!H35+'18-3'!H35+'19-3'!H35+'21-3'!H35+'22-3'!H35+'24-3'!H35+'25-3'!H35+'28-3'!H35+'29-3'!H35+'30-3'!H35+'32-3'!H35+'35-3'!H35+'37-3'!H35+'47-3'!H35+'62-3'!H35+'64-3'!H35+'74-3'!H35</f>
        <v>3545270498</v>
      </c>
      <c r="I289" s="299">
        <f>'01-3'!I35+'02-3'!I35+'03-3'!I35+'04-3'!I35+'05-3'!I35+'08-3'!I35+'09-3'!I35+'10-3'!I35+'11-3'!I35+'12-3'!I35+'13-3'!I35+'14-3'!I35+'15-3'!I35+'16-3'!I35+'17-3'!I35+'18-3'!I35+'19-3'!I35+'21-3'!I35+'22-3'!I35+'24-3'!I35+'25-3'!I35+'28-3'!I35+'29-3'!I35+'30-3'!I35+'32-3'!I35+'35-3'!I35+'37-3'!I35+'47-3'!I35+'62-3'!I35+'64-3'!I35+'74-3'!I35</f>
        <v>3408304900</v>
      </c>
      <c r="J289" s="299">
        <f>'01-3'!J35+'02-3'!J35+'03-3'!J35+'04-3'!J35+'05-3'!J35+'08-3'!J35+'09-3'!J35+'10-3'!J35+'11-3'!J35+'12-3'!J35+'13-3'!J35+'14-3'!J35+'15-3'!J35+'16-3'!J35+'17-3'!J35+'18-3'!J35+'19-3'!J35+'21-3'!J35+'22-3'!J35+'24-3'!J35+'25-3'!J35+'28-3'!J35+'29-3'!J35+'30-3'!J35+'32-3'!J35+'35-3'!J35+'37-3'!J35+'47-3'!J35+'62-3'!J35+'64-3'!J35+'74-3'!J35</f>
        <v>7898798</v>
      </c>
      <c r="K289" s="299">
        <f>'01-3'!K35+'02-3'!K35+'03-3'!K35+'04-3'!K35+'05-3'!K35+'08-3'!K35+'09-3'!K35+'10-3'!K35+'11-3'!K35+'12-3'!K35+'13-3'!K35+'14-3'!K35+'15-3'!K35+'16-3'!K35+'17-3'!K35+'18-3'!K35+'19-3'!K35+'21-3'!K35+'22-3'!K35+'24-3'!K35+'25-3'!K35+'28-3'!K35+'29-3'!K35+'30-3'!K35+'32-3'!K35+'35-3'!K35+'37-3'!K35+'47-3'!K35+'62-3'!K35+'64-3'!K35+'74-3'!K35</f>
        <v>89784946</v>
      </c>
      <c r="L289" s="299">
        <f>'01-3'!L35+'02-3'!L35+'03-3'!L35+'04-3'!L35+'05-3'!L35+'08-3'!L35+'09-3'!L35+'10-3'!L35+'11-3'!L35+'12-3'!L35+'13-3'!L35+'14-3'!L35+'15-3'!L35+'16-3'!L35+'17-3'!L35+'18-3'!L35+'19-3'!L35+'21-3'!L35+'22-3'!L35+'24-3'!L35+'25-3'!L35+'28-3'!L35+'29-3'!L35+'30-3'!L35+'32-3'!L35+'35-3'!L35+'37-3'!L35+'47-3'!L35+'62-3'!L35+'64-3'!L35+'74-3'!L35</f>
        <v>147885768</v>
      </c>
      <c r="M289" s="299">
        <f>'01-3'!M35+'02-3'!M35+'03-3'!M35+'04-3'!M35+'05-3'!M35+'08-3'!M35+'09-3'!M35+'10-3'!M35+'11-3'!M35+'12-3'!M35+'13-3'!M35+'14-3'!M35+'15-3'!M35+'16-3'!M35+'17-3'!M35+'18-3'!M35+'19-3'!M35+'21-3'!M35+'22-3'!M35+'24-3'!M35+'25-3'!M35+'28-3'!M35+'29-3'!M35+'30-3'!M35+'32-3'!M35+'35-3'!M35+'37-3'!M35+'47-3'!M35+'62-3'!M35+'64-3'!M35+'74-3'!M35</f>
        <v>3653874412</v>
      </c>
      <c r="N289" s="299">
        <f>'01-3'!N35+'02-3'!N35+'03-3'!N35+'04-3'!N35+'05-3'!N35+'08-3'!N35+'09-3'!N35+'10-3'!N35+'11-3'!N35+'12-3'!N35+'13-3'!N35+'14-3'!N35+'15-3'!N35+'16-3'!N35+'17-3'!N35+'18-3'!N35+'19-3'!N35+'21-3'!N35+'22-3'!N35+'24-3'!N35+'25-3'!N35+'28-3'!N35+'29-3'!N35+'30-3'!N35+'32-3'!N35+'35-3'!N35+'37-3'!N35+'47-3'!N35+'62-3'!N35+'64-3'!N35+'74-3'!N35</f>
        <v>3186937476</v>
      </c>
      <c r="O289" s="299">
        <f>'01-3'!O35+'02-3'!O35+'03-3'!O35+'04-3'!O35+'05-3'!O35+'08-3'!O35+'09-3'!O35+'10-3'!O35+'11-3'!O35+'12-3'!O35+'13-3'!O35+'14-3'!O35+'15-3'!O35+'16-3'!O35+'17-3'!O35+'18-3'!O35+'19-3'!O35+'21-3'!O35+'22-3'!O35+'24-3'!O35+'25-3'!O35+'28-3'!O35+'29-3'!O35+'30-3'!O35+'32-3'!O35+'35-3'!O35+'37-3'!O35+'47-3'!O35+'62-3'!O35+'64-3'!O35+'74-3'!O35</f>
        <v>346831</v>
      </c>
      <c r="P289" s="299">
        <f>'01-3'!P35+'02-3'!P35+'03-3'!P35+'04-3'!P35+'05-3'!P35+'08-3'!P35+'09-3'!P35+'10-3'!P35+'11-3'!P35+'12-3'!P35+'13-3'!P35+'14-3'!P35+'15-3'!P35+'16-3'!P35+'17-3'!P35+'18-3'!P35+'19-3'!P35+'21-3'!P35+'22-3'!P35+'24-3'!P35+'25-3'!P35+'28-3'!P35+'29-3'!P35+'30-3'!P35+'32-3'!P35+'35-3'!P35+'37-3'!P35+'47-3'!P35+'62-3'!P35+'64-3'!P35+'74-3'!P35</f>
        <v>121545259</v>
      </c>
      <c r="Q289" s="299">
        <f>'01-3'!Q35+'02-3'!Q35+'03-3'!Q35+'04-3'!Q35+'05-3'!Q35+'08-3'!Q35+'09-3'!Q35+'10-3'!Q35+'11-3'!Q35+'12-3'!Q35+'13-3'!Q35+'14-3'!Q35+'15-3'!Q35+'16-3'!Q35+'17-3'!Q35+'18-3'!Q35+'19-3'!Q35+'21-3'!Q35+'22-3'!Q35+'24-3'!Q35+'25-3'!Q35+'28-3'!Q35+'29-3'!Q35+'30-3'!Q35+'32-3'!Q35+'35-3'!Q35+'37-3'!Q35+'47-3'!Q35+'62-3'!Q35+'64-3'!Q35+'74-3'!Q35</f>
        <v>118158082</v>
      </c>
      <c r="R289" s="299">
        <f>'01-3'!R35+'02-3'!R35+'03-3'!R35+'04-3'!R35+'05-3'!R35+'08-3'!R35+'09-3'!R35+'10-3'!R35+'11-3'!R35+'12-3'!R35+'13-3'!R35+'14-3'!R35+'15-3'!R35+'16-3'!R35+'17-3'!R35+'18-3'!R35+'19-3'!R35+'21-3'!R35+'22-3'!R35+'24-3'!R35+'25-3'!R35+'28-3'!R35+'29-3'!R35+'30-3'!R35+'32-3'!R35+'35-3'!R35+'37-3'!R35+'47-3'!R35+'62-3'!R35+'64-3'!R35+'74-3'!R35</f>
        <v>3426987648</v>
      </c>
      <c r="S289" s="954"/>
      <c r="T289" s="954"/>
      <c r="U289" s="954"/>
      <c r="V289" s="954"/>
      <c r="W289" s="954"/>
    </row>
    <row r="290" spans="1:23" s="6" customFormat="1" ht="20.399999999999999">
      <c r="A290" s="130" t="s">
        <v>102</v>
      </c>
      <c r="B290" s="100" t="s">
        <v>103</v>
      </c>
      <c r="C290" s="106">
        <f>'01-3'!C36+'02-3'!C36+'03-3'!C36+'04-3'!C36+'05-3'!C36+'08-3'!C36+'09-3'!C36+'10-3'!C36+'11-3'!C36+'12-3'!C36+'13-3'!C36+'14-3'!C36+'15-3'!C36+'16-3'!C36+'17-3'!C36+'18-3'!C36+'19-3'!C36+'21-3'!C36+'22-3'!C36+'24-3'!C36+'25-3'!C36+'28-3'!C36+'29-3'!C36+'30-3'!C36+'32-3'!C36+'35-3'!C36+'37-3'!C36+'47-3'!C36+'62-3'!C36+'64-3'!C36+'74-3'!C36</f>
        <v>2966738972</v>
      </c>
      <c r="D290" s="106">
        <f>'01-3'!D36+'02-3'!D36+'03-3'!D36+'04-3'!D36+'05-3'!D36+'08-3'!D36+'09-3'!D36+'10-3'!D36+'11-3'!D36+'12-3'!D36+'13-3'!D36+'14-3'!D36+'15-3'!D36+'16-3'!D36+'17-3'!D36+'18-3'!D36+'19-3'!D36+'21-3'!D36+'22-3'!D36+'24-3'!D36+'25-3'!D36+'28-3'!D36+'29-3'!D36+'30-3'!D36+'32-3'!D36+'35-3'!D36+'37-3'!D36+'47-3'!D36+'62-3'!D36+'64-3'!D36+'74-3'!D36</f>
        <v>3005300639</v>
      </c>
      <c r="E290" s="106">
        <f>'01-3'!E36+'02-3'!E36+'03-3'!E36+'04-3'!E36+'05-3'!E36+'08-3'!E36+'09-3'!E36+'10-3'!E36+'11-3'!E36+'12-3'!E36+'13-3'!E36+'14-3'!E36+'15-3'!E36+'16-3'!E36+'17-3'!E36+'18-3'!E36+'19-3'!E36+'21-3'!E36+'22-3'!E36+'24-3'!E36+'25-3'!E36+'28-3'!E36+'29-3'!E36+'30-3'!E36+'32-3'!E36+'35-3'!E36+'37-3'!E36+'47-3'!E36+'62-3'!E36+'64-3'!E36+'74-3'!E36</f>
        <v>9548906</v>
      </c>
      <c r="F290" s="106">
        <f>'01-3'!F36+'02-3'!F36+'03-3'!F36+'04-3'!F36+'05-3'!F36+'08-3'!F36+'09-3'!F36+'10-3'!F36+'11-3'!F36+'12-3'!F36+'13-3'!F36+'14-3'!F36+'15-3'!F36+'16-3'!F36+'17-3'!F36+'18-3'!F36+'19-3'!F36+'21-3'!F36+'22-3'!F36+'24-3'!F36+'25-3'!F36+'28-3'!F36+'29-3'!F36+'30-3'!F36+'32-3'!F36+'35-3'!F36+'37-3'!F36+'47-3'!F36+'62-3'!F36+'64-3'!F36+'74-3'!F36</f>
        <v>64799491</v>
      </c>
      <c r="G290" s="106">
        <f>'01-3'!G36+'02-3'!G36+'03-3'!G36+'04-3'!G36+'05-3'!G36+'08-3'!G36+'09-3'!G36+'10-3'!G36+'11-3'!G36+'12-3'!G36+'13-3'!G36+'14-3'!G36+'15-3'!G36+'16-3'!G36+'17-3'!G36+'18-3'!G36+'19-3'!G36+'21-3'!G36+'22-3'!G36+'24-3'!G36+'25-3'!G36+'28-3'!G36+'29-3'!G36+'30-3'!G36+'32-3'!G36+'35-3'!G36+'37-3'!G36+'47-3'!G36+'62-3'!G36+'64-3'!G36+'74-3'!G36</f>
        <v>97909218</v>
      </c>
      <c r="H290" s="106">
        <f>'01-3'!H36+'02-3'!H36+'03-3'!H36+'04-3'!H36+'05-3'!H36+'08-3'!H36+'09-3'!H36+'10-3'!H36+'11-3'!H36+'12-3'!H36+'13-3'!H36+'14-3'!H36+'15-3'!H36+'16-3'!H36+'17-3'!H36+'18-3'!H36+'19-3'!H36+'21-3'!H36+'22-3'!H36+'24-3'!H36+'25-3'!H36+'28-3'!H36+'29-3'!H36+'30-3'!H36+'32-3'!H36+'35-3'!H36+'37-3'!H36+'47-3'!H36+'62-3'!H36+'64-3'!H36+'74-3'!H36</f>
        <v>3177558254</v>
      </c>
      <c r="I290" s="106">
        <f>'01-3'!I36+'02-3'!I36+'03-3'!I36+'04-3'!I36+'05-3'!I36+'08-3'!I36+'09-3'!I36+'10-3'!I36+'11-3'!I36+'12-3'!I36+'13-3'!I36+'14-3'!I36+'15-3'!I36+'16-3'!I36+'17-3'!I36+'18-3'!I36+'19-3'!I36+'21-3'!I36+'22-3'!I36+'24-3'!I36+'25-3'!I36+'28-3'!I36+'29-3'!I36+'30-3'!I36+'32-3'!I36+'35-3'!I36+'37-3'!I36+'47-3'!I36+'62-3'!I36+'64-3'!I36+'74-3'!I36</f>
        <v>3314569503</v>
      </c>
      <c r="J290" s="106">
        <f>'01-3'!J36+'02-3'!J36+'03-3'!J36+'04-3'!J36+'05-3'!J36+'08-3'!J36+'09-3'!J36+'10-3'!J36+'11-3'!J36+'12-3'!J36+'13-3'!J36+'14-3'!J36+'15-3'!J36+'16-3'!J36+'17-3'!J36+'18-3'!J36+'19-3'!J36+'21-3'!J36+'22-3'!J36+'24-3'!J36+'25-3'!J36+'28-3'!J36+'29-3'!J36+'30-3'!J36+'32-3'!J36+'35-3'!J36+'37-3'!J36+'47-3'!J36+'62-3'!J36+'64-3'!J36+'74-3'!J36</f>
        <v>6595632</v>
      </c>
      <c r="K290" s="106">
        <f>'01-3'!K36+'02-3'!K36+'03-3'!K36+'04-3'!K36+'05-3'!K36+'08-3'!K36+'09-3'!K36+'10-3'!K36+'11-3'!K36+'12-3'!K36+'13-3'!K36+'14-3'!K36+'15-3'!K36+'16-3'!K36+'17-3'!K36+'18-3'!K36+'19-3'!K36+'21-3'!K36+'22-3'!K36+'24-3'!K36+'25-3'!K36+'28-3'!K36+'29-3'!K36+'30-3'!K36+'32-3'!K36+'35-3'!K36+'37-3'!K36+'47-3'!K36+'62-3'!K36+'64-3'!K36+'74-3'!K36</f>
        <v>89611495</v>
      </c>
      <c r="L290" s="106">
        <f>'01-3'!L36+'02-3'!L36+'03-3'!L36+'04-3'!L36+'05-3'!L36+'08-3'!L36+'09-3'!L36+'10-3'!L36+'11-3'!L36+'12-3'!L36+'13-3'!L36+'14-3'!L36+'15-3'!L36+'16-3'!L36+'17-3'!L36+'18-3'!L36+'19-3'!L36+'21-3'!L36+'22-3'!L36+'24-3'!L36+'25-3'!L36+'28-3'!L36+'29-3'!L36+'30-3'!L36+'32-3'!L36+'35-3'!L36+'37-3'!L36+'47-3'!L36+'62-3'!L36+'64-3'!L36+'74-3'!L36</f>
        <v>119450580</v>
      </c>
      <c r="M290" s="106">
        <f>'01-3'!M36+'02-3'!M36+'03-3'!M36+'04-3'!M36+'05-3'!M36+'08-3'!M36+'09-3'!M36+'10-3'!M36+'11-3'!M36+'12-3'!M36+'13-3'!M36+'14-3'!M36+'15-3'!M36+'16-3'!M36+'17-3'!M36+'18-3'!M36+'19-3'!M36+'21-3'!M36+'22-3'!M36+'24-3'!M36+'25-3'!M36+'28-3'!M36+'29-3'!M36+'30-3'!M36+'32-3'!M36+'35-3'!M36+'37-3'!M36+'47-3'!M36+'62-3'!M36+'64-3'!M36+'74-3'!M36</f>
        <v>3530227210</v>
      </c>
      <c r="N290" s="106">
        <f>'01-3'!N36+'02-3'!N36+'03-3'!N36+'04-3'!N36+'05-3'!N36+'08-3'!N36+'09-3'!N36+'10-3'!N36+'11-3'!N36+'12-3'!N36+'13-3'!N36+'14-3'!N36+'15-3'!N36+'16-3'!N36+'17-3'!N36+'18-3'!N36+'19-3'!N36+'21-3'!N36+'22-3'!N36+'24-3'!N36+'25-3'!N36+'28-3'!N36+'29-3'!N36+'30-3'!N36+'32-3'!N36+'35-3'!N36+'37-3'!N36+'47-3'!N36+'62-3'!N36+'64-3'!N36+'74-3'!N36</f>
        <v>3141663672</v>
      </c>
      <c r="O290" s="106">
        <f>'01-3'!O36+'02-3'!O36+'03-3'!O36+'04-3'!O36+'05-3'!O36+'08-3'!O36+'09-3'!O36+'10-3'!O36+'11-3'!O36+'12-3'!O36+'13-3'!O36+'14-3'!O36+'15-3'!O36+'16-3'!O36+'17-3'!O36+'18-3'!O36+'19-3'!O36+'21-3'!O36+'22-3'!O36+'24-3'!O36+'25-3'!O36+'28-3'!O36+'29-3'!O36+'30-3'!O36+'32-3'!O36+'35-3'!O36+'37-3'!O36+'47-3'!O36+'62-3'!O36+'64-3'!O36+'74-3'!O36</f>
        <v>175137</v>
      </c>
      <c r="P290" s="106">
        <f>'01-3'!P36+'02-3'!P36+'03-3'!P36+'04-3'!P36+'05-3'!P36+'08-3'!P36+'09-3'!P36+'10-3'!P36+'11-3'!P36+'12-3'!P36+'13-3'!P36+'14-3'!P36+'15-3'!P36+'16-3'!P36+'17-3'!P36+'18-3'!P36+'19-3'!P36+'21-3'!P36+'22-3'!P36+'24-3'!P36+'25-3'!P36+'28-3'!P36+'29-3'!P36+'30-3'!P36+'32-3'!P36+'35-3'!P36+'37-3'!P36+'47-3'!P36+'62-3'!P36+'64-3'!P36+'74-3'!P36</f>
        <v>120971487</v>
      </c>
      <c r="Q290" s="106">
        <f>'01-3'!Q36+'02-3'!Q36+'03-3'!Q36+'04-3'!Q36+'05-3'!Q36+'08-3'!Q36+'09-3'!Q36+'10-3'!Q36+'11-3'!Q36+'12-3'!Q36+'13-3'!Q36+'14-3'!Q36+'15-3'!Q36+'16-3'!Q36+'17-3'!Q36+'18-3'!Q36+'19-3'!Q36+'21-3'!Q36+'22-3'!Q36+'24-3'!Q36+'25-3'!Q36+'28-3'!Q36+'29-3'!Q36+'30-3'!Q36+'32-3'!Q36+'35-3'!Q36+'37-3'!Q36+'47-3'!Q36+'62-3'!Q36+'64-3'!Q36+'74-3'!Q36</f>
        <v>92733719</v>
      </c>
      <c r="R290" s="106">
        <f>'01-3'!R36+'02-3'!R36+'03-3'!R36+'04-3'!R36+'05-3'!R36+'08-3'!R36+'09-3'!R36+'10-3'!R36+'11-3'!R36+'12-3'!R36+'13-3'!R36+'14-3'!R36+'15-3'!R36+'16-3'!R36+'17-3'!R36+'18-3'!R36+'19-3'!R36+'21-3'!R36+'22-3'!R36+'24-3'!R36+'25-3'!R36+'28-3'!R36+'29-3'!R36+'30-3'!R36+'32-3'!R36+'35-3'!R36+'37-3'!R36+'47-3'!R36+'62-3'!R36+'64-3'!R36+'74-3'!R36</f>
        <v>3355544015</v>
      </c>
      <c r="S290" s="954"/>
      <c r="T290" s="954"/>
      <c r="U290" s="954"/>
      <c r="V290" s="954"/>
      <c r="W290" s="954"/>
    </row>
    <row r="291" spans="1:23" s="6" customFormat="1" ht="12">
      <c r="A291" s="130" t="s">
        <v>104</v>
      </c>
      <c r="B291" s="100" t="s">
        <v>105</v>
      </c>
      <c r="C291" s="106">
        <f>'01-3'!C37+'02-3'!C37+'03-3'!C37+'04-3'!C37+'05-3'!C37+'08-3'!C37+'09-3'!C37+'10-3'!C37+'11-3'!C37+'12-3'!C37+'13-3'!C37+'14-3'!C37+'15-3'!C37+'16-3'!C37+'17-3'!C37+'18-3'!C37+'19-3'!C37+'21-3'!C37+'22-3'!C37+'24-3'!C37+'25-3'!C37+'28-3'!C37+'29-3'!C37+'30-3'!C37+'32-3'!C37+'35-3'!C37+'37-3'!C37+'47-3'!C37+'62-3'!C37+'64-3'!C37+'74-3'!C37</f>
        <v>832268347</v>
      </c>
      <c r="D291" s="106">
        <f>'01-3'!D37+'02-3'!D37+'03-3'!D37+'04-3'!D37+'05-3'!D37+'08-3'!D37+'09-3'!D37+'10-3'!D37+'11-3'!D37+'12-3'!D37+'13-3'!D37+'14-3'!D37+'15-3'!D37+'16-3'!D37+'17-3'!D37+'18-3'!D37+'19-3'!D37+'21-3'!D37+'22-3'!D37+'24-3'!D37+'25-3'!D37+'28-3'!D37+'29-3'!D37+'30-3'!D37+'32-3'!D37+'35-3'!D37+'37-3'!D37+'47-3'!D37+'62-3'!D37+'64-3'!D37+'74-3'!D37</f>
        <v>806692769</v>
      </c>
      <c r="E291" s="106">
        <f>'01-3'!E37+'02-3'!E37+'03-3'!E37+'04-3'!E37+'05-3'!E37+'08-3'!E37+'09-3'!E37+'10-3'!E37+'11-3'!E37+'12-3'!E37+'13-3'!E37+'14-3'!E37+'15-3'!E37+'16-3'!E37+'17-3'!E37+'18-3'!E37+'19-3'!E37+'21-3'!E37+'22-3'!E37+'24-3'!E37+'25-3'!E37+'28-3'!E37+'29-3'!E37+'30-3'!E37+'32-3'!E37+'35-3'!E37+'37-3'!E37+'47-3'!E37+'62-3'!E37+'64-3'!E37+'74-3'!E37</f>
        <v>684844</v>
      </c>
      <c r="F291" s="106">
        <f>'01-3'!F37+'02-3'!F37+'03-3'!F37+'04-3'!F37+'05-3'!F37+'08-3'!F37+'09-3'!F37+'10-3'!F37+'11-3'!F37+'12-3'!F37+'13-3'!F37+'14-3'!F37+'15-3'!F37+'16-3'!F37+'17-3'!F37+'18-3'!F37+'19-3'!F37+'21-3'!F37+'22-3'!F37+'24-3'!F37+'25-3'!F37+'28-3'!F37+'29-3'!F37+'30-3'!F37+'32-3'!F37+'35-3'!F37+'37-3'!F37+'47-3'!F37+'62-3'!F37+'64-3'!F37+'74-3'!F37</f>
        <v>44746123</v>
      </c>
      <c r="G291" s="106">
        <f>'01-3'!G37+'02-3'!G37+'03-3'!G37+'04-3'!G37+'05-3'!G37+'08-3'!G37+'09-3'!G37+'10-3'!G37+'11-3'!G37+'12-3'!G37+'13-3'!G37+'14-3'!G37+'15-3'!G37+'16-3'!G37+'17-3'!G37+'18-3'!G37+'19-3'!G37+'21-3'!G37+'22-3'!G37+'24-3'!G37+'25-3'!G37+'28-3'!G37+'29-3'!G37+'30-3'!G37+'32-3'!G37+'35-3'!G37+'37-3'!G37+'47-3'!G37+'62-3'!G37+'64-3'!G37+'74-3'!G37</f>
        <v>24249425</v>
      </c>
      <c r="H291" s="106">
        <f>'01-3'!H37+'02-3'!H37+'03-3'!H37+'04-3'!H37+'05-3'!H37+'08-3'!H37+'09-3'!H37+'10-3'!H37+'11-3'!H37+'12-3'!H37+'13-3'!H37+'14-3'!H37+'15-3'!H37+'16-3'!H37+'17-3'!H37+'18-3'!H37+'19-3'!H37+'21-3'!H37+'22-3'!H37+'24-3'!H37+'25-3'!H37+'28-3'!H37+'29-3'!H37+'30-3'!H37+'32-3'!H37+'35-3'!H37+'37-3'!H37+'47-3'!H37+'62-3'!H37+'64-3'!H37+'74-3'!H37</f>
        <v>876373161</v>
      </c>
      <c r="I291" s="106">
        <f>'01-3'!I37+'02-3'!I37+'03-3'!I37+'04-3'!I37+'05-3'!I37+'08-3'!I37+'09-3'!I37+'10-3'!I37+'11-3'!I37+'12-3'!I37+'13-3'!I37+'14-3'!I37+'15-3'!I37+'16-3'!I37+'17-3'!I37+'18-3'!I37+'19-3'!I37+'21-3'!I37+'22-3'!I37+'24-3'!I37+'25-3'!I37+'28-3'!I37+'29-3'!I37+'30-3'!I37+'32-3'!I37+'35-3'!I37+'37-3'!I37+'47-3'!I37+'62-3'!I37+'64-3'!I37+'74-3'!I37</f>
        <v>781126918</v>
      </c>
      <c r="J291" s="106">
        <f>'01-3'!J37+'02-3'!J37+'03-3'!J37+'04-3'!J37+'05-3'!J37+'08-3'!J37+'09-3'!J37+'10-3'!J37+'11-3'!J37+'12-3'!J37+'13-3'!J37+'14-3'!J37+'15-3'!J37+'16-3'!J37+'17-3'!J37+'18-3'!J37+'19-3'!J37+'21-3'!J37+'22-3'!J37+'24-3'!J37+'25-3'!J37+'28-3'!J37+'29-3'!J37+'30-3'!J37+'32-3'!J37+'35-3'!J37+'37-3'!J37+'47-3'!J37+'62-3'!J37+'64-3'!J37+'74-3'!J37</f>
        <v>827173</v>
      </c>
      <c r="K291" s="106">
        <f>'01-3'!K37+'02-3'!K37+'03-3'!K37+'04-3'!K37+'05-3'!K37+'08-3'!K37+'09-3'!K37+'10-3'!K37+'11-3'!K37+'12-3'!K37+'13-3'!K37+'14-3'!K37+'15-3'!K37+'16-3'!K37+'17-3'!K37+'18-3'!K37+'19-3'!K37+'21-3'!K37+'22-3'!K37+'24-3'!K37+'25-3'!K37+'28-3'!K37+'29-3'!K37+'30-3'!K37+'32-3'!K37+'35-3'!K37+'37-3'!K37+'47-3'!K37+'62-3'!K37+'64-3'!K37+'74-3'!K37</f>
        <v>39892181</v>
      </c>
      <c r="L291" s="106">
        <f>'01-3'!L37+'02-3'!L37+'03-3'!L37+'04-3'!L37+'05-3'!L37+'08-3'!L37+'09-3'!L37+'10-3'!L37+'11-3'!L37+'12-3'!L37+'13-3'!L37+'14-3'!L37+'15-3'!L37+'16-3'!L37+'17-3'!L37+'18-3'!L37+'19-3'!L37+'21-3'!L37+'22-3'!L37+'24-3'!L37+'25-3'!L37+'28-3'!L37+'29-3'!L37+'30-3'!L37+'32-3'!L37+'35-3'!L37+'37-3'!L37+'47-3'!L37+'62-3'!L37+'64-3'!L37+'74-3'!L37</f>
        <v>34764046</v>
      </c>
      <c r="M291" s="106">
        <f>'01-3'!M37+'02-3'!M37+'03-3'!M37+'04-3'!M37+'05-3'!M37+'08-3'!M37+'09-3'!M37+'10-3'!M37+'11-3'!M37+'12-3'!M37+'13-3'!M37+'14-3'!M37+'15-3'!M37+'16-3'!M37+'17-3'!M37+'18-3'!M37+'19-3'!M37+'21-3'!M37+'22-3'!M37+'24-3'!M37+'25-3'!M37+'28-3'!M37+'29-3'!M37+'30-3'!M37+'32-3'!M37+'35-3'!M37+'37-3'!M37+'47-3'!M37+'62-3'!M37+'64-3'!M37+'74-3'!M37</f>
        <v>856610318</v>
      </c>
      <c r="N291" s="106">
        <f>'01-3'!N37+'02-3'!N37+'03-3'!N37+'04-3'!N37+'05-3'!N37+'08-3'!N37+'09-3'!N37+'10-3'!N37+'11-3'!N37+'12-3'!N37+'13-3'!N37+'14-3'!N37+'15-3'!N37+'16-3'!N37+'17-3'!N37+'18-3'!N37+'19-3'!N37+'21-3'!N37+'22-3'!N37+'24-3'!N37+'25-3'!N37+'28-3'!N37+'29-3'!N37+'30-3'!N37+'32-3'!N37+'35-3'!N37+'37-3'!N37+'47-3'!N37+'62-3'!N37+'64-3'!N37+'74-3'!N37</f>
        <v>737126477</v>
      </c>
      <c r="O291" s="106">
        <f>'01-3'!O37+'02-3'!O37+'03-3'!O37+'04-3'!O37+'05-3'!O37+'08-3'!O37+'09-3'!O37+'10-3'!O37+'11-3'!O37+'12-3'!O37+'13-3'!O37+'14-3'!O37+'15-3'!O37+'16-3'!O37+'17-3'!O37+'18-3'!O37+'19-3'!O37+'21-3'!O37+'22-3'!O37+'24-3'!O37+'25-3'!O37+'28-3'!O37+'29-3'!O37+'30-3'!O37+'32-3'!O37+'35-3'!O37+'37-3'!O37+'47-3'!O37+'62-3'!O37+'64-3'!O37+'74-3'!O37</f>
        <v>-23182</v>
      </c>
      <c r="P291" s="106">
        <f>'01-3'!P37+'02-3'!P37+'03-3'!P37+'04-3'!P37+'05-3'!P37+'08-3'!P37+'09-3'!P37+'10-3'!P37+'11-3'!P37+'12-3'!P37+'13-3'!P37+'14-3'!P37+'15-3'!P37+'16-3'!P37+'17-3'!P37+'18-3'!P37+'19-3'!P37+'21-3'!P37+'22-3'!P37+'24-3'!P37+'25-3'!P37+'28-3'!P37+'29-3'!P37+'30-3'!P37+'32-3'!P37+'35-3'!P37+'37-3'!P37+'47-3'!P37+'62-3'!P37+'64-3'!P37+'74-3'!P37</f>
        <v>50580549</v>
      </c>
      <c r="Q291" s="106">
        <f>'01-3'!Q37+'02-3'!Q37+'03-3'!Q37+'04-3'!Q37+'05-3'!Q37+'08-3'!Q37+'09-3'!Q37+'10-3'!Q37+'11-3'!Q37+'12-3'!Q37+'13-3'!Q37+'14-3'!Q37+'15-3'!Q37+'16-3'!Q37+'17-3'!Q37+'18-3'!Q37+'19-3'!Q37+'21-3'!Q37+'22-3'!Q37+'24-3'!Q37+'25-3'!Q37+'28-3'!Q37+'29-3'!Q37+'30-3'!Q37+'32-3'!Q37+'35-3'!Q37+'37-3'!Q37+'47-3'!Q37+'62-3'!Q37+'64-3'!Q37+'74-3'!Q37</f>
        <v>28613112</v>
      </c>
      <c r="R291" s="106">
        <f>'01-3'!R37+'02-3'!R37+'03-3'!R37+'04-3'!R37+'05-3'!R37+'08-3'!R37+'09-3'!R37+'10-3'!R37+'11-3'!R37+'12-3'!R37+'13-3'!R37+'14-3'!R37+'15-3'!R37+'16-3'!R37+'17-3'!R37+'18-3'!R37+'19-3'!R37+'21-3'!R37+'22-3'!R37+'24-3'!R37+'25-3'!R37+'28-3'!R37+'29-3'!R37+'30-3'!R37+'32-3'!R37+'35-3'!R37+'37-3'!R37+'47-3'!R37+'62-3'!R37+'64-3'!R37+'74-3'!R37</f>
        <v>816296956</v>
      </c>
      <c r="S291" s="954"/>
      <c r="T291" s="954"/>
      <c r="U291" s="954"/>
      <c r="V291" s="954"/>
      <c r="W291" s="954"/>
    </row>
    <row r="292" spans="1:23" s="6" customFormat="1" ht="12">
      <c r="A292" s="132">
        <v>1000</v>
      </c>
      <c r="B292" s="101" t="s">
        <v>106</v>
      </c>
      <c r="C292" s="106">
        <f>'01-3'!C38+'02-3'!C38+'03-3'!C38+'04-3'!C38+'05-3'!C38+'08-3'!C38+'09-3'!C38+'10-3'!C38+'11-3'!C38+'12-3'!C38+'13-3'!C38+'14-3'!C38+'15-3'!C38+'16-3'!C38+'17-3'!C38+'18-3'!C38+'19-3'!C38+'21-3'!C38+'22-3'!C38+'24-3'!C38+'25-3'!C38+'28-3'!C38+'29-3'!C38+'30-3'!C38+'32-3'!C38+'35-3'!C38+'37-3'!C38+'47-3'!C38+'62-3'!C38+'64-3'!C38+'74-3'!C38</f>
        <v>479253539</v>
      </c>
      <c r="D292" s="106">
        <f>'01-3'!D38+'02-3'!D38+'03-3'!D38+'04-3'!D38+'05-3'!D38+'08-3'!D38+'09-3'!D38+'10-3'!D38+'11-3'!D38+'12-3'!D38+'13-3'!D38+'14-3'!D38+'15-3'!D38+'16-3'!D38+'17-3'!D38+'18-3'!D38+'19-3'!D38+'21-3'!D38+'22-3'!D38+'24-3'!D38+'25-3'!D38+'28-3'!D38+'29-3'!D38+'30-3'!D38+'32-3'!D38+'35-3'!D38+'37-3'!D38+'47-3'!D38+'62-3'!D38+'64-3'!D38+'74-3'!D38</f>
        <v>470883946.59574383</v>
      </c>
      <c r="E292" s="106">
        <f>'01-3'!E38+'02-3'!E38+'03-3'!E38+'04-3'!E38+'05-3'!E38+'08-3'!E38+'09-3'!E38+'10-3'!E38+'11-3'!E38+'12-3'!E38+'13-3'!E38+'14-3'!E38+'15-3'!E38+'16-3'!E38+'17-3'!E38+'18-3'!E38+'19-3'!E38+'21-3'!E38+'22-3'!E38+'24-3'!E38+'25-3'!E38+'28-3'!E38+'29-3'!E38+'30-3'!E38+'32-3'!E38+'35-3'!E38+'37-3'!E38+'47-3'!E38+'62-3'!E38+'64-3'!E38+'74-3'!E38</f>
        <v>105866</v>
      </c>
      <c r="F292" s="106">
        <f>'01-3'!F38+'02-3'!F38+'03-3'!F38+'04-3'!F38+'05-3'!F38+'08-3'!F38+'09-3'!F38+'10-3'!F38+'11-3'!F38+'12-3'!F38+'13-3'!F38+'14-3'!F38+'15-3'!F38+'16-3'!F38+'17-3'!F38+'18-3'!F38+'19-3'!F38+'21-3'!F38+'22-3'!F38+'24-3'!F38+'25-3'!F38+'28-3'!F38+'29-3'!F38+'30-3'!F38+'32-3'!F38+'35-3'!F38+'37-3'!F38+'47-3'!F38+'62-3'!F38+'64-3'!F38+'74-3'!F38</f>
        <v>27084542</v>
      </c>
      <c r="G292" s="106">
        <f>'01-3'!G38+'02-3'!G38+'03-3'!G38+'04-3'!G38+'05-3'!G38+'08-3'!G38+'09-3'!G38+'10-3'!G38+'11-3'!G38+'12-3'!G38+'13-3'!G38+'14-3'!G38+'15-3'!G38+'16-3'!G38+'17-3'!G38+'18-3'!G38+'19-3'!G38+'21-3'!G38+'22-3'!G38+'24-3'!G38+'25-3'!G38+'28-3'!G38+'29-3'!G38+'30-3'!G38+'32-3'!G38+'35-3'!G38+'37-3'!G38+'47-3'!G38+'62-3'!G38+'64-3'!G38+'74-3'!G38</f>
        <v>10511353</v>
      </c>
      <c r="H292" s="106">
        <f>'01-3'!H38+'02-3'!H38+'03-3'!H38+'04-3'!H38+'05-3'!H38+'08-3'!H38+'09-3'!H38+'10-3'!H38+'11-3'!H38+'12-3'!H38+'13-3'!H38+'14-3'!H38+'15-3'!H38+'16-3'!H38+'17-3'!H38+'18-3'!H38+'19-3'!H38+'21-3'!H38+'22-3'!H38+'24-3'!H38+'25-3'!H38+'28-3'!H38+'29-3'!H38+'30-3'!H38+'32-3'!H38+'35-3'!H38+'37-3'!H38+'47-3'!H38+'62-3'!H38+'64-3'!H38+'74-3'!H38</f>
        <v>508585707.59574383</v>
      </c>
      <c r="I292" s="106">
        <f>'01-3'!I38+'02-3'!I38+'03-3'!I38+'04-3'!I38+'05-3'!I38+'08-3'!I38+'09-3'!I38+'10-3'!I38+'11-3'!I38+'12-3'!I38+'13-3'!I38+'14-3'!I38+'15-3'!I38+'16-3'!I38+'17-3'!I38+'18-3'!I38+'19-3'!I38+'21-3'!I38+'22-3'!I38+'24-3'!I38+'25-3'!I38+'28-3'!I38+'29-3'!I38+'30-3'!I38+'32-3'!I38+'35-3'!I38+'37-3'!I38+'47-3'!I38+'62-3'!I38+'64-3'!I38+'74-3'!I38</f>
        <v>463795368.59574383</v>
      </c>
      <c r="J292" s="106">
        <f>'01-3'!J38+'02-3'!J38+'03-3'!J38+'04-3'!J38+'05-3'!J38+'08-3'!J38+'09-3'!J38+'10-3'!J38+'11-3'!J38+'12-3'!J38+'13-3'!J38+'14-3'!J38+'15-3'!J38+'16-3'!J38+'17-3'!J38+'18-3'!J38+'19-3'!J38+'21-3'!J38+'22-3'!J38+'24-3'!J38+'25-3'!J38+'28-3'!J38+'29-3'!J38+'30-3'!J38+'32-3'!J38+'35-3'!J38+'37-3'!J38+'47-3'!J38+'62-3'!J38+'64-3'!J38+'74-3'!J38</f>
        <v>966625</v>
      </c>
      <c r="K292" s="106">
        <f>'01-3'!K38+'02-3'!K38+'03-3'!K38+'04-3'!K38+'05-3'!K38+'08-3'!K38+'09-3'!K38+'10-3'!K38+'11-3'!K38+'12-3'!K38+'13-3'!K38+'14-3'!K38+'15-3'!K38+'16-3'!K38+'17-3'!K38+'18-3'!K38+'19-3'!K38+'21-3'!K38+'22-3'!K38+'24-3'!K38+'25-3'!K38+'28-3'!K38+'29-3'!K38+'30-3'!K38+'32-3'!K38+'35-3'!K38+'37-3'!K38+'47-3'!K38+'62-3'!K38+'64-3'!K38+'74-3'!K38</f>
        <v>27795479</v>
      </c>
      <c r="L292" s="106">
        <f>'01-3'!L38+'02-3'!L38+'03-3'!L38+'04-3'!L38+'05-3'!L38+'08-3'!L38+'09-3'!L38+'10-3'!L38+'11-3'!L38+'12-3'!L38+'13-3'!L38+'14-3'!L38+'15-3'!L38+'16-3'!L38+'17-3'!L38+'18-3'!L38+'19-3'!L38+'21-3'!L38+'22-3'!L38+'24-3'!L38+'25-3'!L38+'28-3'!L38+'29-3'!L38+'30-3'!L38+'32-3'!L38+'35-3'!L38+'37-3'!L38+'47-3'!L38+'62-3'!L38+'64-3'!L38+'74-3'!L38</f>
        <v>13562373</v>
      </c>
      <c r="M292" s="106">
        <f>'01-3'!M38+'02-3'!M38+'03-3'!M38+'04-3'!M38+'05-3'!M38+'08-3'!M38+'09-3'!M38+'10-3'!M38+'11-3'!M38+'12-3'!M38+'13-3'!M38+'14-3'!M38+'15-3'!M38+'16-3'!M38+'17-3'!M38+'18-3'!M38+'19-3'!M38+'21-3'!M38+'22-3'!M38+'24-3'!M38+'25-3'!M38+'28-3'!M38+'29-3'!M38+'30-3'!M38+'32-3'!M38+'35-3'!M38+'37-3'!M38+'47-3'!M38+'62-3'!M38+'64-3'!M38+'74-3'!M38</f>
        <v>506119845.59574383</v>
      </c>
      <c r="N292" s="106">
        <f>'01-3'!N38+'02-3'!N38+'03-3'!N38+'04-3'!N38+'05-3'!N38+'08-3'!N38+'09-3'!N38+'10-3'!N38+'11-3'!N38+'12-3'!N38+'13-3'!N38+'14-3'!N38+'15-3'!N38+'16-3'!N38+'17-3'!N38+'18-3'!N38+'19-3'!N38+'21-3'!N38+'22-3'!N38+'24-3'!N38+'25-3'!N38+'28-3'!N38+'29-3'!N38+'30-3'!N38+'32-3'!N38+'35-3'!N38+'37-3'!N38+'47-3'!N38+'62-3'!N38+'64-3'!N38+'74-3'!N38</f>
        <v>453817735.59574383</v>
      </c>
      <c r="O292" s="106">
        <f>'01-3'!O38+'02-3'!O38+'03-3'!O38+'04-3'!O38+'05-3'!O38+'08-3'!O38+'09-3'!O38+'10-3'!O38+'11-3'!O38+'12-3'!O38+'13-3'!O38+'14-3'!O38+'15-3'!O38+'16-3'!O38+'17-3'!O38+'18-3'!O38+'19-3'!O38+'21-3'!O38+'22-3'!O38+'24-3'!O38+'25-3'!O38+'28-3'!O38+'29-3'!O38+'30-3'!O38+'32-3'!O38+'35-3'!O38+'37-3'!O38+'47-3'!O38+'62-3'!O38+'64-3'!O38+'74-3'!O38</f>
        <v>524326</v>
      </c>
      <c r="P292" s="106">
        <f>'01-3'!P38+'02-3'!P38+'03-3'!P38+'04-3'!P38+'05-3'!P38+'08-3'!P38+'09-3'!P38+'10-3'!P38+'11-3'!P38+'12-3'!P38+'13-3'!P38+'14-3'!P38+'15-3'!P38+'16-3'!P38+'17-3'!P38+'18-3'!P38+'19-3'!P38+'21-3'!P38+'22-3'!P38+'24-3'!P38+'25-3'!P38+'28-3'!P38+'29-3'!P38+'30-3'!P38+'32-3'!P38+'35-3'!P38+'37-3'!P38+'47-3'!P38+'62-3'!P38+'64-3'!P38+'74-3'!P38</f>
        <v>27167846</v>
      </c>
      <c r="Q292" s="106">
        <f>'01-3'!Q38+'02-3'!Q38+'03-3'!Q38+'04-3'!Q38+'05-3'!Q38+'08-3'!Q38+'09-3'!Q38+'10-3'!Q38+'11-3'!Q38+'12-3'!Q38+'13-3'!Q38+'14-3'!Q38+'15-3'!Q38+'16-3'!Q38+'17-3'!Q38+'18-3'!Q38+'19-3'!Q38+'21-3'!Q38+'22-3'!Q38+'24-3'!Q38+'25-3'!Q38+'28-3'!Q38+'29-3'!Q38+'30-3'!Q38+'32-3'!Q38+'35-3'!Q38+'37-3'!Q38+'47-3'!Q38+'62-3'!Q38+'64-3'!Q38+'74-3'!Q38</f>
        <v>13166538</v>
      </c>
      <c r="R292" s="106">
        <f>'01-3'!R38+'02-3'!R38+'03-3'!R38+'04-3'!R38+'05-3'!R38+'08-3'!R38+'09-3'!R38+'10-3'!R38+'11-3'!R38+'12-3'!R38+'13-3'!R38+'14-3'!R38+'15-3'!R38+'16-3'!R38+'17-3'!R38+'18-3'!R38+'19-3'!R38+'21-3'!R38+'22-3'!R38+'24-3'!R38+'25-3'!R38+'28-3'!R38+'29-3'!R38+'30-3'!R38+'32-3'!R38+'35-3'!R38+'37-3'!R38+'47-3'!R38+'62-3'!R38+'64-3'!R38+'74-3'!R38</f>
        <v>494676445.59574383</v>
      </c>
      <c r="S292" s="954"/>
      <c r="T292" s="954"/>
      <c r="U292" s="954"/>
      <c r="V292" s="954"/>
      <c r="W292" s="954"/>
    </row>
    <row r="293" spans="1:23" s="6" customFormat="1" ht="12">
      <c r="A293" s="139">
        <v>1100</v>
      </c>
      <c r="B293" s="101" t="s">
        <v>107</v>
      </c>
      <c r="C293" s="106">
        <f>'01-3'!C39+'02-3'!C39+'03-3'!C39+'04-3'!C39+'05-3'!C39+'08-3'!C39+'09-3'!C39+'10-3'!C39+'11-3'!C39+'12-3'!C39+'13-3'!C39+'14-3'!C39+'15-3'!C39+'16-3'!C39+'17-3'!C39+'18-3'!C39+'19-3'!C39+'21-3'!C39+'22-3'!C39+'24-3'!C39+'25-3'!C39+'28-3'!C39+'29-3'!C39+'30-3'!C39+'32-3'!C39+'35-3'!C39+'37-3'!C39+'47-3'!C39+'62-3'!C39+'64-3'!C39+'74-3'!C39</f>
        <v>359813706</v>
      </c>
      <c r="D293" s="106">
        <f>'01-3'!D39+'02-3'!D39+'03-3'!D39+'04-3'!D39+'05-3'!D39+'08-3'!D39+'09-3'!D39+'10-3'!D39+'11-3'!D39+'12-3'!D39+'13-3'!D39+'14-3'!D39+'15-3'!D39+'16-3'!D39+'17-3'!D39+'18-3'!D39+'19-3'!D39+'21-3'!D39+'22-3'!D39+'24-3'!D39+'25-3'!D39+'28-3'!D39+'29-3'!D39+'30-3'!D39+'32-3'!D39+'35-3'!D39+'37-3'!D39+'47-3'!D39+'62-3'!D39+'64-3'!D39+'74-3'!D39</f>
        <v>353106574.31656182</v>
      </c>
      <c r="E293" s="106">
        <f>'01-3'!E39+'02-3'!E39+'03-3'!E39+'04-3'!E39+'05-3'!E39+'08-3'!E39+'09-3'!E39+'10-3'!E39+'11-3'!E39+'12-3'!E39+'13-3'!E39+'14-3'!E39+'15-3'!E39+'16-3'!E39+'17-3'!E39+'18-3'!E39+'19-3'!E39+'21-3'!E39+'22-3'!E39+'24-3'!E39+'25-3'!E39+'28-3'!E39+'29-3'!E39+'30-3'!E39+'32-3'!E39+'35-3'!E39+'37-3'!E39+'47-3'!E39+'62-3'!E39+'64-3'!E39+'74-3'!E39</f>
        <v>29014</v>
      </c>
      <c r="F293" s="106">
        <f>'01-3'!F39+'02-3'!F39+'03-3'!F39+'04-3'!F39+'05-3'!F39+'08-3'!F39+'09-3'!F39+'10-3'!F39+'11-3'!F39+'12-3'!F39+'13-3'!F39+'14-3'!F39+'15-3'!F39+'16-3'!F39+'17-3'!F39+'18-3'!F39+'19-3'!F39+'21-3'!F39+'22-3'!F39+'24-3'!F39+'25-3'!F39+'28-3'!F39+'29-3'!F39+'30-3'!F39+'32-3'!F39+'35-3'!F39+'37-3'!F39+'47-3'!F39+'62-3'!F39+'64-3'!F39+'74-3'!F39</f>
        <v>18991159</v>
      </c>
      <c r="G293" s="106">
        <f>'01-3'!G39+'02-3'!G39+'03-3'!G39+'04-3'!G39+'05-3'!G39+'08-3'!G39+'09-3'!G39+'10-3'!G39+'11-3'!G39+'12-3'!G39+'13-3'!G39+'14-3'!G39+'15-3'!G39+'16-3'!G39+'17-3'!G39+'18-3'!G39+'19-3'!G39+'21-3'!G39+'22-3'!G39+'24-3'!G39+'25-3'!G39+'28-3'!G39+'29-3'!G39+'30-3'!G39+'32-3'!G39+'35-3'!G39+'37-3'!G39+'47-3'!G39+'62-3'!G39+'64-3'!G39+'74-3'!G39</f>
        <v>7786252</v>
      </c>
      <c r="H293" s="106">
        <f>'01-3'!H39+'02-3'!H39+'03-3'!H39+'04-3'!H39+'05-3'!H39+'08-3'!H39+'09-3'!H39+'10-3'!H39+'11-3'!H39+'12-3'!H39+'13-3'!H39+'14-3'!H39+'15-3'!H39+'16-3'!H39+'17-3'!H39+'18-3'!H39+'19-3'!H39+'21-3'!H39+'22-3'!H39+'24-3'!H39+'25-3'!H39+'28-3'!H39+'29-3'!H39+'30-3'!H39+'32-3'!H39+'35-3'!H39+'37-3'!H39+'47-3'!H39+'62-3'!H39+'64-3'!H39+'74-3'!H39</f>
        <v>379912999.31656182</v>
      </c>
      <c r="I293" s="106">
        <f>'01-3'!I39+'02-3'!I39+'03-3'!I39+'04-3'!I39+'05-3'!I39+'08-3'!I39+'09-3'!I39+'10-3'!I39+'11-3'!I39+'12-3'!I39+'13-3'!I39+'14-3'!I39+'15-3'!I39+'16-3'!I39+'17-3'!I39+'18-3'!I39+'19-3'!I39+'21-3'!I39+'22-3'!I39+'24-3'!I39+'25-3'!I39+'28-3'!I39+'29-3'!I39+'30-3'!I39+'32-3'!I39+'35-3'!I39+'37-3'!I39+'47-3'!I39+'62-3'!I39+'64-3'!I39+'74-3'!I39</f>
        <v>347533754.31656182</v>
      </c>
      <c r="J293" s="106">
        <f>'01-3'!J39+'02-3'!J39+'03-3'!J39+'04-3'!J39+'05-3'!J39+'08-3'!J39+'09-3'!J39+'10-3'!J39+'11-3'!J39+'12-3'!J39+'13-3'!J39+'14-3'!J39+'15-3'!J39+'16-3'!J39+'17-3'!J39+'18-3'!J39+'19-3'!J39+'21-3'!J39+'22-3'!J39+'24-3'!J39+'25-3'!J39+'28-3'!J39+'29-3'!J39+'30-3'!J39+'32-3'!J39+'35-3'!J39+'37-3'!J39+'47-3'!J39+'62-3'!J39+'64-3'!J39+'74-3'!J39</f>
        <v>721495</v>
      </c>
      <c r="K293" s="106">
        <f>'01-3'!K39+'02-3'!K39+'03-3'!K39+'04-3'!K39+'05-3'!K39+'08-3'!K39+'09-3'!K39+'10-3'!K39+'11-3'!K39+'12-3'!K39+'13-3'!K39+'14-3'!K39+'15-3'!K39+'16-3'!K39+'17-3'!K39+'18-3'!K39+'19-3'!K39+'21-3'!K39+'22-3'!K39+'24-3'!K39+'25-3'!K39+'28-3'!K39+'29-3'!K39+'30-3'!K39+'32-3'!K39+'35-3'!K39+'37-3'!K39+'47-3'!K39+'62-3'!K39+'64-3'!K39+'74-3'!K39</f>
        <v>19224207</v>
      </c>
      <c r="L293" s="106">
        <f>'01-3'!L39+'02-3'!L39+'03-3'!L39+'04-3'!L39+'05-3'!L39+'08-3'!L39+'09-3'!L39+'10-3'!L39+'11-3'!L39+'12-3'!L39+'13-3'!L39+'14-3'!L39+'15-3'!L39+'16-3'!L39+'17-3'!L39+'18-3'!L39+'19-3'!L39+'21-3'!L39+'22-3'!L39+'24-3'!L39+'25-3'!L39+'28-3'!L39+'29-3'!L39+'30-3'!L39+'32-3'!L39+'35-3'!L39+'37-3'!L39+'47-3'!L39+'62-3'!L39+'64-3'!L39+'74-3'!L39</f>
        <v>10212626</v>
      </c>
      <c r="M293" s="106">
        <f>'01-3'!M39+'02-3'!M39+'03-3'!M39+'04-3'!M39+'05-3'!M39+'08-3'!M39+'09-3'!M39+'10-3'!M39+'11-3'!M39+'12-3'!M39+'13-3'!M39+'14-3'!M39+'15-3'!M39+'16-3'!M39+'17-3'!M39+'18-3'!M39+'19-3'!M39+'21-3'!M39+'22-3'!M39+'24-3'!M39+'25-3'!M39+'28-3'!M39+'29-3'!M39+'30-3'!M39+'32-3'!M39+'35-3'!M39+'37-3'!M39+'47-3'!M39+'62-3'!M39+'64-3'!M39+'74-3'!M39</f>
        <v>377692082.31656182</v>
      </c>
      <c r="N293" s="106">
        <f>'01-3'!N39+'02-3'!N39+'03-3'!N39+'04-3'!N39+'05-3'!N39+'08-3'!N39+'09-3'!N39+'10-3'!N39+'11-3'!N39+'12-3'!N39+'13-3'!N39+'14-3'!N39+'15-3'!N39+'16-3'!N39+'17-3'!N39+'18-3'!N39+'19-3'!N39+'21-3'!N39+'22-3'!N39+'24-3'!N39+'25-3'!N39+'28-3'!N39+'29-3'!N39+'30-3'!N39+'32-3'!N39+'35-3'!N39+'37-3'!N39+'47-3'!N39+'62-3'!N39+'64-3'!N39+'74-3'!N39</f>
        <v>339712629.31656182</v>
      </c>
      <c r="O293" s="106">
        <f>'01-3'!O39+'02-3'!O39+'03-3'!O39+'04-3'!O39+'05-3'!O39+'08-3'!O39+'09-3'!O39+'10-3'!O39+'11-3'!O39+'12-3'!O39+'13-3'!O39+'14-3'!O39+'15-3'!O39+'16-3'!O39+'17-3'!O39+'18-3'!O39+'19-3'!O39+'21-3'!O39+'22-3'!O39+'24-3'!O39+'25-3'!O39+'28-3'!O39+'29-3'!O39+'30-3'!O39+'32-3'!O39+'35-3'!O39+'37-3'!O39+'47-3'!O39+'62-3'!O39+'64-3'!O39+'74-3'!O39</f>
        <v>367627</v>
      </c>
      <c r="P293" s="106">
        <f>'01-3'!P39+'02-3'!P39+'03-3'!P39+'04-3'!P39+'05-3'!P39+'08-3'!P39+'09-3'!P39+'10-3'!P39+'11-3'!P39+'12-3'!P39+'13-3'!P39+'14-3'!P39+'15-3'!P39+'16-3'!P39+'17-3'!P39+'18-3'!P39+'19-3'!P39+'21-3'!P39+'22-3'!P39+'24-3'!P39+'25-3'!P39+'28-3'!P39+'29-3'!P39+'30-3'!P39+'32-3'!P39+'35-3'!P39+'37-3'!P39+'47-3'!P39+'62-3'!P39+'64-3'!P39+'74-3'!P39</f>
        <v>18978692</v>
      </c>
      <c r="Q293" s="106">
        <f>'01-3'!Q39+'02-3'!Q39+'03-3'!Q39+'04-3'!Q39+'05-3'!Q39+'08-3'!Q39+'09-3'!Q39+'10-3'!Q39+'11-3'!Q39+'12-3'!Q39+'13-3'!Q39+'14-3'!Q39+'15-3'!Q39+'16-3'!Q39+'17-3'!Q39+'18-3'!Q39+'19-3'!Q39+'21-3'!Q39+'22-3'!Q39+'24-3'!Q39+'25-3'!Q39+'28-3'!Q39+'29-3'!Q39+'30-3'!Q39+'32-3'!Q39+'35-3'!Q39+'37-3'!Q39+'47-3'!Q39+'62-3'!Q39+'64-3'!Q39+'74-3'!Q39</f>
        <v>9847606</v>
      </c>
      <c r="R293" s="106">
        <f>'01-3'!R39+'02-3'!R39+'03-3'!R39+'04-3'!R39+'05-3'!R39+'08-3'!R39+'09-3'!R39+'10-3'!R39+'11-3'!R39+'12-3'!R39+'13-3'!R39+'14-3'!R39+'15-3'!R39+'16-3'!R39+'17-3'!R39+'18-3'!R39+'19-3'!R39+'21-3'!R39+'22-3'!R39+'24-3'!R39+'25-3'!R39+'28-3'!R39+'29-3'!R39+'30-3'!R39+'32-3'!R39+'35-3'!R39+'37-3'!R39+'47-3'!R39+'62-3'!R39+'64-3'!R39+'74-3'!R39</f>
        <v>368906554.31656182</v>
      </c>
      <c r="S293" s="954"/>
      <c r="T293" s="954"/>
      <c r="U293" s="954"/>
      <c r="V293" s="954"/>
      <c r="W293" s="954"/>
    </row>
    <row r="294" spans="1:23" s="6" customFormat="1" ht="12">
      <c r="A294" s="132">
        <v>2000</v>
      </c>
      <c r="B294" s="101" t="s">
        <v>108</v>
      </c>
      <c r="C294" s="106">
        <f>'01-3'!C40+'02-3'!C40+'03-3'!C40+'04-3'!C40+'05-3'!C40+'08-3'!C40+'09-3'!C40+'10-3'!C40+'11-3'!C40+'12-3'!C40+'13-3'!C40+'14-3'!C40+'15-3'!C40+'16-3'!C40+'17-3'!C40+'18-3'!C40+'19-3'!C40+'21-3'!C40+'22-3'!C40+'24-3'!C40+'25-3'!C40+'28-3'!C40+'29-3'!C40+'30-3'!C40+'32-3'!C40+'35-3'!C40+'37-3'!C40+'47-3'!C40+'62-3'!C40+'64-3'!C40+'74-3'!C40</f>
        <v>353014808</v>
      </c>
      <c r="D294" s="106">
        <f>'01-3'!D40+'02-3'!D40+'03-3'!D40+'04-3'!D40+'05-3'!D40+'08-3'!D40+'09-3'!D40+'10-3'!D40+'11-3'!D40+'12-3'!D40+'13-3'!D40+'14-3'!D40+'15-3'!D40+'16-3'!D40+'17-3'!D40+'18-3'!D40+'19-3'!D40+'21-3'!D40+'22-3'!D40+'24-3'!D40+'25-3'!D40+'28-3'!D40+'29-3'!D40+'30-3'!D40+'32-3'!D40+'35-3'!D40+'37-3'!D40+'47-3'!D40+'62-3'!D40+'64-3'!D40+'74-3'!D40</f>
        <v>335808822.40425617</v>
      </c>
      <c r="E294" s="106">
        <f>'01-3'!E40+'02-3'!E40+'03-3'!E40+'04-3'!E40+'05-3'!E40+'08-3'!E40+'09-3'!E40+'10-3'!E40+'11-3'!E40+'12-3'!E40+'13-3'!E40+'14-3'!E40+'15-3'!E40+'16-3'!E40+'17-3'!E40+'18-3'!E40+'19-3'!E40+'21-3'!E40+'22-3'!E40+'24-3'!E40+'25-3'!E40+'28-3'!E40+'29-3'!E40+'30-3'!E40+'32-3'!E40+'35-3'!E40+'37-3'!E40+'47-3'!E40+'62-3'!E40+'64-3'!E40+'74-3'!E40</f>
        <v>578978</v>
      </c>
      <c r="F294" s="106">
        <f>'01-3'!F40+'02-3'!F40+'03-3'!F40+'04-3'!F40+'05-3'!F40+'08-3'!F40+'09-3'!F40+'10-3'!F40+'11-3'!F40+'12-3'!F40+'13-3'!F40+'14-3'!F40+'15-3'!F40+'16-3'!F40+'17-3'!F40+'18-3'!F40+'19-3'!F40+'21-3'!F40+'22-3'!F40+'24-3'!F40+'25-3'!F40+'28-3'!F40+'29-3'!F40+'30-3'!F40+'32-3'!F40+'35-3'!F40+'37-3'!F40+'47-3'!F40+'62-3'!F40+'64-3'!F40+'74-3'!F40</f>
        <v>17661581</v>
      </c>
      <c r="G294" s="106">
        <f>'01-3'!G40+'02-3'!G40+'03-3'!G40+'04-3'!G40+'05-3'!G40+'08-3'!G40+'09-3'!G40+'10-3'!G40+'11-3'!G40+'12-3'!G40+'13-3'!G40+'14-3'!G40+'15-3'!G40+'16-3'!G40+'17-3'!G40+'18-3'!G40+'19-3'!G40+'21-3'!G40+'22-3'!G40+'24-3'!G40+'25-3'!G40+'28-3'!G40+'29-3'!G40+'30-3'!G40+'32-3'!G40+'35-3'!G40+'37-3'!G40+'47-3'!G40+'62-3'!G40+'64-3'!G40+'74-3'!G40</f>
        <v>13738072</v>
      </c>
      <c r="H294" s="106">
        <f>'01-3'!H40+'02-3'!H40+'03-3'!H40+'04-3'!H40+'05-3'!H40+'08-3'!H40+'09-3'!H40+'10-3'!H40+'11-3'!H40+'12-3'!H40+'13-3'!H40+'14-3'!H40+'15-3'!H40+'16-3'!H40+'17-3'!H40+'18-3'!H40+'19-3'!H40+'21-3'!H40+'22-3'!H40+'24-3'!H40+'25-3'!H40+'28-3'!H40+'29-3'!H40+'30-3'!H40+'32-3'!H40+'35-3'!H40+'37-3'!H40+'47-3'!H40+'62-3'!H40+'64-3'!H40+'74-3'!H40</f>
        <v>367787453.40425617</v>
      </c>
      <c r="I294" s="106">
        <f>'01-3'!I40+'02-3'!I40+'03-3'!I40+'04-3'!I40+'05-3'!I40+'08-3'!I40+'09-3'!I40+'10-3'!I40+'11-3'!I40+'12-3'!I40+'13-3'!I40+'14-3'!I40+'15-3'!I40+'16-3'!I40+'17-3'!I40+'18-3'!I40+'19-3'!I40+'21-3'!I40+'22-3'!I40+'24-3'!I40+'25-3'!I40+'28-3'!I40+'29-3'!I40+'30-3'!I40+'32-3'!I40+'35-3'!I40+'37-3'!I40+'47-3'!I40+'62-3'!I40+'64-3'!I40+'74-3'!I40</f>
        <v>317331549.40425617</v>
      </c>
      <c r="J294" s="106">
        <f>'01-3'!J40+'02-3'!J40+'03-3'!J40+'04-3'!J40+'05-3'!J40+'08-3'!J40+'09-3'!J40+'10-3'!J40+'11-3'!J40+'12-3'!J40+'13-3'!J40+'14-3'!J40+'15-3'!J40+'16-3'!J40+'17-3'!J40+'18-3'!J40+'19-3'!J40+'21-3'!J40+'22-3'!J40+'24-3'!J40+'25-3'!J40+'28-3'!J40+'29-3'!J40+'30-3'!J40+'32-3'!J40+'35-3'!J40+'37-3'!J40+'47-3'!J40+'62-3'!J40+'64-3'!J40+'74-3'!J40</f>
        <v>-139452</v>
      </c>
      <c r="K294" s="106">
        <f>'01-3'!K40+'02-3'!K40+'03-3'!K40+'04-3'!K40+'05-3'!K40+'08-3'!K40+'09-3'!K40+'10-3'!K40+'11-3'!K40+'12-3'!K40+'13-3'!K40+'14-3'!K40+'15-3'!K40+'16-3'!K40+'17-3'!K40+'18-3'!K40+'19-3'!K40+'21-3'!K40+'22-3'!K40+'24-3'!K40+'25-3'!K40+'28-3'!K40+'29-3'!K40+'30-3'!K40+'32-3'!K40+'35-3'!K40+'37-3'!K40+'47-3'!K40+'62-3'!K40+'64-3'!K40+'74-3'!K40</f>
        <v>12096702</v>
      </c>
      <c r="L294" s="106">
        <f>'01-3'!L40+'02-3'!L40+'03-3'!L40+'04-3'!L40+'05-3'!L40+'08-3'!L40+'09-3'!L40+'10-3'!L40+'11-3'!L40+'12-3'!L40+'13-3'!L40+'14-3'!L40+'15-3'!L40+'16-3'!L40+'17-3'!L40+'18-3'!L40+'19-3'!L40+'21-3'!L40+'22-3'!L40+'24-3'!L40+'25-3'!L40+'28-3'!L40+'29-3'!L40+'30-3'!L40+'32-3'!L40+'35-3'!L40+'37-3'!L40+'47-3'!L40+'62-3'!L40+'64-3'!L40+'74-3'!L40</f>
        <v>21201673</v>
      </c>
      <c r="M294" s="106">
        <f>'01-3'!M40+'02-3'!M40+'03-3'!M40+'04-3'!M40+'05-3'!M40+'08-3'!M40+'09-3'!M40+'10-3'!M40+'11-3'!M40+'12-3'!M40+'13-3'!M40+'14-3'!M40+'15-3'!M40+'16-3'!M40+'17-3'!M40+'18-3'!M40+'19-3'!M40+'21-3'!M40+'22-3'!M40+'24-3'!M40+'25-3'!M40+'28-3'!M40+'29-3'!M40+'30-3'!M40+'32-3'!M40+'35-3'!M40+'37-3'!M40+'47-3'!M40+'62-3'!M40+'64-3'!M40+'74-3'!M40</f>
        <v>350490472.40425617</v>
      </c>
      <c r="N294" s="106">
        <f>'01-3'!N40+'02-3'!N40+'03-3'!N40+'04-3'!N40+'05-3'!N40+'08-3'!N40+'09-3'!N40+'10-3'!N40+'11-3'!N40+'12-3'!N40+'13-3'!N40+'14-3'!N40+'15-3'!N40+'16-3'!N40+'17-3'!N40+'18-3'!N40+'19-3'!N40+'21-3'!N40+'22-3'!N40+'24-3'!N40+'25-3'!N40+'28-3'!N40+'29-3'!N40+'30-3'!N40+'32-3'!N40+'35-3'!N40+'37-3'!N40+'47-3'!N40+'62-3'!N40+'64-3'!N40+'74-3'!N40</f>
        <v>283308741.40425617</v>
      </c>
      <c r="O294" s="106">
        <f>'01-3'!O40+'02-3'!O40+'03-3'!O40+'04-3'!O40+'05-3'!O40+'08-3'!O40+'09-3'!O40+'10-3'!O40+'11-3'!O40+'12-3'!O40+'13-3'!O40+'14-3'!O40+'15-3'!O40+'16-3'!O40+'17-3'!O40+'18-3'!O40+'19-3'!O40+'21-3'!O40+'22-3'!O40+'24-3'!O40+'25-3'!O40+'28-3'!O40+'29-3'!O40+'30-3'!O40+'32-3'!O40+'35-3'!O40+'37-3'!O40+'47-3'!O40+'62-3'!O40+'64-3'!O40+'74-3'!O40</f>
        <v>-547508</v>
      </c>
      <c r="P294" s="106">
        <f>'01-3'!P40+'02-3'!P40+'03-3'!P40+'04-3'!P40+'05-3'!P40+'08-3'!P40+'09-3'!P40+'10-3'!P40+'11-3'!P40+'12-3'!P40+'13-3'!P40+'14-3'!P40+'15-3'!P40+'16-3'!P40+'17-3'!P40+'18-3'!P40+'19-3'!P40+'21-3'!P40+'22-3'!P40+'24-3'!P40+'25-3'!P40+'28-3'!P40+'29-3'!P40+'30-3'!P40+'32-3'!P40+'35-3'!P40+'37-3'!P40+'47-3'!P40+'62-3'!P40+'64-3'!P40+'74-3'!P40</f>
        <v>23412703</v>
      </c>
      <c r="Q294" s="106">
        <f>'01-3'!Q40+'02-3'!Q40+'03-3'!Q40+'04-3'!Q40+'05-3'!Q40+'08-3'!Q40+'09-3'!Q40+'10-3'!Q40+'11-3'!Q40+'12-3'!Q40+'13-3'!Q40+'14-3'!Q40+'15-3'!Q40+'16-3'!Q40+'17-3'!Q40+'18-3'!Q40+'19-3'!Q40+'21-3'!Q40+'22-3'!Q40+'24-3'!Q40+'25-3'!Q40+'28-3'!Q40+'29-3'!Q40+'30-3'!Q40+'32-3'!Q40+'35-3'!Q40+'37-3'!Q40+'47-3'!Q40+'62-3'!Q40+'64-3'!Q40+'74-3'!Q40</f>
        <v>15446574</v>
      </c>
      <c r="R294" s="106">
        <f>'01-3'!R40+'02-3'!R40+'03-3'!R40+'04-3'!R40+'05-3'!R40+'08-3'!R40+'09-3'!R40+'10-3'!R40+'11-3'!R40+'12-3'!R40+'13-3'!R40+'14-3'!R40+'15-3'!R40+'16-3'!R40+'17-3'!R40+'18-3'!R40+'19-3'!R40+'21-3'!R40+'22-3'!R40+'24-3'!R40+'25-3'!R40+'28-3'!R40+'29-3'!R40+'30-3'!R40+'32-3'!R40+'35-3'!R40+'37-3'!R40+'47-3'!R40+'62-3'!R40+'64-3'!R40+'74-3'!R40</f>
        <v>321620510.40425617</v>
      </c>
      <c r="S294" s="954"/>
      <c r="T294" s="954"/>
      <c r="U294" s="954"/>
      <c r="V294" s="954"/>
      <c r="W294" s="954"/>
    </row>
    <row r="295" spans="1:23" s="6" customFormat="1" ht="12">
      <c r="A295" s="140">
        <v>4000</v>
      </c>
      <c r="B295" s="100" t="s">
        <v>132</v>
      </c>
      <c r="C295" s="106">
        <f>'01-3'!C41+'02-3'!C41+'03-3'!C41+'04-3'!C41+'05-3'!C41+'08-3'!C41+'09-3'!C41+'10-3'!C41+'11-3'!C41+'12-3'!C41+'13-3'!C41+'14-3'!C41+'15-3'!C41+'16-3'!C41+'17-3'!C41+'18-3'!C41+'19-3'!C41+'21-3'!C41+'22-3'!C41+'24-3'!C41+'25-3'!C41+'28-3'!C41+'29-3'!C41+'30-3'!C41+'32-3'!C41+'35-3'!C41+'37-3'!C41+'47-3'!C41+'62-3'!C41+'64-3'!C41+'74-3'!C41</f>
        <v>233782825</v>
      </c>
      <c r="D295" s="106">
        <f>'01-3'!D41+'02-3'!D41+'03-3'!D41+'04-3'!D41+'05-3'!D41+'08-3'!D41+'09-3'!D41+'10-3'!D41+'11-3'!D41+'12-3'!D41+'13-3'!D41+'14-3'!D41+'15-3'!D41+'16-3'!D41+'17-3'!D41+'18-3'!D41+'19-3'!D41+'21-3'!D41+'22-3'!D41+'24-3'!D41+'25-3'!D41+'28-3'!D41+'29-3'!D41+'30-3'!D41+'32-3'!D41+'35-3'!D41+'37-3'!D41+'47-3'!D41+'62-3'!D41+'64-3'!D41+'74-3'!D41</f>
        <v>253957394</v>
      </c>
      <c r="E295" s="106">
        <f>'01-3'!E41+'02-3'!E41+'03-3'!E41+'04-3'!E41+'05-3'!E41+'08-3'!E41+'09-3'!E41+'10-3'!E41+'11-3'!E41+'12-3'!E41+'13-3'!E41+'14-3'!E41+'15-3'!E41+'16-3'!E41+'17-3'!E41+'18-3'!E41+'19-3'!E41+'21-3'!E41+'22-3'!E41+'24-3'!E41+'25-3'!E41+'28-3'!E41+'29-3'!E41+'30-3'!E41+'32-3'!E41+'35-3'!E41+'37-3'!E41+'47-3'!E41+'62-3'!E41+'64-3'!E41+'74-3'!E41</f>
        <v>0</v>
      </c>
      <c r="F295" s="106">
        <f>'01-3'!F41+'02-3'!F41+'03-3'!F41+'04-3'!F41+'05-3'!F41+'08-3'!F41+'09-3'!F41+'10-3'!F41+'11-3'!F41+'12-3'!F41+'13-3'!F41+'14-3'!F41+'15-3'!F41+'16-3'!F41+'17-3'!F41+'18-3'!F41+'19-3'!F41+'21-3'!F41+'22-3'!F41+'24-3'!F41+'25-3'!F41+'28-3'!F41+'29-3'!F41+'30-3'!F41+'32-3'!F41+'35-3'!F41+'37-3'!F41+'47-3'!F41+'62-3'!F41+'64-3'!F41+'74-3'!F41</f>
        <v>0</v>
      </c>
      <c r="G295" s="106">
        <f>'01-3'!G41+'02-3'!G41+'03-3'!G41+'04-3'!G41+'05-3'!G41+'08-3'!G41+'09-3'!G41+'10-3'!G41+'11-3'!G41+'12-3'!G41+'13-3'!G41+'14-3'!G41+'15-3'!G41+'16-3'!G41+'17-3'!G41+'18-3'!G41+'19-3'!G41+'21-3'!G41+'22-3'!G41+'24-3'!G41+'25-3'!G41+'28-3'!G41+'29-3'!G41+'30-3'!G41+'32-3'!G41+'35-3'!G41+'37-3'!G41+'47-3'!G41+'62-3'!G41+'64-3'!G41+'74-3'!G41</f>
        <v>0</v>
      </c>
      <c r="H295" s="106">
        <f>'01-3'!H41+'02-3'!H41+'03-3'!H41+'04-3'!H41+'05-3'!H41+'08-3'!H41+'09-3'!H41+'10-3'!H41+'11-3'!H41+'12-3'!H41+'13-3'!H41+'14-3'!H41+'15-3'!H41+'16-3'!H41+'17-3'!H41+'18-3'!H41+'19-3'!H41+'21-3'!H41+'22-3'!H41+'24-3'!H41+'25-3'!H41+'28-3'!H41+'29-3'!H41+'30-3'!H41+'32-3'!H41+'35-3'!H41+'37-3'!H41+'47-3'!H41+'62-3'!H41+'64-3'!H41+'74-3'!H41</f>
        <v>253957394</v>
      </c>
      <c r="I295" s="106">
        <f>'01-3'!I41+'02-3'!I41+'03-3'!I41+'04-3'!I41+'05-3'!I41+'08-3'!I41+'09-3'!I41+'10-3'!I41+'11-3'!I41+'12-3'!I41+'13-3'!I41+'14-3'!I41+'15-3'!I41+'16-3'!I41+'17-3'!I41+'18-3'!I41+'19-3'!I41+'21-3'!I41+'22-3'!I41+'24-3'!I41+'25-3'!I41+'28-3'!I41+'29-3'!I41+'30-3'!I41+'32-3'!I41+'35-3'!I41+'37-3'!I41+'47-3'!I41+'62-3'!I41+'64-3'!I41+'74-3'!I41</f>
        <v>319845392</v>
      </c>
      <c r="J295" s="106">
        <f>'01-3'!J41+'02-3'!J41+'03-3'!J41+'04-3'!J41+'05-3'!J41+'08-3'!J41+'09-3'!J41+'10-3'!J41+'11-3'!J41+'12-3'!J41+'13-3'!J41+'14-3'!J41+'15-3'!J41+'16-3'!J41+'17-3'!J41+'18-3'!J41+'19-3'!J41+'21-3'!J41+'22-3'!J41+'24-3'!J41+'25-3'!J41+'28-3'!J41+'29-3'!J41+'30-3'!J41+'32-3'!J41+'35-3'!J41+'37-3'!J41+'47-3'!J41+'62-3'!J41+'64-3'!J41+'74-3'!J41</f>
        <v>0</v>
      </c>
      <c r="K295" s="106">
        <f>'01-3'!K41+'02-3'!K41+'03-3'!K41+'04-3'!K41+'05-3'!K41+'08-3'!K41+'09-3'!K41+'10-3'!K41+'11-3'!K41+'12-3'!K41+'13-3'!K41+'14-3'!K41+'15-3'!K41+'16-3'!K41+'17-3'!K41+'18-3'!K41+'19-3'!K41+'21-3'!K41+'22-3'!K41+'24-3'!K41+'25-3'!K41+'28-3'!K41+'29-3'!K41+'30-3'!K41+'32-3'!K41+'35-3'!K41+'37-3'!K41+'47-3'!K41+'62-3'!K41+'64-3'!K41+'74-3'!K41</f>
        <v>0</v>
      </c>
      <c r="L295" s="106">
        <f>'01-3'!L41+'02-3'!L41+'03-3'!L41+'04-3'!L41+'05-3'!L41+'08-3'!L41+'09-3'!L41+'10-3'!L41+'11-3'!L41+'12-3'!L41+'13-3'!L41+'14-3'!L41+'15-3'!L41+'16-3'!L41+'17-3'!L41+'18-3'!L41+'19-3'!L41+'21-3'!L41+'22-3'!L41+'24-3'!L41+'25-3'!L41+'28-3'!L41+'29-3'!L41+'30-3'!L41+'32-3'!L41+'35-3'!L41+'37-3'!L41+'47-3'!L41+'62-3'!L41+'64-3'!L41+'74-3'!L41</f>
        <v>0</v>
      </c>
      <c r="M295" s="106">
        <f>'01-3'!M41+'02-3'!M41+'03-3'!M41+'04-3'!M41+'05-3'!M41+'08-3'!M41+'09-3'!M41+'10-3'!M41+'11-3'!M41+'12-3'!M41+'13-3'!M41+'14-3'!M41+'15-3'!M41+'16-3'!M41+'17-3'!M41+'18-3'!M41+'19-3'!M41+'21-3'!M41+'22-3'!M41+'24-3'!M41+'25-3'!M41+'28-3'!M41+'29-3'!M41+'30-3'!M41+'32-3'!M41+'35-3'!M41+'37-3'!M41+'47-3'!M41+'62-3'!M41+'64-3'!M41+'74-3'!M41</f>
        <v>319845392</v>
      </c>
      <c r="N295" s="106">
        <f>'01-3'!N41+'02-3'!N41+'03-3'!N41+'04-3'!N41+'05-3'!N41+'08-3'!N41+'09-3'!N41+'10-3'!N41+'11-3'!N41+'12-3'!N41+'13-3'!N41+'14-3'!N41+'15-3'!N41+'16-3'!N41+'17-3'!N41+'18-3'!N41+'19-3'!N41+'21-3'!N41+'22-3'!N41+'24-3'!N41+'25-3'!N41+'28-3'!N41+'29-3'!N41+'30-3'!N41+'32-3'!N41+'35-3'!N41+'37-3'!N41+'47-3'!N41+'62-3'!N41+'64-3'!N41+'74-3'!N41</f>
        <v>358258636</v>
      </c>
      <c r="O295" s="106">
        <f>'01-3'!O41+'02-3'!O41+'03-3'!O41+'04-3'!O41+'05-3'!O41+'08-3'!O41+'09-3'!O41+'10-3'!O41+'11-3'!O41+'12-3'!O41+'13-3'!O41+'14-3'!O41+'15-3'!O41+'16-3'!O41+'17-3'!O41+'18-3'!O41+'19-3'!O41+'21-3'!O41+'22-3'!O41+'24-3'!O41+'25-3'!O41+'28-3'!O41+'29-3'!O41+'30-3'!O41+'32-3'!O41+'35-3'!O41+'37-3'!O41+'47-3'!O41+'62-3'!O41+'64-3'!O41+'74-3'!O41</f>
        <v>0</v>
      </c>
      <c r="P295" s="106">
        <f>'01-3'!P41+'02-3'!P41+'03-3'!P41+'04-3'!P41+'05-3'!P41+'08-3'!P41+'09-3'!P41+'10-3'!P41+'11-3'!P41+'12-3'!P41+'13-3'!P41+'14-3'!P41+'15-3'!P41+'16-3'!P41+'17-3'!P41+'18-3'!P41+'19-3'!P41+'21-3'!P41+'22-3'!P41+'24-3'!P41+'25-3'!P41+'28-3'!P41+'29-3'!P41+'30-3'!P41+'32-3'!P41+'35-3'!P41+'37-3'!P41+'47-3'!P41+'62-3'!P41+'64-3'!P41+'74-3'!P41</f>
        <v>0</v>
      </c>
      <c r="Q295" s="106">
        <f>'01-3'!Q41+'02-3'!Q41+'03-3'!Q41+'04-3'!Q41+'05-3'!Q41+'08-3'!Q41+'09-3'!Q41+'10-3'!Q41+'11-3'!Q41+'12-3'!Q41+'13-3'!Q41+'14-3'!Q41+'15-3'!Q41+'16-3'!Q41+'17-3'!Q41+'18-3'!Q41+'19-3'!Q41+'21-3'!Q41+'22-3'!Q41+'24-3'!Q41+'25-3'!Q41+'28-3'!Q41+'29-3'!Q41+'30-3'!Q41+'32-3'!Q41+'35-3'!Q41+'37-3'!Q41+'47-3'!Q41+'62-3'!Q41+'64-3'!Q41+'74-3'!Q41</f>
        <v>0</v>
      </c>
      <c r="R295" s="106">
        <f>'01-3'!R41+'02-3'!R41+'03-3'!R41+'04-3'!R41+'05-3'!R41+'08-3'!R41+'09-3'!R41+'10-3'!R41+'11-3'!R41+'12-3'!R41+'13-3'!R41+'14-3'!R41+'15-3'!R41+'16-3'!R41+'17-3'!R41+'18-3'!R41+'19-3'!R41+'21-3'!R41+'22-3'!R41+'24-3'!R41+'25-3'!R41+'28-3'!R41+'29-3'!R41+'30-3'!R41+'32-3'!R41+'35-3'!R41+'37-3'!R41+'47-3'!R41+'62-3'!R41+'64-3'!R41+'74-3'!R41</f>
        <v>358258636</v>
      </c>
      <c r="S295" s="954"/>
      <c r="T295" s="954"/>
      <c r="U295" s="954"/>
      <c r="V295" s="954"/>
      <c r="W295" s="954"/>
    </row>
    <row r="296" spans="1:23" s="6" customFormat="1" ht="12">
      <c r="A296" s="140" t="s">
        <v>109</v>
      </c>
      <c r="B296" s="100" t="s">
        <v>110</v>
      </c>
      <c r="C296" s="106">
        <f>'01-3'!C42+'02-3'!C42+'03-3'!C42+'04-3'!C42+'05-3'!C42+'08-3'!C42+'09-3'!C42+'10-3'!C42+'11-3'!C42+'12-3'!C42+'13-3'!C42+'14-3'!C42+'15-3'!C42+'16-3'!C42+'17-3'!C42+'18-3'!C42+'19-3'!C42+'21-3'!C42+'22-3'!C42+'24-3'!C42+'25-3'!C42+'28-3'!C42+'29-3'!C42+'30-3'!C42+'32-3'!C42+'35-3'!C42+'37-3'!C42+'47-3'!C42+'62-3'!C42+'64-3'!C42+'74-3'!C42</f>
        <v>1216480694</v>
      </c>
      <c r="D296" s="106">
        <f>'01-3'!D42+'02-3'!D42+'03-3'!D42+'04-3'!D42+'05-3'!D42+'08-3'!D42+'09-3'!D42+'10-3'!D42+'11-3'!D42+'12-3'!D42+'13-3'!D42+'14-3'!D42+'15-3'!D42+'16-3'!D42+'17-3'!D42+'18-3'!D42+'19-3'!D42+'21-3'!D42+'22-3'!D42+'24-3'!D42+'25-3'!D42+'28-3'!D42+'29-3'!D42+'30-3'!D42+'32-3'!D42+'35-3'!D42+'37-3'!D42+'47-3'!D42+'62-3'!D42+'64-3'!D42+'74-3'!D42</f>
        <v>1273281146</v>
      </c>
      <c r="E296" s="106">
        <f>'01-3'!E42+'02-3'!E42+'03-3'!E42+'04-3'!E42+'05-3'!E42+'08-3'!E42+'09-3'!E42+'10-3'!E42+'11-3'!E42+'12-3'!E42+'13-3'!E42+'14-3'!E42+'15-3'!E42+'16-3'!E42+'17-3'!E42+'18-3'!E42+'19-3'!E42+'21-3'!E42+'22-3'!E42+'24-3'!E42+'25-3'!E42+'28-3'!E42+'29-3'!E42+'30-3'!E42+'32-3'!E42+'35-3'!E42+'37-3'!E42+'47-3'!E42+'62-3'!E42+'64-3'!E42+'74-3'!E42</f>
        <v>-3189141</v>
      </c>
      <c r="F296" s="106">
        <f>'01-3'!F42+'02-3'!F42+'03-3'!F42+'04-3'!F42+'05-3'!F42+'08-3'!F42+'09-3'!F42+'10-3'!F42+'11-3'!F42+'12-3'!F42+'13-3'!F42+'14-3'!F42+'15-3'!F42+'16-3'!F42+'17-3'!F42+'18-3'!F42+'19-3'!F42+'21-3'!F42+'22-3'!F42+'24-3'!F42+'25-3'!F42+'28-3'!F42+'29-3'!F42+'30-3'!F42+'32-3'!F42+'35-3'!F42+'37-3'!F42+'47-3'!F42+'62-3'!F42+'64-3'!F42+'74-3'!F42</f>
        <v>4791897</v>
      </c>
      <c r="G296" s="106">
        <f>'01-3'!G42+'02-3'!G42+'03-3'!G42+'04-3'!G42+'05-3'!G42+'08-3'!G42+'09-3'!G42+'10-3'!G42+'11-3'!G42+'12-3'!G42+'13-3'!G42+'14-3'!G42+'15-3'!G42+'16-3'!G42+'17-3'!G42+'18-3'!G42+'19-3'!G42+'21-3'!G42+'22-3'!G42+'24-3'!G42+'25-3'!G42+'28-3'!G42+'29-3'!G42+'30-3'!G42+'32-3'!G42+'35-3'!G42+'37-3'!G42+'47-3'!G42+'62-3'!G42+'64-3'!G42+'74-3'!G42</f>
        <v>56287050</v>
      </c>
      <c r="H296" s="106">
        <f>'01-3'!H42+'02-3'!H42+'03-3'!H42+'04-3'!H42+'05-3'!H42+'08-3'!H42+'09-3'!H42+'10-3'!H42+'11-3'!H42+'12-3'!H42+'13-3'!H42+'14-3'!H42+'15-3'!H42+'16-3'!H42+'17-3'!H42+'18-3'!H42+'19-3'!H42+'21-3'!H42+'22-3'!H42+'24-3'!H42+'25-3'!H42+'28-3'!H42+'29-3'!H42+'30-3'!H42+'32-3'!H42+'35-3'!H42+'37-3'!H42+'47-3'!H42+'62-3'!H42+'64-3'!H42+'74-3'!H42</f>
        <v>1331170952</v>
      </c>
      <c r="I296" s="106">
        <f>'01-3'!I42+'02-3'!I42+'03-3'!I42+'04-3'!I42+'05-3'!I42+'08-3'!I42+'09-3'!I42+'10-3'!I42+'11-3'!I42+'12-3'!I42+'13-3'!I42+'14-3'!I42+'15-3'!I42+'16-3'!I42+'17-3'!I42+'18-3'!I42+'19-3'!I42+'21-3'!I42+'22-3'!I42+'24-3'!I42+'25-3'!I42+'28-3'!I42+'29-3'!I42+'30-3'!I42+'32-3'!I42+'35-3'!I42+'37-3'!I42+'47-3'!I42+'62-3'!I42+'64-3'!I42+'74-3'!I42</f>
        <v>1636410817</v>
      </c>
      <c r="J296" s="106">
        <f>'01-3'!J42+'02-3'!J42+'03-3'!J42+'04-3'!J42+'05-3'!J42+'08-3'!J42+'09-3'!J42+'10-3'!J42+'11-3'!J42+'12-3'!J42+'13-3'!J42+'14-3'!J42+'15-3'!J42+'16-3'!J42+'17-3'!J42+'18-3'!J42+'19-3'!J42+'21-3'!J42+'22-3'!J42+'24-3'!J42+'25-3'!J42+'28-3'!J42+'29-3'!J42+'30-3'!J42+'32-3'!J42+'35-3'!J42+'37-3'!J42+'47-3'!J42+'62-3'!J42+'64-3'!J42+'74-3'!J42</f>
        <v>-132381307</v>
      </c>
      <c r="K296" s="106">
        <f>'01-3'!K42+'02-3'!K42+'03-3'!K42+'04-3'!K42+'05-3'!K42+'08-3'!K42+'09-3'!K42+'10-3'!K42+'11-3'!K42+'12-3'!K42+'13-3'!K42+'14-3'!K42+'15-3'!K42+'16-3'!K42+'17-3'!K42+'18-3'!K42+'19-3'!K42+'21-3'!K42+'22-3'!K42+'24-3'!K42+'25-3'!K42+'28-3'!K42+'29-3'!K42+'30-3'!K42+'32-3'!K42+'35-3'!K42+'37-3'!K42+'47-3'!K42+'62-3'!K42+'64-3'!K42+'74-3'!K42</f>
        <v>33496255</v>
      </c>
      <c r="L296" s="106">
        <f>'01-3'!L42+'02-3'!L42+'03-3'!L42+'04-3'!L42+'05-3'!L42+'08-3'!L42+'09-3'!L42+'10-3'!L42+'11-3'!L42+'12-3'!L42+'13-3'!L42+'14-3'!L42+'15-3'!L42+'16-3'!L42+'17-3'!L42+'18-3'!L42+'19-3'!L42+'21-3'!L42+'22-3'!L42+'24-3'!L42+'25-3'!L42+'28-3'!L42+'29-3'!L42+'30-3'!L42+'32-3'!L42+'35-3'!L42+'37-3'!L42+'47-3'!L42+'62-3'!L42+'64-3'!L42+'74-3'!L42</f>
        <v>60584784</v>
      </c>
      <c r="M296" s="106">
        <f>'01-3'!M42+'02-3'!M42+'03-3'!M42+'04-3'!M42+'05-3'!M42+'08-3'!M42+'09-3'!M42+'10-3'!M42+'11-3'!M42+'12-3'!M42+'13-3'!M42+'14-3'!M42+'15-3'!M42+'16-3'!M42+'17-3'!M42+'18-3'!M42+'19-3'!M42+'21-3'!M42+'22-3'!M42+'24-3'!M42+'25-3'!M42+'28-3'!M42+'29-3'!M42+'30-3'!M42+'32-3'!M42+'35-3'!M42+'37-3'!M42+'47-3'!M42+'62-3'!M42+'64-3'!M42+'74-3'!M42</f>
        <v>1598110549</v>
      </c>
      <c r="N296" s="106">
        <f>'01-3'!N42+'02-3'!N42+'03-3'!N42+'04-3'!N42+'05-3'!N42+'08-3'!N42+'09-3'!N42+'10-3'!N42+'11-3'!N42+'12-3'!N42+'13-3'!N42+'14-3'!N42+'15-3'!N42+'16-3'!N42+'17-3'!N42+'18-3'!N42+'19-3'!N42+'21-3'!N42+'22-3'!N42+'24-3'!N42+'25-3'!N42+'28-3'!N42+'29-3'!N42+'30-3'!N42+'32-3'!N42+'35-3'!N42+'37-3'!N42+'47-3'!N42+'62-3'!N42+'64-3'!N42+'74-3'!N42</f>
        <v>1495143464</v>
      </c>
      <c r="O296" s="106">
        <f>'01-3'!O42+'02-3'!O42+'03-3'!O42+'04-3'!O42+'05-3'!O42+'08-3'!O42+'09-3'!O42+'10-3'!O42+'11-3'!O42+'12-3'!O42+'13-3'!O42+'14-3'!O42+'15-3'!O42+'16-3'!O42+'17-3'!O42+'18-3'!O42+'19-3'!O42+'21-3'!O42+'22-3'!O42+'24-3'!O42+'25-3'!O42+'28-3'!O42+'29-3'!O42+'30-3'!O42+'32-3'!O42+'35-3'!O42+'37-3'!O42+'47-3'!O42+'62-3'!O42+'64-3'!O42+'74-3'!O42</f>
        <v>-124996478</v>
      </c>
      <c r="P296" s="106">
        <f>'01-3'!P42+'02-3'!P42+'03-3'!P42+'04-3'!P42+'05-3'!P42+'08-3'!P42+'09-3'!P42+'10-3'!P42+'11-3'!P42+'12-3'!P42+'13-3'!P42+'14-3'!P42+'15-3'!P42+'16-3'!P42+'17-3'!P42+'18-3'!P42+'19-3'!P42+'21-3'!P42+'22-3'!P42+'24-3'!P42+'25-3'!P42+'28-3'!P42+'29-3'!P42+'30-3'!P42+'32-3'!P42+'35-3'!P42+'37-3'!P42+'47-3'!P42+'62-3'!P42+'64-3'!P42+'74-3'!P42</f>
        <v>58268720</v>
      </c>
      <c r="Q296" s="106">
        <f>'01-3'!Q42+'02-3'!Q42+'03-3'!Q42+'04-3'!Q42+'05-3'!Q42+'08-3'!Q42+'09-3'!Q42+'10-3'!Q42+'11-3'!Q42+'12-3'!Q42+'13-3'!Q42+'14-3'!Q42+'15-3'!Q42+'16-3'!Q42+'17-3'!Q42+'18-3'!Q42+'19-3'!Q42+'21-3'!Q42+'22-3'!Q42+'24-3'!Q42+'25-3'!Q42+'28-3'!Q42+'29-3'!Q42+'30-3'!Q42+'32-3'!Q42+'35-3'!Q42+'37-3'!Q42+'47-3'!Q42+'62-3'!Q42+'64-3'!Q42+'74-3'!Q42</f>
        <v>40040212</v>
      </c>
      <c r="R296" s="106">
        <f>'01-3'!R42+'02-3'!R42+'03-3'!R42+'04-3'!R42+'05-3'!R42+'08-3'!R42+'09-3'!R42+'10-3'!R42+'11-3'!R42+'12-3'!R42+'13-3'!R42+'14-3'!R42+'15-3'!R42+'16-3'!R42+'17-3'!R42+'18-3'!R42+'19-3'!R42+'21-3'!R42+'22-3'!R42+'24-3'!R42+'25-3'!R42+'28-3'!R42+'29-3'!R42+'30-3'!R42+'32-3'!R42+'35-3'!R42+'37-3'!R42+'47-3'!R42+'62-3'!R42+'64-3'!R42+'74-3'!R42</f>
        <v>1468455918</v>
      </c>
      <c r="S296" s="954"/>
      <c r="T296" s="954"/>
      <c r="U296" s="954"/>
      <c r="V296" s="954"/>
      <c r="W296" s="954"/>
    </row>
    <row r="297" spans="1:23" s="6" customFormat="1" ht="12">
      <c r="A297" s="132">
        <v>3000</v>
      </c>
      <c r="B297" s="101" t="s">
        <v>111</v>
      </c>
      <c r="C297" s="106">
        <f>'01-3'!C43+'02-3'!C43+'03-3'!C43+'04-3'!C43+'05-3'!C43+'08-3'!C43+'09-3'!C43+'10-3'!C43+'11-3'!C43+'12-3'!C43+'13-3'!C43+'14-3'!C43+'15-3'!C43+'16-3'!C43+'17-3'!C43+'18-3'!C43+'19-3'!C43+'21-3'!C43+'22-3'!C43+'24-3'!C43+'25-3'!C43+'28-3'!C43+'29-3'!C43+'30-3'!C43+'32-3'!C43+'35-3'!C43+'37-3'!C43+'47-3'!C43+'62-3'!C43+'64-3'!C43+'74-3'!C43</f>
        <v>1078648511</v>
      </c>
      <c r="D297" s="106">
        <f>'01-3'!D43+'02-3'!D43+'03-3'!D43+'04-3'!D43+'05-3'!D43+'08-3'!D43+'09-3'!D43+'10-3'!D43+'11-3'!D43+'12-3'!D43+'13-3'!D43+'14-3'!D43+'15-3'!D43+'16-3'!D43+'17-3'!D43+'18-3'!D43+'19-3'!D43+'21-3'!D43+'22-3'!D43+'24-3'!D43+'25-3'!D43+'28-3'!D43+'29-3'!D43+'30-3'!D43+'32-3'!D43+'35-3'!D43+'37-3'!D43+'47-3'!D43+'62-3'!D43+'64-3'!D43+'74-3'!D43</f>
        <v>1135866513</v>
      </c>
      <c r="E297" s="106">
        <f>'01-3'!E43+'02-3'!E43+'03-3'!E43+'04-3'!E43+'05-3'!E43+'08-3'!E43+'09-3'!E43+'10-3'!E43+'11-3'!E43+'12-3'!E43+'13-3'!E43+'14-3'!E43+'15-3'!E43+'16-3'!E43+'17-3'!E43+'18-3'!E43+'19-3'!E43+'21-3'!E43+'22-3'!E43+'24-3'!E43+'25-3'!E43+'28-3'!E43+'29-3'!E43+'30-3'!E43+'32-3'!E43+'35-3'!E43+'37-3'!E43+'47-3'!E43+'62-3'!E43+'64-3'!E43+'74-3'!E43</f>
        <v>-3917035</v>
      </c>
      <c r="F297" s="106">
        <f>'01-3'!F43+'02-3'!F43+'03-3'!F43+'04-3'!F43+'05-3'!F43+'08-3'!F43+'09-3'!F43+'10-3'!F43+'11-3'!F43+'12-3'!F43+'13-3'!F43+'14-3'!F43+'15-3'!F43+'16-3'!F43+'17-3'!F43+'18-3'!F43+'19-3'!F43+'21-3'!F43+'22-3'!F43+'24-3'!F43+'25-3'!F43+'28-3'!F43+'29-3'!F43+'30-3'!F43+'32-3'!F43+'35-3'!F43+'37-3'!F43+'47-3'!F43+'62-3'!F43+'64-3'!F43+'74-3'!F43</f>
        <v>4105171</v>
      </c>
      <c r="G297" s="106">
        <f>'01-3'!G43+'02-3'!G43+'03-3'!G43+'04-3'!G43+'05-3'!G43+'08-3'!G43+'09-3'!G43+'10-3'!G43+'11-3'!G43+'12-3'!G43+'13-3'!G43+'14-3'!G43+'15-3'!G43+'16-3'!G43+'17-3'!G43+'18-3'!G43+'19-3'!G43+'21-3'!G43+'22-3'!G43+'24-3'!G43+'25-3'!G43+'28-3'!G43+'29-3'!G43+'30-3'!G43+'32-3'!G43+'35-3'!G43+'37-3'!G43+'47-3'!G43+'62-3'!G43+'64-3'!G43+'74-3'!G43</f>
        <v>55113715</v>
      </c>
      <c r="H297" s="106">
        <f>'01-3'!H43+'02-3'!H43+'03-3'!H43+'04-3'!H43+'05-3'!H43+'08-3'!H43+'09-3'!H43+'10-3'!H43+'11-3'!H43+'12-3'!H43+'13-3'!H43+'14-3'!H43+'15-3'!H43+'16-3'!H43+'17-3'!H43+'18-3'!H43+'19-3'!H43+'21-3'!H43+'22-3'!H43+'24-3'!H43+'25-3'!H43+'28-3'!H43+'29-3'!H43+'30-3'!H43+'32-3'!H43+'35-3'!H43+'37-3'!H43+'47-3'!H43+'62-3'!H43+'64-3'!H43+'74-3'!H43</f>
        <v>1191168364</v>
      </c>
      <c r="I297" s="106">
        <f>'01-3'!I43+'02-3'!I43+'03-3'!I43+'04-3'!I43+'05-3'!I43+'08-3'!I43+'09-3'!I43+'10-3'!I43+'11-3'!I43+'12-3'!I43+'13-3'!I43+'14-3'!I43+'15-3'!I43+'16-3'!I43+'17-3'!I43+'18-3'!I43+'19-3'!I43+'21-3'!I43+'22-3'!I43+'24-3'!I43+'25-3'!I43+'28-3'!I43+'29-3'!I43+'30-3'!I43+'32-3'!I43+'35-3'!I43+'37-3'!I43+'47-3'!I43+'62-3'!I43+'64-3'!I43+'74-3'!I43</f>
        <v>1368703929</v>
      </c>
      <c r="J297" s="106">
        <f>'01-3'!J43+'02-3'!J43+'03-3'!J43+'04-3'!J43+'05-3'!J43+'08-3'!J43+'09-3'!J43+'10-3'!J43+'11-3'!J43+'12-3'!J43+'13-3'!J43+'14-3'!J43+'15-3'!J43+'16-3'!J43+'17-3'!J43+'18-3'!J43+'19-3'!J43+'21-3'!J43+'22-3'!J43+'24-3'!J43+'25-3'!J43+'28-3'!J43+'29-3'!J43+'30-3'!J43+'32-3'!J43+'35-3'!J43+'37-3'!J43+'47-3'!J43+'62-3'!J43+'64-3'!J43+'74-3'!J43</f>
        <v>-2943579</v>
      </c>
      <c r="K297" s="106">
        <f>'01-3'!K43+'02-3'!K43+'03-3'!K43+'04-3'!K43+'05-3'!K43+'08-3'!K43+'09-3'!K43+'10-3'!K43+'11-3'!K43+'12-3'!K43+'13-3'!K43+'14-3'!K43+'15-3'!K43+'16-3'!K43+'17-3'!K43+'18-3'!K43+'19-3'!K43+'21-3'!K43+'22-3'!K43+'24-3'!K43+'25-3'!K43+'28-3'!K43+'29-3'!K43+'30-3'!K43+'32-3'!K43+'35-3'!K43+'37-3'!K43+'47-3'!K43+'62-3'!K43+'64-3'!K43+'74-3'!K43</f>
        <v>31808715</v>
      </c>
      <c r="L297" s="106">
        <f>'01-3'!L43+'02-3'!L43+'03-3'!L43+'04-3'!L43+'05-3'!L43+'08-3'!L43+'09-3'!L43+'10-3'!L43+'11-3'!L43+'12-3'!L43+'13-3'!L43+'14-3'!L43+'15-3'!L43+'16-3'!L43+'17-3'!L43+'18-3'!L43+'19-3'!L43+'21-3'!L43+'22-3'!L43+'24-3'!L43+'25-3'!L43+'28-3'!L43+'29-3'!L43+'30-3'!L43+'32-3'!L43+'35-3'!L43+'37-3'!L43+'47-3'!L43+'62-3'!L43+'64-3'!L43+'74-3'!L43</f>
        <v>56005433</v>
      </c>
      <c r="M297" s="106">
        <f>'01-3'!M43+'02-3'!M43+'03-3'!M43+'04-3'!M43+'05-3'!M43+'08-3'!M43+'09-3'!M43+'10-3'!M43+'11-3'!M43+'12-3'!M43+'13-3'!M43+'14-3'!M43+'15-3'!M43+'16-3'!M43+'17-3'!M43+'18-3'!M43+'19-3'!M43+'21-3'!M43+'22-3'!M43+'24-3'!M43+'25-3'!M43+'28-3'!M43+'29-3'!M43+'30-3'!M43+'32-3'!M43+'35-3'!M43+'37-3'!M43+'47-3'!M43+'62-3'!M43+'64-3'!M43+'74-3'!M43</f>
        <v>1453574498</v>
      </c>
      <c r="N297" s="106">
        <f>'01-3'!N43+'02-3'!N43+'03-3'!N43+'04-3'!N43+'05-3'!N43+'08-3'!N43+'09-3'!N43+'10-3'!N43+'11-3'!N43+'12-3'!N43+'13-3'!N43+'14-3'!N43+'15-3'!N43+'16-3'!N43+'17-3'!N43+'18-3'!N43+'19-3'!N43+'21-3'!N43+'22-3'!N43+'24-3'!N43+'25-3'!N43+'28-3'!N43+'29-3'!N43+'30-3'!N43+'32-3'!N43+'35-3'!N43+'37-3'!N43+'47-3'!N43+'62-3'!N43+'64-3'!N43+'74-3'!N43</f>
        <v>1228015638</v>
      </c>
      <c r="O297" s="106">
        <f>'01-3'!O43+'02-3'!O43+'03-3'!O43+'04-3'!O43+'05-3'!O43+'08-3'!O43+'09-3'!O43+'10-3'!O43+'11-3'!O43+'12-3'!O43+'13-3'!O43+'14-3'!O43+'15-3'!O43+'16-3'!O43+'17-3'!O43+'18-3'!O43+'19-3'!O43+'21-3'!O43+'22-3'!O43+'24-3'!O43+'25-3'!O43+'28-3'!O43+'29-3'!O43+'30-3'!O43+'32-3'!O43+'35-3'!O43+'37-3'!O43+'47-3'!O43+'62-3'!O43+'64-3'!O43+'74-3'!O43</f>
        <v>-45340</v>
      </c>
      <c r="P297" s="106">
        <f>'01-3'!P43+'02-3'!P43+'03-3'!P43+'04-3'!P43+'05-3'!P43+'08-3'!P43+'09-3'!P43+'10-3'!P43+'11-3'!P43+'12-3'!P43+'13-3'!P43+'14-3'!P43+'15-3'!P43+'16-3'!P43+'17-3'!P43+'18-3'!P43+'19-3'!P43+'21-3'!P43+'22-3'!P43+'24-3'!P43+'25-3'!P43+'28-3'!P43+'29-3'!P43+'30-3'!P43+'32-3'!P43+'35-3'!P43+'37-3'!P43+'47-3'!P43+'62-3'!P43+'64-3'!P43+'74-3'!P43</f>
        <v>38431528</v>
      </c>
      <c r="Q297" s="106">
        <f>'01-3'!Q43+'02-3'!Q43+'03-3'!Q43+'04-3'!Q43+'05-3'!Q43+'08-3'!Q43+'09-3'!Q43+'10-3'!Q43+'11-3'!Q43+'12-3'!Q43+'13-3'!Q43+'14-3'!Q43+'15-3'!Q43+'16-3'!Q43+'17-3'!Q43+'18-3'!Q43+'19-3'!Q43+'21-3'!Q43+'22-3'!Q43+'24-3'!Q43+'25-3'!Q43+'28-3'!Q43+'29-3'!Q43+'30-3'!Q43+'32-3'!Q43+'35-3'!Q43+'37-3'!Q43+'47-3'!Q43+'62-3'!Q43+'64-3'!Q43+'74-3'!Q43</f>
        <v>33115742</v>
      </c>
      <c r="R297" s="106">
        <f>'01-3'!R43+'02-3'!R43+'03-3'!R43+'04-3'!R43+'05-3'!R43+'08-3'!R43+'09-3'!R43+'10-3'!R43+'11-3'!R43+'12-3'!R43+'13-3'!R43+'14-3'!R43+'15-3'!R43+'16-3'!R43+'17-3'!R43+'18-3'!R43+'19-3'!R43+'21-3'!R43+'22-3'!R43+'24-3'!R43+'25-3'!R43+'28-3'!R43+'29-3'!R43+'30-3'!R43+'32-3'!R43+'35-3'!R43+'37-3'!R43+'47-3'!R43+'62-3'!R43+'64-3'!R43+'74-3'!R43</f>
        <v>1299517568</v>
      </c>
      <c r="S297" s="954"/>
      <c r="T297" s="954"/>
      <c r="U297" s="954"/>
      <c r="V297" s="954"/>
      <c r="W297" s="954"/>
    </row>
    <row r="298" spans="1:23" s="6" customFormat="1" ht="12">
      <c r="A298" s="132">
        <v>6000</v>
      </c>
      <c r="B298" s="101" t="s">
        <v>112</v>
      </c>
      <c r="C298" s="106">
        <f>'01-3'!C44+'02-3'!C44+'03-3'!C44+'04-3'!C44+'05-3'!C44+'08-3'!C44+'09-3'!C44+'10-3'!C44+'11-3'!C44+'12-3'!C44+'13-3'!C44+'14-3'!C44+'15-3'!C44+'16-3'!C44+'17-3'!C44+'18-3'!C44+'19-3'!C44+'21-3'!C44+'22-3'!C44+'24-3'!C44+'25-3'!C44+'28-3'!C44+'29-3'!C44+'30-3'!C44+'32-3'!C44+'35-3'!C44+'37-3'!C44+'47-3'!C44+'62-3'!C44+'64-3'!C44+'74-3'!C44</f>
        <v>137832183</v>
      </c>
      <c r="D298" s="106">
        <f>'01-3'!D44+'02-3'!D44+'03-3'!D44+'04-3'!D44+'05-3'!D44+'08-3'!D44+'09-3'!D44+'10-3'!D44+'11-3'!D44+'12-3'!D44+'13-3'!D44+'14-3'!D44+'15-3'!D44+'16-3'!D44+'17-3'!D44+'18-3'!D44+'19-3'!D44+'21-3'!D44+'22-3'!D44+'24-3'!D44+'25-3'!D44+'28-3'!D44+'29-3'!D44+'30-3'!D44+'32-3'!D44+'35-3'!D44+'37-3'!D44+'47-3'!D44+'62-3'!D44+'64-3'!D44+'74-3'!D44</f>
        <v>137414633</v>
      </c>
      <c r="E298" s="106">
        <f>'01-3'!E44+'02-3'!E44+'03-3'!E44+'04-3'!E44+'05-3'!E44+'08-3'!E44+'09-3'!E44+'10-3'!E44+'11-3'!E44+'12-3'!E44+'13-3'!E44+'14-3'!E44+'15-3'!E44+'16-3'!E44+'17-3'!E44+'18-3'!E44+'19-3'!E44+'21-3'!E44+'22-3'!E44+'24-3'!E44+'25-3'!E44+'28-3'!E44+'29-3'!E44+'30-3'!E44+'32-3'!E44+'35-3'!E44+'37-3'!E44+'47-3'!E44+'62-3'!E44+'64-3'!E44+'74-3'!E44</f>
        <v>727894</v>
      </c>
      <c r="F298" s="106">
        <f>'01-3'!F44+'02-3'!F44+'03-3'!F44+'04-3'!F44+'05-3'!F44+'08-3'!F44+'09-3'!F44+'10-3'!F44+'11-3'!F44+'12-3'!F44+'13-3'!F44+'14-3'!F44+'15-3'!F44+'16-3'!F44+'17-3'!F44+'18-3'!F44+'19-3'!F44+'21-3'!F44+'22-3'!F44+'24-3'!F44+'25-3'!F44+'28-3'!F44+'29-3'!F44+'30-3'!F44+'32-3'!F44+'35-3'!F44+'37-3'!F44+'47-3'!F44+'62-3'!F44+'64-3'!F44+'74-3'!F44</f>
        <v>686726</v>
      </c>
      <c r="G298" s="106">
        <f>'01-3'!G44+'02-3'!G44+'03-3'!G44+'04-3'!G44+'05-3'!G44+'08-3'!G44+'09-3'!G44+'10-3'!G44+'11-3'!G44+'12-3'!G44+'13-3'!G44+'14-3'!G44+'15-3'!G44+'16-3'!G44+'17-3'!G44+'18-3'!G44+'19-3'!G44+'21-3'!G44+'22-3'!G44+'24-3'!G44+'25-3'!G44+'28-3'!G44+'29-3'!G44+'30-3'!G44+'32-3'!G44+'35-3'!G44+'37-3'!G44+'47-3'!G44+'62-3'!G44+'64-3'!G44+'74-3'!G44</f>
        <v>1173335</v>
      </c>
      <c r="H298" s="106">
        <f>'01-3'!H44+'02-3'!H44+'03-3'!H44+'04-3'!H44+'05-3'!H44+'08-3'!H44+'09-3'!H44+'10-3'!H44+'11-3'!H44+'12-3'!H44+'13-3'!H44+'14-3'!H44+'15-3'!H44+'16-3'!H44+'17-3'!H44+'18-3'!H44+'19-3'!H44+'21-3'!H44+'22-3'!H44+'24-3'!H44+'25-3'!H44+'28-3'!H44+'29-3'!H44+'30-3'!H44+'32-3'!H44+'35-3'!H44+'37-3'!H44+'47-3'!H44+'62-3'!H44+'64-3'!H44+'74-3'!H44</f>
        <v>140002588</v>
      </c>
      <c r="I298" s="106">
        <f>'01-3'!I44+'02-3'!I44+'03-3'!I44+'04-3'!I44+'05-3'!I44+'08-3'!I44+'09-3'!I44+'10-3'!I44+'11-3'!I44+'12-3'!I44+'13-3'!I44+'14-3'!I44+'15-3'!I44+'16-3'!I44+'17-3'!I44+'18-3'!I44+'19-3'!I44+'21-3'!I44+'22-3'!I44+'24-3'!I44+'25-3'!I44+'28-3'!I44+'29-3'!I44+'30-3'!I44+'32-3'!I44+'35-3'!I44+'37-3'!I44+'47-3'!I44+'62-3'!I44+'64-3'!I44+'74-3'!I44</f>
        <v>267706888</v>
      </c>
      <c r="J298" s="106">
        <f>'01-3'!J44+'02-3'!J44+'03-3'!J44+'04-3'!J44+'05-3'!J44+'08-3'!J44+'09-3'!J44+'10-3'!J44+'11-3'!J44+'12-3'!J44+'13-3'!J44+'14-3'!J44+'15-3'!J44+'16-3'!J44+'17-3'!J44+'18-3'!J44+'19-3'!J44+'21-3'!J44+'22-3'!J44+'24-3'!J44+'25-3'!J44+'28-3'!J44+'29-3'!J44+'30-3'!J44+'32-3'!J44+'35-3'!J44+'37-3'!J44+'47-3'!J44+'62-3'!J44+'64-3'!J44+'74-3'!J44</f>
        <v>-129437728</v>
      </c>
      <c r="K298" s="106">
        <f>'01-3'!K44+'02-3'!K44+'03-3'!K44+'04-3'!K44+'05-3'!K44+'08-3'!K44+'09-3'!K44+'10-3'!K44+'11-3'!K44+'12-3'!K44+'13-3'!K44+'14-3'!K44+'15-3'!K44+'16-3'!K44+'17-3'!K44+'18-3'!K44+'19-3'!K44+'21-3'!K44+'22-3'!K44+'24-3'!K44+'25-3'!K44+'28-3'!K44+'29-3'!K44+'30-3'!K44+'32-3'!K44+'35-3'!K44+'37-3'!K44+'47-3'!K44+'62-3'!K44+'64-3'!K44+'74-3'!K44</f>
        <v>1687540</v>
      </c>
      <c r="L298" s="106">
        <f>'01-3'!L44+'02-3'!L44+'03-3'!L44+'04-3'!L44+'05-3'!L44+'08-3'!L44+'09-3'!L44+'10-3'!L44+'11-3'!L44+'12-3'!L44+'13-3'!L44+'14-3'!L44+'15-3'!L44+'16-3'!L44+'17-3'!L44+'18-3'!L44+'19-3'!L44+'21-3'!L44+'22-3'!L44+'24-3'!L44+'25-3'!L44+'28-3'!L44+'29-3'!L44+'30-3'!L44+'32-3'!L44+'35-3'!L44+'37-3'!L44+'47-3'!L44+'62-3'!L44+'64-3'!L44+'74-3'!L44</f>
        <v>4579351</v>
      </c>
      <c r="M298" s="106">
        <f>'01-3'!M44+'02-3'!M44+'03-3'!M44+'04-3'!M44+'05-3'!M44+'08-3'!M44+'09-3'!M44+'10-3'!M44+'11-3'!M44+'12-3'!M44+'13-3'!M44+'14-3'!M44+'15-3'!M44+'16-3'!M44+'17-3'!M44+'18-3'!M44+'19-3'!M44+'21-3'!M44+'22-3'!M44+'24-3'!M44+'25-3'!M44+'28-3'!M44+'29-3'!M44+'30-3'!M44+'32-3'!M44+'35-3'!M44+'37-3'!M44+'47-3'!M44+'62-3'!M44+'64-3'!M44+'74-3'!M44</f>
        <v>144536051</v>
      </c>
      <c r="N298" s="106">
        <f>'01-3'!N44+'02-3'!N44+'03-3'!N44+'04-3'!N44+'05-3'!N44+'08-3'!N44+'09-3'!N44+'10-3'!N44+'11-3'!N44+'12-3'!N44+'13-3'!N44+'14-3'!N44+'15-3'!N44+'16-3'!N44+'17-3'!N44+'18-3'!N44+'19-3'!N44+'21-3'!N44+'22-3'!N44+'24-3'!N44+'25-3'!N44+'28-3'!N44+'29-3'!N44+'30-3'!N44+'32-3'!N44+'35-3'!N44+'37-3'!N44+'47-3'!N44+'62-3'!N44+'64-3'!N44+'74-3'!N44</f>
        <v>267127826</v>
      </c>
      <c r="O298" s="106">
        <f>'01-3'!O44+'02-3'!O44+'03-3'!O44+'04-3'!O44+'05-3'!O44+'08-3'!O44+'09-3'!O44+'10-3'!O44+'11-3'!O44+'12-3'!O44+'13-3'!O44+'14-3'!O44+'15-3'!O44+'16-3'!O44+'17-3'!O44+'18-3'!O44+'19-3'!O44+'21-3'!O44+'22-3'!O44+'24-3'!O44+'25-3'!O44+'28-3'!O44+'29-3'!O44+'30-3'!O44+'32-3'!O44+'35-3'!O44+'37-3'!O44+'47-3'!O44+'62-3'!O44+'64-3'!O44+'74-3'!O44</f>
        <v>-124951138</v>
      </c>
      <c r="P298" s="106">
        <f>'01-3'!P44+'02-3'!P44+'03-3'!P44+'04-3'!P44+'05-3'!P44+'08-3'!P44+'09-3'!P44+'10-3'!P44+'11-3'!P44+'12-3'!P44+'13-3'!P44+'14-3'!P44+'15-3'!P44+'16-3'!P44+'17-3'!P44+'18-3'!P44+'19-3'!P44+'21-3'!P44+'22-3'!P44+'24-3'!P44+'25-3'!P44+'28-3'!P44+'29-3'!P44+'30-3'!P44+'32-3'!P44+'35-3'!P44+'37-3'!P44+'47-3'!P44+'62-3'!P44+'64-3'!P44+'74-3'!P44</f>
        <v>19837192</v>
      </c>
      <c r="Q298" s="106">
        <f>'01-3'!Q44+'02-3'!Q44+'03-3'!Q44+'04-3'!Q44+'05-3'!Q44+'08-3'!Q44+'09-3'!Q44+'10-3'!Q44+'11-3'!Q44+'12-3'!Q44+'13-3'!Q44+'14-3'!Q44+'15-3'!Q44+'16-3'!Q44+'17-3'!Q44+'18-3'!Q44+'19-3'!Q44+'21-3'!Q44+'22-3'!Q44+'24-3'!Q44+'25-3'!Q44+'28-3'!Q44+'29-3'!Q44+'30-3'!Q44+'32-3'!Q44+'35-3'!Q44+'37-3'!Q44+'47-3'!Q44+'62-3'!Q44+'64-3'!Q44+'74-3'!Q44</f>
        <v>6924470</v>
      </c>
      <c r="R298" s="106">
        <f>'01-3'!R44+'02-3'!R44+'03-3'!R44+'04-3'!R44+'05-3'!R44+'08-3'!R44+'09-3'!R44+'10-3'!R44+'11-3'!R44+'12-3'!R44+'13-3'!R44+'14-3'!R44+'15-3'!R44+'16-3'!R44+'17-3'!R44+'18-3'!R44+'19-3'!R44+'21-3'!R44+'22-3'!R44+'24-3'!R44+'25-3'!R44+'28-3'!R44+'29-3'!R44+'30-3'!R44+'32-3'!R44+'35-3'!R44+'37-3'!R44+'47-3'!R44+'62-3'!R44+'64-3'!R44+'74-3'!R44</f>
        <v>168938350</v>
      </c>
      <c r="S298" s="954"/>
      <c r="T298" s="954"/>
      <c r="U298" s="954"/>
      <c r="V298" s="954"/>
      <c r="W298" s="954"/>
    </row>
    <row r="299" spans="1:23" s="6" customFormat="1" ht="22.8">
      <c r="A299" s="140" t="s">
        <v>113</v>
      </c>
      <c r="B299" s="100" t="s">
        <v>183</v>
      </c>
      <c r="C299" s="106">
        <f>'01-3'!C45+'02-3'!C45+'03-3'!C45+'04-3'!C45+'05-3'!C45+'08-3'!C45+'09-3'!C45+'10-3'!C45+'11-3'!C45+'12-3'!C45+'13-3'!C45+'14-3'!C45+'15-3'!C45+'16-3'!C45+'17-3'!C45+'18-3'!C45+'19-3'!C45+'21-3'!C45+'22-3'!C45+'24-3'!C45+'25-3'!C45+'28-3'!C45+'29-3'!C45+'30-3'!C45+'32-3'!C45+'35-3'!C45+'37-3'!C45+'47-3'!C45+'62-3'!C45+'64-3'!C45+'74-3'!C45</f>
        <v>162968138</v>
      </c>
      <c r="D299" s="106">
        <f>'01-3'!D45+'02-3'!D45+'03-3'!D45+'04-3'!D45+'05-3'!D45+'08-3'!D45+'09-3'!D45+'10-3'!D45+'11-3'!D45+'12-3'!D45+'13-3'!D45+'14-3'!D45+'15-3'!D45+'16-3'!D45+'17-3'!D45+'18-3'!D45+'19-3'!D45+'21-3'!D45+'22-3'!D45+'24-3'!D45+'25-3'!D45+'28-3'!D45+'29-3'!D45+'30-3'!D45+'32-3'!D45+'35-3'!D45+'37-3'!D45+'47-3'!D45+'62-3'!D45+'64-3'!D45+'74-3'!D45</f>
        <v>176925597</v>
      </c>
      <c r="E299" s="106">
        <f>'01-3'!E45+'02-3'!E45+'03-3'!E45+'04-3'!E45+'05-3'!E45+'08-3'!E45+'09-3'!E45+'10-3'!E45+'11-3'!E45+'12-3'!E45+'13-3'!E45+'14-3'!E45+'15-3'!E45+'16-3'!E45+'17-3'!E45+'18-3'!E45+'19-3'!E45+'21-3'!E45+'22-3'!E45+'24-3'!E45+'25-3'!E45+'28-3'!E45+'29-3'!E45+'30-3'!E45+'32-3'!E45+'35-3'!E45+'37-3'!E45+'47-3'!E45+'62-3'!E45+'64-3'!E45+'74-3'!E45</f>
        <v>360882</v>
      </c>
      <c r="F299" s="106">
        <f>'01-3'!F45+'02-3'!F45+'03-3'!F45+'04-3'!F45+'05-3'!F45+'08-3'!F45+'09-3'!F45+'10-3'!F45+'11-3'!F45+'12-3'!F45+'13-3'!F45+'14-3'!F45+'15-3'!F45+'16-3'!F45+'17-3'!F45+'18-3'!F45+'19-3'!F45+'21-3'!F45+'22-3'!F45+'24-3'!F45+'25-3'!F45+'28-3'!F45+'29-3'!F45+'30-3'!F45+'32-3'!F45+'35-3'!F45+'37-3'!F45+'47-3'!F45+'62-3'!F45+'64-3'!F45+'74-3'!F45</f>
        <v>8701492</v>
      </c>
      <c r="G299" s="106">
        <f>'01-3'!G45+'02-3'!G45+'03-3'!G45+'04-3'!G45+'05-3'!G45+'08-3'!G45+'09-3'!G45+'10-3'!G45+'11-3'!G45+'12-3'!G45+'13-3'!G45+'14-3'!G45+'15-3'!G45+'16-3'!G45+'17-3'!G45+'18-3'!G45+'19-3'!G45+'21-3'!G45+'22-3'!G45+'24-3'!G45+'25-3'!G45+'28-3'!G45+'29-3'!G45+'30-3'!G45+'32-3'!G45+'35-3'!G45+'37-3'!G45+'47-3'!G45+'62-3'!G45+'64-3'!G45+'74-3'!G45</f>
        <v>24163</v>
      </c>
      <c r="H299" s="106">
        <f>'01-3'!H45+'02-3'!H45+'03-3'!H45+'04-3'!H45+'05-3'!H45+'08-3'!H45+'09-3'!H45+'10-3'!H45+'11-3'!H45+'12-3'!H45+'13-3'!H45+'14-3'!H45+'15-3'!H45+'16-3'!H45+'17-3'!H45+'18-3'!H45+'19-3'!H45+'21-3'!H45+'22-3'!H45+'24-3'!H45+'25-3'!H45+'28-3'!H45+'29-3'!H45+'30-3'!H45+'32-3'!H45+'35-3'!H45+'37-3'!H45+'47-3'!H45+'62-3'!H45+'64-3'!H45+'74-3'!H45</f>
        <v>186012134</v>
      </c>
      <c r="I299" s="106">
        <f>'01-3'!I45+'02-3'!I45+'03-3'!I45+'04-3'!I45+'05-3'!I45+'08-3'!I45+'09-3'!I45+'10-3'!I45+'11-3'!I45+'12-3'!I45+'13-3'!I45+'14-3'!I45+'15-3'!I45+'16-3'!I45+'17-3'!I45+'18-3'!I45+'19-3'!I45+'21-3'!I45+'22-3'!I45+'24-3'!I45+'25-3'!I45+'28-3'!I45+'29-3'!I45+'30-3'!I45+'32-3'!I45+'35-3'!I45+'37-3'!I45+'47-3'!I45+'62-3'!I45+'64-3'!I45+'74-3'!I45</f>
        <v>176392909</v>
      </c>
      <c r="J299" s="106">
        <f>'01-3'!J45+'02-3'!J45+'03-3'!J45+'04-3'!J45+'05-3'!J45+'08-3'!J45+'09-3'!J45+'10-3'!J45+'11-3'!J45+'12-3'!J45+'13-3'!J45+'14-3'!J45+'15-3'!J45+'16-3'!J45+'17-3'!J45+'18-3'!J45+'19-3'!J45+'21-3'!J45+'22-3'!J45+'24-3'!J45+'25-3'!J45+'28-3'!J45+'29-3'!J45+'30-3'!J45+'32-3'!J45+'35-3'!J45+'37-3'!J45+'47-3'!J45+'62-3'!J45+'64-3'!J45+'74-3'!J45</f>
        <v>0</v>
      </c>
      <c r="K299" s="106">
        <f>'01-3'!K45+'02-3'!K45+'03-3'!K45+'04-3'!K45+'05-3'!K45+'08-3'!K45+'09-3'!K45+'10-3'!K45+'11-3'!K45+'12-3'!K45+'13-3'!K45+'14-3'!K45+'15-3'!K45+'16-3'!K45+'17-3'!K45+'18-3'!K45+'19-3'!K45+'21-3'!K45+'22-3'!K45+'24-3'!K45+'25-3'!K45+'28-3'!K45+'29-3'!K45+'30-3'!K45+'32-3'!K45+'35-3'!K45+'37-3'!K45+'47-3'!K45+'62-3'!K45+'64-3'!K45+'74-3'!K45</f>
        <v>9991492</v>
      </c>
      <c r="L299" s="106">
        <f>'01-3'!L45+'02-3'!L45+'03-3'!L45+'04-3'!L45+'05-3'!L45+'08-3'!L45+'09-3'!L45+'10-3'!L45+'11-3'!L45+'12-3'!L45+'13-3'!L45+'14-3'!L45+'15-3'!L45+'16-3'!L45+'17-3'!L45+'18-3'!L45+'19-3'!L45+'21-3'!L45+'22-3'!L45+'24-3'!L45+'25-3'!L45+'28-3'!L45+'29-3'!L45+'30-3'!L45+'32-3'!L45+'35-3'!L45+'37-3'!L45+'47-3'!L45+'62-3'!L45+'64-3'!L45+'74-3'!L45</f>
        <v>24163</v>
      </c>
      <c r="M299" s="106">
        <f>'01-3'!M45+'02-3'!M45+'03-3'!M45+'04-3'!M45+'05-3'!M45+'08-3'!M45+'09-3'!M45+'10-3'!M45+'11-3'!M45+'12-3'!M45+'13-3'!M45+'14-3'!M45+'15-3'!M45+'16-3'!M45+'17-3'!M45+'18-3'!M45+'19-3'!M45+'21-3'!M45+'22-3'!M45+'24-3'!M45+'25-3'!M45+'28-3'!M45+'29-3'!M45+'30-3'!M45+'32-3'!M45+'35-3'!M45+'37-3'!M45+'47-3'!M45+'62-3'!M45+'64-3'!M45+'74-3'!M45</f>
        <v>186408564</v>
      </c>
      <c r="N299" s="106">
        <f>'01-3'!N45+'02-3'!N45+'03-3'!N45+'04-3'!N45+'05-3'!N45+'08-3'!N45+'09-3'!N45+'10-3'!N45+'11-3'!N45+'12-3'!N45+'13-3'!N45+'14-3'!N45+'15-3'!N45+'16-3'!N45+'17-3'!N45+'18-3'!N45+'19-3'!N45+'21-3'!N45+'22-3'!N45+'24-3'!N45+'25-3'!N45+'28-3'!N45+'29-3'!N45+'30-3'!N45+'32-3'!N45+'35-3'!N45+'37-3'!N45+'47-3'!N45+'62-3'!N45+'64-3'!N45+'74-3'!N45</f>
        <v>181468753</v>
      </c>
      <c r="O299" s="106">
        <f>'01-3'!O45+'02-3'!O45+'03-3'!O45+'04-3'!O45+'05-3'!O45+'08-3'!O45+'09-3'!O45+'10-3'!O45+'11-3'!O45+'12-3'!O45+'13-3'!O45+'14-3'!O45+'15-3'!O45+'16-3'!O45+'17-3'!O45+'18-3'!O45+'19-3'!O45+'21-3'!O45+'22-3'!O45+'24-3'!O45+'25-3'!O45+'28-3'!O45+'29-3'!O45+'30-3'!O45+'32-3'!O45+'35-3'!O45+'37-3'!O45+'47-3'!O45+'62-3'!O45+'64-3'!O45+'74-3'!O45</f>
        <v>0</v>
      </c>
      <c r="P299" s="106">
        <f>'01-3'!P45+'02-3'!P45+'03-3'!P45+'04-3'!P45+'05-3'!P45+'08-3'!P45+'09-3'!P45+'10-3'!P45+'11-3'!P45+'12-3'!P45+'13-3'!P45+'14-3'!P45+'15-3'!P45+'16-3'!P45+'17-3'!P45+'18-3'!P45+'19-3'!P45+'21-3'!P45+'22-3'!P45+'24-3'!P45+'25-3'!P45+'28-3'!P45+'29-3'!P45+'30-3'!P45+'32-3'!P45+'35-3'!P45+'37-3'!P45+'47-3'!P45+'62-3'!P45+'64-3'!P45+'74-3'!P45</f>
        <v>5001492</v>
      </c>
      <c r="Q299" s="106">
        <f>'01-3'!Q45+'02-3'!Q45+'03-3'!Q45+'04-3'!Q45+'05-3'!Q45+'08-3'!Q45+'09-3'!Q45+'10-3'!Q45+'11-3'!Q45+'12-3'!Q45+'13-3'!Q45+'14-3'!Q45+'15-3'!Q45+'16-3'!Q45+'17-3'!Q45+'18-3'!Q45+'19-3'!Q45+'21-3'!Q45+'22-3'!Q45+'24-3'!Q45+'25-3'!Q45+'28-3'!Q45+'29-3'!Q45+'30-3'!Q45+'32-3'!Q45+'35-3'!Q45+'37-3'!Q45+'47-3'!Q45+'62-3'!Q45+'64-3'!Q45+'74-3'!Q45</f>
        <v>24163</v>
      </c>
      <c r="R299" s="106">
        <f>'01-3'!R45+'02-3'!R45+'03-3'!R45+'04-3'!R45+'05-3'!R45+'08-3'!R45+'09-3'!R45+'10-3'!R45+'11-3'!R45+'12-3'!R45+'13-3'!R45+'14-3'!R45+'15-3'!R45+'16-3'!R45+'17-3'!R45+'18-3'!R45+'19-3'!R45+'21-3'!R45+'22-3'!R45+'24-3'!R45+'25-3'!R45+'28-3'!R45+'29-3'!R45+'30-3'!R45+'32-3'!R45+'35-3'!R45+'37-3'!R45+'47-3'!R45+'62-3'!R45+'64-3'!R45+'74-3'!R45</f>
        <v>186494408</v>
      </c>
      <c r="S299" s="954"/>
      <c r="T299" s="954"/>
      <c r="U299" s="954"/>
      <c r="V299" s="954"/>
      <c r="W299" s="954"/>
    </row>
    <row r="300" spans="1:23" s="6" customFormat="1" ht="12">
      <c r="A300" s="132">
        <v>7600</v>
      </c>
      <c r="B300" s="112" t="s">
        <v>184</v>
      </c>
      <c r="C300" s="106">
        <f>'01-3'!C46+'02-3'!C46+'03-3'!C46+'04-3'!C46+'05-3'!C46+'08-3'!C46+'09-3'!C46+'10-3'!C46+'11-3'!C46+'12-3'!C46+'13-3'!C46+'14-3'!C46+'15-3'!C46+'16-3'!C46+'17-3'!C46+'18-3'!C46+'19-3'!C46+'21-3'!C46+'22-3'!C46+'24-3'!C46+'25-3'!C46+'28-3'!C46+'29-3'!C46+'30-3'!C46+'32-3'!C46+'35-3'!C46+'37-3'!C46+'47-3'!C46+'62-3'!C46+'64-3'!C46+'74-3'!C46</f>
        <v>139174143</v>
      </c>
      <c r="D300" s="106">
        <f>'01-3'!D46+'02-3'!D46+'03-3'!D46+'04-3'!D46+'05-3'!D46+'08-3'!D46+'09-3'!D46+'10-3'!D46+'11-3'!D46+'12-3'!D46+'13-3'!D46+'14-3'!D46+'15-3'!D46+'16-3'!D46+'17-3'!D46+'18-3'!D46+'19-3'!D46+'21-3'!D46+'22-3'!D46+'24-3'!D46+'25-3'!D46+'28-3'!D46+'29-3'!D46+'30-3'!D46+'32-3'!D46+'35-3'!D46+'37-3'!D46+'47-3'!D46+'62-3'!D46+'64-3'!D46+'74-3'!D46</f>
        <v>150000000</v>
      </c>
      <c r="E300" s="106">
        <f>'01-3'!E46+'02-3'!E46+'03-3'!E46+'04-3'!E46+'05-3'!E46+'08-3'!E46+'09-3'!E46+'10-3'!E46+'11-3'!E46+'12-3'!E46+'13-3'!E46+'14-3'!E46+'15-3'!E46+'16-3'!E46+'17-3'!E46+'18-3'!E46+'19-3'!E46+'21-3'!E46+'22-3'!E46+'24-3'!E46+'25-3'!E46+'28-3'!E46+'29-3'!E46+'30-3'!E46+'32-3'!E46+'35-3'!E46+'37-3'!E46+'47-3'!E46+'62-3'!E46+'64-3'!E46+'74-3'!E46</f>
        <v>300000</v>
      </c>
      <c r="F300" s="106">
        <f>'01-3'!F46+'02-3'!F46+'03-3'!F46+'04-3'!F46+'05-3'!F46+'08-3'!F46+'09-3'!F46+'10-3'!F46+'11-3'!F46+'12-3'!F46+'13-3'!F46+'14-3'!F46+'15-3'!F46+'16-3'!F46+'17-3'!F46+'18-3'!F46+'19-3'!F46+'21-3'!F46+'22-3'!F46+'24-3'!F46+'25-3'!F46+'28-3'!F46+'29-3'!F46+'30-3'!F46+'32-3'!F46+'35-3'!F46+'37-3'!F46+'47-3'!F46+'62-3'!F46+'64-3'!F46+'74-3'!F46</f>
        <v>8700000</v>
      </c>
      <c r="G300" s="106">
        <f>'01-3'!G46+'02-3'!G46+'03-3'!G46+'04-3'!G46+'05-3'!G46+'08-3'!G46+'09-3'!G46+'10-3'!G46+'11-3'!G46+'12-3'!G46+'13-3'!G46+'14-3'!G46+'15-3'!G46+'16-3'!G46+'17-3'!G46+'18-3'!G46+'19-3'!G46+'21-3'!G46+'22-3'!G46+'24-3'!G46+'25-3'!G46+'28-3'!G46+'29-3'!G46+'30-3'!G46+'32-3'!G46+'35-3'!G46+'37-3'!G46+'47-3'!G46+'62-3'!G46+'64-3'!G46+'74-3'!G46</f>
        <v>0</v>
      </c>
      <c r="H300" s="106">
        <f>'01-3'!H46+'02-3'!H46+'03-3'!H46+'04-3'!H46+'05-3'!H46+'08-3'!H46+'09-3'!H46+'10-3'!H46+'11-3'!H46+'12-3'!H46+'13-3'!H46+'14-3'!H46+'15-3'!H46+'16-3'!H46+'17-3'!H46+'18-3'!H46+'19-3'!H46+'21-3'!H46+'22-3'!H46+'24-3'!H46+'25-3'!H46+'28-3'!H46+'29-3'!H46+'30-3'!H46+'32-3'!H46+'35-3'!H46+'37-3'!H46+'47-3'!H46+'62-3'!H46+'64-3'!H46+'74-3'!H46</f>
        <v>159000000</v>
      </c>
      <c r="I300" s="106">
        <f>'01-3'!I46+'02-3'!I46+'03-3'!I46+'04-3'!I46+'05-3'!I46+'08-3'!I46+'09-3'!I46+'10-3'!I46+'11-3'!I46+'12-3'!I46+'13-3'!I46+'14-3'!I46+'15-3'!I46+'16-3'!I46+'17-3'!I46+'18-3'!I46+'19-3'!I46+'21-3'!I46+'22-3'!I46+'24-3'!I46+'25-3'!I46+'28-3'!I46+'29-3'!I46+'30-3'!I46+'32-3'!I46+'35-3'!I46+'37-3'!I46+'47-3'!I46+'62-3'!I46+'64-3'!I46+'74-3'!I46</f>
        <v>158000000</v>
      </c>
      <c r="J300" s="106">
        <f>'01-3'!J46+'02-3'!J46+'03-3'!J46+'04-3'!J46+'05-3'!J46+'08-3'!J46+'09-3'!J46+'10-3'!J46+'11-3'!J46+'12-3'!J46+'13-3'!J46+'14-3'!J46+'15-3'!J46+'16-3'!J46+'17-3'!J46+'18-3'!J46+'19-3'!J46+'21-3'!J46+'22-3'!J46+'24-3'!J46+'25-3'!J46+'28-3'!J46+'29-3'!J46+'30-3'!J46+'32-3'!J46+'35-3'!J46+'37-3'!J46+'47-3'!J46+'62-3'!J46+'64-3'!J46+'74-3'!J46</f>
        <v>0</v>
      </c>
      <c r="K300" s="106">
        <f>'01-3'!K46+'02-3'!K46+'03-3'!K46+'04-3'!K46+'05-3'!K46+'08-3'!K46+'09-3'!K46+'10-3'!K46+'11-3'!K46+'12-3'!K46+'13-3'!K46+'14-3'!K46+'15-3'!K46+'16-3'!K46+'17-3'!K46+'18-3'!K46+'19-3'!K46+'21-3'!K46+'22-3'!K46+'24-3'!K46+'25-3'!K46+'28-3'!K46+'29-3'!K46+'30-3'!K46+'32-3'!K46+'35-3'!K46+'37-3'!K46+'47-3'!K46+'62-3'!K46+'64-3'!K46+'74-3'!K46</f>
        <v>9990000</v>
      </c>
      <c r="L300" s="106">
        <f>'01-3'!L46+'02-3'!L46+'03-3'!L46+'04-3'!L46+'05-3'!L46+'08-3'!L46+'09-3'!L46+'10-3'!L46+'11-3'!L46+'12-3'!L46+'13-3'!L46+'14-3'!L46+'15-3'!L46+'16-3'!L46+'17-3'!L46+'18-3'!L46+'19-3'!L46+'21-3'!L46+'22-3'!L46+'24-3'!L46+'25-3'!L46+'28-3'!L46+'29-3'!L46+'30-3'!L46+'32-3'!L46+'35-3'!L46+'37-3'!L46+'47-3'!L46+'62-3'!L46+'64-3'!L46+'74-3'!L46</f>
        <v>0</v>
      </c>
      <c r="M300" s="106">
        <f>'01-3'!M46+'02-3'!M46+'03-3'!M46+'04-3'!M46+'05-3'!M46+'08-3'!M46+'09-3'!M46+'10-3'!M46+'11-3'!M46+'12-3'!M46+'13-3'!M46+'14-3'!M46+'15-3'!M46+'16-3'!M46+'17-3'!M46+'18-3'!M46+'19-3'!M46+'21-3'!M46+'22-3'!M46+'24-3'!M46+'25-3'!M46+'28-3'!M46+'29-3'!M46+'30-3'!M46+'32-3'!M46+'35-3'!M46+'37-3'!M46+'47-3'!M46+'62-3'!M46+'64-3'!M46+'74-3'!M46</f>
        <v>167990000</v>
      </c>
      <c r="N300" s="106">
        <f>'01-3'!N46+'02-3'!N46+'03-3'!N46+'04-3'!N46+'05-3'!N46+'08-3'!N46+'09-3'!N46+'10-3'!N46+'11-3'!N46+'12-3'!N46+'13-3'!N46+'14-3'!N46+'15-3'!N46+'16-3'!N46+'17-3'!N46+'18-3'!N46+'19-3'!N46+'21-3'!N46+'22-3'!N46+'24-3'!N46+'25-3'!N46+'28-3'!N46+'29-3'!N46+'30-3'!N46+'32-3'!N46+'35-3'!N46+'37-3'!N46+'47-3'!N46+'62-3'!N46+'64-3'!N46+'74-3'!N46</f>
        <v>167000000</v>
      </c>
      <c r="O300" s="106">
        <f>'01-3'!O46+'02-3'!O46+'03-3'!O46+'04-3'!O46+'05-3'!O46+'08-3'!O46+'09-3'!O46+'10-3'!O46+'11-3'!O46+'12-3'!O46+'13-3'!O46+'14-3'!O46+'15-3'!O46+'16-3'!O46+'17-3'!O46+'18-3'!O46+'19-3'!O46+'21-3'!O46+'22-3'!O46+'24-3'!O46+'25-3'!O46+'28-3'!O46+'29-3'!O46+'30-3'!O46+'32-3'!O46+'35-3'!O46+'37-3'!O46+'47-3'!O46+'62-3'!O46+'64-3'!O46+'74-3'!O46</f>
        <v>0</v>
      </c>
      <c r="P300" s="106">
        <f>'01-3'!P46+'02-3'!P46+'03-3'!P46+'04-3'!P46+'05-3'!P46+'08-3'!P46+'09-3'!P46+'10-3'!P46+'11-3'!P46+'12-3'!P46+'13-3'!P46+'14-3'!P46+'15-3'!P46+'16-3'!P46+'17-3'!P46+'18-3'!P46+'19-3'!P46+'21-3'!P46+'22-3'!P46+'24-3'!P46+'25-3'!P46+'28-3'!P46+'29-3'!P46+'30-3'!P46+'32-3'!P46+'35-3'!P46+'37-3'!P46+'47-3'!P46+'62-3'!P46+'64-3'!P46+'74-3'!P46</f>
        <v>5000000</v>
      </c>
      <c r="Q300" s="106">
        <f>'01-3'!Q46+'02-3'!Q46+'03-3'!Q46+'04-3'!Q46+'05-3'!Q46+'08-3'!Q46+'09-3'!Q46+'10-3'!Q46+'11-3'!Q46+'12-3'!Q46+'13-3'!Q46+'14-3'!Q46+'15-3'!Q46+'16-3'!Q46+'17-3'!Q46+'18-3'!Q46+'19-3'!Q46+'21-3'!Q46+'22-3'!Q46+'24-3'!Q46+'25-3'!Q46+'28-3'!Q46+'29-3'!Q46+'30-3'!Q46+'32-3'!Q46+'35-3'!Q46+'37-3'!Q46+'47-3'!Q46+'62-3'!Q46+'64-3'!Q46+'74-3'!Q46</f>
        <v>0</v>
      </c>
      <c r="R300" s="106">
        <f>'01-3'!R46+'02-3'!R46+'03-3'!R46+'04-3'!R46+'05-3'!R46+'08-3'!R46+'09-3'!R46+'10-3'!R46+'11-3'!R46+'12-3'!R46+'13-3'!R46+'14-3'!R46+'15-3'!R46+'16-3'!R46+'17-3'!R46+'18-3'!R46+'19-3'!R46+'21-3'!R46+'22-3'!R46+'24-3'!R46+'25-3'!R46+'28-3'!R46+'29-3'!R46+'30-3'!R46+'32-3'!R46+'35-3'!R46+'37-3'!R46+'47-3'!R46+'62-3'!R46+'64-3'!R46+'74-3'!R46</f>
        <v>172000000</v>
      </c>
      <c r="S300" s="954"/>
      <c r="T300" s="954"/>
      <c r="U300" s="954"/>
      <c r="V300" s="954"/>
      <c r="W300" s="954"/>
    </row>
    <row r="301" spans="1:23" s="6" customFormat="1" ht="12">
      <c r="A301" s="132">
        <v>7700</v>
      </c>
      <c r="B301" s="102" t="s">
        <v>114</v>
      </c>
      <c r="C301" s="106">
        <f>'01-3'!C47+'02-3'!C47+'03-3'!C47+'04-3'!C47+'05-3'!C47+'08-3'!C47+'09-3'!C47+'10-3'!C47+'11-3'!C47+'12-3'!C47+'13-3'!C47+'14-3'!C47+'15-3'!C47+'16-3'!C47+'17-3'!C47+'18-3'!C47+'19-3'!C47+'21-3'!C47+'22-3'!C47+'24-3'!C47+'25-3'!C47+'28-3'!C47+'29-3'!C47+'30-3'!C47+'32-3'!C47+'35-3'!C47+'37-3'!C47+'47-3'!C47+'62-3'!C47+'64-3'!C47+'74-3'!C47</f>
        <v>23793995</v>
      </c>
      <c r="D301" s="106">
        <f>'01-3'!D47+'02-3'!D47+'03-3'!D47+'04-3'!D47+'05-3'!D47+'08-3'!D47+'09-3'!D47+'10-3'!D47+'11-3'!D47+'12-3'!D47+'13-3'!D47+'14-3'!D47+'15-3'!D47+'16-3'!D47+'17-3'!D47+'18-3'!D47+'19-3'!D47+'21-3'!D47+'22-3'!D47+'24-3'!D47+'25-3'!D47+'28-3'!D47+'29-3'!D47+'30-3'!D47+'32-3'!D47+'35-3'!D47+'37-3'!D47+'47-3'!D47+'62-3'!D47+'64-3'!D47+'74-3'!D47</f>
        <v>26925597</v>
      </c>
      <c r="E301" s="106">
        <f>'01-3'!E47+'02-3'!E47+'03-3'!E47+'04-3'!E47+'05-3'!E47+'08-3'!E47+'09-3'!E47+'10-3'!E47+'11-3'!E47+'12-3'!E47+'13-3'!E47+'14-3'!E47+'15-3'!E47+'16-3'!E47+'17-3'!E47+'18-3'!E47+'19-3'!E47+'21-3'!E47+'22-3'!E47+'24-3'!E47+'25-3'!E47+'28-3'!E47+'29-3'!E47+'30-3'!E47+'32-3'!E47+'35-3'!E47+'37-3'!E47+'47-3'!E47+'62-3'!E47+'64-3'!E47+'74-3'!E47</f>
        <v>60882</v>
      </c>
      <c r="F301" s="106">
        <f>'01-3'!F47+'02-3'!F47+'03-3'!F47+'04-3'!F47+'05-3'!F47+'08-3'!F47+'09-3'!F47+'10-3'!F47+'11-3'!F47+'12-3'!F47+'13-3'!F47+'14-3'!F47+'15-3'!F47+'16-3'!F47+'17-3'!F47+'18-3'!F47+'19-3'!F47+'21-3'!F47+'22-3'!F47+'24-3'!F47+'25-3'!F47+'28-3'!F47+'29-3'!F47+'30-3'!F47+'32-3'!F47+'35-3'!F47+'37-3'!F47+'47-3'!F47+'62-3'!F47+'64-3'!F47+'74-3'!F47</f>
        <v>1492</v>
      </c>
      <c r="G301" s="106">
        <f>'01-3'!G47+'02-3'!G47+'03-3'!G47+'04-3'!G47+'05-3'!G47+'08-3'!G47+'09-3'!G47+'10-3'!G47+'11-3'!G47+'12-3'!G47+'13-3'!G47+'14-3'!G47+'15-3'!G47+'16-3'!G47+'17-3'!G47+'18-3'!G47+'19-3'!G47+'21-3'!G47+'22-3'!G47+'24-3'!G47+'25-3'!G47+'28-3'!G47+'29-3'!G47+'30-3'!G47+'32-3'!G47+'35-3'!G47+'37-3'!G47+'47-3'!G47+'62-3'!G47+'64-3'!G47+'74-3'!G47</f>
        <v>24163</v>
      </c>
      <c r="H301" s="106">
        <f>'01-3'!H47+'02-3'!H47+'03-3'!H47+'04-3'!H47+'05-3'!H47+'08-3'!H47+'09-3'!H47+'10-3'!H47+'11-3'!H47+'12-3'!H47+'13-3'!H47+'14-3'!H47+'15-3'!H47+'16-3'!H47+'17-3'!H47+'18-3'!H47+'19-3'!H47+'21-3'!H47+'22-3'!H47+'24-3'!H47+'25-3'!H47+'28-3'!H47+'29-3'!H47+'30-3'!H47+'32-3'!H47+'35-3'!H47+'37-3'!H47+'47-3'!H47+'62-3'!H47+'64-3'!H47+'74-3'!H47</f>
        <v>27012134</v>
      </c>
      <c r="I301" s="106">
        <f>'01-3'!I47+'02-3'!I47+'03-3'!I47+'04-3'!I47+'05-3'!I47+'08-3'!I47+'09-3'!I47+'10-3'!I47+'11-3'!I47+'12-3'!I47+'13-3'!I47+'14-3'!I47+'15-3'!I47+'16-3'!I47+'17-3'!I47+'18-3'!I47+'19-3'!I47+'21-3'!I47+'22-3'!I47+'24-3'!I47+'25-3'!I47+'28-3'!I47+'29-3'!I47+'30-3'!I47+'32-3'!I47+'35-3'!I47+'37-3'!I47+'47-3'!I47+'62-3'!I47+'64-3'!I47+'74-3'!I47</f>
        <v>18392909</v>
      </c>
      <c r="J301" s="106">
        <f>'01-3'!J47+'02-3'!J47+'03-3'!J47+'04-3'!J47+'05-3'!J47+'08-3'!J47+'09-3'!J47+'10-3'!J47+'11-3'!J47+'12-3'!J47+'13-3'!J47+'14-3'!J47+'15-3'!J47+'16-3'!J47+'17-3'!J47+'18-3'!J47+'19-3'!J47+'21-3'!J47+'22-3'!J47+'24-3'!J47+'25-3'!J47+'28-3'!J47+'29-3'!J47+'30-3'!J47+'32-3'!J47+'35-3'!J47+'37-3'!J47+'47-3'!J47+'62-3'!J47+'64-3'!J47+'74-3'!J47</f>
        <v>0</v>
      </c>
      <c r="K301" s="106">
        <f>'01-3'!K47+'02-3'!K47+'03-3'!K47+'04-3'!K47+'05-3'!K47+'08-3'!K47+'09-3'!K47+'10-3'!K47+'11-3'!K47+'12-3'!K47+'13-3'!K47+'14-3'!K47+'15-3'!K47+'16-3'!K47+'17-3'!K47+'18-3'!K47+'19-3'!K47+'21-3'!K47+'22-3'!K47+'24-3'!K47+'25-3'!K47+'28-3'!K47+'29-3'!K47+'30-3'!K47+'32-3'!K47+'35-3'!K47+'37-3'!K47+'47-3'!K47+'62-3'!K47+'64-3'!K47+'74-3'!K47</f>
        <v>1492</v>
      </c>
      <c r="L301" s="106">
        <f>'01-3'!L47+'02-3'!L47+'03-3'!L47+'04-3'!L47+'05-3'!L47+'08-3'!L47+'09-3'!L47+'10-3'!L47+'11-3'!L47+'12-3'!L47+'13-3'!L47+'14-3'!L47+'15-3'!L47+'16-3'!L47+'17-3'!L47+'18-3'!L47+'19-3'!L47+'21-3'!L47+'22-3'!L47+'24-3'!L47+'25-3'!L47+'28-3'!L47+'29-3'!L47+'30-3'!L47+'32-3'!L47+'35-3'!L47+'37-3'!L47+'47-3'!L47+'62-3'!L47+'64-3'!L47+'74-3'!L47</f>
        <v>24163</v>
      </c>
      <c r="M301" s="106">
        <f>'01-3'!M47+'02-3'!M47+'03-3'!M47+'04-3'!M47+'05-3'!M47+'08-3'!M47+'09-3'!M47+'10-3'!M47+'11-3'!M47+'12-3'!M47+'13-3'!M47+'14-3'!M47+'15-3'!M47+'16-3'!M47+'17-3'!M47+'18-3'!M47+'19-3'!M47+'21-3'!M47+'22-3'!M47+'24-3'!M47+'25-3'!M47+'28-3'!M47+'29-3'!M47+'30-3'!M47+'32-3'!M47+'35-3'!M47+'37-3'!M47+'47-3'!M47+'62-3'!M47+'64-3'!M47+'74-3'!M47</f>
        <v>18418564</v>
      </c>
      <c r="N301" s="106">
        <f>'01-3'!N47+'02-3'!N47+'03-3'!N47+'04-3'!N47+'05-3'!N47+'08-3'!N47+'09-3'!N47+'10-3'!N47+'11-3'!N47+'12-3'!N47+'13-3'!N47+'14-3'!N47+'15-3'!N47+'16-3'!N47+'17-3'!N47+'18-3'!N47+'19-3'!N47+'21-3'!N47+'22-3'!N47+'24-3'!N47+'25-3'!N47+'28-3'!N47+'29-3'!N47+'30-3'!N47+'32-3'!N47+'35-3'!N47+'37-3'!N47+'47-3'!N47+'62-3'!N47+'64-3'!N47+'74-3'!N47</f>
        <v>14468753</v>
      </c>
      <c r="O301" s="106">
        <f>'01-3'!O47+'02-3'!O47+'03-3'!O47+'04-3'!O47+'05-3'!O47+'08-3'!O47+'09-3'!O47+'10-3'!O47+'11-3'!O47+'12-3'!O47+'13-3'!O47+'14-3'!O47+'15-3'!O47+'16-3'!O47+'17-3'!O47+'18-3'!O47+'19-3'!O47+'21-3'!O47+'22-3'!O47+'24-3'!O47+'25-3'!O47+'28-3'!O47+'29-3'!O47+'30-3'!O47+'32-3'!O47+'35-3'!O47+'37-3'!O47+'47-3'!O47+'62-3'!O47+'64-3'!O47+'74-3'!O47</f>
        <v>0</v>
      </c>
      <c r="P301" s="106">
        <f>'01-3'!P47+'02-3'!P47+'03-3'!P47+'04-3'!P47+'05-3'!P47+'08-3'!P47+'09-3'!P47+'10-3'!P47+'11-3'!P47+'12-3'!P47+'13-3'!P47+'14-3'!P47+'15-3'!P47+'16-3'!P47+'17-3'!P47+'18-3'!P47+'19-3'!P47+'21-3'!P47+'22-3'!P47+'24-3'!P47+'25-3'!P47+'28-3'!P47+'29-3'!P47+'30-3'!P47+'32-3'!P47+'35-3'!P47+'37-3'!P47+'47-3'!P47+'62-3'!P47+'64-3'!P47+'74-3'!P47</f>
        <v>1492</v>
      </c>
      <c r="Q301" s="106">
        <f>'01-3'!Q47+'02-3'!Q47+'03-3'!Q47+'04-3'!Q47+'05-3'!Q47+'08-3'!Q47+'09-3'!Q47+'10-3'!Q47+'11-3'!Q47+'12-3'!Q47+'13-3'!Q47+'14-3'!Q47+'15-3'!Q47+'16-3'!Q47+'17-3'!Q47+'18-3'!Q47+'19-3'!Q47+'21-3'!Q47+'22-3'!Q47+'24-3'!Q47+'25-3'!Q47+'28-3'!Q47+'29-3'!Q47+'30-3'!Q47+'32-3'!Q47+'35-3'!Q47+'37-3'!Q47+'47-3'!Q47+'62-3'!Q47+'64-3'!Q47+'74-3'!Q47</f>
        <v>24163</v>
      </c>
      <c r="R301" s="106">
        <f>'01-3'!R47+'02-3'!R47+'03-3'!R47+'04-3'!R47+'05-3'!R47+'08-3'!R47+'09-3'!R47+'10-3'!R47+'11-3'!R47+'12-3'!R47+'13-3'!R47+'14-3'!R47+'15-3'!R47+'16-3'!R47+'17-3'!R47+'18-3'!R47+'19-3'!R47+'21-3'!R47+'22-3'!R47+'24-3'!R47+'25-3'!R47+'28-3'!R47+'29-3'!R47+'30-3'!R47+'32-3'!R47+'35-3'!R47+'37-3'!R47+'47-3'!R47+'62-3'!R47+'64-3'!R47+'74-3'!R47</f>
        <v>14494408</v>
      </c>
      <c r="S301" s="954"/>
      <c r="T301" s="954"/>
      <c r="U301" s="954"/>
      <c r="V301" s="954"/>
      <c r="W301" s="954"/>
    </row>
    <row r="302" spans="1:23" s="6" customFormat="1" ht="20.399999999999999">
      <c r="A302" s="140" t="s">
        <v>185</v>
      </c>
      <c r="B302" s="100" t="s">
        <v>115</v>
      </c>
      <c r="C302" s="106">
        <f>'01-3'!C48+'02-3'!C48+'03-3'!C48+'04-3'!C48+'05-3'!C48+'08-3'!C48+'09-3'!C48+'10-3'!C48+'11-3'!C48+'12-3'!C48+'13-3'!C48+'14-3'!C48+'15-3'!C48+'16-3'!C48+'17-3'!C48+'18-3'!C48+'19-3'!C48+'21-3'!C48+'22-3'!C48+'24-3'!C48+'25-3'!C48+'28-3'!C48+'29-3'!C48+'30-3'!C48+'32-3'!C48+'35-3'!C48+'37-3'!C48+'47-3'!C48+'62-3'!C48+'64-3'!C48+'74-3'!C48</f>
        <v>521238968</v>
      </c>
      <c r="D302" s="106">
        <f>'01-3'!D48+'02-3'!D48+'03-3'!D48+'04-3'!D48+'05-3'!D48+'08-3'!D48+'09-3'!D48+'10-3'!D48+'11-3'!D48+'12-3'!D48+'13-3'!D48+'14-3'!D48+'15-3'!D48+'16-3'!D48+'17-3'!D48+'18-3'!D48+'19-3'!D48+'21-3'!D48+'22-3'!D48+'24-3'!D48+'25-3'!D48+'28-3'!D48+'29-3'!D48+'30-3'!D48+'32-3'!D48+'35-3'!D48+'37-3'!D48+'47-3'!D48+'62-3'!D48+'64-3'!D48+'74-3'!D48</f>
        <v>494443733</v>
      </c>
      <c r="E302" s="106">
        <f>'01-3'!E48+'02-3'!E48+'03-3'!E48+'04-3'!E48+'05-3'!E48+'08-3'!E48+'09-3'!E48+'10-3'!E48+'11-3'!E48+'12-3'!E48+'13-3'!E48+'14-3'!E48+'15-3'!E48+'16-3'!E48+'17-3'!E48+'18-3'!E48+'19-3'!E48+'21-3'!E48+'22-3'!E48+'24-3'!E48+'25-3'!E48+'28-3'!E48+'29-3'!E48+'30-3'!E48+'32-3'!E48+'35-3'!E48+'37-3'!E48+'47-3'!E48+'62-3'!E48+'64-3'!E48+'74-3'!E48</f>
        <v>11692321</v>
      </c>
      <c r="F302" s="106">
        <f>'01-3'!F48+'02-3'!F48+'03-3'!F48+'04-3'!F48+'05-3'!F48+'08-3'!F48+'09-3'!F48+'10-3'!F48+'11-3'!F48+'12-3'!F48+'13-3'!F48+'14-3'!F48+'15-3'!F48+'16-3'!F48+'17-3'!F48+'18-3'!F48+'19-3'!F48+'21-3'!F48+'22-3'!F48+'24-3'!F48+'25-3'!F48+'28-3'!F48+'29-3'!F48+'30-3'!F48+'32-3'!F48+'35-3'!F48+'37-3'!F48+'47-3'!F48+'62-3'!F48+'64-3'!F48+'74-3'!F48</f>
        <v>6559979</v>
      </c>
      <c r="G302" s="106">
        <f>'01-3'!G48+'02-3'!G48+'03-3'!G48+'04-3'!G48+'05-3'!G48+'08-3'!G48+'09-3'!G48+'10-3'!G48+'11-3'!G48+'12-3'!G48+'13-3'!G48+'14-3'!G48+'15-3'!G48+'16-3'!G48+'17-3'!G48+'18-3'!G48+'19-3'!G48+'21-3'!G48+'22-3'!G48+'24-3'!G48+'25-3'!G48+'28-3'!G48+'29-3'!G48+'30-3'!G48+'32-3'!G48+'35-3'!G48+'37-3'!G48+'47-3'!G48+'62-3'!G48+'64-3'!G48+'74-3'!G48</f>
        <v>17348580</v>
      </c>
      <c r="H302" s="106">
        <f>'01-3'!H48+'02-3'!H48+'03-3'!H48+'04-3'!H48+'05-3'!H48+'08-3'!H48+'09-3'!H48+'10-3'!H48+'11-3'!H48+'12-3'!H48+'13-3'!H48+'14-3'!H48+'15-3'!H48+'16-3'!H48+'17-3'!H48+'18-3'!H48+'19-3'!H48+'21-3'!H48+'22-3'!H48+'24-3'!H48+'25-3'!H48+'28-3'!H48+'29-3'!H48+'30-3'!H48+'32-3'!H48+'35-3'!H48+'37-3'!H48+'47-3'!H48+'62-3'!H48+'64-3'!H48+'74-3'!H48</f>
        <v>530044613</v>
      </c>
      <c r="I302" s="106">
        <f>'01-3'!I48+'02-3'!I48+'03-3'!I48+'04-3'!I48+'05-3'!I48+'08-3'!I48+'09-3'!I48+'10-3'!I48+'11-3'!I48+'12-3'!I48+'13-3'!I48+'14-3'!I48+'15-3'!I48+'16-3'!I48+'17-3'!I48+'18-3'!I48+'19-3'!I48+'21-3'!I48+'22-3'!I48+'24-3'!I48+'25-3'!I48+'28-3'!I48+'29-3'!I48+'30-3'!I48+'32-3'!I48+'35-3'!I48+'37-3'!I48+'47-3'!I48+'62-3'!I48+'64-3'!I48+'74-3'!I48</f>
        <v>400793467</v>
      </c>
      <c r="J302" s="106">
        <f>'01-3'!J48+'02-3'!J48+'03-3'!J48+'04-3'!J48+'05-3'!J48+'08-3'!J48+'09-3'!J48+'10-3'!J48+'11-3'!J48+'12-3'!J48+'13-3'!J48+'14-3'!J48+'15-3'!J48+'16-3'!J48+'17-3'!J48+'18-3'!J48+'19-3'!J48+'21-3'!J48+'22-3'!J48+'24-3'!J48+'25-3'!J48+'28-3'!J48+'29-3'!J48+'30-3'!J48+'32-3'!J48+'35-3'!J48+'37-3'!J48+'47-3'!J48+'62-3'!J48+'64-3'!J48+'74-3'!J48</f>
        <v>138149766</v>
      </c>
      <c r="K302" s="106">
        <f>'01-3'!K48+'02-3'!K48+'03-3'!K48+'04-3'!K48+'05-3'!K48+'08-3'!K48+'09-3'!K48+'10-3'!K48+'11-3'!K48+'12-3'!K48+'13-3'!K48+'14-3'!K48+'15-3'!K48+'16-3'!K48+'17-3'!K48+'18-3'!K48+'19-3'!K48+'21-3'!K48+'22-3'!K48+'24-3'!K48+'25-3'!K48+'28-3'!K48+'29-3'!K48+'30-3'!K48+'32-3'!K48+'35-3'!K48+'37-3'!K48+'47-3'!K48+'62-3'!K48+'64-3'!K48+'74-3'!K48</f>
        <v>6231567</v>
      </c>
      <c r="L302" s="106">
        <f>'01-3'!L48+'02-3'!L48+'03-3'!L48+'04-3'!L48+'05-3'!L48+'08-3'!L48+'09-3'!L48+'10-3'!L48+'11-3'!L48+'12-3'!L48+'13-3'!L48+'14-3'!L48+'15-3'!L48+'16-3'!L48+'17-3'!L48+'18-3'!L48+'19-3'!L48+'21-3'!L48+'22-3'!L48+'24-3'!L48+'25-3'!L48+'28-3'!L48+'29-3'!L48+'30-3'!L48+'32-3'!L48+'35-3'!L48+'37-3'!L48+'47-3'!L48+'62-3'!L48+'64-3'!L48+'74-3'!L48</f>
        <v>24077587</v>
      </c>
      <c r="M302" s="106">
        <f>'01-3'!M48+'02-3'!M48+'03-3'!M48+'04-3'!M48+'05-3'!M48+'08-3'!M48+'09-3'!M48+'10-3'!M48+'11-3'!M48+'12-3'!M48+'13-3'!M48+'14-3'!M48+'15-3'!M48+'16-3'!M48+'17-3'!M48+'18-3'!M48+'19-3'!M48+'21-3'!M48+'22-3'!M48+'24-3'!M48+'25-3'!M48+'28-3'!M48+'29-3'!M48+'30-3'!M48+'32-3'!M48+'35-3'!M48+'37-3'!M48+'47-3'!M48+'62-3'!M48+'64-3'!M48+'74-3'!M48</f>
        <v>569252387</v>
      </c>
      <c r="N302" s="106">
        <f>'01-3'!N48+'02-3'!N48+'03-3'!N48+'04-3'!N48+'05-3'!N48+'08-3'!N48+'09-3'!N48+'10-3'!N48+'11-3'!N48+'12-3'!N48+'13-3'!N48+'14-3'!N48+'15-3'!N48+'16-3'!N48+'17-3'!N48+'18-3'!N48+'19-3'!N48+'21-3'!N48+'22-3'!N48+'24-3'!N48+'25-3'!N48+'28-3'!N48+'29-3'!N48+'30-3'!N48+'32-3'!N48+'35-3'!N48+'37-3'!N48+'47-3'!N48+'62-3'!N48+'64-3'!N48+'74-3'!N48</f>
        <v>369666342</v>
      </c>
      <c r="O302" s="106">
        <f>'01-3'!O48+'02-3'!O48+'03-3'!O48+'04-3'!O48+'05-3'!O48+'08-3'!O48+'09-3'!O48+'10-3'!O48+'11-3'!O48+'12-3'!O48+'13-3'!O48+'14-3'!O48+'15-3'!O48+'16-3'!O48+'17-3'!O48+'18-3'!O48+'19-3'!O48+'21-3'!O48+'22-3'!O48+'24-3'!O48+'25-3'!O48+'28-3'!O48+'29-3'!O48+'30-3'!O48+'32-3'!O48+'35-3'!O48+'37-3'!O48+'47-3'!O48+'62-3'!O48+'64-3'!O48+'74-3'!O48</f>
        <v>125194797</v>
      </c>
      <c r="P302" s="106">
        <f>'01-3'!P48+'02-3'!P48+'03-3'!P48+'04-3'!P48+'05-3'!P48+'08-3'!P48+'09-3'!P48+'10-3'!P48+'11-3'!P48+'12-3'!P48+'13-3'!P48+'14-3'!P48+'15-3'!P48+'16-3'!P48+'17-3'!P48+'18-3'!P48+'19-3'!P48+'21-3'!P48+'22-3'!P48+'24-3'!P48+'25-3'!P48+'28-3'!P48+'29-3'!P48+'30-3'!P48+'32-3'!P48+'35-3'!P48+'37-3'!P48+'47-3'!P48+'62-3'!P48+'64-3'!P48+'74-3'!P48</f>
        <v>7120726</v>
      </c>
      <c r="Q302" s="106">
        <f>'01-3'!Q48+'02-3'!Q48+'03-3'!Q48+'04-3'!Q48+'05-3'!Q48+'08-3'!Q48+'09-3'!Q48+'10-3'!Q48+'11-3'!Q48+'12-3'!Q48+'13-3'!Q48+'14-3'!Q48+'15-3'!Q48+'16-3'!Q48+'17-3'!Q48+'18-3'!Q48+'19-3'!Q48+'21-3'!Q48+'22-3'!Q48+'24-3'!Q48+'25-3'!Q48+'28-3'!Q48+'29-3'!Q48+'30-3'!Q48+'32-3'!Q48+'35-3'!Q48+'37-3'!Q48+'47-3'!Q48+'62-3'!Q48+'64-3'!Q48+'74-3'!Q48</f>
        <v>24056232</v>
      </c>
      <c r="R302" s="106">
        <f>'01-3'!R48+'02-3'!R48+'03-3'!R48+'04-3'!R48+'05-3'!R48+'08-3'!R48+'09-3'!R48+'10-3'!R48+'11-3'!R48+'12-3'!R48+'13-3'!R48+'14-3'!R48+'15-3'!R48+'16-3'!R48+'17-3'!R48+'18-3'!R48+'19-3'!R48+'21-3'!R48+'22-3'!R48+'24-3'!R48+'25-3'!R48+'28-3'!R48+'29-3'!R48+'30-3'!R48+'32-3'!R48+'35-3'!R48+'37-3'!R48+'47-3'!R48+'62-3'!R48+'64-3'!R48+'74-3'!R48</f>
        <v>526038097</v>
      </c>
      <c r="S302" s="954"/>
      <c r="T302" s="954"/>
      <c r="U302" s="954"/>
      <c r="V302" s="954"/>
      <c r="W302" s="954"/>
    </row>
    <row r="303" spans="1:23" s="6" customFormat="1" ht="12">
      <c r="A303" s="132">
        <v>7100</v>
      </c>
      <c r="B303" s="112" t="s">
        <v>116</v>
      </c>
      <c r="C303" s="106">
        <f>'01-3'!C49+'02-3'!C49+'03-3'!C49+'04-3'!C49+'05-3'!C49+'08-3'!C49+'09-3'!C49+'10-3'!C49+'11-3'!C49+'12-3'!C49+'13-3'!C49+'14-3'!C49+'15-3'!C49+'16-3'!C49+'17-3'!C49+'18-3'!C49+'19-3'!C49+'21-3'!C49+'22-3'!C49+'24-3'!C49+'25-3'!C49+'28-3'!C49+'29-3'!C49+'30-3'!C49+'32-3'!C49+'35-3'!C49+'37-3'!C49+'47-3'!C49+'62-3'!C49+'64-3'!C49+'74-3'!C49</f>
        <v>16976967</v>
      </c>
      <c r="D303" s="106">
        <f>'01-3'!D49+'02-3'!D49+'03-3'!D49+'04-3'!D49+'05-3'!D49+'08-3'!D49+'09-3'!D49+'10-3'!D49+'11-3'!D49+'12-3'!D49+'13-3'!D49+'14-3'!D49+'15-3'!D49+'16-3'!D49+'17-3'!D49+'18-3'!D49+'19-3'!D49+'21-3'!D49+'22-3'!D49+'24-3'!D49+'25-3'!D49+'28-3'!D49+'29-3'!D49+'30-3'!D49+'32-3'!D49+'35-3'!D49+'37-3'!D49+'47-3'!D49+'62-3'!D49+'64-3'!D49+'74-3'!D49</f>
        <v>15251550</v>
      </c>
      <c r="E303" s="106">
        <f>'01-3'!E49+'02-3'!E49+'03-3'!E49+'04-3'!E49+'05-3'!E49+'08-3'!E49+'09-3'!E49+'10-3'!E49+'11-3'!E49+'12-3'!E49+'13-3'!E49+'14-3'!E49+'15-3'!E49+'16-3'!E49+'17-3'!E49+'18-3'!E49+'19-3'!E49+'21-3'!E49+'22-3'!E49+'24-3'!E49+'25-3'!E49+'28-3'!E49+'29-3'!E49+'30-3'!E49+'32-3'!E49+'35-3'!E49+'37-3'!E49+'47-3'!E49+'62-3'!E49+'64-3'!E49+'74-3'!E49</f>
        <v>538594</v>
      </c>
      <c r="F303" s="106">
        <f>'01-3'!F49+'02-3'!F49+'03-3'!F49+'04-3'!F49+'05-3'!F49+'08-3'!F49+'09-3'!F49+'10-3'!F49+'11-3'!F49+'12-3'!F49+'13-3'!F49+'14-3'!F49+'15-3'!F49+'16-3'!F49+'17-3'!F49+'18-3'!F49+'19-3'!F49+'21-3'!F49+'22-3'!F49+'24-3'!F49+'25-3'!F49+'28-3'!F49+'29-3'!F49+'30-3'!F49+'32-3'!F49+'35-3'!F49+'37-3'!F49+'47-3'!F49+'62-3'!F49+'64-3'!F49+'74-3'!F49</f>
        <v>2457230</v>
      </c>
      <c r="G303" s="106">
        <f>'01-3'!G49+'02-3'!G49+'03-3'!G49+'04-3'!G49+'05-3'!G49+'08-3'!G49+'09-3'!G49+'10-3'!G49+'11-3'!G49+'12-3'!G49+'13-3'!G49+'14-3'!G49+'15-3'!G49+'16-3'!G49+'17-3'!G49+'18-3'!G49+'19-3'!G49+'21-3'!G49+'22-3'!G49+'24-3'!G49+'25-3'!G49+'28-3'!G49+'29-3'!G49+'30-3'!G49+'32-3'!G49+'35-3'!G49+'37-3'!G49+'47-3'!G49+'62-3'!G49+'64-3'!G49+'74-3'!G49</f>
        <v>1496000</v>
      </c>
      <c r="H303" s="106">
        <f>'01-3'!H49+'02-3'!H49+'03-3'!H49+'04-3'!H49+'05-3'!H49+'08-3'!H49+'09-3'!H49+'10-3'!H49+'11-3'!H49+'12-3'!H49+'13-3'!H49+'14-3'!H49+'15-3'!H49+'16-3'!H49+'17-3'!H49+'18-3'!H49+'19-3'!H49+'21-3'!H49+'22-3'!H49+'24-3'!H49+'25-3'!H49+'28-3'!H49+'29-3'!H49+'30-3'!H49+'32-3'!H49+'35-3'!H49+'37-3'!H49+'47-3'!H49+'62-3'!H49+'64-3'!H49+'74-3'!H49</f>
        <v>19743374</v>
      </c>
      <c r="I303" s="106">
        <f>'01-3'!I49+'02-3'!I49+'03-3'!I49+'04-3'!I49+'05-3'!I49+'08-3'!I49+'09-3'!I49+'10-3'!I49+'11-3'!I49+'12-3'!I49+'13-3'!I49+'14-3'!I49+'15-3'!I49+'16-3'!I49+'17-3'!I49+'18-3'!I49+'19-3'!I49+'21-3'!I49+'22-3'!I49+'24-3'!I49+'25-3'!I49+'28-3'!I49+'29-3'!I49+'30-3'!I49+'32-3'!I49+'35-3'!I49+'37-3'!I49+'47-3'!I49+'62-3'!I49+'64-3'!I49+'74-3'!I49</f>
        <v>14350197</v>
      </c>
      <c r="J303" s="106">
        <f>'01-3'!J49+'02-3'!J49+'03-3'!J49+'04-3'!J49+'05-3'!J49+'08-3'!J49+'09-3'!J49+'10-3'!J49+'11-3'!J49+'12-3'!J49+'13-3'!J49+'14-3'!J49+'15-3'!J49+'16-3'!J49+'17-3'!J49+'18-3'!J49+'19-3'!J49+'21-3'!J49+'22-3'!J49+'24-3'!J49+'25-3'!J49+'28-3'!J49+'29-3'!J49+'30-3'!J49+'32-3'!J49+'35-3'!J49+'37-3'!J49+'47-3'!J49+'62-3'!J49+'64-3'!J49+'74-3'!J49</f>
        <v>127365954</v>
      </c>
      <c r="K303" s="106">
        <f>'01-3'!K49+'02-3'!K49+'03-3'!K49+'04-3'!K49+'05-3'!K49+'08-3'!K49+'09-3'!K49+'10-3'!K49+'11-3'!K49+'12-3'!K49+'13-3'!K49+'14-3'!K49+'15-3'!K49+'16-3'!K49+'17-3'!K49+'18-3'!K49+'19-3'!K49+'21-3'!K49+'22-3'!K49+'24-3'!K49+'25-3'!K49+'28-3'!K49+'29-3'!K49+'30-3'!K49+'32-3'!K49+'35-3'!K49+'37-3'!K49+'47-3'!K49+'62-3'!K49+'64-3'!K49+'74-3'!K49</f>
        <v>2094445</v>
      </c>
      <c r="L303" s="106">
        <f>'01-3'!L49+'02-3'!L49+'03-3'!L49+'04-3'!L49+'05-3'!L49+'08-3'!L49+'09-3'!L49+'10-3'!L49+'11-3'!L49+'12-3'!L49+'13-3'!L49+'14-3'!L49+'15-3'!L49+'16-3'!L49+'17-3'!L49+'18-3'!L49+'19-3'!L49+'21-3'!L49+'22-3'!L49+'24-3'!L49+'25-3'!L49+'28-3'!L49+'29-3'!L49+'30-3'!L49+'32-3'!L49+'35-3'!L49+'37-3'!L49+'47-3'!L49+'62-3'!L49+'64-3'!L49+'74-3'!L49</f>
        <v>1476000</v>
      </c>
      <c r="M303" s="106">
        <f>'01-3'!M49+'02-3'!M49+'03-3'!M49+'04-3'!M49+'05-3'!M49+'08-3'!M49+'09-3'!M49+'10-3'!M49+'11-3'!M49+'12-3'!M49+'13-3'!M49+'14-3'!M49+'15-3'!M49+'16-3'!M49+'17-3'!M49+'18-3'!M49+'19-3'!M49+'21-3'!M49+'22-3'!M49+'24-3'!M49+'25-3'!M49+'28-3'!M49+'29-3'!M49+'30-3'!M49+'32-3'!M49+'35-3'!M49+'37-3'!M49+'47-3'!M49+'62-3'!M49+'64-3'!M49+'74-3'!M49</f>
        <v>145286596</v>
      </c>
      <c r="N303" s="106">
        <f>'01-3'!N49+'02-3'!N49+'03-3'!N49+'04-3'!N49+'05-3'!N49+'08-3'!N49+'09-3'!N49+'10-3'!N49+'11-3'!N49+'12-3'!N49+'13-3'!N49+'14-3'!N49+'15-3'!N49+'16-3'!N49+'17-3'!N49+'18-3'!N49+'19-3'!N49+'21-3'!N49+'22-3'!N49+'24-3'!N49+'25-3'!N49+'28-3'!N49+'29-3'!N49+'30-3'!N49+'32-3'!N49+'35-3'!N49+'37-3'!N49+'47-3'!N49+'62-3'!N49+'64-3'!N49+'74-3'!N49</f>
        <v>14030007</v>
      </c>
      <c r="O303" s="106">
        <f>'01-3'!O49+'02-3'!O49+'03-3'!O49+'04-3'!O49+'05-3'!O49+'08-3'!O49+'09-3'!O49+'10-3'!O49+'11-3'!O49+'12-3'!O49+'13-3'!O49+'14-3'!O49+'15-3'!O49+'16-3'!O49+'17-3'!O49+'18-3'!O49+'19-3'!O49+'21-3'!O49+'22-3'!O49+'24-3'!O49+'25-3'!O49+'28-3'!O49+'29-3'!O49+'30-3'!O49+'32-3'!O49+'35-3'!O49+'37-3'!O49+'47-3'!O49+'62-3'!O49+'64-3'!O49+'74-3'!O49</f>
        <v>122448021</v>
      </c>
      <c r="P303" s="106">
        <f>'01-3'!P49+'02-3'!P49+'03-3'!P49+'04-3'!P49+'05-3'!P49+'08-3'!P49+'09-3'!P49+'10-3'!P49+'11-3'!P49+'12-3'!P49+'13-3'!P49+'14-3'!P49+'15-3'!P49+'16-3'!P49+'17-3'!P49+'18-3'!P49+'19-3'!P49+'21-3'!P49+'22-3'!P49+'24-3'!P49+'25-3'!P49+'28-3'!P49+'29-3'!P49+'30-3'!P49+'32-3'!P49+'35-3'!P49+'37-3'!P49+'47-3'!P49+'62-3'!P49+'64-3'!P49+'74-3'!P49</f>
        <v>1703419</v>
      </c>
      <c r="Q303" s="106">
        <f>'01-3'!Q49+'02-3'!Q49+'03-3'!Q49+'04-3'!Q49+'05-3'!Q49+'08-3'!Q49+'09-3'!Q49+'10-3'!Q49+'11-3'!Q49+'12-3'!Q49+'13-3'!Q49+'14-3'!Q49+'15-3'!Q49+'16-3'!Q49+'17-3'!Q49+'18-3'!Q49+'19-3'!Q49+'21-3'!Q49+'22-3'!Q49+'24-3'!Q49+'25-3'!Q49+'28-3'!Q49+'29-3'!Q49+'30-3'!Q49+'32-3'!Q49+'35-3'!Q49+'37-3'!Q49+'47-3'!Q49+'62-3'!Q49+'64-3'!Q49+'74-3'!Q49</f>
        <v>1476000</v>
      </c>
      <c r="R303" s="106">
        <f>'01-3'!R49+'02-3'!R49+'03-3'!R49+'04-3'!R49+'05-3'!R49+'08-3'!R49+'09-3'!R49+'10-3'!R49+'11-3'!R49+'12-3'!R49+'13-3'!R49+'14-3'!R49+'15-3'!R49+'16-3'!R49+'17-3'!R49+'18-3'!R49+'19-3'!R49+'21-3'!R49+'22-3'!R49+'24-3'!R49+'25-3'!R49+'28-3'!R49+'29-3'!R49+'30-3'!R49+'32-3'!R49+'35-3'!R49+'37-3'!R49+'47-3'!R49+'62-3'!R49+'64-3'!R49+'74-3'!R49</f>
        <v>139657447</v>
      </c>
      <c r="S303" s="954"/>
      <c r="T303" s="954"/>
      <c r="U303" s="954"/>
      <c r="V303" s="954"/>
      <c r="W303" s="954"/>
    </row>
    <row r="304" spans="1:23" s="6" customFormat="1" ht="24">
      <c r="A304" s="133" t="s">
        <v>117</v>
      </c>
      <c r="B304" s="112" t="s">
        <v>118</v>
      </c>
      <c r="C304" s="106">
        <f>'01-3'!C50+'02-3'!C50+'03-3'!C50+'04-3'!C50+'05-3'!C50+'08-3'!C50+'09-3'!C50+'10-3'!C50+'11-3'!C50+'12-3'!C50+'13-3'!C50+'14-3'!C50+'15-3'!C50+'16-3'!C50+'17-3'!C50+'18-3'!C50+'19-3'!C50+'21-3'!C50+'22-3'!C50+'24-3'!C50+'25-3'!C50+'28-3'!C50+'29-3'!C50+'30-3'!C50+'32-3'!C50+'35-3'!C50+'37-3'!C50+'47-3'!C50+'62-3'!C50+'64-3'!C50+'74-3'!C50</f>
        <v>15010694</v>
      </c>
      <c r="D304" s="106">
        <f>'01-3'!D50+'02-3'!D50+'03-3'!D50+'04-3'!D50+'05-3'!D50+'08-3'!D50+'09-3'!D50+'10-3'!D50+'11-3'!D50+'12-3'!D50+'13-3'!D50+'14-3'!D50+'15-3'!D50+'16-3'!D50+'17-3'!D50+'18-3'!D50+'19-3'!D50+'21-3'!D50+'22-3'!D50+'24-3'!D50+'25-3'!D50+'28-3'!D50+'29-3'!D50+'30-3'!D50+'32-3'!D50+'35-3'!D50+'37-3'!D50+'47-3'!D50+'62-3'!D50+'64-3'!D50+'74-3'!D50</f>
        <v>14945734</v>
      </c>
      <c r="E304" s="106">
        <f>'01-3'!E50+'02-3'!E50+'03-3'!E50+'04-3'!E50+'05-3'!E50+'08-3'!E50+'09-3'!E50+'10-3'!E50+'11-3'!E50+'12-3'!E50+'13-3'!E50+'14-3'!E50+'15-3'!E50+'16-3'!E50+'17-3'!E50+'18-3'!E50+'19-3'!E50+'21-3'!E50+'22-3'!E50+'24-3'!E50+'25-3'!E50+'28-3'!E50+'29-3'!E50+'30-3'!E50+'32-3'!E50+'35-3'!E50+'37-3'!E50+'47-3'!E50+'62-3'!E50+'64-3'!E50+'74-3'!E50</f>
        <v>538667</v>
      </c>
      <c r="F304" s="106">
        <f>'01-3'!F50+'02-3'!F50+'03-3'!F50+'04-3'!F50+'05-3'!F50+'08-3'!F50+'09-3'!F50+'10-3'!F50+'11-3'!F50+'12-3'!F50+'13-3'!F50+'14-3'!F50+'15-3'!F50+'16-3'!F50+'17-3'!F50+'18-3'!F50+'19-3'!F50+'21-3'!F50+'22-3'!F50+'24-3'!F50+'25-3'!F50+'28-3'!F50+'29-3'!F50+'30-3'!F50+'32-3'!F50+'35-3'!F50+'37-3'!F50+'47-3'!F50+'62-3'!F50+'64-3'!F50+'74-3'!F50</f>
        <v>2457230</v>
      </c>
      <c r="G304" s="106">
        <f>'01-3'!G50+'02-3'!G50+'03-3'!G50+'04-3'!G50+'05-3'!G50+'08-3'!G50+'09-3'!G50+'10-3'!G50+'11-3'!G50+'12-3'!G50+'13-3'!G50+'14-3'!G50+'15-3'!G50+'16-3'!G50+'17-3'!G50+'18-3'!G50+'19-3'!G50+'21-3'!G50+'22-3'!G50+'24-3'!G50+'25-3'!G50+'28-3'!G50+'29-3'!G50+'30-3'!G50+'32-3'!G50+'35-3'!G50+'37-3'!G50+'47-3'!G50+'62-3'!G50+'64-3'!G50+'74-3'!G50</f>
        <v>1476000</v>
      </c>
      <c r="H304" s="106">
        <f>'01-3'!H50+'02-3'!H50+'03-3'!H50+'04-3'!H50+'05-3'!H50+'08-3'!H50+'09-3'!H50+'10-3'!H50+'11-3'!H50+'12-3'!H50+'13-3'!H50+'14-3'!H50+'15-3'!H50+'16-3'!H50+'17-3'!H50+'18-3'!H50+'19-3'!H50+'21-3'!H50+'22-3'!H50+'24-3'!H50+'25-3'!H50+'28-3'!H50+'29-3'!H50+'30-3'!H50+'32-3'!H50+'35-3'!H50+'37-3'!H50+'47-3'!H50+'62-3'!H50+'64-3'!H50+'74-3'!H50</f>
        <v>19417631</v>
      </c>
      <c r="I304" s="106">
        <f>'01-3'!I50+'02-3'!I50+'03-3'!I50+'04-3'!I50+'05-3'!I50+'08-3'!I50+'09-3'!I50+'10-3'!I50+'11-3'!I50+'12-3'!I50+'13-3'!I50+'14-3'!I50+'15-3'!I50+'16-3'!I50+'17-3'!I50+'18-3'!I50+'19-3'!I50+'21-3'!I50+'22-3'!I50+'24-3'!I50+'25-3'!I50+'28-3'!I50+'29-3'!I50+'30-3'!I50+'32-3'!I50+'35-3'!I50+'37-3'!I50+'47-3'!I50+'62-3'!I50+'64-3'!I50+'74-3'!I50</f>
        <v>14272437</v>
      </c>
      <c r="J304" s="106">
        <f>'01-3'!J50+'02-3'!J50+'03-3'!J50+'04-3'!J50+'05-3'!J50+'08-3'!J50+'09-3'!J50+'10-3'!J50+'11-3'!J50+'12-3'!J50+'13-3'!J50+'14-3'!J50+'15-3'!J50+'16-3'!J50+'17-3'!J50+'18-3'!J50+'19-3'!J50+'21-3'!J50+'22-3'!J50+'24-3'!J50+'25-3'!J50+'28-3'!J50+'29-3'!J50+'30-3'!J50+'32-3'!J50+'35-3'!J50+'37-3'!J50+'47-3'!J50+'62-3'!J50+'64-3'!J50+'74-3'!J50</f>
        <v>127365954</v>
      </c>
      <c r="K304" s="106">
        <f>'01-3'!K50+'02-3'!K50+'03-3'!K50+'04-3'!K50+'05-3'!K50+'08-3'!K50+'09-3'!K50+'10-3'!K50+'11-3'!K50+'12-3'!K50+'13-3'!K50+'14-3'!K50+'15-3'!K50+'16-3'!K50+'17-3'!K50+'18-3'!K50+'19-3'!K50+'21-3'!K50+'22-3'!K50+'24-3'!K50+'25-3'!K50+'28-3'!K50+'29-3'!K50+'30-3'!K50+'32-3'!K50+'35-3'!K50+'37-3'!K50+'47-3'!K50+'62-3'!K50+'64-3'!K50+'74-3'!K50</f>
        <v>2094445</v>
      </c>
      <c r="L304" s="106">
        <f>'01-3'!L50+'02-3'!L50+'03-3'!L50+'04-3'!L50+'05-3'!L50+'08-3'!L50+'09-3'!L50+'10-3'!L50+'11-3'!L50+'12-3'!L50+'13-3'!L50+'14-3'!L50+'15-3'!L50+'16-3'!L50+'17-3'!L50+'18-3'!L50+'19-3'!L50+'21-3'!L50+'22-3'!L50+'24-3'!L50+'25-3'!L50+'28-3'!L50+'29-3'!L50+'30-3'!L50+'32-3'!L50+'35-3'!L50+'37-3'!L50+'47-3'!L50+'62-3'!L50+'64-3'!L50+'74-3'!L50</f>
        <v>1476000</v>
      </c>
      <c r="M304" s="106">
        <f>'01-3'!M50+'02-3'!M50+'03-3'!M50+'04-3'!M50+'05-3'!M50+'08-3'!M50+'09-3'!M50+'10-3'!M50+'11-3'!M50+'12-3'!M50+'13-3'!M50+'14-3'!M50+'15-3'!M50+'16-3'!M50+'17-3'!M50+'18-3'!M50+'19-3'!M50+'21-3'!M50+'22-3'!M50+'24-3'!M50+'25-3'!M50+'28-3'!M50+'29-3'!M50+'30-3'!M50+'32-3'!M50+'35-3'!M50+'37-3'!M50+'47-3'!M50+'62-3'!M50+'64-3'!M50+'74-3'!M50</f>
        <v>145208836</v>
      </c>
      <c r="N304" s="106">
        <f>'01-3'!N50+'02-3'!N50+'03-3'!N50+'04-3'!N50+'05-3'!N50+'08-3'!N50+'09-3'!N50+'10-3'!N50+'11-3'!N50+'12-3'!N50+'13-3'!N50+'14-3'!N50+'15-3'!N50+'16-3'!N50+'17-3'!N50+'18-3'!N50+'19-3'!N50+'21-3'!N50+'22-3'!N50+'24-3'!N50+'25-3'!N50+'28-3'!N50+'29-3'!N50+'30-3'!N50+'32-3'!N50+'35-3'!N50+'37-3'!N50+'47-3'!N50+'62-3'!N50+'64-3'!N50+'74-3'!N50</f>
        <v>14030007</v>
      </c>
      <c r="O304" s="106">
        <f>'01-3'!O50+'02-3'!O50+'03-3'!O50+'04-3'!O50+'05-3'!O50+'08-3'!O50+'09-3'!O50+'10-3'!O50+'11-3'!O50+'12-3'!O50+'13-3'!O50+'14-3'!O50+'15-3'!O50+'16-3'!O50+'17-3'!O50+'18-3'!O50+'19-3'!O50+'21-3'!O50+'22-3'!O50+'24-3'!O50+'25-3'!O50+'28-3'!O50+'29-3'!O50+'30-3'!O50+'32-3'!O50+'35-3'!O50+'37-3'!O50+'47-3'!O50+'62-3'!O50+'64-3'!O50+'74-3'!O50</f>
        <v>122448021</v>
      </c>
      <c r="P304" s="106">
        <f>'01-3'!P50+'02-3'!P50+'03-3'!P50+'04-3'!P50+'05-3'!P50+'08-3'!P50+'09-3'!P50+'10-3'!P50+'11-3'!P50+'12-3'!P50+'13-3'!P50+'14-3'!P50+'15-3'!P50+'16-3'!P50+'17-3'!P50+'18-3'!P50+'19-3'!P50+'21-3'!P50+'22-3'!P50+'24-3'!P50+'25-3'!P50+'28-3'!P50+'29-3'!P50+'30-3'!P50+'32-3'!P50+'35-3'!P50+'37-3'!P50+'47-3'!P50+'62-3'!P50+'64-3'!P50+'74-3'!P50</f>
        <v>1703419</v>
      </c>
      <c r="Q304" s="106">
        <f>'01-3'!Q50+'02-3'!Q50+'03-3'!Q50+'04-3'!Q50+'05-3'!Q50+'08-3'!Q50+'09-3'!Q50+'10-3'!Q50+'11-3'!Q50+'12-3'!Q50+'13-3'!Q50+'14-3'!Q50+'15-3'!Q50+'16-3'!Q50+'17-3'!Q50+'18-3'!Q50+'19-3'!Q50+'21-3'!Q50+'22-3'!Q50+'24-3'!Q50+'25-3'!Q50+'28-3'!Q50+'29-3'!Q50+'30-3'!Q50+'32-3'!Q50+'35-3'!Q50+'37-3'!Q50+'47-3'!Q50+'62-3'!Q50+'64-3'!Q50+'74-3'!Q50</f>
        <v>1476000</v>
      </c>
      <c r="R304" s="106">
        <f>'01-3'!R50+'02-3'!R50+'03-3'!R50+'04-3'!R50+'05-3'!R50+'08-3'!R50+'09-3'!R50+'10-3'!R50+'11-3'!R50+'12-3'!R50+'13-3'!R50+'14-3'!R50+'15-3'!R50+'16-3'!R50+'17-3'!R50+'18-3'!R50+'19-3'!R50+'21-3'!R50+'22-3'!R50+'24-3'!R50+'25-3'!R50+'28-3'!R50+'29-3'!R50+'30-3'!R50+'32-3'!R50+'35-3'!R50+'37-3'!R50+'47-3'!R50+'62-3'!R50+'64-3'!R50+'74-3'!R50</f>
        <v>139657447</v>
      </c>
      <c r="S304" s="954"/>
      <c r="T304" s="954"/>
      <c r="U304" s="954"/>
      <c r="V304" s="954"/>
      <c r="W304" s="954"/>
    </row>
    <row r="305" spans="1:23" s="6" customFormat="1" ht="24">
      <c r="A305" s="133">
        <v>7130</v>
      </c>
      <c r="B305" s="112" t="s">
        <v>119</v>
      </c>
      <c r="C305" s="106">
        <f>'01-3'!C51+'02-3'!C51+'03-3'!C51+'04-3'!C51+'05-3'!C51+'08-3'!C51+'09-3'!C51+'10-3'!C51+'11-3'!C51+'12-3'!C51+'13-3'!C51+'14-3'!C51+'15-3'!C51+'16-3'!C51+'17-3'!C51+'18-3'!C51+'19-3'!C51+'21-3'!C51+'22-3'!C51+'24-3'!C51+'25-3'!C51+'28-3'!C51+'29-3'!C51+'30-3'!C51+'32-3'!C51+'35-3'!C51+'37-3'!C51+'47-3'!C51+'62-3'!C51+'64-3'!C51+'74-3'!C51</f>
        <v>1966273</v>
      </c>
      <c r="D305" s="106">
        <f>'01-3'!D51+'02-3'!D51+'03-3'!D51+'04-3'!D51+'05-3'!D51+'08-3'!D51+'09-3'!D51+'10-3'!D51+'11-3'!D51+'12-3'!D51+'13-3'!D51+'14-3'!D51+'15-3'!D51+'16-3'!D51+'17-3'!D51+'18-3'!D51+'19-3'!D51+'21-3'!D51+'22-3'!D51+'24-3'!D51+'25-3'!D51+'28-3'!D51+'29-3'!D51+'30-3'!D51+'32-3'!D51+'35-3'!D51+'37-3'!D51+'47-3'!D51+'62-3'!D51+'64-3'!D51+'74-3'!D51</f>
        <v>305816</v>
      </c>
      <c r="E305" s="106">
        <f>'01-3'!E51+'02-3'!E51+'03-3'!E51+'04-3'!E51+'05-3'!E51+'08-3'!E51+'09-3'!E51+'10-3'!E51+'11-3'!E51+'12-3'!E51+'13-3'!E51+'14-3'!E51+'15-3'!E51+'16-3'!E51+'17-3'!E51+'18-3'!E51+'19-3'!E51+'21-3'!E51+'22-3'!E51+'24-3'!E51+'25-3'!E51+'28-3'!E51+'29-3'!E51+'30-3'!E51+'32-3'!E51+'35-3'!E51+'37-3'!E51+'47-3'!E51+'62-3'!E51+'64-3'!E51+'74-3'!E51</f>
        <v>-73</v>
      </c>
      <c r="F305" s="106">
        <f>'01-3'!F51+'02-3'!F51+'03-3'!F51+'04-3'!F51+'05-3'!F51+'08-3'!F51+'09-3'!F51+'10-3'!F51+'11-3'!F51+'12-3'!F51+'13-3'!F51+'14-3'!F51+'15-3'!F51+'16-3'!F51+'17-3'!F51+'18-3'!F51+'19-3'!F51+'21-3'!F51+'22-3'!F51+'24-3'!F51+'25-3'!F51+'28-3'!F51+'29-3'!F51+'30-3'!F51+'32-3'!F51+'35-3'!F51+'37-3'!F51+'47-3'!F51+'62-3'!F51+'64-3'!F51+'74-3'!F51</f>
        <v>0</v>
      </c>
      <c r="G305" s="106">
        <f>'01-3'!G51+'02-3'!G51+'03-3'!G51+'04-3'!G51+'05-3'!G51+'08-3'!G51+'09-3'!G51+'10-3'!G51+'11-3'!G51+'12-3'!G51+'13-3'!G51+'14-3'!G51+'15-3'!G51+'16-3'!G51+'17-3'!G51+'18-3'!G51+'19-3'!G51+'21-3'!G51+'22-3'!G51+'24-3'!G51+'25-3'!G51+'28-3'!G51+'29-3'!G51+'30-3'!G51+'32-3'!G51+'35-3'!G51+'37-3'!G51+'47-3'!G51+'62-3'!G51+'64-3'!G51+'74-3'!G51</f>
        <v>20000</v>
      </c>
      <c r="H305" s="106">
        <f>'01-3'!H51+'02-3'!H51+'03-3'!H51+'04-3'!H51+'05-3'!H51+'08-3'!H51+'09-3'!H51+'10-3'!H51+'11-3'!H51+'12-3'!H51+'13-3'!H51+'14-3'!H51+'15-3'!H51+'16-3'!H51+'17-3'!H51+'18-3'!H51+'19-3'!H51+'21-3'!H51+'22-3'!H51+'24-3'!H51+'25-3'!H51+'28-3'!H51+'29-3'!H51+'30-3'!H51+'32-3'!H51+'35-3'!H51+'37-3'!H51+'47-3'!H51+'62-3'!H51+'64-3'!H51+'74-3'!H51</f>
        <v>325743</v>
      </c>
      <c r="I305" s="106">
        <f>'01-3'!I51+'02-3'!I51+'03-3'!I51+'04-3'!I51+'05-3'!I51+'08-3'!I51+'09-3'!I51+'10-3'!I51+'11-3'!I51+'12-3'!I51+'13-3'!I51+'14-3'!I51+'15-3'!I51+'16-3'!I51+'17-3'!I51+'18-3'!I51+'19-3'!I51+'21-3'!I51+'22-3'!I51+'24-3'!I51+'25-3'!I51+'28-3'!I51+'29-3'!I51+'30-3'!I51+'32-3'!I51+'35-3'!I51+'37-3'!I51+'47-3'!I51+'62-3'!I51+'64-3'!I51+'74-3'!I51</f>
        <v>77760</v>
      </c>
      <c r="J305" s="106">
        <f>'01-3'!J51+'02-3'!J51+'03-3'!J51+'04-3'!J51+'05-3'!J51+'08-3'!J51+'09-3'!J51+'10-3'!J51+'11-3'!J51+'12-3'!J51+'13-3'!J51+'14-3'!J51+'15-3'!J51+'16-3'!J51+'17-3'!J51+'18-3'!J51+'19-3'!J51+'21-3'!J51+'22-3'!J51+'24-3'!J51+'25-3'!J51+'28-3'!J51+'29-3'!J51+'30-3'!J51+'32-3'!J51+'35-3'!J51+'37-3'!J51+'47-3'!J51+'62-3'!J51+'64-3'!J51+'74-3'!J51</f>
        <v>0</v>
      </c>
      <c r="K305" s="106">
        <f>'01-3'!K51+'02-3'!K51+'03-3'!K51+'04-3'!K51+'05-3'!K51+'08-3'!K51+'09-3'!K51+'10-3'!K51+'11-3'!K51+'12-3'!K51+'13-3'!K51+'14-3'!K51+'15-3'!K51+'16-3'!K51+'17-3'!K51+'18-3'!K51+'19-3'!K51+'21-3'!K51+'22-3'!K51+'24-3'!K51+'25-3'!K51+'28-3'!K51+'29-3'!K51+'30-3'!K51+'32-3'!K51+'35-3'!K51+'37-3'!K51+'47-3'!K51+'62-3'!K51+'64-3'!K51+'74-3'!K51</f>
        <v>0</v>
      </c>
      <c r="L305" s="106">
        <f>'01-3'!L51+'02-3'!L51+'03-3'!L51+'04-3'!L51+'05-3'!L51+'08-3'!L51+'09-3'!L51+'10-3'!L51+'11-3'!L51+'12-3'!L51+'13-3'!L51+'14-3'!L51+'15-3'!L51+'16-3'!L51+'17-3'!L51+'18-3'!L51+'19-3'!L51+'21-3'!L51+'22-3'!L51+'24-3'!L51+'25-3'!L51+'28-3'!L51+'29-3'!L51+'30-3'!L51+'32-3'!L51+'35-3'!L51+'37-3'!L51+'47-3'!L51+'62-3'!L51+'64-3'!L51+'74-3'!L51</f>
        <v>0</v>
      </c>
      <c r="M305" s="106">
        <f>'01-3'!M51+'02-3'!M51+'03-3'!M51+'04-3'!M51+'05-3'!M51+'08-3'!M51+'09-3'!M51+'10-3'!M51+'11-3'!M51+'12-3'!M51+'13-3'!M51+'14-3'!M51+'15-3'!M51+'16-3'!M51+'17-3'!M51+'18-3'!M51+'19-3'!M51+'21-3'!M51+'22-3'!M51+'24-3'!M51+'25-3'!M51+'28-3'!M51+'29-3'!M51+'30-3'!M51+'32-3'!M51+'35-3'!M51+'37-3'!M51+'47-3'!M51+'62-3'!M51+'64-3'!M51+'74-3'!M51</f>
        <v>77760</v>
      </c>
      <c r="N305" s="106">
        <f>'01-3'!N51+'02-3'!N51+'03-3'!N51+'04-3'!N51+'05-3'!N51+'08-3'!N51+'09-3'!N51+'10-3'!N51+'11-3'!N51+'12-3'!N51+'13-3'!N51+'14-3'!N51+'15-3'!N51+'16-3'!N51+'17-3'!N51+'18-3'!N51+'19-3'!N51+'21-3'!N51+'22-3'!N51+'24-3'!N51+'25-3'!N51+'28-3'!N51+'29-3'!N51+'30-3'!N51+'32-3'!N51+'35-3'!N51+'37-3'!N51+'47-3'!N51+'62-3'!N51+'64-3'!N51+'74-3'!N51</f>
        <v>0</v>
      </c>
      <c r="O305" s="106">
        <f>'01-3'!O51+'02-3'!O51+'03-3'!O51+'04-3'!O51+'05-3'!O51+'08-3'!O51+'09-3'!O51+'10-3'!O51+'11-3'!O51+'12-3'!O51+'13-3'!O51+'14-3'!O51+'15-3'!O51+'16-3'!O51+'17-3'!O51+'18-3'!O51+'19-3'!O51+'21-3'!O51+'22-3'!O51+'24-3'!O51+'25-3'!O51+'28-3'!O51+'29-3'!O51+'30-3'!O51+'32-3'!O51+'35-3'!O51+'37-3'!O51+'47-3'!O51+'62-3'!O51+'64-3'!O51+'74-3'!O51</f>
        <v>0</v>
      </c>
      <c r="P305" s="106">
        <f>'01-3'!P51+'02-3'!P51+'03-3'!P51+'04-3'!P51+'05-3'!P51+'08-3'!P51+'09-3'!P51+'10-3'!P51+'11-3'!P51+'12-3'!P51+'13-3'!P51+'14-3'!P51+'15-3'!P51+'16-3'!P51+'17-3'!P51+'18-3'!P51+'19-3'!P51+'21-3'!P51+'22-3'!P51+'24-3'!P51+'25-3'!P51+'28-3'!P51+'29-3'!P51+'30-3'!P51+'32-3'!P51+'35-3'!P51+'37-3'!P51+'47-3'!P51+'62-3'!P51+'64-3'!P51+'74-3'!P51</f>
        <v>0</v>
      </c>
      <c r="Q305" s="106">
        <f>'01-3'!Q51+'02-3'!Q51+'03-3'!Q51+'04-3'!Q51+'05-3'!Q51+'08-3'!Q51+'09-3'!Q51+'10-3'!Q51+'11-3'!Q51+'12-3'!Q51+'13-3'!Q51+'14-3'!Q51+'15-3'!Q51+'16-3'!Q51+'17-3'!Q51+'18-3'!Q51+'19-3'!Q51+'21-3'!Q51+'22-3'!Q51+'24-3'!Q51+'25-3'!Q51+'28-3'!Q51+'29-3'!Q51+'30-3'!Q51+'32-3'!Q51+'35-3'!Q51+'37-3'!Q51+'47-3'!Q51+'62-3'!Q51+'64-3'!Q51+'74-3'!Q51</f>
        <v>0</v>
      </c>
      <c r="R305" s="106">
        <f>'01-3'!R51+'02-3'!R51+'03-3'!R51+'04-3'!R51+'05-3'!R51+'08-3'!R51+'09-3'!R51+'10-3'!R51+'11-3'!R51+'12-3'!R51+'13-3'!R51+'14-3'!R51+'15-3'!R51+'16-3'!R51+'17-3'!R51+'18-3'!R51+'19-3'!R51+'21-3'!R51+'22-3'!R51+'24-3'!R51+'25-3'!R51+'28-3'!R51+'29-3'!R51+'30-3'!R51+'32-3'!R51+'35-3'!R51+'37-3'!R51+'47-3'!R51+'62-3'!R51+'64-3'!R51+'74-3'!R51</f>
        <v>0</v>
      </c>
      <c r="S305" s="954"/>
      <c r="T305" s="954"/>
      <c r="U305" s="954"/>
      <c r="V305" s="954"/>
      <c r="W305" s="954"/>
    </row>
    <row r="306" spans="1:23" s="6" customFormat="1" ht="36">
      <c r="A306" s="134">
        <v>7131</v>
      </c>
      <c r="B306" s="112" t="s">
        <v>120</v>
      </c>
      <c r="C306" s="106">
        <f>'01-3'!C52+'02-3'!C52+'03-3'!C52+'04-3'!C52+'05-3'!C52+'08-3'!C52+'09-3'!C52+'10-3'!C52+'11-3'!C52+'12-3'!C52+'13-3'!C52+'14-3'!C52+'15-3'!C52+'16-3'!C52+'17-3'!C52+'18-3'!C52+'19-3'!C52+'21-3'!C52+'22-3'!C52+'24-3'!C52+'25-3'!C52+'28-3'!C52+'29-3'!C52+'30-3'!C52+'32-3'!C52+'35-3'!C52+'37-3'!C52+'47-3'!C52+'62-3'!C52+'64-3'!C52+'74-3'!C52</f>
        <v>1924517</v>
      </c>
      <c r="D306" s="106">
        <f>'01-3'!D52+'02-3'!D52+'03-3'!D52+'04-3'!D52+'05-3'!D52+'08-3'!D52+'09-3'!D52+'10-3'!D52+'11-3'!D52+'12-3'!D52+'13-3'!D52+'14-3'!D52+'15-3'!D52+'16-3'!D52+'17-3'!D52+'18-3'!D52+'19-3'!D52+'21-3'!D52+'22-3'!D52+'24-3'!D52+'25-3'!D52+'28-3'!D52+'29-3'!D52+'30-3'!D52+'32-3'!D52+'35-3'!D52+'37-3'!D52+'47-3'!D52+'62-3'!D52+'64-3'!D52+'74-3'!D52</f>
        <v>305816</v>
      </c>
      <c r="E306" s="106">
        <f>'01-3'!E52+'02-3'!E52+'03-3'!E52+'04-3'!E52+'05-3'!E52+'08-3'!E52+'09-3'!E52+'10-3'!E52+'11-3'!E52+'12-3'!E52+'13-3'!E52+'14-3'!E52+'15-3'!E52+'16-3'!E52+'17-3'!E52+'18-3'!E52+'19-3'!E52+'21-3'!E52+'22-3'!E52+'24-3'!E52+'25-3'!E52+'28-3'!E52+'29-3'!E52+'30-3'!E52+'32-3'!E52+'35-3'!E52+'37-3'!E52+'47-3'!E52+'62-3'!E52+'64-3'!E52+'74-3'!E52</f>
        <v>-73</v>
      </c>
      <c r="F306" s="106">
        <f>'01-3'!F52+'02-3'!F52+'03-3'!F52+'04-3'!F52+'05-3'!F52+'08-3'!F52+'09-3'!F52+'10-3'!F52+'11-3'!F52+'12-3'!F52+'13-3'!F52+'14-3'!F52+'15-3'!F52+'16-3'!F52+'17-3'!F52+'18-3'!F52+'19-3'!F52+'21-3'!F52+'22-3'!F52+'24-3'!F52+'25-3'!F52+'28-3'!F52+'29-3'!F52+'30-3'!F52+'32-3'!F52+'35-3'!F52+'37-3'!F52+'47-3'!F52+'62-3'!F52+'64-3'!F52+'74-3'!F52</f>
        <v>0</v>
      </c>
      <c r="G306" s="106">
        <f>'01-3'!G52+'02-3'!G52+'03-3'!G52+'04-3'!G52+'05-3'!G52+'08-3'!G52+'09-3'!G52+'10-3'!G52+'11-3'!G52+'12-3'!G52+'13-3'!G52+'14-3'!G52+'15-3'!G52+'16-3'!G52+'17-3'!G52+'18-3'!G52+'19-3'!G52+'21-3'!G52+'22-3'!G52+'24-3'!G52+'25-3'!G52+'28-3'!G52+'29-3'!G52+'30-3'!G52+'32-3'!G52+'35-3'!G52+'37-3'!G52+'47-3'!G52+'62-3'!G52+'64-3'!G52+'74-3'!G52</f>
        <v>20000</v>
      </c>
      <c r="H306" s="106">
        <f>'01-3'!H52+'02-3'!H52+'03-3'!H52+'04-3'!H52+'05-3'!H52+'08-3'!H52+'09-3'!H52+'10-3'!H52+'11-3'!H52+'12-3'!H52+'13-3'!H52+'14-3'!H52+'15-3'!H52+'16-3'!H52+'17-3'!H52+'18-3'!H52+'19-3'!H52+'21-3'!H52+'22-3'!H52+'24-3'!H52+'25-3'!H52+'28-3'!H52+'29-3'!H52+'30-3'!H52+'32-3'!H52+'35-3'!H52+'37-3'!H52+'47-3'!H52+'62-3'!H52+'64-3'!H52+'74-3'!H52</f>
        <v>325743</v>
      </c>
      <c r="I306" s="106">
        <f>'01-3'!I52+'02-3'!I52+'03-3'!I52+'04-3'!I52+'05-3'!I52+'08-3'!I52+'09-3'!I52+'10-3'!I52+'11-3'!I52+'12-3'!I52+'13-3'!I52+'14-3'!I52+'15-3'!I52+'16-3'!I52+'17-3'!I52+'18-3'!I52+'19-3'!I52+'21-3'!I52+'22-3'!I52+'24-3'!I52+'25-3'!I52+'28-3'!I52+'29-3'!I52+'30-3'!I52+'32-3'!I52+'35-3'!I52+'37-3'!I52+'47-3'!I52+'62-3'!I52+'64-3'!I52+'74-3'!I52</f>
        <v>77760</v>
      </c>
      <c r="J306" s="106">
        <f>'01-3'!J52+'02-3'!J52+'03-3'!J52+'04-3'!J52+'05-3'!J52+'08-3'!J52+'09-3'!J52+'10-3'!J52+'11-3'!J52+'12-3'!J52+'13-3'!J52+'14-3'!J52+'15-3'!J52+'16-3'!J52+'17-3'!J52+'18-3'!J52+'19-3'!J52+'21-3'!J52+'22-3'!J52+'24-3'!J52+'25-3'!J52+'28-3'!J52+'29-3'!J52+'30-3'!J52+'32-3'!J52+'35-3'!J52+'37-3'!J52+'47-3'!J52+'62-3'!J52+'64-3'!J52+'74-3'!J52</f>
        <v>0</v>
      </c>
      <c r="K306" s="106">
        <f>'01-3'!K52+'02-3'!K52+'03-3'!K52+'04-3'!K52+'05-3'!K52+'08-3'!K52+'09-3'!K52+'10-3'!K52+'11-3'!K52+'12-3'!K52+'13-3'!K52+'14-3'!K52+'15-3'!K52+'16-3'!K52+'17-3'!K52+'18-3'!K52+'19-3'!K52+'21-3'!K52+'22-3'!K52+'24-3'!K52+'25-3'!K52+'28-3'!K52+'29-3'!K52+'30-3'!K52+'32-3'!K52+'35-3'!K52+'37-3'!K52+'47-3'!K52+'62-3'!K52+'64-3'!K52+'74-3'!K52</f>
        <v>0</v>
      </c>
      <c r="L306" s="106">
        <f>'01-3'!L52+'02-3'!L52+'03-3'!L52+'04-3'!L52+'05-3'!L52+'08-3'!L52+'09-3'!L52+'10-3'!L52+'11-3'!L52+'12-3'!L52+'13-3'!L52+'14-3'!L52+'15-3'!L52+'16-3'!L52+'17-3'!L52+'18-3'!L52+'19-3'!L52+'21-3'!L52+'22-3'!L52+'24-3'!L52+'25-3'!L52+'28-3'!L52+'29-3'!L52+'30-3'!L52+'32-3'!L52+'35-3'!L52+'37-3'!L52+'47-3'!L52+'62-3'!L52+'64-3'!L52+'74-3'!L52</f>
        <v>0</v>
      </c>
      <c r="M306" s="106">
        <f>'01-3'!M52+'02-3'!M52+'03-3'!M52+'04-3'!M52+'05-3'!M52+'08-3'!M52+'09-3'!M52+'10-3'!M52+'11-3'!M52+'12-3'!M52+'13-3'!M52+'14-3'!M52+'15-3'!M52+'16-3'!M52+'17-3'!M52+'18-3'!M52+'19-3'!M52+'21-3'!M52+'22-3'!M52+'24-3'!M52+'25-3'!M52+'28-3'!M52+'29-3'!M52+'30-3'!M52+'32-3'!M52+'35-3'!M52+'37-3'!M52+'47-3'!M52+'62-3'!M52+'64-3'!M52+'74-3'!M52</f>
        <v>77760</v>
      </c>
      <c r="N306" s="106">
        <f>'01-3'!N52+'02-3'!N52+'03-3'!N52+'04-3'!N52+'05-3'!N52+'08-3'!N52+'09-3'!N52+'10-3'!N52+'11-3'!N52+'12-3'!N52+'13-3'!N52+'14-3'!N52+'15-3'!N52+'16-3'!N52+'17-3'!N52+'18-3'!N52+'19-3'!N52+'21-3'!N52+'22-3'!N52+'24-3'!N52+'25-3'!N52+'28-3'!N52+'29-3'!N52+'30-3'!N52+'32-3'!N52+'35-3'!N52+'37-3'!N52+'47-3'!N52+'62-3'!N52+'64-3'!N52+'74-3'!N52</f>
        <v>0</v>
      </c>
      <c r="O306" s="106">
        <f>'01-3'!O52+'02-3'!O52+'03-3'!O52+'04-3'!O52+'05-3'!O52+'08-3'!O52+'09-3'!O52+'10-3'!O52+'11-3'!O52+'12-3'!O52+'13-3'!O52+'14-3'!O52+'15-3'!O52+'16-3'!O52+'17-3'!O52+'18-3'!O52+'19-3'!O52+'21-3'!O52+'22-3'!O52+'24-3'!O52+'25-3'!O52+'28-3'!O52+'29-3'!O52+'30-3'!O52+'32-3'!O52+'35-3'!O52+'37-3'!O52+'47-3'!O52+'62-3'!O52+'64-3'!O52+'74-3'!O52</f>
        <v>0</v>
      </c>
      <c r="P306" s="106">
        <f>'01-3'!P52+'02-3'!P52+'03-3'!P52+'04-3'!P52+'05-3'!P52+'08-3'!P52+'09-3'!P52+'10-3'!P52+'11-3'!P52+'12-3'!P52+'13-3'!P52+'14-3'!P52+'15-3'!P52+'16-3'!P52+'17-3'!P52+'18-3'!P52+'19-3'!P52+'21-3'!P52+'22-3'!P52+'24-3'!P52+'25-3'!P52+'28-3'!P52+'29-3'!P52+'30-3'!P52+'32-3'!P52+'35-3'!P52+'37-3'!P52+'47-3'!P52+'62-3'!P52+'64-3'!P52+'74-3'!P52</f>
        <v>0</v>
      </c>
      <c r="Q306" s="106">
        <f>'01-3'!Q52+'02-3'!Q52+'03-3'!Q52+'04-3'!Q52+'05-3'!Q52+'08-3'!Q52+'09-3'!Q52+'10-3'!Q52+'11-3'!Q52+'12-3'!Q52+'13-3'!Q52+'14-3'!Q52+'15-3'!Q52+'16-3'!Q52+'17-3'!Q52+'18-3'!Q52+'19-3'!Q52+'21-3'!Q52+'22-3'!Q52+'24-3'!Q52+'25-3'!Q52+'28-3'!Q52+'29-3'!Q52+'30-3'!Q52+'32-3'!Q52+'35-3'!Q52+'37-3'!Q52+'47-3'!Q52+'62-3'!Q52+'64-3'!Q52+'74-3'!Q52</f>
        <v>0</v>
      </c>
      <c r="R306" s="106">
        <f>'01-3'!R52+'02-3'!R52+'03-3'!R52+'04-3'!R52+'05-3'!R52+'08-3'!R52+'09-3'!R52+'10-3'!R52+'11-3'!R52+'12-3'!R52+'13-3'!R52+'14-3'!R52+'15-3'!R52+'16-3'!R52+'17-3'!R52+'18-3'!R52+'19-3'!R52+'21-3'!R52+'22-3'!R52+'24-3'!R52+'25-3'!R52+'28-3'!R52+'29-3'!R52+'30-3'!R52+'32-3'!R52+'35-3'!R52+'37-3'!R52+'47-3'!R52+'62-3'!R52+'64-3'!R52+'74-3'!R52</f>
        <v>0</v>
      </c>
      <c r="S306" s="954"/>
      <c r="T306" s="954"/>
      <c r="U306" s="954"/>
      <c r="V306" s="954"/>
      <c r="W306" s="954"/>
    </row>
    <row r="307" spans="1:23" s="6" customFormat="1" ht="36">
      <c r="A307" s="134">
        <v>7132</v>
      </c>
      <c r="B307" s="112" t="s">
        <v>121</v>
      </c>
      <c r="C307" s="106">
        <f>'01-3'!C53+'02-3'!C53+'03-3'!C53+'04-3'!C53+'05-3'!C53+'08-3'!C53+'09-3'!C53+'10-3'!C53+'11-3'!C53+'12-3'!C53+'13-3'!C53+'14-3'!C53+'15-3'!C53+'16-3'!C53+'17-3'!C53+'18-3'!C53+'19-3'!C53+'21-3'!C53+'22-3'!C53+'24-3'!C53+'25-3'!C53+'28-3'!C53+'29-3'!C53+'30-3'!C53+'32-3'!C53+'35-3'!C53+'37-3'!C53+'47-3'!C53+'62-3'!C53+'64-3'!C53+'74-3'!C53</f>
        <v>41756</v>
      </c>
      <c r="D307" s="106">
        <f>'01-3'!D53+'02-3'!D53+'03-3'!D53+'04-3'!D53+'05-3'!D53+'08-3'!D53+'09-3'!D53+'10-3'!D53+'11-3'!D53+'12-3'!D53+'13-3'!D53+'14-3'!D53+'15-3'!D53+'16-3'!D53+'17-3'!D53+'18-3'!D53+'19-3'!D53+'21-3'!D53+'22-3'!D53+'24-3'!D53+'25-3'!D53+'28-3'!D53+'29-3'!D53+'30-3'!D53+'32-3'!D53+'35-3'!D53+'37-3'!D53+'47-3'!D53+'62-3'!D53+'64-3'!D53+'74-3'!D53</f>
        <v>0</v>
      </c>
      <c r="E307" s="106">
        <f>'01-3'!E53+'02-3'!E53+'03-3'!E53+'04-3'!E53+'05-3'!E53+'08-3'!E53+'09-3'!E53+'10-3'!E53+'11-3'!E53+'12-3'!E53+'13-3'!E53+'14-3'!E53+'15-3'!E53+'16-3'!E53+'17-3'!E53+'18-3'!E53+'19-3'!E53+'21-3'!E53+'22-3'!E53+'24-3'!E53+'25-3'!E53+'28-3'!E53+'29-3'!E53+'30-3'!E53+'32-3'!E53+'35-3'!E53+'37-3'!E53+'47-3'!E53+'62-3'!E53+'64-3'!E53+'74-3'!E53</f>
        <v>0</v>
      </c>
      <c r="F307" s="106">
        <f>'01-3'!F53+'02-3'!F53+'03-3'!F53+'04-3'!F53+'05-3'!F53+'08-3'!F53+'09-3'!F53+'10-3'!F53+'11-3'!F53+'12-3'!F53+'13-3'!F53+'14-3'!F53+'15-3'!F53+'16-3'!F53+'17-3'!F53+'18-3'!F53+'19-3'!F53+'21-3'!F53+'22-3'!F53+'24-3'!F53+'25-3'!F53+'28-3'!F53+'29-3'!F53+'30-3'!F53+'32-3'!F53+'35-3'!F53+'37-3'!F53+'47-3'!F53+'62-3'!F53+'64-3'!F53+'74-3'!F53</f>
        <v>0</v>
      </c>
      <c r="G307" s="106">
        <f>'01-3'!G53+'02-3'!G53+'03-3'!G53+'04-3'!G53+'05-3'!G53+'08-3'!G53+'09-3'!G53+'10-3'!G53+'11-3'!G53+'12-3'!G53+'13-3'!G53+'14-3'!G53+'15-3'!G53+'16-3'!G53+'17-3'!G53+'18-3'!G53+'19-3'!G53+'21-3'!G53+'22-3'!G53+'24-3'!G53+'25-3'!G53+'28-3'!G53+'29-3'!G53+'30-3'!G53+'32-3'!G53+'35-3'!G53+'37-3'!G53+'47-3'!G53+'62-3'!G53+'64-3'!G53+'74-3'!G53</f>
        <v>0</v>
      </c>
      <c r="H307" s="106">
        <f>'01-3'!H53+'02-3'!H53+'03-3'!H53+'04-3'!H53+'05-3'!H53+'08-3'!H53+'09-3'!H53+'10-3'!H53+'11-3'!H53+'12-3'!H53+'13-3'!H53+'14-3'!H53+'15-3'!H53+'16-3'!H53+'17-3'!H53+'18-3'!H53+'19-3'!H53+'21-3'!H53+'22-3'!H53+'24-3'!H53+'25-3'!H53+'28-3'!H53+'29-3'!H53+'30-3'!H53+'32-3'!H53+'35-3'!H53+'37-3'!H53+'47-3'!H53+'62-3'!H53+'64-3'!H53+'74-3'!H53</f>
        <v>0</v>
      </c>
      <c r="I307" s="106">
        <f>'01-3'!I53+'02-3'!I53+'03-3'!I53+'04-3'!I53+'05-3'!I53+'08-3'!I53+'09-3'!I53+'10-3'!I53+'11-3'!I53+'12-3'!I53+'13-3'!I53+'14-3'!I53+'15-3'!I53+'16-3'!I53+'17-3'!I53+'18-3'!I53+'19-3'!I53+'21-3'!I53+'22-3'!I53+'24-3'!I53+'25-3'!I53+'28-3'!I53+'29-3'!I53+'30-3'!I53+'32-3'!I53+'35-3'!I53+'37-3'!I53+'47-3'!I53+'62-3'!I53+'64-3'!I53+'74-3'!I53</f>
        <v>0</v>
      </c>
      <c r="J307" s="106">
        <f>'01-3'!J53+'02-3'!J53+'03-3'!J53+'04-3'!J53+'05-3'!J53+'08-3'!J53+'09-3'!J53+'10-3'!J53+'11-3'!J53+'12-3'!J53+'13-3'!J53+'14-3'!J53+'15-3'!J53+'16-3'!J53+'17-3'!J53+'18-3'!J53+'19-3'!J53+'21-3'!J53+'22-3'!J53+'24-3'!J53+'25-3'!J53+'28-3'!J53+'29-3'!J53+'30-3'!J53+'32-3'!J53+'35-3'!J53+'37-3'!J53+'47-3'!J53+'62-3'!J53+'64-3'!J53+'74-3'!J53</f>
        <v>0</v>
      </c>
      <c r="K307" s="106">
        <f>'01-3'!K53+'02-3'!K53+'03-3'!K53+'04-3'!K53+'05-3'!K53+'08-3'!K53+'09-3'!K53+'10-3'!K53+'11-3'!K53+'12-3'!K53+'13-3'!K53+'14-3'!K53+'15-3'!K53+'16-3'!K53+'17-3'!K53+'18-3'!K53+'19-3'!K53+'21-3'!K53+'22-3'!K53+'24-3'!K53+'25-3'!K53+'28-3'!K53+'29-3'!K53+'30-3'!K53+'32-3'!K53+'35-3'!K53+'37-3'!K53+'47-3'!K53+'62-3'!K53+'64-3'!K53+'74-3'!K53</f>
        <v>0</v>
      </c>
      <c r="L307" s="106">
        <f>'01-3'!L53+'02-3'!L53+'03-3'!L53+'04-3'!L53+'05-3'!L53+'08-3'!L53+'09-3'!L53+'10-3'!L53+'11-3'!L53+'12-3'!L53+'13-3'!L53+'14-3'!L53+'15-3'!L53+'16-3'!L53+'17-3'!L53+'18-3'!L53+'19-3'!L53+'21-3'!L53+'22-3'!L53+'24-3'!L53+'25-3'!L53+'28-3'!L53+'29-3'!L53+'30-3'!L53+'32-3'!L53+'35-3'!L53+'37-3'!L53+'47-3'!L53+'62-3'!L53+'64-3'!L53+'74-3'!L53</f>
        <v>0</v>
      </c>
      <c r="M307" s="106">
        <f>'01-3'!M53+'02-3'!M53+'03-3'!M53+'04-3'!M53+'05-3'!M53+'08-3'!M53+'09-3'!M53+'10-3'!M53+'11-3'!M53+'12-3'!M53+'13-3'!M53+'14-3'!M53+'15-3'!M53+'16-3'!M53+'17-3'!M53+'18-3'!M53+'19-3'!M53+'21-3'!M53+'22-3'!M53+'24-3'!M53+'25-3'!M53+'28-3'!M53+'29-3'!M53+'30-3'!M53+'32-3'!M53+'35-3'!M53+'37-3'!M53+'47-3'!M53+'62-3'!M53+'64-3'!M53+'74-3'!M53</f>
        <v>0</v>
      </c>
      <c r="N307" s="106">
        <f>'01-3'!N53+'02-3'!N53+'03-3'!N53+'04-3'!N53+'05-3'!N53+'08-3'!N53+'09-3'!N53+'10-3'!N53+'11-3'!N53+'12-3'!N53+'13-3'!N53+'14-3'!N53+'15-3'!N53+'16-3'!N53+'17-3'!N53+'18-3'!N53+'19-3'!N53+'21-3'!N53+'22-3'!N53+'24-3'!N53+'25-3'!N53+'28-3'!N53+'29-3'!N53+'30-3'!N53+'32-3'!N53+'35-3'!N53+'37-3'!N53+'47-3'!N53+'62-3'!N53+'64-3'!N53+'74-3'!N53</f>
        <v>0</v>
      </c>
      <c r="O307" s="106">
        <f>'01-3'!O53+'02-3'!O53+'03-3'!O53+'04-3'!O53+'05-3'!O53+'08-3'!O53+'09-3'!O53+'10-3'!O53+'11-3'!O53+'12-3'!O53+'13-3'!O53+'14-3'!O53+'15-3'!O53+'16-3'!O53+'17-3'!O53+'18-3'!O53+'19-3'!O53+'21-3'!O53+'22-3'!O53+'24-3'!O53+'25-3'!O53+'28-3'!O53+'29-3'!O53+'30-3'!O53+'32-3'!O53+'35-3'!O53+'37-3'!O53+'47-3'!O53+'62-3'!O53+'64-3'!O53+'74-3'!O53</f>
        <v>0</v>
      </c>
      <c r="P307" s="106">
        <f>'01-3'!P53+'02-3'!P53+'03-3'!P53+'04-3'!P53+'05-3'!P53+'08-3'!P53+'09-3'!P53+'10-3'!P53+'11-3'!P53+'12-3'!P53+'13-3'!P53+'14-3'!P53+'15-3'!P53+'16-3'!P53+'17-3'!P53+'18-3'!P53+'19-3'!P53+'21-3'!P53+'22-3'!P53+'24-3'!P53+'25-3'!P53+'28-3'!P53+'29-3'!P53+'30-3'!P53+'32-3'!P53+'35-3'!P53+'37-3'!P53+'47-3'!P53+'62-3'!P53+'64-3'!P53+'74-3'!P53</f>
        <v>0</v>
      </c>
      <c r="Q307" s="106">
        <f>'01-3'!Q53+'02-3'!Q53+'03-3'!Q53+'04-3'!Q53+'05-3'!Q53+'08-3'!Q53+'09-3'!Q53+'10-3'!Q53+'11-3'!Q53+'12-3'!Q53+'13-3'!Q53+'14-3'!Q53+'15-3'!Q53+'16-3'!Q53+'17-3'!Q53+'18-3'!Q53+'19-3'!Q53+'21-3'!Q53+'22-3'!Q53+'24-3'!Q53+'25-3'!Q53+'28-3'!Q53+'29-3'!Q53+'30-3'!Q53+'32-3'!Q53+'35-3'!Q53+'37-3'!Q53+'47-3'!Q53+'62-3'!Q53+'64-3'!Q53+'74-3'!Q53</f>
        <v>0</v>
      </c>
      <c r="R307" s="106">
        <f>'01-3'!R53+'02-3'!R53+'03-3'!R53+'04-3'!R53+'05-3'!R53+'08-3'!R53+'09-3'!R53+'10-3'!R53+'11-3'!R53+'12-3'!R53+'13-3'!R53+'14-3'!R53+'15-3'!R53+'16-3'!R53+'17-3'!R53+'18-3'!R53+'19-3'!R53+'21-3'!R53+'22-3'!R53+'24-3'!R53+'25-3'!R53+'28-3'!R53+'29-3'!R53+'30-3'!R53+'32-3'!R53+'35-3'!R53+'37-3'!R53+'47-3'!R53+'62-3'!R53+'64-3'!R53+'74-3'!R53</f>
        <v>0</v>
      </c>
      <c r="S307" s="954"/>
      <c r="T307" s="954"/>
      <c r="U307" s="954"/>
      <c r="V307" s="954"/>
      <c r="W307" s="954"/>
    </row>
    <row r="308" spans="1:23" s="6" customFormat="1" ht="36" hidden="1">
      <c r="A308" s="134" t="s">
        <v>186</v>
      </c>
      <c r="B308" s="112" t="s">
        <v>187</v>
      </c>
      <c r="C308" s="106">
        <f>'01-3'!C54+'02-3'!C54+'03-3'!C54+'04-3'!C54+'05-3'!C54+'08-3'!C54+'09-3'!C54+'10-3'!C54+'11-3'!C54+'12-3'!C54+'13-3'!C54+'14-3'!C54+'15-3'!C54+'16-3'!C54+'17-3'!C54+'18-3'!C54+'19-3'!C54+'21-3'!C54+'22-3'!C54+'24-3'!C54+'25-3'!C54+'28-3'!C54+'29-3'!C54+'30-3'!C54+'32-3'!C54+'35-3'!C54+'37-3'!C54+'47-3'!C54+'62-3'!C54+'64-3'!C54+'74-3'!C54</f>
        <v>0</v>
      </c>
      <c r="D308" s="106">
        <f>'01-3'!D54+'02-3'!D54+'03-3'!D54+'04-3'!D54+'05-3'!D54+'08-3'!D54+'09-3'!D54+'10-3'!D54+'11-3'!D54+'12-3'!D54+'13-3'!D54+'14-3'!D54+'15-3'!D54+'16-3'!D54+'17-3'!D54+'18-3'!D54+'19-3'!D54+'21-3'!D54+'22-3'!D54+'24-3'!D54+'25-3'!D54+'28-3'!D54+'29-3'!D54+'30-3'!D54+'32-3'!D54+'35-3'!D54+'37-3'!D54+'47-3'!D54+'62-3'!D54+'64-3'!D54+'74-3'!D54</f>
        <v>0</v>
      </c>
      <c r="E308" s="106">
        <f>'01-3'!E54+'02-3'!E54+'03-3'!E54+'04-3'!E54+'05-3'!E54+'08-3'!E54+'09-3'!E54+'10-3'!E54+'11-3'!E54+'12-3'!E54+'13-3'!E54+'14-3'!E54+'15-3'!E54+'16-3'!E54+'17-3'!E54+'18-3'!E54+'19-3'!E54+'21-3'!E54+'22-3'!E54+'24-3'!E54+'25-3'!E54+'28-3'!E54+'29-3'!E54+'30-3'!E54+'32-3'!E54+'35-3'!E54+'37-3'!E54+'47-3'!E54+'62-3'!E54+'64-3'!E54+'74-3'!E54</f>
        <v>0</v>
      </c>
      <c r="F308" s="106">
        <f>'01-3'!F54+'02-3'!F54+'03-3'!F54+'04-3'!F54+'05-3'!F54+'08-3'!F54+'09-3'!F54+'10-3'!F54+'11-3'!F54+'12-3'!F54+'13-3'!F54+'14-3'!F54+'15-3'!F54+'16-3'!F54+'17-3'!F54+'18-3'!F54+'19-3'!F54+'21-3'!F54+'22-3'!F54+'24-3'!F54+'25-3'!F54+'28-3'!F54+'29-3'!F54+'30-3'!F54+'32-3'!F54+'35-3'!F54+'37-3'!F54+'47-3'!F54+'62-3'!F54+'64-3'!F54+'74-3'!F54</f>
        <v>0</v>
      </c>
      <c r="G308" s="106">
        <f>'01-3'!G54+'02-3'!G54+'03-3'!G54+'04-3'!G54+'05-3'!G54+'08-3'!G54+'09-3'!G54+'10-3'!G54+'11-3'!G54+'12-3'!G54+'13-3'!G54+'14-3'!G54+'15-3'!G54+'16-3'!G54+'17-3'!G54+'18-3'!G54+'19-3'!G54+'21-3'!G54+'22-3'!G54+'24-3'!G54+'25-3'!G54+'28-3'!G54+'29-3'!G54+'30-3'!G54+'32-3'!G54+'35-3'!G54+'37-3'!G54+'47-3'!G54+'62-3'!G54+'64-3'!G54+'74-3'!G54</f>
        <v>0</v>
      </c>
      <c r="H308" s="106">
        <f>'01-3'!H54+'02-3'!H54+'03-3'!H54+'04-3'!H54+'05-3'!H54+'08-3'!H54+'09-3'!H54+'10-3'!H54+'11-3'!H54+'12-3'!H54+'13-3'!H54+'14-3'!H54+'15-3'!H54+'16-3'!H54+'17-3'!H54+'18-3'!H54+'19-3'!H54+'21-3'!H54+'22-3'!H54+'24-3'!H54+'25-3'!H54+'28-3'!H54+'29-3'!H54+'30-3'!H54+'32-3'!H54+'35-3'!H54+'37-3'!H54+'47-3'!H54+'62-3'!H54+'64-3'!H54+'74-3'!H54</f>
        <v>0</v>
      </c>
      <c r="I308" s="106">
        <f>'01-3'!I54+'02-3'!I54+'03-3'!I54+'04-3'!I54+'05-3'!I54+'08-3'!I54+'09-3'!I54+'10-3'!I54+'11-3'!I54+'12-3'!I54+'13-3'!I54+'14-3'!I54+'15-3'!I54+'16-3'!I54+'17-3'!I54+'18-3'!I54+'19-3'!I54+'21-3'!I54+'22-3'!I54+'24-3'!I54+'25-3'!I54+'28-3'!I54+'29-3'!I54+'30-3'!I54+'32-3'!I54+'35-3'!I54+'37-3'!I54+'47-3'!I54+'62-3'!I54+'64-3'!I54+'74-3'!I54</f>
        <v>0</v>
      </c>
      <c r="J308" s="106">
        <f>'01-3'!J54+'02-3'!J54+'03-3'!J54+'04-3'!J54+'05-3'!J54+'08-3'!J54+'09-3'!J54+'10-3'!J54+'11-3'!J54+'12-3'!J54+'13-3'!J54+'14-3'!J54+'15-3'!J54+'16-3'!J54+'17-3'!J54+'18-3'!J54+'19-3'!J54+'21-3'!J54+'22-3'!J54+'24-3'!J54+'25-3'!J54+'28-3'!J54+'29-3'!J54+'30-3'!J54+'32-3'!J54+'35-3'!J54+'37-3'!J54+'47-3'!J54+'62-3'!J54+'64-3'!J54+'74-3'!J54</f>
        <v>0</v>
      </c>
      <c r="K308" s="106">
        <f>'01-3'!K54+'02-3'!K54+'03-3'!K54+'04-3'!K54+'05-3'!K54+'08-3'!K54+'09-3'!K54+'10-3'!K54+'11-3'!K54+'12-3'!K54+'13-3'!K54+'14-3'!K54+'15-3'!K54+'16-3'!K54+'17-3'!K54+'18-3'!K54+'19-3'!K54+'21-3'!K54+'22-3'!K54+'24-3'!K54+'25-3'!K54+'28-3'!K54+'29-3'!K54+'30-3'!K54+'32-3'!K54+'35-3'!K54+'37-3'!K54+'47-3'!K54+'62-3'!K54+'64-3'!K54+'74-3'!K54</f>
        <v>0</v>
      </c>
      <c r="L308" s="106">
        <f>'01-3'!L54+'02-3'!L54+'03-3'!L54+'04-3'!L54+'05-3'!L54+'08-3'!L54+'09-3'!L54+'10-3'!L54+'11-3'!L54+'12-3'!L54+'13-3'!L54+'14-3'!L54+'15-3'!L54+'16-3'!L54+'17-3'!L54+'18-3'!L54+'19-3'!L54+'21-3'!L54+'22-3'!L54+'24-3'!L54+'25-3'!L54+'28-3'!L54+'29-3'!L54+'30-3'!L54+'32-3'!L54+'35-3'!L54+'37-3'!L54+'47-3'!L54+'62-3'!L54+'64-3'!L54+'74-3'!L54</f>
        <v>0</v>
      </c>
      <c r="M308" s="106">
        <f>'01-3'!M54+'02-3'!M54+'03-3'!M54+'04-3'!M54+'05-3'!M54+'08-3'!M54+'09-3'!M54+'10-3'!M54+'11-3'!M54+'12-3'!M54+'13-3'!M54+'14-3'!M54+'15-3'!M54+'16-3'!M54+'17-3'!M54+'18-3'!M54+'19-3'!M54+'21-3'!M54+'22-3'!M54+'24-3'!M54+'25-3'!M54+'28-3'!M54+'29-3'!M54+'30-3'!M54+'32-3'!M54+'35-3'!M54+'37-3'!M54+'47-3'!M54+'62-3'!M54+'64-3'!M54+'74-3'!M54</f>
        <v>0</v>
      </c>
      <c r="N308" s="106">
        <f>'01-3'!N54+'02-3'!N54+'03-3'!N54+'04-3'!N54+'05-3'!N54+'08-3'!N54+'09-3'!N54+'10-3'!N54+'11-3'!N54+'12-3'!N54+'13-3'!N54+'14-3'!N54+'15-3'!N54+'16-3'!N54+'17-3'!N54+'18-3'!N54+'19-3'!N54+'21-3'!N54+'22-3'!N54+'24-3'!N54+'25-3'!N54+'28-3'!N54+'29-3'!N54+'30-3'!N54+'32-3'!N54+'35-3'!N54+'37-3'!N54+'47-3'!N54+'62-3'!N54+'64-3'!N54+'74-3'!N54</f>
        <v>0</v>
      </c>
      <c r="O308" s="106">
        <f>'01-3'!O54+'02-3'!O54+'03-3'!O54+'04-3'!O54+'05-3'!O54+'08-3'!O54+'09-3'!O54+'10-3'!O54+'11-3'!O54+'12-3'!O54+'13-3'!O54+'14-3'!O54+'15-3'!O54+'16-3'!O54+'17-3'!O54+'18-3'!O54+'19-3'!O54+'21-3'!O54+'22-3'!O54+'24-3'!O54+'25-3'!O54+'28-3'!O54+'29-3'!O54+'30-3'!O54+'32-3'!O54+'35-3'!O54+'37-3'!O54+'47-3'!O54+'62-3'!O54+'64-3'!O54+'74-3'!O54</f>
        <v>0</v>
      </c>
      <c r="P308" s="106">
        <f>'01-3'!P54+'02-3'!P54+'03-3'!P54+'04-3'!P54+'05-3'!P54+'08-3'!P54+'09-3'!P54+'10-3'!P54+'11-3'!P54+'12-3'!P54+'13-3'!P54+'14-3'!P54+'15-3'!P54+'16-3'!P54+'17-3'!P54+'18-3'!P54+'19-3'!P54+'21-3'!P54+'22-3'!P54+'24-3'!P54+'25-3'!P54+'28-3'!P54+'29-3'!P54+'30-3'!P54+'32-3'!P54+'35-3'!P54+'37-3'!P54+'47-3'!P54+'62-3'!P54+'64-3'!P54+'74-3'!P54</f>
        <v>0</v>
      </c>
      <c r="Q308" s="106">
        <f>'01-3'!Q54+'02-3'!Q54+'03-3'!Q54+'04-3'!Q54+'05-3'!Q54+'08-3'!Q54+'09-3'!Q54+'10-3'!Q54+'11-3'!Q54+'12-3'!Q54+'13-3'!Q54+'14-3'!Q54+'15-3'!Q54+'16-3'!Q54+'17-3'!Q54+'18-3'!Q54+'19-3'!Q54+'21-3'!Q54+'22-3'!Q54+'24-3'!Q54+'25-3'!Q54+'28-3'!Q54+'29-3'!Q54+'30-3'!Q54+'32-3'!Q54+'35-3'!Q54+'37-3'!Q54+'47-3'!Q54+'62-3'!Q54+'64-3'!Q54+'74-3'!Q54</f>
        <v>0</v>
      </c>
      <c r="R308" s="106">
        <f>'01-3'!R54+'02-3'!R54+'03-3'!R54+'04-3'!R54+'05-3'!R54+'08-3'!R54+'09-3'!R54+'10-3'!R54+'11-3'!R54+'12-3'!R54+'13-3'!R54+'14-3'!R54+'15-3'!R54+'16-3'!R54+'17-3'!R54+'18-3'!R54+'19-3'!R54+'21-3'!R54+'22-3'!R54+'24-3'!R54+'25-3'!R54+'28-3'!R54+'29-3'!R54+'30-3'!R54+'32-3'!R54+'35-3'!R54+'37-3'!R54+'47-3'!R54+'62-3'!R54+'64-3'!R54+'74-3'!R54</f>
        <v>0</v>
      </c>
      <c r="S308" s="954"/>
      <c r="T308" s="954"/>
      <c r="U308" s="954"/>
      <c r="V308" s="954"/>
      <c r="W308" s="954"/>
    </row>
    <row r="309" spans="1:23" s="6" customFormat="1" ht="24">
      <c r="A309" s="132">
        <v>7300</v>
      </c>
      <c r="B309" s="108" t="s">
        <v>155</v>
      </c>
      <c r="C309" s="106">
        <f>'01-3'!C55+'02-3'!C55+'03-3'!C55+'04-3'!C55+'05-3'!C55+'08-3'!C55+'09-3'!C55+'10-3'!C55+'11-3'!C55+'12-3'!C55+'13-3'!C55+'14-3'!C55+'15-3'!C55+'16-3'!C55+'17-3'!C55+'18-3'!C55+'19-3'!C55+'21-3'!C55+'22-3'!C55+'24-3'!C55+'25-3'!C55+'28-3'!C55+'29-3'!C55+'30-3'!C55+'32-3'!C55+'35-3'!C55+'37-3'!C55+'47-3'!C55+'62-3'!C55+'64-3'!C55+'74-3'!C55</f>
        <v>415302774</v>
      </c>
      <c r="D309" s="106">
        <f>'01-3'!D55+'02-3'!D55+'03-3'!D55+'04-3'!D55+'05-3'!D55+'08-3'!D55+'09-3'!D55+'10-3'!D55+'11-3'!D55+'12-3'!D55+'13-3'!D55+'14-3'!D55+'15-3'!D55+'16-3'!D55+'17-3'!D55+'18-3'!D55+'19-3'!D55+'21-3'!D55+'22-3'!D55+'24-3'!D55+'25-3'!D55+'28-3'!D55+'29-3'!D55+'30-3'!D55+'32-3'!D55+'35-3'!D55+'37-3'!D55+'47-3'!D55+'62-3'!D55+'64-3'!D55+'74-3'!D55</f>
        <v>388816723</v>
      </c>
      <c r="E309" s="106">
        <f>'01-3'!E55+'02-3'!E55+'03-3'!E55+'04-3'!E55+'05-3'!E55+'08-3'!E55+'09-3'!E55+'10-3'!E55+'11-3'!E55+'12-3'!E55+'13-3'!E55+'14-3'!E55+'15-3'!E55+'16-3'!E55+'17-3'!E55+'18-3'!E55+'19-3'!E55+'21-3'!E55+'22-3'!E55+'24-3'!E55+'25-3'!E55+'28-3'!E55+'29-3'!E55+'30-3'!E55+'32-3'!E55+'35-3'!E55+'37-3'!E55+'47-3'!E55+'62-3'!E55+'64-3'!E55+'74-3'!E55</f>
        <v>-44287</v>
      </c>
      <c r="F309" s="106">
        <f>'01-3'!F55+'02-3'!F55+'03-3'!F55+'04-3'!F55+'05-3'!F55+'08-3'!F55+'09-3'!F55+'10-3'!F55+'11-3'!F55+'12-3'!F55+'13-3'!F55+'14-3'!F55+'15-3'!F55+'16-3'!F55+'17-3'!F55+'18-3'!F55+'19-3'!F55+'21-3'!F55+'22-3'!F55+'24-3'!F55+'25-3'!F55+'28-3'!F55+'29-3'!F55+'30-3'!F55+'32-3'!F55+'35-3'!F55+'37-3'!F55+'47-3'!F55+'62-3'!F55+'64-3'!F55+'74-3'!F55</f>
        <v>4299793</v>
      </c>
      <c r="G309" s="106">
        <f>'01-3'!G55+'02-3'!G55+'03-3'!G55+'04-3'!G55+'05-3'!G55+'08-3'!G55+'09-3'!G55+'10-3'!G55+'11-3'!G55+'12-3'!G55+'13-3'!G55+'14-3'!G55+'15-3'!G55+'16-3'!G55+'17-3'!G55+'18-3'!G55+'19-3'!G55+'21-3'!G55+'22-3'!G55+'24-3'!G55+'25-3'!G55+'28-3'!G55+'29-3'!G55+'30-3'!G55+'32-3'!G55+'35-3'!G55+'37-3'!G55+'47-3'!G55+'62-3'!G55+'64-3'!G55+'74-3'!G55</f>
        <v>13637638</v>
      </c>
      <c r="H309" s="106">
        <f>'01-3'!H55+'02-3'!H55+'03-3'!H55+'04-3'!H55+'05-3'!H55+'08-3'!H55+'09-3'!H55+'10-3'!H55+'11-3'!H55+'12-3'!H55+'13-3'!H55+'14-3'!H55+'15-3'!H55+'16-3'!H55+'17-3'!H55+'18-3'!H55+'19-3'!H55+'21-3'!H55+'22-3'!H55+'24-3'!H55+'25-3'!H55+'28-3'!H55+'29-3'!H55+'30-3'!H55+'32-3'!H55+'35-3'!H55+'37-3'!H55+'47-3'!H55+'62-3'!H55+'64-3'!H55+'74-3'!H55</f>
        <v>406709867</v>
      </c>
      <c r="I309" s="106">
        <f>'01-3'!I55+'02-3'!I55+'03-3'!I55+'04-3'!I55+'05-3'!I55+'08-3'!I55+'09-3'!I55+'10-3'!I55+'11-3'!I55+'12-3'!I55+'13-3'!I55+'14-3'!I55+'15-3'!I55+'16-3'!I55+'17-3'!I55+'18-3'!I55+'19-3'!I55+'21-3'!I55+'22-3'!I55+'24-3'!I55+'25-3'!I55+'28-3'!I55+'29-3'!I55+'30-3'!I55+'32-3'!I55+'35-3'!I55+'37-3'!I55+'47-3'!I55+'62-3'!I55+'64-3'!I55+'74-3'!I55</f>
        <v>344318716</v>
      </c>
      <c r="J309" s="106">
        <f>'01-3'!J55+'02-3'!J55+'03-3'!J55+'04-3'!J55+'05-3'!J55+'08-3'!J55+'09-3'!J55+'10-3'!J55+'11-3'!J55+'12-3'!J55+'13-3'!J55+'14-3'!J55+'15-3'!J55+'16-3'!J55+'17-3'!J55+'18-3'!J55+'19-3'!J55+'21-3'!J55+'22-3'!J55+'24-3'!J55+'25-3'!J55+'28-3'!J55+'29-3'!J55+'30-3'!J55+'32-3'!J55+'35-3'!J55+'37-3'!J55+'47-3'!J55+'62-3'!J55+'64-3'!J55+'74-3'!J55</f>
        <v>1210406</v>
      </c>
      <c r="K309" s="106">
        <f>'01-3'!K55+'02-3'!K55+'03-3'!K55+'04-3'!K55+'05-3'!K55+'08-3'!K55+'09-3'!K55+'10-3'!K55+'11-3'!K55+'12-3'!K55+'13-3'!K55+'14-3'!K55+'15-3'!K55+'16-3'!K55+'17-3'!K55+'18-3'!K55+'19-3'!K55+'21-3'!K55+'22-3'!K55+'24-3'!K55+'25-3'!K55+'28-3'!K55+'29-3'!K55+'30-3'!K55+'32-3'!K55+'35-3'!K55+'37-3'!K55+'47-3'!K55+'62-3'!K55+'64-3'!K55+'74-3'!K55</f>
        <v>4337122</v>
      </c>
      <c r="L309" s="106">
        <f>'01-3'!L55+'02-3'!L55+'03-3'!L55+'04-3'!L55+'05-3'!L55+'08-3'!L55+'09-3'!L55+'10-3'!L55+'11-3'!L55+'12-3'!L55+'13-3'!L55+'14-3'!L55+'15-3'!L55+'16-3'!L55+'17-3'!L55+'18-3'!L55+'19-3'!L55+'21-3'!L55+'22-3'!L55+'24-3'!L55+'25-3'!L55+'28-3'!L55+'29-3'!L55+'30-3'!L55+'32-3'!L55+'35-3'!L55+'37-3'!L55+'47-3'!L55+'62-3'!L55+'64-3'!L55+'74-3'!L55</f>
        <v>19580305</v>
      </c>
      <c r="M309" s="106">
        <f>'01-3'!M55+'02-3'!M55+'03-3'!M55+'04-3'!M55+'05-3'!M55+'08-3'!M55+'09-3'!M55+'10-3'!M55+'11-3'!M55+'12-3'!M55+'13-3'!M55+'14-3'!M55+'15-3'!M55+'16-3'!M55+'17-3'!M55+'18-3'!M55+'19-3'!M55+'21-3'!M55+'22-3'!M55+'24-3'!M55+'25-3'!M55+'28-3'!M55+'29-3'!M55+'30-3'!M55+'32-3'!M55+'35-3'!M55+'37-3'!M55+'47-3'!M55+'62-3'!M55+'64-3'!M55+'74-3'!M55</f>
        <v>369446549</v>
      </c>
      <c r="N309" s="106">
        <f>'01-3'!N55+'02-3'!N55+'03-3'!N55+'04-3'!N55+'05-3'!N55+'08-3'!N55+'09-3'!N55+'10-3'!N55+'11-3'!N55+'12-3'!N55+'13-3'!N55+'14-3'!N55+'15-3'!N55+'16-3'!N55+'17-3'!N55+'18-3'!N55+'19-3'!N55+'21-3'!N55+'22-3'!N55+'24-3'!N55+'25-3'!N55+'28-3'!N55+'29-3'!N55+'30-3'!N55+'32-3'!N55+'35-3'!N55+'37-3'!N55+'47-3'!N55+'62-3'!N55+'64-3'!N55+'74-3'!N55</f>
        <v>323113112</v>
      </c>
      <c r="O309" s="106">
        <f>'01-3'!O55+'02-3'!O55+'03-3'!O55+'04-3'!O55+'05-3'!O55+'08-3'!O55+'09-3'!O55+'10-3'!O55+'11-3'!O55+'12-3'!O55+'13-3'!O55+'14-3'!O55+'15-3'!O55+'16-3'!O55+'17-3'!O55+'18-3'!O55+'19-3'!O55+'21-3'!O55+'22-3'!O55+'24-3'!O55+'25-3'!O55+'28-3'!O55+'29-3'!O55+'30-3'!O55+'32-3'!O55+'35-3'!O55+'37-3'!O55+'47-3'!O55+'62-3'!O55+'64-3'!O55+'74-3'!O55</f>
        <v>86846</v>
      </c>
      <c r="P309" s="106">
        <f>'01-3'!P55+'02-3'!P55+'03-3'!P55+'04-3'!P55+'05-3'!P55+'08-3'!P55+'09-3'!P55+'10-3'!P55+'11-3'!P55+'12-3'!P55+'13-3'!P55+'14-3'!P55+'15-3'!P55+'16-3'!P55+'17-3'!P55+'18-3'!P55+'19-3'!P55+'21-3'!P55+'22-3'!P55+'24-3'!P55+'25-3'!P55+'28-3'!P55+'29-3'!P55+'30-3'!P55+'32-3'!P55+'35-3'!P55+'37-3'!P55+'47-3'!P55+'62-3'!P55+'64-3'!P55+'74-3'!P55</f>
        <v>5617307</v>
      </c>
      <c r="Q309" s="106">
        <f>'01-3'!Q55+'02-3'!Q55+'03-3'!Q55+'04-3'!Q55+'05-3'!Q55+'08-3'!Q55+'09-3'!Q55+'10-3'!Q55+'11-3'!Q55+'12-3'!Q55+'13-3'!Q55+'14-3'!Q55+'15-3'!Q55+'16-3'!Q55+'17-3'!Q55+'18-3'!Q55+'19-3'!Q55+'21-3'!Q55+'22-3'!Q55+'24-3'!Q55+'25-3'!Q55+'28-3'!Q55+'29-3'!Q55+'30-3'!Q55+'32-3'!Q55+'35-3'!Q55+'37-3'!Q55+'47-3'!Q55+'62-3'!Q55+'64-3'!Q55+'74-3'!Q55</f>
        <v>19530507</v>
      </c>
      <c r="R309" s="106">
        <f>'01-3'!R55+'02-3'!R55+'03-3'!R55+'04-3'!R55+'05-3'!R55+'08-3'!R55+'09-3'!R55+'10-3'!R55+'11-3'!R55+'12-3'!R55+'13-3'!R55+'14-3'!R55+'15-3'!R55+'16-3'!R55+'17-3'!R55+'18-3'!R55+'19-3'!R55+'21-3'!R55+'22-3'!R55+'24-3'!R55+'25-3'!R55+'28-3'!R55+'29-3'!R55+'30-3'!R55+'32-3'!R55+'35-3'!R55+'37-3'!R55+'47-3'!R55+'62-3'!R55+'64-3'!R55+'74-3'!R55</f>
        <v>348347772</v>
      </c>
      <c r="S309" s="954"/>
      <c r="T309" s="954"/>
      <c r="U309" s="954"/>
      <c r="V309" s="954"/>
      <c r="W309" s="954"/>
    </row>
    <row r="310" spans="1:23" s="6" customFormat="1" ht="24">
      <c r="A310" s="133" t="s">
        <v>188</v>
      </c>
      <c r="B310" s="112" t="s">
        <v>170</v>
      </c>
      <c r="C310" s="106">
        <f>'01-3'!C56+'02-3'!C56+'03-3'!C56+'04-3'!C56+'05-3'!C56+'08-3'!C56+'09-3'!C56+'10-3'!C56+'11-3'!C56+'12-3'!C56+'13-3'!C56+'14-3'!C56+'15-3'!C56+'16-3'!C56+'17-3'!C56+'18-3'!C56+'19-3'!C56+'21-3'!C56+'22-3'!C56+'24-3'!C56+'25-3'!C56+'28-3'!C56+'29-3'!C56+'30-3'!C56+'32-3'!C56+'35-3'!C56+'37-3'!C56+'47-3'!C56+'62-3'!C56+'64-3'!C56+'74-3'!C56</f>
        <v>272762561</v>
      </c>
      <c r="D310" s="106">
        <f>'01-3'!D56+'02-3'!D56+'03-3'!D56+'04-3'!D56+'05-3'!D56+'08-3'!D56+'09-3'!D56+'10-3'!D56+'11-3'!D56+'12-3'!D56+'13-3'!D56+'14-3'!D56+'15-3'!D56+'16-3'!D56+'17-3'!D56+'18-3'!D56+'19-3'!D56+'21-3'!D56+'22-3'!D56+'24-3'!D56+'25-3'!D56+'28-3'!D56+'29-3'!D56+'30-3'!D56+'32-3'!D56+'35-3'!D56+'37-3'!D56+'47-3'!D56+'62-3'!D56+'64-3'!D56+'74-3'!D56</f>
        <v>261174978</v>
      </c>
      <c r="E310" s="106">
        <f>'01-3'!E56+'02-3'!E56+'03-3'!E56+'04-3'!E56+'05-3'!E56+'08-3'!E56+'09-3'!E56+'10-3'!E56+'11-3'!E56+'12-3'!E56+'13-3'!E56+'14-3'!E56+'15-3'!E56+'16-3'!E56+'17-3'!E56+'18-3'!E56+'19-3'!E56+'21-3'!E56+'22-3'!E56+'24-3'!E56+'25-3'!E56+'28-3'!E56+'29-3'!E56+'30-3'!E56+'32-3'!E56+'35-3'!E56+'37-3'!E56+'47-3'!E56+'62-3'!E56+'64-3'!E56+'74-3'!E56</f>
        <v>-3716212</v>
      </c>
      <c r="F310" s="106">
        <f>'01-3'!F56+'02-3'!F56+'03-3'!F56+'04-3'!F56+'05-3'!F56+'08-3'!F56+'09-3'!F56+'10-3'!F56+'11-3'!F56+'12-3'!F56+'13-3'!F56+'14-3'!F56+'15-3'!F56+'16-3'!F56+'17-3'!F56+'18-3'!F56+'19-3'!F56+'21-3'!F56+'22-3'!F56+'24-3'!F56+'25-3'!F56+'28-3'!F56+'29-3'!F56+'30-3'!F56+'32-3'!F56+'35-3'!F56+'37-3'!F56+'47-3'!F56+'62-3'!F56+'64-3'!F56+'74-3'!F56</f>
        <v>4299793</v>
      </c>
      <c r="G310" s="106">
        <f>'01-3'!G56+'02-3'!G56+'03-3'!G56+'04-3'!G56+'05-3'!G56+'08-3'!G56+'09-3'!G56+'10-3'!G56+'11-3'!G56+'12-3'!G56+'13-3'!G56+'14-3'!G56+'15-3'!G56+'16-3'!G56+'17-3'!G56+'18-3'!G56+'19-3'!G56+'21-3'!G56+'22-3'!G56+'24-3'!G56+'25-3'!G56+'28-3'!G56+'29-3'!G56+'30-3'!G56+'32-3'!G56+'35-3'!G56+'37-3'!G56+'47-3'!G56+'62-3'!G56+'64-3'!G56+'74-3'!G56</f>
        <v>13504340</v>
      </c>
      <c r="H310" s="106">
        <f>'01-3'!H56+'02-3'!H56+'03-3'!H56+'04-3'!H56+'05-3'!H56+'08-3'!H56+'09-3'!H56+'10-3'!H56+'11-3'!H56+'12-3'!H56+'13-3'!H56+'14-3'!H56+'15-3'!H56+'16-3'!H56+'17-3'!H56+'18-3'!H56+'19-3'!H56+'21-3'!H56+'22-3'!H56+'24-3'!H56+'25-3'!H56+'28-3'!H56+'29-3'!H56+'30-3'!H56+'32-3'!H56+'35-3'!H56+'37-3'!H56+'47-3'!H56+'62-3'!H56+'64-3'!H56+'74-3'!H56</f>
        <v>275262899</v>
      </c>
      <c r="I310" s="106">
        <f>'01-3'!I56+'02-3'!I56+'03-3'!I56+'04-3'!I56+'05-3'!I56+'08-3'!I56+'09-3'!I56+'10-3'!I56+'11-3'!I56+'12-3'!I56+'13-3'!I56+'14-3'!I56+'15-3'!I56+'16-3'!I56+'17-3'!I56+'18-3'!I56+'19-3'!I56+'21-3'!I56+'22-3'!I56+'24-3'!I56+'25-3'!I56+'28-3'!I56+'29-3'!I56+'30-3'!I56+'32-3'!I56+'35-3'!I56+'37-3'!I56+'47-3'!I56+'62-3'!I56+'64-3'!I56+'74-3'!I56</f>
        <v>252441429</v>
      </c>
      <c r="J310" s="106">
        <f>'01-3'!J56+'02-3'!J56+'03-3'!J56+'04-3'!J56+'05-3'!J56+'08-3'!J56+'09-3'!J56+'10-3'!J56+'11-3'!J56+'12-3'!J56+'13-3'!J56+'14-3'!J56+'15-3'!J56+'16-3'!J56+'17-3'!J56+'18-3'!J56+'19-3'!J56+'21-3'!J56+'22-3'!J56+'24-3'!J56+'25-3'!J56+'28-3'!J56+'29-3'!J56+'30-3'!J56+'32-3'!J56+'35-3'!J56+'37-3'!J56+'47-3'!J56+'62-3'!J56+'64-3'!J56+'74-3'!J56</f>
        <v>0</v>
      </c>
      <c r="K310" s="106">
        <f>'01-3'!K56+'02-3'!K56+'03-3'!K56+'04-3'!K56+'05-3'!K56+'08-3'!K56+'09-3'!K56+'10-3'!K56+'11-3'!K56+'12-3'!K56+'13-3'!K56+'14-3'!K56+'15-3'!K56+'16-3'!K56+'17-3'!K56+'18-3'!K56+'19-3'!K56+'21-3'!K56+'22-3'!K56+'24-3'!K56+'25-3'!K56+'28-3'!K56+'29-3'!K56+'30-3'!K56+'32-3'!K56+'35-3'!K56+'37-3'!K56+'47-3'!K56+'62-3'!K56+'64-3'!K56+'74-3'!K56</f>
        <v>4337122</v>
      </c>
      <c r="L310" s="106">
        <f>'01-3'!L56+'02-3'!L56+'03-3'!L56+'04-3'!L56+'05-3'!L56+'08-3'!L56+'09-3'!L56+'10-3'!L56+'11-3'!L56+'12-3'!L56+'13-3'!L56+'14-3'!L56+'15-3'!L56+'16-3'!L56+'17-3'!L56+'18-3'!L56+'19-3'!L56+'21-3'!L56+'22-3'!L56+'24-3'!L56+'25-3'!L56+'28-3'!L56+'29-3'!L56+'30-3'!L56+'32-3'!L56+'35-3'!L56+'37-3'!L56+'47-3'!L56+'62-3'!L56+'64-3'!L56+'74-3'!L56</f>
        <v>19340558</v>
      </c>
      <c r="M310" s="106">
        <f>'01-3'!M56+'02-3'!M56+'03-3'!M56+'04-3'!M56+'05-3'!M56+'08-3'!M56+'09-3'!M56+'10-3'!M56+'11-3'!M56+'12-3'!M56+'13-3'!M56+'14-3'!M56+'15-3'!M56+'16-3'!M56+'17-3'!M56+'18-3'!M56+'19-3'!M56+'21-3'!M56+'22-3'!M56+'24-3'!M56+'25-3'!M56+'28-3'!M56+'29-3'!M56+'30-3'!M56+'32-3'!M56+'35-3'!M56+'37-3'!M56+'47-3'!M56+'62-3'!M56+'64-3'!M56+'74-3'!M56</f>
        <v>276119109</v>
      </c>
      <c r="N310" s="106">
        <f>'01-3'!N56+'02-3'!N56+'03-3'!N56+'04-3'!N56+'05-3'!N56+'08-3'!N56+'09-3'!N56+'10-3'!N56+'11-3'!N56+'12-3'!N56+'13-3'!N56+'14-3'!N56+'15-3'!N56+'16-3'!N56+'17-3'!N56+'18-3'!N56+'19-3'!N56+'21-3'!N56+'22-3'!N56+'24-3'!N56+'25-3'!N56+'28-3'!N56+'29-3'!N56+'30-3'!N56+'32-3'!N56+'35-3'!N56+'37-3'!N56+'47-3'!N56+'62-3'!N56+'64-3'!N56+'74-3'!N56</f>
        <v>242865380</v>
      </c>
      <c r="O310" s="106">
        <f>'01-3'!O56+'02-3'!O56+'03-3'!O56+'04-3'!O56+'05-3'!O56+'08-3'!O56+'09-3'!O56+'10-3'!O56+'11-3'!O56+'12-3'!O56+'13-3'!O56+'14-3'!O56+'15-3'!O56+'16-3'!O56+'17-3'!O56+'18-3'!O56+'19-3'!O56+'21-3'!O56+'22-3'!O56+'24-3'!O56+'25-3'!O56+'28-3'!O56+'29-3'!O56+'30-3'!O56+'32-3'!O56+'35-3'!O56+'37-3'!O56+'47-3'!O56+'62-3'!O56+'64-3'!O56+'74-3'!O56</f>
        <v>0</v>
      </c>
      <c r="P310" s="106">
        <f>'01-3'!P56+'02-3'!P56+'03-3'!P56+'04-3'!P56+'05-3'!P56+'08-3'!P56+'09-3'!P56+'10-3'!P56+'11-3'!P56+'12-3'!P56+'13-3'!P56+'14-3'!P56+'15-3'!P56+'16-3'!P56+'17-3'!P56+'18-3'!P56+'19-3'!P56+'21-3'!P56+'22-3'!P56+'24-3'!P56+'25-3'!P56+'28-3'!P56+'29-3'!P56+'30-3'!P56+'32-3'!P56+'35-3'!P56+'37-3'!P56+'47-3'!P56+'62-3'!P56+'64-3'!P56+'74-3'!P56</f>
        <v>5617307</v>
      </c>
      <c r="Q310" s="106">
        <f>'01-3'!Q56+'02-3'!Q56+'03-3'!Q56+'04-3'!Q56+'05-3'!Q56+'08-3'!Q56+'09-3'!Q56+'10-3'!Q56+'11-3'!Q56+'12-3'!Q56+'13-3'!Q56+'14-3'!Q56+'15-3'!Q56+'16-3'!Q56+'17-3'!Q56+'18-3'!Q56+'19-3'!Q56+'21-3'!Q56+'22-3'!Q56+'24-3'!Q56+'25-3'!Q56+'28-3'!Q56+'29-3'!Q56+'30-3'!Q56+'32-3'!Q56+'35-3'!Q56+'37-3'!Q56+'47-3'!Q56+'62-3'!Q56+'64-3'!Q56+'74-3'!Q56</f>
        <v>19417903</v>
      </c>
      <c r="R310" s="106">
        <f>'01-3'!R56+'02-3'!R56+'03-3'!R56+'04-3'!R56+'05-3'!R56+'08-3'!R56+'09-3'!R56+'10-3'!R56+'11-3'!R56+'12-3'!R56+'13-3'!R56+'14-3'!R56+'15-3'!R56+'16-3'!R56+'17-3'!R56+'18-3'!R56+'19-3'!R56+'21-3'!R56+'22-3'!R56+'24-3'!R56+'25-3'!R56+'28-3'!R56+'29-3'!R56+'30-3'!R56+'32-3'!R56+'35-3'!R56+'37-3'!R56+'47-3'!R56+'62-3'!R56+'64-3'!R56+'74-3'!R56</f>
        <v>267900590</v>
      </c>
      <c r="S310" s="954"/>
      <c r="T310" s="954"/>
      <c r="U310" s="954"/>
      <c r="V310" s="954"/>
      <c r="W310" s="954"/>
    </row>
    <row r="311" spans="1:23" s="29" customFormat="1" ht="48">
      <c r="A311" s="133" t="s">
        <v>189</v>
      </c>
      <c r="B311" s="112" t="s">
        <v>156</v>
      </c>
      <c r="C311" s="106">
        <f>'01-3'!C57+'02-3'!C57+'03-3'!C57+'04-3'!C57+'05-3'!C57+'08-3'!C57+'09-3'!C57+'10-3'!C57+'11-3'!C57+'12-3'!C57+'13-3'!C57+'14-3'!C57+'15-3'!C57+'16-3'!C57+'17-3'!C57+'18-3'!C57+'19-3'!C57+'21-3'!C57+'22-3'!C57+'24-3'!C57+'25-3'!C57+'28-3'!C57+'29-3'!C57+'30-3'!C57+'32-3'!C57+'35-3'!C57+'37-3'!C57+'47-3'!C57+'62-3'!C57+'64-3'!C57+'74-3'!C57</f>
        <v>20092545</v>
      </c>
      <c r="D311" s="106">
        <f>'01-3'!D57+'02-3'!D57+'03-3'!D57+'04-3'!D57+'05-3'!D57+'08-3'!D57+'09-3'!D57+'10-3'!D57+'11-3'!D57+'12-3'!D57+'13-3'!D57+'14-3'!D57+'15-3'!D57+'16-3'!D57+'17-3'!D57+'18-3'!D57+'19-3'!D57+'21-3'!D57+'22-3'!D57+'24-3'!D57+'25-3'!D57+'28-3'!D57+'29-3'!D57+'30-3'!D57+'32-3'!D57+'35-3'!D57+'37-3'!D57+'47-3'!D57+'62-3'!D57+'64-3'!D57+'74-3'!D57</f>
        <v>16199021</v>
      </c>
      <c r="E311" s="106">
        <f>'01-3'!E57+'02-3'!E57+'03-3'!E57+'04-3'!E57+'05-3'!E57+'08-3'!E57+'09-3'!E57+'10-3'!E57+'11-3'!E57+'12-3'!E57+'13-3'!E57+'14-3'!E57+'15-3'!E57+'16-3'!E57+'17-3'!E57+'18-3'!E57+'19-3'!E57+'21-3'!E57+'22-3'!E57+'24-3'!E57+'25-3'!E57+'28-3'!E57+'29-3'!E57+'30-3'!E57+'32-3'!E57+'35-3'!E57+'37-3'!E57+'47-3'!E57+'62-3'!E57+'64-3'!E57+'74-3'!E57</f>
        <v>6304778</v>
      </c>
      <c r="F311" s="106">
        <f>'01-3'!F57+'02-3'!F57+'03-3'!F57+'04-3'!F57+'05-3'!F57+'08-3'!F57+'09-3'!F57+'10-3'!F57+'11-3'!F57+'12-3'!F57+'13-3'!F57+'14-3'!F57+'15-3'!F57+'16-3'!F57+'17-3'!F57+'18-3'!F57+'19-3'!F57+'21-3'!F57+'22-3'!F57+'24-3'!F57+'25-3'!F57+'28-3'!F57+'29-3'!F57+'30-3'!F57+'32-3'!F57+'35-3'!F57+'37-3'!F57+'47-3'!F57+'62-3'!F57+'64-3'!F57+'74-3'!F57</f>
        <v>0</v>
      </c>
      <c r="G311" s="106">
        <f>'01-3'!G57+'02-3'!G57+'03-3'!G57+'04-3'!G57+'05-3'!G57+'08-3'!G57+'09-3'!G57+'10-3'!G57+'11-3'!G57+'12-3'!G57+'13-3'!G57+'14-3'!G57+'15-3'!G57+'16-3'!G57+'17-3'!G57+'18-3'!G57+'19-3'!G57+'21-3'!G57+'22-3'!G57+'24-3'!G57+'25-3'!G57+'28-3'!G57+'29-3'!G57+'30-3'!G57+'32-3'!G57+'35-3'!G57+'37-3'!G57+'47-3'!G57+'62-3'!G57+'64-3'!G57+'74-3'!G57</f>
        <v>0</v>
      </c>
      <c r="H311" s="106">
        <f>'01-3'!H57+'02-3'!H57+'03-3'!H57+'04-3'!H57+'05-3'!H57+'08-3'!H57+'09-3'!H57+'10-3'!H57+'11-3'!H57+'12-3'!H57+'13-3'!H57+'14-3'!H57+'15-3'!H57+'16-3'!H57+'17-3'!H57+'18-3'!H57+'19-3'!H57+'21-3'!H57+'22-3'!H57+'24-3'!H57+'25-3'!H57+'28-3'!H57+'29-3'!H57+'30-3'!H57+'32-3'!H57+'35-3'!H57+'37-3'!H57+'47-3'!H57+'62-3'!H57+'64-3'!H57+'74-3'!H57</f>
        <v>22503799</v>
      </c>
      <c r="I311" s="106">
        <f>'01-3'!I57+'02-3'!I57+'03-3'!I57+'04-3'!I57+'05-3'!I57+'08-3'!I57+'09-3'!I57+'10-3'!I57+'11-3'!I57+'12-3'!I57+'13-3'!I57+'14-3'!I57+'15-3'!I57+'16-3'!I57+'17-3'!I57+'18-3'!I57+'19-3'!I57+'21-3'!I57+'22-3'!I57+'24-3'!I57+'25-3'!I57+'28-3'!I57+'29-3'!I57+'30-3'!I57+'32-3'!I57+'35-3'!I57+'37-3'!I57+'47-3'!I57+'62-3'!I57+'64-3'!I57+'74-3'!I57</f>
        <v>4499690</v>
      </c>
      <c r="J311" s="106">
        <f>'01-3'!J57+'02-3'!J57+'03-3'!J57+'04-3'!J57+'05-3'!J57+'08-3'!J57+'09-3'!J57+'10-3'!J57+'11-3'!J57+'12-3'!J57+'13-3'!J57+'14-3'!J57+'15-3'!J57+'16-3'!J57+'17-3'!J57+'18-3'!J57+'19-3'!J57+'21-3'!J57+'22-3'!J57+'24-3'!J57+'25-3'!J57+'28-3'!J57+'29-3'!J57+'30-3'!J57+'32-3'!J57+'35-3'!J57+'37-3'!J57+'47-3'!J57+'62-3'!J57+'64-3'!J57+'74-3'!J57</f>
        <v>1790439</v>
      </c>
      <c r="K311" s="106">
        <f>'01-3'!K57+'02-3'!K57+'03-3'!K57+'04-3'!K57+'05-3'!K57+'08-3'!K57+'09-3'!K57+'10-3'!K57+'11-3'!K57+'12-3'!K57+'13-3'!K57+'14-3'!K57+'15-3'!K57+'16-3'!K57+'17-3'!K57+'18-3'!K57+'19-3'!K57+'21-3'!K57+'22-3'!K57+'24-3'!K57+'25-3'!K57+'28-3'!K57+'29-3'!K57+'30-3'!K57+'32-3'!K57+'35-3'!K57+'37-3'!K57+'47-3'!K57+'62-3'!K57+'64-3'!K57+'74-3'!K57</f>
        <v>0</v>
      </c>
      <c r="L311" s="106">
        <f>'01-3'!L57+'02-3'!L57+'03-3'!L57+'04-3'!L57+'05-3'!L57+'08-3'!L57+'09-3'!L57+'10-3'!L57+'11-3'!L57+'12-3'!L57+'13-3'!L57+'14-3'!L57+'15-3'!L57+'16-3'!L57+'17-3'!L57+'18-3'!L57+'19-3'!L57+'21-3'!L57+'22-3'!L57+'24-3'!L57+'25-3'!L57+'28-3'!L57+'29-3'!L57+'30-3'!L57+'32-3'!L57+'35-3'!L57+'37-3'!L57+'47-3'!L57+'62-3'!L57+'64-3'!L57+'74-3'!L57</f>
        <v>0</v>
      </c>
      <c r="M311" s="106">
        <f>'01-3'!M57+'02-3'!M57+'03-3'!M57+'04-3'!M57+'05-3'!M57+'08-3'!M57+'09-3'!M57+'10-3'!M57+'11-3'!M57+'12-3'!M57+'13-3'!M57+'14-3'!M57+'15-3'!M57+'16-3'!M57+'17-3'!M57+'18-3'!M57+'19-3'!M57+'21-3'!M57+'22-3'!M57+'24-3'!M57+'25-3'!M57+'28-3'!M57+'29-3'!M57+'30-3'!M57+'32-3'!M57+'35-3'!M57+'37-3'!M57+'47-3'!M57+'62-3'!M57+'64-3'!M57+'74-3'!M57</f>
        <v>6290129</v>
      </c>
      <c r="N311" s="106">
        <f>'01-3'!N57+'02-3'!N57+'03-3'!N57+'04-3'!N57+'05-3'!N57+'08-3'!N57+'09-3'!N57+'10-3'!N57+'11-3'!N57+'12-3'!N57+'13-3'!N57+'14-3'!N57+'15-3'!N57+'16-3'!N57+'17-3'!N57+'18-3'!N57+'19-3'!N57+'21-3'!N57+'22-3'!N57+'24-3'!N57+'25-3'!N57+'28-3'!N57+'29-3'!N57+'30-3'!N57+'32-3'!N57+'35-3'!N57+'37-3'!N57+'47-3'!N57+'62-3'!N57+'64-3'!N57+'74-3'!N57</f>
        <v>1719025</v>
      </c>
      <c r="O311" s="106">
        <f>'01-3'!O57+'02-3'!O57+'03-3'!O57+'04-3'!O57+'05-3'!O57+'08-3'!O57+'09-3'!O57+'10-3'!O57+'11-3'!O57+'12-3'!O57+'13-3'!O57+'14-3'!O57+'15-3'!O57+'16-3'!O57+'17-3'!O57+'18-3'!O57+'19-3'!O57+'21-3'!O57+'22-3'!O57+'24-3'!O57+'25-3'!O57+'28-3'!O57+'29-3'!O57+'30-3'!O57+'32-3'!O57+'35-3'!O57+'37-3'!O57+'47-3'!O57+'62-3'!O57+'64-3'!O57+'74-3'!O57</f>
        <v>300000</v>
      </c>
      <c r="P311" s="106">
        <f>'01-3'!P57+'02-3'!P57+'03-3'!P57+'04-3'!P57+'05-3'!P57+'08-3'!P57+'09-3'!P57+'10-3'!P57+'11-3'!P57+'12-3'!P57+'13-3'!P57+'14-3'!P57+'15-3'!P57+'16-3'!P57+'17-3'!P57+'18-3'!P57+'19-3'!P57+'21-3'!P57+'22-3'!P57+'24-3'!P57+'25-3'!P57+'28-3'!P57+'29-3'!P57+'30-3'!P57+'32-3'!P57+'35-3'!P57+'37-3'!P57+'47-3'!P57+'62-3'!P57+'64-3'!P57+'74-3'!P57</f>
        <v>0</v>
      </c>
      <c r="Q311" s="106">
        <f>'01-3'!Q57+'02-3'!Q57+'03-3'!Q57+'04-3'!Q57+'05-3'!Q57+'08-3'!Q57+'09-3'!Q57+'10-3'!Q57+'11-3'!Q57+'12-3'!Q57+'13-3'!Q57+'14-3'!Q57+'15-3'!Q57+'16-3'!Q57+'17-3'!Q57+'18-3'!Q57+'19-3'!Q57+'21-3'!Q57+'22-3'!Q57+'24-3'!Q57+'25-3'!Q57+'28-3'!Q57+'29-3'!Q57+'30-3'!Q57+'32-3'!Q57+'35-3'!Q57+'37-3'!Q57+'47-3'!Q57+'62-3'!Q57+'64-3'!Q57+'74-3'!Q57</f>
        <v>0</v>
      </c>
      <c r="R311" s="106">
        <f>'01-3'!R57+'02-3'!R57+'03-3'!R57+'04-3'!R57+'05-3'!R57+'08-3'!R57+'09-3'!R57+'10-3'!R57+'11-3'!R57+'12-3'!R57+'13-3'!R57+'14-3'!R57+'15-3'!R57+'16-3'!R57+'17-3'!R57+'18-3'!R57+'19-3'!R57+'21-3'!R57+'22-3'!R57+'24-3'!R57+'25-3'!R57+'28-3'!R57+'29-3'!R57+'30-3'!R57+'32-3'!R57+'35-3'!R57+'37-3'!R57+'47-3'!R57+'62-3'!R57+'64-3'!R57+'74-3'!R57</f>
        <v>2019025</v>
      </c>
      <c r="S311" s="1324"/>
      <c r="T311" s="1324"/>
      <c r="U311" s="1324"/>
      <c r="V311" s="1324"/>
      <c r="W311" s="1324"/>
    </row>
    <row r="312" spans="1:23" s="89" customFormat="1" ht="36">
      <c r="A312" s="133">
        <v>7350</v>
      </c>
      <c r="B312" s="112" t="s">
        <v>163</v>
      </c>
      <c r="C312" s="106">
        <f>'01-3'!C58+'02-3'!C58+'03-3'!C58+'04-3'!C58+'05-3'!C58+'08-3'!C58+'09-3'!C58+'10-3'!C58+'11-3'!C58+'12-3'!C58+'13-3'!C58+'14-3'!C58+'15-3'!C58+'16-3'!C58+'17-3'!C58+'18-3'!C58+'19-3'!C58+'21-3'!C58+'22-3'!C58+'24-3'!C58+'25-3'!C58+'28-3'!C58+'29-3'!C58+'30-3'!C58+'32-3'!C58+'35-3'!C58+'37-3'!C58+'47-3'!C58+'62-3'!C58+'64-3'!C58+'74-3'!C58</f>
        <v>122447668</v>
      </c>
      <c r="D312" s="106">
        <f>'01-3'!D58+'02-3'!D58+'03-3'!D58+'04-3'!D58+'05-3'!D58+'08-3'!D58+'09-3'!D58+'10-3'!D58+'11-3'!D58+'12-3'!D58+'13-3'!D58+'14-3'!D58+'15-3'!D58+'16-3'!D58+'17-3'!D58+'18-3'!D58+'19-3'!D58+'21-3'!D58+'22-3'!D58+'24-3'!D58+'25-3'!D58+'28-3'!D58+'29-3'!D58+'30-3'!D58+'32-3'!D58+'35-3'!D58+'37-3'!D58+'47-3'!D58+'62-3'!D58+'64-3'!D58+'74-3'!D58</f>
        <v>111442724</v>
      </c>
      <c r="E312" s="106">
        <f>'01-3'!E58+'02-3'!E58+'03-3'!E58+'04-3'!E58+'05-3'!E58+'08-3'!E58+'09-3'!E58+'10-3'!E58+'11-3'!E58+'12-3'!E58+'13-3'!E58+'14-3'!E58+'15-3'!E58+'16-3'!E58+'17-3'!E58+'18-3'!E58+'19-3'!E58+'21-3'!E58+'22-3'!E58+'24-3'!E58+'25-3'!E58+'28-3'!E58+'29-3'!E58+'30-3'!E58+'32-3'!E58+'35-3'!E58+'37-3'!E58+'47-3'!E58+'62-3'!E58+'64-3'!E58+'74-3'!E58</f>
        <v>-2632853</v>
      </c>
      <c r="F312" s="106">
        <f>'01-3'!F58+'02-3'!F58+'03-3'!F58+'04-3'!F58+'05-3'!F58+'08-3'!F58+'09-3'!F58+'10-3'!F58+'11-3'!F58+'12-3'!F58+'13-3'!F58+'14-3'!F58+'15-3'!F58+'16-3'!F58+'17-3'!F58+'18-3'!F58+'19-3'!F58+'21-3'!F58+'22-3'!F58+'24-3'!F58+'25-3'!F58+'28-3'!F58+'29-3'!F58+'30-3'!F58+'32-3'!F58+'35-3'!F58+'37-3'!F58+'47-3'!F58+'62-3'!F58+'64-3'!F58+'74-3'!F58</f>
        <v>0</v>
      </c>
      <c r="G312" s="106">
        <f>'01-3'!G58+'02-3'!G58+'03-3'!G58+'04-3'!G58+'05-3'!G58+'08-3'!G58+'09-3'!G58+'10-3'!G58+'11-3'!G58+'12-3'!G58+'13-3'!G58+'14-3'!G58+'15-3'!G58+'16-3'!G58+'17-3'!G58+'18-3'!G58+'19-3'!G58+'21-3'!G58+'22-3'!G58+'24-3'!G58+'25-3'!G58+'28-3'!G58+'29-3'!G58+'30-3'!G58+'32-3'!G58+'35-3'!G58+'37-3'!G58+'47-3'!G58+'62-3'!G58+'64-3'!G58+'74-3'!G58</f>
        <v>133298</v>
      </c>
      <c r="H312" s="106">
        <f>'01-3'!H58+'02-3'!H58+'03-3'!H58+'04-3'!H58+'05-3'!H58+'08-3'!H58+'09-3'!H58+'10-3'!H58+'11-3'!H58+'12-3'!H58+'13-3'!H58+'14-3'!H58+'15-3'!H58+'16-3'!H58+'17-3'!H58+'18-3'!H58+'19-3'!H58+'21-3'!H58+'22-3'!H58+'24-3'!H58+'25-3'!H58+'28-3'!H58+'29-3'!H58+'30-3'!H58+'32-3'!H58+'35-3'!H58+'37-3'!H58+'47-3'!H58+'62-3'!H58+'64-3'!H58+'74-3'!H58</f>
        <v>108943169</v>
      </c>
      <c r="I312" s="106">
        <f>'01-3'!I58+'02-3'!I58+'03-3'!I58+'04-3'!I58+'05-3'!I58+'08-3'!I58+'09-3'!I58+'10-3'!I58+'11-3'!I58+'12-3'!I58+'13-3'!I58+'14-3'!I58+'15-3'!I58+'16-3'!I58+'17-3'!I58+'18-3'!I58+'19-3'!I58+'21-3'!I58+'22-3'!I58+'24-3'!I58+'25-3'!I58+'28-3'!I58+'29-3'!I58+'30-3'!I58+'32-3'!I58+'35-3'!I58+'37-3'!I58+'47-3'!I58+'62-3'!I58+'64-3'!I58+'74-3'!I58</f>
        <v>87377597</v>
      </c>
      <c r="J312" s="106">
        <f>'01-3'!J58+'02-3'!J58+'03-3'!J58+'04-3'!J58+'05-3'!J58+'08-3'!J58+'09-3'!J58+'10-3'!J58+'11-3'!J58+'12-3'!J58+'13-3'!J58+'14-3'!J58+'15-3'!J58+'16-3'!J58+'17-3'!J58+'18-3'!J58+'19-3'!J58+'21-3'!J58+'22-3'!J58+'24-3'!J58+'25-3'!J58+'28-3'!J58+'29-3'!J58+'30-3'!J58+'32-3'!J58+'35-3'!J58+'37-3'!J58+'47-3'!J58+'62-3'!J58+'64-3'!J58+'74-3'!J58</f>
        <v>-580033</v>
      </c>
      <c r="K312" s="106">
        <f>'01-3'!K58+'02-3'!K58+'03-3'!K58+'04-3'!K58+'05-3'!K58+'08-3'!K58+'09-3'!K58+'10-3'!K58+'11-3'!K58+'12-3'!K58+'13-3'!K58+'14-3'!K58+'15-3'!K58+'16-3'!K58+'17-3'!K58+'18-3'!K58+'19-3'!K58+'21-3'!K58+'22-3'!K58+'24-3'!K58+'25-3'!K58+'28-3'!K58+'29-3'!K58+'30-3'!K58+'32-3'!K58+'35-3'!K58+'37-3'!K58+'47-3'!K58+'62-3'!K58+'64-3'!K58+'74-3'!K58</f>
        <v>0</v>
      </c>
      <c r="L312" s="106">
        <f>'01-3'!L58+'02-3'!L58+'03-3'!L58+'04-3'!L58+'05-3'!L58+'08-3'!L58+'09-3'!L58+'10-3'!L58+'11-3'!L58+'12-3'!L58+'13-3'!L58+'14-3'!L58+'15-3'!L58+'16-3'!L58+'17-3'!L58+'18-3'!L58+'19-3'!L58+'21-3'!L58+'22-3'!L58+'24-3'!L58+'25-3'!L58+'28-3'!L58+'29-3'!L58+'30-3'!L58+'32-3'!L58+'35-3'!L58+'37-3'!L58+'47-3'!L58+'62-3'!L58+'64-3'!L58+'74-3'!L58</f>
        <v>239747</v>
      </c>
      <c r="M312" s="106">
        <f>'01-3'!M58+'02-3'!M58+'03-3'!M58+'04-3'!M58+'05-3'!M58+'08-3'!M58+'09-3'!M58+'10-3'!M58+'11-3'!M58+'12-3'!M58+'13-3'!M58+'14-3'!M58+'15-3'!M58+'16-3'!M58+'17-3'!M58+'18-3'!M58+'19-3'!M58+'21-3'!M58+'22-3'!M58+'24-3'!M58+'25-3'!M58+'28-3'!M58+'29-3'!M58+'30-3'!M58+'32-3'!M58+'35-3'!M58+'37-3'!M58+'47-3'!M58+'62-3'!M58+'64-3'!M58+'74-3'!M58</f>
        <v>87037311</v>
      </c>
      <c r="N312" s="106">
        <f>'01-3'!N58+'02-3'!N58+'03-3'!N58+'04-3'!N58+'05-3'!N58+'08-3'!N58+'09-3'!N58+'10-3'!N58+'11-3'!N58+'12-3'!N58+'13-3'!N58+'14-3'!N58+'15-3'!N58+'16-3'!N58+'17-3'!N58+'18-3'!N58+'19-3'!N58+'21-3'!N58+'22-3'!N58+'24-3'!N58+'25-3'!N58+'28-3'!N58+'29-3'!N58+'30-3'!N58+'32-3'!N58+'35-3'!N58+'37-3'!N58+'47-3'!N58+'62-3'!N58+'64-3'!N58+'74-3'!N58</f>
        <v>78528707</v>
      </c>
      <c r="O312" s="106">
        <f>'01-3'!O58+'02-3'!O58+'03-3'!O58+'04-3'!O58+'05-3'!O58+'08-3'!O58+'09-3'!O58+'10-3'!O58+'11-3'!O58+'12-3'!O58+'13-3'!O58+'14-3'!O58+'15-3'!O58+'16-3'!O58+'17-3'!O58+'18-3'!O58+'19-3'!O58+'21-3'!O58+'22-3'!O58+'24-3'!O58+'25-3'!O58+'28-3'!O58+'29-3'!O58+'30-3'!O58+'32-3'!O58+'35-3'!O58+'37-3'!O58+'47-3'!O58+'62-3'!O58+'64-3'!O58+'74-3'!O58</f>
        <v>-213154</v>
      </c>
      <c r="P312" s="106">
        <f>'01-3'!P58+'02-3'!P58+'03-3'!P58+'04-3'!P58+'05-3'!P58+'08-3'!P58+'09-3'!P58+'10-3'!P58+'11-3'!P58+'12-3'!P58+'13-3'!P58+'14-3'!P58+'15-3'!P58+'16-3'!P58+'17-3'!P58+'18-3'!P58+'19-3'!P58+'21-3'!P58+'22-3'!P58+'24-3'!P58+'25-3'!P58+'28-3'!P58+'29-3'!P58+'30-3'!P58+'32-3'!P58+'35-3'!P58+'37-3'!P58+'47-3'!P58+'62-3'!P58+'64-3'!P58+'74-3'!P58</f>
        <v>0</v>
      </c>
      <c r="Q312" s="106">
        <f>'01-3'!Q58+'02-3'!Q58+'03-3'!Q58+'04-3'!Q58+'05-3'!Q58+'08-3'!Q58+'09-3'!Q58+'10-3'!Q58+'11-3'!Q58+'12-3'!Q58+'13-3'!Q58+'14-3'!Q58+'15-3'!Q58+'16-3'!Q58+'17-3'!Q58+'18-3'!Q58+'19-3'!Q58+'21-3'!Q58+'22-3'!Q58+'24-3'!Q58+'25-3'!Q58+'28-3'!Q58+'29-3'!Q58+'30-3'!Q58+'32-3'!Q58+'35-3'!Q58+'37-3'!Q58+'47-3'!Q58+'62-3'!Q58+'64-3'!Q58+'74-3'!Q58</f>
        <v>112604</v>
      </c>
      <c r="R312" s="106">
        <f>'01-3'!R58+'02-3'!R58+'03-3'!R58+'04-3'!R58+'05-3'!R58+'08-3'!R58+'09-3'!R58+'10-3'!R58+'11-3'!R58+'12-3'!R58+'13-3'!R58+'14-3'!R58+'15-3'!R58+'16-3'!R58+'17-3'!R58+'18-3'!R58+'19-3'!R58+'21-3'!R58+'22-3'!R58+'24-3'!R58+'25-3'!R58+'28-3'!R58+'29-3'!R58+'30-3'!R58+'32-3'!R58+'35-3'!R58+'37-3'!R58+'47-3'!R58+'62-3'!R58+'64-3'!R58+'74-3'!R58</f>
        <v>78428157</v>
      </c>
      <c r="S312" s="499"/>
      <c r="T312" s="499"/>
      <c r="U312" s="499"/>
      <c r="V312" s="499"/>
      <c r="W312" s="499"/>
    </row>
    <row r="313" spans="1:23" s="89" customFormat="1" ht="24">
      <c r="A313" s="132">
        <v>7400</v>
      </c>
      <c r="B313" s="108" t="s">
        <v>161</v>
      </c>
      <c r="C313" s="106">
        <f>'01-3'!C59+'02-3'!C59+'03-3'!C59+'04-3'!C59+'05-3'!C59+'08-3'!C59+'09-3'!C59+'10-3'!C59+'11-3'!C59+'12-3'!C59+'13-3'!C59+'14-3'!C59+'15-3'!C59+'16-3'!C59+'17-3'!C59+'18-3'!C59+'19-3'!C59+'21-3'!C59+'22-3'!C59+'24-3'!C59+'25-3'!C59+'28-3'!C59+'29-3'!C59+'30-3'!C59+'32-3'!C59+'35-3'!C59+'37-3'!C59+'47-3'!C59+'62-3'!C59+'64-3'!C59+'74-3'!C59</f>
        <v>28276667</v>
      </c>
      <c r="D313" s="106">
        <f>'01-3'!D59+'02-3'!D59+'03-3'!D59+'04-3'!D59+'05-3'!D59+'08-3'!D59+'09-3'!D59+'10-3'!D59+'11-3'!D59+'12-3'!D59+'13-3'!D59+'14-3'!D59+'15-3'!D59+'16-3'!D59+'17-3'!D59+'18-3'!D59+'19-3'!D59+'21-3'!D59+'22-3'!D59+'24-3'!D59+'25-3'!D59+'28-3'!D59+'29-3'!D59+'30-3'!D59+'32-3'!D59+'35-3'!D59+'37-3'!D59+'47-3'!D59+'62-3'!D59+'64-3'!D59+'74-3'!D59</f>
        <v>26654635</v>
      </c>
      <c r="E313" s="106">
        <f>'01-3'!E59+'02-3'!E59+'03-3'!E59+'04-3'!E59+'05-3'!E59+'08-3'!E59+'09-3'!E59+'10-3'!E59+'11-3'!E59+'12-3'!E59+'13-3'!E59+'14-3'!E59+'15-3'!E59+'16-3'!E59+'17-3'!E59+'18-3'!E59+'19-3'!E59+'21-3'!E59+'22-3'!E59+'24-3'!E59+'25-3'!E59+'28-3'!E59+'29-3'!E59+'30-3'!E59+'32-3'!E59+'35-3'!E59+'37-3'!E59+'47-3'!E59+'62-3'!E59+'64-3'!E59+'74-3'!E59</f>
        <v>0</v>
      </c>
      <c r="F313" s="106">
        <f>'01-3'!F59+'02-3'!F59+'03-3'!F59+'04-3'!F59+'05-3'!F59+'08-3'!F59+'09-3'!F59+'10-3'!F59+'11-3'!F59+'12-3'!F59+'13-3'!F59+'14-3'!F59+'15-3'!F59+'16-3'!F59+'17-3'!F59+'18-3'!F59+'19-3'!F59+'21-3'!F59+'22-3'!F59+'24-3'!F59+'25-3'!F59+'28-3'!F59+'29-3'!F59+'30-3'!F59+'32-3'!F59+'35-3'!F59+'37-3'!F59+'47-3'!F59+'62-3'!F59+'64-3'!F59+'74-3'!F59</f>
        <v>-197044</v>
      </c>
      <c r="G313" s="106">
        <f>'01-3'!G59+'02-3'!G59+'03-3'!G59+'04-3'!G59+'05-3'!G59+'08-3'!G59+'09-3'!G59+'10-3'!G59+'11-3'!G59+'12-3'!G59+'13-3'!G59+'14-3'!G59+'15-3'!G59+'16-3'!G59+'17-3'!G59+'18-3'!G59+'19-3'!G59+'21-3'!G59+'22-3'!G59+'24-3'!G59+'25-3'!G59+'28-3'!G59+'29-3'!G59+'30-3'!G59+'32-3'!G59+'35-3'!G59+'37-3'!G59+'47-3'!G59+'62-3'!G59+'64-3'!G59+'74-3'!G59</f>
        <v>2214942</v>
      </c>
      <c r="H313" s="106">
        <f>'01-3'!H59+'02-3'!H59+'03-3'!H59+'04-3'!H59+'05-3'!H59+'08-3'!H59+'09-3'!H59+'10-3'!H59+'11-3'!H59+'12-3'!H59+'13-3'!H59+'14-3'!H59+'15-3'!H59+'16-3'!H59+'17-3'!H59+'18-3'!H59+'19-3'!H59+'21-3'!H59+'22-3'!H59+'24-3'!H59+'25-3'!H59+'28-3'!H59+'29-3'!H59+'30-3'!H59+'32-3'!H59+'35-3'!H59+'37-3'!H59+'47-3'!H59+'62-3'!H59+'64-3'!H59+'74-3'!H59</f>
        <v>28672533</v>
      </c>
      <c r="I313" s="106">
        <f>'01-3'!I59+'02-3'!I59+'03-3'!I59+'04-3'!I59+'05-3'!I59+'08-3'!I59+'09-3'!I59+'10-3'!I59+'11-3'!I59+'12-3'!I59+'13-3'!I59+'14-3'!I59+'15-3'!I59+'16-3'!I59+'17-3'!I59+'18-3'!I59+'19-3'!I59+'21-3'!I59+'22-3'!I59+'24-3'!I59+'25-3'!I59+'28-3'!I59+'29-3'!I59+'30-3'!I59+'32-3'!I59+'35-3'!I59+'37-3'!I59+'47-3'!I59+'62-3'!I59+'64-3'!I59+'74-3'!I59</f>
        <v>20940361</v>
      </c>
      <c r="J313" s="106">
        <f>'01-3'!J59+'02-3'!J59+'03-3'!J59+'04-3'!J59+'05-3'!J59+'08-3'!J59+'09-3'!J59+'10-3'!J59+'11-3'!J59+'12-3'!J59+'13-3'!J59+'14-3'!J59+'15-3'!J59+'16-3'!J59+'17-3'!J59+'18-3'!J59+'19-3'!J59+'21-3'!J59+'22-3'!J59+'24-3'!J59+'25-3'!J59+'28-3'!J59+'29-3'!J59+'30-3'!J59+'32-3'!J59+'35-3'!J59+'37-3'!J59+'47-3'!J59+'62-3'!J59+'64-3'!J59+'74-3'!J59</f>
        <v>0</v>
      </c>
      <c r="K313" s="106">
        <f>'01-3'!K59+'02-3'!K59+'03-3'!K59+'04-3'!K59+'05-3'!K59+'08-3'!K59+'09-3'!K59+'10-3'!K59+'11-3'!K59+'12-3'!K59+'13-3'!K59+'14-3'!K59+'15-3'!K59+'16-3'!K59+'17-3'!K59+'18-3'!K59+'19-3'!K59+'21-3'!K59+'22-3'!K59+'24-3'!K59+'25-3'!K59+'28-3'!K59+'29-3'!K59+'30-3'!K59+'32-3'!K59+'35-3'!K59+'37-3'!K59+'47-3'!K59+'62-3'!K59+'64-3'!K59+'74-3'!K59</f>
        <v>-200000</v>
      </c>
      <c r="L313" s="106">
        <f>'01-3'!L59+'02-3'!L59+'03-3'!L59+'04-3'!L59+'05-3'!L59+'08-3'!L59+'09-3'!L59+'10-3'!L59+'11-3'!L59+'12-3'!L59+'13-3'!L59+'14-3'!L59+'15-3'!L59+'16-3'!L59+'17-3'!L59+'18-3'!L59+'19-3'!L59+'21-3'!L59+'22-3'!L59+'24-3'!L59+'25-3'!L59+'28-3'!L59+'29-3'!L59+'30-3'!L59+'32-3'!L59+'35-3'!L59+'37-3'!L59+'47-3'!L59+'62-3'!L59+'64-3'!L59+'74-3'!L59</f>
        <v>3021282</v>
      </c>
      <c r="M313" s="106">
        <f>'01-3'!M59+'02-3'!M59+'03-3'!M59+'04-3'!M59+'05-3'!M59+'08-3'!M59+'09-3'!M59+'10-3'!M59+'11-3'!M59+'12-3'!M59+'13-3'!M59+'14-3'!M59+'15-3'!M59+'16-3'!M59+'17-3'!M59+'18-3'!M59+'19-3'!M59+'21-3'!M59+'22-3'!M59+'24-3'!M59+'25-3'!M59+'28-3'!M59+'29-3'!M59+'30-3'!M59+'32-3'!M59+'35-3'!M59+'37-3'!M59+'47-3'!M59+'62-3'!M59+'64-3'!M59+'74-3'!M59</f>
        <v>23761643</v>
      </c>
      <c r="N313" s="106">
        <f>'01-3'!N59+'02-3'!N59+'03-3'!N59+'04-3'!N59+'05-3'!N59+'08-3'!N59+'09-3'!N59+'10-3'!N59+'11-3'!N59+'12-3'!N59+'13-3'!N59+'14-3'!N59+'15-3'!N59+'16-3'!N59+'17-3'!N59+'18-3'!N59+'19-3'!N59+'21-3'!N59+'22-3'!N59+'24-3'!N59+'25-3'!N59+'28-3'!N59+'29-3'!N59+'30-3'!N59+'32-3'!N59+'35-3'!N59+'37-3'!N59+'47-3'!N59+'62-3'!N59+'64-3'!N59+'74-3'!N59</f>
        <v>20940361</v>
      </c>
      <c r="O313" s="106">
        <f>'01-3'!O59+'02-3'!O59+'03-3'!O59+'04-3'!O59+'05-3'!O59+'08-3'!O59+'09-3'!O59+'10-3'!O59+'11-3'!O59+'12-3'!O59+'13-3'!O59+'14-3'!O59+'15-3'!O59+'16-3'!O59+'17-3'!O59+'18-3'!O59+'19-3'!O59+'21-3'!O59+'22-3'!O59+'24-3'!O59+'25-3'!O59+'28-3'!O59+'29-3'!O59+'30-3'!O59+'32-3'!O59+'35-3'!O59+'37-3'!O59+'47-3'!O59+'62-3'!O59+'64-3'!O59+'74-3'!O59</f>
        <v>0</v>
      </c>
      <c r="P313" s="106">
        <f>'01-3'!P59+'02-3'!P59+'03-3'!P59+'04-3'!P59+'05-3'!P59+'08-3'!P59+'09-3'!P59+'10-3'!P59+'11-3'!P59+'12-3'!P59+'13-3'!P59+'14-3'!P59+'15-3'!P59+'16-3'!P59+'17-3'!P59+'18-3'!P59+'19-3'!P59+'21-3'!P59+'22-3'!P59+'24-3'!P59+'25-3'!P59+'28-3'!P59+'29-3'!P59+'30-3'!P59+'32-3'!P59+'35-3'!P59+'37-3'!P59+'47-3'!P59+'62-3'!P59+'64-3'!P59+'74-3'!P59</f>
        <v>-200000</v>
      </c>
      <c r="Q313" s="106">
        <f>'01-3'!Q59+'02-3'!Q59+'03-3'!Q59+'04-3'!Q59+'05-3'!Q59+'08-3'!Q59+'09-3'!Q59+'10-3'!Q59+'11-3'!Q59+'12-3'!Q59+'13-3'!Q59+'14-3'!Q59+'15-3'!Q59+'16-3'!Q59+'17-3'!Q59+'18-3'!Q59+'19-3'!Q59+'21-3'!Q59+'22-3'!Q59+'24-3'!Q59+'25-3'!Q59+'28-3'!Q59+'29-3'!Q59+'30-3'!Q59+'32-3'!Q59+'35-3'!Q59+'37-3'!Q59+'47-3'!Q59+'62-3'!Q59+'64-3'!Q59+'74-3'!Q59</f>
        <v>3049725</v>
      </c>
      <c r="R313" s="106">
        <f>'01-3'!R59+'02-3'!R59+'03-3'!R59+'04-3'!R59+'05-3'!R59+'08-3'!R59+'09-3'!R59+'10-3'!R59+'11-3'!R59+'12-3'!R59+'13-3'!R59+'14-3'!R59+'15-3'!R59+'16-3'!R59+'17-3'!R59+'18-3'!R59+'19-3'!R59+'21-3'!R59+'22-3'!R59+'24-3'!R59+'25-3'!R59+'28-3'!R59+'29-3'!R59+'30-3'!R59+'32-3'!R59+'35-3'!R59+'37-3'!R59+'47-3'!R59+'62-3'!R59+'64-3'!R59+'74-3'!R59</f>
        <v>23790086</v>
      </c>
      <c r="S313" s="499"/>
      <c r="T313" s="499"/>
      <c r="U313" s="499"/>
      <c r="V313" s="499"/>
      <c r="W313" s="499"/>
    </row>
    <row r="314" spans="1:23" s="89" customFormat="1" ht="24">
      <c r="A314" s="133">
        <v>7460</v>
      </c>
      <c r="B314" s="108" t="s">
        <v>162</v>
      </c>
      <c r="C314" s="106">
        <f>'01-3'!C60+'02-3'!C60+'03-3'!C60+'04-3'!C60+'05-3'!C60+'08-3'!C60+'09-3'!C60+'10-3'!C60+'11-3'!C60+'12-3'!C60+'13-3'!C60+'14-3'!C60+'15-3'!C60+'16-3'!C60+'17-3'!C60+'18-3'!C60+'19-3'!C60+'21-3'!C60+'22-3'!C60+'24-3'!C60+'25-3'!C60+'28-3'!C60+'29-3'!C60+'30-3'!C60+'32-3'!C60+'35-3'!C60+'37-3'!C60+'47-3'!C60+'62-3'!C60+'64-3'!C60+'74-3'!C60</f>
        <v>16444725</v>
      </c>
      <c r="D314" s="106">
        <f>'01-3'!D60+'02-3'!D60+'03-3'!D60+'04-3'!D60+'05-3'!D60+'08-3'!D60+'09-3'!D60+'10-3'!D60+'11-3'!D60+'12-3'!D60+'13-3'!D60+'14-3'!D60+'15-3'!D60+'16-3'!D60+'17-3'!D60+'18-3'!D60+'19-3'!D60+'21-3'!D60+'22-3'!D60+'24-3'!D60+'25-3'!D60+'28-3'!D60+'29-3'!D60+'30-3'!D60+'32-3'!D60+'35-3'!D60+'37-3'!D60+'47-3'!D60+'62-3'!D60+'64-3'!D60+'74-3'!D60</f>
        <v>16447171</v>
      </c>
      <c r="E314" s="106">
        <f>'01-3'!E60+'02-3'!E60+'03-3'!E60+'04-3'!E60+'05-3'!E60+'08-3'!E60+'09-3'!E60+'10-3'!E60+'11-3'!E60+'12-3'!E60+'13-3'!E60+'14-3'!E60+'15-3'!E60+'16-3'!E60+'17-3'!E60+'18-3'!E60+'19-3'!E60+'21-3'!E60+'22-3'!E60+'24-3'!E60+'25-3'!E60+'28-3'!E60+'29-3'!E60+'30-3'!E60+'32-3'!E60+'35-3'!E60+'37-3'!E60+'47-3'!E60+'62-3'!E60+'64-3'!E60+'74-3'!E60</f>
        <v>0</v>
      </c>
      <c r="F314" s="106">
        <f>'01-3'!F60+'02-3'!F60+'03-3'!F60+'04-3'!F60+'05-3'!F60+'08-3'!F60+'09-3'!F60+'10-3'!F60+'11-3'!F60+'12-3'!F60+'13-3'!F60+'14-3'!F60+'15-3'!F60+'16-3'!F60+'17-3'!F60+'18-3'!F60+'19-3'!F60+'21-3'!F60+'22-3'!F60+'24-3'!F60+'25-3'!F60+'28-3'!F60+'29-3'!F60+'30-3'!F60+'32-3'!F60+'35-3'!F60+'37-3'!F60+'47-3'!F60+'62-3'!F60+'64-3'!F60+'74-3'!F60</f>
        <v>0</v>
      </c>
      <c r="G314" s="106">
        <f>'01-3'!G60+'02-3'!G60+'03-3'!G60+'04-3'!G60+'05-3'!G60+'08-3'!G60+'09-3'!G60+'10-3'!G60+'11-3'!G60+'12-3'!G60+'13-3'!G60+'14-3'!G60+'15-3'!G60+'16-3'!G60+'17-3'!G60+'18-3'!G60+'19-3'!G60+'21-3'!G60+'22-3'!G60+'24-3'!G60+'25-3'!G60+'28-3'!G60+'29-3'!G60+'30-3'!G60+'32-3'!G60+'35-3'!G60+'37-3'!G60+'47-3'!G60+'62-3'!G60+'64-3'!G60+'74-3'!G60</f>
        <v>114935</v>
      </c>
      <c r="H314" s="106">
        <f>'01-3'!H60+'02-3'!H60+'03-3'!H60+'04-3'!H60+'05-3'!H60+'08-3'!H60+'09-3'!H60+'10-3'!H60+'11-3'!H60+'12-3'!H60+'13-3'!H60+'14-3'!H60+'15-3'!H60+'16-3'!H60+'17-3'!H60+'18-3'!H60+'19-3'!H60+'21-3'!H60+'22-3'!H60+'24-3'!H60+'25-3'!H60+'28-3'!H60+'29-3'!H60+'30-3'!H60+'32-3'!H60+'35-3'!H60+'37-3'!H60+'47-3'!H60+'62-3'!H60+'64-3'!H60+'74-3'!H60</f>
        <v>16562106</v>
      </c>
      <c r="I314" s="106">
        <f>'01-3'!I60+'02-3'!I60+'03-3'!I60+'04-3'!I60+'05-3'!I60+'08-3'!I60+'09-3'!I60+'10-3'!I60+'11-3'!I60+'12-3'!I60+'13-3'!I60+'14-3'!I60+'15-3'!I60+'16-3'!I60+'17-3'!I60+'18-3'!I60+'19-3'!I60+'21-3'!I60+'22-3'!I60+'24-3'!I60+'25-3'!I60+'28-3'!I60+'29-3'!I60+'30-3'!I60+'32-3'!I60+'35-3'!I60+'37-3'!I60+'47-3'!I60+'62-3'!I60+'64-3'!I60+'74-3'!I60</f>
        <v>10732897</v>
      </c>
      <c r="J314" s="106">
        <f>'01-3'!J60+'02-3'!J60+'03-3'!J60+'04-3'!J60+'05-3'!J60+'08-3'!J60+'09-3'!J60+'10-3'!J60+'11-3'!J60+'12-3'!J60+'13-3'!J60+'14-3'!J60+'15-3'!J60+'16-3'!J60+'17-3'!J60+'18-3'!J60+'19-3'!J60+'21-3'!J60+'22-3'!J60+'24-3'!J60+'25-3'!J60+'28-3'!J60+'29-3'!J60+'30-3'!J60+'32-3'!J60+'35-3'!J60+'37-3'!J60+'47-3'!J60+'62-3'!J60+'64-3'!J60+'74-3'!J60</f>
        <v>0</v>
      </c>
      <c r="K314" s="106">
        <f>'01-3'!K60+'02-3'!K60+'03-3'!K60+'04-3'!K60+'05-3'!K60+'08-3'!K60+'09-3'!K60+'10-3'!K60+'11-3'!K60+'12-3'!K60+'13-3'!K60+'14-3'!K60+'15-3'!K60+'16-3'!K60+'17-3'!K60+'18-3'!K60+'19-3'!K60+'21-3'!K60+'22-3'!K60+'24-3'!K60+'25-3'!K60+'28-3'!K60+'29-3'!K60+'30-3'!K60+'32-3'!K60+'35-3'!K60+'37-3'!K60+'47-3'!K60+'62-3'!K60+'64-3'!K60+'74-3'!K60</f>
        <v>0</v>
      </c>
      <c r="L314" s="106">
        <f>'01-3'!L60+'02-3'!L60+'03-3'!L60+'04-3'!L60+'05-3'!L60+'08-3'!L60+'09-3'!L60+'10-3'!L60+'11-3'!L60+'12-3'!L60+'13-3'!L60+'14-3'!L60+'15-3'!L60+'16-3'!L60+'17-3'!L60+'18-3'!L60+'19-3'!L60+'21-3'!L60+'22-3'!L60+'24-3'!L60+'25-3'!L60+'28-3'!L60+'29-3'!L60+'30-3'!L60+'32-3'!L60+'35-3'!L60+'37-3'!L60+'47-3'!L60+'62-3'!L60+'64-3'!L60+'74-3'!L60</f>
        <v>114935</v>
      </c>
      <c r="M314" s="106">
        <f>'01-3'!M60+'02-3'!M60+'03-3'!M60+'04-3'!M60+'05-3'!M60+'08-3'!M60+'09-3'!M60+'10-3'!M60+'11-3'!M60+'12-3'!M60+'13-3'!M60+'14-3'!M60+'15-3'!M60+'16-3'!M60+'17-3'!M60+'18-3'!M60+'19-3'!M60+'21-3'!M60+'22-3'!M60+'24-3'!M60+'25-3'!M60+'28-3'!M60+'29-3'!M60+'30-3'!M60+'32-3'!M60+'35-3'!M60+'37-3'!M60+'47-3'!M60+'62-3'!M60+'64-3'!M60+'74-3'!M60</f>
        <v>10847832</v>
      </c>
      <c r="N314" s="106">
        <f>'01-3'!N60+'02-3'!N60+'03-3'!N60+'04-3'!N60+'05-3'!N60+'08-3'!N60+'09-3'!N60+'10-3'!N60+'11-3'!N60+'12-3'!N60+'13-3'!N60+'14-3'!N60+'15-3'!N60+'16-3'!N60+'17-3'!N60+'18-3'!N60+'19-3'!N60+'21-3'!N60+'22-3'!N60+'24-3'!N60+'25-3'!N60+'28-3'!N60+'29-3'!N60+'30-3'!N60+'32-3'!N60+'35-3'!N60+'37-3'!N60+'47-3'!N60+'62-3'!N60+'64-3'!N60+'74-3'!N60</f>
        <v>10732897</v>
      </c>
      <c r="O314" s="106">
        <f>'01-3'!O60+'02-3'!O60+'03-3'!O60+'04-3'!O60+'05-3'!O60+'08-3'!O60+'09-3'!O60+'10-3'!O60+'11-3'!O60+'12-3'!O60+'13-3'!O60+'14-3'!O60+'15-3'!O60+'16-3'!O60+'17-3'!O60+'18-3'!O60+'19-3'!O60+'21-3'!O60+'22-3'!O60+'24-3'!O60+'25-3'!O60+'28-3'!O60+'29-3'!O60+'30-3'!O60+'32-3'!O60+'35-3'!O60+'37-3'!O60+'47-3'!O60+'62-3'!O60+'64-3'!O60+'74-3'!O60</f>
        <v>0</v>
      </c>
      <c r="P314" s="106">
        <f>'01-3'!P60+'02-3'!P60+'03-3'!P60+'04-3'!P60+'05-3'!P60+'08-3'!P60+'09-3'!P60+'10-3'!P60+'11-3'!P60+'12-3'!P60+'13-3'!P60+'14-3'!P60+'15-3'!P60+'16-3'!P60+'17-3'!P60+'18-3'!P60+'19-3'!P60+'21-3'!P60+'22-3'!P60+'24-3'!P60+'25-3'!P60+'28-3'!P60+'29-3'!P60+'30-3'!P60+'32-3'!P60+'35-3'!P60+'37-3'!P60+'47-3'!P60+'62-3'!P60+'64-3'!P60+'74-3'!P60</f>
        <v>0</v>
      </c>
      <c r="Q314" s="106">
        <f>'01-3'!Q60+'02-3'!Q60+'03-3'!Q60+'04-3'!Q60+'05-3'!Q60+'08-3'!Q60+'09-3'!Q60+'10-3'!Q60+'11-3'!Q60+'12-3'!Q60+'13-3'!Q60+'14-3'!Q60+'15-3'!Q60+'16-3'!Q60+'17-3'!Q60+'18-3'!Q60+'19-3'!Q60+'21-3'!Q60+'22-3'!Q60+'24-3'!Q60+'25-3'!Q60+'28-3'!Q60+'29-3'!Q60+'30-3'!Q60+'32-3'!Q60+'35-3'!Q60+'37-3'!Q60+'47-3'!Q60+'62-3'!Q60+'64-3'!Q60+'74-3'!Q60</f>
        <v>114935</v>
      </c>
      <c r="R314" s="106">
        <f>'01-3'!R60+'02-3'!R60+'03-3'!R60+'04-3'!R60+'05-3'!R60+'08-3'!R60+'09-3'!R60+'10-3'!R60+'11-3'!R60+'12-3'!R60+'13-3'!R60+'14-3'!R60+'15-3'!R60+'16-3'!R60+'17-3'!R60+'18-3'!R60+'19-3'!R60+'21-3'!R60+'22-3'!R60+'24-3'!R60+'25-3'!R60+'28-3'!R60+'29-3'!R60+'30-3'!R60+'32-3'!R60+'35-3'!R60+'37-3'!R60+'47-3'!R60+'62-3'!R60+'64-3'!R60+'74-3'!R60</f>
        <v>10847832</v>
      </c>
      <c r="S314" s="499"/>
      <c r="T314" s="499"/>
      <c r="U314" s="499"/>
      <c r="V314" s="499"/>
      <c r="W314" s="499"/>
    </row>
    <row r="315" spans="1:23" s="89" customFormat="1" ht="48">
      <c r="A315" s="133">
        <v>7470</v>
      </c>
      <c r="B315" s="112" t="s">
        <v>167</v>
      </c>
      <c r="C315" s="106">
        <f>'01-3'!C61+'02-3'!C61+'03-3'!C61+'04-3'!C61+'05-3'!C61+'08-3'!C61+'09-3'!C61+'10-3'!C61+'11-3'!C61+'12-3'!C61+'13-3'!C61+'14-3'!C61+'15-3'!C61+'16-3'!C61+'17-3'!C61+'18-3'!C61+'19-3'!C61+'21-3'!C61+'22-3'!C61+'24-3'!C61+'25-3'!C61+'28-3'!C61+'29-3'!C61+'30-3'!C61+'32-3'!C61+'35-3'!C61+'37-3'!C61+'47-3'!C61+'62-3'!C61+'64-3'!C61+'74-3'!C61</f>
        <v>11831942</v>
      </c>
      <c r="D315" s="106">
        <f>'01-3'!D61+'02-3'!D61+'03-3'!D61+'04-3'!D61+'05-3'!D61+'08-3'!D61+'09-3'!D61+'10-3'!D61+'11-3'!D61+'12-3'!D61+'13-3'!D61+'14-3'!D61+'15-3'!D61+'16-3'!D61+'17-3'!D61+'18-3'!D61+'19-3'!D61+'21-3'!D61+'22-3'!D61+'24-3'!D61+'25-3'!D61+'28-3'!D61+'29-3'!D61+'30-3'!D61+'32-3'!D61+'35-3'!D61+'37-3'!D61+'47-3'!D61+'62-3'!D61+'64-3'!D61+'74-3'!D61</f>
        <v>10207464</v>
      </c>
      <c r="E315" s="106">
        <f>'01-3'!E61+'02-3'!E61+'03-3'!E61+'04-3'!E61+'05-3'!E61+'08-3'!E61+'09-3'!E61+'10-3'!E61+'11-3'!E61+'12-3'!E61+'13-3'!E61+'14-3'!E61+'15-3'!E61+'16-3'!E61+'17-3'!E61+'18-3'!E61+'19-3'!E61+'21-3'!E61+'22-3'!E61+'24-3'!E61+'25-3'!E61+'28-3'!E61+'29-3'!E61+'30-3'!E61+'32-3'!E61+'35-3'!E61+'37-3'!E61+'47-3'!E61+'62-3'!E61+'64-3'!E61+'74-3'!E61</f>
        <v>0</v>
      </c>
      <c r="F315" s="106">
        <f>'01-3'!F61+'02-3'!F61+'03-3'!F61+'04-3'!F61+'05-3'!F61+'08-3'!F61+'09-3'!F61+'10-3'!F61+'11-3'!F61+'12-3'!F61+'13-3'!F61+'14-3'!F61+'15-3'!F61+'16-3'!F61+'17-3'!F61+'18-3'!F61+'19-3'!F61+'21-3'!F61+'22-3'!F61+'24-3'!F61+'25-3'!F61+'28-3'!F61+'29-3'!F61+'30-3'!F61+'32-3'!F61+'35-3'!F61+'37-3'!F61+'47-3'!F61+'62-3'!F61+'64-3'!F61+'74-3'!F61</f>
        <v>-197044</v>
      </c>
      <c r="G315" s="106">
        <f>'01-3'!G61+'02-3'!G61+'03-3'!G61+'04-3'!G61+'05-3'!G61+'08-3'!G61+'09-3'!G61+'10-3'!G61+'11-3'!G61+'12-3'!G61+'13-3'!G61+'14-3'!G61+'15-3'!G61+'16-3'!G61+'17-3'!G61+'18-3'!G61+'19-3'!G61+'21-3'!G61+'22-3'!G61+'24-3'!G61+'25-3'!G61+'28-3'!G61+'29-3'!G61+'30-3'!G61+'32-3'!G61+'35-3'!G61+'37-3'!G61+'47-3'!G61+'62-3'!G61+'64-3'!G61+'74-3'!G61</f>
        <v>2100007</v>
      </c>
      <c r="H315" s="106">
        <f>'01-3'!H61+'02-3'!H61+'03-3'!H61+'04-3'!H61+'05-3'!H61+'08-3'!H61+'09-3'!H61+'10-3'!H61+'11-3'!H61+'12-3'!H61+'13-3'!H61+'14-3'!H61+'15-3'!H61+'16-3'!H61+'17-3'!H61+'18-3'!H61+'19-3'!H61+'21-3'!H61+'22-3'!H61+'24-3'!H61+'25-3'!H61+'28-3'!H61+'29-3'!H61+'30-3'!H61+'32-3'!H61+'35-3'!H61+'37-3'!H61+'47-3'!H61+'62-3'!H61+'64-3'!H61+'74-3'!H61</f>
        <v>12110427</v>
      </c>
      <c r="I315" s="106">
        <f>'01-3'!I61+'02-3'!I61+'03-3'!I61+'04-3'!I61+'05-3'!I61+'08-3'!I61+'09-3'!I61+'10-3'!I61+'11-3'!I61+'12-3'!I61+'13-3'!I61+'14-3'!I61+'15-3'!I61+'16-3'!I61+'17-3'!I61+'18-3'!I61+'19-3'!I61+'21-3'!I61+'22-3'!I61+'24-3'!I61+'25-3'!I61+'28-3'!I61+'29-3'!I61+'30-3'!I61+'32-3'!I61+'35-3'!I61+'37-3'!I61+'47-3'!I61+'62-3'!I61+'64-3'!I61+'74-3'!I61</f>
        <v>10207464</v>
      </c>
      <c r="J315" s="106">
        <f>'01-3'!J61+'02-3'!J61+'03-3'!J61+'04-3'!J61+'05-3'!J61+'08-3'!J61+'09-3'!J61+'10-3'!J61+'11-3'!J61+'12-3'!J61+'13-3'!J61+'14-3'!J61+'15-3'!J61+'16-3'!J61+'17-3'!J61+'18-3'!J61+'19-3'!J61+'21-3'!J61+'22-3'!J61+'24-3'!J61+'25-3'!J61+'28-3'!J61+'29-3'!J61+'30-3'!J61+'32-3'!J61+'35-3'!J61+'37-3'!J61+'47-3'!J61+'62-3'!J61+'64-3'!J61+'74-3'!J61</f>
        <v>0</v>
      </c>
      <c r="K315" s="106">
        <f>'01-3'!K61+'02-3'!K61+'03-3'!K61+'04-3'!K61+'05-3'!K61+'08-3'!K61+'09-3'!K61+'10-3'!K61+'11-3'!K61+'12-3'!K61+'13-3'!K61+'14-3'!K61+'15-3'!K61+'16-3'!K61+'17-3'!K61+'18-3'!K61+'19-3'!K61+'21-3'!K61+'22-3'!K61+'24-3'!K61+'25-3'!K61+'28-3'!K61+'29-3'!K61+'30-3'!K61+'32-3'!K61+'35-3'!K61+'37-3'!K61+'47-3'!K61+'62-3'!K61+'64-3'!K61+'74-3'!K61</f>
        <v>-200000</v>
      </c>
      <c r="L315" s="106">
        <f>'01-3'!L61+'02-3'!L61+'03-3'!L61+'04-3'!L61+'05-3'!L61+'08-3'!L61+'09-3'!L61+'10-3'!L61+'11-3'!L61+'12-3'!L61+'13-3'!L61+'14-3'!L61+'15-3'!L61+'16-3'!L61+'17-3'!L61+'18-3'!L61+'19-3'!L61+'21-3'!L61+'22-3'!L61+'24-3'!L61+'25-3'!L61+'28-3'!L61+'29-3'!L61+'30-3'!L61+'32-3'!L61+'35-3'!L61+'37-3'!L61+'47-3'!L61+'62-3'!L61+'64-3'!L61+'74-3'!L61</f>
        <v>2906347</v>
      </c>
      <c r="M315" s="106">
        <f>'01-3'!M61+'02-3'!M61+'03-3'!M61+'04-3'!M61+'05-3'!M61+'08-3'!M61+'09-3'!M61+'10-3'!M61+'11-3'!M61+'12-3'!M61+'13-3'!M61+'14-3'!M61+'15-3'!M61+'16-3'!M61+'17-3'!M61+'18-3'!M61+'19-3'!M61+'21-3'!M61+'22-3'!M61+'24-3'!M61+'25-3'!M61+'28-3'!M61+'29-3'!M61+'30-3'!M61+'32-3'!M61+'35-3'!M61+'37-3'!M61+'47-3'!M61+'62-3'!M61+'64-3'!M61+'74-3'!M61</f>
        <v>12913811</v>
      </c>
      <c r="N315" s="106">
        <f>'01-3'!N61+'02-3'!N61+'03-3'!N61+'04-3'!N61+'05-3'!N61+'08-3'!N61+'09-3'!N61+'10-3'!N61+'11-3'!N61+'12-3'!N61+'13-3'!N61+'14-3'!N61+'15-3'!N61+'16-3'!N61+'17-3'!N61+'18-3'!N61+'19-3'!N61+'21-3'!N61+'22-3'!N61+'24-3'!N61+'25-3'!N61+'28-3'!N61+'29-3'!N61+'30-3'!N61+'32-3'!N61+'35-3'!N61+'37-3'!N61+'47-3'!N61+'62-3'!N61+'64-3'!N61+'74-3'!N61</f>
        <v>10207464</v>
      </c>
      <c r="O315" s="106">
        <f>'01-3'!O61+'02-3'!O61+'03-3'!O61+'04-3'!O61+'05-3'!O61+'08-3'!O61+'09-3'!O61+'10-3'!O61+'11-3'!O61+'12-3'!O61+'13-3'!O61+'14-3'!O61+'15-3'!O61+'16-3'!O61+'17-3'!O61+'18-3'!O61+'19-3'!O61+'21-3'!O61+'22-3'!O61+'24-3'!O61+'25-3'!O61+'28-3'!O61+'29-3'!O61+'30-3'!O61+'32-3'!O61+'35-3'!O61+'37-3'!O61+'47-3'!O61+'62-3'!O61+'64-3'!O61+'74-3'!O61</f>
        <v>0</v>
      </c>
      <c r="P315" s="106">
        <f>'01-3'!P61+'02-3'!P61+'03-3'!P61+'04-3'!P61+'05-3'!P61+'08-3'!P61+'09-3'!P61+'10-3'!P61+'11-3'!P61+'12-3'!P61+'13-3'!P61+'14-3'!P61+'15-3'!P61+'16-3'!P61+'17-3'!P61+'18-3'!P61+'19-3'!P61+'21-3'!P61+'22-3'!P61+'24-3'!P61+'25-3'!P61+'28-3'!P61+'29-3'!P61+'30-3'!P61+'32-3'!P61+'35-3'!P61+'37-3'!P61+'47-3'!P61+'62-3'!P61+'64-3'!P61+'74-3'!P61</f>
        <v>-200000</v>
      </c>
      <c r="Q315" s="106">
        <f>'01-3'!Q61+'02-3'!Q61+'03-3'!Q61+'04-3'!Q61+'05-3'!Q61+'08-3'!Q61+'09-3'!Q61+'10-3'!Q61+'11-3'!Q61+'12-3'!Q61+'13-3'!Q61+'14-3'!Q61+'15-3'!Q61+'16-3'!Q61+'17-3'!Q61+'18-3'!Q61+'19-3'!Q61+'21-3'!Q61+'22-3'!Q61+'24-3'!Q61+'25-3'!Q61+'28-3'!Q61+'29-3'!Q61+'30-3'!Q61+'32-3'!Q61+'35-3'!Q61+'37-3'!Q61+'47-3'!Q61+'62-3'!Q61+'64-3'!Q61+'74-3'!Q61</f>
        <v>2934790</v>
      </c>
      <c r="R315" s="106">
        <f>'01-3'!R61+'02-3'!R61+'03-3'!R61+'04-3'!R61+'05-3'!R61+'08-3'!R61+'09-3'!R61+'10-3'!R61+'11-3'!R61+'12-3'!R61+'13-3'!R61+'14-3'!R61+'15-3'!R61+'16-3'!R61+'17-3'!R61+'18-3'!R61+'19-3'!R61+'21-3'!R61+'22-3'!R61+'24-3'!R61+'25-3'!R61+'28-3'!R61+'29-3'!R61+'30-3'!R61+'32-3'!R61+'35-3'!R61+'37-3'!R61+'47-3'!R61+'62-3'!R61+'64-3'!R61+'74-3'!R61</f>
        <v>12942254</v>
      </c>
      <c r="S315" s="499"/>
      <c r="T315" s="499"/>
      <c r="U315" s="499"/>
      <c r="V315" s="499"/>
      <c r="W315" s="499"/>
    </row>
    <row r="316" spans="1:23" s="89" customFormat="1" ht="24">
      <c r="A316" s="132">
        <v>7500</v>
      </c>
      <c r="B316" s="112" t="s">
        <v>157</v>
      </c>
      <c r="C316" s="106">
        <f>'01-3'!C62+'02-3'!C62+'03-3'!C62+'04-3'!C62+'05-3'!C62+'08-3'!C62+'09-3'!C62+'10-3'!C62+'11-3'!C62+'12-3'!C62+'13-3'!C62+'14-3'!C62+'15-3'!C62+'16-3'!C62+'17-3'!C62+'18-3'!C62+'19-3'!C62+'21-3'!C62+'22-3'!C62+'24-3'!C62+'25-3'!C62+'28-3'!C62+'29-3'!C62+'30-3'!C62+'32-3'!C62+'35-3'!C62+'37-3'!C62+'47-3'!C62+'62-3'!C62+'64-3'!C62+'74-3'!C62</f>
        <v>60682560</v>
      </c>
      <c r="D316" s="106">
        <f>'01-3'!D62+'02-3'!D62+'03-3'!D62+'04-3'!D62+'05-3'!D62+'08-3'!D62+'09-3'!D62+'10-3'!D62+'11-3'!D62+'12-3'!D62+'13-3'!D62+'14-3'!D62+'15-3'!D62+'16-3'!D62+'17-3'!D62+'18-3'!D62+'19-3'!D62+'21-3'!D62+'22-3'!D62+'24-3'!D62+'25-3'!D62+'28-3'!D62+'29-3'!D62+'30-3'!D62+'32-3'!D62+'35-3'!D62+'37-3'!D62+'47-3'!D62+'62-3'!D62+'64-3'!D62+'74-3'!D62</f>
        <v>63720825</v>
      </c>
      <c r="E316" s="106">
        <f>'01-3'!E62+'02-3'!E62+'03-3'!E62+'04-3'!E62+'05-3'!E62+'08-3'!E62+'09-3'!E62+'10-3'!E62+'11-3'!E62+'12-3'!E62+'13-3'!E62+'14-3'!E62+'15-3'!E62+'16-3'!E62+'17-3'!E62+'18-3'!E62+'19-3'!E62+'21-3'!E62+'22-3'!E62+'24-3'!E62+'25-3'!E62+'28-3'!E62+'29-3'!E62+'30-3'!E62+'32-3'!E62+'35-3'!E62+'37-3'!E62+'47-3'!E62+'62-3'!E62+'64-3'!E62+'74-3'!E62</f>
        <v>11198014</v>
      </c>
      <c r="F316" s="106">
        <f>'01-3'!F62+'02-3'!F62+'03-3'!F62+'04-3'!F62+'05-3'!F62+'08-3'!F62+'09-3'!F62+'10-3'!F62+'11-3'!F62+'12-3'!F62+'13-3'!F62+'14-3'!F62+'15-3'!F62+'16-3'!F62+'17-3'!F62+'18-3'!F62+'19-3'!F62+'21-3'!F62+'22-3'!F62+'24-3'!F62+'25-3'!F62+'28-3'!F62+'29-3'!F62+'30-3'!F62+'32-3'!F62+'35-3'!F62+'37-3'!F62+'47-3'!F62+'62-3'!F62+'64-3'!F62+'74-3'!F62</f>
        <v>0</v>
      </c>
      <c r="G316" s="106">
        <f>'01-3'!G62+'02-3'!G62+'03-3'!G62+'04-3'!G62+'05-3'!G62+'08-3'!G62+'09-3'!G62+'10-3'!G62+'11-3'!G62+'12-3'!G62+'13-3'!G62+'14-3'!G62+'15-3'!G62+'16-3'!G62+'17-3'!G62+'18-3'!G62+'19-3'!G62+'21-3'!G62+'22-3'!G62+'24-3'!G62+'25-3'!G62+'28-3'!G62+'29-3'!G62+'30-3'!G62+'32-3'!G62+'35-3'!G62+'37-3'!G62+'47-3'!G62+'62-3'!G62+'64-3'!G62+'74-3'!G62</f>
        <v>0</v>
      </c>
      <c r="H316" s="106">
        <f>'01-3'!H62+'02-3'!H62+'03-3'!H62+'04-3'!H62+'05-3'!H62+'08-3'!H62+'09-3'!H62+'10-3'!H62+'11-3'!H62+'12-3'!H62+'13-3'!H62+'14-3'!H62+'15-3'!H62+'16-3'!H62+'17-3'!H62+'18-3'!H62+'19-3'!H62+'21-3'!H62+'22-3'!H62+'24-3'!H62+'25-3'!H62+'28-3'!H62+'29-3'!H62+'30-3'!H62+'32-3'!H62+'35-3'!H62+'37-3'!H62+'47-3'!H62+'62-3'!H62+'64-3'!H62+'74-3'!H62</f>
        <v>74918839</v>
      </c>
      <c r="I316" s="106">
        <f>'01-3'!I62+'02-3'!I62+'03-3'!I62+'04-3'!I62+'05-3'!I62+'08-3'!I62+'09-3'!I62+'10-3'!I62+'11-3'!I62+'12-3'!I62+'13-3'!I62+'14-3'!I62+'15-3'!I62+'16-3'!I62+'17-3'!I62+'18-3'!I62+'19-3'!I62+'21-3'!I62+'22-3'!I62+'24-3'!I62+'25-3'!I62+'28-3'!I62+'29-3'!I62+'30-3'!I62+'32-3'!I62+'35-3'!I62+'37-3'!I62+'47-3'!I62+'62-3'!I62+'64-3'!I62+'74-3'!I62</f>
        <v>21184193</v>
      </c>
      <c r="J316" s="106">
        <f>'01-3'!J62+'02-3'!J62+'03-3'!J62+'04-3'!J62+'05-3'!J62+'08-3'!J62+'09-3'!J62+'10-3'!J62+'11-3'!J62+'12-3'!J62+'13-3'!J62+'14-3'!J62+'15-3'!J62+'16-3'!J62+'17-3'!J62+'18-3'!J62+'19-3'!J62+'21-3'!J62+'22-3'!J62+'24-3'!J62+'25-3'!J62+'28-3'!J62+'29-3'!J62+'30-3'!J62+'32-3'!J62+'35-3'!J62+'37-3'!J62+'47-3'!J62+'62-3'!J62+'64-3'!J62+'74-3'!J62</f>
        <v>9573406</v>
      </c>
      <c r="K316" s="106">
        <f>'01-3'!K62+'02-3'!K62+'03-3'!K62+'04-3'!K62+'05-3'!K62+'08-3'!K62+'09-3'!K62+'10-3'!K62+'11-3'!K62+'12-3'!K62+'13-3'!K62+'14-3'!K62+'15-3'!K62+'16-3'!K62+'17-3'!K62+'18-3'!K62+'19-3'!K62+'21-3'!K62+'22-3'!K62+'24-3'!K62+'25-3'!K62+'28-3'!K62+'29-3'!K62+'30-3'!K62+'32-3'!K62+'35-3'!K62+'37-3'!K62+'47-3'!K62+'62-3'!K62+'64-3'!K62+'74-3'!K62</f>
        <v>0</v>
      </c>
      <c r="L316" s="106">
        <f>'01-3'!L62+'02-3'!L62+'03-3'!L62+'04-3'!L62+'05-3'!L62+'08-3'!L62+'09-3'!L62+'10-3'!L62+'11-3'!L62+'12-3'!L62+'13-3'!L62+'14-3'!L62+'15-3'!L62+'16-3'!L62+'17-3'!L62+'18-3'!L62+'19-3'!L62+'21-3'!L62+'22-3'!L62+'24-3'!L62+'25-3'!L62+'28-3'!L62+'29-3'!L62+'30-3'!L62+'32-3'!L62+'35-3'!L62+'37-3'!L62+'47-3'!L62+'62-3'!L62+'64-3'!L62+'74-3'!L62</f>
        <v>0</v>
      </c>
      <c r="M316" s="106">
        <f>'01-3'!M62+'02-3'!M62+'03-3'!M62+'04-3'!M62+'05-3'!M62+'08-3'!M62+'09-3'!M62+'10-3'!M62+'11-3'!M62+'12-3'!M62+'13-3'!M62+'14-3'!M62+'15-3'!M62+'16-3'!M62+'17-3'!M62+'18-3'!M62+'19-3'!M62+'21-3'!M62+'22-3'!M62+'24-3'!M62+'25-3'!M62+'28-3'!M62+'29-3'!M62+'30-3'!M62+'32-3'!M62+'35-3'!M62+'37-3'!M62+'47-3'!M62+'62-3'!M62+'64-3'!M62+'74-3'!M62</f>
        <v>30757599</v>
      </c>
      <c r="N316" s="106">
        <f>'01-3'!N62+'02-3'!N62+'03-3'!N62+'04-3'!N62+'05-3'!N62+'08-3'!N62+'09-3'!N62+'10-3'!N62+'11-3'!N62+'12-3'!N62+'13-3'!N62+'14-3'!N62+'15-3'!N62+'16-3'!N62+'17-3'!N62+'18-3'!N62+'19-3'!N62+'21-3'!N62+'22-3'!N62+'24-3'!N62+'25-3'!N62+'28-3'!N62+'29-3'!N62+'30-3'!N62+'32-3'!N62+'35-3'!N62+'37-3'!N62+'47-3'!N62+'62-3'!N62+'64-3'!N62+'74-3'!N62</f>
        <v>11582862</v>
      </c>
      <c r="O316" s="106">
        <f>'01-3'!O62+'02-3'!O62+'03-3'!O62+'04-3'!O62+'05-3'!O62+'08-3'!O62+'09-3'!O62+'10-3'!O62+'11-3'!O62+'12-3'!O62+'13-3'!O62+'14-3'!O62+'15-3'!O62+'16-3'!O62+'17-3'!O62+'18-3'!O62+'19-3'!O62+'21-3'!O62+'22-3'!O62+'24-3'!O62+'25-3'!O62+'28-3'!O62+'29-3'!O62+'30-3'!O62+'32-3'!O62+'35-3'!O62+'37-3'!O62+'47-3'!O62+'62-3'!O62+'64-3'!O62+'74-3'!O62</f>
        <v>2659930</v>
      </c>
      <c r="P316" s="106">
        <f>'01-3'!P62+'02-3'!P62+'03-3'!P62+'04-3'!P62+'05-3'!P62+'08-3'!P62+'09-3'!P62+'10-3'!P62+'11-3'!P62+'12-3'!P62+'13-3'!P62+'14-3'!P62+'15-3'!P62+'16-3'!P62+'17-3'!P62+'18-3'!P62+'19-3'!P62+'21-3'!P62+'22-3'!P62+'24-3'!P62+'25-3'!P62+'28-3'!P62+'29-3'!P62+'30-3'!P62+'32-3'!P62+'35-3'!P62+'37-3'!P62+'47-3'!P62+'62-3'!P62+'64-3'!P62+'74-3'!P62</f>
        <v>0</v>
      </c>
      <c r="Q316" s="106">
        <f>'01-3'!Q62+'02-3'!Q62+'03-3'!Q62+'04-3'!Q62+'05-3'!Q62+'08-3'!Q62+'09-3'!Q62+'10-3'!Q62+'11-3'!Q62+'12-3'!Q62+'13-3'!Q62+'14-3'!Q62+'15-3'!Q62+'16-3'!Q62+'17-3'!Q62+'18-3'!Q62+'19-3'!Q62+'21-3'!Q62+'22-3'!Q62+'24-3'!Q62+'25-3'!Q62+'28-3'!Q62+'29-3'!Q62+'30-3'!Q62+'32-3'!Q62+'35-3'!Q62+'37-3'!Q62+'47-3'!Q62+'62-3'!Q62+'64-3'!Q62+'74-3'!Q62</f>
        <v>0</v>
      </c>
      <c r="R316" s="106">
        <f>'01-3'!R62+'02-3'!R62+'03-3'!R62+'04-3'!R62+'05-3'!R62+'08-3'!R62+'09-3'!R62+'10-3'!R62+'11-3'!R62+'12-3'!R62+'13-3'!R62+'14-3'!R62+'15-3'!R62+'16-3'!R62+'17-3'!R62+'18-3'!R62+'19-3'!R62+'21-3'!R62+'22-3'!R62+'24-3'!R62+'25-3'!R62+'28-3'!R62+'29-3'!R62+'30-3'!R62+'32-3'!R62+'35-3'!R62+'37-3'!R62+'47-3'!R62+'62-3'!R62+'64-3'!R62+'74-3'!R62</f>
        <v>14242792</v>
      </c>
      <c r="S316" s="499"/>
      <c r="T316" s="499"/>
      <c r="U316" s="499"/>
      <c r="V316" s="499"/>
      <c r="W316" s="499"/>
    </row>
    <row r="317" spans="1:23" s="89" customFormat="1" ht="12">
      <c r="A317" s="140" t="s">
        <v>133</v>
      </c>
      <c r="B317" s="100" t="s">
        <v>122</v>
      </c>
      <c r="C317" s="106">
        <f>'01-3'!C63+'02-3'!C63+'03-3'!C63+'04-3'!C63+'05-3'!C63+'08-3'!C63+'09-3'!C63+'10-3'!C63+'11-3'!C63+'12-3'!C63+'13-3'!C63+'14-3'!C63+'15-3'!C63+'16-3'!C63+'17-3'!C63+'18-3'!C63+'19-3'!C63+'21-3'!C63+'22-3'!C63+'24-3'!C63+'25-3'!C63+'28-3'!C63+'29-3'!C63+'30-3'!C63+'32-3'!C63+'35-3'!C63+'37-3'!C63+'47-3'!C63+'62-3'!C63+'64-3'!C63+'74-3'!C63</f>
        <v>457071433</v>
      </c>
      <c r="D317" s="106">
        <f>'01-3'!D63+'02-3'!D63+'03-3'!D63+'04-3'!D63+'05-3'!D63+'08-3'!D63+'09-3'!D63+'10-3'!D63+'11-3'!D63+'12-3'!D63+'13-3'!D63+'14-3'!D63+'15-3'!D63+'16-3'!D63+'17-3'!D63+'18-3'!D63+'19-3'!D63+'21-3'!D63+'22-3'!D63+'24-3'!D63+'25-3'!D63+'28-3'!D63+'29-3'!D63+'30-3'!D63+'32-3'!D63+'35-3'!D63+'37-3'!D63+'47-3'!D63+'62-3'!D63+'64-3'!D63+'74-3'!D63</f>
        <v>346198850</v>
      </c>
      <c r="E317" s="106">
        <f>'01-3'!E63+'02-3'!E63+'03-3'!E63+'04-3'!E63+'05-3'!E63+'08-3'!E63+'09-3'!E63+'10-3'!E63+'11-3'!E63+'12-3'!E63+'13-3'!E63+'14-3'!E63+'15-3'!E63+'16-3'!E63+'17-3'!E63+'18-3'!E63+'19-3'!E63+'21-3'!E63+'22-3'!E63+'24-3'!E63+'25-3'!E63+'28-3'!E63+'29-3'!E63+'30-3'!E63+'32-3'!E63+'35-3'!E63+'37-3'!E63+'47-3'!E63+'62-3'!E63+'64-3'!E63+'74-3'!E63</f>
        <v>4466796</v>
      </c>
      <c r="F317" s="106">
        <f>'01-3'!F63+'02-3'!F63+'03-3'!F63+'04-3'!F63+'05-3'!F63+'08-3'!F63+'09-3'!F63+'10-3'!F63+'11-3'!F63+'12-3'!F63+'13-3'!F63+'14-3'!F63+'15-3'!F63+'16-3'!F63+'17-3'!F63+'18-3'!F63+'19-3'!F63+'21-3'!F63+'22-3'!F63+'24-3'!F63+'25-3'!F63+'28-3'!F63+'29-3'!F63+'30-3'!F63+'32-3'!F63+'35-3'!F63+'37-3'!F63+'47-3'!F63+'62-3'!F63+'64-3'!F63+'74-3'!F63</f>
        <v>477734</v>
      </c>
      <c r="G317" s="106">
        <f>'01-3'!G63+'02-3'!G63+'03-3'!G63+'04-3'!G63+'05-3'!G63+'08-3'!G63+'09-3'!G63+'10-3'!G63+'11-3'!G63+'12-3'!G63+'13-3'!G63+'14-3'!G63+'15-3'!G63+'16-3'!G63+'17-3'!G63+'18-3'!G63+'19-3'!G63+'21-3'!G63+'22-3'!G63+'24-3'!G63+'25-3'!G63+'28-3'!G63+'29-3'!G63+'30-3'!G63+'32-3'!G63+'35-3'!G63+'37-3'!G63+'47-3'!G63+'62-3'!G63+'64-3'!G63+'74-3'!G63</f>
        <v>16568864</v>
      </c>
      <c r="H317" s="106">
        <f>'01-3'!H63+'02-3'!H63+'03-3'!H63+'04-3'!H63+'05-3'!H63+'08-3'!H63+'09-3'!H63+'10-3'!H63+'11-3'!H63+'12-3'!H63+'13-3'!H63+'14-3'!H63+'15-3'!H63+'16-3'!H63+'17-3'!H63+'18-3'!H63+'19-3'!H63+'21-3'!H63+'22-3'!H63+'24-3'!H63+'25-3'!H63+'28-3'!H63+'29-3'!H63+'30-3'!H63+'32-3'!H63+'35-3'!H63+'37-3'!H63+'47-3'!H63+'62-3'!H63+'64-3'!H63+'74-3'!H63</f>
        <v>367712244</v>
      </c>
      <c r="I317" s="106">
        <f>'01-3'!I63+'02-3'!I63+'03-3'!I63+'04-3'!I63+'05-3'!I63+'08-3'!I63+'09-3'!I63+'10-3'!I63+'11-3'!I63+'12-3'!I63+'13-3'!I63+'14-3'!I63+'15-3'!I63+'16-3'!I63+'17-3'!I63+'18-3'!I63+'19-3'!I63+'21-3'!I63+'22-3'!I63+'24-3'!I63+'25-3'!I63+'28-3'!I63+'29-3'!I63+'30-3'!I63+'32-3'!I63+'35-3'!I63+'37-3'!I63+'47-3'!I63+'62-3'!I63+'64-3'!I63+'74-3'!I63</f>
        <v>93735397</v>
      </c>
      <c r="J317" s="106">
        <f>'01-3'!J63+'02-3'!J63+'03-3'!J63+'04-3'!J63+'05-3'!J63+'08-3'!J63+'09-3'!J63+'10-3'!J63+'11-3'!J63+'12-3'!J63+'13-3'!J63+'14-3'!J63+'15-3'!J63+'16-3'!J63+'17-3'!J63+'18-3'!J63+'19-3'!J63+'21-3'!J63+'22-3'!J63+'24-3'!J63+'25-3'!J63+'28-3'!J63+'29-3'!J63+'30-3'!J63+'32-3'!J63+'35-3'!J63+'37-3'!J63+'47-3'!J63+'62-3'!J63+'64-3'!J63+'74-3'!J63</f>
        <v>1303166</v>
      </c>
      <c r="K317" s="106">
        <f>'01-3'!K63+'02-3'!K63+'03-3'!K63+'04-3'!K63+'05-3'!K63+'08-3'!K63+'09-3'!K63+'10-3'!K63+'11-3'!K63+'12-3'!K63+'13-3'!K63+'14-3'!K63+'15-3'!K63+'16-3'!K63+'17-3'!K63+'18-3'!K63+'19-3'!K63+'21-3'!K63+'22-3'!K63+'24-3'!K63+'25-3'!K63+'28-3'!K63+'29-3'!K63+'30-3'!K63+'32-3'!K63+'35-3'!K63+'37-3'!K63+'47-3'!K63+'62-3'!K63+'64-3'!K63+'74-3'!K63</f>
        <v>173451</v>
      </c>
      <c r="L317" s="106">
        <f>'01-3'!L63+'02-3'!L63+'03-3'!L63+'04-3'!L63+'05-3'!L63+'08-3'!L63+'09-3'!L63+'10-3'!L63+'11-3'!L63+'12-3'!L63+'13-3'!L63+'14-3'!L63+'15-3'!L63+'16-3'!L63+'17-3'!L63+'18-3'!L63+'19-3'!L63+'21-3'!L63+'22-3'!L63+'24-3'!L63+'25-3'!L63+'28-3'!L63+'29-3'!L63+'30-3'!L63+'32-3'!L63+'35-3'!L63+'37-3'!L63+'47-3'!L63+'62-3'!L63+'64-3'!L63+'74-3'!L63</f>
        <v>28435188</v>
      </c>
      <c r="M317" s="106">
        <f>'01-3'!M63+'02-3'!M63+'03-3'!M63+'04-3'!M63+'05-3'!M63+'08-3'!M63+'09-3'!M63+'10-3'!M63+'11-3'!M63+'12-3'!M63+'13-3'!M63+'14-3'!M63+'15-3'!M63+'16-3'!M63+'17-3'!M63+'18-3'!M63+'19-3'!M63+'21-3'!M63+'22-3'!M63+'24-3'!M63+'25-3'!M63+'28-3'!M63+'29-3'!M63+'30-3'!M63+'32-3'!M63+'35-3'!M63+'37-3'!M63+'47-3'!M63+'62-3'!M63+'64-3'!M63+'74-3'!M63</f>
        <v>123647202</v>
      </c>
      <c r="N317" s="106">
        <f>'01-3'!N63+'02-3'!N63+'03-3'!N63+'04-3'!N63+'05-3'!N63+'08-3'!N63+'09-3'!N63+'10-3'!N63+'11-3'!N63+'12-3'!N63+'13-3'!N63+'14-3'!N63+'15-3'!N63+'16-3'!N63+'17-3'!N63+'18-3'!N63+'19-3'!N63+'21-3'!N63+'22-3'!N63+'24-3'!N63+'25-3'!N63+'28-3'!N63+'29-3'!N63+'30-3'!N63+'32-3'!N63+'35-3'!N63+'37-3'!N63+'47-3'!N63+'62-3'!N63+'64-3'!N63+'74-3'!N63</f>
        <v>45273804</v>
      </c>
      <c r="O317" s="106">
        <f>'01-3'!O63+'02-3'!O63+'03-3'!O63+'04-3'!O63+'05-3'!O63+'08-3'!O63+'09-3'!O63+'10-3'!O63+'11-3'!O63+'12-3'!O63+'13-3'!O63+'14-3'!O63+'15-3'!O63+'16-3'!O63+'17-3'!O63+'18-3'!O63+'19-3'!O63+'21-3'!O63+'22-3'!O63+'24-3'!O63+'25-3'!O63+'28-3'!O63+'29-3'!O63+'30-3'!O63+'32-3'!O63+'35-3'!O63+'37-3'!O63+'47-3'!O63+'62-3'!O63+'64-3'!O63+'74-3'!O63</f>
        <v>171694</v>
      </c>
      <c r="P317" s="106">
        <f>'01-3'!P63+'02-3'!P63+'03-3'!P63+'04-3'!P63+'05-3'!P63+'08-3'!P63+'09-3'!P63+'10-3'!P63+'11-3'!P63+'12-3'!P63+'13-3'!P63+'14-3'!P63+'15-3'!P63+'16-3'!P63+'17-3'!P63+'18-3'!P63+'19-3'!P63+'21-3'!P63+'22-3'!P63+'24-3'!P63+'25-3'!P63+'28-3'!P63+'29-3'!P63+'30-3'!P63+'32-3'!P63+'35-3'!P63+'37-3'!P63+'47-3'!P63+'62-3'!P63+'64-3'!P63+'74-3'!P63</f>
        <v>573772</v>
      </c>
      <c r="Q317" s="106">
        <f>'01-3'!Q63+'02-3'!Q63+'03-3'!Q63+'04-3'!Q63+'05-3'!Q63+'08-3'!Q63+'09-3'!Q63+'10-3'!Q63+'11-3'!Q63+'12-3'!Q63+'13-3'!Q63+'14-3'!Q63+'15-3'!Q63+'16-3'!Q63+'17-3'!Q63+'18-3'!Q63+'19-3'!Q63+'21-3'!Q63+'22-3'!Q63+'24-3'!Q63+'25-3'!Q63+'28-3'!Q63+'29-3'!Q63+'30-3'!Q63+'32-3'!Q63+'35-3'!Q63+'37-3'!Q63+'47-3'!Q63+'62-3'!Q63+'64-3'!Q63+'74-3'!Q63</f>
        <v>25424363</v>
      </c>
      <c r="R317" s="106">
        <f>'01-3'!R63+'02-3'!R63+'03-3'!R63+'04-3'!R63+'05-3'!R63+'08-3'!R63+'09-3'!R63+'10-3'!R63+'11-3'!R63+'12-3'!R63+'13-3'!R63+'14-3'!R63+'15-3'!R63+'16-3'!R63+'17-3'!R63+'18-3'!R63+'19-3'!R63+'21-3'!R63+'22-3'!R63+'24-3'!R63+'25-3'!R63+'28-3'!R63+'29-3'!R63+'30-3'!R63+'32-3'!R63+'35-3'!R63+'37-3'!R63+'47-3'!R63+'62-3'!R63+'64-3'!R63+'74-3'!R63</f>
        <v>71443633</v>
      </c>
      <c r="S317" s="499"/>
      <c r="T317" s="499"/>
      <c r="U317" s="499"/>
      <c r="V317" s="499"/>
      <c r="W317" s="499"/>
    </row>
    <row r="318" spans="1:23" s="89" customFormat="1" ht="12">
      <c r="A318" s="140">
        <v>5000</v>
      </c>
      <c r="B318" s="100" t="s">
        <v>123</v>
      </c>
      <c r="C318" s="106">
        <f>'01-3'!C64+'02-3'!C64+'03-3'!C64+'04-3'!C64+'05-3'!C64+'08-3'!C64+'09-3'!C64+'10-3'!C64+'11-3'!C64+'12-3'!C64+'13-3'!C64+'14-3'!C64+'15-3'!C64+'16-3'!C64+'17-3'!C64+'18-3'!C64+'19-3'!C64+'21-3'!C64+'22-3'!C64+'24-3'!C64+'25-3'!C64+'28-3'!C64+'29-3'!C64+'30-3'!C64+'32-3'!C64+'35-3'!C64+'37-3'!C64+'47-3'!C64+'62-3'!C64+'64-3'!C64+'74-3'!C64</f>
        <v>235896287</v>
      </c>
      <c r="D318" s="106">
        <f>'01-3'!D64+'02-3'!D64+'03-3'!D64+'04-3'!D64+'05-3'!D64+'08-3'!D64+'09-3'!D64+'10-3'!D64+'11-3'!D64+'12-3'!D64+'13-3'!D64+'14-3'!D64+'15-3'!D64+'16-3'!D64+'17-3'!D64+'18-3'!D64+'19-3'!D64+'21-3'!D64+'22-3'!D64+'24-3'!D64+'25-3'!D64+'28-3'!D64+'29-3'!D64+'30-3'!D64+'32-3'!D64+'35-3'!D64+'37-3'!D64+'47-3'!D64+'62-3'!D64+'64-3'!D64+'74-3'!D64</f>
        <v>150893209</v>
      </c>
      <c r="E318" s="106">
        <f>'01-3'!E64+'02-3'!E64+'03-3'!E64+'04-3'!E64+'05-3'!E64+'08-3'!E64+'09-3'!E64+'10-3'!E64+'11-3'!E64+'12-3'!E64+'13-3'!E64+'14-3'!E64+'15-3'!E64+'16-3'!E64+'17-3'!E64+'18-3'!E64+'19-3'!E64+'21-3'!E64+'22-3'!E64+'24-3'!E64+'25-3'!E64+'28-3'!E64+'29-3'!E64+'30-3'!E64+'32-3'!E64+'35-3'!E64+'37-3'!E64+'47-3'!E64+'62-3'!E64+'64-3'!E64+'74-3'!E64</f>
        <v>3611451</v>
      </c>
      <c r="F318" s="106">
        <f>'01-3'!F64+'02-3'!F64+'03-3'!F64+'04-3'!F64+'05-3'!F64+'08-3'!F64+'09-3'!F64+'10-3'!F64+'11-3'!F64+'12-3'!F64+'13-3'!F64+'14-3'!F64+'15-3'!F64+'16-3'!F64+'17-3'!F64+'18-3'!F64+'19-3'!F64+'21-3'!F64+'22-3'!F64+'24-3'!F64+'25-3'!F64+'28-3'!F64+'29-3'!F64+'30-3'!F64+'32-3'!F64+'35-3'!F64+'37-3'!F64+'47-3'!F64+'62-3'!F64+'64-3'!F64+'74-3'!F64</f>
        <v>477734</v>
      </c>
      <c r="G318" s="106">
        <f>'01-3'!G64+'02-3'!G64+'03-3'!G64+'04-3'!G64+'05-3'!G64+'08-3'!G64+'09-3'!G64+'10-3'!G64+'11-3'!G64+'12-3'!G64+'13-3'!G64+'14-3'!G64+'15-3'!G64+'16-3'!G64+'17-3'!G64+'18-3'!G64+'19-3'!G64+'21-3'!G64+'22-3'!G64+'24-3'!G64+'25-3'!G64+'28-3'!G64+'29-3'!G64+'30-3'!G64+'32-3'!G64+'35-3'!G64+'37-3'!G64+'47-3'!G64+'62-3'!G64+'64-3'!G64+'74-3'!G64</f>
        <v>16568864</v>
      </c>
      <c r="H318" s="106">
        <f>'01-3'!H64+'02-3'!H64+'03-3'!H64+'04-3'!H64+'05-3'!H64+'08-3'!H64+'09-3'!H64+'10-3'!H64+'11-3'!H64+'12-3'!H64+'13-3'!H64+'14-3'!H64+'15-3'!H64+'16-3'!H64+'17-3'!H64+'18-3'!H64+'19-3'!H64+'21-3'!H64+'22-3'!H64+'24-3'!H64+'25-3'!H64+'28-3'!H64+'29-3'!H64+'30-3'!H64+'32-3'!H64+'35-3'!H64+'37-3'!H64+'47-3'!H64+'62-3'!H64+'64-3'!H64+'74-3'!H64</f>
        <v>171551258</v>
      </c>
      <c r="I318" s="106">
        <f>'01-3'!I64+'02-3'!I64+'03-3'!I64+'04-3'!I64+'05-3'!I64+'08-3'!I64+'09-3'!I64+'10-3'!I64+'11-3'!I64+'12-3'!I64+'13-3'!I64+'14-3'!I64+'15-3'!I64+'16-3'!I64+'17-3'!I64+'18-3'!I64+'19-3'!I64+'21-3'!I64+'22-3'!I64+'24-3'!I64+'25-3'!I64+'28-3'!I64+'29-3'!I64+'30-3'!I64+'32-3'!I64+'35-3'!I64+'37-3'!I64+'47-3'!I64+'62-3'!I64+'64-3'!I64+'74-3'!I64</f>
        <v>37395170</v>
      </c>
      <c r="J318" s="106">
        <f>'01-3'!J64+'02-3'!J64+'03-3'!J64+'04-3'!J64+'05-3'!J64+'08-3'!J64+'09-3'!J64+'10-3'!J64+'11-3'!J64+'12-3'!J64+'13-3'!J64+'14-3'!J64+'15-3'!J64+'16-3'!J64+'17-3'!J64+'18-3'!J64+'19-3'!J64+'21-3'!J64+'22-3'!J64+'24-3'!J64+'25-3'!J64+'28-3'!J64+'29-3'!J64+'30-3'!J64+'32-3'!J64+'35-3'!J64+'37-3'!J64+'47-3'!J64+'62-3'!J64+'64-3'!J64+'74-3'!J64</f>
        <v>1303166</v>
      </c>
      <c r="K318" s="106">
        <f>'01-3'!K64+'02-3'!K64+'03-3'!K64+'04-3'!K64+'05-3'!K64+'08-3'!K64+'09-3'!K64+'10-3'!K64+'11-3'!K64+'12-3'!K64+'13-3'!K64+'14-3'!K64+'15-3'!K64+'16-3'!K64+'17-3'!K64+'18-3'!K64+'19-3'!K64+'21-3'!K64+'22-3'!K64+'24-3'!K64+'25-3'!K64+'28-3'!K64+'29-3'!K64+'30-3'!K64+'32-3'!K64+'35-3'!K64+'37-3'!K64+'47-3'!K64+'62-3'!K64+'64-3'!K64+'74-3'!K64</f>
        <v>173451</v>
      </c>
      <c r="L318" s="106">
        <f>'01-3'!L64+'02-3'!L64+'03-3'!L64+'04-3'!L64+'05-3'!L64+'08-3'!L64+'09-3'!L64+'10-3'!L64+'11-3'!L64+'12-3'!L64+'13-3'!L64+'14-3'!L64+'15-3'!L64+'16-3'!L64+'17-3'!L64+'18-3'!L64+'19-3'!L64+'21-3'!L64+'22-3'!L64+'24-3'!L64+'25-3'!L64+'28-3'!L64+'29-3'!L64+'30-3'!L64+'32-3'!L64+'35-3'!L64+'37-3'!L64+'47-3'!L64+'62-3'!L64+'64-3'!L64+'74-3'!L64</f>
        <v>28435188</v>
      </c>
      <c r="M318" s="106">
        <f>'01-3'!M64+'02-3'!M64+'03-3'!M64+'04-3'!M64+'05-3'!M64+'08-3'!M64+'09-3'!M64+'10-3'!M64+'11-3'!M64+'12-3'!M64+'13-3'!M64+'14-3'!M64+'15-3'!M64+'16-3'!M64+'17-3'!M64+'18-3'!M64+'19-3'!M64+'21-3'!M64+'22-3'!M64+'24-3'!M64+'25-3'!M64+'28-3'!M64+'29-3'!M64+'30-3'!M64+'32-3'!M64+'35-3'!M64+'37-3'!M64+'47-3'!M64+'62-3'!M64+'64-3'!M64+'74-3'!M64</f>
        <v>67306975</v>
      </c>
      <c r="N318" s="106">
        <f>'01-3'!N64+'02-3'!N64+'03-3'!N64+'04-3'!N64+'05-3'!N64+'08-3'!N64+'09-3'!N64+'10-3'!N64+'11-3'!N64+'12-3'!N64+'13-3'!N64+'14-3'!N64+'15-3'!N64+'16-3'!N64+'17-3'!N64+'18-3'!N64+'19-3'!N64+'21-3'!N64+'22-3'!N64+'24-3'!N64+'25-3'!N64+'28-3'!N64+'29-3'!N64+'30-3'!N64+'32-3'!N64+'35-3'!N64+'37-3'!N64+'47-3'!N64+'62-3'!N64+'64-3'!N64+'74-3'!N64</f>
        <v>29625436</v>
      </c>
      <c r="O318" s="106">
        <f>'01-3'!O64+'02-3'!O64+'03-3'!O64+'04-3'!O64+'05-3'!O64+'08-3'!O64+'09-3'!O64+'10-3'!O64+'11-3'!O64+'12-3'!O64+'13-3'!O64+'14-3'!O64+'15-3'!O64+'16-3'!O64+'17-3'!O64+'18-3'!O64+'19-3'!O64+'21-3'!O64+'22-3'!O64+'24-3'!O64+'25-3'!O64+'28-3'!O64+'29-3'!O64+'30-3'!O64+'32-3'!O64+'35-3'!O64+'37-3'!O64+'47-3'!O64+'62-3'!O64+'64-3'!O64+'74-3'!O64</f>
        <v>171694</v>
      </c>
      <c r="P318" s="106">
        <f>'01-3'!P64+'02-3'!P64+'03-3'!P64+'04-3'!P64+'05-3'!P64+'08-3'!P64+'09-3'!P64+'10-3'!P64+'11-3'!P64+'12-3'!P64+'13-3'!P64+'14-3'!P64+'15-3'!P64+'16-3'!P64+'17-3'!P64+'18-3'!P64+'19-3'!P64+'21-3'!P64+'22-3'!P64+'24-3'!P64+'25-3'!P64+'28-3'!P64+'29-3'!P64+'30-3'!P64+'32-3'!P64+'35-3'!P64+'37-3'!P64+'47-3'!P64+'62-3'!P64+'64-3'!P64+'74-3'!P64</f>
        <v>573772</v>
      </c>
      <c r="Q318" s="106">
        <f>'01-3'!Q64+'02-3'!Q64+'03-3'!Q64+'04-3'!Q64+'05-3'!Q64+'08-3'!Q64+'09-3'!Q64+'10-3'!Q64+'11-3'!Q64+'12-3'!Q64+'13-3'!Q64+'14-3'!Q64+'15-3'!Q64+'16-3'!Q64+'17-3'!Q64+'18-3'!Q64+'19-3'!Q64+'21-3'!Q64+'22-3'!Q64+'24-3'!Q64+'25-3'!Q64+'28-3'!Q64+'29-3'!Q64+'30-3'!Q64+'32-3'!Q64+'35-3'!Q64+'37-3'!Q64+'47-3'!Q64+'62-3'!Q64+'64-3'!Q64+'74-3'!Q64</f>
        <v>25424363</v>
      </c>
      <c r="R318" s="106">
        <f>'01-3'!R64+'02-3'!R64+'03-3'!R64+'04-3'!R64+'05-3'!R64+'08-3'!R64+'09-3'!R64+'10-3'!R64+'11-3'!R64+'12-3'!R64+'13-3'!R64+'14-3'!R64+'15-3'!R64+'16-3'!R64+'17-3'!R64+'18-3'!R64+'19-3'!R64+'21-3'!R64+'22-3'!R64+'24-3'!R64+'25-3'!R64+'28-3'!R64+'29-3'!R64+'30-3'!R64+'32-3'!R64+'35-3'!R64+'37-3'!R64+'47-3'!R64+'62-3'!R64+'64-3'!R64+'74-3'!R64</f>
        <v>55795265</v>
      </c>
      <c r="S318" s="499"/>
      <c r="T318" s="499"/>
      <c r="U318" s="499"/>
      <c r="V318" s="499"/>
      <c r="W318" s="499"/>
    </row>
    <row r="319" spans="1:23" s="89" customFormat="1" ht="12">
      <c r="A319" s="140">
        <v>9000</v>
      </c>
      <c r="B319" s="115" t="s">
        <v>164</v>
      </c>
      <c r="C319" s="106">
        <f>'01-3'!C65+'02-3'!C65+'03-3'!C65+'04-3'!C65+'05-3'!C65+'08-3'!C65+'09-3'!C65+'10-3'!C65+'11-3'!C65+'12-3'!C65+'13-3'!C65+'14-3'!C65+'15-3'!C65+'16-3'!C65+'17-3'!C65+'18-3'!C65+'19-3'!C65+'21-3'!C65+'22-3'!C65+'24-3'!C65+'25-3'!C65+'28-3'!C65+'29-3'!C65+'30-3'!C65+'32-3'!C65+'35-3'!C65+'37-3'!C65+'47-3'!C65+'62-3'!C65+'64-3'!C65+'74-3'!C65</f>
        <v>221175146</v>
      </c>
      <c r="D319" s="106">
        <f>'01-3'!D65+'02-3'!D65+'03-3'!D65+'04-3'!D65+'05-3'!D65+'08-3'!D65+'09-3'!D65+'10-3'!D65+'11-3'!D65+'12-3'!D65+'13-3'!D65+'14-3'!D65+'15-3'!D65+'16-3'!D65+'17-3'!D65+'18-3'!D65+'19-3'!D65+'21-3'!D65+'22-3'!D65+'24-3'!D65+'25-3'!D65+'28-3'!D65+'29-3'!D65+'30-3'!D65+'32-3'!D65+'35-3'!D65+'37-3'!D65+'47-3'!D65+'62-3'!D65+'64-3'!D65+'74-3'!D65</f>
        <v>195305641</v>
      </c>
      <c r="E319" s="106">
        <f>'01-3'!E65+'02-3'!E65+'03-3'!E65+'04-3'!E65+'05-3'!E65+'08-3'!E65+'09-3'!E65+'10-3'!E65+'11-3'!E65+'12-3'!E65+'13-3'!E65+'14-3'!E65+'15-3'!E65+'16-3'!E65+'17-3'!E65+'18-3'!E65+'19-3'!E65+'21-3'!E65+'22-3'!E65+'24-3'!E65+'25-3'!E65+'28-3'!E65+'29-3'!E65+'30-3'!E65+'32-3'!E65+'35-3'!E65+'37-3'!E65+'47-3'!E65+'62-3'!E65+'64-3'!E65+'74-3'!E65</f>
        <v>855345</v>
      </c>
      <c r="F319" s="106">
        <f>'01-3'!F65+'02-3'!F65+'03-3'!F65+'04-3'!F65+'05-3'!F65+'08-3'!F65+'09-3'!F65+'10-3'!F65+'11-3'!F65+'12-3'!F65+'13-3'!F65+'14-3'!F65+'15-3'!F65+'16-3'!F65+'17-3'!F65+'18-3'!F65+'19-3'!F65+'21-3'!F65+'22-3'!F65+'24-3'!F65+'25-3'!F65+'28-3'!F65+'29-3'!F65+'30-3'!F65+'32-3'!F65+'35-3'!F65+'37-3'!F65+'47-3'!F65+'62-3'!F65+'64-3'!F65+'74-3'!F65</f>
        <v>0</v>
      </c>
      <c r="G319" s="106">
        <f>'01-3'!G65+'02-3'!G65+'03-3'!G65+'04-3'!G65+'05-3'!G65+'08-3'!G65+'09-3'!G65+'10-3'!G65+'11-3'!G65+'12-3'!G65+'13-3'!G65+'14-3'!G65+'15-3'!G65+'16-3'!G65+'17-3'!G65+'18-3'!G65+'19-3'!G65+'21-3'!G65+'22-3'!G65+'24-3'!G65+'25-3'!G65+'28-3'!G65+'29-3'!G65+'30-3'!G65+'32-3'!G65+'35-3'!G65+'37-3'!G65+'47-3'!G65+'62-3'!G65+'64-3'!G65+'74-3'!G65</f>
        <v>0</v>
      </c>
      <c r="H319" s="106">
        <f>'01-3'!H65+'02-3'!H65+'03-3'!H65+'04-3'!H65+'05-3'!H65+'08-3'!H65+'09-3'!H65+'10-3'!H65+'11-3'!H65+'12-3'!H65+'13-3'!H65+'14-3'!H65+'15-3'!H65+'16-3'!H65+'17-3'!H65+'18-3'!H65+'19-3'!H65+'21-3'!H65+'22-3'!H65+'24-3'!H65+'25-3'!H65+'28-3'!H65+'29-3'!H65+'30-3'!H65+'32-3'!H65+'35-3'!H65+'37-3'!H65+'47-3'!H65+'62-3'!H65+'64-3'!H65+'74-3'!H65</f>
        <v>196160986</v>
      </c>
      <c r="I319" s="106">
        <f>'01-3'!I65+'02-3'!I65+'03-3'!I65+'04-3'!I65+'05-3'!I65+'08-3'!I65+'09-3'!I65+'10-3'!I65+'11-3'!I65+'12-3'!I65+'13-3'!I65+'14-3'!I65+'15-3'!I65+'16-3'!I65+'17-3'!I65+'18-3'!I65+'19-3'!I65+'21-3'!I65+'22-3'!I65+'24-3'!I65+'25-3'!I65+'28-3'!I65+'29-3'!I65+'30-3'!I65+'32-3'!I65+'35-3'!I65+'37-3'!I65+'47-3'!I65+'62-3'!I65+'64-3'!I65+'74-3'!I65</f>
        <v>56340227</v>
      </c>
      <c r="J319" s="106">
        <f>'01-3'!J65+'02-3'!J65+'03-3'!J65+'04-3'!J65+'05-3'!J65+'08-3'!J65+'09-3'!J65+'10-3'!J65+'11-3'!J65+'12-3'!J65+'13-3'!J65+'14-3'!J65+'15-3'!J65+'16-3'!J65+'17-3'!J65+'18-3'!J65+'19-3'!J65+'21-3'!J65+'22-3'!J65+'24-3'!J65+'25-3'!J65+'28-3'!J65+'29-3'!J65+'30-3'!J65+'32-3'!J65+'35-3'!J65+'37-3'!J65+'47-3'!J65+'62-3'!J65+'64-3'!J65+'74-3'!J65</f>
        <v>0</v>
      </c>
      <c r="K319" s="106">
        <f>'01-3'!K65+'02-3'!K65+'03-3'!K65+'04-3'!K65+'05-3'!K65+'08-3'!K65+'09-3'!K65+'10-3'!K65+'11-3'!K65+'12-3'!K65+'13-3'!K65+'14-3'!K65+'15-3'!K65+'16-3'!K65+'17-3'!K65+'18-3'!K65+'19-3'!K65+'21-3'!K65+'22-3'!K65+'24-3'!K65+'25-3'!K65+'28-3'!K65+'29-3'!K65+'30-3'!K65+'32-3'!K65+'35-3'!K65+'37-3'!K65+'47-3'!K65+'62-3'!K65+'64-3'!K65+'74-3'!K65</f>
        <v>0</v>
      </c>
      <c r="L319" s="106">
        <f>'01-3'!L65+'02-3'!L65+'03-3'!L65+'04-3'!L65+'05-3'!L65+'08-3'!L65+'09-3'!L65+'10-3'!L65+'11-3'!L65+'12-3'!L65+'13-3'!L65+'14-3'!L65+'15-3'!L65+'16-3'!L65+'17-3'!L65+'18-3'!L65+'19-3'!L65+'21-3'!L65+'22-3'!L65+'24-3'!L65+'25-3'!L65+'28-3'!L65+'29-3'!L65+'30-3'!L65+'32-3'!L65+'35-3'!L65+'37-3'!L65+'47-3'!L65+'62-3'!L65+'64-3'!L65+'74-3'!L65</f>
        <v>0</v>
      </c>
      <c r="M319" s="106">
        <f>'01-3'!M65+'02-3'!M65+'03-3'!M65+'04-3'!M65+'05-3'!M65+'08-3'!M65+'09-3'!M65+'10-3'!M65+'11-3'!M65+'12-3'!M65+'13-3'!M65+'14-3'!M65+'15-3'!M65+'16-3'!M65+'17-3'!M65+'18-3'!M65+'19-3'!M65+'21-3'!M65+'22-3'!M65+'24-3'!M65+'25-3'!M65+'28-3'!M65+'29-3'!M65+'30-3'!M65+'32-3'!M65+'35-3'!M65+'37-3'!M65+'47-3'!M65+'62-3'!M65+'64-3'!M65+'74-3'!M65</f>
        <v>56340227</v>
      </c>
      <c r="N319" s="106">
        <f>'01-3'!N65+'02-3'!N65+'03-3'!N65+'04-3'!N65+'05-3'!N65+'08-3'!N65+'09-3'!N65+'10-3'!N65+'11-3'!N65+'12-3'!N65+'13-3'!N65+'14-3'!N65+'15-3'!N65+'16-3'!N65+'17-3'!N65+'18-3'!N65+'19-3'!N65+'21-3'!N65+'22-3'!N65+'24-3'!N65+'25-3'!N65+'28-3'!N65+'29-3'!N65+'30-3'!N65+'32-3'!N65+'35-3'!N65+'37-3'!N65+'47-3'!N65+'62-3'!N65+'64-3'!N65+'74-3'!N65</f>
        <v>15648368</v>
      </c>
      <c r="O319" s="106">
        <f>'01-3'!O65+'02-3'!O65+'03-3'!O65+'04-3'!O65+'05-3'!O65+'08-3'!O65+'09-3'!O65+'10-3'!O65+'11-3'!O65+'12-3'!O65+'13-3'!O65+'14-3'!O65+'15-3'!O65+'16-3'!O65+'17-3'!O65+'18-3'!O65+'19-3'!O65+'21-3'!O65+'22-3'!O65+'24-3'!O65+'25-3'!O65+'28-3'!O65+'29-3'!O65+'30-3'!O65+'32-3'!O65+'35-3'!O65+'37-3'!O65+'47-3'!O65+'62-3'!O65+'64-3'!O65+'74-3'!O65</f>
        <v>0</v>
      </c>
      <c r="P319" s="106">
        <f>'01-3'!P65+'02-3'!P65+'03-3'!P65+'04-3'!P65+'05-3'!P65+'08-3'!P65+'09-3'!P65+'10-3'!P65+'11-3'!P65+'12-3'!P65+'13-3'!P65+'14-3'!P65+'15-3'!P65+'16-3'!P65+'17-3'!P65+'18-3'!P65+'19-3'!P65+'21-3'!P65+'22-3'!P65+'24-3'!P65+'25-3'!P65+'28-3'!P65+'29-3'!P65+'30-3'!P65+'32-3'!P65+'35-3'!P65+'37-3'!P65+'47-3'!P65+'62-3'!P65+'64-3'!P65+'74-3'!P65</f>
        <v>0</v>
      </c>
      <c r="Q319" s="106">
        <f>'01-3'!Q65+'02-3'!Q65+'03-3'!Q65+'04-3'!Q65+'05-3'!Q65+'08-3'!Q65+'09-3'!Q65+'10-3'!Q65+'11-3'!Q65+'12-3'!Q65+'13-3'!Q65+'14-3'!Q65+'15-3'!Q65+'16-3'!Q65+'17-3'!Q65+'18-3'!Q65+'19-3'!Q65+'21-3'!Q65+'22-3'!Q65+'24-3'!Q65+'25-3'!Q65+'28-3'!Q65+'29-3'!Q65+'30-3'!Q65+'32-3'!Q65+'35-3'!Q65+'37-3'!Q65+'47-3'!Q65+'62-3'!Q65+'64-3'!Q65+'74-3'!Q65</f>
        <v>0</v>
      </c>
      <c r="R319" s="106">
        <f>'01-3'!R65+'02-3'!R65+'03-3'!R65+'04-3'!R65+'05-3'!R65+'08-3'!R65+'09-3'!R65+'10-3'!R65+'11-3'!R65+'12-3'!R65+'13-3'!R65+'14-3'!R65+'15-3'!R65+'16-3'!R65+'17-3'!R65+'18-3'!R65+'19-3'!R65+'21-3'!R65+'22-3'!R65+'24-3'!R65+'25-3'!R65+'28-3'!R65+'29-3'!R65+'30-3'!R65+'32-3'!R65+'35-3'!R65+'37-3'!R65+'47-3'!R65+'62-3'!R65+'64-3'!R65+'74-3'!R65</f>
        <v>15648368</v>
      </c>
      <c r="S319" s="499"/>
      <c r="T319" s="499"/>
      <c r="U319" s="499"/>
      <c r="V319" s="499"/>
      <c r="W319" s="499"/>
    </row>
    <row r="320" spans="1:23" s="89" customFormat="1" ht="12" hidden="1">
      <c r="A320" s="141">
        <v>9100</v>
      </c>
      <c r="B320" s="112" t="s">
        <v>124</v>
      </c>
      <c r="C320" s="106">
        <f>'01-3'!C66+'02-3'!C66+'03-3'!C66+'04-3'!C66+'05-3'!C66+'08-3'!C66+'09-3'!C66+'10-3'!C66+'11-3'!C66+'12-3'!C66+'13-3'!C66+'14-3'!C66+'15-3'!C66+'16-3'!C66+'17-3'!C66+'18-3'!C66+'19-3'!C66+'21-3'!C66+'22-3'!C66+'24-3'!C66+'25-3'!C66+'28-3'!C66+'29-3'!C66+'30-3'!C66+'32-3'!C66+'35-3'!C66+'37-3'!C66+'47-3'!C66+'62-3'!C66+'64-3'!C66+'74-3'!C66</f>
        <v>0</v>
      </c>
      <c r="D320" s="106">
        <f>'01-3'!D66+'02-3'!D66+'03-3'!D66+'04-3'!D66+'05-3'!D66+'08-3'!D66+'09-3'!D66+'10-3'!D66+'11-3'!D66+'12-3'!D66+'13-3'!D66+'14-3'!D66+'15-3'!D66+'16-3'!D66+'17-3'!D66+'18-3'!D66+'19-3'!D66+'21-3'!D66+'22-3'!D66+'24-3'!D66+'25-3'!D66+'28-3'!D66+'29-3'!D66+'30-3'!D66+'32-3'!D66+'35-3'!D66+'37-3'!D66+'47-3'!D66+'62-3'!D66+'64-3'!D66+'74-3'!D66</f>
        <v>0</v>
      </c>
      <c r="E320" s="106">
        <f>'01-3'!E66+'02-3'!E66+'03-3'!E66+'04-3'!E66+'05-3'!E66+'08-3'!E66+'09-3'!E66+'10-3'!E66+'11-3'!E66+'12-3'!E66+'13-3'!E66+'14-3'!E66+'15-3'!E66+'16-3'!E66+'17-3'!E66+'18-3'!E66+'19-3'!E66+'21-3'!E66+'22-3'!E66+'24-3'!E66+'25-3'!E66+'28-3'!E66+'29-3'!E66+'30-3'!E66+'32-3'!E66+'35-3'!E66+'37-3'!E66+'47-3'!E66+'62-3'!E66+'64-3'!E66+'74-3'!E66</f>
        <v>0</v>
      </c>
      <c r="F320" s="106">
        <f>'01-3'!F66+'02-3'!F66+'03-3'!F66+'04-3'!F66+'05-3'!F66+'08-3'!F66+'09-3'!F66+'10-3'!F66+'11-3'!F66+'12-3'!F66+'13-3'!F66+'14-3'!F66+'15-3'!F66+'16-3'!F66+'17-3'!F66+'18-3'!F66+'19-3'!F66+'21-3'!F66+'22-3'!F66+'24-3'!F66+'25-3'!F66+'28-3'!F66+'29-3'!F66+'30-3'!F66+'32-3'!F66+'35-3'!F66+'37-3'!F66+'47-3'!F66+'62-3'!F66+'64-3'!F66+'74-3'!F66</f>
        <v>0</v>
      </c>
      <c r="G320" s="106">
        <f>'01-3'!G66+'02-3'!G66+'03-3'!G66+'04-3'!G66+'05-3'!G66+'08-3'!G66+'09-3'!G66+'10-3'!G66+'11-3'!G66+'12-3'!G66+'13-3'!G66+'14-3'!G66+'15-3'!G66+'16-3'!G66+'17-3'!G66+'18-3'!G66+'19-3'!G66+'21-3'!G66+'22-3'!G66+'24-3'!G66+'25-3'!G66+'28-3'!G66+'29-3'!G66+'30-3'!G66+'32-3'!G66+'35-3'!G66+'37-3'!G66+'47-3'!G66+'62-3'!G66+'64-3'!G66+'74-3'!G66</f>
        <v>0</v>
      </c>
      <c r="H320" s="106">
        <f>'01-3'!H66+'02-3'!H66+'03-3'!H66+'04-3'!H66+'05-3'!H66+'08-3'!H66+'09-3'!H66+'10-3'!H66+'11-3'!H66+'12-3'!H66+'13-3'!H66+'14-3'!H66+'15-3'!H66+'16-3'!H66+'17-3'!H66+'18-3'!H66+'19-3'!H66+'21-3'!H66+'22-3'!H66+'24-3'!H66+'25-3'!H66+'28-3'!H66+'29-3'!H66+'30-3'!H66+'32-3'!H66+'35-3'!H66+'37-3'!H66+'47-3'!H66+'62-3'!H66+'64-3'!H66+'74-3'!H66</f>
        <v>0</v>
      </c>
      <c r="I320" s="106">
        <f>'01-3'!I66+'02-3'!I66+'03-3'!I66+'04-3'!I66+'05-3'!I66+'08-3'!I66+'09-3'!I66+'10-3'!I66+'11-3'!I66+'12-3'!I66+'13-3'!I66+'14-3'!I66+'15-3'!I66+'16-3'!I66+'17-3'!I66+'18-3'!I66+'19-3'!I66+'21-3'!I66+'22-3'!I66+'24-3'!I66+'25-3'!I66+'28-3'!I66+'29-3'!I66+'30-3'!I66+'32-3'!I66+'35-3'!I66+'37-3'!I66+'47-3'!I66+'62-3'!I66+'64-3'!I66+'74-3'!I66</f>
        <v>0</v>
      </c>
      <c r="J320" s="106">
        <f>'01-3'!J66+'02-3'!J66+'03-3'!J66+'04-3'!J66+'05-3'!J66+'08-3'!J66+'09-3'!J66+'10-3'!J66+'11-3'!J66+'12-3'!J66+'13-3'!J66+'14-3'!J66+'15-3'!J66+'16-3'!J66+'17-3'!J66+'18-3'!J66+'19-3'!J66+'21-3'!J66+'22-3'!J66+'24-3'!J66+'25-3'!J66+'28-3'!J66+'29-3'!J66+'30-3'!J66+'32-3'!J66+'35-3'!J66+'37-3'!J66+'47-3'!J66+'62-3'!J66+'64-3'!J66+'74-3'!J66</f>
        <v>0</v>
      </c>
      <c r="K320" s="106">
        <f>'01-3'!K66+'02-3'!K66+'03-3'!K66+'04-3'!K66+'05-3'!K66+'08-3'!K66+'09-3'!K66+'10-3'!K66+'11-3'!K66+'12-3'!K66+'13-3'!K66+'14-3'!K66+'15-3'!K66+'16-3'!K66+'17-3'!K66+'18-3'!K66+'19-3'!K66+'21-3'!K66+'22-3'!K66+'24-3'!K66+'25-3'!K66+'28-3'!K66+'29-3'!K66+'30-3'!K66+'32-3'!K66+'35-3'!K66+'37-3'!K66+'47-3'!K66+'62-3'!K66+'64-3'!K66+'74-3'!K66</f>
        <v>0</v>
      </c>
      <c r="L320" s="106">
        <f>'01-3'!L66+'02-3'!L66+'03-3'!L66+'04-3'!L66+'05-3'!L66+'08-3'!L66+'09-3'!L66+'10-3'!L66+'11-3'!L66+'12-3'!L66+'13-3'!L66+'14-3'!L66+'15-3'!L66+'16-3'!L66+'17-3'!L66+'18-3'!L66+'19-3'!L66+'21-3'!L66+'22-3'!L66+'24-3'!L66+'25-3'!L66+'28-3'!L66+'29-3'!L66+'30-3'!L66+'32-3'!L66+'35-3'!L66+'37-3'!L66+'47-3'!L66+'62-3'!L66+'64-3'!L66+'74-3'!L66</f>
        <v>0</v>
      </c>
      <c r="M320" s="106">
        <f>'01-3'!M66+'02-3'!M66+'03-3'!M66+'04-3'!M66+'05-3'!M66+'08-3'!M66+'09-3'!M66+'10-3'!M66+'11-3'!M66+'12-3'!M66+'13-3'!M66+'14-3'!M66+'15-3'!M66+'16-3'!M66+'17-3'!M66+'18-3'!M66+'19-3'!M66+'21-3'!M66+'22-3'!M66+'24-3'!M66+'25-3'!M66+'28-3'!M66+'29-3'!M66+'30-3'!M66+'32-3'!M66+'35-3'!M66+'37-3'!M66+'47-3'!M66+'62-3'!M66+'64-3'!M66+'74-3'!M66</f>
        <v>0</v>
      </c>
      <c r="N320" s="106">
        <f>'01-3'!N66+'02-3'!N66+'03-3'!N66+'04-3'!N66+'05-3'!N66+'08-3'!N66+'09-3'!N66+'10-3'!N66+'11-3'!N66+'12-3'!N66+'13-3'!N66+'14-3'!N66+'15-3'!N66+'16-3'!N66+'17-3'!N66+'18-3'!N66+'19-3'!N66+'21-3'!N66+'22-3'!N66+'24-3'!N66+'25-3'!N66+'28-3'!N66+'29-3'!N66+'30-3'!N66+'32-3'!N66+'35-3'!N66+'37-3'!N66+'47-3'!N66+'62-3'!N66+'64-3'!N66+'74-3'!N66</f>
        <v>0</v>
      </c>
      <c r="O320" s="106">
        <f>'01-3'!O66+'02-3'!O66+'03-3'!O66+'04-3'!O66+'05-3'!O66+'08-3'!O66+'09-3'!O66+'10-3'!O66+'11-3'!O66+'12-3'!O66+'13-3'!O66+'14-3'!O66+'15-3'!O66+'16-3'!O66+'17-3'!O66+'18-3'!O66+'19-3'!O66+'21-3'!O66+'22-3'!O66+'24-3'!O66+'25-3'!O66+'28-3'!O66+'29-3'!O66+'30-3'!O66+'32-3'!O66+'35-3'!O66+'37-3'!O66+'47-3'!O66+'62-3'!O66+'64-3'!O66+'74-3'!O66</f>
        <v>0</v>
      </c>
      <c r="P320" s="106">
        <f>'01-3'!P66+'02-3'!P66+'03-3'!P66+'04-3'!P66+'05-3'!P66+'08-3'!P66+'09-3'!P66+'10-3'!P66+'11-3'!P66+'12-3'!P66+'13-3'!P66+'14-3'!P66+'15-3'!P66+'16-3'!P66+'17-3'!P66+'18-3'!P66+'19-3'!P66+'21-3'!P66+'22-3'!P66+'24-3'!P66+'25-3'!P66+'28-3'!P66+'29-3'!P66+'30-3'!P66+'32-3'!P66+'35-3'!P66+'37-3'!P66+'47-3'!P66+'62-3'!P66+'64-3'!P66+'74-3'!P66</f>
        <v>0</v>
      </c>
      <c r="Q320" s="106">
        <f>'01-3'!Q66+'02-3'!Q66+'03-3'!Q66+'04-3'!Q66+'05-3'!Q66+'08-3'!Q66+'09-3'!Q66+'10-3'!Q66+'11-3'!Q66+'12-3'!Q66+'13-3'!Q66+'14-3'!Q66+'15-3'!Q66+'16-3'!Q66+'17-3'!Q66+'18-3'!Q66+'19-3'!Q66+'21-3'!Q66+'22-3'!Q66+'24-3'!Q66+'25-3'!Q66+'28-3'!Q66+'29-3'!Q66+'30-3'!Q66+'32-3'!Q66+'35-3'!Q66+'37-3'!Q66+'47-3'!Q66+'62-3'!Q66+'64-3'!Q66+'74-3'!Q66</f>
        <v>0</v>
      </c>
      <c r="R320" s="106">
        <f>'01-3'!R66+'02-3'!R66+'03-3'!R66+'04-3'!R66+'05-3'!R66+'08-3'!R66+'09-3'!R66+'10-3'!R66+'11-3'!R66+'12-3'!R66+'13-3'!R66+'14-3'!R66+'15-3'!R66+'16-3'!R66+'17-3'!R66+'18-3'!R66+'19-3'!R66+'21-3'!R66+'22-3'!R66+'24-3'!R66+'25-3'!R66+'28-3'!R66+'29-3'!R66+'30-3'!R66+'32-3'!R66+'35-3'!R66+'37-3'!R66+'47-3'!R66+'62-3'!R66+'64-3'!R66+'74-3'!R66</f>
        <v>0</v>
      </c>
      <c r="S320" s="499"/>
      <c r="T320" s="499"/>
      <c r="U320" s="499"/>
      <c r="V320" s="499"/>
      <c r="W320" s="499"/>
    </row>
    <row r="321" spans="1:23" s="89" customFormat="1" ht="24" hidden="1">
      <c r="A321" s="133" t="s">
        <v>125</v>
      </c>
      <c r="B321" s="112" t="s">
        <v>203</v>
      </c>
      <c r="C321" s="106">
        <f>'01-3'!C67+'02-3'!C67+'03-3'!C67+'04-3'!C67+'05-3'!C67+'08-3'!C67+'09-3'!C67+'10-3'!C67+'11-3'!C67+'12-3'!C67+'13-3'!C67+'14-3'!C67+'15-3'!C67+'16-3'!C67+'17-3'!C67+'18-3'!C67+'19-3'!C67+'21-3'!C67+'22-3'!C67+'24-3'!C67+'25-3'!C67+'28-3'!C67+'29-3'!C67+'30-3'!C67+'32-3'!C67+'35-3'!C67+'37-3'!C67+'47-3'!C67+'62-3'!C67+'64-3'!C67+'74-3'!C67</f>
        <v>0</v>
      </c>
      <c r="D321" s="106">
        <f>'01-3'!D67+'02-3'!D67+'03-3'!D67+'04-3'!D67+'05-3'!D67+'08-3'!D67+'09-3'!D67+'10-3'!D67+'11-3'!D67+'12-3'!D67+'13-3'!D67+'14-3'!D67+'15-3'!D67+'16-3'!D67+'17-3'!D67+'18-3'!D67+'19-3'!D67+'21-3'!D67+'22-3'!D67+'24-3'!D67+'25-3'!D67+'28-3'!D67+'29-3'!D67+'30-3'!D67+'32-3'!D67+'35-3'!D67+'37-3'!D67+'47-3'!D67+'62-3'!D67+'64-3'!D67+'74-3'!D67</f>
        <v>0</v>
      </c>
      <c r="E321" s="106">
        <f>'01-3'!E67+'02-3'!E67+'03-3'!E67+'04-3'!E67+'05-3'!E67+'08-3'!E67+'09-3'!E67+'10-3'!E67+'11-3'!E67+'12-3'!E67+'13-3'!E67+'14-3'!E67+'15-3'!E67+'16-3'!E67+'17-3'!E67+'18-3'!E67+'19-3'!E67+'21-3'!E67+'22-3'!E67+'24-3'!E67+'25-3'!E67+'28-3'!E67+'29-3'!E67+'30-3'!E67+'32-3'!E67+'35-3'!E67+'37-3'!E67+'47-3'!E67+'62-3'!E67+'64-3'!E67+'74-3'!E67</f>
        <v>0</v>
      </c>
      <c r="F321" s="106">
        <f>'01-3'!F67+'02-3'!F67+'03-3'!F67+'04-3'!F67+'05-3'!F67+'08-3'!F67+'09-3'!F67+'10-3'!F67+'11-3'!F67+'12-3'!F67+'13-3'!F67+'14-3'!F67+'15-3'!F67+'16-3'!F67+'17-3'!F67+'18-3'!F67+'19-3'!F67+'21-3'!F67+'22-3'!F67+'24-3'!F67+'25-3'!F67+'28-3'!F67+'29-3'!F67+'30-3'!F67+'32-3'!F67+'35-3'!F67+'37-3'!F67+'47-3'!F67+'62-3'!F67+'64-3'!F67+'74-3'!F67</f>
        <v>0</v>
      </c>
      <c r="G321" s="106">
        <f>'01-3'!G67+'02-3'!G67+'03-3'!G67+'04-3'!G67+'05-3'!G67+'08-3'!G67+'09-3'!G67+'10-3'!G67+'11-3'!G67+'12-3'!G67+'13-3'!G67+'14-3'!G67+'15-3'!G67+'16-3'!G67+'17-3'!G67+'18-3'!G67+'19-3'!G67+'21-3'!G67+'22-3'!G67+'24-3'!G67+'25-3'!G67+'28-3'!G67+'29-3'!G67+'30-3'!G67+'32-3'!G67+'35-3'!G67+'37-3'!G67+'47-3'!G67+'62-3'!G67+'64-3'!G67+'74-3'!G67</f>
        <v>0</v>
      </c>
      <c r="H321" s="106">
        <f>'01-3'!H67+'02-3'!H67+'03-3'!H67+'04-3'!H67+'05-3'!H67+'08-3'!H67+'09-3'!H67+'10-3'!H67+'11-3'!H67+'12-3'!H67+'13-3'!H67+'14-3'!H67+'15-3'!H67+'16-3'!H67+'17-3'!H67+'18-3'!H67+'19-3'!H67+'21-3'!H67+'22-3'!H67+'24-3'!H67+'25-3'!H67+'28-3'!H67+'29-3'!H67+'30-3'!H67+'32-3'!H67+'35-3'!H67+'37-3'!H67+'47-3'!H67+'62-3'!H67+'64-3'!H67+'74-3'!H67</f>
        <v>0</v>
      </c>
      <c r="I321" s="106">
        <f>'01-3'!I67+'02-3'!I67+'03-3'!I67+'04-3'!I67+'05-3'!I67+'08-3'!I67+'09-3'!I67+'10-3'!I67+'11-3'!I67+'12-3'!I67+'13-3'!I67+'14-3'!I67+'15-3'!I67+'16-3'!I67+'17-3'!I67+'18-3'!I67+'19-3'!I67+'21-3'!I67+'22-3'!I67+'24-3'!I67+'25-3'!I67+'28-3'!I67+'29-3'!I67+'30-3'!I67+'32-3'!I67+'35-3'!I67+'37-3'!I67+'47-3'!I67+'62-3'!I67+'64-3'!I67+'74-3'!I67</f>
        <v>0</v>
      </c>
      <c r="J321" s="106">
        <f>'01-3'!J67+'02-3'!J67+'03-3'!J67+'04-3'!J67+'05-3'!J67+'08-3'!J67+'09-3'!J67+'10-3'!J67+'11-3'!J67+'12-3'!J67+'13-3'!J67+'14-3'!J67+'15-3'!J67+'16-3'!J67+'17-3'!J67+'18-3'!J67+'19-3'!J67+'21-3'!J67+'22-3'!J67+'24-3'!J67+'25-3'!J67+'28-3'!J67+'29-3'!J67+'30-3'!J67+'32-3'!J67+'35-3'!J67+'37-3'!J67+'47-3'!J67+'62-3'!J67+'64-3'!J67+'74-3'!J67</f>
        <v>0</v>
      </c>
      <c r="K321" s="106">
        <f>'01-3'!K67+'02-3'!K67+'03-3'!K67+'04-3'!K67+'05-3'!K67+'08-3'!K67+'09-3'!K67+'10-3'!K67+'11-3'!K67+'12-3'!K67+'13-3'!K67+'14-3'!K67+'15-3'!K67+'16-3'!K67+'17-3'!K67+'18-3'!K67+'19-3'!K67+'21-3'!K67+'22-3'!K67+'24-3'!K67+'25-3'!K67+'28-3'!K67+'29-3'!K67+'30-3'!K67+'32-3'!K67+'35-3'!K67+'37-3'!K67+'47-3'!K67+'62-3'!K67+'64-3'!K67+'74-3'!K67</f>
        <v>0</v>
      </c>
      <c r="L321" s="106">
        <f>'01-3'!L67+'02-3'!L67+'03-3'!L67+'04-3'!L67+'05-3'!L67+'08-3'!L67+'09-3'!L67+'10-3'!L67+'11-3'!L67+'12-3'!L67+'13-3'!L67+'14-3'!L67+'15-3'!L67+'16-3'!L67+'17-3'!L67+'18-3'!L67+'19-3'!L67+'21-3'!L67+'22-3'!L67+'24-3'!L67+'25-3'!L67+'28-3'!L67+'29-3'!L67+'30-3'!L67+'32-3'!L67+'35-3'!L67+'37-3'!L67+'47-3'!L67+'62-3'!L67+'64-3'!L67+'74-3'!L67</f>
        <v>0</v>
      </c>
      <c r="M321" s="106">
        <f>'01-3'!M67+'02-3'!M67+'03-3'!M67+'04-3'!M67+'05-3'!M67+'08-3'!M67+'09-3'!M67+'10-3'!M67+'11-3'!M67+'12-3'!M67+'13-3'!M67+'14-3'!M67+'15-3'!M67+'16-3'!M67+'17-3'!M67+'18-3'!M67+'19-3'!M67+'21-3'!M67+'22-3'!M67+'24-3'!M67+'25-3'!M67+'28-3'!M67+'29-3'!M67+'30-3'!M67+'32-3'!M67+'35-3'!M67+'37-3'!M67+'47-3'!M67+'62-3'!M67+'64-3'!M67+'74-3'!M67</f>
        <v>0</v>
      </c>
      <c r="N321" s="106">
        <f>'01-3'!N67+'02-3'!N67+'03-3'!N67+'04-3'!N67+'05-3'!N67+'08-3'!N67+'09-3'!N67+'10-3'!N67+'11-3'!N67+'12-3'!N67+'13-3'!N67+'14-3'!N67+'15-3'!N67+'16-3'!N67+'17-3'!N67+'18-3'!N67+'19-3'!N67+'21-3'!N67+'22-3'!N67+'24-3'!N67+'25-3'!N67+'28-3'!N67+'29-3'!N67+'30-3'!N67+'32-3'!N67+'35-3'!N67+'37-3'!N67+'47-3'!N67+'62-3'!N67+'64-3'!N67+'74-3'!N67</f>
        <v>0</v>
      </c>
      <c r="O321" s="106">
        <f>'01-3'!O67+'02-3'!O67+'03-3'!O67+'04-3'!O67+'05-3'!O67+'08-3'!O67+'09-3'!O67+'10-3'!O67+'11-3'!O67+'12-3'!O67+'13-3'!O67+'14-3'!O67+'15-3'!O67+'16-3'!O67+'17-3'!O67+'18-3'!O67+'19-3'!O67+'21-3'!O67+'22-3'!O67+'24-3'!O67+'25-3'!O67+'28-3'!O67+'29-3'!O67+'30-3'!O67+'32-3'!O67+'35-3'!O67+'37-3'!O67+'47-3'!O67+'62-3'!O67+'64-3'!O67+'74-3'!O67</f>
        <v>0</v>
      </c>
      <c r="P321" s="106">
        <f>'01-3'!P67+'02-3'!P67+'03-3'!P67+'04-3'!P67+'05-3'!P67+'08-3'!P67+'09-3'!P67+'10-3'!P67+'11-3'!P67+'12-3'!P67+'13-3'!P67+'14-3'!P67+'15-3'!P67+'16-3'!P67+'17-3'!P67+'18-3'!P67+'19-3'!P67+'21-3'!P67+'22-3'!P67+'24-3'!P67+'25-3'!P67+'28-3'!P67+'29-3'!P67+'30-3'!P67+'32-3'!P67+'35-3'!P67+'37-3'!P67+'47-3'!P67+'62-3'!P67+'64-3'!P67+'74-3'!P67</f>
        <v>0</v>
      </c>
      <c r="Q321" s="106">
        <f>'01-3'!Q67+'02-3'!Q67+'03-3'!Q67+'04-3'!Q67+'05-3'!Q67+'08-3'!Q67+'09-3'!Q67+'10-3'!Q67+'11-3'!Q67+'12-3'!Q67+'13-3'!Q67+'14-3'!Q67+'15-3'!Q67+'16-3'!Q67+'17-3'!Q67+'18-3'!Q67+'19-3'!Q67+'21-3'!Q67+'22-3'!Q67+'24-3'!Q67+'25-3'!Q67+'28-3'!Q67+'29-3'!Q67+'30-3'!Q67+'32-3'!Q67+'35-3'!Q67+'37-3'!Q67+'47-3'!Q67+'62-3'!Q67+'64-3'!Q67+'74-3'!Q67</f>
        <v>0</v>
      </c>
      <c r="R321" s="106">
        <f>'01-3'!R67+'02-3'!R67+'03-3'!R67+'04-3'!R67+'05-3'!R67+'08-3'!R67+'09-3'!R67+'10-3'!R67+'11-3'!R67+'12-3'!R67+'13-3'!R67+'14-3'!R67+'15-3'!R67+'16-3'!R67+'17-3'!R67+'18-3'!R67+'19-3'!R67+'21-3'!R67+'22-3'!R67+'24-3'!R67+'25-3'!R67+'28-3'!R67+'29-3'!R67+'30-3'!R67+'32-3'!R67+'35-3'!R67+'37-3'!R67+'47-3'!R67+'62-3'!R67+'64-3'!R67+'74-3'!R67</f>
        <v>0</v>
      </c>
      <c r="S321" s="499"/>
      <c r="T321" s="499"/>
      <c r="U321" s="499"/>
      <c r="V321" s="499"/>
      <c r="W321" s="499"/>
    </row>
    <row r="322" spans="1:23" s="89" customFormat="1" ht="24" hidden="1">
      <c r="A322" s="133">
        <v>9140</v>
      </c>
      <c r="B322" s="112" t="s">
        <v>204</v>
      </c>
      <c r="C322" s="106">
        <f>'01-3'!C68+'02-3'!C68+'03-3'!C68+'04-3'!C68+'05-3'!C68+'08-3'!C68+'09-3'!C68+'10-3'!C68+'11-3'!C68+'12-3'!C68+'13-3'!C68+'14-3'!C68+'15-3'!C68+'16-3'!C68+'17-3'!C68+'18-3'!C68+'19-3'!C68+'21-3'!C68+'22-3'!C68+'24-3'!C68+'25-3'!C68+'28-3'!C68+'29-3'!C68+'30-3'!C68+'32-3'!C68+'35-3'!C68+'37-3'!C68+'47-3'!C68+'62-3'!C68+'64-3'!C68+'74-3'!C68</f>
        <v>0</v>
      </c>
      <c r="D322" s="106">
        <f>'01-3'!D68+'02-3'!D68+'03-3'!D68+'04-3'!D68+'05-3'!D68+'08-3'!D68+'09-3'!D68+'10-3'!D68+'11-3'!D68+'12-3'!D68+'13-3'!D68+'14-3'!D68+'15-3'!D68+'16-3'!D68+'17-3'!D68+'18-3'!D68+'19-3'!D68+'21-3'!D68+'22-3'!D68+'24-3'!D68+'25-3'!D68+'28-3'!D68+'29-3'!D68+'30-3'!D68+'32-3'!D68+'35-3'!D68+'37-3'!D68+'47-3'!D68+'62-3'!D68+'64-3'!D68+'74-3'!D68</f>
        <v>0</v>
      </c>
      <c r="E322" s="106">
        <f>'01-3'!E68+'02-3'!E68+'03-3'!E68+'04-3'!E68+'05-3'!E68+'08-3'!E68+'09-3'!E68+'10-3'!E68+'11-3'!E68+'12-3'!E68+'13-3'!E68+'14-3'!E68+'15-3'!E68+'16-3'!E68+'17-3'!E68+'18-3'!E68+'19-3'!E68+'21-3'!E68+'22-3'!E68+'24-3'!E68+'25-3'!E68+'28-3'!E68+'29-3'!E68+'30-3'!E68+'32-3'!E68+'35-3'!E68+'37-3'!E68+'47-3'!E68+'62-3'!E68+'64-3'!E68+'74-3'!E68</f>
        <v>0</v>
      </c>
      <c r="F322" s="106">
        <f>'01-3'!F68+'02-3'!F68+'03-3'!F68+'04-3'!F68+'05-3'!F68+'08-3'!F68+'09-3'!F68+'10-3'!F68+'11-3'!F68+'12-3'!F68+'13-3'!F68+'14-3'!F68+'15-3'!F68+'16-3'!F68+'17-3'!F68+'18-3'!F68+'19-3'!F68+'21-3'!F68+'22-3'!F68+'24-3'!F68+'25-3'!F68+'28-3'!F68+'29-3'!F68+'30-3'!F68+'32-3'!F68+'35-3'!F68+'37-3'!F68+'47-3'!F68+'62-3'!F68+'64-3'!F68+'74-3'!F68</f>
        <v>0</v>
      </c>
      <c r="G322" s="106">
        <f>'01-3'!G68+'02-3'!G68+'03-3'!G68+'04-3'!G68+'05-3'!G68+'08-3'!G68+'09-3'!G68+'10-3'!G68+'11-3'!G68+'12-3'!G68+'13-3'!G68+'14-3'!G68+'15-3'!G68+'16-3'!G68+'17-3'!G68+'18-3'!G68+'19-3'!G68+'21-3'!G68+'22-3'!G68+'24-3'!G68+'25-3'!G68+'28-3'!G68+'29-3'!G68+'30-3'!G68+'32-3'!G68+'35-3'!G68+'37-3'!G68+'47-3'!G68+'62-3'!G68+'64-3'!G68+'74-3'!G68</f>
        <v>0</v>
      </c>
      <c r="H322" s="106">
        <f>'01-3'!H68+'02-3'!H68+'03-3'!H68+'04-3'!H68+'05-3'!H68+'08-3'!H68+'09-3'!H68+'10-3'!H68+'11-3'!H68+'12-3'!H68+'13-3'!H68+'14-3'!H68+'15-3'!H68+'16-3'!H68+'17-3'!H68+'18-3'!H68+'19-3'!H68+'21-3'!H68+'22-3'!H68+'24-3'!H68+'25-3'!H68+'28-3'!H68+'29-3'!H68+'30-3'!H68+'32-3'!H68+'35-3'!H68+'37-3'!H68+'47-3'!H68+'62-3'!H68+'64-3'!H68+'74-3'!H68</f>
        <v>0</v>
      </c>
      <c r="I322" s="106">
        <f>'01-3'!I68+'02-3'!I68+'03-3'!I68+'04-3'!I68+'05-3'!I68+'08-3'!I68+'09-3'!I68+'10-3'!I68+'11-3'!I68+'12-3'!I68+'13-3'!I68+'14-3'!I68+'15-3'!I68+'16-3'!I68+'17-3'!I68+'18-3'!I68+'19-3'!I68+'21-3'!I68+'22-3'!I68+'24-3'!I68+'25-3'!I68+'28-3'!I68+'29-3'!I68+'30-3'!I68+'32-3'!I68+'35-3'!I68+'37-3'!I68+'47-3'!I68+'62-3'!I68+'64-3'!I68+'74-3'!I68</f>
        <v>0</v>
      </c>
      <c r="J322" s="106">
        <f>'01-3'!J68+'02-3'!J68+'03-3'!J68+'04-3'!J68+'05-3'!J68+'08-3'!J68+'09-3'!J68+'10-3'!J68+'11-3'!J68+'12-3'!J68+'13-3'!J68+'14-3'!J68+'15-3'!J68+'16-3'!J68+'17-3'!J68+'18-3'!J68+'19-3'!J68+'21-3'!J68+'22-3'!J68+'24-3'!J68+'25-3'!J68+'28-3'!J68+'29-3'!J68+'30-3'!J68+'32-3'!J68+'35-3'!J68+'37-3'!J68+'47-3'!J68+'62-3'!J68+'64-3'!J68+'74-3'!J68</f>
        <v>0</v>
      </c>
      <c r="K322" s="106">
        <f>'01-3'!K68+'02-3'!K68+'03-3'!K68+'04-3'!K68+'05-3'!K68+'08-3'!K68+'09-3'!K68+'10-3'!K68+'11-3'!K68+'12-3'!K68+'13-3'!K68+'14-3'!K68+'15-3'!K68+'16-3'!K68+'17-3'!K68+'18-3'!K68+'19-3'!K68+'21-3'!K68+'22-3'!K68+'24-3'!K68+'25-3'!K68+'28-3'!K68+'29-3'!K68+'30-3'!K68+'32-3'!K68+'35-3'!K68+'37-3'!K68+'47-3'!K68+'62-3'!K68+'64-3'!K68+'74-3'!K68</f>
        <v>0</v>
      </c>
      <c r="L322" s="106">
        <f>'01-3'!L68+'02-3'!L68+'03-3'!L68+'04-3'!L68+'05-3'!L68+'08-3'!L68+'09-3'!L68+'10-3'!L68+'11-3'!L68+'12-3'!L68+'13-3'!L68+'14-3'!L68+'15-3'!L68+'16-3'!L68+'17-3'!L68+'18-3'!L68+'19-3'!L68+'21-3'!L68+'22-3'!L68+'24-3'!L68+'25-3'!L68+'28-3'!L68+'29-3'!L68+'30-3'!L68+'32-3'!L68+'35-3'!L68+'37-3'!L68+'47-3'!L68+'62-3'!L68+'64-3'!L68+'74-3'!L68</f>
        <v>0</v>
      </c>
      <c r="M322" s="106">
        <f>'01-3'!M68+'02-3'!M68+'03-3'!M68+'04-3'!M68+'05-3'!M68+'08-3'!M68+'09-3'!M68+'10-3'!M68+'11-3'!M68+'12-3'!M68+'13-3'!M68+'14-3'!M68+'15-3'!M68+'16-3'!M68+'17-3'!M68+'18-3'!M68+'19-3'!M68+'21-3'!M68+'22-3'!M68+'24-3'!M68+'25-3'!M68+'28-3'!M68+'29-3'!M68+'30-3'!M68+'32-3'!M68+'35-3'!M68+'37-3'!M68+'47-3'!M68+'62-3'!M68+'64-3'!M68+'74-3'!M68</f>
        <v>0</v>
      </c>
      <c r="N322" s="106">
        <f>'01-3'!N68+'02-3'!N68+'03-3'!N68+'04-3'!N68+'05-3'!N68+'08-3'!N68+'09-3'!N68+'10-3'!N68+'11-3'!N68+'12-3'!N68+'13-3'!N68+'14-3'!N68+'15-3'!N68+'16-3'!N68+'17-3'!N68+'18-3'!N68+'19-3'!N68+'21-3'!N68+'22-3'!N68+'24-3'!N68+'25-3'!N68+'28-3'!N68+'29-3'!N68+'30-3'!N68+'32-3'!N68+'35-3'!N68+'37-3'!N68+'47-3'!N68+'62-3'!N68+'64-3'!N68+'74-3'!N68</f>
        <v>0</v>
      </c>
      <c r="O322" s="106">
        <f>'01-3'!O68+'02-3'!O68+'03-3'!O68+'04-3'!O68+'05-3'!O68+'08-3'!O68+'09-3'!O68+'10-3'!O68+'11-3'!O68+'12-3'!O68+'13-3'!O68+'14-3'!O68+'15-3'!O68+'16-3'!O68+'17-3'!O68+'18-3'!O68+'19-3'!O68+'21-3'!O68+'22-3'!O68+'24-3'!O68+'25-3'!O68+'28-3'!O68+'29-3'!O68+'30-3'!O68+'32-3'!O68+'35-3'!O68+'37-3'!O68+'47-3'!O68+'62-3'!O68+'64-3'!O68+'74-3'!O68</f>
        <v>0</v>
      </c>
      <c r="P322" s="106">
        <f>'01-3'!P68+'02-3'!P68+'03-3'!P68+'04-3'!P68+'05-3'!P68+'08-3'!P68+'09-3'!P68+'10-3'!P68+'11-3'!P68+'12-3'!P68+'13-3'!P68+'14-3'!P68+'15-3'!P68+'16-3'!P68+'17-3'!P68+'18-3'!P68+'19-3'!P68+'21-3'!P68+'22-3'!P68+'24-3'!P68+'25-3'!P68+'28-3'!P68+'29-3'!P68+'30-3'!P68+'32-3'!P68+'35-3'!P68+'37-3'!P68+'47-3'!P68+'62-3'!P68+'64-3'!P68+'74-3'!P68</f>
        <v>0</v>
      </c>
      <c r="Q322" s="106">
        <f>'01-3'!Q68+'02-3'!Q68+'03-3'!Q68+'04-3'!Q68+'05-3'!Q68+'08-3'!Q68+'09-3'!Q68+'10-3'!Q68+'11-3'!Q68+'12-3'!Q68+'13-3'!Q68+'14-3'!Q68+'15-3'!Q68+'16-3'!Q68+'17-3'!Q68+'18-3'!Q68+'19-3'!Q68+'21-3'!Q68+'22-3'!Q68+'24-3'!Q68+'25-3'!Q68+'28-3'!Q68+'29-3'!Q68+'30-3'!Q68+'32-3'!Q68+'35-3'!Q68+'37-3'!Q68+'47-3'!Q68+'62-3'!Q68+'64-3'!Q68+'74-3'!Q68</f>
        <v>0</v>
      </c>
      <c r="R322" s="106">
        <f>'01-3'!R68+'02-3'!R68+'03-3'!R68+'04-3'!R68+'05-3'!R68+'08-3'!R68+'09-3'!R68+'10-3'!R68+'11-3'!R68+'12-3'!R68+'13-3'!R68+'14-3'!R68+'15-3'!R68+'16-3'!R68+'17-3'!R68+'18-3'!R68+'19-3'!R68+'21-3'!R68+'22-3'!R68+'24-3'!R68+'25-3'!R68+'28-3'!R68+'29-3'!R68+'30-3'!R68+'32-3'!R68+'35-3'!R68+'37-3'!R68+'47-3'!R68+'62-3'!R68+'64-3'!R68+'74-3'!R68</f>
        <v>0</v>
      </c>
      <c r="S322" s="499"/>
      <c r="T322" s="499"/>
      <c r="U322" s="499"/>
      <c r="V322" s="499"/>
      <c r="W322" s="499"/>
    </row>
    <row r="323" spans="1:23" s="89" customFormat="1" ht="36" hidden="1">
      <c r="A323" s="134">
        <v>9141</v>
      </c>
      <c r="B323" s="108" t="s">
        <v>190</v>
      </c>
      <c r="C323" s="106">
        <f>'01-3'!C69+'02-3'!C69+'03-3'!C69+'04-3'!C69+'05-3'!C69+'08-3'!C69+'09-3'!C69+'10-3'!C69+'11-3'!C69+'12-3'!C69+'13-3'!C69+'14-3'!C69+'15-3'!C69+'16-3'!C69+'17-3'!C69+'18-3'!C69+'19-3'!C69+'21-3'!C69+'22-3'!C69+'24-3'!C69+'25-3'!C69+'28-3'!C69+'29-3'!C69+'30-3'!C69+'32-3'!C69+'35-3'!C69+'37-3'!C69+'47-3'!C69+'62-3'!C69+'64-3'!C69+'74-3'!C69</f>
        <v>0</v>
      </c>
      <c r="D323" s="106">
        <f>'01-3'!D69+'02-3'!D69+'03-3'!D69+'04-3'!D69+'05-3'!D69+'08-3'!D69+'09-3'!D69+'10-3'!D69+'11-3'!D69+'12-3'!D69+'13-3'!D69+'14-3'!D69+'15-3'!D69+'16-3'!D69+'17-3'!D69+'18-3'!D69+'19-3'!D69+'21-3'!D69+'22-3'!D69+'24-3'!D69+'25-3'!D69+'28-3'!D69+'29-3'!D69+'30-3'!D69+'32-3'!D69+'35-3'!D69+'37-3'!D69+'47-3'!D69+'62-3'!D69+'64-3'!D69+'74-3'!D69</f>
        <v>0</v>
      </c>
      <c r="E323" s="106">
        <f>'01-3'!E69+'02-3'!E69+'03-3'!E69+'04-3'!E69+'05-3'!E69+'08-3'!E69+'09-3'!E69+'10-3'!E69+'11-3'!E69+'12-3'!E69+'13-3'!E69+'14-3'!E69+'15-3'!E69+'16-3'!E69+'17-3'!E69+'18-3'!E69+'19-3'!E69+'21-3'!E69+'22-3'!E69+'24-3'!E69+'25-3'!E69+'28-3'!E69+'29-3'!E69+'30-3'!E69+'32-3'!E69+'35-3'!E69+'37-3'!E69+'47-3'!E69+'62-3'!E69+'64-3'!E69+'74-3'!E69</f>
        <v>0</v>
      </c>
      <c r="F323" s="106">
        <f>'01-3'!F69+'02-3'!F69+'03-3'!F69+'04-3'!F69+'05-3'!F69+'08-3'!F69+'09-3'!F69+'10-3'!F69+'11-3'!F69+'12-3'!F69+'13-3'!F69+'14-3'!F69+'15-3'!F69+'16-3'!F69+'17-3'!F69+'18-3'!F69+'19-3'!F69+'21-3'!F69+'22-3'!F69+'24-3'!F69+'25-3'!F69+'28-3'!F69+'29-3'!F69+'30-3'!F69+'32-3'!F69+'35-3'!F69+'37-3'!F69+'47-3'!F69+'62-3'!F69+'64-3'!F69+'74-3'!F69</f>
        <v>0</v>
      </c>
      <c r="G323" s="106">
        <f>'01-3'!G69+'02-3'!G69+'03-3'!G69+'04-3'!G69+'05-3'!G69+'08-3'!G69+'09-3'!G69+'10-3'!G69+'11-3'!G69+'12-3'!G69+'13-3'!G69+'14-3'!G69+'15-3'!G69+'16-3'!G69+'17-3'!G69+'18-3'!G69+'19-3'!G69+'21-3'!G69+'22-3'!G69+'24-3'!G69+'25-3'!G69+'28-3'!G69+'29-3'!G69+'30-3'!G69+'32-3'!G69+'35-3'!G69+'37-3'!G69+'47-3'!G69+'62-3'!G69+'64-3'!G69+'74-3'!G69</f>
        <v>0</v>
      </c>
      <c r="H323" s="106">
        <f>'01-3'!H69+'02-3'!H69+'03-3'!H69+'04-3'!H69+'05-3'!H69+'08-3'!H69+'09-3'!H69+'10-3'!H69+'11-3'!H69+'12-3'!H69+'13-3'!H69+'14-3'!H69+'15-3'!H69+'16-3'!H69+'17-3'!H69+'18-3'!H69+'19-3'!H69+'21-3'!H69+'22-3'!H69+'24-3'!H69+'25-3'!H69+'28-3'!H69+'29-3'!H69+'30-3'!H69+'32-3'!H69+'35-3'!H69+'37-3'!H69+'47-3'!H69+'62-3'!H69+'64-3'!H69+'74-3'!H69</f>
        <v>0</v>
      </c>
      <c r="I323" s="106">
        <f>'01-3'!I69+'02-3'!I69+'03-3'!I69+'04-3'!I69+'05-3'!I69+'08-3'!I69+'09-3'!I69+'10-3'!I69+'11-3'!I69+'12-3'!I69+'13-3'!I69+'14-3'!I69+'15-3'!I69+'16-3'!I69+'17-3'!I69+'18-3'!I69+'19-3'!I69+'21-3'!I69+'22-3'!I69+'24-3'!I69+'25-3'!I69+'28-3'!I69+'29-3'!I69+'30-3'!I69+'32-3'!I69+'35-3'!I69+'37-3'!I69+'47-3'!I69+'62-3'!I69+'64-3'!I69+'74-3'!I69</f>
        <v>0</v>
      </c>
      <c r="J323" s="106">
        <f>'01-3'!J69+'02-3'!J69+'03-3'!J69+'04-3'!J69+'05-3'!J69+'08-3'!J69+'09-3'!J69+'10-3'!J69+'11-3'!J69+'12-3'!J69+'13-3'!J69+'14-3'!J69+'15-3'!J69+'16-3'!J69+'17-3'!J69+'18-3'!J69+'19-3'!J69+'21-3'!J69+'22-3'!J69+'24-3'!J69+'25-3'!J69+'28-3'!J69+'29-3'!J69+'30-3'!J69+'32-3'!J69+'35-3'!J69+'37-3'!J69+'47-3'!J69+'62-3'!J69+'64-3'!J69+'74-3'!J69</f>
        <v>0</v>
      </c>
      <c r="K323" s="106">
        <f>'01-3'!K69+'02-3'!K69+'03-3'!K69+'04-3'!K69+'05-3'!K69+'08-3'!K69+'09-3'!K69+'10-3'!K69+'11-3'!K69+'12-3'!K69+'13-3'!K69+'14-3'!K69+'15-3'!K69+'16-3'!K69+'17-3'!K69+'18-3'!K69+'19-3'!K69+'21-3'!K69+'22-3'!K69+'24-3'!K69+'25-3'!K69+'28-3'!K69+'29-3'!K69+'30-3'!K69+'32-3'!K69+'35-3'!K69+'37-3'!K69+'47-3'!K69+'62-3'!K69+'64-3'!K69+'74-3'!K69</f>
        <v>0</v>
      </c>
      <c r="L323" s="106">
        <f>'01-3'!L69+'02-3'!L69+'03-3'!L69+'04-3'!L69+'05-3'!L69+'08-3'!L69+'09-3'!L69+'10-3'!L69+'11-3'!L69+'12-3'!L69+'13-3'!L69+'14-3'!L69+'15-3'!L69+'16-3'!L69+'17-3'!L69+'18-3'!L69+'19-3'!L69+'21-3'!L69+'22-3'!L69+'24-3'!L69+'25-3'!L69+'28-3'!L69+'29-3'!L69+'30-3'!L69+'32-3'!L69+'35-3'!L69+'37-3'!L69+'47-3'!L69+'62-3'!L69+'64-3'!L69+'74-3'!L69</f>
        <v>0</v>
      </c>
      <c r="M323" s="106">
        <f>'01-3'!M69+'02-3'!M69+'03-3'!M69+'04-3'!M69+'05-3'!M69+'08-3'!M69+'09-3'!M69+'10-3'!M69+'11-3'!M69+'12-3'!M69+'13-3'!M69+'14-3'!M69+'15-3'!M69+'16-3'!M69+'17-3'!M69+'18-3'!M69+'19-3'!M69+'21-3'!M69+'22-3'!M69+'24-3'!M69+'25-3'!M69+'28-3'!M69+'29-3'!M69+'30-3'!M69+'32-3'!M69+'35-3'!M69+'37-3'!M69+'47-3'!M69+'62-3'!M69+'64-3'!M69+'74-3'!M69</f>
        <v>0</v>
      </c>
      <c r="N323" s="106">
        <f>'01-3'!N69+'02-3'!N69+'03-3'!N69+'04-3'!N69+'05-3'!N69+'08-3'!N69+'09-3'!N69+'10-3'!N69+'11-3'!N69+'12-3'!N69+'13-3'!N69+'14-3'!N69+'15-3'!N69+'16-3'!N69+'17-3'!N69+'18-3'!N69+'19-3'!N69+'21-3'!N69+'22-3'!N69+'24-3'!N69+'25-3'!N69+'28-3'!N69+'29-3'!N69+'30-3'!N69+'32-3'!N69+'35-3'!N69+'37-3'!N69+'47-3'!N69+'62-3'!N69+'64-3'!N69+'74-3'!N69</f>
        <v>0</v>
      </c>
      <c r="O323" s="106">
        <f>'01-3'!O69+'02-3'!O69+'03-3'!O69+'04-3'!O69+'05-3'!O69+'08-3'!O69+'09-3'!O69+'10-3'!O69+'11-3'!O69+'12-3'!O69+'13-3'!O69+'14-3'!O69+'15-3'!O69+'16-3'!O69+'17-3'!O69+'18-3'!O69+'19-3'!O69+'21-3'!O69+'22-3'!O69+'24-3'!O69+'25-3'!O69+'28-3'!O69+'29-3'!O69+'30-3'!O69+'32-3'!O69+'35-3'!O69+'37-3'!O69+'47-3'!O69+'62-3'!O69+'64-3'!O69+'74-3'!O69</f>
        <v>0</v>
      </c>
      <c r="P323" s="106">
        <f>'01-3'!P69+'02-3'!P69+'03-3'!P69+'04-3'!P69+'05-3'!P69+'08-3'!P69+'09-3'!P69+'10-3'!P69+'11-3'!P69+'12-3'!P69+'13-3'!P69+'14-3'!P69+'15-3'!P69+'16-3'!P69+'17-3'!P69+'18-3'!P69+'19-3'!P69+'21-3'!P69+'22-3'!P69+'24-3'!P69+'25-3'!P69+'28-3'!P69+'29-3'!P69+'30-3'!P69+'32-3'!P69+'35-3'!P69+'37-3'!P69+'47-3'!P69+'62-3'!P69+'64-3'!P69+'74-3'!P69</f>
        <v>0</v>
      </c>
      <c r="Q323" s="106">
        <f>'01-3'!Q69+'02-3'!Q69+'03-3'!Q69+'04-3'!Q69+'05-3'!Q69+'08-3'!Q69+'09-3'!Q69+'10-3'!Q69+'11-3'!Q69+'12-3'!Q69+'13-3'!Q69+'14-3'!Q69+'15-3'!Q69+'16-3'!Q69+'17-3'!Q69+'18-3'!Q69+'19-3'!Q69+'21-3'!Q69+'22-3'!Q69+'24-3'!Q69+'25-3'!Q69+'28-3'!Q69+'29-3'!Q69+'30-3'!Q69+'32-3'!Q69+'35-3'!Q69+'37-3'!Q69+'47-3'!Q69+'62-3'!Q69+'64-3'!Q69+'74-3'!Q69</f>
        <v>0</v>
      </c>
      <c r="R323" s="106">
        <f>'01-3'!R69+'02-3'!R69+'03-3'!R69+'04-3'!R69+'05-3'!R69+'08-3'!R69+'09-3'!R69+'10-3'!R69+'11-3'!R69+'12-3'!R69+'13-3'!R69+'14-3'!R69+'15-3'!R69+'16-3'!R69+'17-3'!R69+'18-3'!R69+'19-3'!R69+'21-3'!R69+'22-3'!R69+'24-3'!R69+'25-3'!R69+'28-3'!R69+'29-3'!R69+'30-3'!R69+'32-3'!R69+'35-3'!R69+'37-3'!R69+'47-3'!R69+'62-3'!R69+'64-3'!R69+'74-3'!R69</f>
        <v>0</v>
      </c>
      <c r="S323" s="499"/>
      <c r="T323" s="499"/>
      <c r="U323" s="499"/>
      <c r="V323" s="499"/>
      <c r="W323" s="499"/>
    </row>
    <row r="324" spans="1:23" s="89" customFormat="1" ht="36" hidden="1">
      <c r="A324" s="134">
        <v>9142</v>
      </c>
      <c r="B324" s="108" t="s">
        <v>191</v>
      </c>
      <c r="C324" s="106">
        <f>'01-3'!C70+'02-3'!C70+'03-3'!C70+'04-3'!C70+'05-3'!C70+'08-3'!C70+'09-3'!C70+'10-3'!C70+'11-3'!C70+'12-3'!C70+'13-3'!C70+'14-3'!C70+'15-3'!C70+'16-3'!C70+'17-3'!C70+'18-3'!C70+'19-3'!C70+'21-3'!C70+'22-3'!C70+'24-3'!C70+'25-3'!C70+'28-3'!C70+'29-3'!C70+'30-3'!C70+'32-3'!C70+'35-3'!C70+'37-3'!C70+'47-3'!C70+'62-3'!C70+'64-3'!C70+'74-3'!C70</f>
        <v>0</v>
      </c>
      <c r="D324" s="106">
        <f>'01-3'!D70+'02-3'!D70+'03-3'!D70+'04-3'!D70+'05-3'!D70+'08-3'!D70+'09-3'!D70+'10-3'!D70+'11-3'!D70+'12-3'!D70+'13-3'!D70+'14-3'!D70+'15-3'!D70+'16-3'!D70+'17-3'!D70+'18-3'!D70+'19-3'!D70+'21-3'!D70+'22-3'!D70+'24-3'!D70+'25-3'!D70+'28-3'!D70+'29-3'!D70+'30-3'!D70+'32-3'!D70+'35-3'!D70+'37-3'!D70+'47-3'!D70+'62-3'!D70+'64-3'!D70+'74-3'!D70</f>
        <v>0</v>
      </c>
      <c r="E324" s="106">
        <f>'01-3'!E70+'02-3'!E70+'03-3'!E70+'04-3'!E70+'05-3'!E70+'08-3'!E70+'09-3'!E70+'10-3'!E70+'11-3'!E70+'12-3'!E70+'13-3'!E70+'14-3'!E70+'15-3'!E70+'16-3'!E70+'17-3'!E70+'18-3'!E70+'19-3'!E70+'21-3'!E70+'22-3'!E70+'24-3'!E70+'25-3'!E70+'28-3'!E70+'29-3'!E70+'30-3'!E70+'32-3'!E70+'35-3'!E70+'37-3'!E70+'47-3'!E70+'62-3'!E70+'64-3'!E70+'74-3'!E70</f>
        <v>0</v>
      </c>
      <c r="F324" s="106">
        <f>'01-3'!F70+'02-3'!F70+'03-3'!F70+'04-3'!F70+'05-3'!F70+'08-3'!F70+'09-3'!F70+'10-3'!F70+'11-3'!F70+'12-3'!F70+'13-3'!F70+'14-3'!F70+'15-3'!F70+'16-3'!F70+'17-3'!F70+'18-3'!F70+'19-3'!F70+'21-3'!F70+'22-3'!F70+'24-3'!F70+'25-3'!F70+'28-3'!F70+'29-3'!F70+'30-3'!F70+'32-3'!F70+'35-3'!F70+'37-3'!F70+'47-3'!F70+'62-3'!F70+'64-3'!F70+'74-3'!F70</f>
        <v>0</v>
      </c>
      <c r="G324" s="106">
        <f>'01-3'!G70+'02-3'!G70+'03-3'!G70+'04-3'!G70+'05-3'!G70+'08-3'!G70+'09-3'!G70+'10-3'!G70+'11-3'!G70+'12-3'!G70+'13-3'!G70+'14-3'!G70+'15-3'!G70+'16-3'!G70+'17-3'!G70+'18-3'!G70+'19-3'!G70+'21-3'!G70+'22-3'!G70+'24-3'!G70+'25-3'!G70+'28-3'!G70+'29-3'!G70+'30-3'!G70+'32-3'!G70+'35-3'!G70+'37-3'!G70+'47-3'!G70+'62-3'!G70+'64-3'!G70+'74-3'!G70</f>
        <v>0</v>
      </c>
      <c r="H324" s="106">
        <f>'01-3'!H70+'02-3'!H70+'03-3'!H70+'04-3'!H70+'05-3'!H70+'08-3'!H70+'09-3'!H70+'10-3'!H70+'11-3'!H70+'12-3'!H70+'13-3'!H70+'14-3'!H70+'15-3'!H70+'16-3'!H70+'17-3'!H70+'18-3'!H70+'19-3'!H70+'21-3'!H70+'22-3'!H70+'24-3'!H70+'25-3'!H70+'28-3'!H70+'29-3'!H70+'30-3'!H70+'32-3'!H70+'35-3'!H70+'37-3'!H70+'47-3'!H70+'62-3'!H70+'64-3'!H70+'74-3'!H70</f>
        <v>0</v>
      </c>
      <c r="I324" s="106">
        <f>'01-3'!I70+'02-3'!I70+'03-3'!I70+'04-3'!I70+'05-3'!I70+'08-3'!I70+'09-3'!I70+'10-3'!I70+'11-3'!I70+'12-3'!I70+'13-3'!I70+'14-3'!I70+'15-3'!I70+'16-3'!I70+'17-3'!I70+'18-3'!I70+'19-3'!I70+'21-3'!I70+'22-3'!I70+'24-3'!I70+'25-3'!I70+'28-3'!I70+'29-3'!I70+'30-3'!I70+'32-3'!I70+'35-3'!I70+'37-3'!I70+'47-3'!I70+'62-3'!I70+'64-3'!I70+'74-3'!I70</f>
        <v>0</v>
      </c>
      <c r="J324" s="106">
        <f>'01-3'!J70+'02-3'!J70+'03-3'!J70+'04-3'!J70+'05-3'!J70+'08-3'!J70+'09-3'!J70+'10-3'!J70+'11-3'!J70+'12-3'!J70+'13-3'!J70+'14-3'!J70+'15-3'!J70+'16-3'!J70+'17-3'!J70+'18-3'!J70+'19-3'!J70+'21-3'!J70+'22-3'!J70+'24-3'!J70+'25-3'!J70+'28-3'!J70+'29-3'!J70+'30-3'!J70+'32-3'!J70+'35-3'!J70+'37-3'!J70+'47-3'!J70+'62-3'!J70+'64-3'!J70+'74-3'!J70</f>
        <v>0</v>
      </c>
      <c r="K324" s="106">
        <f>'01-3'!K70+'02-3'!K70+'03-3'!K70+'04-3'!K70+'05-3'!K70+'08-3'!K70+'09-3'!K70+'10-3'!K70+'11-3'!K70+'12-3'!K70+'13-3'!K70+'14-3'!K70+'15-3'!K70+'16-3'!K70+'17-3'!K70+'18-3'!K70+'19-3'!K70+'21-3'!K70+'22-3'!K70+'24-3'!K70+'25-3'!K70+'28-3'!K70+'29-3'!K70+'30-3'!K70+'32-3'!K70+'35-3'!K70+'37-3'!K70+'47-3'!K70+'62-3'!K70+'64-3'!K70+'74-3'!K70</f>
        <v>0</v>
      </c>
      <c r="L324" s="106">
        <f>'01-3'!L70+'02-3'!L70+'03-3'!L70+'04-3'!L70+'05-3'!L70+'08-3'!L70+'09-3'!L70+'10-3'!L70+'11-3'!L70+'12-3'!L70+'13-3'!L70+'14-3'!L70+'15-3'!L70+'16-3'!L70+'17-3'!L70+'18-3'!L70+'19-3'!L70+'21-3'!L70+'22-3'!L70+'24-3'!L70+'25-3'!L70+'28-3'!L70+'29-3'!L70+'30-3'!L70+'32-3'!L70+'35-3'!L70+'37-3'!L70+'47-3'!L70+'62-3'!L70+'64-3'!L70+'74-3'!L70</f>
        <v>0</v>
      </c>
      <c r="M324" s="106">
        <f>'01-3'!M70+'02-3'!M70+'03-3'!M70+'04-3'!M70+'05-3'!M70+'08-3'!M70+'09-3'!M70+'10-3'!M70+'11-3'!M70+'12-3'!M70+'13-3'!M70+'14-3'!M70+'15-3'!M70+'16-3'!M70+'17-3'!M70+'18-3'!M70+'19-3'!M70+'21-3'!M70+'22-3'!M70+'24-3'!M70+'25-3'!M70+'28-3'!M70+'29-3'!M70+'30-3'!M70+'32-3'!M70+'35-3'!M70+'37-3'!M70+'47-3'!M70+'62-3'!M70+'64-3'!M70+'74-3'!M70</f>
        <v>0</v>
      </c>
      <c r="N324" s="106">
        <f>'01-3'!N70+'02-3'!N70+'03-3'!N70+'04-3'!N70+'05-3'!N70+'08-3'!N70+'09-3'!N70+'10-3'!N70+'11-3'!N70+'12-3'!N70+'13-3'!N70+'14-3'!N70+'15-3'!N70+'16-3'!N70+'17-3'!N70+'18-3'!N70+'19-3'!N70+'21-3'!N70+'22-3'!N70+'24-3'!N70+'25-3'!N70+'28-3'!N70+'29-3'!N70+'30-3'!N70+'32-3'!N70+'35-3'!N70+'37-3'!N70+'47-3'!N70+'62-3'!N70+'64-3'!N70+'74-3'!N70</f>
        <v>0</v>
      </c>
      <c r="O324" s="106">
        <f>'01-3'!O70+'02-3'!O70+'03-3'!O70+'04-3'!O70+'05-3'!O70+'08-3'!O70+'09-3'!O70+'10-3'!O70+'11-3'!O70+'12-3'!O70+'13-3'!O70+'14-3'!O70+'15-3'!O70+'16-3'!O70+'17-3'!O70+'18-3'!O70+'19-3'!O70+'21-3'!O70+'22-3'!O70+'24-3'!O70+'25-3'!O70+'28-3'!O70+'29-3'!O70+'30-3'!O70+'32-3'!O70+'35-3'!O70+'37-3'!O70+'47-3'!O70+'62-3'!O70+'64-3'!O70+'74-3'!O70</f>
        <v>0</v>
      </c>
      <c r="P324" s="106">
        <f>'01-3'!P70+'02-3'!P70+'03-3'!P70+'04-3'!P70+'05-3'!P70+'08-3'!P70+'09-3'!P70+'10-3'!P70+'11-3'!P70+'12-3'!P70+'13-3'!P70+'14-3'!P70+'15-3'!P70+'16-3'!P70+'17-3'!P70+'18-3'!P70+'19-3'!P70+'21-3'!P70+'22-3'!P70+'24-3'!P70+'25-3'!P70+'28-3'!P70+'29-3'!P70+'30-3'!P70+'32-3'!P70+'35-3'!P70+'37-3'!P70+'47-3'!P70+'62-3'!P70+'64-3'!P70+'74-3'!P70</f>
        <v>0</v>
      </c>
      <c r="Q324" s="106">
        <f>'01-3'!Q70+'02-3'!Q70+'03-3'!Q70+'04-3'!Q70+'05-3'!Q70+'08-3'!Q70+'09-3'!Q70+'10-3'!Q70+'11-3'!Q70+'12-3'!Q70+'13-3'!Q70+'14-3'!Q70+'15-3'!Q70+'16-3'!Q70+'17-3'!Q70+'18-3'!Q70+'19-3'!Q70+'21-3'!Q70+'22-3'!Q70+'24-3'!Q70+'25-3'!Q70+'28-3'!Q70+'29-3'!Q70+'30-3'!Q70+'32-3'!Q70+'35-3'!Q70+'37-3'!Q70+'47-3'!Q70+'62-3'!Q70+'64-3'!Q70+'74-3'!Q70</f>
        <v>0</v>
      </c>
      <c r="R324" s="106">
        <f>'01-3'!R70+'02-3'!R70+'03-3'!R70+'04-3'!R70+'05-3'!R70+'08-3'!R70+'09-3'!R70+'10-3'!R70+'11-3'!R70+'12-3'!R70+'13-3'!R70+'14-3'!R70+'15-3'!R70+'16-3'!R70+'17-3'!R70+'18-3'!R70+'19-3'!R70+'21-3'!R70+'22-3'!R70+'24-3'!R70+'25-3'!R70+'28-3'!R70+'29-3'!R70+'30-3'!R70+'32-3'!R70+'35-3'!R70+'37-3'!R70+'47-3'!R70+'62-3'!R70+'64-3'!R70+'74-3'!R70</f>
        <v>0</v>
      </c>
      <c r="S324" s="499"/>
      <c r="T324" s="499"/>
      <c r="U324" s="499"/>
      <c r="V324" s="499"/>
      <c r="W324" s="499"/>
    </row>
    <row r="325" spans="1:23" s="89" customFormat="1" ht="24" hidden="1">
      <c r="A325" s="134">
        <v>9149</v>
      </c>
      <c r="B325" s="108" t="s">
        <v>192</v>
      </c>
      <c r="C325" s="106">
        <f>'01-3'!C71+'02-3'!C71+'03-3'!C71+'04-3'!C71+'05-3'!C71+'08-3'!C71+'09-3'!C71+'10-3'!C71+'11-3'!C71+'12-3'!C71+'13-3'!C71+'14-3'!C71+'15-3'!C71+'16-3'!C71+'17-3'!C71+'18-3'!C71+'19-3'!C71+'21-3'!C71+'22-3'!C71+'24-3'!C71+'25-3'!C71+'28-3'!C71+'29-3'!C71+'30-3'!C71+'32-3'!C71+'35-3'!C71+'37-3'!C71+'47-3'!C71+'62-3'!C71+'64-3'!C71+'74-3'!C71</f>
        <v>0</v>
      </c>
      <c r="D325" s="106">
        <f>'01-3'!D71+'02-3'!D71+'03-3'!D71+'04-3'!D71+'05-3'!D71+'08-3'!D71+'09-3'!D71+'10-3'!D71+'11-3'!D71+'12-3'!D71+'13-3'!D71+'14-3'!D71+'15-3'!D71+'16-3'!D71+'17-3'!D71+'18-3'!D71+'19-3'!D71+'21-3'!D71+'22-3'!D71+'24-3'!D71+'25-3'!D71+'28-3'!D71+'29-3'!D71+'30-3'!D71+'32-3'!D71+'35-3'!D71+'37-3'!D71+'47-3'!D71+'62-3'!D71+'64-3'!D71+'74-3'!D71</f>
        <v>0</v>
      </c>
      <c r="E325" s="106">
        <f>'01-3'!E71+'02-3'!E71+'03-3'!E71+'04-3'!E71+'05-3'!E71+'08-3'!E71+'09-3'!E71+'10-3'!E71+'11-3'!E71+'12-3'!E71+'13-3'!E71+'14-3'!E71+'15-3'!E71+'16-3'!E71+'17-3'!E71+'18-3'!E71+'19-3'!E71+'21-3'!E71+'22-3'!E71+'24-3'!E71+'25-3'!E71+'28-3'!E71+'29-3'!E71+'30-3'!E71+'32-3'!E71+'35-3'!E71+'37-3'!E71+'47-3'!E71+'62-3'!E71+'64-3'!E71+'74-3'!E71</f>
        <v>0</v>
      </c>
      <c r="F325" s="106">
        <f>'01-3'!F71+'02-3'!F71+'03-3'!F71+'04-3'!F71+'05-3'!F71+'08-3'!F71+'09-3'!F71+'10-3'!F71+'11-3'!F71+'12-3'!F71+'13-3'!F71+'14-3'!F71+'15-3'!F71+'16-3'!F71+'17-3'!F71+'18-3'!F71+'19-3'!F71+'21-3'!F71+'22-3'!F71+'24-3'!F71+'25-3'!F71+'28-3'!F71+'29-3'!F71+'30-3'!F71+'32-3'!F71+'35-3'!F71+'37-3'!F71+'47-3'!F71+'62-3'!F71+'64-3'!F71+'74-3'!F71</f>
        <v>0</v>
      </c>
      <c r="G325" s="106">
        <f>'01-3'!G71+'02-3'!G71+'03-3'!G71+'04-3'!G71+'05-3'!G71+'08-3'!G71+'09-3'!G71+'10-3'!G71+'11-3'!G71+'12-3'!G71+'13-3'!G71+'14-3'!G71+'15-3'!G71+'16-3'!G71+'17-3'!G71+'18-3'!G71+'19-3'!G71+'21-3'!G71+'22-3'!G71+'24-3'!G71+'25-3'!G71+'28-3'!G71+'29-3'!G71+'30-3'!G71+'32-3'!G71+'35-3'!G71+'37-3'!G71+'47-3'!G71+'62-3'!G71+'64-3'!G71+'74-3'!G71</f>
        <v>0</v>
      </c>
      <c r="H325" s="106">
        <f>'01-3'!H71+'02-3'!H71+'03-3'!H71+'04-3'!H71+'05-3'!H71+'08-3'!H71+'09-3'!H71+'10-3'!H71+'11-3'!H71+'12-3'!H71+'13-3'!H71+'14-3'!H71+'15-3'!H71+'16-3'!H71+'17-3'!H71+'18-3'!H71+'19-3'!H71+'21-3'!H71+'22-3'!H71+'24-3'!H71+'25-3'!H71+'28-3'!H71+'29-3'!H71+'30-3'!H71+'32-3'!H71+'35-3'!H71+'37-3'!H71+'47-3'!H71+'62-3'!H71+'64-3'!H71+'74-3'!H71</f>
        <v>0</v>
      </c>
      <c r="I325" s="106">
        <f>'01-3'!I71+'02-3'!I71+'03-3'!I71+'04-3'!I71+'05-3'!I71+'08-3'!I71+'09-3'!I71+'10-3'!I71+'11-3'!I71+'12-3'!I71+'13-3'!I71+'14-3'!I71+'15-3'!I71+'16-3'!I71+'17-3'!I71+'18-3'!I71+'19-3'!I71+'21-3'!I71+'22-3'!I71+'24-3'!I71+'25-3'!I71+'28-3'!I71+'29-3'!I71+'30-3'!I71+'32-3'!I71+'35-3'!I71+'37-3'!I71+'47-3'!I71+'62-3'!I71+'64-3'!I71+'74-3'!I71</f>
        <v>0</v>
      </c>
      <c r="J325" s="106">
        <f>'01-3'!J71+'02-3'!J71+'03-3'!J71+'04-3'!J71+'05-3'!J71+'08-3'!J71+'09-3'!J71+'10-3'!J71+'11-3'!J71+'12-3'!J71+'13-3'!J71+'14-3'!J71+'15-3'!J71+'16-3'!J71+'17-3'!J71+'18-3'!J71+'19-3'!J71+'21-3'!J71+'22-3'!J71+'24-3'!J71+'25-3'!J71+'28-3'!J71+'29-3'!J71+'30-3'!J71+'32-3'!J71+'35-3'!J71+'37-3'!J71+'47-3'!J71+'62-3'!J71+'64-3'!J71+'74-3'!J71</f>
        <v>0</v>
      </c>
      <c r="K325" s="106">
        <f>'01-3'!K71+'02-3'!K71+'03-3'!K71+'04-3'!K71+'05-3'!K71+'08-3'!K71+'09-3'!K71+'10-3'!K71+'11-3'!K71+'12-3'!K71+'13-3'!K71+'14-3'!K71+'15-3'!K71+'16-3'!K71+'17-3'!K71+'18-3'!K71+'19-3'!K71+'21-3'!K71+'22-3'!K71+'24-3'!K71+'25-3'!K71+'28-3'!K71+'29-3'!K71+'30-3'!K71+'32-3'!K71+'35-3'!K71+'37-3'!K71+'47-3'!K71+'62-3'!K71+'64-3'!K71+'74-3'!K71</f>
        <v>0</v>
      </c>
      <c r="L325" s="106">
        <f>'01-3'!L71+'02-3'!L71+'03-3'!L71+'04-3'!L71+'05-3'!L71+'08-3'!L71+'09-3'!L71+'10-3'!L71+'11-3'!L71+'12-3'!L71+'13-3'!L71+'14-3'!L71+'15-3'!L71+'16-3'!L71+'17-3'!L71+'18-3'!L71+'19-3'!L71+'21-3'!L71+'22-3'!L71+'24-3'!L71+'25-3'!L71+'28-3'!L71+'29-3'!L71+'30-3'!L71+'32-3'!L71+'35-3'!L71+'37-3'!L71+'47-3'!L71+'62-3'!L71+'64-3'!L71+'74-3'!L71</f>
        <v>0</v>
      </c>
      <c r="M325" s="106">
        <f>'01-3'!M71+'02-3'!M71+'03-3'!M71+'04-3'!M71+'05-3'!M71+'08-3'!M71+'09-3'!M71+'10-3'!M71+'11-3'!M71+'12-3'!M71+'13-3'!M71+'14-3'!M71+'15-3'!M71+'16-3'!M71+'17-3'!M71+'18-3'!M71+'19-3'!M71+'21-3'!M71+'22-3'!M71+'24-3'!M71+'25-3'!M71+'28-3'!M71+'29-3'!M71+'30-3'!M71+'32-3'!M71+'35-3'!M71+'37-3'!M71+'47-3'!M71+'62-3'!M71+'64-3'!M71+'74-3'!M71</f>
        <v>0</v>
      </c>
      <c r="N325" s="106">
        <f>'01-3'!N71+'02-3'!N71+'03-3'!N71+'04-3'!N71+'05-3'!N71+'08-3'!N71+'09-3'!N71+'10-3'!N71+'11-3'!N71+'12-3'!N71+'13-3'!N71+'14-3'!N71+'15-3'!N71+'16-3'!N71+'17-3'!N71+'18-3'!N71+'19-3'!N71+'21-3'!N71+'22-3'!N71+'24-3'!N71+'25-3'!N71+'28-3'!N71+'29-3'!N71+'30-3'!N71+'32-3'!N71+'35-3'!N71+'37-3'!N71+'47-3'!N71+'62-3'!N71+'64-3'!N71+'74-3'!N71</f>
        <v>0</v>
      </c>
      <c r="O325" s="106">
        <f>'01-3'!O71+'02-3'!O71+'03-3'!O71+'04-3'!O71+'05-3'!O71+'08-3'!O71+'09-3'!O71+'10-3'!O71+'11-3'!O71+'12-3'!O71+'13-3'!O71+'14-3'!O71+'15-3'!O71+'16-3'!O71+'17-3'!O71+'18-3'!O71+'19-3'!O71+'21-3'!O71+'22-3'!O71+'24-3'!O71+'25-3'!O71+'28-3'!O71+'29-3'!O71+'30-3'!O71+'32-3'!O71+'35-3'!O71+'37-3'!O71+'47-3'!O71+'62-3'!O71+'64-3'!O71+'74-3'!O71</f>
        <v>0</v>
      </c>
      <c r="P325" s="106">
        <f>'01-3'!P71+'02-3'!P71+'03-3'!P71+'04-3'!P71+'05-3'!P71+'08-3'!P71+'09-3'!P71+'10-3'!P71+'11-3'!P71+'12-3'!P71+'13-3'!P71+'14-3'!P71+'15-3'!P71+'16-3'!P71+'17-3'!P71+'18-3'!P71+'19-3'!P71+'21-3'!P71+'22-3'!P71+'24-3'!P71+'25-3'!P71+'28-3'!P71+'29-3'!P71+'30-3'!P71+'32-3'!P71+'35-3'!P71+'37-3'!P71+'47-3'!P71+'62-3'!P71+'64-3'!P71+'74-3'!P71</f>
        <v>0</v>
      </c>
      <c r="Q325" s="106">
        <f>'01-3'!Q71+'02-3'!Q71+'03-3'!Q71+'04-3'!Q71+'05-3'!Q71+'08-3'!Q71+'09-3'!Q71+'10-3'!Q71+'11-3'!Q71+'12-3'!Q71+'13-3'!Q71+'14-3'!Q71+'15-3'!Q71+'16-3'!Q71+'17-3'!Q71+'18-3'!Q71+'19-3'!Q71+'21-3'!Q71+'22-3'!Q71+'24-3'!Q71+'25-3'!Q71+'28-3'!Q71+'29-3'!Q71+'30-3'!Q71+'32-3'!Q71+'35-3'!Q71+'37-3'!Q71+'47-3'!Q71+'62-3'!Q71+'64-3'!Q71+'74-3'!Q71</f>
        <v>0</v>
      </c>
      <c r="R325" s="106">
        <f>'01-3'!R71+'02-3'!R71+'03-3'!R71+'04-3'!R71+'05-3'!R71+'08-3'!R71+'09-3'!R71+'10-3'!R71+'11-3'!R71+'12-3'!R71+'13-3'!R71+'14-3'!R71+'15-3'!R71+'16-3'!R71+'17-3'!R71+'18-3'!R71+'19-3'!R71+'21-3'!R71+'22-3'!R71+'24-3'!R71+'25-3'!R71+'28-3'!R71+'29-3'!R71+'30-3'!R71+'32-3'!R71+'35-3'!R71+'37-3'!R71+'47-3'!R71+'62-3'!R71+'64-3'!R71+'74-3'!R71</f>
        <v>0</v>
      </c>
      <c r="S325" s="499"/>
      <c r="T325" s="499"/>
      <c r="U325" s="499"/>
      <c r="V325" s="499"/>
      <c r="W325" s="499"/>
    </row>
    <row r="326" spans="1:23" s="29" customFormat="1" ht="24">
      <c r="A326" s="141">
        <v>9500</v>
      </c>
      <c r="B326" s="108" t="s">
        <v>165</v>
      </c>
      <c r="C326" s="106">
        <f>'01-3'!C72+'02-3'!C72+'03-3'!C72+'04-3'!C72+'05-3'!C72+'08-3'!C72+'09-3'!C72+'10-3'!C72+'11-3'!C72+'12-3'!C72+'13-3'!C72+'14-3'!C72+'15-3'!C72+'16-3'!C72+'17-3'!C72+'18-3'!C72+'19-3'!C72+'21-3'!C72+'22-3'!C72+'24-3'!C72+'25-3'!C72+'28-3'!C72+'29-3'!C72+'30-3'!C72+'32-3'!C72+'35-3'!C72+'37-3'!C72+'47-3'!C72+'62-3'!C72+'64-3'!C72+'74-3'!C72</f>
        <v>117073757</v>
      </c>
      <c r="D326" s="106">
        <f>'01-3'!D72+'02-3'!D72+'03-3'!D72+'04-3'!D72+'05-3'!D72+'08-3'!D72+'09-3'!D72+'10-3'!D72+'11-3'!D72+'12-3'!D72+'13-3'!D72+'14-3'!D72+'15-3'!D72+'16-3'!D72+'17-3'!D72+'18-3'!D72+'19-3'!D72+'21-3'!D72+'22-3'!D72+'24-3'!D72+'25-3'!D72+'28-3'!D72+'29-3'!D72+'30-3'!D72+'32-3'!D72+'35-3'!D72+'37-3'!D72+'47-3'!D72+'62-3'!D72+'64-3'!D72+'74-3'!D72</f>
        <v>80884250</v>
      </c>
      <c r="E326" s="106">
        <f>'01-3'!E72+'02-3'!E72+'03-3'!E72+'04-3'!E72+'05-3'!E72+'08-3'!E72+'09-3'!E72+'10-3'!E72+'11-3'!E72+'12-3'!E72+'13-3'!E72+'14-3'!E72+'15-3'!E72+'16-3'!E72+'17-3'!E72+'18-3'!E72+'19-3'!E72+'21-3'!E72+'22-3'!E72+'24-3'!E72+'25-3'!E72+'28-3'!E72+'29-3'!E72+'30-3'!E72+'32-3'!E72+'35-3'!E72+'37-3'!E72+'47-3'!E72+'62-3'!E72+'64-3'!E72+'74-3'!E72</f>
        <v>0</v>
      </c>
      <c r="F326" s="106">
        <f>'01-3'!F72+'02-3'!F72+'03-3'!F72+'04-3'!F72+'05-3'!F72+'08-3'!F72+'09-3'!F72+'10-3'!F72+'11-3'!F72+'12-3'!F72+'13-3'!F72+'14-3'!F72+'15-3'!F72+'16-3'!F72+'17-3'!F72+'18-3'!F72+'19-3'!F72+'21-3'!F72+'22-3'!F72+'24-3'!F72+'25-3'!F72+'28-3'!F72+'29-3'!F72+'30-3'!F72+'32-3'!F72+'35-3'!F72+'37-3'!F72+'47-3'!F72+'62-3'!F72+'64-3'!F72+'74-3'!F72</f>
        <v>0</v>
      </c>
      <c r="G326" s="106">
        <f>'01-3'!G72+'02-3'!G72+'03-3'!G72+'04-3'!G72+'05-3'!G72+'08-3'!G72+'09-3'!G72+'10-3'!G72+'11-3'!G72+'12-3'!G72+'13-3'!G72+'14-3'!G72+'15-3'!G72+'16-3'!G72+'17-3'!G72+'18-3'!G72+'19-3'!G72+'21-3'!G72+'22-3'!G72+'24-3'!G72+'25-3'!G72+'28-3'!G72+'29-3'!G72+'30-3'!G72+'32-3'!G72+'35-3'!G72+'37-3'!G72+'47-3'!G72+'62-3'!G72+'64-3'!G72+'74-3'!G72</f>
        <v>0</v>
      </c>
      <c r="H326" s="106">
        <f>'01-3'!H72+'02-3'!H72+'03-3'!H72+'04-3'!H72+'05-3'!H72+'08-3'!H72+'09-3'!H72+'10-3'!H72+'11-3'!H72+'12-3'!H72+'13-3'!H72+'14-3'!H72+'15-3'!H72+'16-3'!H72+'17-3'!H72+'18-3'!H72+'19-3'!H72+'21-3'!H72+'22-3'!H72+'24-3'!H72+'25-3'!H72+'28-3'!H72+'29-3'!H72+'30-3'!H72+'32-3'!H72+'35-3'!H72+'37-3'!H72+'47-3'!H72+'62-3'!H72+'64-3'!H72+'74-3'!H72</f>
        <v>80884250</v>
      </c>
      <c r="I326" s="106">
        <f>'01-3'!I72+'02-3'!I72+'03-3'!I72+'04-3'!I72+'05-3'!I72+'08-3'!I72+'09-3'!I72+'10-3'!I72+'11-3'!I72+'12-3'!I72+'13-3'!I72+'14-3'!I72+'15-3'!I72+'16-3'!I72+'17-3'!I72+'18-3'!I72+'19-3'!I72+'21-3'!I72+'22-3'!I72+'24-3'!I72+'25-3'!I72+'28-3'!I72+'29-3'!I72+'30-3'!I72+'32-3'!I72+'35-3'!I72+'37-3'!I72+'47-3'!I72+'62-3'!I72+'64-3'!I72+'74-3'!I72</f>
        <v>30680585</v>
      </c>
      <c r="J326" s="106">
        <f>'01-3'!J72+'02-3'!J72+'03-3'!J72+'04-3'!J72+'05-3'!J72+'08-3'!J72+'09-3'!J72+'10-3'!J72+'11-3'!J72+'12-3'!J72+'13-3'!J72+'14-3'!J72+'15-3'!J72+'16-3'!J72+'17-3'!J72+'18-3'!J72+'19-3'!J72+'21-3'!J72+'22-3'!J72+'24-3'!J72+'25-3'!J72+'28-3'!J72+'29-3'!J72+'30-3'!J72+'32-3'!J72+'35-3'!J72+'37-3'!J72+'47-3'!J72+'62-3'!J72+'64-3'!J72+'74-3'!J72</f>
        <v>0</v>
      </c>
      <c r="K326" s="106">
        <f>'01-3'!K72+'02-3'!K72+'03-3'!K72+'04-3'!K72+'05-3'!K72+'08-3'!K72+'09-3'!K72+'10-3'!K72+'11-3'!K72+'12-3'!K72+'13-3'!K72+'14-3'!K72+'15-3'!K72+'16-3'!K72+'17-3'!K72+'18-3'!K72+'19-3'!K72+'21-3'!K72+'22-3'!K72+'24-3'!K72+'25-3'!K72+'28-3'!K72+'29-3'!K72+'30-3'!K72+'32-3'!K72+'35-3'!K72+'37-3'!K72+'47-3'!K72+'62-3'!K72+'64-3'!K72+'74-3'!K72</f>
        <v>0</v>
      </c>
      <c r="L326" s="106">
        <f>'01-3'!L72+'02-3'!L72+'03-3'!L72+'04-3'!L72+'05-3'!L72+'08-3'!L72+'09-3'!L72+'10-3'!L72+'11-3'!L72+'12-3'!L72+'13-3'!L72+'14-3'!L72+'15-3'!L72+'16-3'!L72+'17-3'!L72+'18-3'!L72+'19-3'!L72+'21-3'!L72+'22-3'!L72+'24-3'!L72+'25-3'!L72+'28-3'!L72+'29-3'!L72+'30-3'!L72+'32-3'!L72+'35-3'!L72+'37-3'!L72+'47-3'!L72+'62-3'!L72+'64-3'!L72+'74-3'!L72</f>
        <v>0</v>
      </c>
      <c r="M326" s="106">
        <f>'01-3'!M72+'02-3'!M72+'03-3'!M72+'04-3'!M72+'05-3'!M72+'08-3'!M72+'09-3'!M72+'10-3'!M72+'11-3'!M72+'12-3'!M72+'13-3'!M72+'14-3'!M72+'15-3'!M72+'16-3'!M72+'17-3'!M72+'18-3'!M72+'19-3'!M72+'21-3'!M72+'22-3'!M72+'24-3'!M72+'25-3'!M72+'28-3'!M72+'29-3'!M72+'30-3'!M72+'32-3'!M72+'35-3'!M72+'37-3'!M72+'47-3'!M72+'62-3'!M72+'64-3'!M72+'74-3'!M72</f>
        <v>30680585</v>
      </c>
      <c r="N326" s="106">
        <f>'01-3'!N72+'02-3'!N72+'03-3'!N72+'04-3'!N72+'05-3'!N72+'08-3'!N72+'09-3'!N72+'10-3'!N72+'11-3'!N72+'12-3'!N72+'13-3'!N72+'14-3'!N72+'15-3'!N72+'16-3'!N72+'17-3'!N72+'18-3'!N72+'19-3'!N72+'21-3'!N72+'22-3'!N72+'24-3'!N72+'25-3'!N72+'28-3'!N72+'29-3'!N72+'30-3'!N72+'32-3'!N72+'35-3'!N72+'37-3'!N72+'47-3'!N72+'62-3'!N72+'64-3'!N72+'74-3'!N72</f>
        <v>10659408</v>
      </c>
      <c r="O326" s="106">
        <f>'01-3'!O72+'02-3'!O72+'03-3'!O72+'04-3'!O72+'05-3'!O72+'08-3'!O72+'09-3'!O72+'10-3'!O72+'11-3'!O72+'12-3'!O72+'13-3'!O72+'14-3'!O72+'15-3'!O72+'16-3'!O72+'17-3'!O72+'18-3'!O72+'19-3'!O72+'21-3'!O72+'22-3'!O72+'24-3'!O72+'25-3'!O72+'28-3'!O72+'29-3'!O72+'30-3'!O72+'32-3'!O72+'35-3'!O72+'37-3'!O72+'47-3'!O72+'62-3'!O72+'64-3'!O72+'74-3'!O72</f>
        <v>0</v>
      </c>
      <c r="P326" s="106">
        <f>'01-3'!P72+'02-3'!P72+'03-3'!P72+'04-3'!P72+'05-3'!P72+'08-3'!P72+'09-3'!P72+'10-3'!P72+'11-3'!P72+'12-3'!P72+'13-3'!P72+'14-3'!P72+'15-3'!P72+'16-3'!P72+'17-3'!P72+'18-3'!P72+'19-3'!P72+'21-3'!P72+'22-3'!P72+'24-3'!P72+'25-3'!P72+'28-3'!P72+'29-3'!P72+'30-3'!P72+'32-3'!P72+'35-3'!P72+'37-3'!P72+'47-3'!P72+'62-3'!P72+'64-3'!P72+'74-3'!P72</f>
        <v>0</v>
      </c>
      <c r="Q326" s="106">
        <f>'01-3'!Q72+'02-3'!Q72+'03-3'!Q72+'04-3'!Q72+'05-3'!Q72+'08-3'!Q72+'09-3'!Q72+'10-3'!Q72+'11-3'!Q72+'12-3'!Q72+'13-3'!Q72+'14-3'!Q72+'15-3'!Q72+'16-3'!Q72+'17-3'!Q72+'18-3'!Q72+'19-3'!Q72+'21-3'!Q72+'22-3'!Q72+'24-3'!Q72+'25-3'!Q72+'28-3'!Q72+'29-3'!Q72+'30-3'!Q72+'32-3'!Q72+'35-3'!Q72+'37-3'!Q72+'47-3'!Q72+'62-3'!Q72+'64-3'!Q72+'74-3'!Q72</f>
        <v>0</v>
      </c>
      <c r="R326" s="106">
        <f>'01-3'!R72+'02-3'!R72+'03-3'!R72+'04-3'!R72+'05-3'!R72+'08-3'!R72+'09-3'!R72+'10-3'!R72+'11-3'!R72+'12-3'!R72+'13-3'!R72+'14-3'!R72+'15-3'!R72+'16-3'!R72+'17-3'!R72+'18-3'!R72+'19-3'!R72+'21-3'!R72+'22-3'!R72+'24-3'!R72+'25-3'!R72+'28-3'!R72+'29-3'!R72+'30-3'!R72+'32-3'!R72+'35-3'!R72+'37-3'!R72+'47-3'!R72+'62-3'!R72+'64-3'!R72+'74-3'!R72</f>
        <v>10659408</v>
      </c>
      <c r="S326" s="1324"/>
      <c r="T326" s="1324"/>
      <c r="U326" s="1324"/>
      <c r="V326" s="1324"/>
      <c r="W326" s="1324"/>
    </row>
    <row r="327" spans="1:23" s="29" customFormat="1" ht="24">
      <c r="A327" s="133" t="s">
        <v>193</v>
      </c>
      <c r="B327" s="108" t="s">
        <v>171</v>
      </c>
      <c r="C327" s="106">
        <f>'01-3'!C73+'02-3'!C73+'03-3'!C73+'04-3'!C73+'05-3'!C73+'08-3'!C73+'09-3'!C73+'10-3'!C73+'11-3'!C73+'12-3'!C73+'13-3'!C73+'14-3'!C73+'15-3'!C73+'16-3'!C73+'17-3'!C73+'18-3'!C73+'19-3'!C73+'21-3'!C73+'22-3'!C73+'24-3'!C73+'25-3'!C73+'28-3'!C73+'29-3'!C73+'30-3'!C73+'32-3'!C73+'35-3'!C73+'37-3'!C73+'47-3'!C73+'62-3'!C73+'64-3'!C73+'74-3'!C73</f>
        <v>407188</v>
      </c>
      <c r="D327" s="106">
        <f>'01-3'!D73+'02-3'!D73+'03-3'!D73+'04-3'!D73+'05-3'!D73+'08-3'!D73+'09-3'!D73+'10-3'!D73+'11-3'!D73+'12-3'!D73+'13-3'!D73+'14-3'!D73+'15-3'!D73+'16-3'!D73+'17-3'!D73+'18-3'!D73+'19-3'!D73+'21-3'!D73+'22-3'!D73+'24-3'!D73+'25-3'!D73+'28-3'!D73+'29-3'!D73+'30-3'!D73+'32-3'!D73+'35-3'!D73+'37-3'!D73+'47-3'!D73+'62-3'!D73+'64-3'!D73+'74-3'!D73</f>
        <v>407188</v>
      </c>
      <c r="E327" s="106">
        <f>'01-3'!E73+'02-3'!E73+'03-3'!E73+'04-3'!E73+'05-3'!E73+'08-3'!E73+'09-3'!E73+'10-3'!E73+'11-3'!E73+'12-3'!E73+'13-3'!E73+'14-3'!E73+'15-3'!E73+'16-3'!E73+'17-3'!E73+'18-3'!E73+'19-3'!E73+'21-3'!E73+'22-3'!E73+'24-3'!E73+'25-3'!E73+'28-3'!E73+'29-3'!E73+'30-3'!E73+'32-3'!E73+'35-3'!E73+'37-3'!E73+'47-3'!E73+'62-3'!E73+'64-3'!E73+'74-3'!E73</f>
        <v>0</v>
      </c>
      <c r="F327" s="106">
        <f>'01-3'!F73+'02-3'!F73+'03-3'!F73+'04-3'!F73+'05-3'!F73+'08-3'!F73+'09-3'!F73+'10-3'!F73+'11-3'!F73+'12-3'!F73+'13-3'!F73+'14-3'!F73+'15-3'!F73+'16-3'!F73+'17-3'!F73+'18-3'!F73+'19-3'!F73+'21-3'!F73+'22-3'!F73+'24-3'!F73+'25-3'!F73+'28-3'!F73+'29-3'!F73+'30-3'!F73+'32-3'!F73+'35-3'!F73+'37-3'!F73+'47-3'!F73+'62-3'!F73+'64-3'!F73+'74-3'!F73</f>
        <v>0</v>
      </c>
      <c r="G327" s="106">
        <f>'01-3'!G73+'02-3'!G73+'03-3'!G73+'04-3'!G73+'05-3'!G73+'08-3'!G73+'09-3'!G73+'10-3'!G73+'11-3'!G73+'12-3'!G73+'13-3'!G73+'14-3'!G73+'15-3'!G73+'16-3'!G73+'17-3'!G73+'18-3'!G73+'19-3'!G73+'21-3'!G73+'22-3'!G73+'24-3'!G73+'25-3'!G73+'28-3'!G73+'29-3'!G73+'30-3'!G73+'32-3'!G73+'35-3'!G73+'37-3'!G73+'47-3'!G73+'62-3'!G73+'64-3'!G73+'74-3'!G73</f>
        <v>0</v>
      </c>
      <c r="H327" s="106">
        <f>'01-3'!H73+'02-3'!H73+'03-3'!H73+'04-3'!H73+'05-3'!H73+'08-3'!H73+'09-3'!H73+'10-3'!H73+'11-3'!H73+'12-3'!H73+'13-3'!H73+'14-3'!H73+'15-3'!H73+'16-3'!H73+'17-3'!H73+'18-3'!H73+'19-3'!H73+'21-3'!H73+'22-3'!H73+'24-3'!H73+'25-3'!H73+'28-3'!H73+'29-3'!H73+'30-3'!H73+'32-3'!H73+'35-3'!H73+'37-3'!H73+'47-3'!H73+'62-3'!H73+'64-3'!H73+'74-3'!H73</f>
        <v>407188</v>
      </c>
      <c r="I327" s="106">
        <f>'01-3'!I73+'02-3'!I73+'03-3'!I73+'04-3'!I73+'05-3'!I73+'08-3'!I73+'09-3'!I73+'10-3'!I73+'11-3'!I73+'12-3'!I73+'13-3'!I73+'14-3'!I73+'15-3'!I73+'16-3'!I73+'17-3'!I73+'18-3'!I73+'19-3'!I73+'21-3'!I73+'22-3'!I73+'24-3'!I73+'25-3'!I73+'28-3'!I73+'29-3'!I73+'30-3'!I73+'32-3'!I73+'35-3'!I73+'37-3'!I73+'47-3'!I73+'62-3'!I73+'64-3'!I73+'74-3'!I73</f>
        <v>407188</v>
      </c>
      <c r="J327" s="106">
        <f>'01-3'!J73+'02-3'!J73+'03-3'!J73+'04-3'!J73+'05-3'!J73+'08-3'!J73+'09-3'!J73+'10-3'!J73+'11-3'!J73+'12-3'!J73+'13-3'!J73+'14-3'!J73+'15-3'!J73+'16-3'!J73+'17-3'!J73+'18-3'!J73+'19-3'!J73+'21-3'!J73+'22-3'!J73+'24-3'!J73+'25-3'!J73+'28-3'!J73+'29-3'!J73+'30-3'!J73+'32-3'!J73+'35-3'!J73+'37-3'!J73+'47-3'!J73+'62-3'!J73+'64-3'!J73+'74-3'!J73</f>
        <v>0</v>
      </c>
      <c r="K327" s="106">
        <f>'01-3'!K73+'02-3'!K73+'03-3'!K73+'04-3'!K73+'05-3'!K73+'08-3'!K73+'09-3'!K73+'10-3'!K73+'11-3'!K73+'12-3'!K73+'13-3'!K73+'14-3'!K73+'15-3'!K73+'16-3'!K73+'17-3'!K73+'18-3'!K73+'19-3'!K73+'21-3'!K73+'22-3'!K73+'24-3'!K73+'25-3'!K73+'28-3'!K73+'29-3'!K73+'30-3'!K73+'32-3'!K73+'35-3'!K73+'37-3'!K73+'47-3'!K73+'62-3'!K73+'64-3'!K73+'74-3'!K73</f>
        <v>0</v>
      </c>
      <c r="L327" s="106">
        <f>'01-3'!L73+'02-3'!L73+'03-3'!L73+'04-3'!L73+'05-3'!L73+'08-3'!L73+'09-3'!L73+'10-3'!L73+'11-3'!L73+'12-3'!L73+'13-3'!L73+'14-3'!L73+'15-3'!L73+'16-3'!L73+'17-3'!L73+'18-3'!L73+'19-3'!L73+'21-3'!L73+'22-3'!L73+'24-3'!L73+'25-3'!L73+'28-3'!L73+'29-3'!L73+'30-3'!L73+'32-3'!L73+'35-3'!L73+'37-3'!L73+'47-3'!L73+'62-3'!L73+'64-3'!L73+'74-3'!L73</f>
        <v>0</v>
      </c>
      <c r="M327" s="106">
        <f>'01-3'!M73+'02-3'!M73+'03-3'!M73+'04-3'!M73+'05-3'!M73+'08-3'!M73+'09-3'!M73+'10-3'!M73+'11-3'!M73+'12-3'!M73+'13-3'!M73+'14-3'!M73+'15-3'!M73+'16-3'!M73+'17-3'!M73+'18-3'!M73+'19-3'!M73+'21-3'!M73+'22-3'!M73+'24-3'!M73+'25-3'!M73+'28-3'!M73+'29-3'!M73+'30-3'!M73+'32-3'!M73+'35-3'!M73+'37-3'!M73+'47-3'!M73+'62-3'!M73+'64-3'!M73+'74-3'!M73</f>
        <v>407188</v>
      </c>
      <c r="N327" s="106">
        <f>'01-3'!N73+'02-3'!N73+'03-3'!N73+'04-3'!N73+'05-3'!N73+'08-3'!N73+'09-3'!N73+'10-3'!N73+'11-3'!N73+'12-3'!N73+'13-3'!N73+'14-3'!N73+'15-3'!N73+'16-3'!N73+'17-3'!N73+'18-3'!N73+'19-3'!N73+'21-3'!N73+'22-3'!N73+'24-3'!N73+'25-3'!N73+'28-3'!N73+'29-3'!N73+'30-3'!N73+'32-3'!N73+'35-3'!N73+'37-3'!N73+'47-3'!N73+'62-3'!N73+'64-3'!N73+'74-3'!N73</f>
        <v>407188</v>
      </c>
      <c r="O327" s="106">
        <f>'01-3'!O73+'02-3'!O73+'03-3'!O73+'04-3'!O73+'05-3'!O73+'08-3'!O73+'09-3'!O73+'10-3'!O73+'11-3'!O73+'12-3'!O73+'13-3'!O73+'14-3'!O73+'15-3'!O73+'16-3'!O73+'17-3'!O73+'18-3'!O73+'19-3'!O73+'21-3'!O73+'22-3'!O73+'24-3'!O73+'25-3'!O73+'28-3'!O73+'29-3'!O73+'30-3'!O73+'32-3'!O73+'35-3'!O73+'37-3'!O73+'47-3'!O73+'62-3'!O73+'64-3'!O73+'74-3'!O73</f>
        <v>0</v>
      </c>
      <c r="P327" s="106">
        <f>'01-3'!P73+'02-3'!P73+'03-3'!P73+'04-3'!P73+'05-3'!P73+'08-3'!P73+'09-3'!P73+'10-3'!P73+'11-3'!P73+'12-3'!P73+'13-3'!P73+'14-3'!P73+'15-3'!P73+'16-3'!P73+'17-3'!P73+'18-3'!P73+'19-3'!P73+'21-3'!P73+'22-3'!P73+'24-3'!P73+'25-3'!P73+'28-3'!P73+'29-3'!P73+'30-3'!P73+'32-3'!P73+'35-3'!P73+'37-3'!P73+'47-3'!P73+'62-3'!P73+'64-3'!P73+'74-3'!P73</f>
        <v>0</v>
      </c>
      <c r="Q327" s="106">
        <f>'01-3'!Q73+'02-3'!Q73+'03-3'!Q73+'04-3'!Q73+'05-3'!Q73+'08-3'!Q73+'09-3'!Q73+'10-3'!Q73+'11-3'!Q73+'12-3'!Q73+'13-3'!Q73+'14-3'!Q73+'15-3'!Q73+'16-3'!Q73+'17-3'!Q73+'18-3'!Q73+'19-3'!Q73+'21-3'!Q73+'22-3'!Q73+'24-3'!Q73+'25-3'!Q73+'28-3'!Q73+'29-3'!Q73+'30-3'!Q73+'32-3'!Q73+'35-3'!Q73+'37-3'!Q73+'47-3'!Q73+'62-3'!Q73+'64-3'!Q73+'74-3'!Q73</f>
        <v>0</v>
      </c>
      <c r="R327" s="106">
        <f>'01-3'!R73+'02-3'!R73+'03-3'!R73+'04-3'!R73+'05-3'!R73+'08-3'!R73+'09-3'!R73+'10-3'!R73+'11-3'!R73+'12-3'!R73+'13-3'!R73+'14-3'!R73+'15-3'!R73+'16-3'!R73+'17-3'!R73+'18-3'!R73+'19-3'!R73+'21-3'!R73+'22-3'!R73+'24-3'!R73+'25-3'!R73+'28-3'!R73+'29-3'!R73+'30-3'!R73+'32-3'!R73+'35-3'!R73+'37-3'!R73+'47-3'!R73+'62-3'!R73+'64-3'!R73+'74-3'!R73</f>
        <v>407188</v>
      </c>
      <c r="S327" s="1324"/>
      <c r="T327" s="1324"/>
      <c r="U327" s="1324"/>
      <c r="V327" s="1324"/>
      <c r="W327" s="1324"/>
    </row>
    <row r="328" spans="1:23" s="28" customFormat="1" ht="48">
      <c r="A328" s="133">
        <v>9580</v>
      </c>
      <c r="B328" s="108" t="s">
        <v>166</v>
      </c>
      <c r="C328" s="106">
        <f>'01-3'!C74+'02-3'!C74+'03-3'!C74+'04-3'!C74+'05-3'!C74+'08-3'!C74+'09-3'!C74+'10-3'!C74+'11-3'!C74+'12-3'!C74+'13-3'!C74+'14-3'!C74+'15-3'!C74+'16-3'!C74+'17-3'!C74+'18-3'!C74+'19-3'!C74+'21-3'!C74+'22-3'!C74+'24-3'!C74+'25-3'!C74+'28-3'!C74+'29-3'!C74+'30-3'!C74+'32-3'!C74+'35-3'!C74+'37-3'!C74+'47-3'!C74+'62-3'!C74+'64-3'!C74+'74-3'!C74</f>
        <v>89864659</v>
      </c>
      <c r="D328" s="106">
        <f>'01-3'!D74+'02-3'!D74+'03-3'!D74+'04-3'!D74+'05-3'!D74+'08-3'!D74+'09-3'!D74+'10-3'!D74+'11-3'!D74+'12-3'!D74+'13-3'!D74+'14-3'!D74+'15-3'!D74+'16-3'!D74+'17-3'!D74+'18-3'!D74+'19-3'!D74+'21-3'!D74+'22-3'!D74+'24-3'!D74+'25-3'!D74+'28-3'!D74+'29-3'!D74+'30-3'!D74+'32-3'!D74+'35-3'!D74+'37-3'!D74+'47-3'!D74+'62-3'!D74+'64-3'!D74+'74-3'!D74</f>
        <v>42665974</v>
      </c>
      <c r="E328" s="106">
        <f>'01-3'!E74+'02-3'!E74+'03-3'!E74+'04-3'!E74+'05-3'!E74+'08-3'!E74+'09-3'!E74+'10-3'!E74+'11-3'!E74+'12-3'!E74+'13-3'!E74+'14-3'!E74+'15-3'!E74+'16-3'!E74+'17-3'!E74+'18-3'!E74+'19-3'!E74+'21-3'!E74+'22-3'!E74+'24-3'!E74+'25-3'!E74+'28-3'!E74+'29-3'!E74+'30-3'!E74+'32-3'!E74+'35-3'!E74+'37-3'!E74+'47-3'!E74+'62-3'!E74+'64-3'!E74+'74-3'!E74</f>
        <v>0</v>
      </c>
      <c r="F328" s="106">
        <f>'01-3'!F74+'02-3'!F74+'03-3'!F74+'04-3'!F74+'05-3'!F74+'08-3'!F74+'09-3'!F74+'10-3'!F74+'11-3'!F74+'12-3'!F74+'13-3'!F74+'14-3'!F74+'15-3'!F74+'16-3'!F74+'17-3'!F74+'18-3'!F74+'19-3'!F74+'21-3'!F74+'22-3'!F74+'24-3'!F74+'25-3'!F74+'28-3'!F74+'29-3'!F74+'30-3'!F74+'32-3'!F74+'35-3'!F74+'37-3'!F74+'47-3'!F74+'62-3'!F74+'64-3'!F74+'74-3'!F74</f>
        <v>0</v>
      </c>
      <c r="G328" s="106">
        <f>'01-3'!G74+'02-3'!G74+'03-3'!G74+'04-3'!G74+'05-3'!G74+'08-3'!G74+'09-3'!G74+'10-3'!G74+'11-3'!G74+'12-3'!G74+'13-3'!G74+'14-3'!G74+'15-3'!G74+'16-3'!G74+'17-3'!G74+'18-3'!G74+'19-3'!G74+'21-3'!G74+'22-3'!G74+'24-3'!G74+'25-3'!G74+'28-3'!G74+'29-3'!G74+'30-3'!G74+'32-3'!G74+'35-3'!G74+'37-3'!G74+'47-3'!G74+'62-3'!G74+'64-3'!G74+'74-3'!G74</f>
        <v>0</v>
      </c>
      <c r="H328" s="106">
        <f>'01-3'!H74+'02-3'!H74+'03-3'!H74+'04-3'!H74+'05-3'!H74+'08-3'!H74+'09-3'!H74+'10-3'!H74+'11-3'!H74+'12-3'!H74+'13-3'!H74+'14-3'!H74+'15-3'!H74+'16-3'!H74+'17-3'!H74+'18-3'!H74+'19-3'!H74+'21-3'!H74+'22-3'!H74+'24-3'!H74+'25-3'!H74+'28-3'!H74+'29-3'!H74+'30-3'!H74+'32-3'!H74+'35-3'!H74+'37-3'!H74+'47-3'!H74+'62-3'!H74+'64-3'!H74+'74-3'!H74</f>
        <v>42665974</v>
      </c>
      <c r="I328" s="106">
        <f>'01-3'!I74+'02-3'!I74+'03-3'!I74+'04-3'!I74+'05-3'!I74+'08-3'!I74+'09-3'!I74+'10-3'!I74+'11-3'!I74+'12-3'!I74+'13-3'!I74+'14-3'!I74+'15-3'!I74+'16-3'!I74+'17-3'!I74+'18-3'!I74+'19-3'!I74+'21-3'!I74+'22-3'!I74+'24-3'!I74+'25-3'!I74+'28-3'!I74+'29-3'!I74+'30-3'!I74+'32-3'!I74+'35-3'!I74+'37-3'!I74+'47-3'!I74+'62-3'!I74+'64-3'!I74+'74-3'!I74</f>
        <v>9818354</v>
      </c>
      <c r="J328" s="106">
        <f>'01-3'!J74+'02-3'!J74+'03-3'!J74+'04-3'!J74+'05-3'!J74+'08-3'!J74+'09-3'!J74+'10-3'!J74+'11-3'!J74+'12-3'!J74+'13-3'!J74+'14-3'!J74+'15-3'!J74+'16-3'!J74+'17-3'!J74+'18-3'!J74+'19-3'!J74+'21-3'!J74+'22-3'!J74+'24-3'!J74+'25-3'!J74+'28-3'!J74+'29-3'!J74+'30-3'!J74+'32-3'!J74+'35-3'!J74+'37-3'!J74+'47-3'!J74+'62-3'!J74+'64-3'!J74+'74-3'!J74</f>
        <v>0</v>
      </c>
      <c r="K328" s="106">
        <f>'01-3'!K74+'02-3'!K74+'03-3'!K74+'04-3'!K74+'05-3'!K74+'08-3'!K74+'09-3'!K74+'10-3'!K74+'11-3'!K74+'12-3'!K74+'13-3'!K74+'14-3'!K74+'15-3'!K74+'16-3'!K74+'17-3'!K74+'18-3'!K74+'19-3'!K74+'21-3'!K74+'22-3'!K74+'24-3'!K74+'25-3'!K74+'28-3'!K74+'29-3'!K74+'30-3'!K74+'32-3'!K74+'35-3'!K74+'37-3'!K74+'47-3'!K74+'62-3'!K74+'64-3'!K74+'74-3'!K74</f>
        <v>0</v>
      </c>
      <c r="L328" s="106">
        <f>'01-3'!L74+'02-3'!L74+'03-3'!L74+'04-3'!L74+'05-3'!L74+'08-3'!L74+'09-3'!L74+'10-3'!L74+'11-3'!L74+'12-3'!L74+'13-3'!L74+'14-3'!L74+'15-3'!L74+'16-3'!L74+'17-3'!L74+'18-3'!L74+'19-3'!L74+'21-3'!L74+'22-3'!L74+'24-3'!L74+'25-3'!L74+'28-3'!L74+'29-3'!L74+'30-3'!L74+'32-3'!L74+'35-3'!L74+'37-3'!L74+'47-3'!L74+'62-3'!L74+'64-3'!L74+'74-3'!L74</f>
        <v>0</v>
      </c>
      <c r="M328" s="106">
        <f>'01-3'!M74+'02-3'!M74+'03-3'!M74+'04-3'!M74+'05-3'!M74+'08-3'!M74+'09-3'!M74+'10-3'!M74+'11-3'!M74+'12-3'!M74+'13-3'!M74+'14-3'!M74+'15-3'!M74+'16-3'!M74+'17-3'!M74+'18-3'!M74+'19-3'!M74+'21-3'!M74+'22-3'!M74+'24-3'!M74+'25-3'!M74+'28-3'!M74+'29-3'!M74+'30-3'!M74+'32-3'!M74+'35-3'!M74+'37-3'!M74+'47-3'!M74+'62-3'!M74+'64-3'!M74+'74-3'!M74</f>
        <v>9818354</v>
      </c>
      <c r="N328" s="106">
        <f>'01-3'!N74+'02-3'!N74+'03-3'!N74+'04-3'!N74+'05-3'!N74+'08-3'!N74+'09-3'!N74+'10-3'!N74+'11-3'!N74+'12-3'!N74+'13-3'!N74+'14-3'!N74+'15-3'!N74+'16-3'!N74+'17-3'!N74+'18-3'!N74+'19-3'!N74+'21-3'!N74+'22-3'!N74+'24-3'!N74+'25-3'!N74+'28-3'!N74+'29-3'!N74+'30-3'!N74+'32-3'!N74+'35-3'!N74+'37-3'!N74+'47-3'!N74+'62-3'!N74+'64-3'!N74+'74-3'!N74</f>
        <v>823141</v>
      </c>
      <c r="O328" s="106">
        <f>'01-3'!O74+'02-3'!O74+'03-3'!O74+'04-3'!O74+'05-3'!O74+'08-3'!O74+'09-3'!O74+'10-3'!O74+'11-3'!O74+'12-3'!O74+'13-3'!O74+'14-3'!O74+'15-3'!O74+'16-3'!O74+'17-3'!O74+'18-3'!O74+'19-3'!O74+'21-3'!O74+'22-3'!O74+'24-3'!O74+'25-3'!O74+'28-3'!O74+'29-3'!O74+'30-3'!O74+'32-3'!O74+'35-3'!O74+'37-3'!O74+'47-3'!O74+'62-3'!O74+'64-3'!O74+'74-3'!O74</f>
        <v>0</v>
      </c>
      <c r="P328" s="106">
        <f>'01-3'!P74+'02-3'!P74+'03-3'!P74+'04-3'!P74+'05-3'!P74+'08-3'!P74+'09-3'!P74+'10-3'!P74+'11-3'!P74+'12-3'!P74+'13-3'!P74+'14-3'!P74+'15-3'!P74+'16-3'!P74+'17-3'!P74+'18-3'!P74+'19-3'!P74+'21-3'!P74+'22-3'!P74+'24-3'!P74+'25-3'!P74+'28-3'!P74+'29-3'!P74+'30-3'!P74+'32-3'!P74+'35-3'!P74+'37-3'!P74+'47-3'!P74+'62-3'!P74+'64-3'!P74+'74-3'!P74</f>
        <v>0</v>
      </c>
      <c r="Q328" s="106">
        <f>'01-3'!Q74+'02-3'!Q74+'03-3'!Q74+'04-3'!Q74+'05-3'!Q74+'08-3'!Q74+'09-3'!Q74+'10-3'!Q74+'11-3'!Q74+'12-3'!Q74+'13-3'!Q74+'14-3'!Q74+'15-3'!Q74+'16-3'!Q74+'17-3'!Q74+'18-3'!Q74+'19-3'!Q74+'21-3'!Q74+'22-3'!Q74+'24-3'!Q74+'25-3'!Q74+'28-3'!Q74+'29-3'!Q74+'30-3'!Q74+'32-3'!Q74+'35-3'!Q74+'37-3'!Q74+'47-3'!Q74+'62-3'!Q74+'64-3'!Q74+'74-3'!Q74</f>
        <v>0</v>
      </c>
      <c r="R328" s="106">
        <f>'01-3'!R74+'02-3'!R74+'03-3'!R74+'04-3'!R74+'05-3'!R74+'08-3'!R74+'09-3'!R74+'10-3'!R74+'11-3'!R74+'12-3'!R74+'13-3'!R74+'14-3'!R74+'15-3'!R74+'16-3'!R74+'17-3'!R74+'18-3'!R74+'19-3'!R74+'21-3'!R74+'22-3'!R74+'24-3'!R74+'25-3'!R74+'28-3'!R74+'29-3'!R74+'30-3'!R74+'32-3'!R74+'35-3'!R74+'37-3'!R74+'47-3'!R74+'62-3'!R74+'64-3'!R74+'74-3'!R74</f>
        <v>823141</v>
      </c>
      <c r="S328" s="340"/>
      <c r="T328" s="340"/>
      <c r="U328" s="340"/>
      <c r="V328" s="340"/>
      <c r="W328" s="340"/>
    </row>
    <row r="329" spans="1:23" s="4" customFormat="1" ht="48">
      <c r="A329" s="133">
        <v>9590</v>
      </c>
      <c r="B329" s="112" t="s">
        <v>172</v>
      </c>
      <c r="C329" s="106">
        <f>'01-3'!C75+'02-3'!C75+'03-3'!C75+'04-3'!C75+'05-3'!C75+'08-3'!C75+'09-3'!C75+'10-3'!C75+'11-3'!C75+'12-3'!C75+'13-3'!C75+'14-3'!C75+'15-3'!C75+'16-3'!C75+'17-3'!C75+'18-3'!C75+'19-3'!C75+'21-3'!C75+'22-3'!C75+'24-3'!C75+'25-3'!C75+'28-3'!C75+'29-3'!C75+'30-3'!C75+'32-3'!C75+'35-3'!C75+'37-3'!C75+'47-3'!C75+'62-3'!C75+'64-3'!C75+'74-3'!C75</f>
        <v>26801910</v>
      </c>
      <c r="D329" s="106">
        <f>'01-3'!D75+'02-3'!D75+'03-3'!D75+'04-3'!D75+'05-3'!D75+'08-3'!D75+'09-3'!D75+'10-3'!D75+'11-3'!D75+'12-3'!D75+'13-3'!D75+'14-3'!D75+'15-3'!D75+'16-3'!D75+'17-3'!D75+'18-3'!D75+'19-3'!D75+'21-3'!D75+'22-3'!D75+'24-3'!D75+'25-3'!D75+'28-3'!D75+'29-3'!D75+'30-3'!D75+'32-3'!D75+'35-3'!D75+'37-3'!D75+'47-3'!D75+'62-3'!D75+'64-3'!D75+'74-3'!D75</f>
        <v>37811088</v>
      </c>
      <c r="E329" s="106">
        <f>'01-3'!E75+'02-3'!E75+'03-3'!E75+'04-3'!E75+'05-3'!E75+'08-3'!E75+'09-3'!E75+'10-3'!E75+'11-3'!E75+'12-3'!E75+'13-3'!E75+'14-3'!E75+'15-3'!E75+'16-3'!E75+'17-3'!E75+'18-3'!E75+'19-3'!E75+'21-3'!E75+'22-3'!E75+'24-3'!E75+'25-3'!E75+'28-3'!E75+'29-3'!E75+'30-3'!E75+'32-3'!E75+'35-3'!E75+'37-3'!E75+'47-3'!E75+'62-3'!E75+'64-3'!E75+'74-3'!E75</f>
        <v>0</v>
      </c>
      <c r="F329" s="106">
        <f>'01-3'!F75+'02-3'!F75+'03-3'!F75+'04-3'!F75+'05-3'!F75+'08-3'!F75+'09-3'!F75+'10-3'!F75+'11-3'!F75+'12-3'!F75+'13-3'!F75+'14-3'!F75+'15-3'!F75+'16-3'!F75+'17-3'!F75+'18-3'!F75+'19-3'!F75+'21-3'!F75+'22-3'!F75+'24-3'!F75+'25-3'!F75+'28-3'!F75+'29-3'!F75+'30-3'!F75+'32-3'!F75+'35-3'!F75+'37-3'!F75+'47-3'!F75+'62-3'!F75+'64-3'!F75+'74-3'!F75</f>
        <v>0</v>
      </c>
      <c r="G329" s="106">
        <f>'01-3'!G75+'02-3'!G75+'03-3'!G75+'04-3'!G75+'05-3'!G75+'08-3'!G75+'09-3'!G75+'10-3'!G75+'11-3'!G75+'12-3'!G75+'13-3'!G75+'14-3'!G75+'15-3'!G75+'16-3'!G75+'17-3'!G75+'18-3'!G75+'19-3'!G75+'21-3'!G75+'22-3'!G75+'24-3'!G75+'25-3'!G75+'28-3'!G75+'29-3'!G75+'30-3'!G75+'32-3'!G75+'35-3'!G75+'37-3'!G75+'47-3'!G75+'62-3'!G75+'64-3'!G75+'74-3'!G75</f>
        <v>0</v>
      </c>
      <c r="H329" s="106">
        <f>'01-3'!H75+'02-3'!H75+'03-3'!H75+'04-3'!H75+'05-3'!H75+'08-3'!H75+'09-3'!H75+'10-3'!H75+'11-3'!H75+'12-3'!H75+'13-3'!H75+'14-3'!H75+'15-3'!H75+'16-3'!H75+'17-3'!H75+'18-3'!H75+'19-3'!H75+'21-3'!H75+'22-3'!H75+'24-3'!H75+'25-3'!H75+'28-3'!H75+'29-3'!H75+'30-3'!H75+'32-3'!H75+'35-3'!H75+'37-3'!H75+'47-3'!H75+'62-3'!H75+'64-3'!H75+'74-3'!H75</f>
        <v>37811088</v>
      </c>
      <c r="I329" s="106">
        <f>'01-3'!I75+'02-3'!I75+'03-3'!I75+'04-3'!I75+'05-3'!I75+'08-3'!I75+'09-3'!I75+'10-3'!I75+'11-3'!I75+'12-3'!I75+'13-3'!I75+'14-3'!I75+'15-3'!I75+'16-3'!I75+'17-3'!I75+'18-3'!I75+'19-3'!I75+'21-3'!I75+'22-3'!I75+'24-3'!I75+'25-3'!I75+'28-3'!I75+'29-3'!I75+'30-3'!I75+'32-3'!I75+'35-3'!I75+'37-3'!I75+'47-3'!I75+'62-3'!I75+'64-3'!I75+'74-3'!I75</f>
        <v>20455043</v>
      </c>
      <c r="J329" s="106">
        <f>'01-3'!J75+'02-3'!J75+'03-3'!J75+'04-3'!J75+'05-3'!J75+'08-3'!J75+'09-3'!J75+'10-3'!J75+'11-3'!J75+'12-3'!J75+'13-3'!J75+'14-3'!J75+'15-3'!J75+'16-3'!J75+'17-3'!J75+'18-3'!J75+'19-3'!J75+'21-3'!J75+'22-3'!J75+'24-3'!J75+'25-3'!J75+'28-3'!J75+'29-3'!J75+'30-3'!J75+'32-3'!J75+'35-3'!J75+'37-3'!J75+'47-3'!J75+'62-3'!J75+'64-3'!J75+'74-3'!J75</f>
        <v>0</v>
      </c>
      <c r="K329" s="106">
        <f>'01-3'!K75+'02-3'!K75+'03-3'!K75+'04-3'!K75+'05-3'!K75+'08-3'!K75+'09-3'!K75+'10-3'!K75+'11-3'!K75+'12-3'!K75+'13-3'!K75+'14-3'!K75+'15-3'!K75+'16-3'!K75+'17-3'!K75+'18-3'!K75+'19-3'!K75+'21-3'!K75+'22-3'!K75+'24-3'!K75+'25-3'!K75+'28-3'!K75+'29-3'!K75+'30-3'!K75+'32-3'!K75+'35-3'!K75+'37-3'!K75+'47-3'!K75+'62-3'!K75+'64-3'!K75+'74-3'!K75</f>
        <v>0</v>
      </c>
      <c r="L329" s="106">
        <f>'01-3'!L75+'02-3'!L75+'03-3'!L75+'04-3'!L75+'05-3'!L75+'08-3'!L75+'09-3'!L75+'10-3'!L75+'11-3'!L75+'12-3'!L75+'13-3'!L75+'14-3'!L75+'15-3'!L75+'16-3'!L75+'17-3'!L75+'18-3'!L75+'19-3'!L75+'21-3'!L75+'22-3'!L75+'24-3'!L75+'25-3'!L75+'28-3'!L75+'29-3'!L75+'30-3'!L75+'32-3'!L75+'35-3'!L75+'37-3'!L75+'47-3'!L75+'62-3'!L75+'64-3'!L75+'74-3'!L75</f>
        <v>0</v>
      </c>
      <c r="M329" s="106">
        <f>'01-3'!M75+'02-3'!M75+'03-3'!M75+'04-3'!M75+'05-3'!M75+'08-3'!M75+'09-3'!M75+'10-3'!M75+'11-3'!M75+'12-3'!M75+'13-3'!M75+'14-3'!M75+'15-3'!M75+'16-3'!M75+'17-3'!M75+'18-3'!M75+'19-3'!M75+'21-3'!M75+'22-3'!M75+'24-3'!M75+'25-3'!M75+'28-3'!M75+'29-3'!M75+'30-3'!M75+'32-3'!M75+'35-3'!M75+'37-3'!M75+'47-3'!M75+'62-3'!M75+'64-3'!M75+'74-3'!M75</f>
        <v>20455043</v>
      </c>
      <c r="N329" s="106">
        <f>'01-3'!N75+'02-3'!N75+'03-3'!N75+'04-3'!N75+'05-3'!N75+'08-3'!N75+'09-3'!N75+'10-3'!N75+'11-3'!N75+'12-3'!N75+'13-3'!N75+'14-3'!N75+'15-3'!N75+'16-3'!N75+'17-3'!N75+'18-3'!N75+'19-3'!N75+'21-3'!N75+'22-3'!N75+'24-3'!N75+'25-3'!N75+'28-3'!N75+'29-3'!N75+'30-3'!N75+'32-3'!N75+'35-3'!N75+'37-3'!N75+'47-3'!N75+'62-3'!N75+'64-3'!N75+'74-3'!N75</f>
        <v>9429079</v>
      </c>
      <c r="O329" s="106">
        <f>'01-3'!O75+'02-3'!O75+'03-3'!O75+'04-3'!O75+'05-3'!O75+'08-3'!O75+'09-3'!O75+'10-3'!O75+'11-3'!O75+'12-3'!O75+'13-3'!O75+'14-3'!O75+'15-3'!O75+'16-3'!O75+'17-3'!O75+'18-3'!O75+'19-3'!O75+'21-3'!O75+'22-3'!O75+'24-3'!O75+'25-3'!O75+'28-3'!O75+'29-3'!O75+'30-3'!O75+'32-3'!O75+'35-3'!O75+'37-3'!O75+'47-3'!O75+'62-3'!O75+'64-3'!O75+'74-3'!O75</f>
        <v>0</v>
      </c>
      <c r="P329" s="106">
        <f>'01-3'!P75+'02-3'!P75+'03-3'!P75+'04-3'!P75+'05-3'!P75+'08-3'!P75+'09-3'!P75+'10-3'!P75+'11-3'!P75+'12-3'!P75+'13-3'!P75+'14-3'!P75+'15-3'!P75+'16-3'!P75+'17-3'!P75+'18-3'!P75+'19-3'!P75+'21-3'!P75+'22-3'!P75+'24-3'!P75+'25-3'!P75+'28-3'!P75+'29-3'!P75+'30-3'!P75+'32-3'!P75+'35-3'!P75+'37-3'!P75+'47-3'!P75+'62-3'!P75+'64-3'!P75+'74-3'!P75</f>
        <v>0</v>
      </c>
      <c r="Q329" s="106">
        <f>'01-3'!Q75+'02-3'!Q75+'03-3'!Q75+'04-3'!Q75+'05-3'!Q75+'08-3'!Q75+'09-3'!Q75+'10-3'!Q75+'11-3'!Q75+'12-3'!Q75+'13-3'!Q75+'14-3'!Q75+'15-3'!Q75+'16-3'!Q75+'17-3'!Q75+'18-3'!Q75+'19-3'!Q75+'21-3'!Q75+'22-3'!Q75+'24-3'!Q75+'25-3'!Q75+'28-3'!Q75+'29-3'!Q75+'30-3'!Q75+'32-3'!Q75+'35-3'!Q75+'37-3'!Q75+'47-3'!Q75+'62-3'!Q75+'64-3'!Q75+'74-3'!Q75</f>
        <v>0</v>
      </c>
      <c r="R329" s="106">
        <f>'01-3'!R75+'02-3'!R75+'03-3'!R75+'04-3'!R75+'05-3'!R75+'08-3'!R75+'09-3'!R75+'10-3'!R75+'11-3'!R75+'12-3'!R75+'13-3'!R75+'14-3'!R75+'15-3'!R75+'16-3'!R75+'17-3'!R75+'18-3'!R75+'19-3'!R75+'21-3'!R75+'22-3'!R75+'24-3'!R75+'25-3'!R75+'28-3'!R75+'29-3'!R75+'30-3'!R75+'32-3'!R75+'35-3'!R75+'37-3'!R75+'47-3'!R75+'62-3'!R75+'64-3'!R75+'74-3'!R75</f>
        <v>9429079</v>
      </c>
      <c r="S329" s="1323"/>
      <c r="T329" s="1323"/>
      <c r="U329" s="1323"/>
      <c r="V329" s="1323"/>
      <c r="W329" s="1323"/>
    </row>
    <row r="330" spans="1:23" ht="24" hidden="1">
      <c r="A330" s="141">
        <v>9700</v>
      </c>
      <c r="B330" s="116" t="s">
        <v>194</v>
      </c>
      <c r="C330" s="106">
        <f>'01-3'!C76+'02-3'!C76+'03-3'!C76+'04-3'!C76+'05-3'!C76+'08-3'!C76+'09-3'!C76+'10-3'!C76+'11-3'!C76+'12-3'!C76+'13-3'!C76+'14-3'!C76+'15-3'!C76+'16-3'!C76+'17-3'!C76+'18-3'!C76+'19-3'!C76+'21-3'!C76+'22-3'!C76+'24-3'!C76+'25-3'!C76+'28-3'!C76+'29-3'!C76+'30-3'!C76+'32-3'!C76+'35-3'!C76+'37-3'!C76+'47-3'!C76+'62-3'!C76+'64-3'!C76+'74-3'!C76</f>
        <v>0</v>
      </c>
      <c r="D330" s="106">
        <f>'01-3'!D76+'02-3'!D76+'03-3'!D76+'04-3'!D76+'05-3'!D76+'08-3'!D76+'09-3'!D76+'10-3'!D76+'11-3'!D76+'12-3'!D76+'13-3'!D76+'14-3'!D76+'15-3'!D76+'16-3'!D76+'17-3'!D76+'18-3'!D76+'19-3'!D76+'21-3'!D76+'22-3'!D76+'24-3'!D76+'25-3'!D76+'28-3'!D76+'29-3'!D76+'30-3'!D76+'32-3'!D76+'35-3'!D76+'37-3'!D76+'47-3'!D76+'62-3'!D76+'64-3'!D76+'74-3'!D76</f>
        <v>0</v>
      </c>
      <c r="E330" s="106">
        <f>'01-3'!E76+'02-3'!E76+'03-3'!E76+'04-3'!E76+'05-3'!E76+'08-3'!E76+'09-3'!E76+'10-3'!E76+'11-3'!E76+'12-3'!E76+'13-3'!E76+'14-3'!E76+'15-3'!E76+'16-3'!E76+'17-3'!E76+'18-3'!E76+'19-3'!E76+'21-3'!E76+'22-3'!E76+'24-3'!E76+'25-3'!E76+'28-3'!E76+'29-3'!E76+'30-3'!E76+'32-3'!E76+'35-3'!E76+'37-3'!E76+'47-3'!E76+'62-3'!E76+'64-3'!E76+'74-3'!E76</f>
        <v>0</v>
      </c>
      <c r="F330" s="106">
        <f>'01-3'!F76+'02-3'!F76+'03-3'!F76+'04-3'!F76+'05-3'!F76+'08-3'!F76+'09-3'!F76+'10-3'!F76+'11-3'!F76+'12-3'!F76+'13-3'!F76+'14-3'!F76+'15-3'!F76+'16-3'!F76+'17-3'!F76+'18-3'!F76+'19-3'!F76+'21-3'!F76+'22-3'!F76+'24-3'!F76+'25-3'!F76+'28-3'!F76+'29-3'!F76+'30-3'!F76+'32-3'!F76+'35-3'!F76+'37-3'!F76+'47-3'!F76+'62-3'!F76+'64-3'!F76+'74-3'!F76</f>
        <v>0</v>
      </c>
      <c r="G330" s="106">
        <f>'01-3'!G76+'02-3'!G76+'03-3'!G76+'04-3'!G76+'05-3'!G76+'08-3'!G76+'09-3'!G76+'10-3'!G76+'11-3'!G76+'12-3'!G76+'13-3'!G76+'14-3'!G76+'15-3'!G76+'16-3'!G76+'17-3'!G76+'18-3'!G76+'19-3'!G76+'21-3'!G76+'22-3'!G76+'24-3'!G76+'25-3'!G76+'28-3'!G76+'29-3'!G76+'30-3'!G76+'32-3'!G76+'35-3'!G76+'37-3'!G76+'47-3'!G76+'62-3'!G76+'64-3'!G76+'74-3'!G76</f>
        <v>0</v>
      </c>
      <c r="H330" s="106">
        <f>'01-3'!H76+'02-3'!H76+'03-3'!H76+'04-3'!H76+'05-3'!H76+'08-3'!H76+'09-3'!H76+'10-3'!H76+'11-3'!H76+'12-3'!H76+'13-3'!H76+'14-3'!H76+'15-3'!H76+'16-3'!H76+'17-3'!H76+'18-3'!H76+'19-3'!H76+'21-3'!H76+'22-3'!H76+'24-3'!H76+'25-3'!H76+'28-3'!H76+'29-3'!H76+'30-3'!H76+'32-3'!H76+'35-3'!H76+'37-3'!H76+'47-3'!H76+'62-3'!H76+'64-3'!H76+'74-3'!H76</f>
        <v>0</v>
      </c>
      <c r="I330" s="106">
        <f>'01-3'!I76+'02-3'!I76+'03-3'!I76+'04-3'!I76+'05-3'!I76+'08-3'!I76+'09-3'!I76+'10-3'!I76+'11-3'!I76+'12-3'!I76+'13-3'!I76+'14-3'!I76+'15-3'!I76+'16-3'!I76+'17-3'!I76+'18-3'!I76+'19-3'!I76+'21-3'!I76+'22-3'!I76+'24-3'!I76+'25-3'!I76+'28-3'!I76+'29-3'!I76+'30-3'!I76+'32-3'!I76+'35-3'!I76+'37-3'!I76+'47-3'!I76+'62-3'!I76+'64-3'!I76+'74-3'!I76</f>
        <v>0</v>
      </c>
      <c r="J330" s="106">
        <f>'01-3'!J76+'02-3'!J76+'03-3'!J76+'04-3'!J76+'05-3'!J76+'08-3'!J76+'09-3'!J76+'10-3'!J76+'11-3'!J76+'12-3'!J76+'13-3'!J76+'14-3'!J76+'15-3'!J76+'16-3'!J76+'17-3'!J76+'18-3'!J76+'19-3'!J76+'21-3'!J76+'22-3'!J76+'24-3'!J76+'25-3'!J76+'28-3'!J76+'29-3'!J76+'30-3'!J76+'32-3'!J76+'35-3'!J76+'37-3'!J76+'47-3'!J76+'62-3'!J76+'64-3'!J76+'74-3'!J76</f>
        <v>0</v>
      </c>
      <c r="K330" s="106">
        <f>'01-3'!K76+'02-3'!K76+'03-3'!K76+'04-3'!K76+'05-3'!K76+'08-3'!K76+'09-3'!K76+'10-3'!K76+'11-3'!K76+'12-3'!K76+'13-3'!K76+'14-3'!K76+'15-3'!K76+'16-3'!K76+'17-3'!K76+'18-3'!K76+'19-3'!K76+'21-3'!K76+'22-3'!K76+'24-3'!K76+'25-3'!K76+'28-3'!K76+'29-3'!K76+'30-3'!K76+'32-3'!K76+'35-3'!K76+'37-3'!K76+'47-3'!K76+'62-3'!K76+'64-3'!K76+'74-3'!K76</f>
        <v>0</v>
      </c>
      <c r="L330" s="106">
        <f>'01-3'!L76+'02-3'!L76+'03-3'!L76+'04-3'!L76+'05-3'!L76+'08-3'!L76+'09-3'!L76+'10-3'!L76+'11-3'!L76+'12-3'!L76+'13-3'!L76+'14-3'!L76+'15-3'!L76+'16-3'!L76+'17-3'!L76+'18-3'!L76+'19-3'!L76+'21-3'!L76+'22-3'!L76+'24-3'!L76+'25-3'!L76+'28-3'!L76+'29-3'!L76+'30-3'!L76+'32-3'!L76+'35-3'!L76+'37-3'!L76+'47-3'!L76+'62-3'!L76+'64-3'!L76+'74-3'!L76</f>
        <v>0</v>
      </c>
      <c r="M330" s="106">
        <f>'01-3'!M76+'02-3'!M76+'03-3'!M76+'04-3'!M76+'05-3'!M76+'08-3'!M76+'09-3'!M76+'10-3'!M76+'11-3'!M76+'12-3'!M76+'13-3'!M76+'14-3'!M76+'15-3'!M76+'16-3'!M76+'17-3'!M76+'18-3'!M76+'19-3'!M76+'21-3'!M76+'22-3'!M76+'24-3'!M76+'25-3'!M76+'28-3'!M76+'29-3'!M76+'30-3'!M76+'32-3'!M76+'35-3'!M76+'37-3'!M76+'47-3'!M76+'62-3'!M76+'64-3'!M76+'74-3'!M76</f>
        <v>0</v>
      </c>
      <c r="N330" s="106">
        <f>'01-3'!N76+'02-3'!N76+'03-3'!N76+'04-3'!N76+'05-3'!N76+'08-3'!N76+'09-3'!N76+'10-3'!N76+'11-3'!N76+'12-3'!N76+'13-3'!N76+'14-3'!N76+'15-3'!N76+'16-3'!N76+'17-3'!N76+'18-3'!N76+'19-3'!N76+'21-3'!N76+'22-3'!N76+'24-3'!N76+'25-3'!N76+'28-3'!N76+'29-3'!N76+'30-3'!N76+'32-3'!N76+'35-3'!N76+'37-3'!N76+'47-3'!N76+'62-3'!N76+'64-3'!N76+'74-3'!N76</f>
        <v>0</v>
      </c>
      <c r="O330" s="106">
        <f>'01-3'!O76+'02-3'!O76+'03-3'!O76+'04-3'!O76+'05-3'!O76+'08-3'!O76+'09-3'!O76+'10-3'!O76+'11-3'!O76+'12-3'!O76+'13-3'!O76+'14-3'!O76+'15-3'!O76+'16-3'!O76+'17-3'!O76+'18-3'!O76+'19-3'!O76+'21-3'!O76+'22-3'!O76+'24-3'!O76+'25-3'!O76+'28-3'!O76+'29-3'!O76+'30-3'!O76+'32-3'!O76+'35-3'!O76+'37-3'!O76+'47-3'!O76+'62-3'!O76+'64-3'!O76+'74-3'!O76</f>
        <v>0</v>
      </c>
      <c r="P330" s="106">
        <f>'01-3'!P76+'02-3'!P76+'03-3'!P76+'04-3'!P76+'05-3'!P76+'08-3'!P76+'09-3'!P76+'10-3'!P76+'11-3'!P76+'12-3'!P76+'13-3'!P76+'14-3'!P76+'15-3'!P76+'16-3'!P76+'17-3'!P76+'18-3'!P76+'19-3'!P76+'21-3'!P76+'22-3'!P76+'24-3'!P76+'25-3'!P76+'28-3'!P76+'29-3'!P76+'30-3'!P76+'32-3'!P76+'35-3'!P76+'37-3'!P76+'47-3'!P76+'62-3'!P76+'64-3'!P76+'74-3'!P76</f>
        <v>0</v>
      </c>
      <c r="Q330" s="106">
        <f>'01-3'!Q76+'02-3'!Q76+'03-3'!Q76+'04-3'!Q76+'05-3'!Q76+'08-3'!Q76+'09-3'!Q76+'10-3'!Q76+'11-3'!Q76+'12-3'!Q76+'13-3'!Q76+'14-3'!Q76+'15-3'!Q76+'16-3'!Q76+'17-3'!Q76+'18-3'!Q76+'19-3'!Q76+'21-3'!Q76+'22-3'!Q76+'24-3'!Q76+'25-3'!Q76+'28-3'!Q76+'29-3'!Q76+'30-3'!Q76+'32-3'!Q76+'35-3'!Q76+'37-3'!Q76+'47-3'!Q76+'62-3'!Q76+'64-3'!Q76+'74-3'!Q76</f>
        <v>0</v>
      </c>
      <c r="R330" s="106">
        <f>'01-3'!R76+'02-3'!R76+'03-3'!R76+'04-3'!R76+'05-3'!R76+'08-3'!R76+'09-3'!R76+'10-3'!R76+'11-3'!R76+'12-3'!R76+'13-3'!R76+'14-3'!R76+'15-3'!R76+'16-3'!R76+'17-3'!R76+'18-3'!R76+'19-3'!R76+'21-3'!R76+'22-3'!R76+'24-3'!R76+'25-3'!R76+'28-3'!R76+'29-3'!R76+'30-3'!R76+'32-3'!R76+'35-3'!R76+'37-3'!R76+'47-3'!R76+'62-3'!R76+'64-3'!R76+'74-3'!R76</f>
        <v>0</v>
      </c>
    </row>
    <row r="331" spans="1:23" ht="24" hidden="1">
      <c r="A331" s="133">
        <v>9710</v>
      </c>
      <c r="B331" s="117" t="s">
        <v>195</v>
      </c>
      <c r="C331" s="106">
        <f>'01-3'!C77+'02-3'!C77+'03-3'!C77+'04-3'!C77+'05-3'!C77+'08-3'!C77+'09-3'!C77+'10-3'!C77+'11-3'!C77+'12-3'!C77+'13-3'!C77+'14-3'!C77+'15-3'!C77+'16-3'!C77+'17-3'!C77+'18-3'!C77+'19-3'!C77+'21-3'!C77+'22-3'!C77+'24-3'!C77+'25-3'!C77+'28-3'!C77+'29-3'!C77+'30-3'!C77+'32-3'!C77+'35-3'!C77+'37-3'!C77+'47-3'!C77+'62-3'!C77+'64-3'!C77+'74-3'!C77</f>
        <v>0</v>
      </c>
      <c r="D331" s="106">
        <f>'01-3'!D77+'02-3'!D77+'03-3'!D77+'04-3'!D77+'05-3'!D77+'08-3'!D77+'09-3'!D77+'10-3'!D77+'11-3'!D77+'12-3'!D77+'13-3'!D77+'14-3'!D77+'15-3'!D77+'16-3'!D77+'17-3'!D77+'18-3'!D77+'19-3'!D77+'21-3'!D77+'22-3'!D77+'24-3'!D77+'25-3'!D77+'28-3'!D77+'29-3'!D77+'30-3'!D77+'32-3'!D77+'35-3'!D77+'37-3'!D77+'47-3'!D77+'62-3'!D77+'64-3'!D77+'74-3'!D77</f>
        <v>0</v>
      </c>
      <c r="E331" s="106">
        <f>'01-3'!E77+'02-3'!E77+'03-3'!E77+'04-3'!E77+'05-3'!E77+'08-3'!E77+'09-3'!E77+'10-3'!E77+'11-3'!E77+'12-3'!E77+'13-3'!E77+'14-3'!E77+'15-3'!E77+'16-3'!E77+'17-3'!E77+'18-3'!E77+'19-3'!E77+'21-3'!E77+'22-3'!E77+'24-3'!E77+'25-3'!E77+'28-3'!E77+'29-3'!E77+'30-3'!E77+'32-3'!E77+'35-3'!E77+'37-3'!E77+'47-3'!E77+'62-3'!E77+'64-3'!E77+'74-3'!E77</f>
        <v>0</v>
      </c>
      <c r="F331" s="106">
        <f>'01-3'!F77+'02-3'!F77+'03-3'!F77+'04-3'!F77+'05-3'!F77+'08-3'!F77+'09-3'!F77+'10-3'!F77+'11-3'!F77+'12-3'!F77+'13-3'!F77+'14-3'!F77+'15-3'!F77+'16-3'!F77+'17-3'!F77+'18-3'!F77+'19-3'!F77+'21-3'!F77+'22-3'!F77+'24-3'!F77+'25-3'!F77+'28-3'!F77+'29-3'!F77+'30-3'!F77+'32-3'!F77+'35-3'!F77+'37-3'!F77+'47-3'!F77+'62-3'!F77+'64-3'!F77+'74-3'!F77</f>
        <v>0</v>
      </c>
      <c r="G331" s="106">
        <f>'01-3'!G77+'02-3'!G77+'03-3'!G77+'04-3'!G77+'05-3'!G77+'08-3'!G77+'09-3'!G77+'10-3'!G77+'11-3'!G77+'12-3'!G77+'13-3'!G77+'14-3'!G77+'15-3'!G77+'16-3'!G77+'17-3'!G77+'18-3'!G77+'19-3'!G77+'21-3'!G77+'22-3'!G77+'24-3'!G77+'25-3'!G77+'28-3'!G77+'29-3'!G77+'30-3'!G77+'32-3'!G77+'35-3'!G77+'37-3'!G77+'47-3'!G77+'62-3'!G77+'64-3'!G77+'74-3'!G77</f>
        <v>0</v>
      </c>
      <c r="H331" s="106">
        <f>'01-3'!H77+'02-3'!H77+'03-3'!H77+'04-3'!H77+'05-3'!H77+'08-3'!H77+'09-3'!H77+'10-3'!H77+'11-3'!H77+'12-3'!H77+'13-3'!H77+'14-3'!H77+'15-3'!H77+'16-3'!H77+'17-3'!H77+'18-3'!H77+'19-3'!H77+'21-3'!H77+'22-3'!H77+'24-3'!H77+'25-3'!H77+'28-3'!H77+'29-3'!H77+'30-3'!H77+'32-3'!H77+'35-3'!H77+'37-3'!H77+'47-3'!H77+'62-3'!H77+'64-3'!H77+'74-3'!H77</f>
        <v>0</v>
      </c>
      <c r="I331" s="106">
        <f>'01-3'!I77+'02-3'!I77+'03-3'!I77+'04-3'!I77+'05-3'!I77+'08-3'!I77+'09-3'!I77+'10-3'!I77+'11-3'!I77+'12-3'!I77+'13-3'!I77+'14-3'!I77+'15-3'!I77+'16-3'!I77+'17-3'!I77+'18-3'!I77+'19-3'!I77+'21-3'!I77+'22-3'!I77+'24-3'!I77+'25-3'!I77+'28-3'!I77+'29-3'!I77+'30-3'!I77+'32-3'!I77+'35-3'!I77+'37-3'!I77+'47-3'!I77+'62-3'!I77+'64-3'!I77+'74-3'!I77</f>
        <v>0</v>
      </c>
      <c r="J331" s="106">
        <f>'01-3'!J77+'02-3'!J77+'03-3'!J77+'04-3'!J77+'05-3'!J77+'08-3'!J77+'09-3'!J77+'10-3'!J77+'11-3'!J77+'12-3'!J77+'13-3'!J77+'14-3'!J77+'15-3'!J77+'16-3'!J77+'17-3'!J77+'18-3'!J77+'19-3'!J77+'21-3'!J77+'22-3'!J77+'24-3'!J77+'25-3'!J77+'28-3'!J77+'29-3'!J77+'30-3'!J77+'32-3'!J77+'35-3'!J77+'37-3'!J77+'47-3'!J77+'62-3'!J77+'64-3'!J77+'74-3'!J77</f>
        <v>0</v>
      </c>
      <c r="K331" s="106">
        <f>'01-3'!K77+'02-3'!K77+'03-3'!K77+'04-3'!K77+'05-3'!K77+'08-3'!K77+'09-3'!K77+'10-3'!K77+'11-3'!K77+'12-3'!K77+'13-3'!K77+'14-3'!K77+'15-3'!K77+'16-3'!K77+'17-3'!K77+'18-3'!K77+'19-3'!K77+'21-3'!K77+'22-3'!K77+'24-3'!K77+'25-3'!K77+'28-3'!K77+'29-3'!K77+'30-3'!K77+'32-3'!K77+'35-3'!K77+'37-3'!K77+'47-3'!K77+'62-3'!K77+'64-3'!K77+'74-3'!K77</f>
        <v>0</v>
      </c>
      <c r="L331" s="106">
        <f>'01-3'!L77+'02-3'!L77+'03-3'!L77+'04-3'!L77+'05-3'!L77+'08-3'!L77+'09-3'!L77+'10-3'!L77+'11-3'!L77+'12-3'!L77+'13-3'!L77+'14-3'!L77+'15-3'!L77+'16-3'!L77+'17-3'!L77+'18-3'!L77+'19-3'!L77+'21-3'!L77+'22-3'!L77+'24-3'!L77+'25-3'!L77+'28-3'!L77+'29-3'!L77+'30-3'!L77+'32-3'!L77+'35-3'!L77+'37-3'!L77+'47-3'!L77+'62-3'!L77+'64-3'!L77+'74-3'!L77</f>
        <v>0</v>
      </c>
      <c r="M331" s="106">
        <f>'01-3'!M77+'02-3'!M77+'03-3'!M77+'04-3'!M77+'05-3'!M77+'08-3'!M77+'09-3'!M77+'10-3'!M77+'11-3'!M77+'12-3'!M77+'13-3'!M77+'14-3'!M77+'15-3'!M77+'16-3'!M77+'17-3'!M77+'18-3'!M77+'19-3'!M77+'21-3'!M77+'22-3'!M77+'24-3'!M77+'25-3'!M77+'28-3'!M77+'29-3'!M77+'30-3'!M77+'32-3'!M77+'35-3'!M77+'37-3'!M77+'47-3'!M77+'62-3'!M77+'64-3'!M77+'74-3'!M77</f>
        <v>0</v>
      </c>
      <c r="N331" s="106">
        <f>'01-3'!N77+'02-3'!N77+'03-3'!N77+'04-3'!N77+'05-3'!N77+'08-3'!N77+'09-3'!N77+'10-3'!N77+'11-3'!N77+'12-3'!N77+'13-3'!N77+'14-3'!N77+'15-3'!N77+'16-3'!N77+'17-3'!N77+'18-3'!N77+'19-3'!N77+'21-3'!N77+'22-3'!N77+'24-3'!N77+'25-3'!N77+'28-3'!N77+'29-3'!N77+'30-3'!N77+'32-3'!N77+'35-3'!N77+'37-3'!N77+'47-3'!N77+'62-3'!N77+'64-3'!N77+'74-3'!N77</f>
        <v>0</v>
      </c>
      <c r="O331" s="106">
        <f>'01-3'!O77+'02-3'!O77+'03-3'!O77+'04-3'!O77+'05-3'!O77+'08-3'!O77+'09-3'!O77+'10-3'!O77+'11-3'!O77+'12-3'!O77+'13-3'!O77+'14-3'!O77+'15-3'!O77+'16-3'!O77+'17-3'!O77+'18-3'!O77+'19-3'!O77+'21-3'!O77+'22-3'!O77+'24-3'!O77+'25-3'!O77+'28-3'!O77+'29-3'!O77+'30-3'!O77+'32-3'!O77+'35-3'!O77+'37-3'!O77+'47-3'!O77+'62-3'!O77+'64-3'!O77+'74-3'!O77</f>
        <v>0</v>
      </c>
      <c r="P331" s="106">
        <f>'01-3'!P77+'02-3'!P77+'03-3'!P77+'04-3'!P77+'05-3'!P77+'08-3'!P77+'09-3'!P77+'10-3'!P77+'11-3'!P77+'12-3'!P77+'13-3'!P77+'14-3'!P77+'15-3'!P77+'16-3'!P77+'17-3'!P77+'18-3'!P77+'19-3'!P77+'21-3'!P77+'22-3'!P77+'24-3'!P77+'25-3'!P77+'28-3'!P77+'29-3'!P77+'30-3'!P77+'32-3'!P77+'35-3'!P77+'37-3'!P77+'47-3'!P77+'62-3'!P77+'64-3'!P77+'74-3'!P77</f>
        <v>0</v>
      </c>
      <c r="Q331" s="106">
        <f>'01-3'!Q77+'02-3'!Q77+'03-3'!Q77+'04-3'!Q77+'05-3'!Q77+'08-3'!Q77+'09-3'!Q77+'10-3'!Q77+'11-3'!Q77+'12-3'!Q77+'13-3'!Q77+'14-3'!Q77+'15-3'!Q77+'16-3'!Q77+'17-3'!Q77+'18-3'!Q77+'19-3'!Q77+'21-3'!Q77+'22-3'!Q77+'24-3'!Q77+'25-3'!Q77+'28-3'!Q77+'29-3'!Q77+'30-3'!Q77+'32-3'!Q77+'35-3'!Q77+'37-3'!Q77+'47-3'!Q77+'62-3'!Q77+'64-3'!Q77+'74-3'!Q77</f>
        <v>0</v>
      </c>
      <c r="R331" s="106">
        <f>'01-3'!R77+'02-3'!R77+'03-3'!R77+'04-3'!R77+'05-3'!R77+'08-3'!R77+'09-3'!R77+'10-3'!R77+'11-3'!R77+'12-3'!R77+'13-3'!R77+'14-3'!R77+'15-3'!R77+'16-3'!R77+'17-3'!R77+'18-3'!R77+'19-3'!R77+'21-3'!R77+'22-3'!R77+'24-3'!R77+'25-3'!R77+'28-3'!R77+'29-3'!R77+'30-3'!R77+'32-3'!R77+'35-3'!R77+'37-3'!R77+'47-3'!R77+'62-3'!R77+'64-3'!R77+'74-3'!R77</f>
        <v>0</v>
      </c>
    </row>
    <row r="332" spans="1:23" ht="48" hidden="1">
      <c r="A332" s="142">
        <v>9720</v>
      </c>
      <c r="B332" s="116" t="s">
        <v>196</v>
      </c>
      <c r="C332" s="106">
        <f>'01-3'!C78+'02-3'!C78+'03-3'!C78+'04-3'!C78+'05-3'!C78+'08-3'!C78+'09-3'!C78+'10-3'!C78+'11-3'!C78+'12-3'!C78+'13-3'!C78+'14-3'!C78+'15-3'!C78+'16-3'!C78+'17-3'!C78+'18-3'!C78+'19-3'!C78+'21-3'!C78+'22-3'!C78+'24-3'!C78+'25-3'!C78+'28-3'!C78+'29-3'!C78+'30-3'!C78+'32-3'!C78+'35-3'!C78+'37-3'!C78+'47-3'!C78+'62-3'!C78+'64-3'!C78+'74-3'!C78</f>
        <v>0</v>
      </c>
      <c r="D332" s="106">
        <f>'01-3'!D78+'02-3'!D78+'03-3'!D78+'04-3'!D78+'05-3'!D78+'08-3'!D78+'09-3'!D78+'10-3'!D78+'11-3'!D78+'12-3'!D78+'13-3'!D78+'14-3'!D78+'15-3'!D78+'16-3'!D78+'17-3'!D78+'18-3'!D78+'19-3'!D78+'21-3'!D78+'22-3'!D78+'24-3'!D78+'25-3'!D78+'28-3'!D78+'29-3'!D78+'30-3'!D78+'32-3'!D78+'35-3'!D78+'37-3'!D78+'47-3'!D78+'62-3'!D78+'64-3'!D78+'74-3'!D78</f>
        <v>0</v>
      </c>
      <c r="E332" s="106">
        <f>'01-3'!E78+'02-3'!E78+'03-3'!E78+'04-3'!E78+'05-3'!E78+'08-3'!E78+'09-3'!E78+'10-3'!E78+'11-3'!E78+'12-3'!E78+'13-3'!E78+'14-3'!E78+'15-3'!E78+'16-3'!E78+'17-3'!E78+'18-3'!E78+'19-3'!E78+'21-3'!E78+'22-3'!E78+'24-3'!E78+'25-3'!E78+'28-3'!E78+'29-3'!E78+'30-3'!E78+'32-3'!E78+'35-3'!E78+'37-3'!E78+'47-3'!E78+'62-3'!E78+'64-3'!E78+'74-3'!E78</f>
        <v>0</v>
      </c>
      <c r="F332" s="106">
        <f>'01-3'!F78+'02-3'!F78+'03-3'!F78+'04-3'!F78+'05-3'!F78+'08-3'!F78+'09-3'!F78+'10-3'!F78+'11-3'!F78+'12-3'!F78+'13-3'!F78+'14-3'!F78+'15-3'!F78+'16-3'!F78+'17-3'!F78+'18-3'!F78+'19-3'!F78+'21-3'!F78+'22-3'!F78+'24-3'!F78+'25-3'!F78+'28-3'!F78+'29-3'!F78+'30-3'!F78+'32-3'!F78+'35-3'!F78+'37-3'!F78+'47-3'!F78+'62-3'!F78+'64-3'!F78+'74-3'!F78</f>
        <v>0</v>
      </c>
      <c r="G332" s="106">
        <f>'01-3'!G78+'02-3'!G78+'03-3'!G78+'04-3'!G78+'05-3'!G78+'08-3'!G78+'09-3'!G78+'10-3'!G78+'11-3'!G78+'12-3'!G78+'13-3'!G78+'14-3'!G78+'15-3'!G78+'16-3'!G78+'17-3'!G78+'18-3'!G78+'19-3'!G78+'21-3'!G78+'22-3'!G78+'24-3'!G78+'25-3'!G78+'28-3'!G78+'29-3'!G78+'30-3'!G78+'32-3'!G78+'35-3'!G78+'37-3'!G78+'47-3'!G78+'62-3'!G78+'64-3'!G78+'74-3'!G78</f>
        <v>0</v>
      </c>
      <c r="H332" s="106">
        <f>'01-3'!H78+'02-3'!H78+'03-3'!H78+'04-3'!H78+'05-3'!H78+'08-3'!H78+'09-3'!H78+'10-3'!H78+'11-3'!H78+'12-3'!H78+'13-3'!H78+'14-3'!H78+'15-3'!H78+'16-3'!H78+'17-3'!H78+'18-3'!H78+'19-3'!H78+'21-3'!H78+'22-3'!H78+'24-3'!H78+'25-3'!H78+'28-3'!H78+'29-3'!H78+'30-3'!H78+'32-3'!H78+'35-3'!H78+'37-3'!H78+'47-3'!H78+'62-3'!H78+'64-3'!H78+'74-3'!H78</f>
        <v>0</v>
      </c>
      <c r="I332" s="106">
        <f>'01-3'!I78+'02-3'!I78+'03-3'!I78+'04-3'!I78+'05-3'!I78+'08-3'!I78+'09-3'!I78+'10-3'!I78+'11-3'!I78+'12-3'!I78+'13-3'!I78+'14-3'!I78+'15-3'!I78+'16-3'!I78+'17-3'!I78+'18-3'!I78+'19-3'!I78+'21-3'!I78+'22-3'!I78+'24-3'!I78+'25-3'!I78+'28-3'!I78+'29-3'!I78+'30-3'!I78+'32-3'!I78+'35-3'!I78+'37-3'!I78+'47-3'!I78+'62-3'!I78+'64-3'!I78+'74-3'!I78</f>
        <v>0</v>
      </c>
      <c r="J332" s="106">
        <f>'01-3'!J78+'02-3'!J78+'03-3'!J78+'04-3'!J78+'05-3'!J78+'08-3'!J78+'09-3'!J78+'10-3'!J78+'11-3'!J78+'12-3'!J78+'13-3'!J78+'14-3'!J78+'15-3'!J78+'16-3'!J78+'17-3'!J78+'18-3'!J78+'19-3'!J78+'21-3'!J78+'22-3'!J78+'24-3'!J78+'25-3'!J78+'28-3'!J78+'29-3'!J78+'30-3'!J78+'32-3'!J78+'35-3'!J78+'37-3'!J78+'47-3'!J78+'62-3'!J78+'64-3'!J78+'74-3'!J78</f>
        <v>0</v>
      </c>
      <c r="K332" s="106">
        <f>'01-3'!K78+'02-3'!K78+'03-3'!K78+'04-3'!K78+'05-3'!K78+'08-3'!K78+'09-3'!K78+'10-3'!K78+'11-3'!K78+'12-3'!K78+'13-3'!K78+'14-3'!K78+'15-3'!K78+'16-3'!K78+'17-3'!K78+'18-3'!K78+'19-3'!K78+'21-3'!K78+'22-3'!K78+'24-3'!K78+'25-3'!K78+'28-3'!K78+'29-3'!K78+'30-3'!K78+'32-3'!K78+'35-3'!K78+'37-3'!K78+'47-3'!K78+'62-3'!K78+'64-3'!K78+'74-3'!K78</f>
        <v>0</v>
      </c>
      <c r="L332" s="106">
        <f>'01-3'!L78+'02-3'!L78+'03-3'!L78+'04-3'!L78+'05-3'!L78+'08-3'!L78+'09-3'!L78+'10-3'!L78+'11-3'!L78+'12-3'!L78+'13-3'!L78+'14-3'!L78+'15-3'!L78+'16-3'!L78+'17-3'!L78+'18-3'!L78+'19-3'!L78+'21-3'!L78+'22-3'!L78+'24-3'!L78+'25-3'!L78+'28-3'!L78+'29-3'!L78+'30-3'!L78+'32-3'!L78+'35-3'!L78+'37-3'!L78+'47-3'!L78+'62-3'!L78+'64-3'!L78+'74-3'!L78</f>
        <v>0</v>
      </c>
      <c r="M332" s="106">
        <f>'01-3'!M78+'02-3'!M78+'03-3'!M78+'04-3'!M78+'05-3'!M78+'08-3'!M78+'09-3'!M78+'10-3'!M78+'11-3'!M78+'12-3'!M78+'13-3'!M78+'14-3'!M78+'15-3'!M78+'16-3'!M78+'17-3'!M78+'18-3'!M78+'19-3'!M78+'21-3'!M78+'22-3'!M78+'24-3'!M78+'25-3'!M78+'28-3'!M78+'29-3'!M78+'30-3'!M78+'32-3'!M78+'35-3'!M78+'37-3'!M78+'47-3'!M78+'62-3'!M78+'64-3'!M78+'74-3'!M78</f>
        <v>0</v>
      </c>
      <c r="N332" s="106">
        <f>'01-3'!N78+'02-3'!N78+'03-3'!N78+'04-3'!N78+'05-3'!N78+'08-3'!N78+'09-3'!N78+'10-3'!N78+'11-3'!N78+'12-3'!N78+'13-3'!N78+'14-3'!N78+'15-3'!N78+'16-3'!N78+'17-3'!N78+'18-3'!N78+'19-3'!N78+'21-3'!N78+'22-3'!N78+'24-3'!N78+'25-3'!N78+'28-3'!N78+'29-3'!N78+'30-3'!N78+'32-3'!N78+'35-3'!N78+'37-3'!N78+'47-3'!N78+'62-3'!N78+'64-3'!N78+'74-3'!N78</f>
        <v>0</v>
      </c>
      <c r="O332" s="106">
        <f>'01-3'!O78+'02-3'!O78+'03-3'!O78+'04-3'!O78+'05-3'!O78+'08-3'!O78+'09-3'!O78+'10-3'!O78+'11-3'!O78+'12-3'!O78+'13-3'!O78+'14-3'!O78+'15-3'!O78+'16-3'!O78+'17-3'!O78+'18-3'!O78+'19-3'!O78+'21-3'!O78+'22-3'!O78+'24-3'!O78+'25-3'!O78+'28-3'!O78+'29-3'!O78+'30-3'!O78+'32-3'!O78+'35-3'!O78+'37-3'!O78+'47-3'!O78+'62-3'!O78+'64-3'!O78+'74-3'!O78</f>
        <v>0</v>
      </c>
      <c r="P332" s="106">
        <f>'01-3'!P78+'02-3'!P78+'03-3'!P78+'04-3'!P78+'05-3'!P78+'08-3'!P78+'09-3'!P78+'10-3'!P78+'11-3'!P78+'12-3'!P78+'13-3'!P78+'14-3'!P78+'15-3'!P78+'16-3'!P78+'17-3'!P78+'18-3'!P78+'19-3'!P78+'21-3'!P78+'22-3'!P78+'24-3'!P78+'25-3'!P78+'28-3'!P78+'29-3'!P78+'30-3'!P78+'32-3'!P78+'35-3'!P78+'37-3'!P78+'47-3'!P78+'62-3'!P78+'64-3'!P78+'74-3'!P78</f>
        <v>0</v>
      </c>
      <c r="Q332" s="106">
        <f>'01-3'!Q78+'02-3'!Q78+'03-3'!Q78+'04-3'!Q78+'05-3'!Q78+'08-3'!Q78+'09-3'!Q78+'10-3'!Q78+'11-3'!Q78+'12-3'!Q78+'13-3'!Q78+'14-3'!Q78+'15-3'!Q78+'16-3'!Q78+'17-3'!Q78+'18-3'!Q78+'19-3'!Q78+'21-3'!Q78+'22-3'!Q78+'24-3'!Q78+'25-3'!Q78+'28-3'!Q78+'29-3'!Q78+'30-3'!Q78+'32-3'!Q78+'35-3'!Q78+'37-3'!Q78+'47-3'!Q78+'62-3'!Q78+'64-3'!Q78+'74-3'!Q78</f>
        <v>0</v>
      </c>
      <c r="R332" s="106">
        <f>'01-3'!R78+'02-3'!R78+'03-3'!R78+'04-3'!R78+'05-3'!R78+'08-3'!R78+'09-3'!R78+'10-3'!R78+'11-3'!R78+'12-3'!R78+'13-3'!R78+'14-3'!R78+'15-3'!R78+'16-3'!R78+'17-3'!R78+'18-3'!R78+'19-3'!R78+'21-3'!R78+'22-3'!R78+'24-3'!R78+'25-3'!R78+'28-3'!R78+'29-3'!R78+'30-3'!R78+'32-3'!R78+'35-3'!R78+'37-3'!R78+'47-3'!R78+'62-3'!R78+'64-3'!R78+'74-3'!R78</f>
        <v>0</v>
      </c>
    </row>
    <row r="333" spans="1:23" ht="24">
      <c r="A333" s="141">
        <v>9600</v>
      </c>
      <c r="B333" s="112" t="s">
        <v>134</v>
      </c>
      <c r="C333" s="106">
        <f>'01-3'!C79+'02-3'!C79+'03-3'!C79+'04-3'!C79+'05-3'!C79+'08-3'!C79+'09-3'!C79+'10-3'!C79+'11-3'!C79+'12-3'!C79+'13-3'!C79+'14-3'!C79+'15-3'!C79+'16-3'!C79+'17-3'!C79+'18-3'!C79+'19-3'!C79+'21-3'!C79+'22-3'!C79+'24-3'!C79+'25-3'!C79+'28-3'!C79+'29-3'!C79+'30-3'!C79+'32-3'!C79+'35-3'!C79+'37-3'!C79+'47-3'!C79+'62-3'!C79+'64-3'!C79+'74-3'!C79</f>
        <v>104101389</v>
      </c>
      <c r="D333" s="106">
        <f>'01-3'!D79+'02-3'!D79+'03-3'!D79+'04-3'!D79+'05-3'!D79+'08-3'!D79+'09-3'!D79+'10-3'!D79+'11-3'!D79+'12-3'!D79+'13-3'!D79+'14-3'!D79+'15-3'!D79+'16-3'!D79+'17-3'!D79+'18-3'!D79+'19-3'!D79+'21-3'!D79+'22-3'!D79+'24-3'!D79+'25-3'!D79+'28-3'!D79+'29-3'!D79+'30-3'!D79+'32-3'!D79+'35-3'!D79+'37-3'!D79+'47-3'!D79+'62-3'!D79+'64-3'!D79+'74-3'!D79</f>
        <v>114421391</v>
      </c>
      <c r="E333" s="106">
        <f>'01-3'!E79+'02-3'!E79+'03-3'!E79+'04-3'!E79+'05-3'!E79+'08-3'!E79+'09-3'!E79+'10-3'!E79+'11-3'!E79+'12-3'!E79+'13-3'!E79+'14-3'!E79+'15-3'!E79+'16-3'!E79+'17-3'!E79+'18-3'!E79+'19-3'!E79+'21-3'!E79+'22-3'!E79+'24-3'!E79+'25-3'!E79+'28-3'!E79+'29-3'!E79+'30-3'!E79+'32-3'!E79+'35-3'!E79+'37-3'!E79+'47-3'!E79+'62-3'!E79+'64-3'!E79+'74-3'!E79</f>
        <v>855345</v>
      </c>
      <c r="F333" s="106">
        <f>'01-3'!F79+'02-3'!F79+'03-3'!F79+'04-3'!F79+'05-3'!F79+'08-3'!F79+'09-3'!F79+'10-3'!F79+'11-3'!F79+'12-3'!F79+'13-3'!F79+'14-3'!F79+'15-3'!F79+'16-3'!F79+'17-3'!F79+'18-3'!F79+'19-3'!F79+'21-3'!F79+'22-3'!F79+'24-3'!F79+'25-3'!F79+'28-3'!F79+'29-3'!F79+'30-3'!F79+'32-3'!F79+'35-3'!F79+'37-3'!F79+'47-3'!F79+'62-3'!F79+'64-3'!F79+'74-3'!F79</f>
        <v>0</v>
      </c>
      <c r="G333" s="106">
        <f>'01-3'!G79+'02-3'!G79+'03-3'!G79+'04-3'!G79+'05-3'!G79+'08-3'!G79+'09-3'!G79+'10-3'!G79+'11-3'!G79+'12-3'!G79+'13-3'!G79+'14-3'!G79+'15-3'!G79+'16-3'!G79+'17-3'!G79+'18-3'!G79+'19-3'!G79+'21-3'!G79+'22-3'!G79+'24-3'!G79+'25-3'!G79+'28-3'!G79+'29-3'!G79+'30-3'!G79+'32-3'!G79+'35-3'!G79+'37-3'!G79+'47-3'!G79+'62-3'!G79+'64-3'!G79+'74-3'!G79</f>
        <v>0</v>
      </c>
      <c r="H333" s="106">
        <f>'01-3'!H79+'02-3'!H79+'03-3'!H79+'04-3'!H79+'05-3'!H79+'08-3'!H79+'09-3'!H79+'10-3'!H79+'11-3'!H79+'12-3'!H79+'13-3'!H79+'14-3'!H79+'15-3'!H79+'16-3'!H79+'17-3'!H79+'18-3'!H79+'19-3'!H79+'21-3'!H79+'22-3'!H79+'24-3'!H79+'25-3'!H79+'28-3'!H79+'29-3'!H79+'30-3'!H79+'32-3'!H79+'35-3'!H79+'37-3'!H79+'47-3'!H79+'62-3'!H79+'64-3'!H79+'74-3'!H79</f>
        <v>115276736</v>
      </c>
      <c r="I333" s="106">
        <f>'01-3'!I79+'02-3'!I79+'03-3'!I79+'04-3'!I79+'05-3'!I79+'08-3'!I79+'09-3'!I79+'10-3'!I79+'11-3'!I79+'12-3'!I79+'13-3'!I79+'14-3'!I79+'15-3'!I79+'16-3'!I79+'17-3'!I79+'18-3'!I79+'19-3'!I79+'21-3'!I79+'22-3'!I79+'24-3'!I79+'25-3'!I79+'28-3'!I79+'29-3'!I79+'30-3'!I79+'32-3'!I79+'35-3'!I79+'37-3'!I79+'47-3'!I79+'62-3'!I79+'64-3'!I79+'74-3'!I79</f>
        <v>25659642</v>
      </c>
      <c r="J333" s="106">
        <f>'01-3'!J79+'02-3'!J79+'03-3'!J79+'04-3'!J79+'05-3'!J79+'08-3'!J79+'09-3'!J79+'10-3'!J79+'11-3'!J79+'12-3'!J79+'13-3'!J79+'14-3'!J79+'15-3'!J79+'16-3'!J79+'17-3'!J79+'18-3'!J79+'19-3'!J79+'21-3'!J79+'22-3'!J79+'24-3'!J79+'25-3'!J79+'28-3'!J79+'29-3'!J79+'30-3'!J79+'32-3'!J79+'35-3'!J79+'37-3'!J79+'47-3'!J79+'62-3'!J79+'64-3'!J79+'74-3'!J79</f>
        <v>0</v>
      </c>
      <c r="K333" s="106">
        <f>'01-3'!K79+'02-3'!K79+'03-3'!K79+'04-3'!K79+'05-3'!K79+'08-3'!K79+'09-3'!K79+'10-3'!K79+'11-3'!K79+'12-3'!K79+'13-3'!K79+'14-3'!K79+'15-3'!K79+'16-3'!K79+'17-3'!K79+'18-3'!K79+'19-3'!K79+'21-3'!K79+'22-3'!K79+'24-3'!K79+'25-3'!K79+'28-3'!K79+'29-3'!K79+'30-3'!K79+'32-3'!K79+'35-3'!K79+'37-3'!K79+'47-3'!K79+'62-3'!K79+'64-3'!K79+'74-3'!K79</f>
        <v>0</v>
      </c>
      <c r="L333" s="106">
        <f>'01-3'!L79+'02-3'!L79+'03-3'!L79+'04-3'!L79+'05-3'!L79+'08-3'!L79+'09-3'!L79+'10-3'!L79+'11-3'!L79+'12-3'!L79+'13-3'!L79+'14-3'!L79+'15-3'!L79+'16-3'!L79+'17-3'!L79+'18-3'!L79+'19-3'!L79+'21-3'!L79+'22-3'!L79+'24-3'!L79+'25-3'!L79+'28-3'!L79+'29-3'!L79+'30-3'!L79+'32-3'!L79+'35-3'!L79+'37-3'!L79+'47-3'!L79+'62-3'!L79+'64-3'!L79+'74-3'!L79</f>
        <v>0</v>
      </c>
      <c r="M333" s="106">
        <f>'01-3'!M79+'02-3'!M79+'03-3'!M79+'04-3'!M79+'05-3'!M79+'08-3'!M79+'09-3'!M79+'10-3'!M79+'11-3'!M79+'12-3'!M79+'13-3'!M79+'14-3'!M79+'15-3'!M79+'16-3'!M79+'17-3'!M79+'18-3'!M79+'19-3'!M79+'21-3'!M79+'22-3'!M79+'24-3'!M79+'25-3'!M79+'28-3'!M79+'29-3'!M79+'30-3'!M79+'32-3'!M79+'35-3'!M79+'37-3'!M79+'47-3'!M79+'62-3'!M79+'64-3'!M79+'74-3'!M79</f>
        <v>25659642</v>
      </c>
      <c r="N333" s="106">
        <f>'01-3'!N79+'02-3'!N79+'03-3'!N79+'04-3'!N79+'05-3'!N79+'08-3'!N79+'09-3'!N79+'10-3'!N79+'11-3'!N79+'12-3'!N79+'13-3'!N79+'14-3'!N79+'15-3'!N79+'16-3'!N79+'17-3'!N79+'18-3'!N79+'19-3'!N79+'21-3'!N79+'22-3'!N79+'24-3'!N79+'25-3'!N79+'28-3'!N79+'29-3'!N79+'30-3'!N79+'32-3'!N79+'35-3'!N79+'37-3'!N79+'47-3'!N79+'62-3'!N79+'64-3'!N79+'74-3'!N79</f>
        <v>4988960</v>
      </c>
      <c r="O333" s="106">
        <f>'01-3'!O79+'02-3'!O79+'03-3'!O79+'04-3'!O79+'05-3'!O79+'08-3'!O79+'09-3'!O79+'10-3'!O79+'11-3'!O79+'12-3'!O79+'13-3'!O79+'14-3'!O79+'15-3'!O79+'16-3'!O79+'17-3'!O79+'18-3'!O79+'19-3'!O79+'21-3'!O79+'22-3'!O79+'24-3'!O79+'25-3'!O79+'28-3'!O79+'29-3'!O79+'30-3'!O79+'32-3'!O79+'35-3'!O79+'37-3'!O79+'47-3'!O79+'62-3'!O79+'64-3'!O79+'74-3'!O79</f>
        <v>0</v>
      </c>
      <c r="P333" s="106">
        <f>'01-3'!P79+'02-3'!P79+'03-3'!P79+'04-3'!P79+'05-3'!P79+'08-3'!P79+'09-3'!P79+'10-3'!P79+'11-3'!P79+'12-3'!P79+'13-3'!P79+'14-3'!P79+'15-3'!P79+'16-3'!P79+'17-3'!P79+'18-3'!P79+'19-3'!P79+'21-3'!P79+'22-3'!P79+'24-3'!P79+'25-3'!P79+'28-3'!P79+'29-3'!P79+'30-3'!P79+'32-3'!P79+'35-3'!P79+'37-3'!P79+'47-3'!P79+'62-3'!P79+'64-3'!P79+'74-3'!P79</f>
        <v>0</v>
      </c>
      <c r="Q333" s="106">
        <f>'01-3'!Q79+'02-3'!Q79+'03-3'!Q79+'04-3'!Q79+'05-3'!Q79+'08-3'!Q79+'09-3'!Q79+'10-3'!Q79+'11-3'!Q79+'12-3'!Q79+'13-3'!Q79+'14-3'!Q79+'15-3'!Q79+'16-3'!Q79+'17-3'!Q79+'18-3'!Q79+'19-3'!Q79+'21-3'!Q79+'22-3'!Q79+'24-3'!Q79+'25-3'!Q79+'28-3'!Q79+'29-3'!Q79+'30-3'!Q79+'32-3'!Q79+'35-3'!Q79+'37-3'!Q79+'47-3'!Q79+'62-3'!Q79+'64-3'!Q79+'74-3'!Q79</f>
        <v>0</v>
      </c>
      <c r="R333" s="106">
        <f>'01-3'!R79+'02-3'!R79+'03-3'!R79+'04-3'!R79+'05-3'!R79+'08-3'!R79+'09-3'!R79+'10-3'!R79+'11-3'!R79+'12-3'!R79+'13-3'!R79+'14-3'!R79+'15-3'!R79+'16-3'!R79+'17-3'!R79+'18-3'!R79+'19-3'!R79+'21-3'!R79+'22-3'!R79+'24-3'!R79+'25-3'!R79+'28-3'!R79+'29-3'!R79+'30-3'!R79+'32-3'!R79+'35-3'!R79+'37-3'!R79+'47-3'!R79+'62-3'!R79+'64-3'!R79+'74-3'!R79</f>
        <v>4988960</v>
      </c>
    </row>
    <row r="334" spans="1:23" ht="30.6">
      <c r="A334" s="130" t="s">
        <v>197</v>
      </c>
      <c r="B334" s="118" t="s">
        <v>47</v>
      </c>
      <c r="C334" s="106">
        <f>'01-3'!C80+'02-3'!C80+'03-3'!C80+'04-3'!C80+'05-3'!C80+'08-3'!C80+'09-3'!C80+'10-3'!C80+'11-3'!C80+'12-3'!C80+'13-3'!C80+'14-3'!C80+'15-3'!C80+'16-3'!C80+'17-3'!C80+'18-3'!C80+'19-3'!C80+'21-3'!C80+'22-3'!C80+'24-3'!C80+'25-3'!C80+'28-3'!C80+'29-3'!C80+'30-3'!C80+'32-3'!C80+'35-3'!C80+'37-3'!C80+'47-3'!C80+'62-3'!C80+'64-3'!C80+'74-3'!C80</f>
        <v>-8648192</v>
      </c>
      <c r="D334" s="106">
        <f>'01-3'!D80+'02-3'!D80+'03-3'!D80+'04-3'!D80+'05-3'!D80+'08-3'!D80+'09-3'!D80+'10-3'!D80+'11-3'!D80+'12-3'!D80+'13-3'!D80+'14-3'!D80+'15-3'!D80+'16-3'!D80+'17-3'!D80+'18-3'!D80+'19-3'!D80+'21-3'!D80+'22-3'!D80+'24-3'!D80+'25-3'!D80+'28-3'!D80+'29-3'!D80+'30-3'!D80+'32-3'!D80+'35-3'!D80+'37-3'!D80+'47-3'!D80+'62-3'!D80+'64-3'!D80+'74-3'!D80</f>
        <v>-2251137</v>
      </c>
      <c r="E334" s="106">
        <f>'01-3'!E80+'02-3'!E80+'03-3'!E80+'04-3'!E80+'05-3'!E80+'08-3'!E80+'09-3'!E80+'10-3'!E80+'11-3'!E80+'12-3'!E80+'13-3'!E80+'14-3'!E80+'15-3'!E80+'16-3'!E80+'17-3'!E80+'18-3'!E80+'19-3'!E80+'21-3'!E80+'22-3'!E80+'24-3'!E80+'25-3'!E80+'28-3'!E80+'29-3'!E80+'30-3'!E80+'32-3'!E80+'35-3'!E80+'37-3'!E80+'47-3'!E80+'62-3'!E80+'64-3'!E80+'74-3'!E80</f>
        <v>0</v>
      </c>
      <c r="F334" s="106">
        <f>'01-3'!F80+'02-3'!F80+'03-3'!F80+'04-3'!F80+'05-3'!F80+'08-3'!F80+'09-3'!F80+'10-3'!F80+'11-3'!F80+'12-3'!F80+'13-3'!F80+'14-3'!F80+'15-3'!F80+'16-3'!F80+'17-3'!F80+'18-3'!F80+'19-3'!F80+'21-3'!F80+'22-3'!F80+'24-3'!F80+'25-3'!F80+'28-3'!F80+'29-3'!F80+'30-3'!F80+'32-3'!F80+'35-3'!F80+'37-3'!F80+'47-3'!F80+'62-3'!F80+'64-3'!F80+'74-3'!F80</f>
        <v>14355</v>
      </c>
      <c r="G334" s="106">
        <f>'01-3'!G80+'02-3'!G80+'03-3'!G80+'04-3'!G80+'05-3'!G80+'08-3'!G80+'09-3'!G80+'10-3'!G80+'11-3'!G80+'12-3'!G80+'13-3'!G80+'14-3'!G80+'15-3'!G80+'16-3'!G80+'17-3'!G80+'18-3'!G80+'19-3'!G80+'21-3'!G80+'22-3'!G80+'24-3'!G80+'25-3'!G80+'28-3'!G80+'29-3'!G80+'30-3'!G80+'32-3'!G80+'35-3'!G80+'37-3'!G80+'47-3'!G80+'62-3'!G80+'64-3'!G80+'74-3'!G80</f>
        <v>6406018</v>
      </c>
      <c r="H334" s="106">
        <f>'01-3'!H80+'02-3'!H80+'03-3'!H80+'04-3'!H80+'05-3'!H80+'08-3'!H80+'09-3'!H80+'10-3'!H80+'11-3'!H80+'12-3'!H80+'13-3'!H80+'14-3'!H80+'15-3'!H80+'16-3'!H80+'17-3'!H80+'18-3'!H80+'19-3'!H80+'21-3'!H80+'22-3'!H80+'24-3'!H80+'25-3'!H80+'28-3'!H80+'29-3'!H80+'30-3'!H80+'32-3'!H80+'35-3'!H80+'37-3'!H80+'47-3'!H80+'62-3'!H80+'64-3'!H80+'74-3'!H80</f>
        <v>4169236</v>
      </c>
      <c r="I334" s="106">
        <f>'01-3'!I80+'02-3'!I80+'03-3'!I80+'04-3'!I80+'05-3'!I80+'08-3'!I80+'09-3'!I80+'10-3'!I80+'11-3'!I80+'12-3'!I80+'13-3'!I80+'14-3'!I80+'15-3'!I80+'16-3'!I80+'17-3'!I80+'18-3'!I80+'19-3'!I80+'21-3'!I80+'22-3'!I80+'24-3'!I80+'25-3'!I80+'28-3'!I80+'29-3'!I80+'30-3'!I80+'32-3'!I80+'35-3'!I80+'37-3'!I80+'47-3'!I80+'62-3'!I80+'64-3'!I80+'74-3'!I80</f>
        <v>706588</v>
      </c>
      <c r="J334" s="106">
        <f>'01-3'!J80+'02-3'!J80+'03-3'!J80+'04-3'!J80+'05-3'!J80+'08-3'!J80+'09-3'!J80+'10-3'!J80+'11-3'!J80+'12-3'!J80+'13-3'!J80+'14-3'!J80+'15-3'!J80+'16-3'!J80+'17-3'!J80+'18-3'!J80+'19-3'!J80+'21-3'!J80+'22-3'!J80+'24-3'!J80+'25-3'!J80+'28-3'!J80+'29-3'!J80+'30-3'!J80+'32-3'!J80+'35-3'!J80+'37-3'!J80+'47-3'!J80+'62-3'!J80+'64-3'!J80+'74-3'!J80</f>
        <v>0</v>
      </c>
      <c r="K334" s="106">
        <f>'01-3'!K80+'02-3'!K80+'03-3'!K80+'04-3'!K80+'05-3'!K80+'08-3'!K80+'09-3'!K80+'10-3'!K80+'11-3'!K80+'12-3'!K80+'13-3'!K80+'14-3'!K80+'15-3'!K80+'16-3'!K80+'17-3'!K80+'18-3'!K80+'19-3'!K80+'21-3'!K80+'22-3'!K80+'24-3'!K80+'25-3'!K80+'28-3'!K80+'29-3'!K80+'30-3'!K80+'32-3'!K80+'35-3'!K80+'37-3'!K80+'47-3'!K80+'62-3'!K80+'64-3'!K80+'74-3'!K80</f>
        <v>14355</v>
      </c>
      <c r="L334" s="106">
        <f>'01-3'!L80+'02-3'!L80+'03-3'!L80+'04-3'!L80+'05-3'!L80+'08-3'!L80+'09-3'!L80+'10-3'!L80+'11-3'!L80+'12-3'!L80+'13-3'!L80+'14-3'!L80+'15-3'!L80+'16-3'!L80+'17-3'!L80+'18-3'!L80+'19-3'!L80+'21-3'!L80+'22-3'!L80+'24-3'!L80+'25-3'!L80+'28-3'!L80+'29-3'!L80+'30-3'!L80+'32-3'!L80+'35-3'!L80+'37-3'!L80+'47-3'!L80+'62-3'!L80+'64-3'!L80+'74-3'!L80</f>
        <v>-7686</v>
      </c>
      <c r="M334" s="106">
        <f>'01-3'!M80+'02-3'!M80+'03-3'!M80+'04-3'!M80+'05-3'!M80+'08-3'!M80+'09-3'!M80+'10-3'!M80+'11-3'!M80+'12-3'!M80+'13-3'!M80+'14-3'!M80+'15-3'!M80+'16-3'!M80+'17-3'!M80+'18-3'!M80+'19-3'!M80+'21-3'!M80+'22-3'!M80+'24-3'!M80+'25-3'!M80+'28-3'!M80+'29-3'!M80+'30-3'!M80+'32-3'!M80+'35-3'!M80+'37-3'!M80+'47-3'!M80+'62-3'!M80+'64-3'!M80+'74-3'!M80</f>
        <v>713257</v>
      </c>
      <c r="N334" s="106">
        <f>'01-3'!N80+'02-3'!N80+'03-3'!N80+'04-3'!N80+'05-3'!N80+'08-3'!N80+'09-3'!N80+'10-3'!N80+'11-3'!N80+'12-3'!N80+'13-3'!N80+'14-3'!N80+'15-3'!N80+'16-3'!N80+'17-3'!N80+'18-3'!N80+'19-3'!N80+'21-3'!N80+'22-3'!N80+'24-3'!N80+'25-3'!N80+'28-3'!N80+'29-3'!N80+'30-3'!N80+'32-3'!N80+'35-3'!N80+'37-3'!N80+'47-3'!N80+'62-3'!N80+'64-3'!N80+'74-3'!N80</f>
        <v>909333</v>
      </c>
      <c r="O334" s="106">
        <f>'01-3'!O80+'02-3'!O80+'03-3'!O80+'04-3'!O80+'05-3'!O80+'08-3'!O80+'09-3'!O80+'10-3'!O80+'11-3'!O80+'12-3'!O80+'13-3'!O80+'14-3'!O80+'15-3'!O80+'16-3'!O80+'17-3'!O80+'18-3'!O80+'19-3'!O80+'21-3'!O80+'22-3'!O80+'24-3'!O80+'25-3'!O80+'28-3'!O80+'29-3'!O80+'30-3'!O80+'32-3'!O80+'35-3'!O80+'37-3'!O80+'47-3'!O80+'62-3'!O80+'64-3'!O80+'74-3'!O80</f>
        <v>0</v>
      </c>
      <c r="P334" s="106">
        <f>'01-3'!P80+'02-3'!P80+'03-3'!P80+'04-3'!P80+'05-3'!P80+'08-3'!P80+'09-3'!P80+'10-3'!P80+'11-3'!P80+'12-3'!P80+'13-3'!P80+'14-3'!P80+'15-3'!P80+'16-3'!P80+'17-3'!P80+'18-3'!P80+'19-3'!P80+'21-3'!P80+'22-3'!P80+'24-3'!P80+'25-3'!P80+'28-3'!P80+'29-3'!P80+'30-3'!P80+'32-3'!P80+'35-3'!P80+'37-3'!P80+'47-3'!P80+'62-3'!P80+'64-3'!P80+'74-3'!P80</f>
        <v>14355</v>
      </c>
      <c r="Q334" s="106">
        <f>'01-3'!Q80+'02-3'!Q80+'03-3'!Q80+'04-3'!Q80+'05-3'!Q80+'08-3'!Q80+'09-3'!Q80+'10-3'!Q80+'11-3'!Q80+'12-3'!Q80+'13-3'!Q80+'14-3'!Q80+'15-3'!Q80+'16-3'!Q80+'17-3'!Q80+'18-3'!Q80+'19-3'!Q80+'21-3'!Q80+'22-3'!Q80+'24-3'!Q80+'25-3'!Q80+'28-3'!Q80+'29-3'!Q80+'30-3'!Q80+'32-3'!Q80+'35-3'!Q80+'37-3'!Q80+'47-3'!Q80+'62-3'!Q80+'64-3'!Q80+'74-3'!Q80</f>
        <v>0</v>
      </c>
      <c r="R334" s="106">
        <f>'01-3'!R80+'02-3'!R80+'03-3'!R80+'04-3'!R80+'05-3'!R80+'08-3'!R80+'09-3'!R80+'10-3'!R80+'11-3'!R80+'12-3'!R80+'13-3'!R80+'14-3'!R80+'15-3'!R80+'16-3'!R80+'17-3'!R80+'18-3'!R80+'19-3'!R80+'21-3'!R80+'22-3'!R80+'24-3'!R80+'25-3'!R80+'28-3'!R80+'29-3'!R80+'30-3'!R80+'32-3'!R80+'35-3'!R80+'37-3'!R80+'47-3'!R80+'62-3'!R80+'64-3'!R80+'74-3'!R80</f>
        <v>923688</v>
      </c>
    </row>
    <row r="335" spans="1:23" ht="12">
      <c r="A335" s="143" t="s">
        <v>48</v>
      </c>
      <c r="B335" s="118" t="s">
        <v>49</v>
      </c>
      <c r="C335" s="106">
        <f>'01-3'!C81+'02-3'!C81+'03-3'!C81+'04-3'!C81+'05-3'!C81+'08-3'!C81+'09-3'!C81+'10-3'!C81+'11-3'!C81+'12-3'!C81+'13-3'!C81+'14-3'!C81+'15-3'!C81+'16-3'!C81+'17-3'!C81+'18-3'!C81+'19-3'!C81+'21-3'!C81+'22-3'!C81+'24-3'!C81+'25-3'!C81+'28-3'!C81+'29-3'!C81+'30-3'!C81+'32-3'!C81+'35-3'!C81+'37-3'!C81+'47-3'!C81+'62-3'!C81+'64-3'!C81+'74-3'!C81</f>
        <v>8648192</v>
      </c>
      <c r="D335" s="106">
        <f>'01-3'!D81+'02-3'!D81+'03-3'!D81+'04-3'!D81+'05-3'!D81+'08-3'!D81+'09-3'!D81+'10-3'!D81+'11-3'!D81+'12-3'!D81+'13-3'!D81+'14-3'!D81+'15-3'!D81+'16-3'!D81+'17-3'!D81+'18-3'!D81+'19-3'!D81+'21-3'!D81+'22-3'!D81+'24-3'!D81+'25-3'!D81+'28-3'!D81+'29-3'!D81+'30-3'!D81+'32-3'!D81+'35-3'!D81+'37-3'!D81+'47-3'!D81+'62-3'!D81+'64-3'!D81+'74-3'!D81</f>
        <v>2251137</v>
      </c>
      <c r="E335" s="106">
        <f>'01-3'!E81+'02-3'!E81+'03-3'!E81+'04-3'!E81+'05-3'!E81+'08-3'!E81+'09-3'!E81+'10-3'!E81+'11-3'!E81+'12-3'!E81+'13-3'!E81+'14-3'!E81+'15-3'!E81+'16-3'!E81+'17-3'!E81+'18-3'!E81+'19-3'!E81+'21-3'!E81+'22-3'!E81+'24-3'!E81+'25-3'!E81+'28-3'!E81+'29-3'!E81+'30-3'!E81+'32-3'!E81+'35-3'!E81+'37-3'!E81+'47-3'!E81+'62-3'!E81+'64-3'!E81+'74-3'!E81</f>
        <v>0</v>
      </c>
      <c r="F335" s="106">
        <f>'01-3'!F81+'02-3'!F81+'03-3'!F81+'04-3'!F81+'05-3'!F81+'08-3'!F81+'09-3'!F81+'10-3'!F81+'11-3'!F81+'12-3'!F81+'13-3'!F81+'14-3'!F81+'15-3'!F81+'16-3'!F81+'17-3'!F81+'18-3'!F81+'19-3'!F81+'21-3'!F81+'22-3'!F81+'24-3'!F81+'25-3'!F81+'28-3'!F81+'29-3'!F81+'30-3'!F81+'32-3'!F81+'35-3'!F81+'37-3'!F81+'47-3'!F81+'62-3'!F81+'64-3'!F81+'74-3'!F81</f>
        <v>-14355</v>
      </c>
      <c r="G335" s="106">
        <f>'01-3'!G81+'02-3'!G81+'03-3'!G81+'04-3'!G81+'05-3'!G81+'08-3'!G81+'09-3'!G81+'10-3'!G81+'11-3'!G81+'12-3'!G81+'13-3'!G81+'14-3'!G81+'15-3'!G81+'16-3'!G81+'17-3'!G81+'18-3'!G81+'19-3'!G81+'21-3'!G81+'22-3'!G81+'24-3'!G81+'25-3'!G81+'28-3'!G81+'29-3'!G81+'30-3'!G81+'32-3'!G81+'35-3'!G81+'37-3'!G81+'47-3'!G81+'62-3'!G81+'64-3'!G81+'74-3'!G81</f>
        <v>-6406018</v>
      </c>
      <c r="H335" s="106">
        <f>'01-3'!H81+'02-3'!H81+'03-3'!H81+'04-3'!H81+'05-3'!H81+'08-3'!H81+'09-3'!H81+'10-3'!H81+'11-3'!H81+'12-3'!H81+'13-3'!H81+'14-3'!H81+'15-3'!H81+'16-3'!H81+'17-3'!H81+'18-3'!H81+'19-3'!H81+'21-3'!H81+'22-3'!H81+'24-3'!H81+'25-3'!H81+'28-3'!H81+'29-3'!H81+'30-3'!H81+'32-3'!H81+'35-3'!H81+'37-3'!H81+'47-3'!H81+'62-3'!H81+'64-3'!H81+'74-3'!H81</f>
        <v>-4169236</v>
      </c>
      <c r="I335" s="106">
        <f>'01-3'!I81+'02-3'!I81+'03-3'!I81+'04-3'!I81+'05-3'!I81+'08-3'!I81+'09-3'!I81+'10-3'!I81+'11-3'!I81+'12-3'!I81+'13-3'!I81+'14-3'!I81+'15-3'!I81+'16-3'!I81+'17-3'!I81+'18-3'!I81+'19-3'!I81+'21-3'!I81+'22-3'!I81+'24-3'!I81+'25-3'!I81+'28-3'!I81+'29-3'!I81+'30-3'!I81+'32-3'!I81+'35-3'!I81+'37-3'!I81+'47-3'!I81+'62-3'!I81+'64-3'!I81+'74-3'!I81</f>
        <v>-706588</v>
      </c>
      <c r="J335" s="106">
        <f>'01-3'!J81+'02-3'!J81+'03-3'!J81+'04-3'!J81+'05-3'!J81+'08-3'!J81+'09-3'!J81+'10-3'!J81+'11-3'!J81+'12-3'!J81+'13-3'!J81+'14-3'!J81+'15-3'!J81+'16-3'!J81+'17-3'!J81+'18-3'!J81+'19-3'!J81+'21-3'!J81+'22-3'!J81+'24-3'!J81+'25-3'!J81+'28-3'!J81+'29-3'!J81+'30-3'!J81+'32-3'!J81+'35-3'!J81+'37-3'!J81+'47-3'!J81+'62-3'!J81+'64-3'!J81+'74-3'!J81</f>
        <v>0</v>
      </c>
      <c r="K335" s="106">
        <f>'01-3'!K81+'02-3'!K81+'03-3'!K81+'04-3'!K81+'05-3'!K81+'08-3'!K81+'09-3'!K81+'10-3'!K81+'11-3'!K81+'12-3'!K81+'13-3'!K81+'14-3'!K81+'15-3'!K81+'16-3'!K81+'17-3'!K81+'18-3'!K81+'19-3'!K81+'21-3'!K81+'22-3'!K81+'24-3'!K81+'25-3'!K81+'28-3'!K81+'29-3'!K81+'30-3'!K81+'32-3'!K81+'35-3'!K81+'37-3'!K81+'47-3'!K81+'62-3'!K81+'64-3'!K81+'74-3'!K81</f>
        <v>-14355</v>
      </c>
      <c r="L335" s="106">
        <f>'01-3'!L81+'02-3'!L81+'03-3'!L81+'04-3'!L81+'05-3'!L81+'08-3'!L81+'09-3'!L81+'10-3'!L81+'11-3'!L81+'12-3'!L81+'13-3'!L81+'14-3'!L81+'15-3'!L81+'16-3'!L81+'17-3'!L81+'18-3'!L81+'19-3'!L81+'21-3'!L81+'22-3'!L81+'24-3'!L81+'25-3'!L81+'28-3'!L81+'29-3'!L81+'30-3'!L81+'32-3'!L81+'35-3'!L81+'37-3'!L81+'47-3'!L81+'62-3'!L81+'64-3'!L81+'74-3'!L81</f>
        <v>7686</v>
      </c>
      <c r="M335" s="106">
        <f>'01-3'!M81+'02-3'!M81+'03-3'!M81+'04-3'!M81+'05-3'!M81+'08-3'!M81+'09-3'!M81+'10-3'!M81+'11-3'!M81+'12-3'!M81+'13-3'!M81+'14-3'!M81+'15-3'!M81+'16-3'!M81+'17-3'!M81+'18-3'!M81+'19-3'!M81+'21-3'!M81+'22-3'!M81+'24-3'!M81+'25-3'!M81+'28-3'!M81+'29-3'!M81+'30-3'!M81+'32-3'!M81+'35-3'!M81+'37-3'!M81+'47-3'!M81+'62-3'!M81+'64-3'!M81+'74-3'!M81</f>
        <v>-713257</v>
      </c>
      <c r="N335" s="106">
        <f>'01-3'!N81+'02-3'!N81+'03-3'!N81+'04-3'!N81+'05-3'!N81+'08-3'!N81+'09-3'!N81+'10-3'!N81+'11-3'!N81+'12-3'!N81+'13-3'!N81+'14-3'!N81+'15-3'!N81+'16-3'!N81+'17-3'!N81+'18-3'!N81+'19-3'!N81+'21-3'!N81+'22-3'!N81+'24-3'!N81+'25-3'!N81+'28-3'!N81+'29-3'!N81+'30-3'!N81+'32-3'!N81+'35-3'!N81+'37-3'!N81+'47-3'!N81+'62-3'!N81+'64-3'!N81+'74-3'!N81</f>
        <v>-909333</v>
      </c>
      <c r="O335" s="106">
        <f>'01-3'!O81+'02-3'!O81+'03-3'!O81+'04-3'!O81+'05-3'!O81+'08-3'!O81+'09-3'!O81+'10-3'!O81+'11-3'!O81+'12-3'!O81+'13-3'!O81+'14-3'!O81+'15-3'!O81+'16-3'!O81+'17-3'!O81+'18-3'!O81+'19-3'!O81+'21-3'!O81+'22-3'!O81+'24-3'!O81+'25-3'!O81+'28-3'!O81+'29-3'!O81+'30-3'!O81+'32-3'!O81+'35-3'!O81+'37-3'!O81+'47-3'!O81+'62-3'!O81+'64-3'!O81+'74-3'!O81</f>
        <v>0</v>
      </c>
      <c r="P335" s="106">
        <f>'01-3'!P81+'02-3'!P81+'03-3'!P81+'04-3'!P81+'05-3'!P81+'08-3'!P81+'09-3'!P81+'10-3'!P81+'11-3'!P81+'12-3'!P81+'13-3'!P81+'14-3'!P81+'15-3'!P81+'16-3'!P81+'17-3'!P81+'18-3'!P81+'19-3'!P81+'21-3'!P81+'22-3'!P81+'24-3'!P81+'25-3'!P81+'28-3'!P81+'29-3'!P81+'30-3'!P81+'32-3'!P81+'35-3'!P81+'37-3'!P81+'47-3'!P81+'62-3'!P81+'64-3'!P81+'74-3'!P81</f>
        <v>-14355</v>
      </c>
      <c r="Q335" s="106">
        <f>'01-3'!Q81+'02-3'!Q81+'03-3'!Q81+'04-3'!Q81+'05-3'!Q81+'08-3'!Q81+'09-3'!Q81+'10-3'!Q81+'11-3'!Q81+'12-3'!Q81+'13-3'!Q81+'14-3'!Q81+'15-3'!Q81+'16-3'!Q81+'17-3'!Q81+'18-3'!Q81+'19-3'!Q81+'21-3'!Q81+'22-3'!Q81+'24-3'!Q81+'25-3'!Q81+'28-3'!Q81+'29-3'!Q81+'30-3'!Q81+'32-3'!Q81+'35-3'!Q81+'37-3'!Q81+'47-3'!Q81+'62-3'!Q81+'64-3'!Q81+'74-3'!Q81</f>
        <v>0</v>
      </c>
      <c r="R335" s="106">
        <f>'01-3'!R81+'02-3'!R81+'03-3'!R81+'04-3'!R81+'05-3'!R81+'08-3'!R81+'09-3'!R81+'10-3'!R81+'11-3'!R81+'12-3'!R81+'13-3'!R81+'14-3'!R81+'15-3'!R81+'16-3'!R81+'17-3'!R81+'18-3'!R81+'19-3'!R81+'21-3'!R81+'22-3'!R81+'24-3'!R81+'25-3'!R81+'28-3'!R81+'29-3'!R81+'30-3'!R81+'32-3'!R81+'35-3'!R81+'37-3'!R81+'47-3'!R81+'62-3'!R81+'64-3'!R81+'74-3'!R81</f>
        <v>-923688</v>
      </c>
    </row>
    <row r="336" spans="1:23" s="4" customFormat="1" ht="12">
      <c r="A336" s="141" t="s">
        <v>50</v>
      </c>
      <c r="B336" s="112" t="s">
        <v>51</v>
      </c>
      <c r="C336" s="106">
        <f>'01-3'!C82+'02-3'!C82+'03-3'!C82+'04-3'!C82+'05-3'!C82+'08-3'!C82+'09-3'!C82+'10-3'!C82+'11-3'!C82+'12-3'!C82+'13-3'!C82+'14-3'!C82+'15-3'!C82+'16-3'!C82+'17-3'!C82+'18-3'!C82+'19-3'!C82+'21-3'!C82+'22-3'!C82+'24-3'!C82+'25-3'!C82+'28-3'!C82+'29-3'!C82+'30-3'!C82+'32-3'!C82+'35-3'!C82+'37-3'!C82+'47-3'!C82+'62-3'!C82+'64-3'!C82+'74-3'!C82</f>
        <v>-3999814</v>
      </c>
      <c r="D336" s="106">
        <f>'01-3'!D82+'02-3'!D82+'03-3'!D82+'04-3'!D82+'05-3'!D82+'08-3'!D82+'09-3'!D82+'10-3'!D82+'11-3'!D82+'12-3'!D82+'13-3'!D82+'14-3'!D82+'15-3'!D82+'16-3'!D82+'17-3'!D82+'18-3'!D82+'19-3'!D82+'21-3'!D82+'22-3'!D82+'24-3'!D82+'25-3'!D82+'28-3'!D82+'29-3'!D82+'30-3'!D82+'32-3'!D82+'35-3'!D82+'37-3'!D82+'47-3'!D82+'62-3'!D82+'64-3'!D82+'74-3'!D82</f>
        <v>-2831114</v>
      </c>
      <c r="E336" s="106">
        <f>'01-3'!E82+'02-3'!E82+'03-3'!E82+'04-3'!E82+'05-3'!E82+'08-3'!E82+'09-3'!E82+'10-3'!E82+'11-3'!E82+'12-3'!E82+'13-3'!E82+'14-3'!E82+'15-3'!E82+'16-3'!E82+'17-3'!E82+'18-3'!E82+'19-3'!E82+'21-3'!E82+'22-3'!E82+'24-3'!E82+'25-3'!E82+'28-3'!E82+'29-3'!E82+'30-3'!E82+'32-3'!E82+'35-3'!E82+'37-3'!E82+'47-3'!E82+'62-3'!E82+'64-3'!E82+'74-3'!E82</f>
        <v>0</v>
      </c>
      <c r="F336" s="106">
        <f>'01-3'!F82+'02-3'!F82+'03-3'!F82+'04-3'!F82+'05-3'!F82+'08-3'!F82+'09-3'!F82+'10-3'!F82+'11-3'!F82+'12-3'!F82+'13-3'!F82+'14-3'!F82+'15-3'!F82+'16-3'!F82+'17-3'!F82+'18-3'!F82+'19-3'!F82+'21-3'!F82+'22-3'!F82+'24-3'!F82+'25-3'!F82+'28-3'!F82+'29-3'!F82+'30-3'!F82+'32-3'!F82+'35-3'!F82+'37-3'!F82+'47-3'!F82+'62-3'!F82+'64-3'!F82+'74-3'!F82</f>
        <v>0</v>
      </c>
      <c r="G336" s="106">
        <f>'01-3'!G82+'02-3'!G82+'03-3'!G82+'04-3'!G82+'05-3'!G82+'08-3'!G82+'09-3'!G82+'10-3'!G82+'11-3'!G82+'12-3'!G82+'13-3'!G82+'14-3'!G82+'15-3'!G82+'16-3'!G82+'17-3'!G82+'18-3'!G82+'19-3'!G82+'21-3'!G82+'22-3'!G82+'24-3'!G82+'25-3'!G82+'28-3'!G82+'29-3'!G82+'30-3'!G82+'32-3'!G82+'35-3'!G82+'37-3'!G82+'47-3'!G82+'62-3'!G82+'64-3'!G82+'74-3'!G82</f>
        <v>0</v>
      </c>
      <c r="H336" s="106">
        <f>'01-3'!H82+'02-3'!H82+'03-3'!H82+'04-3'!H82+'05-3'!H82+'08-3'!H82+'09-3'!H82+'10-3'!H82+'11-3'!H82+'12-3'!H82+'13-3'!H82+'14-3'!H82+'15-3'!H82+'16-3'!H82+'17-3'!H82+'18-3'!H82+'19-3'!H82+'21-3'!H82+'22-3'!H82+'24-3'!H82+'25-3'!H82+'28-3'!H82+'29-3'!H82+'30-3'!H82+'32-3'!H82+'35-3'!H82+'37-3'!H82+'47-3'!H82+'62-3'!H82+'64-3'!H82+'74-3'!H82</f>
        <v>-2831114</v>
      </c>
      <c r="I336" s="106">
        <f>'01-3'!I82+'02-3'!I82+'03-3'!I82+'04-3'!I82+'05-3'!I82+'08-3'!I82+'09-3'!I82+'10-3'!I82+'11-3'!I82+'12-3'!I82+'13-3'!I82+'14-3'!I82+'15-3'!I82+'16-3'!I82+'17-3'!I82+'18-3'!I82+'19-3'!I82+'21-3'!I82+'22-3'!I82+'24-3'!I82+'25-3'!I82+'28-3'!I82+'29-3'!I82+'30-3'!I82+'32-3'!I82+'35-3'!I82+'37-3'!I82+'47-3'!I82+'62-3'!I82+'64-3'!I82+'74-3'!I82</f>
        <v>-3004368</v>
      </c>
      <c r="J336" s="106">
        <f>'01-3'!J82+'02-3'!J82+'03-3'!J82+'04-3'!J82+'05-3'!J82+'08-3'!J82+'09-3'!J82+'10-3'!J82+'11-3'!J82+'12-3'!J82+'13-3'!J82+'14-3'!J82+'15-3'!J82+'16-3'!J82+'17-3'!J82+'18-3'!J82+'19-3'!J82+'21-3'!J82+'22-3'!J82+'24-3'!J82+'25-3'!J82+'28-3'!J82+'29-3'!J82+'30-3'!J82+'32-3'!J82+'35-3'!J82+'37-3'!J82+'47-3'!J82+'62-3'!J82+'64-3'!J82+'74-3'!J82</f>
        <v>0</v>
      </c>
      <c r="K336" s="106">
        <f>'01-3'!K82+'02-3'!K82+'03-3'!K82+'04-3'!K82+'05-3'!K82+'08-3'!K82+'09-3'!K82+'10-3'!K82+'11-3'!K82+'12-3'!K82+'13-3'!K82+'14-3'!K82+'15-3'!K82+'16-3'!K82+'17-3'!K82+'18-3'!K82+'19-3'!K82+'21-3'!K82+'22-3'!K82+'24-3'!K82+'25-3'!K82+'28-3'!K82+'29-3'!K82+'30-3'!K82+'32-3'!K82+'35-3'!K82+'37-3'!K82+'47-3'!K82+'62-3'!K82+'64-3'!K82+'74-3'!K82</f>
        <v>0</v>
      </c>
      <c r="L336" s="106">
        <f>'01-3'!L82+'02-3'!L82+'03-3'!L82+'04-3'!L82+'05-3'!L82+'08-3'!L82+'09-3'!L82+'10-3'!L82+'11-3'!L82+'12-3'!L82+'13-3'!L82+'14-3'!L82+'15-3'!L82+'16-3'!L82+'17-3'!L82+'18-3'!L82+'19-3'!L82+'21-3'!L82+'22-3'!L82+'24-3'!L82+'25-3'!L82+'28-3'!L82+'29-3'!L82+'30-3'!L82+'32-3'!L82+'35-3'!L82+'37-3'!L82+'47-3'!L82+'62-3'!L82+'64-3'!L82+'74-3'!L82</f>
        <v>0</v>
      </c>
      <c r="M336" s="106">
        <f>'01-3'!M82+'02-3'!M82+'03-3'!M82+'04-3'!M82+'05-3'!M82+'08-3'!M82+'09-3'!M82+'10-3'!M82+'11-3'!M82+'12-3'!M82+'13-3'!M82+'14-3'!M82+'15-3'!M82+'16-3'!M82+'17-3'!M82+'18-3'!M82+'19-3'!M82+'21-3'!M82+'22-3'!M82+'24-3'!M82+'25-3'!M82+'28-3'!M82+'29-3'!M82+'30-3'!M82+'32-3'!M82+'35-3'!M82+'37-3'!M82+'47-3'!M82+'62-3'!M82+'64-3'!M82+'74-3'!M82</f>
        <v>-3004368</v>
      </c>
      <c r="N336" s="106">
        <f>'01-3'!N82+'02-3'!N82+'03-3'!N82+'04-3'!N82+'05-3'!N82+'08-3'!N82+'09-3'!N82+'10-3'!N82+'11-3'!N82+'12-3'!N82+'13-3'!N82+'14-3'!N82+'15-3'!N82+'16-3'!N82+'17-3'!N82+'18-3'!N82+'19-3'!N82+'21-3'!N82+'22-3'!N82+'24-3'!N82+'25-3'!N82+'28-3'!N82+'29-3'!N82+'30-3'!N82+'32-3'!N82+'35-3'!N82+'37-3'!N82+'47-3'!N82+'62-3'!N82+'64-3'!N82+'74-3'!N82</f>
        <v>-3201613</v>
      </c>
      <c r="O336" s="106">
        <f>'01-3'!O82+'02-3'!O82+'03-3'!O82+'04-3'!O82+'05-3'!O82+'08-3'!O82+'09-3'!O82+'10-3'!O82+'11-3'!O82+'12-3'!O82+'13-3'!O82+'14-3'!O82+'15-3'!O82+'16-3'!O82+'17-3'!O82+'18-3'!O82+'19-3'!O82+'21-3'!O82+'22-3'!O82+'24-3'!O82+'25-3'!O82+'28-3'!O82+'29-3'!O82+'30-3'!O82+'32-3'!O82+'35-3'!O82+'37-3'!O82+'47-3'!O82+'62-3'!O82+'64-3'!O82+'74-3'!O82</f>
        <v>0</v>
      </c>
      <c r="P336" s="106">
        <f>'01-3'!P82+'02-3'!P82+'03-3'!P82+'04-3'!P82+'05-3'!P82+'08-3'!P82+'09-3'!P82+'10-3'!P82+'11-3'!P82+'12-3'!P82+'13-3'!P82+'14-3'!P82+'15-3'!P82+'16-3'!P82+'17-3'!P82+'18-3'!P82+'19-3'!P82+'21-3'!P82+'22-3'!P82+'24-3'!P82+'25-3'!P82+'28-3'!P82+'29-3'!P82+'30-3'!P82+'32-3'!P82+'35-3'!P82+'37-3'!P82+'47-3'!P82+'62-3'!P82+'64-3'!P82+'74-3'!P82</f>
        <v>0</v>
      </c>
      <c r="Q336" s="106">
        <f>'01-3'!Q82+'02-3'!Q82+'03-3'!Q82+'04-3'!Q82+'05-3'!Q82+'08-3'!Q82+'09-3'!Q82+'10-3'!Q82+'11-3'!Q82+'12-3'!Q82+'13-3'!Q82+'14-3'!Q82+'15-3'!Q82+'16-3'!Q82+'17-3'!Q82+'18-3'!Q82+'19-3'!Q82+'21-3'!Q82+'22-3'!Q82+'24-3'!Q82+'25-3'!Q82+'28-3'!Q82+'29-3'!Q82+'30-3'!Q82+'32-3'!Q82+'35-3'!Q82+'37-3'!Q82+'47-3'!Q82+'62-3'!Q82+'64-3'!Q82+'74-3'!Q82</f>
        <v>0</v>
      </c>
      <c r="R336" s="106">
        <f>'01-3'!R82+'02-3'!R82+'03-3'!R82+'04-3'!R82+'05-3'!R82+'08-3'!R82+'09-3'!R82+'10-3'!R82+'11-3'!R82+'12-3'!R82+'13-3'!R82+'14-3'!R82+'15-3'!R82+'16-3'!R82+'17-3'!R82+'18-3'!R82+'19-3'!R82+'21-3'!R82+'22-3'!R82+'24-3'!R82+'25-3'!R82+'28-3'!R82+'29-3'!R82+'30-3'!R82+'32-3'!R82+'35-3'!R82+'37-3'!R82+'47-3'!R82+'62-3'!R82+'64-3'!R82+'74-3'!R82</f>
        <v>-3201613</v>
      </c>
      <c r="S336" s="1323"/>
      <c r="T336" s="1323"/>
      <c r="U336" s="1323"/>
      <c r="V336" s="1323"/>
      <c r="W336" s="1323"/>
    </row>
    <row r="337" spans="1:23" s="6" customFormat="1" ht="12">
      <c r="A337" s="141" t="s">
        <v>52</v>
      </c>
      <c r="B337" s="112" t="s">
        <v>53</v>
      </c>
      <c r="C337" s="106">
        <f>'01-3'!C83+'02-3'!C83+'03-3'!C83+'04-3'!C83+'05-3'!C83+'08-3'!C83+'09-3'!C83+'10-3'!C83+'11-3'!C83+'12-3'!C83+'13-3'!C83+'14-3'!C83+'15-3'!C83+'16-3'!C83+'17-3'!C83+'18-3'!C83+'19-3'!C83+'21-3'!C83+'22-3'!C83+'24-3'!C83+'25-3'!C83+'28-3'!C83+'29-3'!C83+'30-3'!C83+'32-3'!C83+'35-3'!C83+'37-3'!C83+'47-3'!C83+'62-3'!C83+'64-3'!C83+'74-3'!C83</f>
        <v>0</v>
      </c>
      <c r="D337" s="106">
        <f>'01-3'!D83+'02-3'!D83+'03-3'!D83+'04-3'!D83+'05-3'!D83+'08-3'!D83+'09-3'!D83+'10-3'!D83+'11-3'!D83+'12-3'!D83+'13-3'!D83+'14-3'!D83+'15-3'!D83+'16-3'!D83+'17-3'!D83+'18-3'!D83+'19-3'!D83+'21-3'!D83+'22-3'!D83+'24-3'!D83+'25-3'!D83+'28-3'!D83+'29-3'!D83+'30-3'!D83+'32-3'!D83+'35-3'!D83+'37-3'!D83+'47-3'!D83+'62-3'!D83+'64-3'!D83+'74-3'!D83</f>
        <v>0</v>
      </c>
      <c r="E337" s="106">
        <f>'01-3'!E83+'02-3'!E83+'03-3'!E83+'04-3'!E83+'05-3'!E83+'08-3'!E83+'09-3'!E83+'10-3'!E83+'11-3'!E83+'12-3'!E83+'13-3'!E83+'14-3'!E83+'15-3'!E83+'16-3'!E83+'17-3'!E83+'18-3'!E83+'19-3'!E83+'21-3'!E83+'22-3'!E83+'24-3'!E83+'25-3'!E83+'28-3'!E83+'29-3'!E83+'30-3'!E83+'32-3'!E83+'35-3'!E83+'37-3'!E83+'47-3'!E83+'62-3'!E83+'64-3'!E83+'74-3'!E83</f>
        <v>0</v>
      </c>
      <c r="F337" s="106">
        <f>'01-3'!F83+'02-3'!F83+'03-3'!F83+'04-3'!F83+'05-3'!F83+'08-3'!F83+'09-3'!F83+'10-3'!F83+'11-3'!F83+'12-3'!F83+'13-3'!F83+'14-3'!F83+'15-3'!F83+'16-3'!F83+'17-3'!F83+'18-3'!F83+'19-3'!F83+'21-3'!F83+'22-3'!F83+'24-3'!F83+'25-3'!F83+'28-3'!F83+'29-3'!F83+'30-3'!F83+'32-3'!F83+'35-3'!F83+'37-3'!F83+'47-3'!F83+'62-3'!F83+'64-3'!F83+'74-3'!F83</f>
        <v>0</v>
      </c>
      <c r="G337" s="106">
        <f>'01-3'!G83+'02-3'!G83+'03-3'!G83+'04-3'!G83+'05-3'!G83+'08-3'!G83+'09-3'!G83+'10-3'!G83+'11-3'!G83+'12-3'!G83+'13-3'!G83+'14-3'!G83+'15-3'!G83+'16-3'!G83+'17-3'!G83+'18-3'!G83+'19-3'!G83+'21-3'!G83+'22-3'!G83+'24-3'!G83+'25-3'!G83+'28-3'!G83+'29-3'!G83+'30-3'!G83+'32-3'!G83+'35-3'!G83+'37-3'!G83+'47-3'!G83+'62-3'!G83+'64-3'!G83+'74-3'!G83</f>
        <v>0</v>
      </c>
      <c r="H337" s="106">
        <f>'01-3'!H83+'02-3'!H83+'03-3'!H83+'04-3'!H83+'05-3'!H83+'08-3'!H83+'09-3'!H83+'10-3'!H83+'11-3'!H83+'12-3'!H83+'13-3'!H83+'14-3'!H83+'15-3'!H83+'16-3'!H83+'17-3'!H83+'18-3'!H83+'19-3'!H83+'21-3'!H83+'22-3'!H83+'24-3'!H83+'25-3'!H83+'28-3'!H83+'29-3'!H83+'30-3'!H83+'32-3'!H83+'35-3'!H83+'37-3'!H83+'47-3'!H83+'62-3'!H83+'64-3'!H83+'74-3'!H83</f>
        <v>0</v>
      </c>
      <c r="I337" s="106">
        <f>'01-3'!I83+'02-3'!I83+'03-3'!I83+'04-3'!I83+'05-3'!I83+'08-3'!I83+'09-3'!I83+'10-3'!I83+'11-3'!I83+'12-3'!I83+'13-3'!I83+'14-3'!I83+'15-3'!I83+'16-3'!I83+'17-3'!I83+'18-3'!I83+'19-3'!I83+'21-3'!I83+'22-3'!I83+'24-3'!I83+'25-3'!I83+'28-3'!I83+'29-3'!I83+'30-3'!I83+'32-3'!I83+'35-3'!I83+'37-3'!I83+'47-3'!I83+'62-3'!I83+'64-3'!I83+'74-3'!I83</f>
        <v>0</v>
      </c>
      <c r="J337" s="106">
        <f>'01-3'!J83+'02-3'!J83+'03-3'!J83+'04-3'!J83+'05-3'!J83+'08-3'!J83+'09-3'!J83+'10-3'!J83+'11-3'!J83+'12-3'!J83+'13-3'!J83+'14-3'!J83+'15-3'!J83+'16-3'!J83+'17-3'!J83+'18-3'!J83+'19-3'!J83+'21-3'!J83+'22-3'!J83+'24-3'!J83+'25-3'!J83+'28-3'!J83+'29-3'!J83+'30-3'!J83+'32-3'!J83+'35-3'!J83+'37-3'!J83+'47-3'!J83+'62-3'!J83+'64-3'!J83+'74-3'!J83</f>
        <v>0</v>
      </c>
      <c r="K337" s="106">
        <f>'01-3'!K83+'02-3'!K83+'03-3'!K83+'04-3'!K83+'05-3'!K83+'08-3'!K83+'09-3'!K83+'10-3'!K83+'11-3'!K83+'12-3'!K83+'13-3'!K83+'14-3'!K83+'15-3'!K83+'16-3'!K83+'17-3'!K83+'18-3'!K83+'19-3'!K83+'21-3'!K83+'22-3'!K83+'24-3'!K83+'25-3'!K83+'28-3'!K83+'29-3'!K83+'30-3'!K83+'32-3'!K83+'35-3'!K83+'37-3'!K83+'47-3'!K83+'62-3'!K83+'64-3'!K83+'74-3'!K83</f>
        <v>0</v>
      </c>
      <c r="L337" s="106">
        <f>'01-3'!L83+'02-3'!L83+'03-3'!L83+'04-3'!L83+'05-3'!L83+'08-3'!L83+'09-3'!L83+'10-3'!L83+'11-3'!L83+'12-3'!L83+'13-3'!L83+'14-3'!L83+'15-3'!L83+'16-3'!L83+'17-3'!L83+'18-3'!L83+'19-3'!L83+'21-3'!L83+'22-3'!L83+'24-3'!L83+'25-3'!L83+'28-3'!L83+'29-3'!L83+'30-3'!L83+'32-3'!L83+'35-3'!L83+'37-3'!L83+'47-3'!L83+'62-3'!L83+'64-3'!L83+'74-3'!L83</f>
        <v>0</v>
      </c>
      <c r="M337" s="106">
        <f>'01-3'!M83+'02-3'!M83+'03-3'!M83+'04-3'!M83+'05-3'!M83+'08-3'!M83+'09-3'!M83+'10-3'!M83+'11-3'!M83+'12-3'!M83+'13-3'!M83+'14-3'!M83+'15-3'!M83+'16-3'!M83+'17-3'!M83+'18-3'!M83+'19-3'!M83+'21-3'!M83+'22-3'!M83+'24-3'!M83+'25-3'!M83+'28-3'!M83+'29-3'!M83+'30-3'!M83+'32-3'!M83+'35-3'!M83+'37-3'!M83+'47-3'!M83+'62-3'!M83+'64-3'!M83+'74-3'!M83</f>
        <v>0</v>
      </c>
      <c r="N337" s="106">
        <f>'01-3'!N83+'02-3'!N83+'03-3'!N83+'04-3'!N83+'05-3'!N83+'08-3'!N83+'09-3'!N83+'10-3'!N83+'11-3'!N83+'12-3'!N83+'13-3'!N83+'14-3'!N83+'15-3'!N83+'16-3'!N83+'17-3'!N83+'18-3'!N83+'19-3'!N83+'21-3'!N83+'22-3'!N83+'24-3'!N83+'25-3'!N83+'28-3'!N83+'29-3'!N83+'30-3'!N83+'32-3'!N83+'35-3'!N83+'37-3'!N83+'47-3'!N83+'62-3'!N83+'64-3'!N83+'74-3'!N83</f>
        <v>0</v>
      </c>
      <c r="O337" s="106">
        <f>'01-3'!O83+'02-3'!O83+'03-3'!O83+'04-3'!O83+'05-3'!O83+'08-3'!O83+'09-3'!O83+'10-3'!O83+'11-3'!O83+'12-3'!O83+'13-3'!O83+'14-3'!O83+'15-3'!O83+'16-3'!O83+'17-3'!O83+'18-3'!O83+'19-3'!O83+'21-3'!O83+'22-3'!O83+'24-3'!O83+'25-3'!O83+'28-3'!O83+'29-3'!O83+'30-3'!O83+'32-3'!O83+'35-3'!O83+'37-3'!O83+'47-3'!O83+'62-3'!O83+'64-3'!O83+'74-3'!O83</f>
        <v>0</v>
      </c>
      <c r="P337" s="106">
        <f>'01-3'!P83+'02-3'!P83+'03-3'!P83+'04-3'!P83+'05-3'!P83+'08-3'!P83+'09-3'!P83+'10-3'!P83+'11-3'!P83+'12-3'!P83+'13-3'!P83+'14-3'!P83+'15-3'!P83+'16-3'!P83+'17-3'!P83+'18-3'!P83+'19-3'!P83+'21-3'!P83+'22-3'!P83+'24-3'!P83+'25-3'!P83+'28-3'!P83+'29-3'!P83+'30-3'!P83+'32-3'!P83+'35-3'!P83+'37-3'!P83+'47-3'!P83+'62-3'!P83+'64-3'!P83+'74-3'!P83</f>
        <v>0</v>
      </c>
      <c r="Q337" s="106">
        <f>'01-3'!Q83+'02-3'!Q83+'03-3'!Q83+'04-3'!Q83+'05-3'!Q83+'08-3'!Q83+'09-3'!Q83+'10-3'!Q83+'11-3'!Q83+'12-3'!Q83+'13-3'!Q83+'14-3'!Q83+'15-3'!Q83+'16-3'!Q83+'17-3'!Q83+'18-3'!Q83+'19-3'!Q83+'21-3'!Q83+'22-3'!Q83+'24-3'!Q83+'25-3'!Q83+'28-3'!Q83+'29-3'!Q83+'30-3'!Q83+'32-3'!Q83+'35-3'!Q83+'37-3'!Q83+'47-3'!Q83+'62-3'!Q83+'64-3'!Q83+'74-3'!Q83</f>
        <v>0</v>
      </c>
      <c r="R337" s="106">
        <f>'01-3'!R83+'02-3'!R83+'03-3'!R83+'04-3'!R83+'05-3'!R83+'08-3'!R83+'09-3'!R83+'10-3'!R83+'11-3'!R83+'12-3'!R83+'13-3'!R83+'14-3'!R83+'15-3'!R83+'16-3'!R83+'17-3'!R83+'18-3'!R83+'19-3'!R83+'21-3'!R83+'22-3'!R83+'24-3'!R83+'25-3'!R83+'28-3'!R83+'29-3'!R83+'30-3'!R83+'32-3'!R83+'35-3'!R83+'37-3'!R83+'47-3'!R83+'62-3'!R83+'64-3'!R83+'74-3'!R83</f>
        <v>0</v>
      </c>
      <c r="S337" s="954"/>
      <c r="T337" s="954"/>
      <c r="U337" s="954"/>
      <c r="V337" s="954"/>
      <c r="W337" s="954"/>
    </row>
    <row r="338" spans="1:23" s="6" customFormat="1" ht="12">
      <c r="A338" s="141" t="s">
        <v>54</v>
      </c>
      <c r="B338" s="112" t="s">
        <v>55</v>
      </c>
      <c r="C338" s="106">
        <f>'01-3'!C84+'02-3'!C84+'03-3'!C84+'04-3'!C84+'05-3'!C84+'08-3'!C84+'09-3'!C84+'10-3'!C84+'11-3'!C84+'12-3'!C84+'13-3'!C84+'14-3'!C84+'15-3'!C84+'16-3'!C84+'17-3'!C84+'18-3'!C84+'19-3'!C84+'21-3'!C84+'22-3'!C84+'24-3'!C84+'25-3'!C84+'28-3'!C84+'29-3'!C84+'30-3'!C84+'32-3'!C84+'35-3'!C84+'37-3'!C84+'47-3'!C84+'62-3'!C84+'64-3'!C84+'74-3'!C84</f>
        <v>-3999814</v>
      </c>
      <c r="D338" s="106">
        <f>'01-3'!D84+'02-3'!D84+'03-3'!D84+'04-3'!D84+'05-3'!D84+'08-3'!D84+'09-3'!D84+'10-3'!D84+'11-3'!D84+'12-3'!D84+'13-3'!D84+'14-3'!D84+'15-3'!D84+'16-3'!D84+'17-3'!D84+'18-3'!D84+'19-3'!D84+'21-3'!D84+'22-3'!D84+'24-3'!D84+'25-3'!D84+'28-3'!D84+'29-3'!D84+'30-3'!D84+'32-3'!D84+'35-3'!D84+'37-3'!D84+'47-3'!D84+'62-3'!D84+'64-3'!D84+'74-3'!D84</f>
        <v>-2831114</v>
      </c>
      <c r="E338" s="106">
        <f>'01-3'!E84+'02-3'!E84+'03-3'!E84+'04-3'!E84+'05-3'!E84+'08-3'!E84+'09-3'!E84+'10-3'!E84+'11-3'!E84+'12-3'!E84+'13-3'!E84+'14-3'!E84+'15-3'!E84+'16-3'!E84+'17-3'!E84+'18-3'!E84+'19-3'!E84+'21-3'!E84+'22-3'!E84+'24-3'!E84+'25-3'!E84+'28-3'!E84+'29-3'!E84+'30-3'!E84+'32-3'!E84+'35-3'!E84+'37-3'!E84+'47-3'!E84+'62-3'!E84+'64-3'!E84+'74-3'!E84</f>
        <v>0</v>
      </c>
      <c r="F338" s="106">
        <f>'01-3'!F84+'02-3'!F84+'03-3'!F84+'04-3'!F84+'05-3'!F84+'08-3'!F84+'09-3'!F84+'10-3'!F84+'11-3'!F84+'12-3'!F84+'13-3'!F84+'14-3'!F84+'15-3'!F84+'16-3'!F84+'17-3'!F84+'18-3'!F84+'19-3'!F84+'21-3'!F84+'22-3'!F84+'24-3'!F84+'25-3'!F84+'28-3'!F84+'29-3'!F84+'30-3'!F84+'32-3'!F84+'35-3'!F84+'37-3'!F84+'47-3'!F84+'62-3'!F84+'64-3'!F84+'74-3'!F84</f>
        <v>0</v>
      </c>
      <c r="G338" s="106">
        <f>'01-3'!G84+'02-3'!G84+'03-3'!G84+'04-3'!G84+'05-3'!G84+'08-3'!G84+'09-3'!G84+'10-3'!G84+'11-3'!G84+'12-3'!G84+'13-3'!G84+'14-3'!G84+'15-3'!G84+'16-3'!G84+'17-3'!G84+'18-3'!G84+'19-3'!G84+'21-3'!G84+'22-3'!G84+'24-3'!G84+'25-3'!G84+'28-3'!G84+'29-3'!G84+'30-3'!G84+'32-3'!G84+'35-3'!G84+'37-3'!G84+'47-3'!G84+'62-3'!G84+'64-3'!G84+'74-3'!G84</f>
        <v>0</v>
      </c>
      <c r="H338" s="106">
        <f>'01-3'!H84+'02-3'!H84+'03-3'!H84+'04-3'!H84+'05-3'!H84+'08-3'!H84+'09-3'!H84+'10-3'!H84+'11-3'!H84+'12-3'!H84+'13-3'!H84+'14-3'!H84+'15-3'!H84+'16-3'!H84+'17-3'!H84+'18-3'!H84+'19-3'!H84+'21-3'!H84+'22-3'!H84+'24-3'!H84+'25-3'!H84+'28-3'!H84+'29-3'!H84+'30-3'!H84+'32-3'!H84+'35-3'!H84+'37-3'!H84+'47-3'!H84+'62-3'!H84+'64-3'!H84+'74-3'!H84</f>
        <v>-2831114</v>
      </c>
      <c r="I338" s="106">
        <f>'01-3'!I84+'02-3'!I84+'03-3'!I84+'04-3'!I84+'05-3'!I84+'08-3'!I84+'09-3'!I84+'10-3'!I84+'11-3'!I84+'12-3'!I84+'13-3'!I84+'14-3'!I84+'15-3'!I84+'16-3'!I84+'17-3'!I84+'18-3'!I84+'19-3'!I84+'21-3'!I84+'22-3'!I84+'24-3'!I84+'25-3'!I84+'28-3'!I84+'29-3'!I84+'30-3'!I84+'32-3'!I84+'35-3'!I84+'37-3'!I84+'47-3'!I84+'62-3'!I84+'64-3'!I84+'74-3'!I84</f>
        <v>-3004368</v>
      </c>
      <c r="J338" s="106">
        <f>'01-3'!J84+'02-3'!J84+'03-3'!J84+'04-3'!J84+'05-3'!J84+'08-3'!J84+'09-3'!J84+'10-3'!J84+'11-3'!J84+'12-3'!J84+'13-3'!J84+'14-3'!J84+'15-3'!J84+'16-3'!J84+'17-3'!J84+'18-3'!J84+'19-3'!J84+'21-3'!J84+'22-3'!J84+'24-3'!J84+'25-3'!J84+'28-3'!J84+'29-3'!J84+'30-3'!J84+'32-3'!J84+'35-3'!J84+'37-3'!J84+'47-3'!J84+'62-3'!J84+'64-3'!J84+'74-3'!J84</f>
        <v>0</v>
      </c>
      <c r="K338" s="106">
        <f>'01-3'!K84+'02-3'!K84+'03-3'!K84+'04-3'!K84+'05-3'!K84+'08-3'!K84+'09-3'!K84+'10-3'!K84+'11-3'!K84+'12-3'!K84+'13-3'!K84+'14-3'!K84+'15-3'!K84+'16-3'!K84+'17-3'!K84+'18-3'!K84+'19-3'!K84+'21-3'!K84+'22-3'!K84+'24-3'!K84+'25-3'!K84+'28-3'!K84+'29-3'!K84+'30-3'!K84+'32-3'!K84+'35-3'!K84+'37-3'!K84+'47-3'!K84+'62-3'!K84+'64-3'!K84+'74-3'!K84</f>
        <v>0</v>
      </c>
      <c r="L338" s="106">
        <f>'01-3'!L84+'02-3'!L84+'03-3'!L84+'04-3'!L84+'05-3'!L84+'08-3'!L84+'09-3'!L84+'10-3'!L84+'11-3'!L84+'12-3'!L84+'13-3'!L84+'14-3'!L84+'15-3'!L84+'16-3'!L84+'17-3'!L84+'18-3'!L84+'19-3'!L84+'21-3'!L84+'22-3'!L84+'24-3'!L84+'25-3'!L84+'28-3'!L84+'29-3'!L84+'30-3'!L84+'32-3'!L84+'35-3'!L84+'37-3'!L84+'47-3'!L84+'62-3'!L84+'64-3'!L84+'74-3'!L84</f>
        <v>0</v>
      </c>
      <c r="M338" s="106">
        <f>'01-3'!M84+'02-3'!M84+'03-3'!M84+'04-3'!M84+'05-3'!M84+'08-3'!M84+'09-3'!M84+'10-3'!M84+'11-3'!M84+'12-3'!M84+'13-3'!M84+'14-3'!M84+'15-3'!M84+'16-3'!M84+'17-3'!M84+'18-3'!M84+'19-3'!M84+'21-3'!M84+'22-3'!M84+'24-3'!M84+'25-3'!M84+'28-3'!M84+'29-3'!M84+'30-3'!M84+'32-3'!M84+'35-3'!M84+'37-3'!M84+'47-3'!M84+'62-3'!M84+'64-3'!M84+'74-3'!M84</f>
        <v>-3004368</v>
      </c>
      <c r="N338" s="106">
        <f>'01-3'!N84+'02-3'!N84+'03-3'!N84+'04-3'!N84+'05-3'!N84+'08-3'!N84+'09-3'!N84+'10-3'!N84+'11-3'!N84+'12-3'!N84+'13-3'!N84+'14-3'!N84+'15-3'!N84+'16-3'!N84+'17-3'!N84+'18-3'!N84+'19-3'!N84+'21-3'!N84+'22-3'!N84+'24-3'!N84+'25-3'!N84+'28-3'!N84+'29-3'!N84+'30-3'!N84+'32-3'!N84+'35-3'!N84+'37-3'!N84+'47-3'!N84+'62-3'!N84+'64-3'!N84+'74-3'!N84</f>
        <v>-3201613</v>
      </c>
      <c r="O338" s="106">
        <f>'01-3'!O84+'02-3'!O84+'03-3'!O84+'04-3'!O84+'05-3'!O84+'08-3'!O84+'09-3'!O84+'10-3'!O84+'11-3'!O84+'12-3'!O84+'13-3'!O84+'14-3'!O84+'15-3'!O84+'16-3'!O84+'17-3'!O84+'18-3'!O84+'19-3'!O84+'21-3'!O84+'22-3'!O84+'24-3'!O84+'25-3'!O84+'28-3'!O84+'29-3'!O84+'30-3'!O84+'32-3'!O84+'35-3'!O84+'37-3'!O84+'47-3'!O84+'62-3'!O84+'64-3'!O84+'74-3'!O84</f>
        <v>0</v>
      </c>
      <c r="P338" s="106">
        <f>'01-3'!P84+'02-3'!P84+'03-3'!P84+'04-3'!P84+'05-3'!P84+'08-3'!P84+'09-3'!P84+'10-3'!P84+'11-3'!P84+'12-3'!P84+'13-3'!P84+'14-3'!P84+'15-3'!P84+'16-3'!P84+'17-3'!P84+'18-3'!P84+'19-3'!P84+'21-3'!P84+'22-3'!P84+'24-3'!P84+'25-3'!P84+'28-3'!P84+'29-3'!P84+'30-3'!P84+'32-3'!P84+'35-3'!P84+'37-3'!P84+'47-3'!P84+'62-3'!P84+'64-3'!P84+'74-3'!P84</f>
        <v>0</v>
      </c>
      <c r="Q338" s="106">
        <f>'01-3'!Q84+'02-3'!Q84+'03-3'!Q84+'04-3'!Q84+'05-3'!Q84+'08-3'!Q84+'09-3'!Q84+'10-3'!Q84+'11-3'!Q84+'12-3'!Q84+'13-3'!Q84+'14-3'!Q84+'15-3'!Q84+'16-3'!Q84+'17-3'!Q84+'18-3'!Q84+'19-3'!Q84+'21-3'!Q84+'22-3'!Q84+'24-3'!Q84+'25-3'!Q84+'28-3'!Q84+'29-3'!Q84+'30-3'!Q84+'32-3'!Q84+'35-3'!Q84+'37-3'!Q84+'47-3'!Q84+'62-3'!Q84+'64-3'!Q84+'74-3'!Q84</f>
        <v>0</v>
      </c>
      <c r="R338" s="106">
        <f>'01-3'!R84+'02-3'!R84+'03-3'!R84+'04-3'!R84+'05-3'!R84+'08-3'!R84+'09-3'!R84+'10-3'!R84+'11-3'!R84+'12-3'!R84+'13-3'!R84+'14-3'!R84+'15-3'!R84+'16-3'!R84+'17-3'!R84+'18-3'!R84+'19-3'!R84+'21-3'!R84+'22-3'!R84+'24-3'!R84+'25-3'!R84+'28-3'!R84+'29-3'!R84+'30-3'!R84+'32-3'!R84+'35-3'!R84+'37-3'!R84+'47-3'!R84+'62-3'!R84+'64-3'!R84+'74-3'!R84</f>
        <v>-3201613</v>
      </c>
      <c r="S338" s="954"/>
      <c r="T338" s="954"/>
      <c r="U338" s="954"/>
      <c r="V338" s="954"/>
      <c r="W338" s="954"/>
    </row>
    <row r="339" spans="1:23" s="6" customFormat="1" ht="12">
      <c r="A339" s="141" t="s">
        <v>56</v>
      </c>
      <c r="B339" s="112" t="s">
        <v>57</v>
      </c>
      <c r="C339" s="106">
        <f>'01-3'!C85+'02-3'!C85+'03-3'!C85+'04-3'!C85+'05-3'!C85+'08-3'!C85+'09-3'!C85+'10-3'!C85+'11-3'!C85+'12-3'!C85+'13-3'!C85+'14-3'!C85+'15-3'!C85+'16-3'!C85+'17-3'!C85+'18-3'!C85+'19-3'!C85+'21-3'!C85+'22-3'!C85+'24-3'!C85+'25-3'!C85+'28-3'!C85+'29-3'!C85+'30-3'!C85+'32-3'!C85+'35-3'!C85+'37-3'!C85+'47-3'!C85+'62-3'!C85+'64-3'!C85+'74-3'!C85</f>
        <v>2603640</v>
      </c>
      <c r="D339" s="106">
        <f>'01-3'!D85+'02-3'!D85+'03-3'!D85+'04-3'!D85+'05-3'!D85+'08-3'!D85+'09-3'!D85+'10-3'!D85+'11-3'!D85+'12-3'!D85+'13-3'!D85+'14-3'!D85+'15-3'!D85+'16-3'!D85+'17-3'!D85+'18-3'!D85+'19-3'!D85+'21-3'!D85+'22-3'!D85+'24-3'!D85+'25-3'!D85+'28-3'!D85+'29-3'!D85+'30-3'!D85+'32-3'!D85+'35-3'!D85+'37-3'!D85+'47-3'!D85+'62-3'!D85+'64-3'!D85+'74-3'!D85</f>
        <v>1810000</v>
      </c>
      <c r="E339" s="106">
        <f>'01-3'!E85+'02-3'!E85+'03-3'!E85+'04-3'!E85+'05-3'!E85+'08-3'!E85+'09-3'!E85+'10-3'!E85+'11-3'!E85+'12-3'!E85+'13-3'!E85+'14-3'!E85+'15-3'!E85+'16-3'!E85+'17-3'!E85+'18-3'!E85+'19-3'!E85+'21-3'!E85+'22-3'!E85+'24-3'!E85+'25-3'!E85+'28-3'!E85+'29-3'!E85+'30-3'!E85+'32-3'!E85+'35-3'!E85+'37-3'!E85+'47-3'!E85+'62-3'!E85+'64-3'!E85+'74-3'!E85</f>
        <v>0</v>
      </c>
      <c r="F339" s="106">
        <f>'01-3'!F85+'02-3'!F85+'03-3'!F85+'04-3'!F85+'05-3'!F85+'08-3'!F85+'09-3'!F85+'10-3'!F85+'11-3'!F85+'12-3'!F85+'13-3'!F85+'14-3'!F85+'15-3'!F85+'16-3'!F85+'17-3'!F85+'18-3'!F85+'19-3'!F85+'21-3'!F85+'22-3'!F85+'24-3'!F85+'25-3'!F85+'28-3'!F85+'29-3'!F85+'30-3'!F85+'32-3'!F85+'35-3'!F85+'37-3'!F85+'47-3'!F85+'62-3'!F85+'64-3'!F85+'74-3'!F85</f>
        <v>0</v>
      </c>
      <c r="G339" s="106">
        <f>'01-3'!G85+'02-3'!G85+'03-3'!G85+'04-3'!G85+'05-3'!G85+'08-3'!G85+'09-3'!G85+'10-3'!G85+'11-3'!G85+'12-3'!G85+'13-3'!G85+'14-3'!G85+'15-3'!G85+'16-3'!G85+'17-3'!G85+'18-3'!G85+'19-3'!G85+'21-3'!G85+'22-3'!G85+'24-3'!G85+'25-3'!G85+'28-3'!G85+'29-3'!G85+'30-3'!G85+'32-3'!G85+'35-3'!G85+'37-3'!G85+'47-3'!G85+'62-3'!G85+'64-3'!G85+'74-3'!G85</f>
        <v>0</v>
      </c>
      <c r="H339" s="106">
        <f>'01-3'!H85+'02-3'!H85+'03-3'!H85+'04-3'!H85+'05-3'!H85+'08-3'!H85+'09-3'!H85+'10-3'!H85+'11-3'!H85+'12-3'!H85+'13-3'!H85+'14-3'!H85+'15-3'!H85+'16-3'!H85+'17-3'!H85+'18-3'!H85+'19-3'!H85+'21-3'!H85+'22-3'!H85+'24-3'!H85+'25-3'!H85+'28-3'!H85+'29-3'!H85+'30-3'!H85+'32-3'!H85+'35-3'!H85+'37-3'!H85+'47-3'!H85+'62-3'!H85+'64-3'!H85+'74-3'!H85</f>
        <v>1810000</v>
      </c>
      <c r="I339" s="106">
        <f>'01-3'!I85+'02-3'!I85+'03-3'!I85+'04-3'!I85+'05-3'!I85+'08-3'!I85+'09-3'!I85+'10-3'!I85+'11-3'!I85+'12-3'!I85+'13-3'!I85+'14-3'!I85+'15-3'!I85+'16-3'!I85+'17-3'!I85+'18-3'!I85+'19-3'!I85+'21-3'!I85+'22-3'!I85+'24-3'!I85+'25-3'!I85+'28-3'!I85+'29-3'!I85+'30-3'!I85+'32-3'!I85+'35-3'!I85+'37-3'!I85+'47-3'!I85+'62-3'!I85+'64-3'!I85+'74-3'!I85</f>
        <v>1810000</v>
      </c>
      <c r="J339" s="106">
        <f>'01-3'!J85+'02-3'!J85+'03-3'!J85+'04-3'!J85+'05-3'!J85+'08-3'!J85+'09-3'!J85+'10-3'!J85+'11-3'!J85+'12-3'!J85+'13-3'!J85+'14-3'!J85+'15-3'!J85+'16-3'!J85+'17-3'!J85+'18-3'!J85+'19-3'!J85+'21-3'!J85+'22-3'!J85+'24-3'!J85+'25-3'!J85+'28-3'!J85+'29-3'!J85+'30-3'!J85+'32-3'!J85+'35-3'!J85+'37-3'!J85+'47-3'!J85+'62-3'!J85+'64-3'!J85+'74-3'!J85</f>
        <v>0</v>
      </c>
      <c r="K339" s="106">
        <f>'01-3'!K85+'02-3'!K85+'03-3'!K85+'04-3'!K85+'05-3'!K85+'08-3'!K85+'09-3'!K85+'10-3'!K85+'11-3'!K85+'12-3'!K85+'13-3'!K85+'14-3'!K85+'15-3'!K85+'16-3'!K85+'17-3'!K85+'18-3'!K85+'19-3'!K85+'21-3'!K85+'22-3'!K85+'24-3'!K85+'25-3'!K85+'28-3'!K85+'29-3'!K85+'30-3'!K85+'32-3'!K85+'35-3'!K85+'37-3'!K85+'47-3'!K85+'62-3'!K85+'64-3'!K85+'74-3'!K85</f>
        <v>0</v>
      </c>
      <c r="L339" s="106">
        <f>'01-3'!L85+'02-3'!L85+'03-3'!L85+'04-3'!L85+'05-3'!L85+'08-3'!L85+'09-3'!L85+'10-3'!L85+'11-3'!L85+'12-3'!L85+'13-3'!L85+'14-3'!L85+'15-3'!L85+'16-3'!L85+'17-3'!L85+'18-3'!L85+'19-3'!L85+'21-3'!L85+'22-3'!L85+'24-3'!L85+'25-3'!L85+'28-3'!L85+'29-3'!L85+'30-3'!L85+'32-3'!L85+'35-3'!L85+'37-3'!L85+'47-3'!L85+'62-3'!L85+'64-3'!L85+'74-3'!L85</f>
        <v>0</v>
      </c>
      <c r="M339" s="106">
        <f>'01-3'!M85+'02-3'!M85+'03-3'!M85+'04-3'!M85+'05-3'!M85+'08-3'!M85+'09-3'!M85+'10-3'!M85+'11-3'!M85+'12-3'!M85+'13-3'!M85+'14-3'!M85+'15-3'!M85+'16-3'!M85+'17-3'!M85+'18-3'!M85+'19-3'!M85+'21-3'!M85+'22-3'!M85+'24-3'!M85+'25-3'!M85+'28-3'!M85+'29-3'!M85+'30-3'!M85+'32-3'!M85+'35-3'!M85+'37-3'!M85+'47-3'!M85+'62-3'!M85+'64-3'!M85+'74-3'!M85</f>
        <v>1810000</v>
      </c>
      <c r="N339" s="106">
        <f>'01-3'!N85+'02-3'!N85+'03-3'!N85+'04-3'!N85+'05-3'!N85+'08-3'!N85+'09-3'!N85+'10-3'!N85+'11-3'!N85+'12-3'!N85+'13-3'!N85+'14-3'!N85+'15-3'!N85+'16-3'!N85+'17-3'!N85+'18-3'!N85+'19-3'!N85+'21-3'!N85+'22-3'!N85+'24-3'!N85+'25-3'!N85+'28-3'!N85+'29-3'!N85+'30-3'!N85+'32-3'!N85+'35-3'!N85+'37-3'!N85+'47-3'!N85+'62-3'!N85+'64-3'!N85+'74-3'!N85</f>
        <v>1810000</v>
      </c>
      <c r="O339" s="106">
        <f>'01-3'!O85+'02-3'!O85+'03-3'!O85+'04-3'!O85+'05-3'!O85+'08-3'!O85+'09-3'!O85+'10-3'!O85+'11-3'!O85+'12-3'!O85+'13-3'!O85+'14-3'!O85+'15-3'!O85+'16-3'!O85+'17-3'!O85+'18-3'!O85+'19-3'!O85+'21-3'!O85+'22-3'!O85+'24-3'!O85+'25-3'!O85+'28-3'!O85+'29-3'!O85+'30-3'!O85+'32-3'!O85+'35-3'!O85+'37-3'!O85+'47-3'!O85+'62-3'!O85+'64-3'!O85+'74-3'!O85</f>
        <v>0</v>
      </c>
      <c r="P339" s="106">
        <f>'01-3'!P85+'02-3'!P85+'03-3'!P85+'04-3'!P85+'05-3'!P85+'08-3'!P85+'09-3'!P85+'10-3'!P85+'11-3'!P85+'12-3'!P85+'13-3'!P85+'14-3'!P85+'15-3'!P85+'16-3'!P85+'17-3'!P85+'18-3'!P85+'19-3'!P85+'21-3'!P85+'22-3'!P85+'24-3'!P85+'25-3'!P85+'28-3'!P85+'29-3'!P85+'30-3'!P85+'32-3'!P85+'35-3'!P85+'37-3'!P85+'47-3'!P85+'62-3'!P85+'64-3'!P85+'74-3'!P85</f>
        <v>0</v>
      </c>
      <c r="Q339" s="106">
        <f>'01-3'!Q85+'02-3'!Q85+'03-3'!Q85+'04-3'!Q85+'05-3'!Q85+'08-3'!Q85+'09-3'!Q85+'10-3'!Q85+'11-3'!Q85+'12-3'!Q85+'13-3'!Q85+'14-3'!Q85+'15-3'!Q85+'16-3'!Q85+'17-3'!Q85+'18-3'!Q85+'19-3'!Q85+'21-3'!Q85+'22-3'!Q85+'24-3'!Q85+'25-3'!Q85+'28-3'!Q85+'29-3'!Q85+'30-3'!Q85+'32-3'!Q85+'35-3'!Q85+'37-3'!Q85+'47-3'!Q85+'62-3'!Q85+'64-3'!Q85+'74-3'!Q85</f>
        <v>0</v>
      </c>
      <c r="R339" s="106">
        <f>'01-3'!R85+'02-3'!R85+'03-3'!R85+'04-3'!R85+'05-3'!R85+'08-3'!R85+'09-3'!R85+'10-3'!R85+'11-3'!R85+'12-3'!R85+'13-3'!R85+'14-3'!R85+'15-3'!R85+'16-3'!R85+'17-3'!R85+'18-3'!R85+'19-3'!R85+'21-3'!R85+'22-3'!R85+'24-3'!R85+'25-3'!R85+'28-3'!R85+'29-3'!R85+'30-3'!R85+'32-3'!R85+'35-3'!R85+'37-3'!R85+'47-3'!R85+'62-3'!R85+'64-3'!R85+'74-3'!R85</f>
        <v>1810000</v>
      </c>
      <c r="S339" s="954"/>
      <c r="T339" s="954"/>
      <c r="U339" s="954"/>
      <c r="V339" s="954"/>
      <c r="W339" s="954"/>
    </row>
    <row r="340" spans="1:23" s="6" customFormat="1" ht="12">
      <c r="A340" s="141" t="s">
        <v>58</v>
      </c>
      <c r="B340" s="112" t="s">
        <v>59</v>
      </c>
      <c r="C340" s="106">
        <f>'01-3'!C86+'02-3'!C86+'03-3'!C86+'04-3'!C86+'05-3'!C86+'08-3'!C86+'09-3'!C86+'10-3'!C86+'11-3'!C86+'12-3'!C86+'13-3'!C86+'14-3'!C86+'15-3'!C86+'16-3'!C86+'17-3'!C86+'18-3'!C86+'19-3'!C86+'21-3'!C86+'22-3'!C86+'24-3'!C86+'25-3'!C86+'28-3'!C86+'29-3'!C86+'30-3'!C86+'32-3'!C86+'35-3'!C86+'37-3'!C86+'47-3'!C86+'62-3'!C86+'64-3'!C86+'74-3'!C86</f>
        <v>0</v>
      </c>
      <c r="D340" s="106">
        <f>'01-3'!D86+'02-3'!D86+'03-3'!D86+'04-3'!D86+'05-3'!D86+'08-3'!D86+'09-3'!D86+'10-3'!D86+'11-3'!D86+'12-3'!D86+'13-3'!D86+'14-3'!D86+'15-3'!D86+'16-3'!D86+'17-3'!D86+'18-3'!D86+'19-3'!D86+'21-3'!D86+'22-3'!D86+'24-3'!D86+'25-3'!D86+'28-3'!D86+'29-3'!D86+'30-3'!D86+'32-3'!D86+'35-3'!D86+'37-3'!D86+'47-3'!D86+'62-3'!D86+'64-3'!D86+'74-3'!D86</f>
        <v>0</v>
      </c>
      <c r="E340" s="106">
        <f>'01-3'!E86+'02-3'!E86+'03-3'!E86+'04-3'!E86+'05-3'!E86+'08-3'!E86+'09-3'!E86+'10-3'!E86+'11-3'!E86+'12-3'!E86+'13-3'!E86+'14-3'!E86+'15-3'!E86+'16-3'!E86+'17-3'!E86+'18-3'!E86+'19-3'!E86+'21-3'!E86+'22-3'!E86+'24-3'!E86+'25-3'!E86+'28-3'!E86+'29-3'!E86+'30-3'!E86+'32-3'!E86+'35-3'!E86+'37-3'!E86+'47-3'!E86+'62-3'!E86+'64-3'!E86+'74-3'!E86</f>
        <v>0</v>
      </c>
      <c r="F340" s="106">
        <f>'01-3'!F86+'02-3'!F86+'03-3'!F86+'04-3'!F86+'05-3'!F86+'08-3'!F86+'09-3'!F86+'10-3'!F86+'11-3'!F86+'12-3'!F86+'13-3'!F86+'14-3'!F86+'15-3'!F86+'16-3'!F86+'17-3'!F86+'18-3'!F86+'19-3'!F86+'21-3'!F86+'22-3'!F86+'24-3'!F86+'25-3'!F86+'28-3'!F86+'29-3'!F86+'30-3'!F86+'32-3'!F86+'35-3'!F86+'37-3'!F86+'47-3'!F86+'62-3'!F86+'64-3'!F86+'74-3'!F86</f>
        <v>0</v>
      </c>
      <c r="G340" s="106">
        <f>'01-3'!G86+'02-3'!G86+'03-3'!G86+'04-3'!G86+'05-3'!G86+'08-3'!G86+'09-3'!G86+'10-3'!G86+'11-3'!G86+'12-3'!G86+'13-3'!G86+'14-3'!G86+'15-3'!G86+'16-3'!G86+'17-3'!G86+'18-3'!G86+'19-3'!G86+'21-3'!G86+'22-3'!G86+'24-3'!G86+'25-3'!G86+'28-3'!G86+'29-3'!G86+'30-3'!G86+'32-3'!G86+'35-3'!G86+'37-3'!G86+'47-3'!G86+'62-3'!G86+'64-3'!G86+'74-3'!G86</f>
        <v>0</v>
      </c>
      <c r="H340" s="106">
        <f>'01-3'!H86+'02-3'!H86+'03-3'!H86+'04-3'!H86+'05-3'!H86+'08-3'!H86+'09-3'!H86+'10-3'!H86+'11-3'!H86+'12-3'!H86+'13-3'!H86+'14-3'!H86+'15-3'!H86+'16-3'!H86+'17-3'!H86+'18-3'!H86+'19-3'!H86+'21-3'!H86+'22-3'!H86+'24-3'!H86+'25-3'!H86+'28-3'!H86+'29-3'!H86+'30-3'!H86+'32-3'!H86+'35-3'!H86+'37-3'!H86+'47-3'!H86+'62-3'!H86+'64-3'!H86+'74-3'!H86</f>
        <v>0</v>
      </c>
      <c r="I340" s="106">
        <f>'01-3'!I86+'02-3'!I86+'03-3'!I86+'04-3'!I86+'05-3'!I86+'08-3'!I86+'09-3'!I86+'10-3'!I86+'11-3'!I86+'12-3'!I86+'13-3'!I86+'14-3'!I86+'15-3'!I86+'16-3'!I86+'17-3'!I86+'18-3'!I86+'19-3'!I86+'21-3'!I86+'22-3'!I86+'24-3'!I86+'25-3'!I86+'28-3'!I86+'29-3'!I86+'30-3'!I86+'32-3'!I86+'35-3'!I86+'37-3'!I86+'47-3'!I86+'62-3'!I86+'64-3'!I86+'74-3'!I86</f>
        <v>0</v>
      </c>
      <c r="J340" s="106">
        <f>'01-3'!J86+'02-3'!J86+'03-3'!J86+'04-3'!J86+'05-3'!J86+'08-3'!J86+'09-3'!J86+'10-3'!J86+'11-3'!J86+'12-3'!J86+'13-3'!J86+'14-3'!J86+'15-3'!J86+'16-3'!J86+'17-3'!J86+'18-3'!J86+'19-3'!J86+'21-3'!J86+'22-3'!J86+'24-3'!J86+'25-3'!J86+'28-3'!J86+'29-3'!J86+'30-3'!J86+'32-3'!J86+'35-3'!J86+'37-3'!J86+'47-3'!J86+'62-3'!J86+'64-3'!J86+'74-3'!J86</f>
        <v>0</v>
      </c>
      <c r="K340" s="106">
        <f>'01-3'!K86+'02-3'!K86+'03-3'!K86+'04-3'!K86+'05-3'!K86+'08-3'!K86+'09-3'!K86+'10-3'!K86+'11-3'!K86+'12-3'!K86+'13-3'!K86+'14-3'!K86+'15-3'!K86+'16-3'!K86+'17-3'!K86+'18-3'!K86+'19-3'!K86+'21-3'!K86+'22-3'!K86+'24-3'!K86+'25-3'!K86+'28-3'!K86+'29-3'!K86+'30-3'!K86+'32-3'!K86+'35-3'!K86+'37-3'!K86+'47-3'!K86+'62-3'!K86+'64-3'!K86+'74-3'!K86</f>
        <v>0</v>
      </c>
      <c r="L340" s="106">
        <f>'01-3'!L86+'02-3'!L86+'03-3'!L86+'04-3'!L86+'05-3'!L86+'08-3'!L86+'09-3'!L86+'10-3'!L86+'11-3'!L86+'12-3'!L86+'13-3'!L86+'14-3'!L86+'15-3'!L86+'16-3'!L86+'17-3'!L86+'18-3'!L86+'19-3'!L86+'21-3'!L86+'22-3'!L86+'24-3'!L86+'25-3'!L86+'28-3'!L86+'29-3'!L86+'30-3'!L86+'32-3'!L86+'35-3'!L86+'37-3'!L86+'47-3'!L86+'62-3'!L86+'64-3'!L86+'74-3'!L86</f>
        <v>0</v>
      </c>
      <c r="M340" s="106">
        <f>'01-3'!M86+'02-3'!M86+'03-3'!M86+'04-3'!M86+'05-3'!M86+'08-3'!M86+'09-3'!M86+'10-3'!M86+'11-3'!M86+'12-3'!M86+'13-3'!M86+'14-3'!M86+'15-3'!M86+'16-3'!M86+'17-3'!M86+'18-3'!M86+'19-3'!M86+'21-3'!M86+'22-3'!M86+'24-3'!M86+'25-3'!M86+'28-3'!M86+'29-3'!M86+'30-3'!M86+'32-3'!M86+'35-3'!M86+'37-3'!M86+'47-3'!M86+'62-3'!M86+'64-3'!M86+'74-3'!M86</f>
        <v>0</v>
      </c>
      <c r="N340" s="106">
        <f>'01-3'!N86+'02-3'!N86+'03-3'!N86+'04-3'!N86+'05-3'!N86+'08-3'!N86+'09-3'!N86+'10-3'!N86+'11-3'!N86+'12-3'!N86+'13-3'!N86+'14-3'!N86+'15-3'!N86+'16-3'!N86+'17-3'!N86+'18-3'!N86+'19-3'!N86+'21-3'!N86+'22-3'!N86+'24-3'!N86+'25-3'!N86+'28-3'!N86+'29-3'!N86+'30-3'!N86+'32-3'!N86+'35-3'!N86+'37-3'!N86+'47-3'!N86+'62-3'!N86+'64-3'!N86+'74-3'!N86</f>
        <v>0</v>
      </c>
      <c r="O340" s="106">
        <f>'01-3'!O86+'02-3'!O86+'03-3'!O86+'04-3'!O86+'05-3'!O86+'08-3'!O86+'09-3'!O86+'10-3'!O86+'11-3'!O86+'12-3'!O86+'13-3'!O86+'14-3'!O86+'15-3'!O86+'16-3'!O86+'17-3'!O86+'18-3'!O86+'19-3'!O86+'21-3'!O86+'22-3'!O86+'24-3'!O86+'25-3'!O86+'28-3'!O86+'29-3'!O86+'30-3'!O86+'32-3'!O86+'35-3'!O86+'37-3'!O86+'47-3'!O86+'62-3'!O86+'64-3'!O86+'74-3'!O86</f>
        <v>0</v>
      </c>
      <c r="P340" s="106">
        <f>'01-3'!P86+'02-3'!P86+'03-3'!P86+'04-3'!P86+'05-3'!P86+'08-3'!P86+'09-3'!P86+'10-3'!P86+'11-3'!P86+'12-3'!P86+'13-3'!P86+'14-3'!P86+'15-3'!P86+'16-3'!P86+'17-3'!P86+'18-3'!P86+'19-3'!P86+'21-3'!P86+'22-3'!P86+'24-3'!P86+'25-3'!P86+'28-3'!P86+'29-3'!P86+'30-3'!P86+'32-3'!P86+'35-3'!P86+'37-3'!P86+'47-3'!P86+'62-3'!P86+'64-3'!P86+'74-3'!P86</f>
        <v>0</v>
      </c>
      <c r="Q340" s="106">
        <f>'01-3'!Q86+'02-3'!Q86+'03-3'!Q86+'04-3'!Q86+'05-3'!Q86+'08-3'!Q86+'09-3'!Q86+'10-3'!Q86+'11-3'!Q86+'12-3'!Q86+'13-3'!Q86+'14-3'!Q86+'15-3'!Q86+'16-3'!Q86+'17-3'!Q86+'18-3'!Q86+'19-3'!Q86+'21-3'!Q86+'22-3'!Q86+'24-3'!Q86+'25-3'!Q86+'28-3'!Q86+'29-3'!Q86+'30-3'!Q86+'32-3'!Q86+'35-3'!Q86+'37-3'!Q86+'47-3'!Q86+'62-3'!Q86+'64-3'!Q86+'74-3'!Q86</f>
        <v>0</v>
      </c>
      <c r="R340" s="106">
        <f>'01-3'!R86+'02-3'!R86+'03-3'!R86+'04-3'!R86+'05-3'!R86+'08-3'!R86+'09-3'!R86+'10-3'!R86+'11-3'!R86+'12-3'!R86+'13-3'!R86+'14-3'!R86+'15-3'!R86+'16-3'!R86+'17-3'!R86+'18-3'!R86+'19-3'!R86+'21-3'!R86+'22-3'!R86+'24-3'!R86+'25-3'!R86+'28-3'!R86+'29-3'!R86+'30-3'!R86+'32-3'!R86+'35-3'!R86+'37-3'!R86+'47-3'!R86+'62-3'!R86+'64-3'!R86+'74-3'!R86</f>
        <v>0</v>
      </c>
      <c r="S340" s="954"/>
      <c r="T340" s="954"/>
      <c r="U340" s="954"/>
      <c r="V340" s="954"/>
      <c r="W340" s="954"/>
    </row>
    <row r="341" spans="1:23" s="6" customFormat="1" ht="12">
      <c r="A341" s="141" t="s">
        <v>60</v>
      </c>
      <c r="B341" s="112" t="s">
        <v>61</v>
      </c>
      <c r="C341" s="106">
        <f>'01-3'!C87+'02-3'!C87+'03-3'!C87+'04-3'!C87+'05-3'!C87+'08-3'!C87+'09-3'!C87+'10-3'!C87+'11-3'!C87+'12-3'!C87+'13-3'!C87+'14-3'!C87+'15-3'!C87+'16-3'!C87+'17-3'!C87+'18-3'!C87+'19-3'!C87+'21-3'!C87+'22-3'!C87+'24-3'!C87+'25-3'!C87+'28-3'!C87+'29-3'!C87+'30-3'!C87+'32-3'!C87+'35-3'!C87+'37-3'!C87+'47-3'!C87+'62-3'!C87+'64-3'!C87+'74-3'!C87</f>
        <v>2603640</v>
      </c>
      <c r="D341" s="106">
        <f>'01-3'!D87+'02-3'!D87+'03-3'!D87+'04-3'!D87+'05-3'!D87+'08-3'!D87+'09-3'!D87+'10-3'!D87+'11-3'!D87+'12-3'!D87+'13-3'!D87+'14-3'!D87+'15-3'!D87+'16-3'!D87+'17-3'!D87+'18-3'!D87+'19-3'!D87+'21-3'!D87+'22-3'!D87+'24-3'!D87+'25-3'!D87+'28-3'!D87+'29-3'!D87+'30-3'!D87+'32-3'!D87+'35-3'!D87+'37-3'!D87+'47-3'!D87+'62-3'!D87+'64-3'!D87+'74-3'!D87</f>
        <v>1810000</v>
      </c>
      <c r="E341" s="106">
        <f>'01-3'!E87+'02-3'!E87+'03-3'!E87+'04-3'!E87+'05-3'!E87+'08-3'!E87+'09-3'!E87+'10-3'!E87+'11-3'!E87+'12-3'!E87+'13-3'!E87+'14-3'!E87+'15-3'!E87+'16-3'!E87+'17-3'!E87+'18-3'!E87+'19-3'!E87+'21-3'!E87+'22-3'!E87+'24-3'!E87+'25-3'!E87+'28-3'!E87+'29-3'!E87+'30-3'!E87+'32-3'!E87+'35-3'!E87+'37-3'!E87+'47-3'!E87+'62-3'!E87+'64-3'!E87+'74-3'!E87</f>
        <v>0</v>
      </c>
      <c r="F341" s="106">
        <f>'01-3'!F87+'02-3'!F87+'03-3'!F87+'04-3'!F87+'05-3'!F87+'08-3'!F87+'09-3'!F87+'10-3'!F87+'11-3'!F87+'12-3'!F87+'13-3'!F87+'14-3'!F87+'15-3'!F87+'16-3'!F87+'17-3'!F87+'18-3'!F87+'19-3'!F87+'21-3'!F87+'22-3'!F87+'24-3'!F87+'25-3'!F87+'28-3'!F87+'29-3'!F87+'30-3'!F87+'32-3'!F87+'35-3'!F87+'37-3'!F87+'47-3'!F87+'62-3'!F87+'64-3'!F87+'74-3'!F87</f>
        <v>0</v>
      </c>
      <c r="G341" s="106">
        <f>'01-3'!G87+'02-3'!G87+'03-3'!G87+'04-3'!G87+'05-3'!G87+'08-3'!G87+'09-3'!G87+'10-3'!G87+'11-3'!G87+'12-3'!G87+'13-3'!G87+'14-3'!G87+'15-3'!G87+'16-3'!G87+'17-3'!G87+'18-3'!G87+'19-3'!G87+'21-3'!G87+'22-3'!G87+'24-3'!G87+'25-3'!G87+'28-3'!G87+'29-3'!G87+'30-3'!G87+'32-3'!G87+'35-3'!G87+'37-3'!G87+'47-3'!G87+'62-3'!G87+'64-3'!G87+'74-3'!G87</f>
        <v>0</v>
      </c>
      <c r="H341" s="106">
        <f>'01-3'!H87+'02-3'!H87+'03-3'!H87+'04-3'!H87+'05-3'!H87+'08-3'!H87+'09-3'!H87+'10-3'!H87+'11-3'!H87+'12-3'!H87+'13-3'!H87+'14-3'!H87+'15-3'!H87+'16-3'!H87+'17-3'!H87+'18-3'!H87+'19-3'!H87+'21-3'!H87+'22-3'!H87+'24-3'!H87+'25-3'!H87+'28-3'!H87+'29-3'!H87+'30-3'!H87+'32-3'!H87+'35-3'!H87+'37-3'!H87+'47-3'!H87+'62-3'!H87+'64-3'!H87+'74-3'!H87</f>
        <v>1810000</v>
      </c>
      <c r="I341" s="106">
        <f>'01-3'!I87+'02-3'!I87+'03-3'!I87+'04-3'!I87+'05-3'!I87+'08-3'!I87+'09-3'!I87+'10-3'!I87+'11-3'!I87+'12-3'!I87+'13-3'!I87+'14-3'!I87+'15-3'!I87+'16-3'!I87+'17-3'!I87+'18-3'!I87+'19-3'!I87+'21-3'!I87+'22-3'!I87+'24-3'!I87+'25-3'!I87+'28-3'!I87+'29-3'!I87+'30-3'!I87+'32-3'!I87+'35-3'!I87+'37-3'!I87+'47-3'!I87+'62-3'!I87+'64-3'!I87+'74-3'!I87</f>
        <v>1810000</v>
      </c>
      <c r="J341" s="106">
        <f>'01-3'!J87+'02-3'!J87+'03-3'!J87+'04-3'!J87+'05-3'!J87+'08-3'!J87+'09-3'!J87+'10-3'!J87+'11-3'!J87+'12-3'!J87+'13-3'!J87+'14-3'!J87+'15-3'!J87+'16-3'!J87+'17-3'!J87+'18-3'!J87+'19-3'!J87+'21-3'!J87+'22-3'!J87+'24-3'!J87+'25-3'!J87+'28-3'!J87+'29-3'!J87+'30-3'!J87+'32-3'!J87+'35-3'!J87+'37-3'!J87+'47-3'!J87+'62-3'!J87+'64-3'!J87+'74-3'!J87</f>
        <v>0</v>
      </c>
      <c r="K341" s="106">
        <f>'01-3'!K87+'02-3'!K87+'03-3'!K87+'04-3'!K87+'05-3'!K87+'08-3'!K87+'09-3'!K87+'10-3'!K87+'11-3'!K87+'12-3'!K87+'13-3'!K87+'14-3'!K87+'15-3'!K87+'16-3'!K87+'17-3'!K87+'18-3'!K87+'19-3'!K87+'21-3'!K87+'22-3'!K87+'24-3'!K87+'25-3'!K87+'28-3'!K87+'29-3'!K87+'30-3'!K87+'32-3'!K87+'35-3'!K87+'37-3'!K87+'47-3'!K87+'62-3'!K87+'64-3'!K87+'74-3'!K87</f>
        <v>0</v>
      </c>
      <c r="L341" s="106">
        <f>'01-3'!L87+'02-3'!L87+'03-3'!L87+'04-3'!L87+'05-3'!L87+'08-3'!L87+'09-3'!L87+'10-3'!L87+'11-3'!L87+'12-3'!L87+'13-3'!L87+'14-3'!L87+'15-3'!L87+'16-3'!L87+'17-3'!L87+'18-3'!L87+'19-3'!L87+'21-3'!L87+'22-3'!L87+'24-3'!L87+'25-3'!L87+'28-3'!L87+'29-3'!L87+'30-3'!L87+'32-3'!L87+'35-3'!L87+'37-3'!L87+'47-3'!L87+'62-3'!L87+'64-3'!L87+'74-3'!L87</f>
        <v>0</v>
      </c>
      <c r="M341" s="106">
        <f>'01-3'!M87+'02-3'!M87+'03-3'!M87+'04-3'!M87+'05-3'!M87+'08-3'!M87+'09-3'!M87+'10-3'!M87+'11-3'!M87+'12-3'!M87+'13-3'!M87+'14-3'!M87+'15-3'!M87+'16-3'!M87+'17-3'!M87+'18-3'!M87+'19-3'!M87+'21-3'!M87+'22-3'!M87+'24-3'!M87+'25-3'!M87+'28-3'!M87+'29-3'!M87+'30-3'!M87+'32-3'!M87+'35-3'!M87+'37-3'!M87+'47-3'!M87+'62-3'!M87+'64-3'!M87+'74-3'!M87</f>
        <v>1810000</v>
      </c>
      <c r="N341" s="106">
        <f>'01-3'!N87+'02-3'!N87+'03-3'!N87+'04-3'!N87+'05-3'!N87+'08-3'!N87+'09-3'!N87+'10-3'!N87+'11-3'!N87+'12-3'!N87+'13-3'!N87+'14-3'!N87+'15-3'!N87+'16-3'!N87+'17-3'!N87+'18-3'!N87+'19-3'!N87+'21-3'!N87+'22-3'!N87+'24-3'!N87+'25-3'!N87+'28-3'!N87+'29-3'!N87+'30-3'!N87+'32-3'!N87+'35-3'!N87+'37-3'!N87+'47-3'!N87+'62-3'!N87+'64-3'!N87+'74-3'!N87</f>
        <v>1810000</v>
      </c>
      <c r="O341" s="106">
        <f>'01-3'!O87+'02-3'!O87+'03-3'!O87+'04-3'!O87+'05-3'!O87+'08-3'!O87+'09-3'!O87+'10-3'!O87+'11-3'!O87+'12-3'!O87+'13-3'!O87+'14-3'!O87+'15-3'!O87+'16-3'!O87+'17-3'!O87+'18-3'!O87+'19-3'!O87+'21-3'!O87+'22-3'!O87+'24-3'!O87+'25-3'!O87+'28-3'!O87+'29-3'!O87+'30-3'!O87+'32-3'!O87+'35-3'!O87+'37-3'!O87+'47-3'!O87+'62-3'!O87+'64-3'!O87+'74-3'!O87</f>
        <v>0</v>
      </c>
      <c r="P341" s="106">
        <f>'01-3'!P87+'02-3'!P87+'03-3'!P87+'04-3'!P87+'05-3'!P87+'08-3'!P87+'09-3'!P87+'10-3'!P87+'11-3'!P87+'12-3'!P87+'13-3'!P87+'14-3'!P87+'15-3'!P87+'16-3'!P87+'17-3'!P87+'18-3'!P87+'19-3'!P87+'21-3'!P87+'22-3'!P87+'24-3'!P87+'25-3'!P87+'28-3'!P87+'29-3'!P87+'30-3'!P87+'32-3'!P87+'35-3'!P87+'37-3'!P87+'47-3'!P87+'62-3'!P87+'64-3'!P87+'74-3'!P87</f>
        <v>0</v>
      </c>
      <c r="Q341" s="106">
        <f>'01-3'!Q87+'02-3'!Q87+'03-3'!Q87+'04-3'!Q87+'05-3'!Q87+'08-3'!Q87+'09-3'!Q87+'10-3'!Q87+'11-3'!Q87+'12-3'!Q87+'13-3'!Q87+'14-3'!Q87+'15-3'!Q87+'16-3'!Q87+'17-3'!Q87+'18-3'!Q87+'19-3'!Q87+'21-3'!Q87+'22-3'!Q87+'24-3'!Q87+'25-3'!Q87+'28-3'!Q87+'29-3'!Q87+'30-3'!Q87+'32-3'!Q87+'35-3'!Q87+'37-3'!Q87+'47-3'!Q87+'62-3'!Q87+'64-3'!Q87+'74-3'!Q87</f>
        <v>0</v>
      </c>
      <c r="R341" s="106">
        <f>'01-3'!R87+'02-3'!R87+'03-3'!R87+'04-3'!R87+'05-3'!R87+'08-3'!R87+'09-3'!R87+'10-3'!R87+'11-3'!R87+'12-3'!R87+'13-3'!R87+'14-3'!R87+'15-3'!R87+'16-3'!R87+'17-3'!R87+'18-3'!R87+'19-3'!R87+'21-3'!R87+'22-3'!R87+'24-3'!R87+'25-3'!R87+'28-3'!R87+'29-3'!R87+'30-3'!R87+'32-3'!R87+'35-3'!R87+'37-3'!R87+'47-3'!R87+'62-3'!R87+'64-3'!R87+'74-3'!R87</f>
        <v>1810000</v>
      </c>
      <c r="S341" s="954"/>
      <c r="T341" s="954"/>
      <c r="U341" s="954"/>
      <c r="V341" s="954"/>
      <c r="W341" s="954"/>
    </row>
    <row r="342" spans="1:23" s="6" customFormat="1" ht="12">
      <c r="A342" s="141" t="s">
        <v>198</v>
      </c>
      <c r="B342" s="120" t="s">
        <v>168</v>
      </c>
      <c r="C342" s="106">
        <f>'01-3'!C88+'02-3'!C88+'03-3'!C88+'04-3'!C88+'05-3'!C88+'08-3'!C88+'09-3'!C88+'10-3'!C88+'11-3'!C88+'12-3'!C88+'13-3'!C88+'14-3'!C88+'15-3'!C88+'16-3'!C88+'17-3'!C88+'18-3'!C88+'19-3'!C88+'21-3'!C88+'22-3'!C88+'24-3'!C88+'25-3'!C88+'28-3'!C88+'29-3'!C88+'30-3'!C88+'32-3'!C88+'35-3'!C88+'37-3'!C88+'47-3'!C88+'62-3'!C88+'64-3'!C88+'74-3'!C88</f>
        <v>-4300500</v>
      </c>
      <c r="D342" s="106">
        <f>'01-3'!D88+'02-3'!D88+'03-3'!D88+'04-3'!D88+'05-3'!D88+'08-3'!D88+'09-3'!D88+'10-3'!D88+'11-3'!D88+'12-3'!D88+'13-3'!D88+'14-3'!D88+'15-3'!D88+'16-3'!D88+'17-3'!D88+'18-3'!D88+'19-3'!D88+'21-3'!D88+'22-3'!D88+'24-3'!D88+'25-3'!D88+'28-3'!D88+'29-3'!D88+'30-3'!D88+'32-3'!D88+'35-3'!D88+'37-3'!D88+'47-3'!D88+'62-3'!D88+'64-3'!D88+'74-3'!D88</f>
        <v>0</v>
      </c>
      <c r="E342" s="106">
        <f>'01-3'!E88+'02-3'!E88+'03-3'!E88+'04-3'!E88+'05-3'!E88+'08-3'!E88+'09-3'!E88+'10-3'!E88+'11-3'!E88+'12-3'!E88+'13-3'!E88+'14-3'!E88+'15-3'!E88+'16-3'!E88+'17-3'!E88+'18-3'!E88+'19-3'!E88+'21-3'!E88+'22-3'!E88+'24-3'!E88+'25-3'!E88+'28-3'!E88+'29-3'!E88+'30-3'!E88+'32-3'!E88+'35-3'!E88+'37-3'!E88+'47-3'!E88+'62-3'!E88+'64-3'!E88+'74-3'!E88</f>
        <v>0</v>
      </c>
      <c r="F342" s="106">
        <f>'01-3'!F88+'02-3'!F88+'03-3'!F88+'04-3'!F88+'05-3'!F88+'08-3'!F88+'09-3'!F88+'10-3'!F88+'11-3'!F88+'12-3'!F88+'13-3'!F88+'14-3'!F88+'15-3'!F88+'16-3'!F88+'17-3'!F88+'18-3'!F88+'19-3'!F88+'21-3'!F88+'22-3'!F88+'24-3'!F88+'25-3'!F88+'28-3'!F88+'29-3'!F88+'30-3'!F88+'32-3'!F88+'35-3'!F88+'37-3'!F88+'47-3'!F88+'62-3'!F88+'64-3'!F88+'74-3'!F88</f>
        <v>0</v>
      </c>
      <c r="G342" s="106">
        <f>'01-3'!G88+'02-3'!G88+'03-3'!G88+'04-3'!G88+'05-3'!G88+'08-3'!G88+'09-3'!G88+'10-3'!G88+'11-3'!G88+'12-3'!G88+'13-3'!G88+'14-3'!G88+'15-3'!G88+'16-3'!G88+'17-3'!G88+'18-3'!G88+'19-3'!G88+'21-3'!G88+'22-3'!G88+'24-3'!G88+'25-3'!G88+'28-3'!G88+'29-3'!G88+'30-3'!G88+'32-3'!G88+'35-3'!G88+'37-3'!G88+'47-3'!G88+'62-3'!G88+'64-3'!G88+'74-3'!G88</f>
        <v>-6496018</v>
      </c>
      <c r="H342" s="106">
        <f>'01-3'!H88+'02-3'!H88+'03-3'!H88+'04-3'!H88+'05-3'!H88+'08-3'!H88+'09-3'!H88+'10-3'!H88+'11-3'!H88+'12-3'!H88+'13-3'!H88+'14-3'!H88+'15-3'!H88+'16-3'!H88+'17-3'!H88+'18-3'!H88+'19-3'!H88+'21-3'!H88+'22-3'!H88+'24-3'!H88+'25-3'!H88+'28-3'!H88+'29-3'!H88+'30-3'!H88+'32-3'!H88+'35-3'!H88+'37-3'!H88+'47-3'!H88+'62-3'!H88+'64-3'!H88+'74-3'!H88</f>
        <v>-6496018</v>
      </c>
      <c r="I342" s="106">
        <f>'01-3'!I88+'02-3'!I88+'03-3'!I88+'04-3'!I88+'05-3'!I88+'08-3'!I88+'09-3'!I88+'10-3'!I88+'11-3'!I88+'12-3'!I88+'13-3'!I88+'14-3'!I88+'15-3'!I88+'16-3'!I88+'17-3'!I88+'18-3'!I88+'19-3'!I88+'21-3'!I88+'22-3'!I88+'24-3'!I88+'25-3'!I88+'28-3'!I88+'29-3'!I88+'30-3'!I88+'32-3'!I88+'35-3'!I88+'37-3'!I88+'47-3'!I88+'62-3'!I88+'64-3'!I88+'74-3'!I88</f>
        <v>0</v>
      </c>
      <c r="J342" s="106">
        <f>'01-3'!J88+'02-3'!J88+'03-3'!J88+'04-3'!J88+'05-3'!J88+'08-3'!J88+'09-3'!J88+'10-3'!J88+'11-3'!J88+'12-3'!J88+'13-3'!J88+'14-3'!J88+'15-3'!J88+'16-3'!J88+'17-3'!J88+'18-3'!J88+'19-3'!J88+'21-3'!J88+'22-3'!J88+'24-3'!J88+'25-3'!J88+'28-3'!J88+'29-3'!J88+'30-3'!J88+'32-3'!J88+'35-3'!J88+'37-3'!J88+'47-3'!J88+'62-3'!J88+'64-3'!J88+'74-3'!J88</f>
        <v>0</v>
      </c>
      <c r="K342" s="106">
        <f>'01-3'!K88+'02-3'!K88+'03-3'!K88+'04-3'!K88+'05-3'!K88+'08-3'!K88+'09-3'!K88+'10-3'!K88+'11-3'!K88+'12-3'!K88+'13-3'!K88+'14-3'!K88+'15-3'!K88+'16-3'!K88+'17-3'!K88+'18-3'!K88+'19-3'!K88+'21-3'!K88+'22-3'!K88+'24-3'!K88+'25-3'!K88+'28-3'!K88+'29-3'!K88+'30-3'!K88+'32-3'!K88+'35-3'!K88+'37-3'!K88+'47-3'!K88+'62-3'!K88+'64-3'!K88+'74-3'!K88</f>
        <v>0</v>
      </c>
      <c r="L342" s="106">
        <f>'01-3'!L88+'02-3'!L88+'03-3'!L88+'04-3'!L88+'05-3'!L88+'08-3'!L88+'09-3'!L88+'10-3'!L88+'11-3'!L88+'12-3'!L88+'13-3'!L88+'14-3'!L88+'15-3'!L88+'16-3'!L88+'17-3'!L88+'18-3'!L88+'19-3'!L88+'21-3'!L88+'22-3'!L88+'24-3'!L88+'25-3'!L88+'28-3'!L88+'29-3'!L88+'30-3'!L88+'32-3'!L88+'35-3'!L88+'37-3'!L88+'47-3'!L88+'62-3'!L88+'64-3'!L88+'74-3'!L88</f>
        <v>0</v>
      </c>
      <c r="M342" s="106">
        <f>'01-3'!M88+'02-3'!M88+'03-3'!M88+'04-3'!M88+'05-3'!M88+'08-3'!M88+'09-3'!M88+'10-3'!M88+'11-3'!M88+'12-3'!M88+'13-3'!M88+'14-3'!M88+'15-3'!M88+'16-3'!M88+'17-3'!M88+'18-3'!M88+'19-3'!M88+'21-3'!M88+'22-3'!M88+'24-3'!M88+'25-3'!M88+'28-3'!M88+'29-3'!M88+'30-3'!M88+'32-3'!M88+'35-3'!M88+'37-3'!M88+'47-3'!M88+'62-3'!M88+'64-3'!M88+'74-3'!M88</f>
        <v>0</v>
      </c>
      <c r="N342" s="106">
        <f>'01-3'!N88+'02-3'!N88+'03-3'!N88+'04-3'!N88+'05-3'!N88+'08-3'!N88+'09-3'!N88+'10-3'!N88+'11-3'!N88+'12-3'!N88+'13-3'!N88+'14-3'!N88+'15-3'!N88+'16-3'!N88+'17-3'!N88+'18-3'!N88+'19-3'!N88+'21-3'!N88+'22-3'!N88+'24-3'!N88+'25-3'!N88+'28-3'!N88+'29-3'!N88+'30-3'!N88+'32-3'!N88+'35-3'!N88+'37-3'!N88+'47-3'!N88+'62-3'!N88+'64-3'!N88+'74-3'!N88</f>
        <v>0</v>
      </c>
      <c r="O342" s="106">
        <f>'01-3'!O88+'02-3'!O88+'03-3'!O88+'04-3'!O88+'05-3'!O88+'08-3'!O88+'09-3'!O88+'10-3'!O88+'11-3'!O88+'12-3'!O88+'13-3'!O88+'14-3'!O88+'15-3'!O88+'16-3'!O88+'17-3'!O88+'18-3'!O88+'19-3'!O88+'21-3'!O88+'22-3'!O88+'24-3'!O88+'25-3'!O88+'28-3'!O88+'29-3'!O88+'30-3'!O88+'32-3'!O88+'35-3'!O88+'37-3'!O88+'47-3'!O88+'62-3'!O88+'64-3'!O88+'74-3'!O88</f>
        <v>0</v>
      </c>
      <c r="P342" s="106">
        <f>'01-3'!P88+'02-3'!P88+'03-3'!P88+'04-3'!P88+'05-3'!P88+'08-3'!P88+'09-3'!P88+'10-3'!P88+'11-3'!P88+'12-3'!P88+'13-3'!P88+'14-3'!P88+'15-3'!P88+'16-3'!P88+'17-3'!P88+'18-3'!P88+'19-3'!P88+'21-3'!P88+'22-3'!P88+'24-3'!P88+'25-3'!P88+'28-3'!P88+'29-3'!P88+'30-3'!P88+'32-3'!P88+'35-3'!P88+'37-3'!P88+'47-3'!P88+'62-3'!P88+'64-3'!P88+'74-3'!P88</f>
        <v>0</v>
      </c>
      <c r="Q342" s="106">
        <f>'01-3'!Q88+'02-3'!Q88+'03-3'!Q88+'04-3'!Q88+'05-3'!Q88+'08-3'!Q88+'09-3'!Q88+'10-3'!Q88+'11-3'!Q88+'12-3'!Q88+'13-3'!Q88+'14-3'!Q88+'15-3'!Q88+'16-3'!Q88+'17-3'!Q88+'18-3'!Q88+'19-3'!Q88+'21-3'!Q88+'22-3'!Q88+'24-3'!Q88+'25-3'!Q88+'28-3'!Q88+'29-3'!Q88+'30-3'!Q88+'32-3'!Q88+'35-3'!Q88+'37-3'!Q88+'47-3'!Q88+'62-3'!Q88+'64-3'!Q88+'74-3'!Q88</f>
        <v>0</v>
      </c>
      <c r="R342" s="106">
        <f>'01-3'!R88+'02-3'!R88+'03-3'!R88+'04-3'!R88+'05-3'!R88+'08-3'!R88+'09-3'!R88+'10-3'!R88+'11-3'!R88+'12-3'!R88+'13-3'!R88+'14-3'!R88+'15-3'!R88+'16-3'!R88+'17-3'!R88+'18-3'!R88+'19-3'!R88+'21-3'!R88+'22-3'!R88+'24-3'!R88+'25-3'!R88+'28-3'!R88+'29-3'!R88+'30-3'!R88+'32-3'!R88+'35-3'!R88+'37-3'!R88+'47-3'!R88+'62-3'!R88+'64-3'!R88+'74-3'!R88</f>
        <v>0</v>
      </c>
      <c r="S342" s="954"/>
      <c r="T342" s="954"/>
      <c r="U342" s="954"/>
      <c r="V342" s="954"/>
      <c r="W342" s="954"/>
    </row>
    <row r="343" spans="1:23" s="6" customFormat="1" ht="12">
      <c r="A343" s="144" t="s">
        <v>62</v>
      </c>
      <c r="B343" s="101" t="s">
        <v>63</v>
      </c>
      <c r="C343" s="106">
        <f>'01-3'!C89+'02-3'!C89+'03-3'!C89+'04-3'!C89+'05-3'!C89+'08-3'!C89+'09-3'!C89+'10-3'!C89+'11-3'!C89+'12-3'!C89+'13-3'!C89+'14-3'!C89+'15-3'!C89+'16-3'!C89+'17-3'!C89+'18-3'!C89+'19-3'!C89+'21-3'!C89+'22-3'!C89+'24-3'!C89+'25-3'!C89+'28-3'!C89+'29-3'!C89+'30-3'!C89+'32-3'!C89+'35-3'!C89+'37-3'!C89+'47-3'!C89+'62-3'!C89+'64-3'!C89+'74-3'!C89</f>
        <v>14344866</v>
      </c>
      <c r="D343" s="106">
        <f>'01-3'!D89+'02-3'!D89+'03-3'!D89+'04-3'!D89+'05-3'!D89+'08-3'!D89+'09-3'!D89+'10-3'!D89+'11-3'!D89+'12-3'!D89+'13-3'!D89+'14-3'!D89+'15-3'!D89+'16-3'!D89+'17-3'!D89+'18-3'!D89+'19-3'!D89+'21-3'!D89+'22-3'!D89+'24-3'!D89+'25-3'!D89+'28-3'!D89+'29-3'!D89+'30-3'!D89+'32-3'!D89+'35-3'!D89+'37-3'!D89+'47-3'!D89+'62-3'!D89+'64-3'!D89+'74-3'!D89</f>
        <v>3272251</v>
      </c>
      <c r="E343" s="106">
        <f>'01-3'!E89+'02-3'!E89+'03-3'!E89+'04-3'!E89+'05-3'!E89+'08-3'!E89+'09-3'!E89+'10-3'!E89+'11-3'!E89+'12-3'!E89+'13-3'!E89+'14-3'!E89+'15-3'!E89+'16-3'!E89+'17-3'!E89+'18-3'!E89+'19-3'!E89+'21-3'!E89+'22-3'!E89+'24-3'!E89+'25-3'!E89+'28-3'!E89+'29-3'!E89+'30-3'!E89+'32-3'!E89+'35-3'!E89+'37-3'!E89+'47-3'!E89+'62-3'!E89+'64-3'!E89+'74-3'!E89</f>
        <v>0</v>
      </c>
      <c r="F343" s="106">
        <f>'01-3'!F89+'02-3'!F89+'03-3'!F89+'04-3'!F89+'05-3'!F89+'08-3'!F89+'09-3'!F89+'10-3'!F89+'11-3'!F89+'12-3'!F89+'13-3'!F89+'14-3'!F89+'15-3'!F89+'16-3'!F89+'17-3'!F89+'18-3'!F89+'19-3'!F89+'21-3'!F89+'22-3'!F89+'24-3'!F89+'25-3'!F89+'28-3'!F89+'29-3'!F89+'30-3'!F89+'32-3'!F89+'35-3'!F89+'37-3'!F89+'47-3'!F89+'62-3'!F89+'64-3'!F89+'74-3'!F89</f>
        <v>-14355</v>
      </c>
      <c r="G343" s="106">
        <f>'01-3'!G89+'02-3'!G89+'03-3'!G89+'04-3'!G89+'05-3'!G89+'08-3'!G89+'09-3'!G89+'10-3'!G89+'11-3'!G89+'12-3'!G89+'13-3'!G89+'14-3'!G89+'15-3'!G89+'16-3'!G89+'17-3'!G89+'18-3'!G89+'19-3'!G89+'21-3'!G89+'22-3'!G89+'24-3'!G89+'25-3'!G89+'28-3'!G89+'29-3'!G89+'30-3'!G89+'32-3'!G89+'35-3'!G89+'37-3'!G89+'47-3'!G89+'62-3'!G89+'64-3'!G89+'74-3'!G89</f>
        <v>90000</v>
      </c>
      <c r="H343" s="106">
        <f>'01-3'!H89+'02-3'!H89+'03-3'!H89+'04-3'!H89+'05-3'!H89+'08-3'!H89+'09-3'!H89+'10-3'!H89+'11-3'!H89+'12-3'!H89+'13-3'!H89+'14-3'!H89+'15-3'!H89+'16-3'!H89+'17-3'!H89+'18-3'!H89+'19-3'!H89+'21-3'!H89+'22-3'!H89+'24-3'!H89+'25-3'!H89+'28-3'!H89+'29-3'!H89+'30-3'!H89+'32-3'!H89+'35-3'!H89+'37-3'!H89+'47-3'!H89+'62-3'!H89+'64-3'!H89+'74-3'!H89</f>
        <v>3347896</v>
      </c>
      <c r="I343" s="106">
        <f>'01-3'!I89+'02-3'!I89+'03-3'!I89+'04-3'!I89+'05-3'!I89+'08-3'!I89+'09-3'!I89+'10-3'!I89+'11-3'!I89+'12-3'!I89+'13-3'!I89+'14-3'!I89+'15-3'!I89+'16-3'!I89+'17-3'!I89+'18-3'!I89+'19-3'!I89+'21-3'!I89+'22-3'!I89+'24-3'!I89+'25-3'!I89+'28-3'!I89+'29-3'!I89+'30-3'!I89+'32-3'!I89+'35-3'!I89+'37-3'!I89+'47-3'!I89+'62-3'!I89+'64-3'!I89+'74-3'!I89</f>
        <v>487780</v>
      </c>
      <c r="J343" s="106">
        <f>'01-3'!J89+'02-3'!J89+'03-3'!J89+'04-3'!J89+'05-3'!J89+'08-3'!J89+'09-3'!J89+'10-3'!J89+'11-3'!J89+'12-3'!J89+'13-3'!J89+'14-3'!J89+'15-3'!J89+'16-3'!J89+'17-3'!J89+'18-3'!J89+'19-3'!J89+'21-3'!J89+'22-3'!J89+'24-3'!J89+'25-3'!J89+'28-3'!J89+'29-3'!J89+'30-3'!J89+'32-3'!J89+'35-3'!J89+'37-3'!J89+'47-3'!J89+'62-3'!J89+'64-3'!J89+'74-3'!J89</f>
        <v>0</v>
      </c>
      <c r="K343" s="106">
        <f>'01-3'!K89+'02-3'!K89+'03-3'!K89+'04-3'!K89+'05-3'!K89+'08-3'!K89+'09-3'!K89+'10-3'!K89+'11-3'!K89+'12-3'!K89+'13-3'!K89+'14-3'!K89+'15-3'!K89+'16-3'!K89+'17-3'!K89+'18-3'!K89+'19-3'!K89+'21-3'!K89+'22-3'!K89+'24-3'!K89+'25-3'!K89+'28-3'!K89+'29-3'!K89+'30-3'!K89+'32-3'!K89+'35-3'!K89+'37-3'!K89+'47-3'!K89+'62-3'!K89+'64-3'!K89+'74-3'!K89</f>
        <v>-14355</v>
      </c>
      <c r="L343" s="106">
        <f>'01-3'!L89+'02-3'!L89+'03-3'!L89+'04-3'!L89+'05-3'!L89+'08-3'!L89+'09-3'!L89+'10-3'!L89+'11-3'!L89+'12-3'!L89+'13-3'!L89+'14-3'!L89+'15-3'!L89+'16-3'!L89+'17-3'!L89+'18-3'!L89+'19-3'!L89+'21-3'!L89+'22-3'!L89+'24-3'!L89+'25-3'!L89+'28-3'!L89+'29-3'!L89+'30-3'!L89+'32-3'!L89+'35-3'!L89+'37-3'!L89+'47-3'!L89+'62-3'!L89+'64-3'!L89+'74-3'!L89</f>
        <v>7686</v>
      </c>
      <c r="M343" s="106">
        <f>'01-3'!M89+'02-3'!M89+'03-3'!M89+'04-3'!M89+'05-3'!M89+'08-3'!M89+'09-3'!M89+'10-3'!M89+'11-3'!M89+'12-3'!M89+'13-3'!M89+'14-3'!M89+'15-3'!M89+'16-3'!M89+'17-3'!M89+'18-3'!M89+'19-3'!M89+'21-3'!M89+'22-3'!M89+'24-3'!M89+'25-3'!M89+'28-3'!M89+'29-3'!M89+'30-3'!M89+'32-3'!M89+'35-3'!M89+'37-3'!M89+'47-3'!M89+'62-3'!M89+'64-3'!M89+'74-3'!M89</f>
        <v>481111</v>
      </c>
      <c r="N343" s="106">
        <f>'01-3'!N89+'02-3'!N89+'03-3'!N89+'04-3'!N89+'05-3'!N89+'08-3'!N89+'09-3'!N89+'10-3'!N89+'11-3'!N89+'12-3'!N89+'13-3'!N89+'14-3'!N89+'15-3'!N89+'16-3'!N89+'17-3'!N89+'18-3'!N89+'19-3'!N89+'21-3'!N89+'22-3'!N89+'24-3'!N89+'25-3'!N89+'28-3'!N89+'29-3'!N89+'30-3'!N89+'32-3'!N89+'35-3'!N89+'37-3'!N89+'47-3'!N89+'62-3'!N89+'64-3'!N89+'74-3'!N89</f>
        <v>482280</v>
      </c>
      <c r="O343" s="106">
        <f>'01-3'!O89+'02-3'!O89+'03-3'!O89+'04-3'!O89+'05-3'!O89+'08-3'!O89+'09-3'!O89+'10-3'!O89+'11-3'!O89+'12-3'!O89+'13-3'!O89+'14-3'!O89+'15-3'!O89+'16-3'!O89+'17-3'!O89+'18-3'!O89+'19-3'!O89+'21-3'!O89+'22-3'!O89+'24-3'!O89+'25-3'!O89+'28-3'!O89+'29-3'!O89+'30-3'!O89+'32-3'!O89+'35-3'!O89+'37-3'!O89+'47-3'!O89+'62-3'!O89+'64-3'!O89+'74-3'!O89</f>
        <v>0</v>
      </c>
      <c r="P343" s="106">
        <f>'01-3'!P89+'02-3'!P89+'03-3'!P89+'04-3'!P89+'05-3'!P89+'08-3'!P89+'09-3'!P89+'10-3'!P89+'11-3'!P89+'12-3'!P89+'13-3'!P89+'14-3'!P89+'15-3'!P89+'16-3'!P89+'17-3'!P89+'18-3'!P89+'19-3'!P89+'21-3'!P89+'22-3'!P89+'24-3'!P89+'25-3'!P89+'28-3'!P89+'29-3'!P89+'30-3'!P89+'32-3'!P89+'35-3'!P89+'37-3'!P89+'47-3'!P89+'62-3'!P89+'64-3'!P89+'74-3'!P89</f>
        <v>-14355</v>
      </c>
      <c r="Q343" s="106">
        <f>'01-3'!Q89+'02-3'!Q89+'03-3'!Q89+'04-3'!Q89+'05-3'!Q89+'08-3'!Q89+'09-3'!Q89+'10-3'!Q89+'11-3'!Q89+'12-3'!Q89+'13-3'!Q89+'14-3'!Q89+'15-3'!Q89+'16-3'!Q89+'17-3'!Q89+'18-3'!Q89+'19-3'!Q89+'21-3'!Q89+'22-3'!Q89+'24-3'!Q89+'25-3'!Q89+'28-3'!Q89+'29-3'!Q89+'30-3'!Q89+'32-3'!Q89+'35-3'!Q89+'37-3'!Q89+'47-3'!Q89+'62-3'!Q89+'64-3'!Q89+'74-3'!Q89</f>
        <v>0</v>
      </c>
      <c r="R343" s="106">
        <f>'01-3'!R89+'02-3'!R89+'03-3'!R89+'04-3'!R89+'05-3'!R89+'08-3'!R89+'09-3'!R89+'10-3'!R89+'11-3'!R89+'12-3'!R89+'13-3'!R89+'14-3'!R89+'15-3'!R89+'16-3'!R89+'17-3'!R89+'18-3'!R89+'19-3'!R89+'21-3'!R89+'22-3'!R89+'24-3'!R89+'25-3'!R89+'28-3'!R89+'29-3'!R89+'30-3'!R89+'32-3'!R89+'35-3'!R89+'37-3'!R89+'47-3'!R89+'62-3'!R89+'64-3'!R89+'74-3'!R89</f>
        <v>467925</v>
      </c>
      <c r="S343" s="954"/>
      <c r="T343" s="954"/>
      <c r="U343" s="954"/>
      <c r="V343" s="954"/>
      <c r="W343" s="954"/>
    </row>
    <row r="344" spans="1:23" s="6" customFormat="1" ht="36">
      <c r="A344" s="144" t="s">
        <v>64</v>
      </c>
      <c r="B344" s="112" t="s">
        <v>65</v>
      </c>
      <c r="C344" s="106">
        <f>'01-3'!C90+'02-3'!C90+'03-3'!C90+'04-3'!C90+'05-3'!C90+'08-3'!C90+'09-3'!C90+'10-3'!C90+'11-3'!C90+'12-3'!C90+'13-3'!C90+'14-3'!C90+'15-3'!C90+'16-3'!C90+'17-3'!C90+'18-3'!C90+'19-3'!C90+'21-3'!C90+'22-3'!C90+'24-3'!C90+'25-3'!C90+'28-3'!C90+'29-3'!C90+'30-3'!C90+'32-3'!C90+'35-3'!C90+'37-3'!C90+'47-3'!C90+'62-3'!C90+'64-3'!C90+'74-3'!C90</f>
        <v>2254762</v>
      </c>
      <c r="D344" s="106">
        <f>'01-3'!D90+'02-3'!D90+'03-3'!D90+'04-3'!D90+'05-3'!D90+'08-3'!D90+'09-3'!D90+'10-3'!D90+'11-3'!D90+'12-3'!D90+'13-3'!D90+'14-3'!D90+'15-3'!D90+'16-3'!D90+'17-3'!D90+'18-3'!D90+'19-3'!D90+'21-3'!D90+'22-3'!D90+'24-3'!D90+'25-3'!D90+'28-3'!D90+'29-3'!D90+'30-3'!D90+'32-3'!D90+'35-3'!D90+'37-3'!D90+'47-3'!D90+'62-3'!D90+'64-3'!D90+'74-3'!D90</f>
        <v>1055751</v>
      </c>
      <c r="E344" s="106">
        <f>'01-3'!E90+'02-3'!E90+'03-3'!E90+'04-3'!E90+'05-3'!E90+'08-3'!E90+'09-3'!E90+'10-3'!E90+'11-3'!E90+'12-3'!E90+'13-3'!E90+'14-3'!E90+'15-3'!E90+'16-3'!E90+'17-3'!E90+'18-3'!E90+'19-3'!E90+'21-3'!E90+'22-3'!E90+'24-3'!E90+'25-3'!E90+'28-3'!E90+'29-3'!E90+'30-3'!E90+'32-3'!E90+'35-3'!E90+'37-3'!E90+'47-3'!E90+'62-3'!E90+'64-3'!E90+'74-3'!E90</f>
        <v>0</v>
      </c>
      <c r="F344" s="106">
        <f>'01-3'!F90+'02-3'!F90+'03-3'!F90+'04-3'!F90+'05-3'!F90+'08-3'!F90+'09-3'!F90+'10-3'!F90+'11-3'!F90+'12-3'!F90+'13-3'!F90+'14-3'!F90+'15-3'!F90+'16-3'!F90+'17-3'!F90+'18-3'!F90+'19-3'!F90+'21-3'!F90+'22-3'!F90+'24-3'!F90+'25-3'!F90+'28-3'!F90+'29-3'!F90+'30-3'!F90+'32-3'!F90+'35-3'!F90+'37-3'!F90+'47-3'!F90+'62-3'!F90+'64-3'!F90+'74-3'!F90</f>
        <v>-14355</v>
      </c>
      <c r="G344" s="106">
        <f>'01-3'!G90+'02-3'!G90+'03-3'!G90+'04-3'!G90+'05-3'!G90+'08-3'!G90+'09-3'!G90+'10-3'!G90+'11-3'!G90+'12-3'!G90+'13-3'!G90+'14-3'!G90+'15-3'!G90+'16-3'!G90+'17-3'!G90+'18-3'!G90+'19-3'!G90+'21-3'!G90+'22-3'!G90+'24-3'!G90+'25-3'!G90+'28-3'!G90+'29-3'!G90+'30-3'!G90+'32-3'!G90+'35-3'!G90+'37-3'!G90+'47-3'!G90+'62-3'!G90+'64-3'!G90+'74-3'!G90</f>
        <v>90000</v>
      </c>
      <c r="H344" s="106">
        <f>'01-3'!H90+'02-3'!H90+'03-3'!H90+'04-3'!H90+'05-3'!H90+'08-3'!H90+'09-3'!H90+'10-3'!H90+'11-3'!H90+'12-3'!H90+'13-3'!H90+'14-3'!H90+'15-3'!H90+'16-3'!H90+'17-3'!H90+'18-3'!H90+'19-3'!H90+'21-3'!H90+'22-3'!H90+'24-3'!H90+'25-3'!H90+'28-3'!H90+'29-3'!H90+'30-3'!H90+'32-3'!H90+'35-3'!H90+'37-3'!H90+'47-3'!H90+'62-3'!H90+'64-3'!H90+'74-3'!H90</f>
        <v>1131396</v>
      </c>
      <c r="I344" s="106">
        <f>'01-3'!I90+'02-3'!I90+'03-3'!I90+'04-3'!I90+'05-3'!I90+'08-3'!I90+'09-3'!I90+'10-3'!I90+'11-3'!I90+'12-3'!I90+'13-3'!I90+'14-3'!I90+'15-3'!I90+'16-3'!I90+'17-3'!I90+'18-3'!I90+'19-3'!I90+'21-3'!I90+'22-3'!I90+'24-3'!I90+'25-3'!I90+'28-3'!I90+'29-3'!I90+'30-3'!I90+'32-3'!I90+'35-3'!I90+'37-3'!I90+'47-3'!I90+'62-3'!I90+'64-3'!I90+'74-3'!I90</f>
        <v>482280</v>
      </c>
      <c r="J344" s="106">
        <f>'01-3'!J90+'02-3'!J90+'03-3'!J90+'04-3'!J90+'05-3'!J90+'08-3'!J90+'09-3'!J90+'10-3'!J90+'11-3'!J90+'12-3'!J90+'13-3'!J90+'14-3'!J90+'15-3'!J90+'16-3'!J90+'17-3'!J90+'18-3'!J90+'19-3'!J90+'21-3'!J90+'22-3'!J90+'24-3'!J90+'25-3'!J90+'28-3'!J90+'29-3'!J90+'30-3'!J90+'32-3'!J90+'35-3'!J90+'37-3'!J90+'47-3'!J90+'62-3'!J90+'64-3'!J90+'74-3'!J90</f>
        <v>0</v>
      </c>
      <c r="K344" s="106">
        <f>'01-3'!K90+'02-3'!K90+'03-3'!K90+'04-3'!K90+'05-3'!K90+'08-3'!K90+'09-3'!K90+'10-3'!K90+'11-3'!K90+'12-3'!K90+'13-3'!K90+'14-3'!K90+'15-3'!K90+'16-3'!K90+'17-3'!K90+'18-3'!K90+'19-3'!K90+'21-3'!K90+'22-3'!K90+'24-3'!K90+'25-3'!K90+'28-3'!K90+'29-3'!K90+'30-3'!K90+'32-3'!K90+'35-3'!K90+'37-3'!K90+'47-3'!K90+'62-3'!K90+'64-3'!K90+'74-3'!K90</f>
        <v>-14355</v>
      </c>
      <c r="L344" s="106">
        <f>'01-3'!L90+'02-3'!L90+'03-3'!L90+'04-3'!L90+'05-3'!L90+'08-3'!L90+'09-3'!L90+'10-3'!L90+'11-3'!L90+'12-3'!L90+'13-3'!L90+'14-3'!L90+'15-3'!L90+'16-3'!L90+'17-3'!L90+'18-3'!L90+'19-3'!L90+'21-3'!L90+'22-3'!L90+'24-3'!L90+'25-3'!L90+'28-3'!L90+'29-3'!L90+'30-3'!L90+'32-3'!L90+'35-3'!L90+'37-3'!L90+'47-3'!L90+'62-3'!L90+'64-3'!L90+'74-3'!L90</f>
        <v>7686</v>
      </c>
      <c r="M344" s="106">
        <f>'01-3'!M90+'02-3'!M90+'03-3'!M90+'04-3'!M90+'05-3'!M90+'08-3'!M90+'09-3'!M90+'10-3'!M90+'11-3'!M90+'12-3'!M90+'13-3'!M90+'14-3'!M90+'15-3'!M90+'16-3'!M90+'17-3'!M90+'18-3'!M90+'19-3'!M90+'21-3'!M90+'22-3'!M90+'24-3'!M90+'25-3'!M90+'28-3'!M90+'29-3'!M90+'30-3'!M90+'32-3'!M90+'35-3'!M90+'37-3'!M90+'47-3'!M90+'62-3'!M90+'64-3'!M90+'74-3'!M90</f>
        <v>475611</v>
      </c>
      <c r="N344" s="106">
        <f>'01-3'!N90+'02-3'!N90+'03-3'!N90+'04-3'!N90+'05-3'!N90+'08-3'!N90+'09-3'!N90+'10-3'!N90+'11-3'!N90+'12-3'!N90+'13-3'!N90+'14-3'!N90+'15-3'!N90+'16-3'!N90+'17-3'!N90+'18-3'!N90+'19-3'!N90+'21-3'!N90+'22-3'!N90+'24-3'!N90+'25-3'!N90+'28-3'!N90+'29-3'!N90+'30-3'!N90+'32-3'!N90+'35-3'!N90+'37-3'!N90+'47-3'!N90+'62-3'!N90+'64-3'!N90+'74-3'!N90</f>
        <v>482280</v>
      </c>
      <c r="O344" s="106">
        <f>'01-3'!O90+'02-3'!O90+'03-3'!O90+'04-3'!O90+'05-3'!O90+'08-3'!O90+'09-3'!O90+'10-3'!O90+'11-3'!O90+'12-3'!O90+'13-3'!O90+'14-3'!O90+'15-3'!O90+'16-3'!O90+'17-3'!O90+'18-3'!O90+'19-3'!O90+'21-3'!O90+'22-3'!O90+'24-3'!O90+'25-3'!O90+'28-3'!O90+'29-3'!O90+'30-3'!O90+'32-3'!O90+'35-3'!O90+'37-3'!O90+'47-3'!O90+'62-3'!O90+'64-3'!O90+'74-3'!O90</f>
        <v>0</v>
      </c>
      <c r="P344" s="106">
        <f>'01-3'!P90+'02-3'!P90+'03-3'!P90+'04-3'!P90+'05-3'!P90+'08-3'!P90+'09-3'!P90+'10-3'!P90+'11-3'!P90+'12-3'!P90+'13-3'!P90+'14-3'!P90+'15-3'!P90+'16-3'!P90+'17-3'!P90+'18-3'!P90+'19-3'!P90+'21-3'!P90+'22-3'!P90+'24-3'!P90+'25-3'!P90+'28-3'!P90+'29-3'!P90+'30-3'!P90+'32-3'!P90+'35-3'!P90+'37-3'!P90+'47-3'!P90+'62-3'!P90+'64-3'!P90+'74-3'!P90</f>
        <v>-14355</v>
      </c>
      <c r="Q344" s="106">
        <f>'01-3'!Q90+'02-3'!Q90+'03-3'!Q90+'04-3'!Q90+'05-3'!Q90+'08-3'!Q90+'09-3'!Q90+'10-3'!Q90+'11-3'!Q90+'12-3'!Q90+'13-3'!Q90+'14-3'!Q90+'15-3'!Q90+'16-3'!Q90+'17-3'!Q90+'18-3'!Q90+'19-3'!Q90+'21-3'!Q90+'22-3'!Q90+'24-3'!Q90+'25-3'!Q90+'28-3'!Q90+'29-3'!Q90+'30-3'!Q90+'32-3'!Q90+'35-3'!Q90+'37-3'!Q90+'47-3'!Q90+'62-3'!Q90+'64-3'!Q90+'74-3'!Q90</f>
        <v>0</v>
      </c>
      <c r="R344" s="106">
        <f>'01-3'!R90+'02-3'!R90+'03-3'!R90+'04-3'!R90+'05-3'!R90+'08-3'!R90+'09-3'!R90+'10-3'!R90+'11-3'!R90+'12-3'!R90+'13-3'!R90+'14-3'!R90+'15-3'!R90+'16-3'!R90+'17-3'!R90+'18-3'!R90+'19-3'!R90+'21-3'!R90+'22-3'!R90+'24-3'!R90+'25-3'!R90+'28-3'!R90+'29-3'!R90+'30-3'!R90+'32-3'!R90+'35-3'!R90+'37-3'!R90+'47-3'!R90+'62-3'!R90+'64-3'!R90+'74-3'!R90</f>
        <v>467925</v>
      </c>
      <c r="S344" s="954"/>
      <c r="T344" s="954"/>
      <c r="U344" s="954"/>
      <c r="V344" s="954"/>
      <c r="W344" s="954"/>
    </row>
    <row r="345" spans="1:23" s="6" customFormat="1" ht="24">
      <c r="A345" s="144" t="s">
        <v>66</v>
      </c>
      <c r="B345" s="112" t="s">
        <v>67</v>
      </c>
      <c r="C345" s="106">
        <f>'01-3'!C91+'02-3'!C91+'03-3'!C91+'04-3'!C91+'05-3'!C91+'08-3'!C91+'09-3'!C91+'10-3'!C91+'11-3'!C91+'12-3'!C91+'13-3'!C91+'14-3'!C91+'15-3'!C91+'16-3'!C91+'17-3'!C91+'18-3'!C91+'19-3'!C91+'21-3'!C91+'22-3'!C91+'24-3'!C91+'25-3'!C91+'28-3'!C91+'29-3'!C91+'30-3'!C91+'32-3'!C91+'35-3'!C91+'37-3'!C91+'47-3'!C91+'62-3'!C91+'64-3'!C91+'74-3'!C91</f>
        <v>12090104</v>
      </c>
      <c r="D345" s="106">
        <f>'01-3'!D91+'02-3'!D91+'03-3'!D91+'04-3'!D91+'05-3'!D91+'08-3'!D91+'09-3'!D91+'10-3'!D91+'11-3'!D91+'12-3'!D91+'13-3'!D91+'14-3'!D91+'15-3'!D91+'16-3'!D91+'17-3'!D91+'18-3'!D91+'19-3'!D91+'21-3'!D91+'22-3'!D91+'24-3'!D91+'25-3'!D91+'28-3'!D91+'29-3'!D91+'30-3'!D91+'32-3'!D91+'35-3'!D91+'37-3'!D91+'47-3'!D91+'62-3'!D91+'64-3'!D91+'74-3'!D91</f>
        <v>2216500</v>
      </c>
      <c r="E345" s="106">
        <f>'01-3'!E91+'02-3'!E91+'03-3'!E91+'04-3'!E91+'05-3'!E91+'08-3'!E91+'09-3'!E91+'10-3'!E91+'11-3'!E91+'12-3'!E91+'13-3'!E91+'14-3'!E91+'15-3'!E91+'16-3'!E91+'17-3'!E91+'18-3'!E91+'19-3'!E91+'21-3'!E91+'22-3'!E91+'24-3'!E91+'25-3'!E91+'28-3'!E91+'29-3'!E91+'30-3'!E91+'32-3'!E91+'35-3'!E91+'37-3'!E91+'47-3'!E91+'62-3'!E91+'64-3'!E91+'74-3'!E91</f>
        <v>0</v>
      </c>
      <c r="F345" s="106">
        <f>'01-3'!F91+'02-3'!F91+'03-3'!F91+'04-3'!F91+'05-3'!F91+'08-3'!F91+'09-3'!F91+'10-3'!F91+'11-3'!F91+'12-3'!F91+'13-3'!F91+'14-3'!F91+'15-3'!F91+'16-3'!F91+'17-3'!F91+'18-3'!F91+'19-3'!F91+'21-3'!F91+'22-3'!F91+'24-3'!F91+'25-3'!F91+'28-3'!F91+'29-3'!F91+'30-3'!F91+'32-3'!F91+'35-3'!F91+'37-3'!F91+'47-3'!F91+'62-3'!F91+'64-3'!F91+'74-3'!F91</f>
        <v>0</v>
      </c>
      <c r="G345" s="106">
        <f>'01-3'!G91+'02-3'!G91+'03-3'!G91+'04-3'!G91+'05-3'!G91+'08-3'!G91+'09-3'!G91+'10-3'!G91+'11-3'!G91+'12-3'!G91+'13-3'!G91+'14-3'!G91+'15-3'!G91+'16-3'!G91+'17-3'!G91+'18-3'!G91+'19-3'!G91+'21-3'!G91+'22-3'!G91+'24-3'!G91+'25-3'!G91+'28-3'!G91+'29-3'!G91+'30-3'!G91+'32-3'!G91+'35-3'!G91+'37-3'!G91+'47-3'!G91+'62-3'!G91+'64-3'!G91+'74-3'!G91</f>
        <v>0</v>
      </c>
      <c r="H345" s="106">
        <f>'01-3'!H91+'02-3'!H91+'03-3'!H91+'04-3'!H91+'05-3'!H91+'08-3'!H91+'09-3'!H91+'10-3'!H91+'11-3'!H91+'12-3'!H91+'13-3'!H91+'14-3'!H91+'15-3'!H91+'16-3'!H91+'17-3'!H91+'18-3'!H91+'19-3'!H91+'21-3'!H91+'22-3'!H91+'24-3'!H91+'25-3'!H91+'28-3'!H91+'29-3'!H91+'30-3'!H91+'32-3'!H91+'35-3'!H91+'37-3'!H91+'47-3'!H91+'62-3'!H91+'64-3'!H91+'74-3'!H91</f>
        <v>2216500</v>
      </c>
      <c r="I345" s="106">
        <f>'01-3'!I91+'02-3'!I91+'03-3'!I91+'04-3'!I91+'05-3'!I91+'08-3'!I91+'09-3'!I91+'10-3'!I91+'11-3'!I91+'12-3'!I91+'13-3'!I91+'14-3'!I91+'15-3'!I91+'16-3'!I91+'17-3'!I91+'18-3'!I91+'19-3'!I91+'21-3'!I91+'22-3'!I91+'24-3'!I91+'25-3'!I91+'28-3'!I91+'29-3'!I91+'30-3'!I91+'32-3'!I91+'35-3'!I91+'37-3'!I91+'47-3'!I91+'62-3'!I91+'64-3'!I91+'74-3'!I91</f>
        <v>5500</v>
      </c>
      <c r="J345" s="106">
        <f>'01-3'!J91+'02-3'!J91+'03-3'!J91+'04-3'!J91+'05-3'!J91+'08-3'!J91+'09-3'!J91+'10-3'!J91+'11-3'!J91+'12-3'!J91+'13-3'!J91+'14-3'!J91+'15-3'!J91+'16-3'!J91+'17-3'!J91+'18-3'!J91+'19-3'!J91+'21-3'!J91+'22-3'!J91+'24-3'!J91+'25-3'!J91+'28-3'!J91+'29-3'!J91+'30-3'!J91+'32-3'!J91+'35-3'!J91+'37-3'!J91+'47-3'!J91+'62-3'!J91+'64-3'!J91+'74-3'!J91</f>
        <v>0</v>
      </c>
      <c r="K345" s="106">
        <f>'01-3'!K91+'02-3'!K91+'03-3'!K91+'04-3'!K91+'05-3'!K91+'08-3'!K91+'09-3'!K91+'10-3'!K91+'11-3'!K91+'12-3'!K91+'13-3'!K91+'14-3'!K91+'15-3'!K91+'16-3'!K91+'17-3'!K91+'18-3'!K91+'19-3'!K91+'21-3'!K91+'22-3'!K91+'24-3'!K91+'25-3'!K91+'28-3'!K91+'29-3'!K91+'30-3'!K91+'32-3'!K91+'35-3'!K91+'37-3'!K91+'47-3'!K91+'62-3'!K91+'64-3'!K91+'74-3'!K91</f>
        <v>0</v>
      </c>
      <c r="L345" s="106">
        <f>'01-3'!L91+'02-3'!L91+'03-3'!L91+'04-3'!L91+'05-3'!L91+'08-3'!L91+'09-3'!L91+'10-3'!L91+'11-3'!L91+'12-3'!L91+'13-3'!L91+'14-3'!L91+'15-3'!L91+'16-3'!L91+'17-3'!L91+'18-3'!L91+'19-3'!L91+'21-3'!L91+'22-3'!L91+'24-3'!L91+'25-3'!L91+'28-3'!L91+'29-3'!L91+'30-3'!L91+'32-3'!L91+'35-3'!L91+'37-3'!L91+'47-3'!L91+'62-3'!L91+'64-3'!L91+'74-3'!L91</f>
        <v>0</v>
      </c>
      <c r="M345" s="106">
        <f>'01-3'!M91+'02-3'!M91+'03-3'!M91+'04-3'!M91+'05-3'!M91+'08-3'!M91+'09-3'!M91+'10-3'!M91+'11-3'!M91+'12-3'!M91+'13-3'!M91+'14-3'!M91+'15-3'!M91+'16-3'!M91+'17-3'!M91+'18-3'!M91+'19-3'!M91+'21-3'!M91+'22-3'!M91+'24-3'!M91+'25-3'!M91+'28-3'!M91+'29-3'!M91+'30-3'!M91+'32-3'!M91+'35-3'!M91+'37-3'!M91+'47-3'!M91+'62-3'!M91+'64-3'!M91+'74-3'!M91</f>
        <v>5500</v>
      </c>
      <c r="N345" s="106">
        <f>'01-3'!N91+'02-3'!N91+'03-3'!N91+'04-3'!N91+'05-3'!N91+'08-3'!N91+'09-3'!N91+'10-3'!N91+'11-3'!N91+'12-3'!N91+'13-3'!N91+'14-3'!N91+'15-3'!N91+'16-3'!N91+'17-3'!N91+'18-3'!N91+'19-3'!N91+'21-3'!N91+'22-3'!N91+'24-3'!N91+'25-3'!N91+'28-3'!N91+'29-3'!N91+'30-3'!N91+'32-3'!N91+'35-3'!N91+'37-3'!N91+'47-3'!N91+'62-3'!N91+'64-3'!N91+'74-3'!N91</f>
        <v>0</v>
      </c>
      <c r="O345" s="106">
        <f>'01-3'!O91+'02-3'!O91+'03-3'!O91+'04-3'!O91+'05-3'!O91+'08-3'!O91+'09-3'!O91+'10-3'!O91+'11-3'!O91+'12-3'!O91+'13-3'!O91+'14-3'!O91+'15-3'!O91+'16-3'!O91+'17-3'!O91+'18-3'!O91+'19-3'!O91+'21-3'!O91+'22-3'!O91+'24-3'!O91+'25-3'!O91+'28-3'!O91+'29-3'!O91+'30-3'!O91+'32-3'!O91+'35-3'!O91+'37-3'!O91+'47-3'!O91+'62-3'!O91+'64-3'!O91+'74-3'!O91</f>
        <v>0</v>
      </c>
      <c r="P345" s="106">
        <f>'01-3'!P91+'02-3'!P91+'03-3'!P91+'04-3'!P91+'05-3'!P91+'08-3'!P91+'09-3'!P91+'10-3'!P91+'11-3'!P91+'12-3'!P91+'13-3'!P91+'14-3'!P91+'15-3'!P91+'16-3'!P91+'17-3'!P91+'18-3'!P91+'19-3'!P91+'21-3'!P91+'22-3'!P91+'24-3'!P91+'25-3'!P91+'28-3'!P91+'29-3'!P91+'30-3'!P91+'32-3'!P91+'35-3'!P91+'37-3'!P91+'47-3'!P91+'62-3'!P91+'64-3'!P91+'74-3'!P91</f>
        <v>0</v>
      </c>
      <c r="Q345" s="106">
        <f>'01-3'!Q91+'02-3'!Q91+'03-3'!Q91+'04-3'!Q91+'05-3'!Q91+'08-3'!Q91+'09-3'!Q91+'10-3'!Q91+'11-3'!Q91+'12-3'!Q91+'13-3'!Q91+'14-3'!Q91+'15-3'!Q91+'16-3'!Q91+'17-3'!Q91+'18-3'!Q91+'19-3'!Q91+'21-3'!Q91+'22-3'!Q91+'24-3'!Q91+'25-3'!Q91+'28-3'!Q91+'29-3'!Q91+'30-3'!Q91+'32-3'!Q91+'35-3'!Q91+'37-3'!Q91+'47-3'!Q91+'62-3'!Q91+'64-3'!Q91+'74-3'!Q91</f>
        <v>0</v>
      </c>
      <c r="R345" s="106">
        <f>'01-3'!R91+'02-3'!R91+'03-3'!R91+'04-3'!R91+'05-3'!R91+'08-3'!R91+'09-3'!R91+'10-3'!R91+'11-3'!R91+'12-3'!R91+'13-3'!R91+'14-3'!R91+'15-3'!R91+'16-3'!R91+'17-3'!R91+'18-3'!R91+'19-3'!R91+'21-3'!R91+'22-3'!R91+'24-3'!R91+'25-3'!R91+'28-3'!R91+'29-3'!R91+'30-3'!R91+'32-3'!R91+'35-3'!R91+'37-3'!R91+'47-3'!R91+'62-3'!R91+'64-3'!R91+'74-3'!R91</f>
        <v>0</v>
      </c>
      <c r="S345" s="954"/>
      <c r="T345" s="954"/>
      <c r="U345" s="954"/>
      <c r="V345" s="954"/>
      <c r="W345" s="954"/>
    </row>
    <row r="346" spans="1:23" s="6" customFormat="1" ht="24" hidden="1">
      <c r="A346" s="144" t="s">
        <v>68</v>
      </c>
      <c r="B346" s="101" t="s">
        <v>69</v>
      </c>
      <c r="C346" s="106">
        <f>'01-3'!C92+'02-3'!C92+'03-3'!C92+'04-3'!C92+'05-3'!C92+'08-3'!C92+'09-3'!C92+'10-3'!C92+'11-3'!C92+'12-3'!C92+'13-3'!C92+'14-3'!C92+'15-3'!C92+'16-3'!C92+'17-3'!C92+'18-3'!C92+'19-3'!C92+'21-3'!C92+'22-3'!C92+'24-3'!C92+'25-3'!C92+'28-3'!C92+'29-3'!C92+'30-3'!C92+'32-3'!C92+'35-3'!C92+'37-3'!C92+'47-3'!C92+'62-3'!C92+'64-3'!C92+'74-3'!C92</f>
        <v>0</v>
      </c>
      <c r="D346" s="106">
        <f>'01-3'!D92+'02-3'!D92+'03-3'!D92+'04-3'!D92+'05-3'!D92+'08-3'!D92+'09-3'!D92+'10-3'!D92+'11-3'!D92+'12-3'!D92+'13-3'!D92+'14-3'!D92+'15-3'!D92+'16-3'!D92+'17-3'!D92+'18-3'!D92+'19-3'!D92+'21-3'!D92+'22-3'!D92+'24-3'!D92+'25-3'!D92+'28-3'!D92+'29-3'!D92+'30-3'!D92+'32-3'!D92+'35-3'!D92+'37-3'!D92+'47-3'!D92+'62-3'!D92+'64-3'!D92+'74-3'!D92</f>
        <v>0</v>
      </c>
      <c r="E346" s="106">
        <f>'01-3'!E92+'02-3'!E92+'03-3'!E92+'04-3'!E92+'05-3'!E92+'08-3'!E92+'09-3'!E92+'10-3'!E92+'11-3'!E92+'12-3'!E92+'13-3'!E92+'14-3'!E92+'15-3'!E92+'16-3'!E92+'17-3'!E92+'18-3'!E92+'19-3'!E92+'21-3'!E92+'22-3'!E92+'24-3'!E92+'25-3'!E92+'28-3'!E92+'29-3'!E92+'30-3'!E92+'32-3'!E92+'35-3'!E92+'37-3'!E92+'47-3'!E92+'62-3'!E92+'64-3'!E92+'74-3'!E92</f>
        <v>0</v>
      </c>
      <c r="F346" s="106">
        <f>'01-3'!F92+'02-3'!F92+'03-3'!F92+'04-3'!F92+'05-3'!F92+'08-3'!F92+'09-3'!F92+'10-3'!F92+'11-3'!F92+'12-3'!F92+'13-3'!F92+'14-3'!F92+'15-3'!F92+'16-3'!F92+'17-3'!F92+'18-3'!F92+'19-3'!F92+'21-3'!F92+'22-3'!F92+'24-3'!F92+'25-3'!F92+'28-3'!F92+'29-3'!F92+'30-3'!F92+'32-3'!F92+'35-3'!F92+'37-3'!F92+'47-3'!F92+'62-3'!F92+'64-3'!F92+'74-3'!F92</f>
        <v>0</v>
      </c>
      <c r="G346" s="106">
        <f>'01-3'!G92+'02-3'!G92+'03-3'!G92+'04-3'!G92+'05-3'!G92+'08-3'!G92+'09-3'!G92+'10-3'!G92+'11-3'!G92+'12-3'!G92+'13-3'!G92+'14-3'!G92+'15-3'!G92+'16-3'!G92+'17-3'!G92+'18-3'!G92+'19-3'!G92+'21-3'!G92+'22-3'!G92+'24-3'!G92+'25-3'!G92+'28-3'!G92+'29-3'!G92+'30-3'!G92+'32-3'!G92+'35-3'!G92+'37-3'!G92+'47-3'!G92+'62-3'!G92+'64-3'!G92+'74-3'!G92</f>
        <v>0</v>
      </c>
      <c r="H346" s="106">
        <f>'01-3'!H92+'02-3'!H92+'03-3'!H92+'04-3'!H92+'05-3'!H92+'08-3'!H92+'09-3'!H92+'10-3'!H92+'11-3'!H92+'12-3'!H92+'13-3'!H92+'14-3'!H92+'15-3'!H92+'16-3'!H92+'17-3'!H92+'18-3'!H92+'19-3'!H92+'21-3'!H92+'22-3'!H92+'24-3'!H92+'25-3'!H92+'28-3'!H92+'29-3'!H92+'30-3'!H92+'32-3'!H92+'35-3'!H92+'37-3'!H92+'47-3'!H92+'62-3'!H92+'64-3'!H92+'74-3'!H92</f>
        <v>0</v>
      </c>
      <c r="I346" s="106">
        <f>'01-3'!I92+'02-3'!I92+'03-3'!I92+'04-3'!I92+'05-3'!I92+'08-3'!I92+'09-3'!I92+'10-3'!I92+'11-3'!I92+'12-3'!I92+'13-3'!I92+'14-3'!I92+'15-3'!I92+'16-3'!I92+'17-3'!I92+'18-3'!I92+'19-3'!I92+'21-3'!I92+'22-3'!I92+'24-3'!I92+'25-3'!I92+'28-3'!I92+'29-3'!I92+'30-3'!I92+'32-3'!I92+'35-3'!I92+'37-3'!I92+'47-3'!I92+'62-3'!I92+'64-3'!I92+'74-3'!I92</f>
        <v>0</v>
      </c>
      <c r="J346" s="106">
        <f>'01-3'!J92+'02-3'!J92+'03-3'!J92+'04-3'!J92+'05-3'!J92+'08-3'!J92+'09-3'!J92+'10-3'!J92+'11-3'!J92+'12-3'!J92+'13-3'!J92+'14-3'!J92+'15-3'!J92+'16-3'!J92+'17-3'!J92+'18-3'!J92+'19-3'!J92+'21-3'!J92+'22-3'!J92+'24-3'!J92+'25-3'!J92+'28-3'!J92+'29-3'!J92+'30-3'!J92+'32-3'!J92+'35-3'!J92+'37-3'!J92+'47-3'!J92+'62-3'!J92+'64-3'!J92+'74-3'!J92</f>
        <v>0</v>
      </c>
      <c r="K346" s="106">
        <f>'01-3'!K92+'02-3'!K92+'03-3'!K92+'04-3'!K92+'05-3'!K92+'08-3'!K92+'09-3'!K92+'10-3'!K92+'11-3'!K92+'12-3'!K92+'13-3'!K92+'14-3'!K92+'15-3'!K92+'16-3'!K92+'17-3'!K92+'18-3'!K92+'19-3'!K92+'21-3'!K92+'22-3'!K92+'24-3'!K92+'25-3'!K92+'28-3'!K92+'29-3'!K92+'30-3'!K92+'32-3'!K92+'35-3'!K92+'37-3'!K92+'47-3'!K92+'62-3'!K92+'64-3'!K92+'74-3'!K92</f>
        <v>0</v>
      </c>
      <c r="L346" s="106">
        <f>'01-3'!L92+'02-3'!L92+'03-3'!L92+'04-3'!L92+'05-3'!L92+'08-3'!L92+'09-3'!L92+'10-3'!L92+'11-3'!L92+'12-3'!L92+'13-3'!L92+'14-3'!L92+'15-3'!L92+'16-3'!L92+'17-3'!L92+'18-3'!L92+'19-3'!L92+'21-3'!L92+'22-3'!L92+'24-3'!L92+'25-3'!L92+'28-3'!L92+'29-3'!L92+'30-3'!L92+'32-3'!L92+'35-3'!L92+'37-3'!L92+'47-3'!L92+'62-3'!L92+'64-3'!L92+'74-3'!L92</f>
        <v>0</v>
      </c>
      <c r="M346" s="106">
        <f>'01-3'!M92+'02-3'!M92+'03-3'!M92+'04-3'!M92+'05-3'!M92+'08-3'!M92+'09-3'!M92+'10-3'!M92+'11-3'!M92+'12-3'!M92+'13-3'!M92+'14-3'!M92+'15-3'!M92+'16-3'!M92+'17-3'!M92+'18-3'!M92+'19-3'!M92+'21-3'!M92+'22-3'!M92+'24-3'!M92+'25-3'!M92+'28-3'!M92+'29-3'!M92+'30-3'!M92+'32-3'!M92+'35-3'!M92+'37-3'!M92+'47-3'!M92+'62-3'!M92+'64-3'!M92+'74-3'!M92</f>
        <v>0</v>
      </c>
      <c r="N346" s="106">
        <f>'01-3'!N92+'02-3'!N92+'03-3'!N92+'04-3'!N92+'05-3'!N92+'08-3'!N92+'09-3'!N92+'10-3'!N92+'11-3'!N92+'12-3'!N92+'13-3'!N92+'14-3'!N92+'15-3'!N92+'16-3'!N92+'17-3'!N92+'18-3'!N92+'19-3'!N92+'21-3'!N92+'22-3'!N92+'24-3'!N92+'25-3'!N92+'28-3'!N92+'29-3'!N92+'30-3'!N92+'32-3'!N92+'35-3'!N92+'37-3'!N92+'47-3'!N92+'62-3'!N92+'64-3'!N92+'74-3'!N92</f>
        <v>0</v>
      </c>
      <c r="O346" s="106">
        <f>'01-3'!O92+'02-3'!O92+'03-3'!O92+'04-3'!O92+'05-3'!O92+'08-3'!O92+'09-3'!O92+'10-3'!O92+'11-3'!O92+'12-3'!O92+'13-3'!O92+'14-3'!O92+'15-3'!O92+'16-3'!O92+'17-3'!O92+'18-3'!O92+'19-3'!O92+'21-3'!O92+'22-3'!O92+'24-3'!O92+'25-3'!O92+'28-3'!O92+'29-3'!O92+'30-3'!O92+'32-3'!O92+'35-3'!O92+'37-3'!O92+'47-3'!O92+'62-3'!O92+'64-3'!O92+'74-3'!O92</f>
        <v>0</v>
      </c>
      <c r="P346" s="106">
        <f>'01-3'!P92+'02-3'!P92+'03-3'!P92+'04-3'!P92+'05-3'!P92+'08-3'!P92+'09-3'!P92+'10-3'!P92+'11-3'!P92+'12-3'!P92+'13-3'!P92+'14-3'!P92+'15-3'!P92+'16-3'!P92+'17-3'!P92+'18-3'!P92+'19-3'!P92+'21-3'!P92+'22-3'!P92+'24-3'!P92+'25-3'!P92+'28-3'!P92+'29-3'!P92+'30-3'!P92+'32-3'!P92+'35-3'!P92+'37-3'!P92+'47-3'!P92+'62-3'!P92+'64-3'!P92+'74-3'!P92</f>
        <v>0</v>
      </c>
      <c r="Q346" s="106">
        <f>'01-3'!Q92+'02-3'!Q92+'03-3'!Q92+'04-3'!Q92+'05-3'!Q92+'08-3'!Q92+'09-3'!Q92+'10-3'!Q92+'11-3'!Q92+'12-3'!Q92+'13-3'!Q92+'14-3'!Q92+'15-3'!Q92+'16-3'!Q92+'17-3'!Q92+'18-3'!Q92+'19-3'!Q92+'21-3'!Q92+'22-3'!Q92+'24-3'!Q92+'25-3'!Q92+'28-3'!Q92+'29-3'!Q92+'30-3'!Q92+'32-3'!Q92+'35-3'!Q92+'37-3'!Q92+'47-3'!Q92+'62-3'!Q92+'64-3'!Q92+'74-3'!Q92</f>
        <v>0</v>
      </c>
      <c r="R346" s="106">
        <f>'01-3'!R92+'02-3'!R92+'03-3'!R92+'04-3'!R92+'05-3'!R92+'08-3'!R92+'09-3'!R92+'10-3'!R92+'11-3'!R92+'12-3'!R92+'13-3'!R92+'14-3'!R92+'15-3'!R92+'16-3'!R92+'17-3'!R92+'18-3'!R92+'19-3'!R92+'21-3'!R92+'22-3'!R92+'24-3'!R92+'25-3'!R92+'28-3'!R92+'29-3'!R92+'30-3'!R92+'32-3'!R92+'35-3'!R92+'37-3'!R92+'47-3'!R92+'62-3'!R92+'64-3'!R92+'74-3'!R92</f>
        <v>0</v>
      </c>
      <c r="S346" s="954"/>
      <c r="T346" s="954"/>
      <c r="U346" s="954"/>
      <c r="V346" s="954"/>
      <c r="W346" s="954"/>
    </row>
    <row r="347" spans="1:23" s="6" customFormat="1" ht="12">
      <c r="A347" s="145"/>
      <c r="B347" s="121" t="s">
        <v>199</v>
      </c>
      <c r="C347" s="122">
        <f>'01-3'!C93+'02-3'!C93+'03-3'!C93+'04-3'!C93+'05-3'!C93+'08-3'!C93+'09-3'!C93+'10-3'!C93+'11-3'!C93+'12-3'!C93+'13-3'!C93+'14-3'!C93+'15-3'!C93+'16-3'!C93+'17-3'!C93+'18-3'!C93+'19-3'!C93+'21-3'!C93+'22-3'!C93+'24-3'!C93+'25-3'!C93+'28-3'!C93+'29-3'!C93+'30-3'!C93+'32-3'!C93+'35-3'!C93+'37-3'!C93+'47-3'!C93+'62-3'!C93+'64-3'!C93+'74-3'!C93</f>
        <v>0</v>
      </c>
      <c r="D347" s="122">
        <f>'01-3'!D93+'02-3'!D93+'03-3'!D93+'04-3'!D93+'05-3'!D93+'08-3'!D93+'09-3'!D93+'10-3'!D93+'11-3'!D93+'12-3'!D93+'13-3'!D93+'14-3'!D93+'15-3'!D93+'16-3'!D93+'17-3'!D93+'18-3'!D93+'19-3'!D93+'21-3'!D93+'22-3'!D93+'24-3'!D93+'25-3'!D93+'28-3'!D93+'29-3'!D93+'30-3'!D93+'32-3'!D93+'35-3'!D93+'37-3'!D93+'47-3'!D93+'62-3'!D93+'64-3'!D93+'74-3'!D93</f>
        <v>0</v>
      </c>
      <c r="E347" s="122">
        <f>'01-3'!E93+'02-3'!E93+'03-3'!E93+'04-3'!E93+'05-3'!E93+'08-3'!E93+'09-3'!E93+'10-3'!E93+'11-3'!E93+'12-3'!E93+'13-3'!E93+'14-3'!E93+'15-3'!E93+'16-3'!E93+'17-3'!E93+'18-3'!E93+'19-3'!E93+'21-3'!E93+'22-3'!E93+'24-3'!E93+'25-3'!E93+'28-3'!E93+'29-3'!E93+'30-3'!E93+'32-3'!E93+'35-3'!E93+'37-3'!E93+'47-3'!E93+'62-3'!E93+'64-3'!E93+'74-3'!E93</f>
        <v>0</v>
      </c>
      <c r="F347" s="122">
        <f>'01-3'!F93+'02-3'!F93+'03-3'!F93+'04-3'!F93+'05-3'!F93+'08-3'!F93+'09-3'!F93+'10-3'!F93+'11-3'!F93+'12-3'!F93+'13-3'!F93+'14-3'!F93+'15-3'!F93+'16-3'!F93+'17-3'!F93+'18-3'!F93+'19-3'!F93+'21-3'!F93+'22-3'!F93+'24-3'!F93+'25-3'!F93+'28-3'!F93+'29-3'!F93+'30-3'!F93+'32-3'!F93+'35-3'!F93+'37-3'!F93+'47-3'!F93+'62-3'!F93+'64-3'!F93+'74-3'!F93</f>
        <v>0</v>
      </c>
      <c r="G347" s="122">
        <f>'01-3'!G93+'02-3'!G93+'03-3'!G93+'04-3'!G93+'05-3'!G93+'08-3'!G93+'09-3'!G93+'10-3'!G93+'11-3'!G93+'12-3'!G93+'13-3'!G93+'14-3'!G93+'15-3'!G93+'16-3'!G93+'17-3'!G93+'18-3'!G93+'19-3'!G93+'21-3'!G93+'22-3'!G93+'24-3'!G93+'25-3'!G93+'28-3'!G93+'29-3'!G93+'30-3'!G93+'32-3'!G93+'35-3'!G93+'37-3'!G93+'47-3'!G93+'62-3'!G93+'64-3'!G93+'74-3'!G93</f>
        <v>0</v>
      </c>
      <c r="H347" s="122">
        <f>'01-3'!H93+'02-3'!H93+'03-3'!H93+'04-3'!H93+'05-3'!H93+'08-3'!H93+'09-3'!H93+'10-3'!H93+'11-3'!H93+'12-3'!H93+'13-3'!H93+'14-3'!H93+'15-3'!H93+'16-3'!H93+'17-3'!H93+'18-3'!H93+'19-3'!H93+'21-3'!H93+'22-3'!H93+'24-3'!H93+'25-3'!H93+'28-3'!H93+'29-3'!H93+'30-3'!H93+'32-3'!H93+'35-3'!H93+'37-3'!H93+'47-3'!H93+'62-3'!H93+'64-3'!H93+'74-3'!H93</f>
        <v>0</v>
      </c>
      <c r="I347" s="122">
        <f>'01-3'!I93+'02-3'!I93+'03-3'!I93+'04-3'!I93+'05-3'!I93+'08-3'!I93+'09-3'!I93+'10-3'!I93+'11-3'!I93+'12-3'!I93+'13-3'!I93+'14-3'!I93+'15-3'!I93+'16-3'!I93+'17-3'!I93+'18-3'!I93+'19-3'!I93+'21-3'!I93+'22-3'!I93+'24-3'!I93+'25-3'!I93+'28-3'!I93+'29-3'!I93+'30-3'!I93+'32-3'!I93+'35-3'!I93+'37-3'!I93+'47-3'!I93+'62-3'!I93+'64-3'!I93+'74-3'!I93</f>
        <v>0</v>
      </c>
      <c r="J347" s="122">
        <f>'01-3'!J93+'02-3'!J93+'03-3'!J93+'04-3'!J93+'05-3'!J93+'08-3'!J93+'09-3'!J93+'10-3'!J93+'11-3'!J93+'12-3'!J93+'13-3'!J93+'14-3'!J93+'15-3'!J93+'16-3'!J93+'17-3'!J93+'18-3'!J93+'19-3'!J93+'21-3'!J93+'22-3'!J93+'24-3'!J93+'25-3'!J93+'28-3'!J93+'29-3'!J93+'30-3'!J93+'32-3'!J93+'35-3'!J93+'37-3'!J93+'47-3'!J93+'62-3'!J93+'64-3'!J93+'74-3'!J93</f>
        <v>0</v>
      </c>
      <c r="K347" s="122">
        <f>'01-3'!K93+'02-3'!K93+'03-3'!K93+'04-3'!K93+'05-3'!K93+'08-3'!K93+'09-3'!K93+'10-3'!K93+'11-3'!K93+'12-3'!K93+'13-3'!K93+'14-3'!K93+'15-3'!K93+'16-3'!K93+'17-3'!K93+'18-3'!K93+'19-3'!K93+'21-3'!K93+'22-3'!K93+'24-3'!K93+'25-3'!K93+'28-3'!K93+'29-3'!K93+'30-3'!K93+'32-3'!K93+'35-3'!K93+'37-3'!K93+'47-3'!K93+'62-3'!K93+'64-3'!K93+'74-3'!K93</f>
        <v>0</v>
      </c>
      <c r="L347" s="122">
        <f>'01-3'!L93+'02-3'!L93+'03-3'!L93+'04-3'!L93+'05-3'!L93+'08-3'!L93+'09-3'!L93+'10-3'!L93+'11-3'!L93+'12-3'!L93+'13-3'!L93+'14-3'!L93+'15-3'!L93+'16-3'!L93+'17-3'!L93+'18-3'!L93+'19-3'!L93+'21-3'!L93+'22-3'!L93+'24-3'!L93+'25-3'!L93+'28-3'!L93+'29-3'!L93+'30-3'!L93+'32-3'!L93+'35-3'!L93+'37-3'!L93+'47-3'!L93+'62-3'!L93+'64-3'!L93+'74-3'!L93</f>
        <v>0</v>
      </c>
      <c r="M347" s="122">
        <f>'01-3'!M93+'02-3'!M93+'03-3'!M93+'04-3'!M93+'05-3'!M93+'08-3'!M93+'09-3'!M93+'10-3'!M93+'11-3'!M93+'12-3'!M93+'13-3'!M93+'14-3'!M93+'15-3'!M93+'16-3'!M93+'17-3'!M93+'18-3'!M93+'19-3'!M93+'21-3'!M93+'22-3'!M93+'24-3'!M93+'25-3'!M93+'28-3'!M93+'29-3'!M93+'30-3'!M93+'32-3'!M93+'35-3'!M93+'37-3'!M93+'47-3'!M93+'62-3'!M93+'64-3'!M93+'74-3'!M93</f>
        <v>0</v>
      </c>
      <c r="N347" s="122">
        <f>'01-3'!N93+'02-3'!N93+'03-3'!N93+'04-3'!N93+'05-3'!N93+'08-3'!N93+'09-3'!N93+'10-3'!N93+'11-3'!N93+'12-3'!N93+'13-3'!N93+'14-3'!N93+'15-3'!N93+'16-3'!N93+'17-3'!N93+'18-3'!N93+'19-3'!N93+'21-3'!N93+'22-3'!N93+'24-3'!N93+'25-3'!N93+'28-3'!N93+'29-3'!N93+'30-3'!N93+'32-3'!N93+'35-3'!N93+'37-3'!N93+'47-3'!N93+'62-3'!N93+'64-3'!N93+'74-3'!N93</f>
        <v>0</v>
      </c>
      <c r="O347" s="122">
        <f>'01-3'!O93+'02-3'!O93+'03-3'!O93+'04-3'!O93+'05-3'!O93+'08-3'!O93+'09-3'!O93+'10-3'!O93+'11-3'!O93+'12-3'!O93+'13-3'!O93+'14-3'!O93+'15-3'!O93+'16-3'!O93+'17-3'!O93+'18-3'!O93+'19-3'!O93+'21-3'!O93+'22-3'!O93+'24-3'!O93+'25-3'!O93+'28-3'!O93+'29-3'!O93+'30-3'!O93+'32-3'!O93+'35-3'!O93+'37-3'!O93+'47-3'!O93+'62-3'!O93+'64-3'!O93+'74-3'!O93</f>
        <v>0</v>
      </c>
      <c r="P347" s="122">
        <f>'01-3'!P93+'02-3'!P93+'03-3'!P93+'04-3'!P93+'05-3'!P93+'08-3'!P93+'09-3'!P93+'10-3'!P93+'11-3'!P93+'12-3'!P93+'13-3'!P93+'14-3'!P93+'15-3'!P93+'16-3'!P93+'17-3'!P93+'18-3'!P93+'19-3'!P93+'21-3'!P93+'22-3'!P93+'24-3'!P93+'25-3'!P93+'28-3'!P93+'29-3'!P93+'30-3'!P93+'32-3'!P93+'35-3'!P93+'37-3'!P93+'47-3'!P93+'62-3'!P93+'64-3'!P93+'74-3'!P93</f>
        <v>0</v>
      </c>
      <c r="Q347" s="122">
        <f>'01-3'!Q93+'02-3'!Q93+'03-3'!Q93+'04-3'!Q93+'05-3'!Q93+'08-3'!Q93+'09-3'!Q93+'10-3'!Q93+'11-3'!Q93+'12-3'!Q93+'13-3'!Q93+'14-3'!Q93+'15-3'!Q93+'16-3'!Q93+'17-3'!Q93+'18-3'!Q93+'19-3'!Q93+'21-3'!Q93+'22-3'!Q93+'24-3'!Q93+'25-3'!Q93+'28-3'!Q93+'29-3'!Q93+'30-3'!Q93+'32-3'!Q93+'35-3'!Q93+'37-3'!Q93+'47-3'!Q93+'62-3'!Q93+'64-3'!Q93+'74-3'!Q93</f>
        <v>0</v>
      </c>
      <c r="R347" s="122">
        <f>'01-3'!R93+'02-3'!R93+'03-3'!R93+'04-3'!R93+'05-3'!R93+'08-3'!R93+'09-3'!R93+'10-3'!R93+'11-3'!R93+'12-3'!R93+'13-3'!R93+'14-3'!R93+'15-3'!R93+'16-3'!R93+'17-3'!R93+'18-3'!R93+'19-3'!R93+'21-3'!R93+'22-3'!R93+'24-3'!R93+'25-3'!R93+'28-3'!R93+'29-3'!R93+'30-3'!R93+'32-3'!R93+'35-3'!R93+'37-3'!R93+'47-3'!R93+'62-3'!R93+'64-3'!R93+'74-3'!R93</f>
        <v>0</v>
      </c>
      <c r="S347" s="954"/>
      <c r="T347" s="954"/>
      <c r="U347" s="954"/>
      <c r="V347" s="954"/>
      <c r="W347" s="954"/>
    </row>
    <row r="348" spans="1:23" s="6" customFormat="1" ht="20.399999999999999">
      <c r="A348" s="129" t="s">
        <v>201</v>
      </c>
      <c r="B348" s="99" t="s">
        <v>88</v>
      </c>
      <c r="C348" s="299">
        <f>'01-3'!C94+'02-3'!C94+'03-3'!C94+'04-3'!C94+'05-3'!C94+'08-3'!C94+'09-3'!C94+'10-3'!C94+'11-3'!C94+'12-3'!C94+'13-3'!C94+'14-3'!C94+'15-3'!C94+'16-3'!C94+'17-3'!C94+'18-3'!C94+'19-3'!C94+'21-3'!C94+'22-3'!C94+'24-3'!C94+'25-3'!C94+'28-3'!C94+'29-3'!C94+'30-3'!C94+'32-3'!C94+'35-3'!C94+'37-3'!C94+'47-3'!C94+'62-3'!C94+'64-3'!C94+'74-3'!C94</f>
        <v>2268011149</v>
      </c>
      <c r="D348" s="299">
        <f>'01-3'!D94+'02-3'!D94+'03-3'!D94+'04-3'!D94+'05-3'!D94+'08-3'!D94+'09-3'!D94+'10-3'!D94+'11-3'!D94+'12-3'!D94+'13-3'!D94+'14-3'!D94+'15-3'!D94+'16-3'!D94+'17-3'!D94+'18-3'!D94+'19-3'!D94+'21-3'!D94+'22-3'!D94+'24-3'!D94+'25-3'!D94+'28-3'!D94+'29-3'!D94+'30-3'!D94+'32-3'!D94+'35-3'!D94+'37-3'!D94+'47-3'!D94+'62-3'!D94+'64-3'!D94+'74-3'!D94</f>
        <v>2240184520</v>
      </c>
      <c r="E348" s="299">
        <f>'01-3'!E94+'02-3'!E94+'03-3'!E94+'04-3'!E94+'05-3'!E94+'08-3'!E94+'09-3'!E94+'10-3'!E94+'11-3'!E94+'12-3'!E94+'13-3'!E94+'14-3'!E94+'15-3'!E94+'16-3'!E94+'17-3'!E94+'18-3'!E94+'19-3'!E94+'21-3'!E94+'22-3'!E94+'24-3'!E94+'25-3'!E94+'28-3'!E94+'29-3'!E94+'30-3'!E94+'32-3'!E94+'35-3'!E94+'37-3'!E94+'47-3'!E94+'62-3'!E94+'64-3'!E94+'74-3'!E94</f>
        <v>-2135869</v>
      </c>
      <c r="F348" s="299">
        <f>'01-3'!F94+'02-3'!F94+'03-3'!F94+'04-3'!F94+'05-3'!F94+'08-3'!F94+'09-3'!F94+'10-3'!F94+'11-3'!F94+'12-3'!F94+'13-3'!F94+'14-3'!F94+'15-3'!F94+'16-3'!F94+'17-3'!F94+'18-3'!F94+'19-3'!F94+'21-3'!F94+'22-3'!F94+'24-3'!F94+'25-3'!F94+'28-3'!F94+'29-3'!F94+'30-3'!F94+'32-3'!F94+'35-3'!F94+'37-3'!F94+'47-3'!F94+'62-3'!F94+'64-3'!F94+'74-3'!F94</f>
        <v>65291580</v>
      </c>
      <c r="G348" s="299">
        <f>'01-3'!G94+'02-3'!G94+'03-3'!G94+'04-3'!G94+'05-3'!G94+'08-3'!G94+'09-3'!G94+'10-3'!G94+'11-3'!G94+'12-3'!G94+'13-3'!G94+'14-3'!G94+'15-3'!G94+'16-3'!G94+'17-3'!G94+'18-3'!G94+'19-3'!G94+'21-3'!G94+'22-3'!G94+'24-3'!G94+'25-3'!G94+'28-3'!G94+'29-3'!G94+'30-3'!G94+'32-3'!G94+'35-3'!G94+'37-3'!G94+'47-3'!G94+'62-3'!G94+'64-3'!G94+'74-3'!G94</f>
        <v>128215131</v>
      </c>
      <c r="H348" s="299">
        <f>'01-3'!H94+'02-3'!H94+'03-3'!H94+'04-3'!H94+'05-3'!H94+'08-3'!H94+'09-3'!H94+'10-3'!H94+'11-3'!H94+'12-3'!H94+'13-3'!H94+'14-3'!H94+'15-3'!H94+'16-3'!H94+'17-3'!H94+'18-3'!H94+'19-3'!H94+'21-3'!H94+'22-3'!H94+'24-3'!H94+'25-3'!H94+'28-3'!H94+'29-3'!H94+'30-3'!H94+'32-3'!H94+'35-3'!H94+'37-3'!H94+'47-3'!H94+'62-3'!H94+'64-3'!H94+'74-3'!H94</f>
        <v>2431555362</v>
      </c>
      <c r="I348" s="299">
        <f>'01-3'!I94+'02-3'!I94+'03-3'!I94+'04-3'!I94+'05-3'!I94+'08-3'!I94+'09-3'!I94+'10-3'!I94+'11-3'!I94+'12-3'!I94+'13-3'!I94+'14-3'!I94+'15-3'!I94+'16-3'!I94+'17-3'!I94+'18-3'!I94+'19-3'!I94+'21-3'!I94+'22-3'!I94+'24-3'!I94+'25-3'!I94+'28-3'!I94+'29-3'!I94+'30-3'!I94+'32-3'!I94+'35-3'!I94+'37-3'!I94+'47-3'!I94+'62-3'!I94+'64-3'!I94+'74-3'!I94</f>
        <v>2389702674</v>
      </c>
      <c r="J348" s="299">
        <f>'01-3'!J94+'02-3'!J94+'03-3'!J94+'04-3'!J94+'05-3'!J94+'08-3'!J94+'09-3'!J94+'10-3'!J94+'11-3'!J94+'12-3'!J94+'13-3'!J94+'14-3'!J94+'15-3'!J94+'16-3'!J94+'17-3'!J94+'18-3'!J94+'19-3'!J94+'21-3'!J94+'22-3'!J94+'24-3'!J94+'25-3'!J94+'28-3'!J94+'29-3'!J94+'30-3'!J94+'32-3'!J94+'35-3'!J94+'37-3'!J94+'47-3'!J94+'62-3'!J94+'64-3'!J94+'74-3'!J94</f>
        <v>5575485</v>
      </c>
      <c r="K348" s="299">
        <f>'01-3'!K94+'02-3'!K94+'03-3'!K94+'04-3'!K94+'05-3'!K94+'08-3'!K94+'09-3'!K94+'10-3'!K94+'11-3'!K94+'12-3'!K94+'13-3'!K94+'14-3'!K94+'15-3'!K94+'16-3'!K94+'17-3'!K94+'18-3'!K94+'19-3'!K94+'21-3'!K94+'22-3'!K94+'24-3'!K94+'25-3'!K94+'28-3'!K94+'29-3'!K94+'30-3'!K94+'32-3'!K94+'35-3'!K94+'37-3'!K94+'47-3'!K94+'62-3'!K94+'64-3'!K94+'74-3'!K94</f>
        <v>89799301</v>
      </c>
      <c r="L348" s="299">
        <f>'01-3'!L94+'02-3'!L94+'03-3'!L94+'04-3'!L94+'05-3'!L94+'08-3'!L94+'09-3'!L94+'10-3'!L94+'11-3'!L94+'12-3'!L94+'13-3'!L94+'14-3'!L94+'15-3'!L94+'16-3'!L94+'17-3'!L94+'18-3'!L94+'19-3'!L94+'21-3'!L94+'22-3'!L94+'24-3'!L94+'25-3'!L94+'28-3'!L94+'29-3'!L94+'30-3'!L94+'32-3'!L94+'35-3'!L94+'37-3'!L94+'47-3'!L94+'62-3'!L94+'64-3'!L94+'74-3'!L94</f>
        <v>168261151</v>
      </c>
      <c r="M348" s="299">
        <f>'01-3'!M94+'02-3'!M94+'03-3'!M94+'04-3'!M94+'05-3'!M94+'08-3'!M94+'09-3'!M94+'10-3'!M94+'11-3'!M94+'12-3'!M94+'13-3'!M94+'14-3'!M94+'15-3'!M94+'16-3'!M94+'17-3'!M94+'18-3'!M94+'19-3'!M94+'21-3'!M94+'22-3'!M94+'24-3'!M94+'25-3'!M94+'28-3'!M94+'29-3'!M94+'30-3'!M94+'32-3'!M94+'35-3'!M94+'37-3'!M94+'47-3'!M94+'62-3'!M94+'64-3'!M94+'74-3'!M94</f>
        <v>2653338611</v>
      </c>
      <c r="N348" s="299">
        <f>'01-3'!N94+'02-3'!N94+'03-3'!N94+'04-3'!N94+'05-3'!N94+'08-3'!N94+'09-3'!N94+'10-3'!N94+'11-3'!N94+'12-3'!N94+'13-3'!N94+'14-3'!N94+'15-3'!N94+'16-3'!N94+'17-3'!N94+'18-3'!N94+'19-3'!N94+'21-3'!N94+'22-3'!N94+'24-3'!N94+'25-3'!N94+'28-3'!N94+'29-3'!N94+'30-3'!N94+'32-3'!N94+'35-3'!N94+'37-3'!N94+'47-3'!N94+'62-3'!N94+'64-3'!N94+'74-3'!N94</f>
        <v>2383711038</v>
      </c>
      <c r="O348" s="299">
        <f>'01-3'!O94+'02-3'!O94+'03-3'!O94+'04-3'!O94+'05-3'!O94+'08-3'!O94+'09-3'!O94+'10-3'!O94+'11-3'!O94+'12-3'!O94+'13-3'!O94+'14-3'!O94+'15-3'!O94+'16-3'!O94+'17-3'!O94+'18-3'!O94+'19-3'!O94+'21-3'!O94+'22-3'!O94+'24-3'!O94+'25-3'!O94+'28-3'!O94+'29-3'!O94+'30-3'!O94+'32-3'!O94+'35-3'!O94+'37-3'!O94+'47-3'!O94+'62-3'!O94+'64-3'!O94+'74-3'!O94</f>
        <v>-3145534</v>
      </c>
      <c r="P348" s="299">
        <f>'01-3'!P94+'02-3'!P94+'03-3'!P94+'04-3'!P94+'05-3'!P94+'08-3'!P94+'09-3'!P94+'10-3'!P94+'11-3'!P94+'12-3'!P94+'13-3'!P94+'14-3'!P94+'15-3'!P94+'16-3'!P94+'17-3'!P94+'18-3'!P94+'19-3'!P94+'21-3'!P94+'22-3'!P94+'24-3'!P94+'25-3'!P94+'28-3'!P94+'29-3'!P94+'30-3'!P94+'32-3'!P94+'35-3'!P94+'37-3'!P94+'47-3'!P94+'62-3'!P94+'64-3'!P94+'74-3'!P94</f>
        <v>121559614</v>
      </c>
      <c r="Q348" s="299">
        <f>'01-3'!Q94+'02-3'!Q94+'03-3'!Q94+'04-3'!Q94+'05-3'!Q94+'08-3'!Q94+'09-3'!Q94+'10-3'!Q94+'11-3'!Q94+'12-3'!Q94+'13-3'!Q94+'14-3'!Q94+'15-3'!Q94+'16-3'!Q94+'17-3'!Q94+'18-3'!Q94+'19-3'!Q94+'21-3'!Q94+'22-3'!Q94+'24-3'!Q94+'25-3'!Q94+'28-3'!Q94+'29-3'!Q94+'30-3'!Q94+'32-3'!Q94+'35-3'!Q94+'37-3'!Q94+'47-3'!Q94+'62-3'!Q94+'64-3'!Q94+'74-3'!Q94</f>
        <v>157563716</v>
      </c>
      <c r="R348" s="299">
        <f>'01-3'!R94+'02-3'!R94+'03-3'!R94+'04-3'!R94+'05-3'!R94+'08-3'!R94+'09-3'!R94+'10-3'!R94+'11-3'!R94+'12-3'!R94+'13-3'!R94+'14-3'!R94+'15-3'!R94+'16-3'!R94+'17-3'!R94+'18-3'!R94+'19-3'!R94+'21-3'!R94+'22-3'!R94+'24-3'!R94+'25-3'!R94+'28-3'!R94+'29-3'!R94+'30-3'!R94+'32-3'!R94+'35-3'!R94+'37-3'!R94+'47-3'!R94+'62-3'!R94+'64-3'!R94+'74-3'!R94</f>
        <v>2659688834</v>
      </c>
      <c r="S348" s="954"/>
      <c r="T348" s="954"/>
      <c r="U348" s="954"/>
      <c r="V348" s="954"/>
      <c r="W348" s="954"/>
    </row>
    <row r="349" spans="1:23" s="6" customFormat="1" ht="22.8">
      <c r="A349" s="130" t="s">
        <v>177</v>
      </c>
      <c r="B349" s="100" t="s">
        <v>90</v>
      </c>
      <c r="C349" s="106">
        <f>'01-3'!C95+'02-3'!C95+'03-3'!C95+'04-3'!C95+'05-3'!C95+'08-3'!C95+'09-3'!C95+'10-3'!C95+'11-3'!C95+'12-3'!C95+'13-3'!C95+'14-3'!C95+'15-3'!C95+'16-3'!C95+'17-3'!C95+'18-3'!C95+'19-3'!C95+'21-3'!C95+'22-3'!C95+'24-3'!C95+'25-3'!C95+'28-3'!C95+'29-3'!C95+'30-3'!C95+'32-3'!C95+'35-3'!C95+'37-3'!C95+'47-3'!C95+'62-3'!C95+'64-3'!C95+'74-3'!C95</f>
        <v>64564361</v>
      </c>
      <c r="D349" s="106">
        <f>'01-3'!D95+'02-3'!D95+'03-3'!D95+'04-3'!D95+'05-3'!D95+'08-3'!D95+'09-3'!D95+'10-3'!D95+'11-3'!D95+'12-3'!D95+'13-3'!D95+'14-3'!D95+'15-3'!D95+'16-3'!D95+'17-3'!D95+'18-3'!D95+'19-3'!D95+'21-3'!D95+'22-3'!D95+'24-3'!D95+'25-3'!D95+'28-3'!D95+'29-3'!D95+'30-3'!D95+'32-3'!D95+'35-3'!D95+'37-3'!D95+'47-3'!D95+'62-3'!D95+'64-3'!D95+'74-3'!D95</f>
        <v>59617863</v>
      </c>
      <c r="E349" s="106">
        <f>'01-3'!E95+'02-3'!E95+'03-3'!E95+'04-3'!E95+'05-3'!E95+'08-3'!E95+'09-3'!E95+'10-3'!E95+'11-3'!E95+'12-3'!E95+'13-3'!E95+'14-3'!E95+'15-3'!E95+'16-3'!E95+'17-3'!E95+'18-3'!E95+'19-3'!E95+'21-3'!E95+'22-3'!E95+'24-3'!E95+'25-3'!E95+'28-3'!E95+'29-3'!E95+'30-3'!E95+'32-3'!E95+'35-3'!E95+'37-3'!E95+'47-3'!E95+'62-3'!E95+'64-3'!E95+'74-3'!E95</f>
        <v>131979</v>
      </c>
      <c r="F349" s="106">
        <f>'01-3'!F95+'02-3'!F95+'03-3'!F95+'04-3'!F95+'05-3'!F95+'08-3'!F95+'09-3'!F95+'10-3'!F95+'11-3'!F95+'12-3'!F95+'13-3'!F95+'14-3'!F95+'15-3'!F95+'16-3'!F95+'17-3'!F95+'18-3'!F95+'19-3'!F95+'21-3'!F95+'22-3'!F95+'24-3'!F95+'25-3'!F95+'28-3'!F95+'29-3'!F95+'30-3'!F95+'32-3'!F95+'35-3'!F95+'37-3'!F95+'47-3'!F95+'62-3'!F95+'64-3'!F95+'74-3'!F95</f>
        <v>186107</v>
      </c>
      <c r="G349" s="106">
        <f>'01-3'!G95+'02-3'!G95+'03-3'!G95+'04-3'!G95+'05-3'!G95+'08-3'!G95+'09-3'!G95+'10-3'!G95+'11-3'!G95+'12-3'!G95+'13-3'!G95+'14-3'!G95+'15-3'!G95+'16-3'!G95+'17-3'!G95+'18-3'!G95+'19-3'!G95+'21-3'!G95+'22-3'!G95+'24-3'!G95+'25-3'!G95+'28-3'!G95+'29-3'!G95+'30-3'!G95+'32-3'!G95+'35-3'!G95+'37-3'!G95+'47-3'!G95+'62-3'!G95+'64-3'!G95+'74-3'!G95</f>
        <v>0</v>
      </c>
      <c r="H349" s="106">
        <f>'01-3'!H95+'02-3'!H95+'03-3'!H95+'04-3'!H95+'05-3'!H95+'08-3'!H95+'09-3'!H95+'10-3'!H95+'11-3'!H95+'12-3'!H95+'13-3'!H95+'14-3'!H95+'15-3'!H95+'16-3'!H95+'17-3'!H95+'18-3'!H95+'19-3'!H95+'21-3'!H95+'22-3'!H95+'24-3'!H95+'25-3'!H95+'28-3'!H95+'29-3'!H95+'30-3'!H95+'32-3'!H95+'35-3'!H95+'37-3'!H95+'47-3'!H95+'62-3'!H95+'64-3'!H95+'74-3'!H95</f>
        <v>59935949</v>
      </c>
      <c r="I349" s="106">
        <f>'01-3'!I95+'02-3'!I95+'03-3'!I95+'04-3'!I95+'05-3'!I95+'08-3'!I95+'09-3'!I95+'10-3'!I95+'11-3'!I95+'12-3'!I95+'13-3'!I95+'14-3'!I95+'15-3'!I95+'16-3'!I95+'17-3'!I95+'18-3'!I95+'19-3'!I95+'21-3'!I95+'22-3'!I95+'24-3'!I95+'25-3'!I95+'28-3'!I95+'29-3'!I95+'30-3'!I95+'32-3'!I95+'35-3'!I95+'37-3'!I95+'47-3'!I95+'62-3'!I95+'64-3'!I95+'74-3'!I95</f>
        <v>58768245</v>
      </c>
      <c r="J349" s="106">
        <f>'01-3'!J95+'02-3'!J95+'03-3'!J95+'04-3'!J95+'05-3'!J95+'08-3'!J95+'09-3'!J95+'10-3'!J95+'11-3'!J95+'12-3'!J95+'13-3'!J95+'14-3'!J95+'15-3'!J95+'16-3'!J95+'17-3'!J95+'18-3'!J95+'19-3'!J95+'21-3'!J95+'22-3'!J95+'24-3'!J95+'25-3'!J95+'28-3'!J95+'29-3'!J95+'30-3'!J95+'32-3'!J95+'35-3'!J95+'37-3'!J95+'47-3'!J95+'62-3'!J95+'64-3'!J95+'74-3'!J95</f>
        <v>-72315</v>
      </c>
      <c r="K349" s="106">
        <f>'01-3'!K95+'02-3'!K95+'03-3'!K95+'04-3'!K95+'05-3'!K95+'08-3'!K95+'09-3'!K95+'10-3'!K95+'11-3'!K95+'12-3'!K95+'13-3'!K95+'14-3'!K95+'15-3'!K95+'16-3'!K95+'17-3'!K95+'18-3'!K95+'19-3'!K95+'21-3'!K95+'22-3'!K95+'24-3'!K95+'25-3'!K95+'28-3'!K95+'29-3'!K95+'30-3'!K95+'32-3'!K95+'35-3'!K95+'37-3'!K95+'47-3'!K95+'62-3'!K95+'64-3'!K95+'74-3'!K95</f>
        <v>998956</v>
      </c>
      <c r="L349" s="106">
        <f>'01-3'!L95+'02-3'!L95+'03-3'!L95+'04-3'!L95+'05-3'!L95+'08-3'!L95+'09-3'!L95+'10-3'!L95+'11-3'!L95+'12-3'!L95+'13-3'!L95+'14-3'!L95+'15-3'!L95+'16-3'!L95+'17-3'!L95+'18-3'!L95+'19-3'!L95+'21-3'!L95+'22-3'!L95+'24-3'!L95+'25-3'!L95+'28-3'!L95+'29-3'!L95+'30-3'!L95+'32-3'!L95+'35-3'!L95+'37-3'!L95+'47-3'!L95+'62-3'!L95+'64-3'!L95+'74-3'!L95</f>
        <v>0</v>
      </c>
      <c r="M349" s="106">
        <f>'01-3'!M95+'02-3'!M95+'03-3'!M95+'04-3'!M95+'05-3'!M95+'08-3'!M95+'09-3'!M95+'10-3'!M95+'11-3'!M95+'12-3'!M95+'13-3'!M95+'14-3'!M95+'15-3'!M95+'16-3'!M95+'17-3'!M95+'18-3'!M95+'19-3'!M95+'21-3'!M95+'22-3'!M95+'24-3'!M95+'25-3'!M95+'28-3'!M95+'29-3'!M95+'30-3'!M95+'32-3'!M95+'35-3'!M95+'37-3'!M95+'47-3'!M95+'62-3'!M95+'64-3'!M95+'74-3'!M95</f>
        <v>59694886</v>
      </c>
      <c r="N349" s="106">
        <f>'01-3'!N95+'02-3'!N95+'03-3'!N95+'04-3'!N95+'05-3'!N95+'08-3'!N95+'09-3'!N95+'10-3'!N95+'11-3'!N95+'12-3'!N95+'13-3'!N95+'14-3'!N95+'15-3'!N95+'16-3'!N95+'17-3'!N95+'18-3'!N95+'19-3'!N95+'21-3'!N95+'22-3'!N95+'24-3'!N95+'25-3'!N95+'28-3'!N95+'29-3'!N95+'30-3'!N95+'32-3'!N95+'35-3'!N95+'37-3'!N95+'47-3'!N95+'62-3'!N95+'64-3'!N95+'74-3'!N95</f>
        <v>58506966</v>
      </c>
      <c r="O349" s="106">
        <f>'01-3'!O95+'02-3'!O95+'03-3'!O95+'04-3'!O95+'05-3'!O95+'08-3'!O95+'09-3'!O95+'10-3'!O95+'11-3'!O95+'12-3'!O95+'13-3'!O95+'14-3'!O95+'15-3'!O95+'16-3'!O95+'17-3'!O95+'18-3'!O95+'19-3'!O95+'21-3'!O95+'22-3'!O95+'24-3'!O95+'25-3'!O95+'28-3'!O95+'29-3'!O95+'30-3'!O95+'32-3'!O95+'35-3'!O95+'37-3'!O95+'47-3'!O95+'62-3'!O95+'64-3'!O95+'74-3'!O95</f>
        <v>-72315</v>
      </c>
      <c r="P349" s="106">
        <f>'01-3'!P95+'02-3'!P95+'03-3'!P95+'04-3'!P95+'05-3'!P95+'08-3'!P95+'09-3'!P95+'10-3'!P95+'11-3'!P95+'12-3'!P95+'13-3'!P95+'14-3'!P95+'15-3'!P95+'16-3'!P95+'17-3'!P95+'18-3'!P95+'19-3'!P95+'21-3'!P95+'22-3'!P95+'24-3'!P95+'25-3'!P95+'28-3'!P95+'29-3'!P95+'30-3'!P95+'32-3'!P95+'35-3'!P95+'37-3'!P95+'47-3'!P95+'62-3'!P95+'64-3'!P95+'74-3'!P95</f>
        <v>998956</v>
      </c>
      <c r="Q349" s="106">
        <f>'01-3'!Q95+'02-3'!Q95+'03-3'!Q95+'04-3'!Q95+'05-3'!Q95+'08-3'!Q95+'09-3'!Q95+'10-3'!Q95+'11-3'!Q95+'12-3'!Q95+'13-3'!Q95+'14-3'!Q95+'15-3'!Q95+'16-3'!Q95+'17-3'!Q95+'18-3'!Q95+'19-3'!Q95+'21-3'!Q95+'22-3'!Q95+'24-3'!Q95+'25-3'!Q95+'28-3'!Q95+'29-3'!Q95+'30-3'!Q95+'32-3'!Q95+'35-3'!Q95+'37-3'!Q95+'47-3'!Q95+'62-3'!Q95+'64-3'!Q95+'74-3'!Q95</f>
        <v>0</v>
      </c>
      <c r="R349" s="106">
        <f>'01-3'!R95+'02-3'!R95+'03-3'!R95+'04-3'!R95+'05-3'!R95+'08-3'!R95+'09-3'!R95+'10-3'!R95+'11-3'!R95+'12-3'!R95+'13-3'!R95+'14-3'!R95+'15-3'!R95+'16-3'!R95+'17-3'!R95+'18-3'!R95+'19-3'!R95+'21-3'!R95+'22-3'!R95+'24-3'!R95+'25-3'!R95+'28-3'!R95+'29-3'!R95+'30-3'!R95+'32-3'!R95+'35-3'!R95+'37-3'!R95+'47-3'!R95+'62-3'!R95+'64-3'!R95+'74-3'!R95</f>
        <v>59433607</v>
      </c>
      <c r="S349" s="954"/>
      <c r="T349" s="954"/>
      <c r="U349" s="954"/>
      <c r="V349" s="954"/>
      <c r="W349" s="954"/>
    </row>
    <row r="350" spans="1:23" s="6" customFormat="1" ht="12" hidden="1">
      <c r="A350" s="130" t="s">
        <v>91</v>
      </c>
      <c r="B350" s="100" t="s">
        <v>92</v>
      </c>
      <c r="C350" s="106">
        <f>'01-3'!C96+'02-3'!C96+'03-3'!C96+'04-3'!C96+'05-3'!C96+'08-3'!C96+'09-3'!C96+'10-3'!C96+'11-3'!C96+'12-3'!C96+'13-3'!C96+'14-3'!C96+'15-3'!C96+'16-3'!C96+'17-3'!C96+'18-3'!C96+'19-3'!C96+'21-3'!C96+'22-3'!C96+'24-3'!C96+'25-3'!C96+'28-3'!C96+'29-3'!C96+'30-3'!C96+'32-3'!C96+'35-3'!C96+'37-3'!C96+'47-3'!C96+'62-3'!C96+'64-3'!C96+'74-3'!C96</f>
        <v>0</v>
      </c>
      <c r="D350" s="106">
        <f>'01-3'!D96+'02-3'!D96+'03-3'!D96+'04-3'!D96+'05-3'!D96+'08-3'!D96+'09-3'!D96+'10-3'!D96+'11-3'!D96+'12-3'!D96+'13-3'!D96+'14-3'!D96+'15-3'!D96+'16-3'!D96+'17-3'!D96+'18-3'!D96+'19-3'!D96+'21-3'!D96+'22-3'!D96+'24-3'!D96+'25-3'!D96+'28-3'!D96+'29-3'!D96+'30-3'!D96+'32-3'!D96+'35-3'!D96+'37-3'!D96+'47-3'!D96+'62-3'!D96+'64-3'!D96+'74-3'!D96</f>
        <v>0</v>
      </c>
      <c r="E350" s="106">
        <f>'01-3'!E96+'02-3'!E96+'03-3'!E96+'04-3'!E96+'05-3'!E96+'08-3'!E96+'09-3'!E96+'10-3'!E96+'11-3'!E96+'12-3'!E96+'13-3'!E96+'14-3'!E96+'15-3'!E96+'16-3'!E96+'17-3'!E96+'18-3'!E96+'19-3'!E96+'21-3'!E96+'22-3'!E96+'24-3'!E96+'25-3'!E96+'28-3'!E96+'29-3'!E96+'30-3'!E96+'32-3'!E96+'35-3'!E96+'37-3'!E96+'47-3'!E96+'62-3'!E96+'64-3'!E96+'74-3'!E96</f>
        <v>0</v>
      </c>
      <c r="F350" s="106">
        <f>'01-3'!F96+'02-3'!F96+'03-3'!F96+'04-3'!F96+'05-3'!F96+'08-3'!F96+'09-3'!F96+'10-3'!F96+'11-3'!F96+'12-3'!F96+'13-3'!F96+'14-3'!F96+'15-3'!F96+'16-3'!F96+'17-3'!F96+'18-3'!F96+'19-3'!F96+'21-3'!F96+'22-3'!F96+'24-3'!F96+'25-3'!F96+'28-3'!F96+'29-3'!F96+'30-3'!F96+'32-3'!F96+'35-3'!F96+'37-3'!F96+'47-3'!F96+'62-3'!F96+'64-3'!F96+'74-3'!F96</f>
        <v>0</v>
      </c>
      <c r="G350" s="106">
        <f>'01-3'!G96+'02-3'!G96+'03-3'!G96+'04-3'!G96+'05-3'!G96+'08-3'!G96+'09-3'!G96+'10-3'!G96+'11-3'!G96+'12-3'!G96+'13-3'!G96+'14-3'!G96+'15-3'!G96+'16-3'!G96+'17-3'!G96+'18-3'!G96+'19-3'!G96+'21-3'!G96+'22-3'!G96+'24-3'!G96+'25-3'!G96+'28-3'!G96+'29-3'!G96+'30-3'!G96+'32-3'!G96+'35-3'!G96+'37-3'!G96+'47-3'!G96+'62-3'!G96+'64-3'!G96+'74-3'!G96</f>
        <v>0</v>
      </c>
      <c r="H350" s="106">
        <f>'01-3'!H96+'02-3'!H96+'03-3'!H96+'04-3'!H96+'05-3'!H96+'08-3'!H96+'09-3'!H96+'10-3'!H96+'11-3'!H96+'12-3'!H96+'13-3'!H96+'14-3'!H96+'15-3'!H96+'16-3'!H96+'17-3'!H96+'18-3'!H96+'19-3'!H96+'21-3'!H96+'22-3'!H96+'24-3'!H96+'25-3'!H96+'28-3'!H96+'29-3'!H96+'30-3'!H96+'32-3'!H96+'35-3'!H96+'37-3'!H96+'47-3'!H96+'62-3'!H96+'64-3'!H96+'74-3'!H96</f>
        <v>0</v>
      </c>
      <c r="I350" s="106">
        <f>'01-3'!I96+'02-3'!I96+'03-3'!I96+'04-3'!I96+'05-3'!I96+'08-3'!I96+'09-3'!I96+'10-3'!I96+'11-3'!I96+'12-3'!I96+'13-3'!I96+'14-3'!I96+'15-3'!I96+'16-3'!I96+'17-3'!I96+'18-3'!I96+'19-3'!I96+'21-3'!I96+'22-3'!I96+'24-3'!I96+'25-3'!I96+'28-3'!I96+'29-3'!I96+'30-3'!I96+'32-3'!I96+'35-3'!I96+'37-3'!I96+'47-3'!I96+'62-3'!I96+'64-3'!I96+'74-3'!I96</f>
        <v>0</v>
      </c>
      <c r="J350" s="106">
        <f>'01-3'!J96+'02-3'!J96+'03-3'!J96+'04-3'!J96+'05-3'!J96+'08-3'!J96+'09-3'!J96+'10-3'!J96+'11-3'!J96+'12-3'!J96+'13-3'!J96+'14-3'!J96+'15-3'!J96+'16-3'!J96+'17-3'!J96+'18-3'!J96+'19-3'!J96+'21-3'!J96+'22-3'!J96+'24-3'!J96+'25-3'!J96+'28-3'!J96+'29-3'!J96+'30-3'!J96+'32-3'!J96+'35-3'!J96+'37-3'!J96+'47-3'!J96+'62-3'!J96+'64-3'!J96+'74-3'!J96</f>
        <v>0</v>
      </c>
      <c r="K350" s="106">
        <f>'01-3'!K96+'02-3'!K96+'03-3'!K96+'04-3'!K96+'05-3'!K96+'08-3'!K96+'09-3'!K96+'10-3'!K96+'11-3'!K96+'12-3'!K96+'13-3'!K96+'14-3'!K96+'15-3'!K96+'16-3'!K96+'17-3'!K96+'18-3'!K96+'19-3'!K96+'21-3'!K96+'22-3'!K96+'24-3'!K96+'25-3'!K96+'28-3'!K96+'29-3'!K96+'30-3'!K96+'32-3'!K96+'35-3'!K96+'37-3'!K96+'47-3'!K96+'62-3'!K96+'64-3'!K96+'74-3'!K96</f>
        <v>0</v>
      </c>
      <c r="L350" s="106">
        <f>'01-3'!L96+'02-3'!L96+'03-3'!L96+'04-3'!L96+'05-3'!L96+'08-3'!L96+'09-3'!L96+'10-3'!L96+'11-3'!L96+'12-3'!L96+'13-3'!L96+'14-3'!L96+'15-3'!L96+'16-3'!L96+'17-3'!L96+'18-3'!L96+'19-3'!L96+'21-3'!L96+'22-3'!L96+'24-3'!L96+'25-3'!L96+'28-3'!L96+'29-3'!L96+'30-3'!L96+'32-3'!L96+'35-3'!L96+'37-3'!L96+'47-3'!L96+'62-3'!L96+'64-3'!L96+'74-3'!L96</f>
        <v>0</v>
      </c>
      <c r="M350" s="106">
        <f>'01-3'!M96+'02-3'!M96+'03-3'!M96+'04-3'!M96+'05-3'!M96+'08-3'!M96+'09-3'!M96+'10-3'!M96+'11-3'!M96+'12-3'!M96+'13-3'!M96+'14-3'!M96+'15-3'!M96+'16-3'!M96+'17-3'!M96+'18-3'!M96+'19-3'!M96+'21-3'!M96+'22-3'!M96+'24-3'!M96+'25-3'!M96+'28-3'!M96+'29-3'!M96+'30-3'!M96+'32-3'!M96+'35-3'!M96+'37-3'!M96+'47-3'!M96+'62-3'!M96+'64-3'!M96+'74-3'!M96</f>
        <v>0</v>
      </c>
      <c r="N350" s="106">
        <f>'01-3'!N96+'02-3'!N96+'03-3'!N96+'04-3'!N96+'05-3'!N96+'08-3'!N96+'09-3'!N96+'10-3'!N96+'11-3'!N96+'12-3'!N96+'13-3'!N96+'14-3'!N96+'15-3'!N96+'16-3'!N96+'17-3'!N96+'18-3'!N96+'19-3'!N96+'21-3'!N96+'22-3'!N96+'24-3'!N96+'25-3'!N96+'28-3'!N96+'29-3'!N96+'30-3'!N96+'32-3'!N96+'35-3'!N96+'37-3'!N96+'47-3'!N96+'62-3'!N96+'64-3'!N96+'74-3'!N96</f>
        <v>0</v>
      </c>
      <c r="O350" s="106">
        <f>'01-3'!O96+'02-3'!O96+'03-3'!O96+'04-3'!O96+'05-3'!O96+'08-3'!O96+'09-3'!O96+'10-3'!O96+'11-3'!O96+'12-3'!O96+'13-3'!O96+'14-3'!O96+'15-3'!O96+'16-3'!O96+'17-3'!O96+'18-3'!O96+'19-3'!O96+'21-3'!O96+'22-3'!O96+'24-3'!O96+'25-3'!O96+'28-3'!O96+'29-3'!O96+'30-3'!O96+'32-3'!O96+'35-3'!O96+'37-3'!O96+'47-3'!O96+'62-3'!O96+'64-3'!O96+'74-3'!O96</f>
        <v>0</v>
      </c>
      <c r="P350" s="106">
        <f>'01-3'!P96+'02-3'!P96+'03-3'!P96+'04-3'!P96+'05-3'!P96+'08-3'!P96+'09-3'!P96+'10-3'!P96+'11-3'!P96+'12-3'!P96+'13-3'!P96+'14-3'!P96+'15-3'!P96+'16-3'!P96+'17-3'!P96+'18-3'!P96+'19-3'!P96+'21-3'!P96+'22-3'!P96+'24-3'!P96+'25-3'!P96+'28-3'!P96+'29-3'!P96+'30-3'!P96+'32-3'!P96+'35-3'!P96+'37-3'!P96+'47-3'!P96+'62-3'!P96+'64-3'!P96+'74-3'!P96</f>
        <v>0</v>
      </c>
      <c r="Q350" s="106">
        <f>'01-3'!Q96+'02-3'!Q96+'03-3'!Q96+'04-3'!Q96+'05-3'!Q96+'08-3'!Q96+'09-3'!Q96+'10-3'!Q96+'11-3'!Q96+'12-3'!Q96+'13-3'!Q96+'14-3'!Q96+'15-3'!Q96+'16-3'!Q96+'17-3'!Q96+'18-3'!Q96+'19-3'!Q96+'21-3'!Q96+'22-3'!Q96+'24-3'!Q96+'25-3'!Q96+'28-3'!Q96+'29-3'!Q96+'30-3'!Q96+'32-3'!Q96+'35-3'!Q96+'37-3'!Q96+'47-3'!Q96+'62-3'!Q96+'64-3'!Q96+'74-3'!Q96</f>
        <v>0</v>
      </c>
      <c r="R350" s="106">
        <f>'01-3'!R96+'02-3'!R96+'03-3'!R96+'04-3'!R96+'05-3'!R96+'08-3'!R96+'09-3'!R96+'10-3'!R96+'11-3'!R96+'12-3'!R96+'13-3'!R96+'14-3'!R96+'15-3'!R96+'16-3'!R96+'17-3'!R96+'18-3'!R96+'19-3'!R96+'21-3'!R96+'22-3'!R96+'24-3'!R96+'25-3'!R96+'28-3'!R96+'29-3'!R96+'30-3'!R96+'32-3'!R96+'35-3'!R96+'37-3'!R96+'47-3'!R96+'62-3'!R96+'64-3'!R96+'74-3'!R96</f>
        <v>0</v>
      </c>
      <c r="S350" s="954"/>
      <c r="T350" s="954"/>
      <c r="U350" s="954"/>
      <c r="V350" s="954"/>
      <c r="W350" s="954"/>
    </row>
    <row r="351" spans="1:23" s="6" customFormat="1" ht="24" hidden="1">
      <c r="A351" s="131">
        <v>21210</v>
      </c>
      <c r="B351" s="101" t="s">
        <v>93</v>
      </c>
      <c r="C351" s="106">
        <f>'01-3'!C97+'02-3'!C97+'03-3'!C97+'04-3'!C97+'05-3'!C97+'08-3'!C97+'09-3'!C97+'10-3'!C97+'11-3'!C97+'12-3'!C97+'13-3'!C97+'14-3'!C97+'15-3'!C97+'16-3'!C97+'17-3'!C97+'18-3'!C97+'19-3'!C97+'21-3'!C97+'22-3'!C97+'24-3'!C97+'25-3'!C97+'28-3'!C97+'29-3'!C97+'30-3'!C97+'32-3'!C97+'35-3'!C97+'37-3'!C97+'47-3'!C97+'62-3'!C97+'64-3'!C97+'74-3'!C97</f>
        <v>0</v>
      </c>
      <c r="D351" s="106">
        <f>'01-3'!D97+'02-3'!D97+'03-3'!D97+'04-3'!D97+'05-3'!D97+'08-3'!D97+'09-3'!D97+'10-3'!D97+'11-3'!D97+'12-3'!D97+'13-3'!D97+'14-3'!D97+'15-3'!D97+'16-3'!D97+'17-3'!D97+'18-3'!D97+'19-3'!D97+'21-3'!D97+'22-3'!D97+'24-3'!D97+'25-3'!D97+'28-3'!D97+'29-3'!D97+'30-3'!D97+'32-3'!D97+'35-3'!D97+'37-3'!D97+'47-3'!D97+'62-3'!D97+'64-3'!D97+'74-3'!D97</f>
        <v>0</v>
      </c>
      <c r="E351" s="106">
        <f>'01-3'!E97+'02-3'!E97+'03-3'!E97+'04-3'!E97+'05-3'!E97+'08-3'!E97+'09-3'!E97+'10-3'!E97+'11-3'!E97+'12-3'!E97+'13-3'!E97+'14-3'!E97+'15-3'!E97+'16-3'!E97+'17-3'!E97+'18-3'!E97+'19-3'!E97+'21-3'!E97+'22-3'!E97+'24-3'!E97+'25-3'!E97+'28-3'!E97+'29-3'!E97+'30-3'!E97+'32-3'!E97+'35-3'!E97+'37-3'!E97+'47-3'!E97+'62-3'!E97+'64-3'!E97+'74-3'!E97</f>
        <v>0</v>
      </c>
      <c r="F351" s="106">
        <f>'01-3'!F97+'02-3'!F97+'03-3'!F97+'04-3'!F97+'05-3'!F97+'08-3'!F97+'09-3'!F97+'10-3'!F97+'11-3'!F97+'12-3'!F97+'13-3'!F97+'14-3'!F97+'15-3'!F97+'16-3'!F97+'17-3'!F97+'18-3'!F97+'19-3'!F97+'21-3'!F97+'22-3'!F97+'24-3'!F97+'25-3'!F97+'28-3'!F97+'29-3'!F97+'30-3'!F97+'32-3'!F97+'35-3'!F97+'37-3'!F97+'47-3'!F97+'62-3'!F97+'64-3'!F97+'74-3'!F97</f>
        <v>0</v>
      </c>
      <c r="G351" s="106">
        <f>'01-3'!G97+'02-3'!G97+'03-3'!G97+'04-3'!G97+'05-3'!G97+'08-3'!G97+'09-3'!G97+'10-3'!G97+'11-3'!G97+'12-3'!G97+'13-3'!G97+'14-3'!G97+'15-3'!G97+'16-3'!G97+'17-3'!G97+'18-3'!G97+'19-3'!G97+'21-3'!G97+'22-3'!G97+'24-3'!G97+'25-3'!G97+'28-3'!G97+'29-3'!G97+'30-3'!G97+'32-3'!G97+'35-3'!G97+'37-3'!G97+'47-3'!G97+'62-3'!G97+'64-3'!G97+'74-3'!G97</f>
        <v>0</v>
      </c>
      <c r="H351" s="106">
        <f>'01-3'!H97+'02-3'!H97+'03-3'!H97+'04-3'!H97+'05-3'!H97+'08-3'!H97+'09-3'!H97+'10-3'!H97+'11-3'!H97+'12-3'!H97+'13-3'!H97+'14-3'!H97+'15-3'!H97+'16-3'!H97+'17-3'!H97+'18-3'!H97+'19-3'!H97+'21-3'!H97+'22-3'!H97+'24-3'!H97+'25-3'!H97+'28-3'!H97+'29-3'!H97+'30-3'!H97+'32-3'!H97+'35-3'!H97+'37-3'!H97+'47-3'!H97+'62-3'!H97+'64-3'!H97+'74-3'!H97</f>
        <v>0</v>
      </c>
      <c r="I351" s="106">
        <f>'01-3'!I97+'02-3'!I97+'03-3'!I97+'04-3'!I97+'05-3'!I97+'08-3'!I97+'09-3'!I97+'10-3'!I97+'11-3'!I97+'12-3'!I97+'13-3'!I97+'14-3'!I97+'15-3'!I97+'16-3'!I97+'17-3'!I97+'18-3'!I97+'19-3'!I97+'21-3'!I97+'22-3'!I97+'24-3'!I97+'25-3'!I97+'28-3'!I97+'29-3'!I97+'30-3'!I97+'32-3'!I97+'35-3'!I97+'37-3'!I97+'47-3'!I97+'62-3'!I97+'64-3'!I97+'74-3'!I97</f>
        <v>0</v>
      </c>
      <c r="J351" s="106">
        <f>'01-3'!J97+'02-3'!J97+'03-3'!J97+'04-3'!J97+'05-3'!J97+'08-3'!J97+'09-3'!J97+'10-3'!J97+'11-3'!J97+'12-3'!J97+'13-3'!J97+'14-3'!J97+'15-3'!J97+'16-3'!J97+'17-3'!J97+'18-3'!J97+'19-3'!J97+'21-3'!J97+'22-3'!J97+'24-3'!J97+'25-3'!J97+'28-3'!J97+'29-3'!J97+'30-3'!J97+'32-3'!J97+'35-3'!J97+'37-3'!J97+'47-3'!J97+'62-3'!J97+'64-3'!J97+'74-3'!J97</f>
        <v>0</v>
      </c>
      <c r="K351" s="106">
        <f>'01-3'!K97+'02-3'!K97+'03-3'!K97+'04-3'!K97+'05-3'!K97+'08-3'!K97+'09-3'!K97+'10-3'!K97+'11-3'!K97+'12-3'!K97+'13-3'!K97+'14-3'!K97+'15-3'!K97+'16-3'!K97+'17-3'!K97+'18-3'!K97+'19-3'!K97+'21-3'!K97+'22-3'!K97+'24-3'!K97+'25-3'!K97+'28-3'!K97+'29-3'!K97+'30-3'!K97+'32-3'!K97+'35-3'!K97+'37-3'!K97+'47-3'!K97+'62-3'!K97+'64-3'!K97+'74-3'!K97</f>
        <v>0</v>
      </c>
      <c r="L351" s="106">
        <f>'01-3'!L97+'02-3'!L97+'03-3'!L97+'04-3'!L97+'05-3'!L97+'08-3'!L97+'09-3'!L97+'10-3'!L97+'11-3'!L97+'12-3'!L97+'13-3'!L97+'14-3'!L97+'15-3'!L97+'16-3'!L97+'17-3'!L97+'18-3'!L97+'19-3'!L97+'21-3'!L97+'22-3'!L97+'24-3'!L97+'25-3'!L97+'28-3'!L97+'29-3'!L97+'30-3'!L97+'32-3'!L97+'35-3'!L97+'37-3'!L97+'47-3'!L97+'62-3'!L97+'64-3'!L97+'74-3'!L97</f>
        <v>0</v>
      </c>
      <c r="M351" s="106">
        <f>'01-3'!M97+'02-3'!M97+'03-3'!M97+'04-3'!M97+'05-3'!M97+'08-3'!M97+'09-3'!M97+'10-3'!M97+'11-3'!M97+'12-3'!M97+'13-3'!M97+'14-3'!M97+'15-3'!M97+'16-3'!M97+'17-3'!M97+'18-3'!M97+'19-3'!M97+'21-3'!M97+'22-3'!M97+'24-3'!M97+'25-3'!M97+'28-3'!M97+'29-3'!M97+'30-3'!M97+'32-3'!M97+'35-3'!M97+'37-3'!M97+'47-3'!M97+'62-3'!M97+'64-3'!M97+'74-3'!M97</f>
        <v>0</v>
      </c>
      <c r="N351" s="106">
        <f>'01-3'!N97+'02-3'!N97+'03-3'!N97+'04-3'!N97+'05-3'!N97+'08-3'!N97+'09-3'!N97+'10-3'!N97+'11-3'!N97+'12-3'!N97+'13-3'!N97+'14-3'!N97+'15-3'!N97+'16-3'!N97+'17-3'!N97+'18-3'!N97+'19-3'!N97+'21-3'!N97+'22-3'!N97+'24-3'!N97+'25-3'!N97+'28-3'!N97+'29-3'!N97+'30-3'!N97+'32-3'!N97+'35-3'!N97+'37-3'!N97+'47-3'!N97+'62-3'!N97+'64-3'!N97+'74-3'!N97</f>
        <v>0</v>
      </c>
      <c r="O351" s="106">
        <f>'01-3'!O97+'02-3'!O97+'03-3'!O97+'04-3'!O97+'05-3'!O97+'08-3'!O97+'09-3'!O97+'10-3'!O97+'11-3'!O97+'12-3'!O97+'13-3'!O97+'14-3'!O97+'15-3'!O97+'16-3'!O97+'17-3'!O97+'18-3'!O97+'19-3'!O97+'21-3'!O97+'22-3'!O97+'24-3'!O97+'25-3'!O97+'28-3'!O97+'29-3'!O97+'30-3'!O97+'32-3'!O97+'35-3'!O97+'37-3'!O97+'47-3'!O97+'62-3'!O97+'64-3'!O97+'74-3'!O97</f>
        <v>0</v>
      </c>
      <c r="P351" s="106">
        <f>'01-3'!P97+'02-3'!P97+'03-3'!P97+'04-3'!P97+'05-3'!P97+'08-3'!P97+'09-3'!P97+'10-3'!P97+'11-3'!P97+'12-3'!P97+'13-3'!P97+'14-3'!P97+'15-3'!P97+'16-3'!P97+'17-3'!P97+'18-3'!P97+'19-3'!P97+'21-3'!P97+'22-3'!P97+'24-3'!P97+'25-3'!P97+'28-3'!P97+'29-3'!P97+'30-3'!P97+'32-3'!P97+'35-3'!P97+'37-3'!P97+'47-3'!P97+'62-3'!P97+'64-3'!P97+'74-3'!P97</f>
        <v>0</v>
      </c>
      <c r="Q351" s="106">
        <f>'01-3'!Q97+'02-3'!Q97+'03-3'!Q97+'04-3'!Q97+'05-3'!Q97+'08-3'!Q97+'09-3'!Q97+'10-3'!Q97+'11-3'!Q97+'12-3'!Q97+'13-3'!Q97+'14-3'!Q97+'15-3'!Q97+'16-3'!Q97+'17-3'!Q97+'18-3'!Q97+'19-3'!Q97+'21-3'!Q97+'22-3'!Q97+'24-3'!Q97+'25-3'!Q97+'28-3'!Q97+'29-3'!Q97+'30-3'!Q97+'32-3'!Q97+'35-3'!Q97+'37-3'!Q97+'47-3'!Q97+'62-3'!Q97+'64-3'!Q97+'74-3'!Q97</f>
        <v>0</v>
      </c>
      <c r="R351" s="106">
        <f>'01-3'!R97+'02-3'!R97+'03-3'!R97+'04-3'!R97+'05-3'!R97+'08-3'!R97+'09-3'!R97+'10-3'!R97+'11-3'!R97+'12-3'!R97+'13-3'!R97+'14-3'!R97+'15-3'!R97+'16-3'!R97+'17-3'!R97+'18-3'!R97+'19-3'!R97+'21-3'!R97+'22-3'!R97+'24-3'!R97+'25-3'!R97+'28-3'!R97+'29-3'!R97+'30-3'!R97+'32-3'!R97+'35-3'!R97+'37-3'!R97+'47-3'!R97+'62-3'!R97+'64-3'!R97+'74-3'!R97</f>
        <v>0</v>
      </c>
      <c r="S351" s="954"/>
      <c r="T351" s="954"/>
      <c r="U351" s="954"/>
      <c r="V351" s="954"/>
      <c r="W351" s="954"/>
    </row>
    <row r="352" spans="1:23" s="6" customFormat="1" ht="20.399999999999999">
      <c r="A352" s="130" t="s">
        <v>178</v>
      </c>
      <c r="B352" s="100" t="s">
        <v>94</v>
      </c>
      <c r="C352" s="106">
        <f>'01-3'!C98+'02-3'!C98+'03-3'!C98+'04-3'!C98+'05-3'!C98+'08-3'!C98+'09-3'!C98+'10-3'!C98+'11-3'!C98+'12-3'!C98+'13-3'!C98+'14-3'!C98+'15-3'!C98+'16-3'!C98+'17-3'!C98+'18-3'!C98+'19-3'!C98+'21-3'!C98+'22-3'!C98+'24-3'!C98+'25-3'!C98+'28-3'!C98+'29-3'!C98+'30-3'!C98+'32-3'!C98+'35-3'!C98+'37-3'!C98+'47-3'!C98+'62-3'!C98+'64-3'!C98+'74-3'!C98</f>
        <v>1568686</v>
      </c>
      <c r="D352" s="106">
        <f>'01-3'!D98+'02-3'!D98+'03-3'!D98+'04-3'!D98+'05-3'!D98+'08-3'!D98+'09-3'!D98+'10-3'!D98+'11-3'!D98+'12-3'!D98+'13-3'!D98+'14-3'!D98+'15-3'!D98+'16-3'!D98+'17-3'!D98+'18-3'!D98+'19-3'!D98+'21-3'!D98+'22-3'!D98+'24-3'!D98+'25-3'!D98+'28-3'!D98+'29-3'!D98+'30-3'!D98+'32-3'!D98+'35-3'!D98+'37-3'!D98+'47-3'!D98+'62-3'!D98+'64-3'!D98+'74-3'!D98</f>
        <v>77760</v>
      </c>
      <c r="E352" s="106">
        <f>'01-3'!E98+'02-3'!E98+'03-3'!E98+'04-3'!E98+'05-3'!E98+'08-3'!E98+'09-3'!E98+'10-3'!E98+'11-3'!E98+'12-3'!E98+'13-3'!E98+'14-3'!E98+'15-3'!E98+'16-3'!E98+'17-3'!E98+'18-3'!E98+'19-3'!E98+'21-3'!E98+'22-3'!E98+'24-3'!E98+'25-3'!E98+'28-3'!E98+'29-3'!E98+'30-3'!E98+'32-3'!E98+'35-3'!E98+'37-3'!E98+'47-3'!E98+'62-3'!E98+'64-3'!E98+'74-3'!E98</f>
        <v>0</v>
      </c>
      <c r="F352" s="106">
        <f>'01-3'!F98+'02-3'!F98+'03-3'!F98+'04-3'!F98+'05-3'!F98+'08-3'!F98+'09-3'!F98+'10-3'!F98+'11-3'!F98+'12-3'!F98+'13-3'!F98+'14-3'!F98+'15-3'!F98+'16-3'!F98+'17-3'!F98+'18-3'!F98+'19-3'!F98+'21-3'!F98+'22-3'!F98+'24-3'!F98+'25-3'!F98+'28-3'!F98+'29-3'!F98+'30-3'!F98+'32-3'!F98+'35-3'!F98+'37-3'!F98+'47-3'!F98+'62-3'!F98+'64-3'!F98+'74-3'!F98</f>
        <v>0</v>
      </c>
      <c r="G352" s="106">
        <f>'01-3'!G98+'02-3'!G98+'03-3'!G98+'04-3'!G98+'05-3'!G98+'08-3'!G98+'09-3'!G98+'10-3'!G98+'11-3'!G98+'12-3'!G98+'13-3'!G98+'14-3'!G98+'15-3'!G98+'16-3'!G98+'17-3'!G98+'18-3'!G98+'19-3'!G98+'21-3'!G98+'22-3'!G98+'24-3'!G98+'25-3'!G98+'28-3'!G98+'29-3'!G98+'30-3'!G98+'32-3'!G98+'35-3'!G98+'37-3'!G98+'47-3'!G98+'62-3'!G98+'64-3'!G98+'74-3'!G98</f>
        <v>20000</v>
      </c>
      <c r="H352" s="106">
        <f>'01-3'!H98+'02-3'!H98+'03-3'!H98+'04-3'!H98+'05-3'!H98+'08-3'!H98+'09-3'!H98+'10-3'!H98+'11-3'!H98+'12-3'!H98+'13-3'!H98+'14-3'!H98+'15-3'!H98+'16-3'!H98+'17-3'!H98+'18-3'!H98+'19-3'!H98+'21-3'!H98+'22-3'!H98+'24-3'!H98+'25-3'!H98+'28-3'!H98+'29-3'!H98+'30-3'!H98+'32-3'!H98+'35-3'!H98+'37-3'!H98+'47-3'!H98+'62-3'!H98+'64-3'!H98+'74-3'!H98</f>
        <v>97760</v>
      </c>
      <c r="I352" s="106">
        <f>'01-3'!I98+'02-3'!I98+'03-3'!I98+'04-3'!I98+'05-3'!I98+'08-3'!I98+'09-3'!I98+'10-3'!I98+'11-3'!I98+'12-3'!I98+'13-3'!I98+'14-3'!I98+'15-3'!I98+'16-3'!I98+'17-3'!I98+'18-3'!I98+'19-3'!I98+'21-3'!I98+'22-3'!I98+'24-3'!I98+'25-3'!I98+'28-3'!I98+'29-3'!I98+'30-3'!I98+'32-3'!I98+'35-3'!I98+'37-3'!I98+'47-3'!I98+'62-3'!I98+'64-3'!I98+'74-3'!I98</f>
        <v>77760</v>
      </c>
      <c r="J352" s="106">
        <f>'01-3'!J98+'02-3'!J98+'03-3'!J98+'04-3'!J98+'05-3'!J98+'08-3'!J98+'09-3'!J98+'10-3'!J98+'11-3'!J98+'12-3'!J98+'13-3'!J98+'14-3'!J98+'15-3'!J98+'16-3'!J98+'17-3'!J98+'18-3'!J98+'19-3'!J98+'21-3'!J98+'22-3'!J98+'24-3'!J98+'25-3'!J98+'28-3'!J98+'29-3'!J98+'30-3'!J98+'32-3'!J98+'35-3'!J98+'37-3'!J98+'47-3'!J98+'62-3'!J98+'64-3'!J98+'74-3'!J98</f>
        <v>0</v>
      </c>
      <c r="K352" s="106">
        <f>'01-3'!K98+'02-3'!K98+'03-3'!K98+'04-3'!K98+'05-3'!K98+'08-3'!K98+'09-3'!K98+'10-3'!K98+'11-3'!K98+'12-3'!K98+'13-3'!K98+'14-3'!K98+'15-3'!K98+'16-3'!K98+'17-3'!K98+'18-3'!K98+'19-3'!K98+'21-3'!K98+'22-3'!K98+'24-3'!K98+'25-3'!K98+'28-3'!K98+'29-3'!K98+'30-3'!K98+'32-3'!K98+'35-3'!K98+'37-3'!K98+'47-3'!K98+'62-3'!K98+'64-3'!K98+'74-3'!K98</f>
        <v>0</v>
      </c>
      <c r="L352" s="106">
        <f>'01-3'!L98+'02-3'!L98+'03-3'!L98+'04-3'!L98+'05-3'!L98+'08-3'!L98+'09-3'!L98+'10-3'!L98+'11-3'!L98+'12-3'!L98+'13-3'!L98+'14-3'!L98+'15-3'!L98+'16-3'!L98+'17-3'!L98+'18-3'!L98+'19-3'!L98+'21-3'!L98+'22-3'!L98+'24-3'!L98+'25-3'!L98+'28-3'!L98+'29-3'!L98+'30-3'!L98+'32-3'!L98+'35-3'!L98+'37-3'!L98+'47-3'!L98+'62-3'!L98+'64-3'!L98+'74-3'!L98</f>
        <v>0</v>
      </c>
      <c r="M352" s="106">
        <f>'01-3'!M98+'02-3'!M98+'03-3'!M98+'04-3'!M98+'05-3'!M98+'08-3'!M98+'09-3'!M98+'10-3'!M98+'11-3'!M98+'12-3'!M98+'13-3'!M98+'14-3'!M98+'15-3'!M98+'16-3'!M98+'17-3'!M98+'18-3'!M98+'19-3'!M98+'21-3'!M98+'22-3'!M98+'24-3'!M98+'25-3'!M98+'28-3'!M98+'29-3'!M98+'30-3'!M98+'32-3'!M98+'35-3'!M98+'37-3'!M98+'47-3'!M98+'62-3'!M98+'64-3'!M98+'74-3'!M98</f>
        <v>77760</v>
      </c>
      <c r="N352" s="106">
        <f>'01-3'!N98+'02-3'!N98+'03-3'!N98+'04-3'!N98+'05-3'!N98+'08-3'!N98+'09-3'!N98+'10-3'!N98+'11-3'!N98+'12-3'!N98+'13-3'!N98+'14-3'!N98+'15-3'!N98+'16-3'!N98+'17-3'!N98+'18-3'!N98+'19-3'!N98+'21-3'!N98+'22-3'!N98+'24-3'!N98+'25-3'!N98+'28-3'!N98+'29-3'!N98+'30-3'!N98+'32-3'!N98+'35-3'!N98+'37-3'!N98+'47-3'!N98+'62-3'!N98+'64-3'!N98+'74-3'!N98</f>
        <v>0</v>
      </c>
      <c r="O352" s="106">
        <f>'01-3'!O98+'02-3'!O98+'03-3'!O98+'04-3'!O98+'05-3'!O98+'08-3'!O98+'09-3'!O98+'10-3'!O98+'11-3'!O98+'12-3'!O98+'13-3'!O98+'14-3'!O98+'15-3'!O98+'16-3'!O98+'17-3'!O98+'18-3'!O98+'19-3'!O98+'21-3'!O98+'22-3'!O98+'24-3'!O98+'25-3'!O98+'28-3'!O98+'29-3'!O98+'30-3'!O98+'32-3'!O98+'35-3'!O98+'37-3'!O98+'47-3'!O98+'62-3'!O98+'64-3'!O98+'74-3'!O98</f>
        <v>0</v>
      </c>
      <c r="P352" s="106">
        <f>'01-3'!P98+'02-3'!P98+'03-3'!P98+'04-3'!P98+'05-3'!P98+'08-3'!P98+'09-3'!P98+'10-3'!P98+'11-3'!P98+'12-3'!P98+'13-3'!P98+'14-3'!P98+'15-3'!P98+'16-3'!P98+'17-3'!P98+'18-3'!P98+'19-3'!P98+'21-3'!P98+'22-3'!P98+'24-3'!P98+'25-3'!P98+'28-3'!P98+'29-3'!P98+'30-3'!P98+'32-3'!P98+'35-3'!P98+'37-3'!P98+'47-3'!P98+'62-3'!P98+'64-3'!P98+'74-3'!P98</f>
        <v>0</v>
      </c>
      <c r="Q352" s="106">
        <f>'01-3'!Q98+'02-3'!Q98+'03-3'!Q98+'04-3'!Q98+'05-3'!Q98+'08-3'!Q98+'09-3'!Q98+'10-3'!Q98+'11-3'!Q98+'12-3'!Q98+'13-3'!Q98+'14-3'!Q98+'15-3'!Q98+'16-3'!Q98+'17-3'!Q98+'18-3'!Q98+'19-3'!Q98+'21-3'!Q98+'22-3'!Q98+'24-3'!Q98+'25-3'!Q98+'28-3'!Q98+'29-3'!Q98+'30-3'!Q98+'32-3'!Q98+'35-3'!Q98+'37-3'!Q98+'47-3'!Q98+'62-3'!Q98+'64-3'!Q98+'74-3'!Q98</f>
        <v>0</v>
      </c>
      <c r="R352" s="106">
        <f>'01-3'!R98+'02-3'!R98+'03-3'!R98+'04-3'!R98+'05-3'!R98+'08-3'!R98+'09-3'!R98+'10-3'!R98+'11-3'!R98+'12-3'!R98+'13-3'!R98+'14-3'!R98+'15-3'!R98+'16-3'!R98+'17-3'!R98+'18-3'!R98+'19-3'!R98+'21-3'!R98+'22-3'!R98+'24-3'!R98+'25-3'!R98+'28-3'!R98+'29-3'!R98+'30-3'!R98+'32-3'!R98+'35-3'!R98+'37-3'!R98+'47-3'!R98+'62-3'!R98+'64-3'!R98+'74-3'!R98</f>
        <v>0</v>
      </c>
      <c r="S352" s="954"/>
      <c r="T352" s="954"/>
      <c r="U352" s="954"/>
      <c r="V352" s="954"/>
      <c r="W352" s="954"/>
    </row>
    <row r="353" spans="1:23" s="6" customFormat="1" ht="12">
      <c r="A353" s="132">
        <v>18000</v>
      </c>
      <c r="B353" s="101" t="s">
        <v>95</v>
      </c>
      <c r="C353" s="106">
        <f>'01-3'!C99+'02-3'!C99+'03-3'!C99+'04-3'!C99+'05-3'!C99+'08-3'!C99+'09-3'!C99+'10-3'!C99+'11-3'!C99+'12-3'!C99+'13-3'!C99+'14-3'!C99+'15-3'!C99+'16-3'!C99+'17-3'!C99+'18-3'!C99+'19-3'!C99+'21-3'!C99+'22-3'!C99+'24-3'!C99+'25-3'!C99+'28-3'!C99+'29-3'!C99+'30-3'!C99+'32-3'!C99+'35-3'!C99+'37-3'!C99+'47-3'!C99+'62-3'!C99+'64-3'!C99+'74-3'!C99</f>
        <v>1568686</v>
      </c>
      <c r="D353" s="106">
        <f>'01-3'!D99+'02-3'!D99+'03-3'!D99+'04-3'!D99+'05-3'!D99+'08-3'!D99+'09-3'!D99+'10-3'!D99+'11-3'!D99+'12-3'!D99+'13-3'!D99+'14-3'!D99+'15-3'!D99+'16-3'!D99+'17-3'!D99+'18-3'!D99+'19-3'!D99+'21-3'!D99+'22-3'!D99+'24-3'!D99+'25-3'!D99+'28-3'!D99+'29-3'!D99+'30-3'!D99+'32-3'!D99+'35-3'!D99+'37-3'!D99+'47-3'!D99+'62-3'!D99+'64-3'!D99+'74-3'!D99</f>
        <v>77760</v>
      </c>
      <c r="E353" s="106">
        <f>'01-3'!E99+'02-3'!E99+'03-3'!E99+'04-3'!E99+'05-3'!E99+'08-3'!E99+'09-3'!E99+'10-3'!E99+'11-3'!E99+'12-3'!E99+'13-3'!E99+'14-3'!E99+'15-3'!E99+'16-3'!E99+'17-3'!E99+'18-3'!E99+'19-3'!E99+'21-3'!E99+'22-3'!E99+'24-3'!E99+'25-3'!E99+'28-3'!E99+'29-3'!E99+'30-3'!E99+'32-3'!E99+'35-3'!E99+'37-3'!E99+'47-3'!E99+'62-3'!E99+'64-3'!E99+'74-3'!E99</f>
        <v>0</v>
      </c>
      <c r="F353" s="106">
        <f>'01-3'!F99+'02-3'!F99+'03-3'!F99+'04-3'!F99+'05-3'!F99+'08-3'!F99+'09-3'!F99+'10-3'!F99+'11-3'!F99+'12-3'!F99+'13-3'!F99+'14-3'!F99+'15-3'!F99+'16-3'!F99+'17-3'!F99+'18-3'!F99+'19-3'!F99+'21-3'!F99+'22-3'!F99+'24-3'!F99+'25-3'!F99+'28-3'!F99+'29-3'!F99+'30-3'!F99+'32-3'!F99+'35-3'!F99+'37-3'!F99+'47-3'!F99+'62-3'!F99+'64-3'!F99+'74-3'!F99</f>
        <v>0</v>
      </c>
      <c r="G353" s="106">
        <f>'01-3'!G99+'02-3'!G99+'03-3'!G99+'04-3'!G99+'05-3'!G99+'08-3'!G99+'09-3'!G99+'10-3'!G99+'11-3'!G99+'12-3'!G99+'13-3'!G99+'14-3'!G99+'15-3'!G99+'16-3'!G99+'17-3'!G99+'18-3'!G99+'19-3'!G99+'21-3'!G99+'22-3'!G99+'24-3'!G99+'25-3'!G99+'28-3'!G99+'29-3'!G99+'30-3'!G99+'32-3'!G99+'35-3'!G99+'37-3'!G99+'47-3'!G99+'62-3'!G99+'64-3'!G99+'74-3'!G99</f>
        <v>20000</v>
      </c>
      <c r="H353" s="106">
        <f>'01-3'!H99+'02-3'!H99+'03-3'!H99+'04-3'!H99+'05-3'!H99+'08-3'!H99+'09-3'!H99+'10-3'!H99+'11-3'!H99+'12-3'!H99+'13-3'!H99+'14-3'!H99+'15-3'!H99+'16-3'!H99+'17-3'!H99+'18-3'!H99+'19-3'!H99+'21-3'!H99+'22-3'!H99+'24-3'!H99+'25-3'!H99+'28-3'!H99+'29-3'!H99+'30-3'!H99+'32-3'!H99+'35-3'!H99+'37-3'!H99+'47-3'!H99+'62-3'!H99+'64-3'!H99+'74-3'!H99</f>
        <v>97760</v>
      </c>
      <c r="I353" s="106">
        <f>'01-3'!I99+'02-3'!I99+'03-3'!I99+'04-3'!I99+'05-3'!I99+'08-3'!I99+'09-3'!I99+'10-3'!I99+'11-3'!I99+'12-3'!I99+'13-3'!I99+'14-3'!I99+'15-3'!I99+'16-3'!I99+'17-3'!I99+'18-3'!I99+'19-3'!I99+'21-3'!I99+'22-3'!I99+'24-3'!I99+'25-3'!I99+'28-3'!I99+'29-3'!I99+'30-3'!I99+'32-3'!I99+'35-3'!I99+'37-3'!I99+'47-3'!I99+'62-3'!I99+'64-3'!I99+'74-3'!I99</f>
        <v>77760</v>
      </c>
      <c r="J353" s="106">
        <f>'01-3'!J99+'02-3'!J99+'03-3'!J99+'04-3'!J99+'05-3'!J99+'08-3'!J99+'09-3'!J99+'10-3'!J99+'11-3'!J99+'12-3'!J99+'13-3'!J99+'14-3'!J99+'15-3'!J99+'16-3'!J99+'17-3'!J99+'18-3'!J99+'19-3'!J99+'21-3'!J99+'22-3'!J99+'24-3'!J99+'25-3'!J99+'28-3'!J99+'29-3'!J99+'30-3'!J99+'32-3'!J99+'35-3'!J99+'37-3'!J99+'47-3'!J99+'62-3'!J99+'64-3'!J99+'74-3'!J99</f>
        <v>0</v>
      </c>
      <c r="K353" s="106">
        <f>'01-3'!K99+'02-3'!K99+'03-3'!K99+'04-3'!K99+'05-3'!K99+'08-3'!K99+'09-3'!K99+'10-3'!K99+'11-3'!K99+'12-3'!K99+'13-3'!K99+'14-3'!K99+'15-3'!K99+'16-3'!K99+'17-3'!K99+'18-3'!K99+'19-3'!K99+'21-3'!K99+'22-3'!K99+'24-3'!K99+'25-3'!K99+'28-3'!K99+'29-3'!K99+'30-3'!K99+'32-3'!K99+'35-3'!K99+'37-3'!K99+'47-3'!K99+'62-3'!K99+'64-3'!K99+'74-3'!K99</f>
        <v>0</v>
      </c>
      <c r="L353" s="106">
        <f>'01-3'!L99+'02-3'!L99+'03-3'!L99+'04-3'!L99+'05-3'!L99+'08-3'!L99+'09-3'!L99+'10-3'!L99+'11-3'!L99+'12-3'!L99+'13-3'!L99+'14-3'!L99+'15-3'!L99+'16-3'!L99+'17-3'!L99+'18-3'!L99+'19-3'!L99+'21-3'!L99+'22-3'!L99+'24-3'!L99+'25-3'!L99+'28-3'!L99+'29-3'!L99+'30-3'!L99+'32-3'!L99+'35-3'!L99+'37-3'!L99+'47-3'!L99+'62-3'!L99+'64-3'!L99+'74-3'!L99</f>
        <v>0</v>
      </c>
      <c r="M353" s="106">
        <f>'01-3'!M99+'02-3'!M99+'03-3'!M99+'04-3'!M99+'05-3'!M99+'08-3'!M99+'09-3'!M99+'10-3'!M99+'11-3'!M99+'12-3'!M99+'13-3'!M99+'14-3'!M99+'15-3'!M99+'16-3'!M99+'17-3'!M99+'18-3'!M99+'19-3'!M99+'21-3'!M99+'22-3'!M99+'24-3'!M99+'25-3'!M99+'28-3'!M99+'29-3'!M99+'30-3'!M99+'32-3'!M99+'35-3'!M99+'37-3'!M99+'47-3'!M99+'62-3'!M99+'64-3'!M99+'74-3'!M99</f>
        <v>77760</v>
      </c>
      <c r="N353" s="106">
        <f>'01-3'!N99+'02-3'!N99+'03-3'!N99+'04-3'!N99+'05-3'!N99+'08-3'!N99+'09-3'!N99+'10-3'!N99+'11-3'!N99+'12-3'!N99+'13-3'!N99+'14-3'!N99+'15-3'!N99+'16-3'!N99+'17-3'!N99+'18-3'!N99+'19-3'!N99+'21-3'!N99+'22-3'!N99+'24-3'!N99+'25-3'!N99+'28-3'!N99+'29-3'!N99+'30-3'!N99+'32-3'!N99+'35-3'!N99+'37-3'!N99+'47-3'!N99+'62-3'!N99+'64-3'!N99+'74-3'!N99</f>
        <v>0</v>
      </c>
      <c r="O353" s="106">
        <f>'01-3'!O99+'02-3'!O99+'03-3'!O99+'04-3'!O99+'05-3'!O99+'08-3'!O99+'09-3'!O99+'10-3'!O99+'11-3'!O99+'12-3'!O99+'13-3'!O99+'14-3'!O99+'15-3'!O99+'16-3'!O99+'17-3'!O99+'18-3'!O99+'19-3'!O99+'21-3'!O99+'22-3'!O99+'24-3'!O99+'25-3'!O99+'28-3'!O99+'29-3'!O99+'30-3'!O99+'32-3'!O99+'35-3'!O99+'37-3'!O99+'47-3'!O99+'62-3'!O99+'64-3'!O99+'74-3'!O99</f>
        <v>0</v>
      </c>
      <c r="P353" s="106">
        <f>'01-3'!P99+'02-3'!P99+'03-3'!P99+'04-3'!P99+'05-3'!P99+'08-3'!P99+'09-3'!P99+'10-3'!P99+'11-3'!P99+'12-3'!P99+'13-3'!P99+'14-3'!P99+'15-3'!P99+'16-3'!P99+'17-3'!P99+'18-3'!P99+'19-3'!P99+'21-3'!P99+'22-3'!P99+'24-3'!P99+'25-3'!P99+'28-3'!P99+'29-3'!P99+'30-3'!P99+'32-3'!P99+'35-3'!P99+'37-3'!P99+'47-3'!P99+'62-3'!P99+'64-3'!P99+'74-3'!P99</f>
        <v>0</v>
      </c>
      <c r="Q353" s="106">
        <f>'01-3'!Q99+'02-3'!Q99+'03-3'!Q99+'04-3'!Q99+'05-3'!Q99+'08-3'!Q99+'09-3'!Q99+'10-3'!Q99+'11-3'!Q99+'12-3'!Q99+'13-3'!Q99+'14-3'!Q99+'15-3'!Q99+'16-3'!Q99+'17-3'!Q99+'18-3'!Q99+'19-3'!Q99+'21-3'!Q99+'22-3'!Q99+'24-3'!Q99+'25-3'!Q99+'28-3'!Q99+'29-3'!Q99+'30-3'!Q99+'32-3'!Q99+'35-3'!Q99+'37-3'!Q99+'47-3'!Q99+'62-3'!Q99+'64-3'!Q99+'74-3'!Q99</f>
        <v>0</v>
      </c>
      <c r="R353" s="106">
        <f>'01-3'!R99+'02-3'!R99+'03-3'!R99+'04-3'!R99+'05-3'!R99+'08-3'!R99+'09-3'!R99+'10-3'!R99+'11-3'!R99+'12-3'!R99+'13-3'!R99+'14-3'!R99+'15-3'!R99+'16-3'!R99+'17-3'!R99+'18-3'!R99+'19-3'!R99+'21-3'!R99+'22-3'!R99+'24-3'!R99+'25-3'!R99+'28-3'!R99+'29-3'!R99+'30-3'!R99+'32-3'!R99+'35-3'!R99+'37-3'!R99+'47-3'!R99+'62-3'!R99+'64-3'!R99+'74-3'!R99</f>
        <v>0</v>
      </c>
      <c r="S353" s="954"/>
      <c r="T353" s="954"/>
      <c r="U353" s="954"/>
      <c r="V353" s="954"/>
      <c r="W353" s="954"/>
    </row>
    <row r="354" spans="1:23" s="6" customFormat="1" ht="12">
      <c r="A354" s="132">
        <v>18100</v>
      </c>
      <c r="B354" s="101" t="s">
        <v>96</v>
      </c>
      <c r="C354" s="106">
        <f>'01-3'!C100+'02-3'!C100+'03-3'!C100+'04-3'!C100+'05-3'!C100+'08-3'!C100+'09-3'!C100+'10-3'!C100+'11-3'!C100+'12-3'!C100+'13-3'!C100+'14-3'!C100+'15-3'!C100+'16-3'!C100+'17-3'!C100+'18-3'!C100+'19-3'!C100+'21-3'!C100+'22-3'!C100+'24-3'!C100+'25-3'!C100+'28-3'!C100+'29-3'!C100+'30-3'!C100+'32-3'!C100+'35-3'!C100+'37-3'!C100+'47-3'!C100+'62-3'!C100+'64-3'!C100+'74-3'!C100</f>
        <v>1568686</v>
      </c>
      <c r="D354" s="106">
        <f>'01-3'!D100+'02-3'!D100+'03-3'!D100+'04-3'!D100+'05-3'!D100+'08-3'!D100+'09-3'!D100+'10-3'!D100+'11-3'!D100+'12-3'!D100+'13-3'!D100+'14-3'!D100+'15-3'!D100+'16-3'!D100+'17-3'!D100+'18-3'!D100+'19-3'!D100+'21-3'!D100+'22-3'!D100+'24-3'!D100+'25-3'!D100+'28-3'!D100+'29-3'!D100+'30-3'!D100+'32-3'!D100+'35-3'!D100+'37-3'!D100+'47-3'!D100+'62-3'!D100+'64-3'!D100+'74-3'!D100</f>
        <v>77760</v>
      </c>
      <c r="E354" s="106">
        <f>'01-3'!E100+'02-3'!E100+'03-3'!E100+'04-3'!E100+'05-3'!E100+'08-3'!E100+'09-3'!E100+'10-3'!E100+'11-3'!E100+'12-3'!E100+'13-3'!E100+'14-3'!E100+'15-3'!E100+'16-3'!E100+'17-3'!E100+'18-3'!E100+'19-3'!E100+'21-3'!E100+'22-3'!E100+'24-3'!E100+'25-3'!E100+'28-3'!E100+'29-3'!E100+'30-3'!E100+'32-3'!E100+'35-3'!E100+'37-3'!E100+'47-3'!E100+'62-3'!E100+'64-3'!E100+'74-3'!E100</f>
        <v>0</v>
      </c>
      <c r="F354" s="106">
        <f>'01-3'!F100+'02-3'!F100+'03-3'!F100+'04-3'!F100+'05-3'!F100+'08-3'!F100+'09-3'!F100+'10-3'!F100+'11-3'!F100+'12-3'!F100+'13-3'!F100+'14-3'!F100+'15-3'!F100+'16-3'!F100+'17-3'!F100+'18-3'!F100+'19-3'!F100+'21-3'!F100+'22-3'!F100+'24-3'!F100+'25-3'!F100+'28-3'!F100+'29-3'!F100+'30-3'!F100+'32-3'!F100+'35-3'!F100+'37-3'!F100+'47-3'!F100+'62-3'!F100+'64-3'!F100+'74-3'!F100</f>
        <v>0</v>
      </c>
      <c r="G354" s="106">
        <f>'01-3'!G100+'02-3'!G100+'03-3'!G100+'04-3'!G100+'05-3'!G100+'08-3'!G100+'09-3'!G100+'10-3'!G100+'11-3'!G100+'12-3'!G100+'13-3'!G100+'14-3'!G100+'15-3'!G100+'16-3'!G100+'17-3'!G100+'18-3'!G100+'19-3'!G100+'21-3'!G100+'22-3'!G100+'24-3'!G100+'25-3'!G100+'28-3'!G100+'29-3'!G100+'30-3'!G100+'32-3'!G100+'35-3'!G100+'37-3'!G100+'47-3'!G100+'62-3'!G100+'64-3'!G100+'74-3'!G100</f>
        <v>20000</v>
      </c>
      <c r="H354" s="106">
        <f>'01-3'!H100+'02-3'!H100+'03-3'!H100+'04-3'!H100+'05-3'!H100+'08-3'!H100+'09-3'!H100+'10-3'!H100+'11-3'!H100+'12-3'!H100+'13-3'!H100+'14-3'!H100+'15-3'!H100+'16-3'!H100+'17-3'!H100+'18-3'!H100+'19-3'!H100+'21-3'!H100+'22-3'!H100+'24-3'!H100+'25-3'!H100+'28-3'!H100+'29-3'!H100+'30-3'!H100+'32-3'!H100+'35-3'!H100+'37-3'!H100+'47-3'!H100+'62-3'!H100+'64-3'!H100+'74-3'!H100</f>
        <v>97760</v>
      </c>
      <c r="I354" s="106">
        <f>'01-3'!I100+'02-3'!I100+'03-3'!I100+'04-3'!I100+'05-3'!I100+'08-3'!I100+'09-3'!I100+'10-3'!I100+'11-3'!I100+'12-3'!I100+'13-3'!I100+'14-3'!I100+'15-3'!I100+'16-3'!I100+'17-3'!I100+'18-3'!I100+'19-3'!I100+'21-3'!I100+'22-3'!I100+'24-3'!I100+'25-3'!I100+'28-3'!I100+'29-3'!I100+'30-3'!I100+'32-3'!I100+'35-3'!I100+'37-3'!I100+'47-3'!I100+'62-3'!I100+'64-3'!I100+'74-3'!I100</f>
        <v>77760</v>
      </c>
      <c r="J354" s="106">
        <f>'01-3'!J100+'02-3'!J100+'03-3'!J100+'04-3'!J100+'05-3'!J100+'08-3'!J100+'09-3'!J100+'10-3'!J100+'11-3'!J100+'12-3'!J100+'13-3'!J100+'14-3'!J100+'15-3'!J100+'16-3'!J100+'17-3'!J100+'18-3'!J100+'19-3'!J100+'21-3'!J100+'22-3'!J100+'24-3'!J100+'25-3'!J100+'28-3'!J100+'29-3'!J100+'30-3'!J100+'32-3'!J100+'35-3'!J100+'37-3'!J100+'47-3'!J100+'62-3'!J100+'64-3'!J100+'74-3'!J100</f>
        <v>0</v>
      </c>
      <c r="K354" s="106">
        <f>'01-3'!K100+'02-3'!K100+'03-3'!K100+'04-3'!K100+'05-3'!K100+'08-3'!K100+'09-3'!K100+'10-3'!K100+'11-3'!K100+'12-3'!K100+'13-3'!K100+'14-3'!K100+'15-3'!K100+'16-3'!K100+'17-3'!K100+'18-3'!K100+'19-3'!K100+'21-3'!K100+'22-3'!K100+'24-3'!K100+'25-3'!K100+'28-3'!K100+'29-3'!K100+'30-3'!K100+'32-3'!K100+'35-3'!K100+'37-3'!K100+'47-3'!K100+'62-3'!K100+'64-3'!K100+'74-3'!K100</f>
        <v>0</v>
      </c>
      <c r="L354" s="106">
        <f>'01-3'!L100+'02-3'!L100+'03-3'!L100+'04-3'!L100+'05-3'!L100+'08-3'!L100+'09-3'!L100+'10-3'!L100+'11-3'!L100+'12-3'!L100+'13-3'!L100+'14-3'!L100+'15-3'!L100+'16-3'!L100+'17-3'!L100+'18-3'!L100+'19-3'!L100+'21-3'!L100+'22-3'!L100+'24-3'!L100+'25-3'!L100+'28-3'!L100+'29-3'!L100+'30-3'!L100+'32-3'!L100+'35-3'!L100+'37-3'!L100+'47-3'!L100+'62-3'!L100+'64-3'!L100+'74-3'!L100</f>
        <v>0</v>
      </c>
      <c r="M354" s="106">
        <f>'01-3'!M100+'02-3'!M100+'03-3'!M100+'04-3'!M100+'05-3'!M100+'08-3'!M100+'09-3'!M100+'10-3'!M100+'11-3'!M100+'12-3'!M100+'13-3'!M100+'14-3'!M100+'15-3'!M100+'16-3'!M100+'17-3'!M100+'18-3'!M100+'19-3'!M100+'21-3'!M100+'22-3'!M100+'24-3'!M100+'25-3'!M100+'28-3'!M100+'29-3'!M100+'30-3'!M100+'32-3'!M100+'35-3'!M100+'37-3'!M100+'47-3'!M100+'62-3'!M100+'64-3'!M100+'74-3'!M100</f>
        <v>77760</v>
      </c>
      <c r="N354" s="106">
        <f>'01-3'!N100+'02-3'!N100+'03-3'!N100+'04-3'!N100+'05-3'!N100+'08-3'!N100+'09-3'!N100+'10-3'!N100+'11-3'!N100+'12-3'!N100+'13-3'!N100+'14-3'!N100+'15-3'!N100+'16-3'!N100+'17-3'!N100+'18-3'!N100+'19-3'!N100+'21-3'!N100+'22-3'!N100+'24-3'!N100+'25-3'!N100+'28-3'!N100+'29-3'!N100+'30-3'!N100+'32-3'!N100+'35-3'!N100+'37-3'!N100+'47-3'!N100+'62-3'!N100+'64-3'!N100+'74-3'!N100</f>
        <v>0</v>
      </c>
      <c r="O354" s="106">
        <f>'01-3'!O100+'02-3'!O100+'03-3'!O100+'04-3'!O100+'05-3'!O100+'08-3'!O100+'09-3'!O100+'10-3'!O100+'11-3'!O100+'12-3'!O100+'13-3'!O100+'14-3'!O100+'15-3'!O100+'16-3'!O100+'17-3'!O100+'18-3'!O100+'19-3'!O100+'21-3'!O100+'22-3'!O100+'24-3'!O100+'25-3'!O100+'28-3'!O100+'29-3'!O100+'30-3'!O100+'32-3'!O100+'35-3'!O100+'37-3'!O100+'47-3'!O100+'62-3'!O100+'64-3'!O100+'74-3'!O100</f>
        <v>0</v>
      </c>
      <c r="P354" s="106">
        <f>'01-3'!P100+'02-3'!P100+'03-3'!P100+'04-3'!P100+'05-3'!P100+'08-3'!P100+'09-3'!P100+'10-3'!P100+'11-3'!P100+'12-3'!P100+'13-3'!P100+'14-3'!P100+'15-3'!P100+'16-3'!P100+'17-3'!P100+'18-3'!P100+'19-3'!P100+'21-3'!P100+'22-3'!P100+'24-3'!P100+'25-3'!P100+'28-3'!P100+'29-3'!P100+'30-3'!P100+'32-3'!P100+'35-3'!P100+'37-3'!P100+'47-3'!P100+'62-3'!P100+'64-3'!P100+'74-3'!P100</f>
        <v>0</v>
      </c>
      <c r="Q354" s="106">
        <f>'01-3'!Q100+'02-3'!Q100+'03-3'!Q100+'04-3'!Q100+'05-3'!Q100+'08-3'!Q100+'09-3'!Q100+'10-3'!Q100+'11-3'!Q100+'12-3'!Q100+'13-3'!Q100+'14-3'!Q100+'15-3'!Q100+'16-3'!Q100+'17-3'!Q100+'18-3'!Q100+'19-3'!Q100+'21-3'!Q100+'22-3'!Q100+'24-3'!Q100+'25-3'!Q100+'28-3'!Q100+'29-3'!Q100+'30-3'!Q100+'32-3'!Q100+'35-3'!Q100+'37-3'!Q100+'47-3'!Q100+'62-3'!Q100+'64-3'!Q100+'74-3'!Q100</f>
        <v>0</v>
      </c>
      <c r="R354" s="106">
        <f>'01-3'!R100+'02-3'!R100+'03-3'!R100+'04-3'!R100+'05-3'!R100+'08-3'!R100+'09-3'!R100+'10-3'!R100+'11-3'!R100+'12-3'!R100+'13-3'!R100+'14-3'!R100+'15-3'!R100+'16-3'!R100+'17-3'!R100+'18-3'!R100+'19-3'!R100+'21-3'!R100+'22-3'!R100+'24-3'!R100+'25-3'!R100+'28-3'!R100+'29-3'!R100+'30-3'!R100+'32-3'!R100+'35-3'!R100+'37-3'!R100+'47-3'!R100+'62-3'!R100+'64-3'!R100+'74-3'!R100</f>
        <v>0</v>
      </c>
      <c r="S354" s="954"/>
      <c r="T354" s="954"/>
      <c r="U354" s="954"/>
      <c r="V354" s="954"/>
      <c r="W354" s="954"/>
    </row>
    <row r="355" spans="1:23" s="6" customFormat="1" ht="24">
      <c r="A355" s="133">
        <v>18130</v>
      </c>
      <c r="B355" s="108" t="s">
        <v>159</v>
      </c>
      <c r="C355" s="106">
        <f>'01-3'!C101+'02-3'!C101+'03-3'!C101+'04-3'!C101+'05-3'!C101+'08-3'!C101+'09-3'!C101+'10-3'!C101+'11-3'!C101+'12-3'!C101+'13-3'!C101+'14-3'!C101+'15-3'!C101+'16-3'!C101+'17-3'!C101+'18-3'!C101+'19-3'!C101+'21-3'!C101+'22-3'!C101+'24-3'!C101+'25-3'!C101+'28-3'!C101+'29-3'!C101+'30-3'!C101+'32-3'!C101+'35-3'!C101+'37-3'!C101+'47-3'!C101+'62-3'!C101+'64-3'!C101+'74-3'!C101</f>
        <v>1568686</v>
      </c>
      <c r="D355" s="106">
        <f>'01-3'!D101+'02-3'!D101+'03-3'!D101+'04-3'!D101+'05-3'!D101+'08-3'!D101+'09-3'!D101+'10-3'!D101+'11-3'!D101+'12-3'!D101+'13-3'!D101+'14-3'!D101+'15-3'!D101+'16-3'!D101+'17-3'!D101+'18-3'!D101+'19-3'!D101+'21-3'!D101+'22-3'!D101+'24-3'!D101+'25-3'!D101+'28-3'!D101+'29-3'!D101+'30-3'!D101+'32-3'!D101+'35-3'!D101+'37-3'!D101+'47-3'!D101+'62-3'!D101+'64-3'!D101+'74-3'!D101</f>
        <v>77760</v>
      </c>
      <c r="E355" s="106">
        <f>'01-3'!E101+'02-3'!E101+'03-3'!E101+'04-3'!E101+'05-3'!E101+'08-3'!E101+'09-3'!E101+'10-3'!E101+'11-3'!E101+'12-3'!E101+'13-3'!E101+'14-3'!E101+'15-3'!E101+'16-3'!E101+'17-3'!E101+'18-3'!E101+'19-3'!E101+'21-3'!E101+'22-3'!E101+'24-3'!E101+'25-3'!E101+'28-3'!E101+'29-3'!E101+'30-3'!E101+'32-3'!E101+'35-3'!E101+'37-3'!E101+'47-3'!E101+'62-3'!E101+'64-3'!E101+'74-3'!E101</f>
        <v>0</v>
      </c>
      <c r="F355" s="106">
        <f>'01-3'!F101+'02-3'!F101+'03-3'!F101+'04-3'!F101+'05-3'!F101+'08-3'!F101+'09-3'!F101+'10-3'!F101+'11-3'!F101+'12-3'!F101+'13-3'!F101+'14-3'!F101+'15-3'!F101+'16-3'!F101+'17-3'!F101+'18-3'!F101+'19-3'!F101+'21-3'!F101+'22-3'!F101+'24-3'!F101+'25-3'!F101+'28-3'!F101+'29-3'!F101+'30-3'!F101+'32-3'!F101+'35-3'!F101+'37-3'!F101+'47-3'!F101+'62-3'!F101+'64-3'!F101+'74-3'!F101</f>
        <v>0</v>
      </c>
      <c r="G355" s="106">
        <f>'01-3'!G101+'02-3'!G101+'03-3'!G101+'04-3'!G101+'05-3'!G101+'08-3'!G101+'09-3'!G101+'10-3'!G101+'11-3'!G101+'12-3'!G101+'13-3'!G101+'14-3'!G101+'15-3'!G101+'16-3'!G101+'17-3'!G101+'18-3'!G101+'19-3'!G101+'21-3'!G101+'22-3'!G101+'24-3'!G101+'25-3'!G101+'28-3'!G101+'29-3'!G101+'30-3'!G101+'32-3'!G101+'35-3'!G101+'37-3'!G101+'47-3'!G101+'62-3'!G101+'64-3'!G101+'74-3'!G101</f>
        <v>20000</v>
      </c>
      <c r="H355" s="106">
        <f>'01-3'!H101+'02-3'!H101+'03-3'!H101+'04-3'!H101+'05-3'!H101+'08-3'!H101+'09-3'!H101+'10-3'!H101+'11-3'!H101+'12-3'!H101+'13-3'!H101+'14-3'!H101+'15-3'!H101+'16-3'!H101+'17-3'!H101+'18-3'!H101+'19-3'!H101+'21-3'!H101+'22-3'!H101+'24-3'!H101+'25-3'!H101+'28-3'!H101+'29-3'!H101+'30-3'!H101+'32-3'!H101+'35-3'!H101+'37-3'!H101+'47-3'!H101+'62-3'!H101+'64-3'!H101+'74-3'!H101</f>
        <v>97760</v>
      </c>
      <c r="I355" s="106">
        <f>'01-3'!I101+'02-3'!I101+'03-3'!I101+'04-3'!I101+'05-3'!I101+'08-3'!I101+'09-3'!I101+'10-3'!I101+'11-3'!I101+'12-3'!I101+'13-3'!I101+'14-3'!I101+'15-3'!I101+'16-3'!I101+'17-3'!I101+'18-3'!I101+'19-3'!I101+'21-3'!I101+'22-3'!I101+'24-3'!I101+'25-3'!I101+'28-3'!I101+'29-3'!I101+'30-3'!I101+'32-3'!I101+'35-3'!I101+'37-3'!I101+'47-3'!I101+'62-3'!I101+'64-3'!I101+'74-3'!I101</f>
        <v>77760</v>
      </c>
      <c r="J355" s="106">
        <f>'01-3'!J101+'02-3'!J101+'03-3'!J101+'04-3'!J101+'05-3'!J101+'08-3'!J101+'09-3'!J101+'10-3'!J101+'11-3'!J101+'12-3'!J101+'13-3'!J101+'14-3'!J101+'15-3'!J101+'16-3'!J101+'17-3'!J101+'18-3'!J101+'19-3'!J101+'21-3'!J101+'22-3'!J101+'24-3'!J101+'25-3'!J101+'28-3'!J101+'29-3'!J101+'30-3'!J101+'32-3'!J101+'35-3'!J101+'37-3'!J101+'47-3'!J101+'62-3'!J101+'64-3'!J101+'74-3'!J101</f>
        <v>0</v>
      </c>
      <c r="K355" s="106">
        <f>'01-3'!K101+'02-3'!K101+'03-3'!K101+'04-3'!K101+'05-3'!K101+'08-3'!K101+'09-3'!K101+'10-3'!K101+'11-3'!K101+'12-3'!K101+'13-3'!K101+'14-3'!K101+'15-3'!K101+'16-3'!K101+'17-3'!K101+'18-3'!K101+'19-3'!K101+'21-3'!K101+'22-3'!K101+'24-3'!K101+'25-3'!K101+'28-3'!K101+'29-3'!K101+'30-3'!K101+'32-3'!K101+'35-3'!K101+'37-3'!K101+'47-3'!K101+'62-3'!K101+'64-3'!K101+'74-3'!K101</f>
        <v>0</v>
      </c>
      <c r="L355" s="106">
        <f>'01-3'!L101+'02-3'!L101+'03-3'!L101+'04-3'!L101+'05-3'!L101+'08-3'!L101+'09-3'!L101+'10-3'!L101+'11-3'!L101+'12-3'!L101+'13-3'!L101+'14-3'!L101+'15-3'!L101+'16-3'!L101+'17-3'!L101+'18-3'!L101+'19-3'!L101+'21-3'!L101+'22-3'!L101+'24-3'!L101+'25-3'!L101+'28-3'!L101+'29-3'!L101+'30-3'!L101+'32-3'!L101+'35-3'!L101+'37-3'!L101+'47-3'!L101+'62-3'!L101+'64-3'!L101+'74-3'!L101</f>
        <v>0</v>
      </c>
      <c r="M355" s="106">
        <f>'01-3'!M101+'02-3'!M101+'03-3'!M101+'04-3'!M101+'05-3'!M101+'08-3'!M101+'09-3'!M101+'10-3'!M101+'11-3'!M101+'12-3'!M101+'13-3'!M101+'14-3'!M101+'15-3'!M101+'16-3'!M101+'17-3'!M101+'18-3'!M101+'19-3'!M101+'21-3'!M101+'22-3'!M101+'24-3'!M101+'25-3'!M101+'28-3'!M101+'29-3'!M101+'30-3'!M101+'32-3'!M101+'35-3'!M101+'37-3'!M101+'47-3'!M101+'62-3'!M101+'64-3'!M101+'74-3'!M101</f>
        <v>77760</v>
      </c>
      <c r="N355" s="106">
        <f>'01-3'!N101+'02-3'!N101+'03-3'!N101+'04-3'!N101+'05-3'!N101+'08-3'!N101+'09-3'!N101+'10-3'!N101+'11-3'!N101+'12-3'!N101+'13-3'!N101+'14-3'!N101+'15-3'!N101+'16-3'!N101+'17-3'!N101+'18-3'!N101+'19-3'!N101+'21-3'!N101+'22-3'!N101+'24-3'!N101+'25-3'!N101+'28-3'!N101+'29-3'!N101+'30-3'!N101+'32-3'!N101+'35-3'!N101+'37-3'!N101+'47-3'!N101+'62-3'!N101+'64-3'!N101+'74-3'!N101</f>
        <v>0</v>
      </c>
      <c r="O355" s="106">
        <f>'01-3'!O101+'02-3'!O101+'03-3'!O101+'04-3'!O101+'05-3'!O101+'08-3'!O101+'09-3'!O101+'10-3'!O101+'11-3'!O101+'12-3'!O101+'13-3'!O101+'14-3'!O101+'15-3'!O101+'16-3'!O101+'17-3'!O101+'18-3'!O101+'19-3'!O101+'21-3'!O101+'22-3'!O101+'24-3'!O101+'25-3'!O101+'28-3'!O101+'29-3'!O101+'30-3'!O101+'32-3'!O101+'35-3'!O101+'37-3'!O101+'47-3'!O101+'62-3'!O101+'64-3'!O101+'74-3'!O101</f>
        <v>0</v>
      </c>
      <c r="P355" s="106">
        <f>'01-3'!P101+'02-3'!P101+'03-3'!P101+'04-3'!P101+'05-3'!P101+'08-3'!P101+'09-3'!P101+'10-3'!P101+'11-3'!P101+'12-3'!P101+'13-3'!P101+'14-3'!P101+'15-3'!P101+'16-3'!P101+'17-3'!P101+'18-3'!P101+'19-3'!P101+'21-3'!P101+'22-3'!P101+'24-3'!P101+'25-3'!P101+'28-3'!P101+'29-3'!P101+'30-3'!P101+'32-3'!P101+'35-3'!P101+'37-3'!P101+'47-3'!P101+'62-3'!P101+'64-3'!P101+'74-3'!P101</f>
        <v>0</v>
      </c>
      <c r="Q355" s="106">
        <f>'01-3'!Q101+'02-3'!Q101+'03-3'!Q101+'04-3'!Q101+'05-3'!Q101+'08-3'!Q101+'09-3'!Q101+'10-3'!Q101+'11-3'!Q101+'12-3'!Q101+'13-3'!Q101+'14-3'!Q101+'15-3'!Q101+'16-3'!Q101+'17-3'!Q101+'18-3'!Q101+'19-3'!Q101+'21-3'!Q101+'22-3'!Q101+'24-3'!Q101+'25-3'!Q101+'28-3'!Q101+'29-3'!Q101+'30-3'!Q101+'32-3'!Q101+'35-3'!Q101+'37-3'!Q101+'47-3'!Q101+'62-3'!Q101+'64-3'!Q101+'74-3'!Q101</f>
        <v>0</v>
      </c>
      <c r="R355" s="106">
        <f>'01-3'!R101+'02-3'!R101+'03-3'!R101+'04-3'!R101+'05-3'!R101+'08-3'!R101+'09-3'!R101+'10-3'!R101+'11-3'!R101+'12-3'!R101+'13-3'!R101+'14-3'!R101+'15-3'!R101+'16-3'!R101+'17-3'!R101+'18-3'!R101+'19-3'!R101+'21-3'!R101+'22-3'!R101+'24-3'!R101+'25-3'!R101+'28-3'!R101+'29-3'!R101+'30-3'!R101+'32-3'!R101+'35-3'!R101+'37-3'!R101+'47-3'!R101+'62-3'!R101+'64-3'!R101+'74-3'!R101</f>
        <v>0</v>
      </c>
      <c r="S355" s="954"/>
      <c r="T355" s="954"/>
      <c r="U355" s="954"/>
      <c r="V355" s="954"/>
      <c r="W355" s="954"/>
    </row>
    <row r="356" spans="1:23" s="6" customFormat="1" ht="36">
      <c r="A356" s="134">
        <v>18131</v>
      </c>
      <c r="B356" s="108" t="s">
        <v>160</v>
      </c>
      <c r="C356" s="106">
        <f>'01-3'!C102+'02-3'!C102+'03-3'!C102+'04-3'!C102+'05-3'!C102+'08-3'!C102+'09-3'!C102+'10-3'!C102+'11-3'!C102+'12-3'!C102+'13-3'!C102+'14-3'!C102+'15-3'!C102+'16-3'!C102+'17-3'!C102+'18-3'!C102+'19-3'!C102+'21-3'!C102+'22-3'!C102+'24-3'!C102+'25-3'!C102+'28-3'!C102+'29-3'!C102+'30-3'!C102+'32-3'!C102+'35-3'!C102+'37-3'!C102+'47-3'!C102+'62-3'!C102+'64-3'!C102+'74-3'!C102</f>
        <v>1568686</v>
      </c>
      <c r="D356" s="106">
        <f>'01-3'!D102+'02-3'!D102+'03-3'!D102+'04-3'!D102+'05-3'!D102+'08-3'!D102+'09-3'!D102+'10-3'!D102+'11-3'!D102+'12-3'!D102+'13-3'!D102+'14-3'!D102+'15-3'!D102+'16-3'!D102+'17-3'!D102+'18-3'!D102+'19-3'!D102+'21-3'!D102+'22-3'!D102+'24-3'!D102+'25-3'!D102+'28-3'!D102+'29-3'!D102+'30-3'!D102+'32-3'!D102+'35-3'!D102+'37-3'!D102+'47-3'!D102+'62-3'!D102+'64-3'!D102+'74-3'!D102</f>
        <v>77760</v>
      </c>
      <c r="E356" s="106">
        <f>'01-3'!E102+'02-3'!E102+'03-3'!E102+'04-3'!E102+'05-3'!E102+'08-3'!E102+'09-3'!E102+'10-3'!E102+'11-3'!E102+'12-3'!E102+'13-3'!E102+'14-3'!E102+'15-3'!E102+'16-3'!E102+'17-3'!E102+'18-3'!E102+'19-3'!E102+'21-3'!E102+'22-3'!E102+'24-3'!E102+'25-3'!E102+'28-3'!E102+'29-3'!E102+'30-3'!E102+'32-3'!E102+'35-3'!E102+'37-3'!E102+'47-3'!E102+'62-3'!E102+'64-3'!E102+'74-3'!E102</f>
        <v>0</v>
      </c>
      <c r="F356" s="106">
        <f>'01-3'!F102+'02-3'!F102+'03-3'!F102+'04-3'!F102+'05-3'!F102+'08-3'!F102+'09-3'!F102+'10-3'!F102+'11-3'!F102+'12-3'!F102+'13-3'!F102+'14-3'!F102+'15-3'!F102+'16-3'!F102+'17-3'!F102+'18-3'!F102+'19-3'!F102+'21-3'!F102+'22-3'!F102+'24-3'!F102+'25-3'!F102+'28-3'!F102+'29-3'!F102+'30-3'!F102+'32-3'!F102+'35-3'!F102+'37-3'!F102+'47-3'!F102+'62-3'!F102+'64-3'!F102+'74-3'!F102</f>
        <v>0</v>
      </c>
      <c r="G356" s="106">
        <f>'01-3'!G102+'02-3'!G102+'03-3'!G102+'04-3'!G102+'05-3'!G102+'08-3'!G102+'09-3'!G102+'10-3'!G102+'11-3'!G102+'12-3'!G102+'13-3'!G102+'14-3'!G102+'15-3'!G102+'16-3'!G102+'17-3'!G102+'18-3'!G102+'19-3'!G102+'21-3'!G102+'22-3'!G102+'24-3'!G102+'25-3'!G102+'28-3'!G102+'29-3'!G102+'30-3'!G102+'32-3'!G102+'35-3'!G102+'37-3'!G102+'47-3'!G102+'62-3'!G102+'64-3'!G102+'74-3'!G102</f>
        <v>20000</v>
      </c>
      <c r="H356" s="106">
        <f>'01-3'!H102+'02-3'!H102+'03-3'!H102+'04-3'!H102+'05-3'!H102+'08-3'!H102+'09-3'!H102+'10-3'!H102+'11-3'!H102+'12-3'!H102+'13-3'!H102+'14-3'!H102+'15-3'!H102+'16-3'!H102+'17-3'!H102+'18-3'!H102+'19-3'!H102+'21-3'!H102+'22-3'!H102+'24-3'!H102+'25-3'!H102+'28-3'!H102+'29-3'!H102+'30-3'!H102+'32-3'!H102+'35-3'!H102+'37-3'!H102+'47-3'!H102+'62-3'!H102+'64-3'!H102+'74-3'!H102</f>
        <v>97760</v>
      </c>
      <c r="I356" s="106">
        <f>'01-3'!I102+'02-3'!I102+'03-3'!I102+'04-3'!I102+'05-3'!I102+'08-3'!I102+'09-3'!I102+'10-3'!I102+'11-3'!I102+'12-3'!I102+'13-3'!I102+'14-3'!I102+'15-3'!I102+'16-3'!I102+'17-3'!I102+'18-3'!I102+'19-3'!I102+'21-3'!I102+'22-3'!I102+'24-3'!I102+'25-3'!I102+'28-3'!I102+'29-3'!I102+'30-3'!I102+'32-3'!I102+'35-3'!I102+'37-3'!I102+'47-3'!I102+'62-3'!I102+'64-3'!I102+'74-3'!I102</f>
        <v>77760</v>
      </c>
      <c r="J356" s="106">
        <f>'01-3'!J102+'02-3'!J102+'03-3'!J102+'04-3'!J102+'05-3'!J102+'08-3'!J102+'09-3'!J102+'10-3'!J102+'11-3'!J102+'12-3'!J102+'13-3'!J102+'14-3'!J102+'15-3'!J102+'16-3'!J102+'17-3'!J102+'18-3'!J102+'19-3'!J102+'21-3'!J102+'22-3'!J102+'24-3'!J102+'25-3'!J102+'28-3'!J102+'29-3'!J102+'30-3'!J102+'32-3'!J102+'35-3'!J102+'37-3'!J102+'47-3'!J102+'62-3'!J102+'64-3'!J102+'74-3'!J102</f>
        <v>0</v>
      </c>
      <c r="K356" s="106">
        <f>'01-3'!K102+'02-3'!K102+'03-3'!K102+'04-3'!K102+'05-3'!K102+'08-3'!K102+'09-3'!K102+'10-3'!K102+'11-3'!K102+'12-3'!K102+'13-3'!K102+'14-3'!K102+'15-3'!K102+'16-3'!K102+'17-3'!K102+'18-3'!K102+'19-3'!K102+'21-3'!K102+'22-3'!K102+'24-3'!K102+'25-3'!K102+'28-3'!K102+'29-3'!K102+'30-3'!K102+'32-3'!K102+'35-3'!K102+'37-3'!K102+'47-3'!K102+'62-3'!K102+'64-3'!K102+'74-3'!K102</f>
        <v>0</v>
      </c>
      <c r="L356" s="106">
        <f>'01-3'!L102+'02-3'!L102+'03-3'!L102+'04-3'!L102+'05-3'!L102+'08-3'!L102+'09-3'!L102+'10-3'!L102+'11-3'!L102+'12-3'!L102+'13-3'!L102+'14-3'!L102+'15-3'!L102+'16-3'!L102+'17-3'!L102+'18-3'!L102+'19-3'!L102+'21-3'!L102+'22-3'!L102+'24-3'!L102+'25-3'!L102+'28-3'!L102+'29-3'!L102+'30-3'!L102+'32-3'!L102+'35-3'!L102+'37-3'!L102+'47-3'!L102+'62-3'!L102+'64-3'!L102+'74-3'!L102</f>
        <v>0</v>
      </c>
      <c r="M356" s="106">
        <f>'01-3'!M102+'02-3'!M102+'03-3'!M102+'04-3'!M102+'05-3'!M102+'08-3'!M102+'09-3'!M102+'10-3'!M102+'11-3'!M102+'12-3'!M102+'13-3'!M102+'14-3'!M102+'15-3'!M102+'16-3'!M102+'17-3'!M102+'18-3'!M102+'19-3'!M102+'21-3'!M102+'22-3'!M102+'24-3'!M102+'25-3'!M102+'28-3'!M102+'29-3'!M102+'30-3'!M102+'32-3'!M102+'35-3'!M102+'37-3'!M102+'47-3'!M102+'62-3'!M102+'64-3'!M102+'74-3'!M102</f>
        <v>77760</v>
      </c>
      <c r="N356" s="106">
        <f>'01-3'!N102+'02-3'!N102+'03-3'!N102+'04-3'!N102+'05-3'!N102+'08-3'!N102+'09-3'!N102+'10-3'!N102+'11-3'!N102+'12-3'!N102+'13-3'!N102+'14-3'!N102+'15-3'!N102+'16-3'!N102+'17-3'!N102+'18-3'!N102+'19-3'!N102+'21-3'!N102+'22-3'!N102+'24-3'!N102+'25-3'!N102+'28-3'!N102+'29-3'!N102+'30-3'!N102+'32-3'!N102+'35-3'!N102+'37-3'!N102+'47-3'!N102+'62-3'!N102+'64-3'!N102+'74-3'!N102</f>
        <v>0</v>
      </c>
      <c r="O356" s="106">
        <f>'01-3'!O102+'02-3'!O102+'03-3'!O102+'04-3'!O102+'05-3'!O102+'08-3'!O102+'09-3'!O102+'10-3'!O102+'11-3'!O102+'12-3'!O102+'13-3'!O102+'14-3'!O102+'15-3'!O102+'16-3'!O102+'17-3'!O102+'18-3'!O102+'19-3'!O102+'21-3'!O102+'22-3'!O102+'24-3'!O102+'25-3'!O102+'28-3'!O102+'29-3'!O102+'30-3'!O102+'32-3'!O102+'35-3'!O102+'37-3'!O102+'47-3'!O102+'62-3'!O102+'64-3'!O102+'74-3'!O102</f>
        <v>0</v>
      </c>
      <c r="P356" s="106">
        <f>'01-3'!P102+'02-3'!P102+'03-3'!P102+'04-3'!P102+'05-3'!P102+'08-3'!P102+'09-3'!P102+'10-3'!P102+'11-3'!P102+'12-3'!P102+'13-3'!P102+'14-3'!P102+'15-3'!P102+'16-3'!P102+'17-3'!P102+'18-3'!P102+'19-3'!P102+'21-3'!P102+'22-3'!P102+'24-3'!P102+'25-3'!P102+'28-3'!P102+'29-3'!P102+'30-3'!P102+'32-3'!P102+'35-3'!P102+'37-3'!P102+'47-3'!P102+'62-3'!P102+'64-3'!P102+'74-3'!P102</f>
        <v>0</v>
      </c>
      <c r="Q356" s="106">
        <f>'01-3'!Q102+'02-3'!Q102+'03-3'!Q102+'04-3'!Q102+'05-3'!Q102+'08-3'!Q102+'09-3'!Q102+'10-3'!Q102+'11-3'!Q102+'12-3'!Q102+'13-3'!Q102+'14-3'!Q102+'15-3'!Q102+'16-3'!Q102+'17-3'!Q102+'18-3'!Q102+'19-3'!Q102+'21-3'!Q102+'22-3'!Q102+'24-3'!Q102+'25-3'!Q102+'28-3'!Q102+'29-3'!Q102+'30-3'!Q102+'32-3'!Q102+'35-3'!Q102+'37-3'!Q102+'47-3'!Q102+'62-3'!Q102+'64-3'!Q102+'74-3'!Q102</f>
        <v>0</v>
      </c>
      <c r="R356" s="106">
        <f>'01-3'!R102+'02-3'!R102+'03-3'!R102+'04-3'!R102+'05-3'!R102+'08-3'!R102+'09-3'!R102+'10-3'!R102+'11-3'!R102+'12-3'!R102+'13-3'!R102+'14-3'!R102+'15-3'!R102+'16-3'!R102+'17-3'!R102+'18-3'!R102+'19-3'!R102+'21-3'!R102+'22-3'!R102+'24-3'!R102+'25-3'!R102+'28-3'!R102+'29-3'!R102+'30-3'!R102+'32-3'!R102+'35-3'!R102+'37-3'!R102+'47-3'!R102+'62-3'!R102+'64-3'!R102+'74-3'!R102</f>
        <v>0</v>
      </c>
      <c r="S356" s="954"/>
      <c r="T356" s="954"/>
      <c r="U356" s="954"/>
      <c r="V356" s="954"/>
      <c r="W356" s="954"/>
    </row>
    <row r="357" spans="1:23" s="6" customFormat="1" ht="24" hidden="1">
      <c r="A357" s="134">
        <v>18132</v>
      </c>
      <c r="B357" s="108" t="s">
        <v>169</v>
      </c>
      <c r="C357" s="106">
        <f>'01-3'!C103+'02-3'!C103+'03-3'!C103+'04-3'!C103+'05-3'!C103+'08-3'!C103+'09-3'!C103+'10-3'!C103+'11-3'!C103+'12-3'!C103+'13-3'!C103+'14-3'!C103+'15-3'!C103+'16-3'!C103+'17-3'!C103+'18-3'!C103+'19-3'!C103+'21-3'!C103+'22-3'!C103+'24-3'!C103+'25-3'!C103+'28-3'!C103+'29-3'!C103+'30-3'!C103+'32-3'!C103+'35-3'!C103+'37-3'!C103+'47-3'!C103+'62-3'!C103+'64-3'!C103+'74-3'!C103</f>
        <v>0</v>
      </c>
      <c r="D357" s="106">
        <f>'01-3'!D103+'02-3'!D103+'03-3'!D103+'04-3'!D103+'05-3'!D103+'08-3'!D103+'09-3'!D103+'10-3'!D103+'11-3'!D103+'12-3'!D103+'13-3'!D103+'14-3'!D103+'15-3'!D103+'16-3'!D103+'17-3'!D103+'18-3'!D103+'19-3'!D103+'21-3'!D103+'22-3'!D103+'24-3'!D103+'25-3'!D103+'28-3'!D103+'29-3'!D103+'30-3'!D103+'32-3'!D103+'35-3'!D103+'37-3'!D103+'47-3'!D103+'62-3'!D103+'64-3'!D103+'74-3'!D103</f>
        <v>0</v>
      </c>
      <c r="E357" s="106">
        <f>'01-3'!E103+'02-3'!E103+'03-3'!E103+'04-3'!E103+'05-3'!E103+'08-3'!E103+'09-3'!E103+'10-3'!E103+'11-3'!E103+'12-3'!E103+'13-3'!E103+'14-3'!E103+'15-3'!E103+'16-3'!E103+'17-3'!E103+'18-3'!E103+'19-3'!E103+'21-3'!E103+'22-3'!E103+'24-3'!E103+'25-3'!E103+'28-3'!E103+'29-3'!E103+'30-3'!E103+'32-3'!E103+'35-3'!E103+'37-3'!E103+'47-3'!E103+'62-3'!E103+'64-3'!E103+'74-3'!E103</f>
        <v>0</v>
      </c>
      <c r="F357" s="106">
        <f>'01-3'!F103+'02-3'!F103+'03-3'!F103+'04-3'!F103+'05-3'!F103+'08-3'!F103+'09-3'!F103+'10-3'!F103+'11-3'!F103+'12-3'!F103+'13-3'!F103+'14-3'!F103+'15-3'!F103+'16-3'!F103+'17-3'!F103+'18-3'!F103+'19-3'!F103+'21-3'!F103+'22-3'!F103+'24-3'!F103+'25-3'!F103+'28-3'!F103+'29-3'!F103+'30-3'!F103+'32-3'!F103+'35-3'!F103+'37-3'!F103+'47-3'!F103+'62-3'!F103+'64-3'!F103+'74-3'!F103</f>
        <v>0</v>
      </c>
      <c r="G357" s="106">
        <f>'01-3'!G103+'02-3'!G103+'03-3'!G103+'04-3'!G103+'05-3'!G103+'08-3'!G103+'09-3'!G103+'10-3'!G103+'11-3'!G103+'12-3'!G103+'13-3'!G103+'14-3'!G103+'15-3'!G103+'16-3'!G103+'17-3'!G103+'18-3'!G103+'19-3'!G103+'21-3'!G103+'22-3'!G103+'24-3'!G103+'25-3'!G103+'28-3'!G103+'29-3'!G103+'30-3'!G103+'32-3'!G103+'35-3'!G103+'37-3'!G103+'47-3'!G103+'62-3'!G103+'64-3'!G103+'74-3'!G103</f>
        <v>0</v>
      </c>
      <c r="H357" s="106">
        <f>'01-3'!H103+'02-3'!H103+'03-3'!H103+'04-3'!H103+'05-3'!H103+'08-3'!H103+'09-3'!H103+'10-3'!H103+'11-3'!H103+'12-3'!H103+'13-3'!H103+'14-3'!H103+'15-3'!H103+'16-3'!H103+'17-3'!H103+'18-3'!H103+'19-3'!H103+'21-3'!H103+'22-3'!H103+'24-3'!H103+'25-3'!H103+'28-3'!H103+'29-3'!H103+'30-3'!H103+'32-3'!H103+'35-3'!H103+'37-3'!H103+'47-3'!H103+'62-3'!H103+'64-3'!H103+'74-3'!H103</f>
        <v>0</v>
      </c>
      <c r="I357" s="106">
        <f>'01-3'!I103+'02-3'!I103+'03-3'!I103+'04-3'!I103+'05-3'!I103+'08-3'!I103+'09-3'!I103+'10-3'!I103+'11-3'!I103+'12-3'!I103+'13-3'!I103+'14-3'!I103+'15-3'!I103+'16-3'!I103+'17-3'!I103+'18-3'!I103+'19-3'!I103+'21-3'!I103+'22-3'!I103+'24-3'!I103+'25-3'!I103+'28-3'!I103+'29-3'!I103+'30-3'!I103+'32-3'!I103+'35-3'!I103+'37-3'!I103+'47-3'!I103+'62-3'!I103+'64-3'!I103+'74-3'!I103</f>
        <v>0</v>
      </c>
      <c r="J357" s="106">
        <f>'01-3'!J103+'02-3'!J103+'03-3'!J103+'04-3'!J103+'05-3'!J103+'08-3'!J103+'09-3'!J103+'10-3'!J103+'11-3'!J103+'12-3'!J103+'13-3'!J103+'14-3'!J103+'15-3'!J103+'16-3'!J103+'17-3'!J103+'18-3'!J103+'19-3'!J103+'21-3'!J103+'22-3'!J103+'24-3'!J103+'25-3'!J103+'28-3'!J103+'29-3'!J103+'30-3'!J103+'32-3'!J103+'35-3'!J103+'37-3'!J103+'47-3'!J103+'62-3'!J103+'64-3'!J103+'74-3'!J103</f>
        <v>0</v>
      </c>
      <c r="K357" s="106">
        <f>'01-3'!K103+'02-3'!K103+'03-3'!K103+'04-3'!K103+'05-3'!K103+'08-3'!K103+'09-3'!K103+'10-3'!K103+'11-3'!K103+'12-3'!K103+'13-3'!K103+'14-3'!K103+'15-3'!K103+'16-3'!K103+'17-3'!K103+'18-3'!K103+'19-3'!K103+'21-3'!K103+'22-3'!K103+'24-3'!K103+'25-3'!K103+'28-3'!K103+'29-3'!K103+'30-3'!K103+'32-3'!K103+'35-3'!K103+'37-3'!K103+'47-3'!K103+'62-3'!K103+'64-3'!K103+'74-3'!K103</f>
        <v>0</v>
      </c>
      <c r="L357" s="106">
        <f>'01-3'!L103+'02-3'!L103+'03-3'!L103+'04-3'!L103+'05-3'!L103+'08-3'!L103+'09-3'!L103+'10-3'!L103+'11-3'!L103+'12-3'!L103+'13-3'!L103+'14-3'!L103+'15-3'!L103+'16-3'!L103+'17-3'!L103+'18-3'!L103+'19-3'!L103+'21-3'!L103+'22-3'!L103+'24-3'!L103+'25-3'!L103+'28-3'!L103+'29-3'!L103+'30-3'!L103+'32-3'!L103+'35-3'!L103+'37-3'!L103+'47-3'!L103+'62-3'!L103+'64-3'!L103+'74-3'!L103</f>
        <v>0</v>
      </c>
      <c r="M357" s="106">
        <f>'01-3'!M103+'02-3'!M103+'03-3'!M103+'04-3'!M103+'05-3'!M103+'08-3'!M103+'09-3'!M103+'10-3'!M103+'11-3'!M103+'12-3'!M103+'13-3'!M103+'14-3'!M103+'15-3'!M103+'16-3'!M103+'17-3'!M103+'18-3'!M103+'19-3'!M103+'21-3'!M103+'22-3'!M103+'24-3'!M103+'25-3'!M103+'28-3'!M103+'29-3'!M103+'30-3'!M103+'32-3'!M103+'35-3'!M103+'37-3'!M103+'47-3'!M103+'62-3'!M103+'64-3'!M103+'74-3'!M103</f>
        <v>0</v>
      </c>
      <c r="N357" s="106">
        <f>'01-3'!N103+'02-3'!N103+'03-3'!N103+'04-3'!N103+'05-3'!N103+'08-3'!N103+'09-3'!N103+'10-3'!N103+'11-3'!N103+'12-3'!N103+'13-3'!N103+'14-3'!N103+'15-3'!N103+'16-3'!N103+'17-3'!N103+'18-3'!N103+'19-3'!N103+'21-3'!N103+'22-3'!N103+'24-3'!N103+'25-3'!N103+'28-3'!N103+'29-3'!N103+'30-3'!N103+'32-3'!N103+'35-3'!N103+'37-3'!N103+'47-3'!N103+'62-3'!N103+'64-3'!N103+'74-3'!N103</f>
        <v>0</v>
      </c>
      <c r="O357" s="106">
        <f>'01-3'!O103+'02-3'!O103+'03-3'!O103+'04-3'!O103+'05-3'!O103+'08-3'!O103+'09-3'!O103+'10-3'!O103+'11-3'!O103+'12-3'!O103+'13-3'!O103+'14-3'!O103+'15-3'!O103+'16-3'!O103+'17-3'!O103+'18-3'!O103+'19-3'!O103+'21-3'!O103+'22-3'!O103+'24-3'!O103+'25-3'!O103+'28-3'!O103+'29-3'!O103+'30-3'!O103+'32-3'!O103+'35-3'!O103+'37-3'!O103+'47-3'!O103+'62-3'!O103+'64-3'!O103+'74-3'!O103</f>
        <v>0</v>
      </c>
      <c r="P357" s="106">
        <f>'01-3'!P103+'02-3'!P103+'03-3'!P103+'04-3'!P103+'05-3'!P103+'08-3'!P103+'09-3'!P103+'10-3'!P103+'11-3'!P103+'12-3'!P103+'13-3'!P103+'14-3'!P103+'15-3'!P103+'16-3'!P103+'17-3'!P103+'18-3'!P103+'19-3'!P103+'21-3'!P103+'22-3'!P103+'24-3'!P103+'25-3'!P103+'28-3'!P103+'29-3'!P103+'30-3'!P103+'32-3'!P103+'35-3'!P103+'37-3'!P103+'47-3'!P103+'62-3'!P103+'64-3'!P103+'74-3'!P103</f>
        <v>0</v>
      </c>
      <c r="Q357" s="106">
        <f>'01-3'!Q103+'02-3'!Q103+'03-3'!Q103+'04-3'!Q103+'05-3'!Q103+'08-3'!Q103+'09-3'!Q103+'10-3'!Q103+'11-3'!Q103+'12-3'!Q103+'13-3'!Q103+'14-3'!Q103+'15-3'!Q103+'16-3'!Q103+'17-3'!Q103+'18-3'!Q103+'19-3'!Q103+'21-3'!Q103+'22-3'!Q103+'24-3'!Q103+'25-3'!Q103+'28-3'!Q103+'29-3'!Q103+'30-3'!Q103+'32-3'!Q103+'35-3'!Q103+'37-3'!Q103+'47-3'!Q103+'62-3'!Q103+'64-3'!Q103+'74-3'!Q103</f>
        <v>0</v>
      </c>
      <c r="R357" s="106">
        <f>'01-3'!R103+'02-3'!R103+'03-3'!R103+'04-3'!R103+'05-3'!R103+'08-3'!R103+'09-3'!R103+'10-3'!R103+'11-3'!R103+'12-3'!R103+'13-3'!R103+'14-3'!R103+'15-3'!R103+'16-3'!R103+'17-3'!R103+'18-3'!R103+'19-3'!R103+'21-3'!R103+'22-3'!R103+'24-3'!R103+'25-3'!R103+'28-3'!R103+'29-3'!R103+'30-3'!R103+'32-3'!R103+'35-3'!R103+'37-3'!R103+'47-3'!R103+'62-3'!R103+'64-3'!R103+'74-3'!R103</f>
        <v>0</v>
      </c>
      <c r="S357" s="954"/>
      <c r="T357" s="954"/>
      <c r="U357" s="954"/>
      <c r="V357" s="954"/>
      <c r="W357" s="954"/>
    </row>
    <row r="358" spans="1:23" s="6" customFormat="1" ht="24" hidden="1">
      <c r="A358" s="134">
        <v>18139</v>
      </c>
      <c r="B358" s="108" t="s">
        <v>179</v>
      </c>
      <c r="C358" s="106">
        <f>'01-3'!C104+'02-3'!C104+'03-3'!C104+'04-3'!C104+'05-3'!C104+'08-3'!C104+'09-3'!C104+'10-3'!C104+'11-3'!C104+'12-3'!C104+'13-3'!C104+'14-3'!C104+'15-3'!C104+'16-3'!C104+'17-3'!C104+'18-3'!C104+'19-3'!C104+'21-3'!C104+'22-3'!C104+'24-3'!C104+'25-3'!C104+'28-3'!C104+'29-3'!C104+'30-3'!C104+'32-3'!C104+'35-3'!C104+'37-3'!C104+'47-3'!C104+'62-3'!C104+'64-3'!C104+'74-3'!C104</f>
        <v>0</v>
      </c>
      <c r="D358" s="106">
        <f>'01-3'!D104+'02-3'!D104+'03-3'!D104+'04-3'!D104+'05-3'!D104+'08-3'!D104+'09-3'!D104+'10-3'!D104+'11-3'!D104+'12-3'!D104+'13-3'!D104+'14-3'!D104+'15-3'!D104+'16-3'!D104+'17-3'!D104+'18-3'!D104+'19-3'!D104+'21-3'!D104+'22-3'!D104+'24-3'!D104+'25-3'!D104+'28-3'!D104+'29-3'!D104+'30-3'!D104+'32-3'!D104+'35-3'!D104+'37-3'!D104+'47-3'!D104+'62-3'!D104+'64-3'!D104+'74-3'!D104</f>
        <v>0</v>
      </c>
      <c r="E358" s="106">
        <f>'01-3'!E104+'02-3'!E104+'03-3'!E104+'04-3'!E104+'05-3'!E104+'08-3'!E104+'09-3'!E104+'10-3'!E104+'11-3'!E104+'12-3'!E104+'13-3'!E104+'14-3'!E104+'15-3'!E104+'16-3'!E104+'17-3'!E104+'18-3'!E104+'19-3'!E104+'21-3'!E104+'22-3'!E104+'24-3'!E104+'25-3'!E104+'28-3'!E104+'29-3'!E104+'30-3'!E104+'32-3'!E104+'35-3'!E104+'37-3'!E104+'47-3'!E104+'62-3'!E104+'64-3'!E104+'74-3'!E104</f>
        <v>0</v>
      </c>
      <c r="F358" s="106">
        <f>'01-3'!F104+'02-3'!F104+'03-3'!F104+'04-3'!F104+'05-3'!F104+'08-3'!F104+'09-3'!F104+'10-3'!F104+'11-3'!F104+'12-3'!F104+'13-3'!F104+'14-3'!F104+'15-3'!F104+'16-3'!F104+'17-3'!F104+'18-3'!F104+'19-3'!F104+'21-3'!F104+'22-3'!F104+'24-3'!F104+'25-3'!F104+'28-3'!F104+'29-3'!F104+'30-3'!F104+'32-3'!F104+'35-3'!F104+'37-3'!F104+'47-3'!F104+'62-3'!F104+'64-3'!F104+'74-3'!F104</f>
        <v>0</v>
      </c>
      <c r="G358" s="106">
        <f>'01-3'!G104+'02-3'!G104+'03-3'!G104+'04-3'!G104+'05-3'!G104+'08-3'!G104+'09-3'!G104+'10-3'!G104+'11-3'!G104+'12-3'!G104+'13-3'!G104+'14-3'!G104+'15-3'!G104+'16-3'!G104+'17-3'!G104+'18-3'!G104+'19-3'!G104+'21-3'!G104+'22-3'!G104+'24-3'!G104+'25-3'!G104+'28-3'!G104+'29-3'!G104+'30-3'!G104+'32-3'!G104+'35-3'!G104+'37-3'!G104+'47-3'!G104+'62-3'!G104+'64-3'!G104+'74-3'!G104</f>
        <v>0</v>
      </c>
      <c r="H358" s="106">
        <f>'01-3'!H104+'02-3'!H104+'03-3'!H104+'04-3'!H104+'05-3'!H104+'08-3'!H104+'09-3'!H104+'10-3'!H104+'11-3'!H104+'12-3'!H104+'13-3'!H104+'14-3'!H104+'15-3'!H104+'16-3'!H104+'17-3'!H104+'18-3'!H104+'19-3'!H104+'21-3'!H104+'22-3'!H104+'24-3'!H104+'25-3'!H104+'28-3'!H104+'29-3'!H104+'30-3'!H104+'32-3'!H104+'35-3'!H104+'37-3'!H104+'47-3'!H104+'62-3'!H104+'64-3'!H104+'74-3'!H104</f>
        <v>0</v>
      </c>
      <c r="I358" s="106">
        <f>'01-3'!I104+'02-3'!I104+'03-3'!I104+'04-3'!I104+'05-3'!I104+'08-3'!I104+'09-3'!I104+'10-3'!I104+'11-3'!I104+'12-3'!I104+'13-3'!I104+'14-3'!I104+'15-3'!I104+'16-3'!I104+'17-3'!I104+'18-3'!I104+'19-3'!I104+'21-3'!I104+'22-3'!I104+'24-3'!I104+'25-3'!I104+'28-3'!I104+'29-3'!I104+'30-3'!I104+'32-3'!I104+'35-3'!I104+'37-3'!I104+'47-3'!I104+'62-3'!I104+'64-3'!I104+'74-3'!I104</f>
        <v>0</v>
      </c>
      <c r="J358" s="106">
        <f>'01-3'!J104+'02-3'!J104+'03-3'!J104+'04-3'!J104+'05-3'!J104+'08-3'!J104+'09-3'!J104+'10-3'!J104+'11-3'!J104+'12-3'!J104+'13-3'!J104+'14-3'!J104+'15-3'!J104+'16-3'!J104+'17-3'!J104+'18-3'!J104+'19-3'!J104+'21-3'!J104+'22-3'!J104+'24-3'!J104+'25-3'!J104+'28-3'!J104+'29-3'!J104+'30-3'!J104+'32-3'!J104+'35-3'!J104+'37-3'!J104+'47-3'!J104+'62-3'!J104+'64-3'!J104+'74-3'!J104</f>
        <v>0</v>
      </c>
      <c r="K358" s="106">
        <f>'01-3'!K104+'02-3'!K104+'03-3'!K104+'04-3'!K104+'05-3'!K104+'08-3'!K104+'09-3'!K104+'10-3'!K104+'11-3'!K104+'12-3'!K104+'13-3'!K104+'14-3'!K104+'15-3'!K104+'16-3'!K104+'17-3'!K104+'18-3'!K104+'19-3'!K104+'21-3'!K104+'22-3'!K104+'24-3'!K104+'25-3'!K104+'28-3'!K104+'29-3'!K104+'30-3'!K104+'32-3'!K104+'35-3'!K104+'37-3'!K104+'47-3'!K104+'62-3'!K104+'64-3'!K104+'74-3'!K104</f>
        <v>0</v>
      </c>
      <c r="L358" s="106">
        <f>'01-3'!L104+'02-3'!L104+'03-3'!L104+'04-3'!L104+'05-3'!L104+'08-3'!L104+'09-3'!L104+'10-3'!L104+'11-3'!L104+'12-3'!L104+'13-3'!L104+'14-3'!L104+'15-3'!L104+'16-3'!L104+'17-3'!L104+'18-3'!L104+'19-3'!L104+'21-3'!L104+'22-3'!L104+'24-3'!L104+'25-3'!L104+'28-3'!L104+'29-3'!L104+'30-3'!L104+'32-3'!L104+'35-3'!L104+'37-3'!L104+'47-3'!L104+'62-3'!L104+'64-3'!L104+'74-3'!L104</f>
        <v>0</v>
      </c>
      <c r="M358" s="106">
        <f>'01-3'!M104+'02-3'!M104+'03-3'!M104+'04-3'!M104+'05-3'!M104+'08-3'!M104+'09-3'!M104+'10-3'!M104+'11-3'!M104+'12-3'!M104+'13-3'!M104+'14-3'!M104+'15-3'!M104+'16-3'!M104+'17-3'!M104+'18-3'!M104+'19-3'!M104+'21-3'!M104+'22-3'!M104+'24-3'!M104+'25-3'!M104+'28-3'!M104+'29-3'!M104+'30-3'!M104+'32-3'!M104+'35-3'!M104+'37-3'!M104+'47-3'!M104+'62-3'!M104+'64-3'!M104+'74-3'!M104</f>
        <v>0</v>
      </c>
      <c r="N358" s="106">
        <f>'01-3'!N104+'02-3'!N104+'03-3'!N104+'04-3'!N104+'05-3'!N104+'08-3'!N104+'09-3'!N104+'10-3'!N104+'11-3'!N104+'12-3'!N104+'13-3'!N104+'14-3'!N104+'15-3'!N104+'16-3'!N104+'17-3'!N104+'18-3'!N104+'19-3'!N104+'21-3'!N104+'22-3'!N104+'24-3'!N104+'25-3'!N104+'28-3'!N104+'29-3'!N104+'30-3'!N104+'32-3'!N104+'35-3'!N104+'37-3'!N104+'47-3'!N104+'62-3'!N104+'64-3'!N104+'74-3'!N104</f>
        <v>0</v>
      </c>
      <c r="O358" s="106">
        <f>'01-3'!O104+'02-3'!O104+'03-3'!O104+'04-3'!O104+'05-3'!O104+'08-3'!O104+'09-3'!O104+'10-3'!O104+'11-3'!O104+'12-3'!O104+'13-3'!O104+'14-3'!O104+'15-3'!O104+'16-3'!O104+'17-3'!O104+'18-3'!O104+'19-3'!O104+'21-3'!O104+'22-3'!O104+'24-3'!O104+'25-3'!O104+'28-3'!O104+'29-3'!O104+'30-3'!O104+'32-3'!O104+'35-3'!O104+'37-3'!O104+'47-3'!O104+'62-3'!O104+'64-3'!O104+'74-3'!O104</f>
        <v>0</v>
      </c>
      <c r="P358" s="106">
        <f>'01-3'!P104+'02-3'!P104+'03-3'!P104+'04-3'!P104+'05-3'!P104+'08-3'!P104+'09-3'!P104+'10-3'!P104+'11-3'!P104+'12-3'!P104+'13-3'!P104+'14-3'!P104+'15-3'!P104+'16-3'!P104+'17-3'!P104+'18-3'!P104+'19-3'!P104+'21-3'!P104+'22-3'!P104+'24-3'!P104+'25-3'!P104+'28-3'!P104+'29-3'!P104+'30-3'!P104+'32-3'!P104+'35-3'!P104+'37-3'!P104+'47-3'!P104+'62-3'!P104+'64-3'!P104+'74-3'!P104</f>
        <v>0</v>
      </c>
      <c r="Q358" s="106">
        <f>'01-3'!Q104+'02-3'!Q104+'03-3'!Q104+'04-3'!Q104+'05-3'!Q104+'08-3'!Q104+'09-3'!Q104+'10-3'!Q104+'11-3'!Q104+'12-3'!Q104+'13-3'!Q104+'14-3'!Q104+'15-3'!Q104+'16-3'!Q104+'17-3'!Q104+'18-3'!Q104+'19-3'!Q104+'21-3'!Q104+'22-3'!Q104+'24-3'!Q104+'25-3'!Q104+'28-3'!Q104+'29-3'!Q104+'30-3'!Q104+'32-3'!Q104+'35-3'!Q104+'37-3'!Q104+'47-3'!Q104+'62-3'!Q104+'64-3'!Q104+'74-3'!Q104</f>
        <v>0</v>
      </c>
      <c r="R358" s="106">
        <f>'01-3'!R104+'02-3'!R104+'03-3'!R104+'04-3'!R104+'05-3'!R104+'08-3'!R104+'09-3'!R104+'10-3'!R104+'11-3'!R104+'12-3'!R104+'13-3'!R104+'14-3'!R104+'15-3'!R104+'16-3'!R104+'17-3'!R104+'18-3'!R104+'19-3'!R104+'21-3'!R104+'22-3'!R104+'24-3'!R104+'25-3'!R104+'28-3'!R104+'29-3'!R104+'30-3'!R104+'32-3'!R104+'35-3'!R104+'37-3'!R104+'47-3'!R104+'62-3'!R104+'64-3'!R104+'74-3'!R104</f>
        <v>0</v>
      </c>
      <c r="S358" s="954"/>
      <c r="T358" s="954"/>
      <c r="U358" s="954"/>
      <c r="V358" s="954"/>
      <c r="W358" s="954"/>
    </row>
    <row r="359" spans="1:23" s="6" customFormat="1" ht="12" hidden="1">
      <c r="A359" s="135" t="s">
        <v>180</v>
      </c>
      <c r="B359" s="109" t="s">
        <v>173</v>
      </c>
      <c r="C359" s="106">
        <f>'01-3'!C105+'02-3'!C105+'03-3'!C105+'04-3'!C105+'05-3'!C105+'08-3'!C105+'09-3'!C105+'10-3'!C105+'11-3'!C105+'12-3'!C105+'13-3'!C105+'14-3'!C105+'15-3'!C105+'16-3'!C105+'17-3'!C105+'18-3'!C105+'19-3'!C105+'21-3'!C105+'22-3'!C105+'24-3'!C105+'25-3'!C105+'28-3'!C105+'29-3'!C105+'30-3'!C105+'32-3'!C105+'35-3'!C105+'37-3'!C105+'47-3'!C105+'62-3'!C105+'64-3'!C105+'74-3'!C105</f>
        <v>0</v>
      </c>
      <c r="D359" s="106">
        <f>'01-3'!D105+'02-3'!D105+'03-3'!D105+'04-3'!D105+'05-3'!D105+'08-3'!D105+'09-3'!D105+'10-3'!D105+'11-3'!D105+'12-3'!D105+'13-3'!D105+'14-3'!D105+'15-3'!D105+'16-3'!D105+'17-3'!D105+'18-3'!D105+'19-3'!D105+'21-3'!D105+'22-3'!D105+'24-3'!D105+'25-3'!D105+'28-3'!D105+'29-3'!D105+'30-3'!D105+'32-3'!D105+'35-3'!D105+'37-3'!D105+'47-3'!D105+'62-3'!D105+'64-3'!D105+'74-3'!D105</f>
        <v>0</v>
      </c>
      <c r="E359" s="106">
        <f>'01-3'!E105+'02-3'!E105+'03-3'!E105+'04-3'!E105+'05-3'!E105+'08-3'!E105+'09-3'!E105+'10-3'!E105+'11-3'!E105+'12-3'!E105+'13-3'!E105+'14-3'!E105+'15-3'!E105+'16-3'!E105+'17-3'!E105+'18-3'!E105+'19-3'!E105+'21-3'!E105+'22-3'!E105+'24-3'!E105+'25-3'!E105+'28-3'!E105+'29-3'!E105+'30-3'!E105+'32-3'!E105+'35-3'!E105+'37-3'!E105+'47-3'!E105+'62-3'!E105+'64-3'!E105+'74-3'!E105</f>
        <v>0</v>
      </c>
      <c r="F359" s="106">
        <f>'01-3'!F105+'02-3'!F105+'03-3'!F105+'04-3'!F105+'05-3'!F105+'08-3'!F105+'09-3'!F105+'10-3'!F105+'11-3'!F105+'12-3'!F105+'13-3'!F105+'14-3'!F105+'15-3'!F105+'16-3'!F105+'17-3'!F105+'18-3'!F105+'19-3'!F105+'21-3'!F105+'22-3'!F105+'24-3'!F105+'25-3'!F105+'28-3'!F105+'29-3'!F105+'30-3'!F105+'32-3'!F105+'35-3'!F105+'37-3'!F105+'47-3'!F105+'62-3'!F105+'64-3'!F105+'74-3'!F105</f>
        <v>0</v>
      </c>
      <c r="G359" s="106">
        <f>'01-3'!G105+'02-3'!G105+'03-3'!G105+'04-3'!G105+'05-3'!G105+'08-3'!G105+'09-3'!G105+'10-3'!G105+'11-3'!G105+'12-3'!G105+'13-3'!G105+'14-3'!G105+'15-3'!G105+'16-3'!G105+'17-3'!G105+'18-3'!G105+'19-3'!G105+'21-3'!G105+'22-3'!G105+'24-3'!G105+'25-3'!G105+'28-3'!G105+'29-3'!G105+'30-3'!G105+'32-3'!G105+'35-3'!G105+'37-3'!G105+'47-3'!G105+'62-3'!G105+'64-3'!G105+'74-3'!G105</f>
        <v>0</v>
      </c>
      <c r="H359" s="106">
        <f>'01-3'!H105+'02-3'!H105+'03-3'!H105+'04-3'!H105+'05-3'!H105+'08-3'!H105+'09-3'!H105+'10-3'!H105+'11-3'!H105+'12-3'!H105+'13-3'!H105+'14-3'!H105+'15-3'!H105+'16-3'!H105+'17-3'!H105+'18-3'!H105+'19-3'!H105+'21-3'!H105+'22-3'!H105+'24-3'!H105+'25-3'!H105+'28-3'!H105+'29-3'!H105+'30-3'!H105+'32-3'!H105+'35-3'!H105+'37-3'!H105+'47-3'!H105+'62-3'!H105+'64-3'!H105+'74-3'!H105</f>
        <v>0</v>
      </c>
      <c r="I359" s="106">
        <f>'01-3'!I105+'02-3'!I105+'03-3'!I105+'04-3'!I105+'05-3'!I105+'08-3'!I105+'09-3'!I105+'10-3'!I105+'11-3'!I105+'12-3'!I105+'13-3'!I105+'14-3'!I105+'15-3'!I105+'16-3'!I105+'17-3'!I105+'18-3'!I105+'19-3'!I105+'21-3'!I105+'22-3'!I105+'24-3'!I105+'25-3'!I105+'28-3'!I105+'29-3'!I105+'30-3'!I105+'32-3'!I105+'35-3'!I105+'37-3'!I105+'47-3'!I105+'62-3'!I105+'64-3'!I105+'74-3'!I105</f>
        <v>0</v>
      </c>
      <c r="J359" s="106">
        <f>'01-3'!J105+'02-3'!J105+'03-3'!J105+'04-3'!J105+'05-3'!J105+'08-3'!J105+'09-3'!J105+'10-3'!J105+'11-3'!J105+'12-3'!J105+'13-3'!J105+'14-3'!J105+'15-3'!J105+'16-3'!J105+'17-3'!J105+'18-3'!J105+'19-3'!J105+'21-3'!J105+'22-3'!J105+'24-3'!J105+'25-3'!J105+'28-3'!J105+'29-3'!J105+'30-3'!J105+'32-3'!J105+'35-3'!J105+'37-3'!J105+'47-3'!J105+'62-3'!J105+'64-3'!J105+'74-3'!J105</f>
        <v>0</v>
      </c>
      <c r="K359" s="106">
        <f>'01-3'!K105+'02-3'!K105+'03-3'!K105+'04-3'!K105+'05-3'!K105+'08-3'!K105+'09-3'!K105+'10-3'!K105+'11-3'!K105+'12-3'!K105+'13-3'!K105+'14-3'!K105+'15-3'!K105+'16-3'!K105+'17-3'!K105+'18-3'!K105+'19-3'!K105+'21-3'!K105+'22-3'!K105+'24-3'!K105+'25-3'!K105+'28-3'!K105+'29-3'!K105+'30-3'!K105+'32-3'!K105+'35-3'!K105+'37-3'!K105+'47-3'!K105+'62-3'!K105+'64-3'!K105+'74-3'!K105</f>
        <v>0</v>
      </c>
      <c r="L359" s="106">
        <f>'01-3'!L105+'02-3'!L105+'03-3'!L105+'04-3'!L105+'05-3'!L105+'08-3'!L105+'09-3'!L105+'10-3'!L105+'11-3'!L105+'12-3'!L105+'13-3'!L105+'14-3'!L105+'15-3'!L105+'16-3'!L105+'17-3'!L105+'18-3'!L105+'19-3'!L105+'21-3'!L105+'22-3'!L105+'24-3'!L105+'25-3'!L105+'28-3'!L105+'29-3'!L105+'30-3'!L105+'32-3'!L105+'35-3'!L105+'37-3'!L105+'47-3'!L105+'62-3'!L105+'64-3'!L105+'74-3'!L105</f>
        <v>0</v>
      </c>
      <c r="M359" s="106">
        <f>'01-3'!M105+'02-3'!M105+'03-3'!M105+'04-3'!M105+'05-3'!M105+'08-3'!M105+'09-3'!M105+'10-3'!M105+'11-3'!M105+'12-3'!M105+'13-3'!M105+'14-3'!M105+'15-3'!M105+'16-3'!M105+'17-3'!M105+'18-3'!M105+'19-3'!M105+'21-3'!M105+'22-3'!M105+'24-3'!M105+'25-3'!M105+'28-3'!M105+'29-3'!M105+'30-3'!M105+'32-3'!M105+'35-3'!M105+'37-3'!M105+'47-3'!M105+'62-3'!M105+'64-3'!M105+'74-3'!M105</f>
        <v>0</v>
      </c>
      <c r="N359" s="106">
        <f>'01-3'!N105+'02-3'!N105+'03-3'!N105+'04-3'!N105+'05-3'!N105+'08-3'!N105+'09-3'!N105+'10-3'!N105+'11-3'!N105+'12-3'!N105+'13-3'!N105+'14-3'!N105+'15-3'!N105+'16-3'!N105+'17-3'!N105+'18-3'!N105+'19-3'!N105+'21-3'!N105+'22-3'!N105+'24-3'!N105+'25-3'!N105+'28-3'!N105+'29-3'!N105+'30-3'!N105+'32-3'!N105+'35-3'!N105+'37-3'!N105+'47-3'!N105+'62-3'!N105+'64-3'!N105+'74-3'!N105</f>
        <v>0</v>
      </c>
      <c r="O359" s="106">
        <f>'01-3'!O105+'02-3'!O105+'03-3'!O105+'04-3'!O105+'05-3'!O105+'08-3'!O105+'09-3'!O105+'10-3'!O105+'11-3'!O105+'12-3'!O105+'13-3'!O105+'14-3'!O105+'15-3'!O105+'16-3'!O105+'17-3'!O105+'18-3'!O105+'19-3'!O105+'21-3'!O105+'22-3'!O105+'24-3'!O105+'25-3'!O105+'28-3'!O105+'29-3'!O105+'30-3'!O105+'32-3'!O105+'35-3'!O105+'37-3'!O105+'47-3'!O105+'62-3'!O105+'64-3'!O105+'74-3'!O105</f>
        <v>0</v>
      </c>
      <c r="P359" s="106">
        <f>'01-3'!P105+'02-3'!P105+'03-3'!P105+'04-3'!P105+'05-3'!P105+'08-3'!P105+'09-3'!P105+'10-3'!P105+'11-3'!P105+'12-3'!P105+'13-3'!P105+'14-3'!P105+'15-3'!P105+'16-3'!P105+'17-3'!P105+'18-3'!P105+'19-3'!P105+'21-3'!P105+'22-3'!P105+'24-3'!P105+'25-3'!P105+'28-3'!P105+'29-3'!P105+'30-3'!P105+'32-3'!P105+'35-3'!P105+'37-3'!P105+'47-3'!P105+'62-3'!P105+'64-3'!P105+'74-3'!P105</f>
        <v>0</v>
      </c>
      <c r="Q359" s="106">
        <f>'01-3'!Q105+'02-3'!Q105+'03-3'!Q105+'04-3'!Q105+'05-3'!Q105+'08-3'!Q105+'09-3'!Q105+'10-3'!Q105+'11-3'!Q105+'12-3'!Q105+'13-3'!Q105+'14-3'!Q105+'15-3'!Q105+'16-3'!Q105+'17-3'!Q105+'18-3'!Q105+'19-3'!Q105+'21-3'!Q105+'22-3'!Q105+'24-3'!Q105+'25-3'!Q105+'28-3'!Q105+'29-3'!Q105+'30-3'!Q105+'32-3'!Q105+'35-3'!Q105+'37-3'!Q105+'47-3'!Q105+'62-3'!Q105+'64-3'!Q105+'74-3'!Q105</f>
        <v>0</v>
      </c>
      <c r="R359" s="106">
        <f>'01-3'!R105+'02-3'!R105+'03-3'!R105+'04-3'!R105+'05-3'!R105+'08-3'!R105+'09-3'!R105+'10-3'!R105+'11-3'!R105+'12-3'!R105+'13-3'!R105+'14-3'!R105+'15-3'!R105+'16-3'!R105+'17-3'!R105+'18-3'!R105+'19-3'!R105+'21-3'!R105+'22-3'!R105+'24-3'!R105+'25-3'!R105+'28-3'!R105+'29-3'!R105+'30-3'!R105+'32-3'!R105+'35-3'!R105+'37-3'!R105+'47-3'!R105+'62-3'!R105+'64-3'!R105+'74-3'!R105</f>
        <v>0</v>
      </c>
      <c r="S359" s="954"/>
      <c r="T359" s="954"/>
      <c r="U359" s="954"/>
      <c r="V359" s="954"/>
      <c r="W359" s="954"/>
    </row>
    <row r="360" spans="1:23" s="6" customFormat="1" ht="24" hidden="1">
      <c r="A360" s="135">
        <v>19500</v>
      </c>
      <c r="B360" s="108" t="s">
        <v>174</v>
      </c>
      <c r="C360" s="106">
        <f>'01-3'!C106+'02-3'!C106+'03-3'!C106+'04-3'!C106+'05-3'!C106+'08-3'!C106+'09-3'!C106+'10-3'!C106+'11-3'!C106+'12-3'!C106+'13-3'!C106+'14-3'!C106+'15-3'!C106+'16-3'!C106+'17-3'!C106+'18-3'!C106+'19-3'!C106+'21-3'!C106+'22-3'!C106+'24-3'!C106+'25-3'!C106+'28-3'!C106+'29-3'!C106+'30-3'!C106+'32-3'!C106+'35-3'!C106+'37-3'!C106+'47-3'!C106+'62-3'!C106+'64-3'!C106+'74-3'!C106</f>
        <v>0</v>
      </c>
      <c r="D360" s="106">
        <f>'01-3'!D106+'02-3'!D106+'03-3'!D106+'04-3'!D106+'05-3'!D106+'08-3'!D106+'09-3'!D106+'10-3'!D106+'11-3'!D106+'12-3'!D106+'13-3'!D106+'14-3'!D106+'15-3'!D106+'16-3'!D106+'17-3'!D106+'18-3'!D106+'19-3'!D106+'21-3'!D106+'22-3'!D106+'24-3'!D106+'25-3'!D106+'28-3'!D106+'29-3'!D106+'30-3'!D106+'32-3'!D106+'35-3'!D106+'37-3'!D106+'47-3'!D106+'62-3'!D106+'64-3'!D106+'74-3'!D106</f>
        <v>0</v>
      </c>
      <c r="E360" s="106">
        <f>'01-3'!E106+'02-3'!E106+'03-3'!E106+'04-3'!E106+'05-3'!E106+'08-3'!E106+'09-3'!E106+'10-3'!E106+'11-3'!E106+'12-3'!E106+'13-3'!E106+'14-3'!E106+'15-3'!E106+'16-3'!E106+'17-3'!E106+'18-3'!E106+'19-3'!E106+'21-3'!E106+'22-3'!E106+'24-3'!E106+'25-3'!E106+'28-3'!E106+'29-3'!E106+'30-3'!E106+'32-3'!E106+'35-3'!E106+'37-3'!E106+'47-3'!E106+'62-3'!E106+'64-3'!E106+'74-3'!E106</f>
        <v>0</v>
      </c>
      <c r="F360" s="106">
        <f>'01-3'!F106+'02-3'!F106+'03-3'!F106+'04-3'!F106+'05-3'!F106+'08-3'!F106+'09-3'!F106+'10-3'!F106+'11-3'!F106+'12-3'!F106+'13-3'!F106+'14-3'!F106+'15-3'!F106+'16-3'!F106+'17-3'!F106+'18-3'!F106+'19-3'!F106+'21-3'!F106+'22-3'!F106+'24-3'!F106+'25-3'!F106+'28-3'!F106+'29-3'!F106+'30-3'!F106+'32-3'!F106+'35-3'!F106+'37-3'!F106+'47-3'!F106+'62-3'!F106+'64-3'!F106+'74-3'!F106</f>
        <v>0</v>
      </c>
      <c r="G360" s="106">
        <f>'01-3'!G106+'02-3'!G106+'03-3'!G106+'04-3'!G106+'05-3'!G106+'08-3'!G106+'09-3'!G106+'10-3'!G106+'11-3'!G106+'12-3'!G106+'13-3'!G106+'14-3'!G106+'15-3'!G106+'16-3'!G106+'17-3'!G106+'18-3'!G106+'19-3'!G106+'21-3'!G106+'22-3'!G106+'24-3'!G106+'25-3'!G106+'28-3'!G106+'29-3'!G106+'30-3'!G106+'32-3'!G106+'35-3'!G106+'37-3'!G106+'47-3'!G106+'62-3'!G106+'64-3'!G106+'74-3'!G106</f>
        <v>0</v>
      </c>
      <c r="H360" s="106">
        <f>'01-3'!H106+'02-3'!H106+'03-3'!H106+'04-3'!H106+'05-3'!H106+'08-3'!H106+'09-3'!H106+'10-3'!H106+'11-3'!H106+'12-3'!H106+'13-3'!H106+'14-3'!H106+'15-3'!H106+'16-3'!H106+'17-3'!H106+'18-3'!H106+'19-3'!H106+'21-3'!H106+'22-3'!H106+'24-3'!H106+'25-3'!H106+'28-3'!H106+'29-3'!H106+'30-3'!H106+'32-3'!H106+'35-3'!H106+'37-3'!H106+'47-3'!H106+'62-3'!H106+'64-3'!H106+'74-3'!H106</f>
        <v>0</v>
      </c>
      <c r="I360" s="106">
        <f>'01-3'!I106+'02-3'!I106+'03-3'!I106+'04-3'!I106+'05-3'!I106+'08-3'!I106+'09-3'!I106+'10-3'!I106+'11-3'!I106+'12-3'!I106+'13-3'!I106+'14-3'!I106+'15-3'!I106+'16-3'!I106+'17-3'!I106+'18-3'!I106+'19-3'!I106+'21-3'!I106+'22-3'!I106+'24-3'!I106+'25-3'!I106+'28-3'!I106+'29-3'!I106+'30-3'!I106+'32-3'!I106+'35-3'!I106+'37-3'!I106+'47-3'!I106+'62-3'!I106+'64-3'!I106+'74-3'!I106</f>
        <v>0</v>
      </c>
      <c r="J360" s="106">
        <f>'01-3'!J106+'02-3'!J106+'03-3'!J106+'04-3'!J106+'05-3'!J106+'08-3'!J106+'09-3'!J106+'10-3'!J106+'11-3'!J106+'12-3'!J106+'13-3'!J106+'14-3'!J106+'15-3'!J106+'16-3'!J106+'17-3'!J106+'18-3'!J106+'19-3'!J106+'21-3'!J106+'22-3'!J106+'24-3'!J106+'25-3'!J106+'28-3'!J106+'29-3'!J106+'30-3'!J106+'32-3'!J106+'35-3'!J106+'37-3'!J106+'47-3'!J106+'62-3'!J106+'64-3'!J106+'74-3'!J106</f>
        <v>0</v>
      </c>
      <c r="K360" s="106">
        <f>'01-3'!K106+'02-3'!K106+'03-3'!K106+'04-3'!K106+'05-3'!K106+'08-3'!K106+'09-3'!K106+'10-3'!K106+'11-3'!K106+'12-3'!K106+'13-3'!K106+'14-3'!K106+'15-3'!K106+'16-3'!K106+'17-3'!K106+'18-3'!K106+'19-3'!K106+'21-3'!K106+'22-3'!K106+'24-3'!K106+'25-3'!K106+'28-3'!K106+'29-3'!K106+'30-3'!K106+'32-3'!K106+'35-3'!K106+'37-3'!K106+'47-3'!K106+'62-3'!K106+'64-3'!K106+'74-3'!K106</f>
        <v>0</v>
      </c>
      <c r="L360" s="106">
        <f>'01-3'!L106+'02-3'!L106+'03-3'!L106+'04-3'!L106+'05-3'!L106+'08-3'!L106+'09-3'!L106+'10-3'!L106+'11-3'!L106+'12-3'!L106+'13-3'!L106+'14-3'!L106+'15-3'!L106+'16-3'!L106+'17-3'!L106+'18-3'!L106+'19-3'!L106+'21-3'!L106+'22-3'!L106+'24-3'!L106+'25-3'!L106+'28-3'!L106+'29-3'!L106+'30-3'!L106+'32-3'!L106+'35-3'!L106+'37-3'!L106+'47-3'!L106+'62-3'!L106+'64-3'!L106+'74-3'!L106</f>
        <v>0</v>
      </c>
      <c r="M360" s="106">
        <f>'01-3'!M106+'02-3'!M106+'03-3'!M106+'04-3'!M106+'05-3'!M106+'08-3'!M106+'09-3'!M106+'10-3'!M106+'11-3'!M106+'12-3'!M106+'13-3'!M106+'14-3'!M106+'15-3'!M106+'16-3'!M106+'17-3'!M106+'18-3'!M106+'19-3'!M106+'21-3'!M106+'22-3'!M106+'24-3'!M106+'25-3'!M106+'28-3'!M106+'29-3'!M106+'30-3'!M106+'32-3'!M106+'35-3'!M106+'37-3'!M106+'47-3'!M106+'62-3'!M106+'64-3'!M106+'74-3'!M106</f>
        <v>0</v>
      </c>
      <c r="N360" s="106">
        <f>'01-3'!N106+'02-3'!N106+'03-3'!N106+'04-3'!N106+'05-3'!N106+'08-3'!N106+'09-3'!N106+'10-3'!N106+'11-3'!N106+'12-3'!N106+'13-3'!N106+'14-3'!N106+'15-3'!N106+'16-3'!N106+'17-3'!N106+'18-3'!N106+'19-3'!N106+'21-3'!N106+'22-3'!N106+'24-3'!N106+'25-3'!N106+'28-3'!N106+'29-3'!N106+'30-3'!N106+'32-3'!N106+'35-3'!N106+'37-3'!N106+'47-3'!N106+'62-3'!N106+'64-3'!N106+'74-3'!N106</f>
        <v>0</v>
      </c>
      <c r="O360" s="106">
        <f>'01-3'!O106+'02-3'!O106+'03-3'!O106+'04-3'!O106+'05-3'!O106+'08-3'!O106+'09-3'!O106+'10-3'!O106+'11-3'!O106+'12-3'!O106+'13-3'!O106+'14-3'!O106+'15-3'!O106+'16-3'!O106+'17-3'!O106+'18-3'!O106+'19-3'!O106+'21-3'!O106+'22-3'!O106+'24-3'!O106+'25-3'!O106+'28-3'!O106+'29-3'!O106+'30-3'!O106+'32-3'!O106+'35-3'!O106+'37-3'!O106+'47-3'!O106+'62-3'!O106+'64-3'!O106+'74-3'!O106</f>
        <v>0</v>
      </c>
      <c r="P360" s="106">
        <f>'01-3'!P106+'02-3'!P106+'03-3'!P106+'04-3'!P106+'05-3'!P106+'08-3'!P106+'09-3'!P106+'10-3'!P106+'11-3'!P106+'12-3'!P106+'13-3'!P106+'14-3'!P106+'15-3'!P106+'16-3'!P106+'17-3'!P106+'18-3'!P106+'19-3'!P106+'21-3'!P106+'22-3'!P106+'24-3'!P106+'25-3'!P106+'28-3'!P106+'29-3'!P106+'30-3'!P106+'32-3'!P106+'35-3'!P106+'37-3'!P106+'47-3'!P106+'62-3'!P106+'64-3'!P106+'74-3'!P106</f>
        <v>0</v>
      </c>
      <c r="Q360" s="106">
        <f>'01-3'!Q106+'02-3'!Q106+'03-3'!Q106+'04-3'!Q106+'05-3'!Q106+'08-3'!Q106+'09-3'!Q106+'10-3'!Q106+'11-3'!Q106+'12-3'!Q106+'13-3'!Q106+'14-3'!Q106+'15-3'!Q106+'16-3'!Q106+'17-3'!Q106+'18-3'!Q106+'19-3'!Q106+'21-3'!Q106+'22-3'!Q106+'24-3'!Q106+'25-3'!Q106+'28-3'!Q106+'29-3'!Q106+'30-3'!Q106+'32-3'!Q106+'35-3'!Q106+'37-3'!Q106+'47-3'!Q106+'62-3'!Q106+'64-3'!Q106+'74-3'!Q106</f>
        <v>0</v>
      </c>
      <c r="R360" s="106">
        <f>'01-3'!R106+'02-3'!R106+'03-3'!R106+'04-3'!R106+'05-3'!R106+'08-3'!R106+'09-3'!R106+'10-3'!R106+'11-3'!R106+'12-3'!R106+'13-3'!R106+'14-3'!R106+'15-3'!R106+'16-3'!R106+'17-3'!R106+'18-3'!R106+'19-3'!R106+'21-3'!R106+'22-3'!R106+'24-3'!R106+'25-3'!R106+'28-3'!R106+'29-3'!R106+'30-3'!R106+'32-3'!R106+'35-3'!R106+'37-3'!R106+'47-3'!R106+'62-3'!R106+'64-3'!R106+'74-3'!R106</f>
        <v>0</v>
      </c>
      <c r="S360" s="954"/>
      <c r="T360" s="954"/>
      <c r="U360" s="954"/>
      <c r="V360" s="954"/>
      <c r="W360" s="954"/>
    </row>
    <row r="361" spans="1:23" s="6" customFormat="1" ht="24" hidden="1">
      <c r="A361" s="136">
        <v>19550</v>
      </c>
      <c r="B361" s="108" t="s">
        <v>175</v>
      </c>
      <c r="C361" s="106">
        <f>'01-3'!C107+'02-3'!C107+'03-3'!C107+'04-3'!C107+'05-3'!C107+'08-3'!C107+'09-3'!C107+'10-3'!C107+'11-3'!C107+'12-3'!C107+'13-3'!C107+'14-3'!C107+'15-3'!C107+'16-3'!C107+'17-3'!C107+'18-3'!C107+'19-3'!C107+'21-3'!C107+'22-3'!C107+'24-3'!C107+'25-3'!C107+'28-3'!C107+'29-3'!C107+'30-3'!C107+'32-3'!C107+'35-3'!C107+'37-3'!C107+'47-3'!C107+'62-3'!C107+'64-3'!C107+'74-3'!C107</f>
        <v>0</v>
      </c>
      <c r="D361" s="106">
        <f>'01-3'!D107+'02-3'!D107+'03-3'!D107+'04-3'!D107+'05-3'!D107+'08-3'!D107+'09-3'!D107+'10-3'!D107+'11-3'!D107+'12-3'!D107+'13-3'!D107+'14-3'!D107+'15-3'!D107+'16-3'!D107+'17-3'!D107+'18-3'!D107+'19-3'!D107+'21-3'!D107+'22-3'!D107+'24-3'!D107+'25-3'!D107+'28-3'!D107+'29-3'!D107+'30-3'!D107+'32-3'!D107+'35-3'!D107+'37-3'!D107+'47-3'!D107+'62-3'!D107+'64-3'!D107+'74-3'!D107</f>
        <v>0</v>
      </c>
      <c r="E361" s="106">
        <f>'01-3'!E107+'02-3'!E107+'03-3'!E107+'04-3'!E107+'05-3'!E107+'08-3'!E107+'09-3'!E107+'10-3'!E107+'11-3'!E107+'12-3'!E107+'13-3'!E107+'14-3'!E107+'15-3'!E107+'16-3'!E107+'17-3'!E107+'18-3'!E107+'19-3'!E107+'21-3'!E107+'22-3'!E107+'24-3'!E107+'25-3'!E107+'28-3'!E107+'29-3'!E107+'30-3'!E107+'32-3'!E107+'35-3'!E107+'37-3'!E107+'47-3'!E107+'62-3'!E107+'64-3'!E107+'74-3'!E107</f>
        <v>0</v>
      </c>
      <c r="F361" s="106">
        <f>'01-3'!F107+'02-3'!F107+'03-3'!F107+'04-3'!F107+'05-3'!F107+'08-3'!F107+'09-3'!F107+'10-3'!F107+'11-3'!F107+'12-3'!F107+'13-3'!F107+'14-3'!F107+'15-3'!F107+'16-3'!F107+'17-3'!F107+'18-3'!F107+'19-3'!F107+'21-3'!F107+'22-3'!F107+'24-3'!F107+'25-3'!F107+'28-3'!F107+'29-3'!F107+'30-3'!F107+'32-3'!F107+'35-3'!F107+'37-3'!F107+'47-3'!F107+'62-3'!F107+'64-3'!F107+'74-3'!F107</f>
        <v>0</v>
      </c>
      <c r="G361" s="106">
        <f>'01-3'!G107+'02-3'!G107+'03-3'!G107+'04-3'!G107+'05-3'!G107+'08-3'!G107+'09-3'!G107+'10-3'!G107+'11-3'!G107+'12-3'!G107+'13-3'!G107+'14-3'!G107+'15-3'!G107+'16-3'!G107+'17-3'!G107+'18-3'!G107+'19-3'!G107+'21-3'!G107+'22-3'!G107+'24-3'!G107+'25-3'!G107+'28-3'!G107+'29-3'!G107+'30-3'!G107+'32-3'!G107+'35-3'!G107+'37-3'!G107+'47-3'!G107+'62-3'!G107+'64-3'!G107+'74-3'!G107</f>
        <v>0</v>
      </c>
      <c r="H361" s="106">
        <f>'01-3'!H107+'02-3'!H107+'03-3'!H107+'04-3'!H107+'05-3'!H107+'08-3'!H107+'09-3'!H107+'10-3'!H107+'11-3'!H107+'12-3'!H107+'13-3'!H107+'14-3'!H107+'15-3'!H107+'16-3'!H107+'17-3'!H107+'18-3'!H107+'19-3'!H107+'21-3'!H107+'22-3'!H107+'24-3'!H107+'25-3'!H107+'28-3'!H107+'29-3'!H107+'30-3'!H107+'32-3'!H107+'35-3'!H107+'37-3'!H107+'47-3'!H107+'62-3'!H107+'64-3'!H107+'74-3'!H107</f>
        <v>0</v>
      </c>
      <c r="I361" s="106">
        <f>'01-3'!I107+'02-3'!I107+'03-3'!I107+'04-3'!I107+'05-3'!I107+'08-3'!I107+'09-3'!I107+'10-3'!I107+'11-3'!I107+'12-3'!I107+'13-3'!I107+'14-3'!I107+'15-3'!I107+'16-3'!I107+'17-3'!I107+'18-3'!I107+'19-3'!I107+'21-3'!I107+'22-3'!I107+'24-3'!I107+'25-3'!I107+'28-3'!I107+'29-3'!I107+'30-3'!I107+'32-3'!I107+'35-3'!I107+'37-3'!I107+'47-3'!I107+'62-3'!I107+'64-3'!I107+'74-3'!I107</f>
        <v>0</v>
      </c>
      <c r="J361" s="106">
        <f>'01-3'!J107+'02-3'!J107+'03-3'!J107+'04-3'!J107+'05-3'!J107+'08-3'!J107+'09-3'!J107+'10-3'!J107+'11-3'!J107+'12-3'!J107+'13-3'!J107+'14-3'!J107+'15-3'!J107+'16-3'!J107+'17-3'!J107+'18-3'!J107+'19-3'!J107+'21-3'!J107+'22-3'!J107+'24-3'!J107+'25-3'!J107+'28-3'!J107+'29-3'!J107+'30-3'!J107+'32-3'!J107+'35-3'!J107+'37-3'!J107+'47-3'!J107+'62-3'!J107+'64-3'!J107+'74-3'!J107</f>
        <v>0</v>
      </c>
      <c r="K361" s="106">
        <f>'01-3'!K107+'02-3'!K107+'03-3'!K107+'04-3'!K107+'05-3'!K107+'08-3'!K107+'09-3'!K107+'10-3'!K107+'11-3'!K107+'12-3'!K107+'13-3'!K107+'14-3'!K107+'15-3'!K107+'16-3'!K107+'17-3'!K107+'18-3'!K107+'19-3'!K107+'21-3'!K107+'22-3'!K107+'24-3'!K107+'25-3'!K107+'28-3'!K107+'29-3'!K107+'30-3'!K107+'32-3'!K107+'35-3'!K107+'37-3'!K107+'47-3'!K107+'62-3'!K107+'64-3'!K107+'74-3'!K107</f>
        <v>0</v>
      </c>
      <c r="L361" s="106">
        <f>'01-3'!L107+'02-3'!L107+'03-3'!L107+'04-3'!L107+'05-3'!L107+'08-3'!L107+'09-3'!L107+'10-3'!L107+'11-3'!L107+'12-3'!L107+'13-3'!L107+'14-3'!L107+'15-3'!L107+'16-3'!L107+'17-3'!L107+'18-3'!L107+'19-3'!L107+'21-3'!L107+'22-3'!L107+'24-3'!L107+'25-3'!L107+'28-3'!L107+'29-3'!L107+'30-3'!L107+'32-3'!L107+'35-3'!L107+'37-3'!L107+'47-3'!L107+'62-3'!L107+'64-3'!L107+'74-3'!L107</f>
        <v>0</v>
      </c>
      <c r="M361" s="106">
        <f>'01-3'!M107+'02-3'!M107+'03-3'!M107+'04-3'!M107+'05-3'!M107+'08-3'!M107+'09-3'!M107+'10-3'!M107+'11-3'!M107+'12-3'!M107+'13-3'!M107+'14-3'!M107+'15-3'!M107+'16-3'!M107+'17-3'!M107+'18-3'!M107+'19-3'!M107+'21-3'!M107+'22-3'!M107+'24-3'!M107+'25-3'!M107+'28-3'!M107+'29-3'!M107+'30-3'!M107+'32-3'!M107+'35-3'!M107+'37-3'!M107+'47-3'!M107+'62-3'!M107+'64-3'!M107+'74-3'!M107</f>
        <v>0</v>
      </c>
      <c r="N361" s="106">
        <f>'01-3'!N107+'02-3'!N107+'03-3'!N107+'04-3'!N107+'05-3'!N107+'08-3'!N107+'09-3'!N107+'10-3'!N107+'11-3'!N107+'12-3'!N107+'13-3'!N107+'14-3'!N107+'15-3'!N107+'16-3'!N107+'17-3'!N107+'18-3'!N107+'19-3'!N107+'21-3'!N107+'22-3'!N107+'24-3'!N107+'25-3'!N107+'28-3'!N107+'29-3'!N107+'30-3'!N107+'32-3'!N107+'35-3'!N107+'37-3'!N107+'47-3'!N107+'62-3'!N107+'64-3'!N107+'74-3'!N107</f>
        <v>0</v>
      </c>
      <c r="O361" s="106">
        <f>'01-3'!O107+'02-3'!O107+'03-3'!O107+'04-3'!O107+'05-3'!O107+'08-3'!O107+'09-3'!O107+'10-3'!O107+'11-3'!O107+'12-3'!O107+'13-3'!O107+'14-3'!O107+'15-3'!O107+'16-3'!O107+'17-3'!O107+'18-3'!O107+'19-3'!O107+'21-3'!O107+'22-3'!O107+'24-3'!O107+'25-3'!O107+'28-3'!O107+'29-3'!O107+'30-3'!O107+'32-3'!O107+'35-3'!O107+'37-3'!O107+'47-3'!O107+'62-3'!O107+'64-3'!O107+'74-3'!O107</f>
        <v>0</v>
      </c>
      <c r="P361" s="106">
        <f>'01-3'!P107+'02-3'!P107+'03-3'!P107+'04-3'!P107+'05-3'!P107+'08-3'!P107+'09-3'!P107+'10-3'!P107+'11-3'!P107+'12-3'!P107+'13-3'!P107+'14-3'!P107+'15-3'!P107+'16-3'!P107+'17-3'!P107+'18-3'!P107+'19-3'!P107+'21-3'!P107+'22-3'!P107+'24-3'!P107+'25-3'!P107+'28-3'!P107+'29-3'!P107+'30-3'!P107+'32-3'!P107+'35-3'!P107+'37-3'!P107+'47-3'!P107+'62-3'!P107+'64-3'!P107+'74-3'!P107</f>
        <v>0</v>
      </c>
      <c r="Q361" s="106">
        <f>'01-3'!Q107+'02-3'!Q107+'03-3'!Q107+'04-3'!Q107+'05-3'!Q107+'08-3'!Q107+'09-3'!Q107+'10-3'!Q107+'11-3'!Q107+'12-3'!Q107+'13-3'!Q107+'14-3'!Q107+'15-3'!Q107+'16-3'!Q107+'17-3'!Q107+'18-3'!Q107+'19-3'!Q107+'21-3'!Q107+'22-3'!Q107+'24-3'!Q107+'25-3'!Q107+'28-3'!Q107+'29-3'!Q107+'30-3'!Q107+'32-3'!Q107+'35-3'!Q107+'37-3'!Q107+'47-3'!Q107+'62-3'!Q107+'64-3'!Q107+'74-3'!Q107</f>
        <v>0</v>
      </c>
      <c r="R361" s="106">
        <f>'01-3'!R107+'02-3'!R107+'03-3'!R107+'04-3'!R107+'05-3'!R107+'08-3'!R107+'09-3'!R107+'10-3'!R107+'11-3'!R107+'12-3'!R107+'13-3'!R107+'14-3'!R107+'15-3'!R107+'16-3'!R107+'17-3'!R107+'18-3'!R107+'19-3'!R107+'21-3'!R107+'22-3'!R107+'24-3'!R107+'25-3'!R107+'28-3'!R107+'29-3'!R107+'30-3'!R107+'32-3'!R107+'35-3'!R107+'37-3'!R107+'47-3'!R107+'62-3'!R107+'64-3'!R107+'74-3'!R107</f>
        <v>0</v>
      </c>
      <c r="S361" s="954"/>
      <c r="T361" s="954"/>
      <c r="U361" s="954"/>
      <c r="V361" s="954"/>
      <c r="W361" s="954"/>
    </row>
    <row r="362" spans="1:23" s="6" customFormat="1" ht="36" hidden="1">
      <c r="A362" s="136">
        <v>19560</v>
      </c>
      <c r="B362" s="108" t="s">
        <v>181</v>
      </c>
      <c r="C362" s="106">
        <f>'01-3'!C108+'02-3'!C108+'03-3'!C108+'04-3'!C108+'05-3'!C108+'08-3'!C108+'09-3'!C108+'10-3'!C108+'11-3'!C108+'12-3'!C108+'13-3'!C108+'14-3'!C108+'15-3'!C108+'16-3'!C108+'17-3'!C108+'18-3'!C108+'19-3'!C108+'21-3'!C108+'22-3'!C108+'24-3'!C108+'25-3'!C108+'28-3'!C108+'29-3'!C108+'30-3'!C108+'32-3'!C108+'35-3'!C108+'37-3'!C108+'47-3'!C108+'62-3'!C108+'64-3'!C108+'74-3'!C108</f>
        <v>0</v>
      </c>
      <c r="D362" s="106">
        <f>'01-3'!D108+'02-3'!D108+'03-3'!D108+'04-3'!D108+'05-3'!D108+'08-3'!D108+'09-3'!D108+'10-3'!D108+'11-3'!D108+'12-3'!D108+'13-3'!D108+'14-3'!D108+'15-3'!D108+'16-3'!D108+'17-3'!D108+'18-3'!D108+'19-3'!D108+'21-3'!D108+'22-3'!D108+'24-3'!D108+'25-3'!D108+'28-3'!D108+'29-3'!D108+'30-3'!D108+'32-3'!D108+'35-3'!D108+'37-3'!D108+'47-3'!D108+'62-3'!D108+'64-3'!D108+'74-3'!D108</f>
        <v>0</v>
      </c>
      <c r="E362" s="106">
        <f>'01-3'!E108+'02-3'!E108+'03-3'!E108+'04-3'!E108+'05-3'!E108+'08-3'!E108+'09-3'!E108+'10-3'!E108+'11-3'!E108+'12-3'!E108+'13-3'!E108+'14-3'!E108+'15-3'!E108+'16-3'!E108+'17-3'!E108+'18-3'!E108+'19-3'!E108+'21-3'!E108+'22-3'!E108+'24-3'!E108+'25-3'!E108+'28-3'!E108+'29-3'!E108+'30-3'!E108+'32-3'!E108+'35-3'!E108+'37-3'!E108+'47-3'!E108+'62-3'!E108+'64-3'!E108+'74-3'!E108</f>
        <v>0</v>
      </c>
      <c r="F362" s="106">
        <f>'01-3'!F108+'02-3'!F108+'03-3'!F108+'04-3'!F108+'05-3'!F108+'08-3'!F108+'09-3'!F108+'10-3'!F108+'11-3'!F108+'12-3'!F108+'13-3'!F108+'14-3'!F108+'15-3'!F108+'16-3'!F108+'17-3'!F108+'18-3'!F108+'19-3'!F108+'21-3'!F108+'22-3'!F108+'24-3'!F108+'25-3'!F108+'28-3'!F108+'29-3'!F108+'30-3'!F108+'32-3'!F108+'35-3'!F108+'37-3'!F108+'47-3'!F108+'62-3'!F108+'64-3'!F108+'74-3'!F108</f>
        <v>0</v>
      </c>
      <c r="G362" s="106">
        <f>'01-3'!G108+'02-3'!G108+'03-3'!G108+'04-3'!G108+'05-3'!G108+'08-3'!G108+'09-3'!G108+'10-3'!G108+'11-3'!G108+'12-3'!G108+'13-3'!G108+'14-3'!G108+'15-3'!G108+'16-3'!G108+'17-3'!G108+'18-3'!G108+'19-3'!G108+'21-3'!G108+'22-3'!G108+'24-3'!G108+'25-3'!G108+'28-3'!G108+'29-3'!G108+'30-3'!G108+'32-3'!G108+'35-3'!G108+'37-3'!G108+'47-3'!G108+'62-3'!G108+'64-3'!G108+'74-3'!G108</f>
        <v>0</v>
      </c>
      <c r="H362" s="106">
        <f>'01-3'!H108+'02-3'!H108+'03-3'!H108+'04-3'!H108+'05-3'!H108+'08-3'!H108+'09-3'!H108+'10-3'!H108+'11-3'!H108+'12-3'!H108+'13-3'!H108+'14-3'!H108+'15-3'!H108+'16-3'!H108+'17-3'!H108+'18-3'!H108+'19-3'!H108+'21-3'!H108+'22-3'!H108+'24-3'!H108+'25-3'!H108+'28-3'!H108+'29-3'!H108+'30-3'!H108+'32-3'!H108+'35-3'!H108+'37-3'!H108+'47-3'!H108+'62-3'!H108+'64-3'!H108+'74-3'!H108</f>
        <v>0</v>
      </c>
      <c r="I362" s="106">
        <f>'01-3'!I108+'02-3'!I108+'03-3'!I108+'04-3'!I108+'05-3'!I108+'08-3'!I108+'09-3'!I108+'10-3'!I108+'11-3'!I108+'12-3'!I108+'13-3'!I108+'14-3'!I108+'15-3'!I108+'16-3'!I108+'17-3'!I108+'18-3'!I108+'19-3'!I108+'21-3'!I108+'22-3'!I108+'24-3'!I108+'25-3'!I108+'28-3'!I108+'29-3'!I108+'30-3'!I108+'32-3'!I108+'35-3'!I108+'37-3'!I108+'47-3'!I108+'62-3'!I108+'64-3'!I108+'74-3'!I108</f>
        <v>0</v>
      </c>
      <c r="J362" s="106">
        <f>'01-3'!J108+'02-3'!J108+'03-3'!J108+'04-3'!J108+'05-3'!J108+'08-3'!J108+'09-3'!J108+'10-3'!J108+'11-3'!J108+'12-3'!J108+'13-3'!J108+'14-3'!J108+'15-3'!J108+'16-3'!J108+'17-3'!J108+'18-3'!J108+'19-3'!J108+'21-3'!J108+'22-3'!J108+'24-3'!J108+'25-3'!J108+'28-3'!J108+'29-3'!J108+'30-3'!J108+'32-3'!J108+'35-3'!J108+'37-3'!J108+'47-3'!J108+'62-3'!J108+'64-3'!J108+'74-3'!J108</f>
        <v>0</v>
      </c>
      <c r="K362" s="106">
        <f>'01-3'!K108+'02-3'!K108+'03-3'!K108+'04-3'!K108+'05-3'!K108+'08-3'!K108+'09-3'!K108+'10-3'!K108+'11-3'!K108+'12-3'!K108+'13-3'!K108+'14-3'!K108+'15-3'!K108+'16-3'!K108+'17-3'!K108+'18-3'!K108+'19-3'!K108+'21-3'!K108+'22-3'!K108+'24-3'!K108+'25-3'!K108+'28-3'!K108+'29-3'!K108+'30-3'!K108+'32-3'!K108+'35-3'!K108+'37-3'!K108+'47-3'!K108+'62-3'!K108+'64-3'!K108+'74-3'!K108</f>
        <v>0</v>
      </c>
      <c r="L362" s="106">
        <f>'01-3'!L108+'02-3'!L108+'03-3'!L108+'04-3'!L108+'05-3'!L108+'08-3'!L108+'09-3'!L108+'10-3'!L108+'11-3'!L108+'12-3'!L108+'13-3'!L108+'14-3'!L108+'15-3'!L108+'16-3'!L108+'17-3'!L108+'18-3'!L108+'19-3'!L108+'21-3'!L108+'22-3'!L108+'24-3'!L108+'25-3'!L108+'28-3'!L108+'29-3'!L108+'30-3'!L108+'32-3'!L108+'35-3'!L108+'37-3'!L108+'47-3'!L108+'62-3'!L108+'64-3'!L108+'74-3'!L108</f>
        <v>0</v>
      </c>
      <c r="M362" s="106">
        <f>'01-3'!M108+'02-3'!M108+'03-3'!M108+'04-3'!M108+'05-3'!M108+'08-3'!M108+'09-3'!M108+'10-3'!M108+'11-3'!M108+'12-3'!M108+'13-3'!M108+'14-3'!M108+'15-3'!M108+'16-3'!M108+'17-3'!M108+'18-3'!M108+'19-3'!M108+'21-3'!M108+'22-3'!M108+'24-3'!M108+'25-3'!M108+'28-3'!M108+'29-3'!M108+'30-3'!M108+'32-3'!M108+'35-3'!M108+'37-3'!M108+'47-3'!M108+'62-3'!M108+'64-3'!M108+'74-3'!M108</f>
        <v>0</v>
      </c>
      <c r="N362" s="106">
        <f>'01-3'!N108+'02-3'!N108+'03-3'!N108+'04-3'!N108+'05-3'!N108+'08-3'!N108+'09-3'!N108+'10-3'!N108+'11-3'!N108+'12-3'!N108+'13-3'!N108+'14-3'!N108+'15-3'!N108+'16-3'!N108+'17-3'!N108+'18-3'!N108+'19-3'!N108+'21-3'!N108+'22-3'!N108+'24-3'!N108+'25-3'!N108+'28-3'!N108+'29-3'!N108+'30-3'!N108+'32-3'!N108+'35-3'!N108+'37-3'!N108+'47-3'!N108+'62-3'!N108+'64-3'!N108+'74-3'!N108</f>
        <v>0</v>
      </c>
      <c r="O362" s="106">
        <f>'01-3'!O108+'02-3'!O108+'03-3'!O108+'04-3'!O108+'05-3'!O108+'08-3'!O108+'09-3'!O108+'10-3'!O108+'11-3'!O108+'12-3'!O108+'13-3'!O108+'14-3'!O108+'15-3'!O108+'16-3'!O108+'17-3'!O108+'18-3'!O108+'19-3'!O108+'21-3'!O108+'22-3'!O108+'24-3'!O108+'25-3'!O108+'28-3'!O108+'29-3'!O108+'30-3'!O108+'32-3'!O108+'35-3'!O108+'37-3'!O108+'47-3'!O108+'62-3'!O108+'64-3'!O108+'74-3'!O108</f>
        <v>0</v>
      </c>
      <c r="P362" s="106">
        <f>'01-3'!P108+'02-3'!P108+'03-3'!P108+'04-3'!P108+'05-3'!P108+'08-3'!P108+'09-3'!P108+'10-3'!P108+'11-3'!P108+'12-3'!P108+'13-3'!P108+'14-3'!P108+'15-3'!P108+'16-3'!P108+'17-3'!P108+'18-3'!P108+'19-3'!P108+'21-3'!P108+'22-3'!P108+'24-3'!P108+'25-3'!P108+'28-3'!P108+'29-3'!P108+'30-3'!P108+'32-3'!P108+'35-3'!P108+'37-3'!P108+'47-3'!P108+'62-3'!P108+'64-3'!P108+'74-3'!P108</f>
        <v>0</v>
      </c>
      <c r="Q362" s="106">
        <f>'01-3'!Q108+'02-3'!Q108+'03-3'!Q108+'04-3'!Q108+'05-3'!Q108+'08-3'!Q108+'09-3'!Q108+'10-3'!Q108+'11-3'!Q108+'12-3'!Q108+'13-3'!Q108+'14-3'!Q108+'15-3'!Q108+'16-3'!Q108+'17-3'!Q108+'18-3'!Q108+'19-3'!Q108+'21-3'!Q108+'22-3'!Q108+'24-3'!Q108+'25-3'!Q108+'28-3'!Q108+'29-3'!Q108+'30-3'!Q108+'32-3'!Q108+'35-3'!Q108+'37-3'!Q108+'47-3'!Q108+'62-3'!Q108+'64-3'!Q108+'74-3'!Q108</f>
        <v>0</v>
      </c>
      <c r="R362" s="106">
        <f>'01-3'!R108+'02-3'!R108+'03-3'!R108+'04-3'!R108+'05-3'!R108+'08-3'!R108+'09-3'!R108+'10-3'!R108+'11-3'!R108+'12-3'!R108+'13-3'!R108+'14-3'!R108+'15-3'!R108+'16-3'!R108+'17-3'!R108+'18-3'!R108+'19-3'!R108+'21-3'!R108+'22-3'!R108+'24-3'!R108+'25-3'!R108+'28-3'!R108+'29-3'!R108+'30-3'!R108+'32-3'!R108+'35-3'!R108+'37-3'!R108+'47-3'!R108+'62-3'!R108+'64-3'!R108+'74-3'!R108</f>
        <v>0</v>
      </c>
      <c r="S362" s="954"/>
      <c r="T362" s="954"/>
      <c r="U362" s="954"/>
      <c r="V362" s="954"/>
      <c r="W362" s="954"/>
    </row>
    <row r="363" spans="1:23" s="6" customFormat="1" ht="72" hidden="1">
      <c r="A363" s="136">
        <v>19570</v>
      </c>
      <c r="B363" s="108" t="s">
        <v>182</v>
      </c>
      <c r="C363" s="106">
        <f>'01-3'!C109+'02-3'!C109+'03-3'!C109+'04-3'!C109+'05-3'!C109+'08-3'!C109+'09-3'!C109+'10-3'!C109+'11-3'!C109+'12-3'!C109+'13-3'!C109+'14-3'!C109+'15-3'!C109+'16-3'!C109+'17-3'!C109+'18-3'!C109+'19-3'!C109+'21-3'!C109+'22-3'!C109+'24-3'!C109+'25-3'!C109+'28-3'!C109+'29-3'!C109+'30-3'!C109+'32-3'!C109+'35-3'!C109+'37-3'!C109+'47-3'!C109+'62-3'!C109+'64-3'!C109+'74-3'!C109</f>
        <v>0</v>
      </c>
      <c r="D363" s="106">
        <f>'01-3'!D109+'02-3'!D109+'03-3'!D109+'04-3'!D109+'05-3'!D109+'08-3'!D109+'09-3'!D109+'10-3'!D109+'11-3'!D109+'12-3'!D109+'13-3'!D109+'14-3'!D109+'15-3'!D109+'16-3'!D109+'17-3'!D109+'18-3'!D109+'19-3'!D109+'21-3'!D109+'22-3'!D109+'24-3'!D109+'25-3'!D109+'28-3'!D109+'29-3'!D109+'30-3'!D109+'32-3'!D109+'35-3'!D109+'37-3'!D109+'47-3'!D109+'62-3'!D109+'64-3'!D109+'74-3'!D109</f>
        <v>0</v>
      </c>
      <c r="E363" s="106">
        <f>'01-3'!E109+'02-3'!E109+'03-3'!E109+'04-3'!E109+'05-3'!E109+'08-3'!E109+'09-3'!E109+'10-3'!E109+'11-3'!E109+'12-3'!E109+'13-3'!E109+'14-3'!E109+'15-3'!E109+'16-3'!E109+'17-3'!E109+'18-3'!E109+'19-3'!E109+'21-3'!E109+'22-3'!E109+'24-3'!E109+'25-3'!E109+'28-3'!E109+'29-3'!E109+'30-3'!E109+'32-3'!E109+'35-3'!E109+'37-3'!E109+'47-3'!E109+'62-3'!E109+'64-3'!E109+'74-3'!E109</f>
        <v>0</v>
      </c>
      <c r="F363" s="106">
        <f>'01-3'!F109+'02-3'!F109+'03-3'!F109+'04-3'!F109+'05-3'!F109+'08-3'!F109+'09-3'!F109+'10-3'!F109+'11-3'!F109+'12-3'!F109+'13-3'!F109+'14-3'!F109+'15-3'!F109+'16-3'!F109+'17-3'!F109+'18-3'!F109+'19-3'!F109+'21-3'!F109+'22-3'!F109+'24-3'!F109+'25-3'!F109+'28-3'!F109+'29-3'!F109+'30-3'!F109+'32-3'!F109+'35-3'!F109+'37-3'!F109+'47-3'!F109+'62-3'!F109+'64-3'!F109+'74-3'!F109</f>
        <v>0</v>
      </c>
      <c r="G363" s="106">
        <f>'01-3'!G109+'02-3'!G109+'03-3'!G109+'04-3'!G109+'05-3'!G109+'08-3'!G109+'09-3'!G109+'10-3'!G109+'11-3'!G109+'12-3'!G109+'13-3'!G109+'14-3'!G109+'15-3'!G109+'16-3'!G109+'17-3'!G109+'18-3'!G109+'19-3'!G109+'21-3'!G109+'22-3'!G109+'24-3'!G109+'25-3'!G109+'28-3'!G109+'29-3'!G109+'30-3'!G109+'32-3'!G109+'35-3'!G109+'37-3'!G109+'47-3'!G109+'62-3'!G109+'64-3'!G109+'74-3'!G109</f>
        <v>0</v>
      </c>
      <c r="H363" s="106">
        <f>'01-3'!H109+'02-3'!H109+'03-3'!H109+'04-3'!H109+'05-3'!H109+'08-3'!H109+'09-3'!H109+'10-3'!H109+'11-3'!H109+'12-3'!H109+'13-3'!H109+'14-3'!H109+'15-3'!H109+'16-3'!H109+'17-3'!H109+'18-3'!H109+'19-3'!H109+'21-3'!H109+'22-3'!H109+'24-3'!H109+'25-3'!H109+'28-3'!H109+'29-3'!H109+'30-3'!H109+'32-3'!H109+'35-3'!H109+'37-3'!H109+'47-3'!H109+'62-3'!H109+'64-3'!H109+'74-3'!H109</f>
        <v>0</v>
      </c>
      <c r="I363" s="106">
        <f>'01-3'!I109+'02-3'!I109+'03-3'!I109+'04-3'!I109+'05-3'!I109+'08-3'!I109+'09-3'!I109+'10-3'!I109+'11-3'!I109+'12-3'!I109+'13-3'!I109+'14-3'!I109+'15-3'!I109+'16-3'!I109+'17-3'!I109+'18-3'!I109+'19-3'!I109+'21-3'!I109+'22-3'!I109+'24-3'!I109+'25-3'!I109+'28-3'!I109+'29-3'!I109+'30-3'!I109+'32-3'!I109+'35-3'!I109+'37-3'!I109+'47-3'!I109+'62-3'!I109+'64-3'!I109+'74-3'!I109</f>
        <v>0</v>
      </c>
      <c r="J363" s="106">
        <f>'01-3'!J109+'02-3'!J109+'03-3'!J109+'04-3'!J109+'05-3'!J109+'08-3'!J109+'09-3'!J109+'10-3'!J109+'11-3'!J109+'12-3'!J109+'13-3'!J109+'14-3'!J109+'15-3'!J109+'16-3'!J109+'17-3'!J109+'18-3'!J109+'19-3'!J109+'21-3'!J109+'22-3'!J109+'24-3'!J109+'25-3'!J109+'28-3'!J109+'29-3'!J109+'30-3'!J109+'32-3'!J109+'35-3'!J109+'37-3'!J109+'47-3'!J109+'62-3'!J109+'64-3'!J109+'74-3'!J109</f>
        <v>0</v>
      </c>
      <c r="K363" s="106">
        <f>'01-3'!K109+'02-3'!K109+'03-3'!K109+'04-3'!K109+'05-3'!K109+'08-3'!K109+'09-3'!K109+'10-3'!K109+'11-3'!K109+'12-3'!K109+'13-3'!K109+'14-3'!K109+'15-3'!K109+'16-3'!K109+'17-3'!K109+'18-3'!K109+'19-3'!K109+'21-3'!K109+'22-3'!K109+'24-3'!K109+'25-3'!K109+'28-3'!K109+'29-3'!K109+'30-3'!K109+'32-3'!K109+'35-3'!K109+'37-3'!K109+'47-3'!K109+'62-3'!K109+'64-3'!K109+'74-3'!K109</f>
        <v>0</v>
      </c>
      <c r="L363" s="106">
        <f>'01-3'!L109+'02-3'!L109+'03-3'!L109+'04-3'!L109+'05-3'!L109+'08-3'!L109+'09-3'!L109+'10-3'!L109+'11-3'!L109+'12-3'!L109+'13-3'!L109+'14-3'!L109+'15-3'!L109+'16-3'!L109+'17-3'!L109+'18-3'!L109+'19-3'!L109+'21-3'!L109+'22-3'!L109+'24-3'!L109+'25-3'!L109+'28-3'!L109+'29-3'!L109+'30-3'!L109+'32-3'!L109+'35-3'!L109+'37-3'!L109+'47-3'!L109+'62-3'!L109+'64-3'!L109+'74-3'!L109</f>
        <v>0</v>
      </c>
      <c r="M363" s="106">
        <f>'01-3'!M109+'02-3'!M109+'03-3'!M109+'04-3'!M109+'05-3'!M109+'08-3'!M109+'09-3'!M109+'10-3'!M109+'11-3'!M109+'12-3'!M109+'13-3'!M109+'14-3'!M109+'15-3'!M109+'16-3'!M109+'17-3'!M109+'18-3'!M109+'19-3'!M109+'21-3'!M109+'22-3'!M109+'24-3'!M109+'25-3'!M109+'28-3'!M109+'29-3'!M109+'30-3'!M109+'32-3'!M109+'35-3'!M109+'37-3'!M109+'47-3'!M109+'62-3'!M109+'64-3'!M109+'74-3'!M109</f>
        <v>0</v>
      </c>
      <c r="N363" s="106">
        <f>'01-3'!N109+'02-3'!N109+'03-3'!N109+'04-3'!N109+'05-3'!N109+'08-3'!N109+'09-3'!N109+'10-3'!N109+'11-3'!N109+'12-3'!N109+'13-3'!N109+'14-3'!N109+'15-3'!N109+'16-3'!N109+'17-3'!N109+'18-3'!N109+'19-3'!N109+'21-3'!N109+'22-3'!N109+'24-3'!N109+'25-3'!N109+'28-3'!N109+'29-3'!N109+'30-3'!N109+'32-3'!N109+'35-3'!N109+'37-3'!N109+'47-3'!N109+'62-3'!N109+'64-3'!N109+'74-3'!N109</f>
        <v>0</v>
      </c>
      <c r="O363" s="106">
        <f>'01-3'!O109+'02-3'!O109+'03-3'!O109+'04-3'!O109+'05-3'!O109+'08-3'!O109+'09-3'!O109+'10-3'!O109+'11-3'!O109+'12-3'!O109+'13-3'!O109+'14-3'!O109+'15-3'!O109+'16-3'!O109+'17-3'!O109+'18-3'!O109+'19-3'!O109+'21-3'!O109+'22-3'!O109+'24-3'!O109+'25-3'!O109+'28-3'!O109+'29-3'!O109+'30-3'!O109+'32-3'!O109+'35-3'!O109+'37-3'!O109+'47-3'!O109+'62-3'!O109+'64-3'!O109+'74-3'!O109</f>
        <v>0</v>
      </c>
      <c r="P363" s="106">
        <f>'01-3'!P109+'02-3'!P109+'03-3'!P109+'04-3'!P109+'05-3'!P109+'08-3'!P109+'09-3'!P109+'10-3'!P109+'11-3'!P109+'12-3'!P109+'13-3'!P109+'14-3'!P109+'15-3'!P109+'16-3'!P109+'17-3'!P109+'18-3'!P109+'19-3'!P109+'21-3'!P109+'22-3'!P109+'24-3'!P109+'25-3'!P109+'28-3'!P109+'29-3'!P109+'30-3'!P109+'32-3'!P109+'35-3'!P109+'37-3'!P109+'47-3'!P109+'62-3'!P109+'64-3'!P109+'74-3'!P109</f>
        <v>0</v>
      </c>
      <c r="Q363" s="106">
        <f>'01-3'!Q109+'02-3'!Q109+'03-3'!Q109+'04-3'!Q109+'05-3'!Q109+'08-3'!Q109+'09-3'!Q109+'10-3'!Q109+'11-3'!Q109+'12-3'!Q109+'13-3'!Q109+'14-3'!Q109+'15-3'!Q109+'16-3'!Q109+'17-3'!Q109+'18-3'!Q109+'19-3'!Q109+'21-3'!Q109+'22-3'!Q109+'24-3'!Q109+'25-3'!Q109+'28-3'!Q109+'29-3'!Q109+'30-3'!Q109+'32-3'!Q109+'35-3'!Q109+'37-3'!Q109+'47-3'!Q109+'62-3'!Q109+'64-3'!Q109+'74-3'!Q109</f>
        <v>0</v>
      </c>
      <c r="R363" s="106">
        <f>'01-3'!R109+'02-3'!R109+'03-3'!R109+'04-3'!R109+'05-3'!R109+'08-3'!R109+'09-3'!R109+'10-3'!R109+'11-3'!R109+'12-3'!R109+'13-3'!R109+'14-3'!R109+'15-3'!R109+'16-3'!R109+'17-3'!R109+'18-3'!R109+'19-3'!R109+'21-3'!R109+'22-3'!R109+'24-3'!R109+'25-3'!R109+'28-3'!R109+'29-3'!R109+'30-3'!R109+'32-3'!R109+'35-3'!R109+'37-3'!R109+'47-3'!R109+'62-3'!R109+'64-3'!R109+'74-3'!R109</f>
        <v>0</v>
      </c>
      <c r="S363" s="954"/>
      <c r="T363" s="954"/>
      <c r="U363" s="954"/>
      <c r="V363" s="954"/>
      <c r="W363" s="954"/>
    </row>
    <row r="364" spans="1:23" s="6" customFormat="1" ht="24" hidden="1">
      <c r="A364" s="209" t="s">
        <v>222</v>
      </c>
      <c r="B364" s="208" t="s">
        <v>216</v>
      </c>
      <c r="C364" s="106">
        <f>'01-3'!C110+'02-3'!C110+'03-3'!C110+'04-3'!C110+'05-3'!C110+'08-3'!C110+'09-3'!C110+'10-3'!C110+'11-3'!C110+'12-3'!C110+'13-3'!C110+'14-3'!C110+'15-3'!C110+'16-3'!C110+'17-3'!C110+'18-3'!C110+'19-3'!C110+'21-3'!C110+'22-3'!C110+'24-3'!C110+'25-3'!C110+'28-3'!C110+'29-3'!C110+'30-3'!C110+'32-3'!C110+'35-3'!C110+'37-3'!C110+'47-3'!C110+'62-3'!C110+'64-3'!C110+'74-3'!C110</f>
        <v>0</v>
      </c>
      <c r="D364" s="106">
        <f>'01-3'!D110+'02-3'!D110+'03-3'!D110+'04-3'!D110+'05-3'!D110+'08-3'!D110+'09-3'!D110+'10-3'!D110+'11-3'!D110+'12-3'!D110+'13-3'!D110+'14-3'!D110+'15-3'!D110+'16-3'!D110+'17-3'!D110+'18-3'!D110+'19-3'!D110+'21-3'!D110+'22-3'!D110+'24-3'!D110+'25-3'!D110+'28-3'!D110+'29-3'!D110+'30-3'!D110+'32-3'!D110+'35-3'!D110+'37-3'!D110+'47-3'!D110+'62-3'!D110+'64-3'!D110+'74-3'!D110</f>
        <v>0</v>
      </c>
      <c r="E364" s="106">
        <f>'01-3'!E110+'02-3'!E110+'03-3'!E110+'04-3'!E110+'05-3'!E110+'08-3'!E110+'09-3'!E110+'10-3'!E110+'11-3'!E110+'12-3'!E110+'13-3'!E110+'14-3'!E110+'15-3'!E110+'16-3'!E110+'17-3'!E110+'18-3'!E110+'19-3'!E110+'21-3'!E110+'22-3'!E110+'24-3'!E110+'25-3'!E110+'28-3'!E110+'29-3'!E110+'30-3'!E110+'32-3'!E110+'35-3'!E110+'37-3'!E110+'47-3'!E110+'62-3'!E110+'64-3'!E110+'74-3'!E110</f>
        <v>0</v>
      </c>
      <c r="F364" s="106">
        <f>'01-3'!F110+'02-3'!F110+'03-3'!F110+'04-3'!F110+'05-3'!F110+'08-3'!F110+'09-3'!F110+'10-3'!F110+'11-3'!F110+'12-3'!F110+'13-3'!F110+'14-3'!F110+'15-3'!F110+'16-3'!F110+'17-3'!F110+'18-3'!F110+'19-3'!F110+'21-3'!F110+'22-3'!F110+'24-3'!F110+'25-3'!F110+'28-3'!F110+'29-3'!F110+'30-3'!F110+'32-3'!F110+'35-3'!F110+'37-3'!F110+'47-3'!F110+'62-3'!F110+'64-3'!F110+'74-3'!F110</f>
        <v>0</v>
      </c>
      <c r="G364" s="106">
        <f>'01-3'!G110+'02-3'!G110+'03-3'!G110+'04-3'!G110+'05-3'!G110+'08-3'!G110+'09-3'!G110+'10-3'!G110+'11-3'!G110+'12-3'!G110+'13-3'!G110+'14-3'!G110+'15-3'!G110+'16-3'!G110+'17-3'!G110+'18-3'!G110+'19-3'!G110+'21-3'!G110+'22-3'!G110+'24-3'!G110+'25-3'!G110+'28-3'!G110+'29-3'!G110+'30-3'!G110+'32-3'!G110+'35-3'!G110+'37-3'!G110+'47-3'!G110+'62-3'!G110+'64-3'!G110+'74-3'!G110</f>
        <v>0</v>
      </c>
      <c r="H364" s="106">
        <f>'01-3'!H110+'02-3'!H110+'03-3'!H110+'04-3'!H110+'05-3'!H110+'08-3'!H110+'09-3'!H110+'10-3'!H110+'11-3'!H110+'12-3'!H110+'13-3'!H110+'14-3'!H110+'15-3'!H110+'16-3'!H110+'17-3'!H110+'18-3'!H110+'19-3'!H110+'21-3'!H110+'22-3'!H110+'24-3'!H110+'25-3'!H110+'28-3'!H110+'29-3'!H110+'30-3'!H110+'32-3'!H110+'35-3'!H110+'37-3'!H110+'47-3'!H110+'62-3'!H110+'64-3'!H110+'74-3'!H110</f>
        <v>0</v>
      </c>
      <c r="I364" s="106">
        <f>'01-3'!I110+'02-3'!I110+'03-3'!I110+'04-3'!I110+'05-3'!I110+'08-3'!I110+'09-3'!I110+'10-3'!I110+'11-3'!I110+'12-3'!I110+'13-3'!I110+'14-3'!I110+'15-3'!I110+'16-3'!I110+'17-3'!I110+'18-3'!I110+'19-3'!I110+'21-3'!I110+'22-3'!I110+'24-3'!I110+'25-3'!I110+'28-3'!I110+'29-3'!I110+'30-3'!I110+'32-3'!I110+'35-3'!I110+'37-3'!I110+'47-3'!I110+'62-3'!I110+'64-3'!I110+'74-3'!I110</f>
        <v>0</v>
      </c>
      <c r="J364" s="106">
        <f>'01-3'!J110+'02-3'!J110+'03-3'!J110+'04-3'!J110+'05-3'!J110+'08-3'!J110+'09-3'!J110+'10-3'!J110+'11-3'!J110+'12-3'!J110+'13-3'!J110+'14-3'!J110+'15-3'!J110+'16-3'!J110+'17-3'!J110+'18-3'!J110+'19-3'!J110+'21-3'!J110+'22-3'!J110+'24-3'!J110+'25-3'!J110+'28-3'!J110+'29-3'!J110+'30-3'!J110+'32-3'!J110+'35-3'!J110+'37-3'!J110+'47-3'!J110+'62-3'!J110+'64-3'!J110+'74-3'!J110</f>
        <v>0</v>
      </c>
      <c r="K364" s="106">
        <f>'01-3'!K110+'02-3'!K110+'03-3'!K110+'04-3'!K110+'05-3'!K110+'08-3'!K110+'09-3'!K110+'10-3'!K110+'11-3'!K110+'12-3'!K110+'13-3'!K110+'14-3'!K110+'15-3'!K110+'16-3'!K110+'17-3'!K110+'18-3'!K110+'19-3'!K110+'21-3'!K110+'22-3'!K110+'24-3'!K110+'25-3'!K110+'28-3'!K110+'29-3'!K110+'30-3'!K110+'32-3'!K110+'35-3'!K110+'37-3'!K110+'47-3'!K110+'62-3'!K110+'64-3'!K110+'74-3'!K110</f>
        <v>0</v>
      </c>
      <c r="L364" s="106">
        <f>'01-3'!L110+'02-3'!L110+'03-3'!L110+'04-3'!L110+'05-3'!L110+'08-3'!L110+'09-3'!L110+'10-3'!L110+'11-3'!L110+'12-3'!L110+'13-3'!L110+'14-3'!L110+'15-3'!L110+'16-3'!L110+'17-3'!L110+'18-3'!L110+'19-3'!L110+'21-3'!L110+'22-3'!L110+'24-3'!L110+'25-3'!L110+'28-3'!L110+'29-3'!L110+'30-3'!L110+'32-3'!L110+'35-3'!L110+'37-3'!L110+'47-3'!L110+'62-3'!L110+'64-3'!L110+'74-3'!L110</f>
        <v>0</v>
      </c>
      <c r="M364" s="106">
        <f>'01-3'!M110+'02-3'!M110+'03-3'!M110+'04-3'!M110+'05-3'!M110+'08-3'!M110+'09-3'!M110+'10-3'!M110+'11-3'!M110+'12-3'!M110+'13-3'!M110+'14-3'!M110+'15-3'!M110+'16-3'!M110+'17-3'!M110+'18-3'!M110+'19-3'!M110+'21-3'!M110+'22-3'!M110+'24-3'!M110+'25-3'!M110+'28-3'!M110+'29-3'!M110+'30-3'!M110+'32-3'!M110+'35-3'!M110+'37-3'!M110+'47-3'!M110+'62-3'!M110+'64-3'!M110+'74-3'!M110</f>
        <v>0</v>
      </c>
      <c r="N364" s="106">
        <f>'01-3'!N110+'02-3'!N110+'03-3'!N110+'04-3'!N110+'05-3'!N110+'08-3'!N110+'09-3'!N110+'10-3'!N110+'11-3'!N110+'12-3'!N110+'13-3'!N110+'14-3'!N110+'15-3'!N110+'16-3'!N110+'17-3'!N110+'18-3'!N110+'19-3'!N110+'21-3'!N110+'22-3'!N110+'24-3'!N110+'25-3'!N110+'28-3'!N110+'29-3'!N110+'30-3'!N110+'32-3'!N110+'35-3'!N110+'37-3'!N110+'47-3'!N110+'62-3'!N110+'64-3'!N110+'74-3'!N110</f>
        <v>0</v>
      </c>
      <c r="O364" s="106">
        <f>'01-3'!O110+'02-3'!O110+'03-3'!O110+'04-3'!O110+'05-3'!O110+'08-3'!O110+'09-3'!O110+'10-3'!O110+'11-3'!O110+'12-3'!O110+'13-3'!O110+'14-3'!O110+'15-3'!O110+'16-3'!O110+'17-3'!O110+'18-3'!O110+'19-3'!O110+'21-3'!O110+'22-3'!O110+'24-3'!O110+'25-3'!O110+'28-3'!O110+'29-3'!O110+'30-3'!O110+'32-3'!O110+'35-3'!O110+'37-3'!O110+'47-3'!O110+'62-3'!O110+'64-3'!O110+'74-3'!O110</f>
        <v>0</v>
      </c>
      <c r="P364" s="106">
        <f>'01-3'!P110+'02-3'!P110+'03-3'!P110+'04-3'!P110+'05-3'!P110+'08-3'!P110+'09-3'!P110+'10-3'!P110+'11-3'!P110+'12-3'!P110+'13-3'!P110+'14-3'!P110+'15-3'!P110+'16-3'!P110+'17-3'!P110+'18-3'!P110+'19-3'!P110+'21-3'!P110+'22-3'!P110+'24-3'!P110+'25-3'!P110+'28-3'!P110+'29-3'!P110+'30-3'!P110+'32-3'!P110+'35-3'!P110+'37-3'!P110+'47-3'!P110+'62-3'!P110+'64-3'!P110+'74-3'!P110</f>
        <v>0</v>
      </c>
      <c r="Q364" s="106">
        <f>'01-3'!Q110+'02-3'!Q110+'03-3'!Q110+'04-3'!Q110+'05-3'!Q110+'08-3'!Q110+'09-3'!Q110+'10-3'!Q110+'11-3'!Q110+'12-3'!Q110+'13-3'!Q110+'14-3'!Q110+'15-3'!Q110+'16-3'!Q110+'17-3'!Q110+'18-3'!Q110+'19-3'!Q110+'21-3'!Q110+'22-3'!Q110+'24-3'!Q110+'25-3'!Q110+'28-3'!Q110+'29-3'!Q110+'30-3'!Q110+'32-3'!Q110+'35-3'!Q110+'37-3'!Q110+'47-3'!Q110+'62-3'!Q110+'64-3'!Q110+'74-3'!Q110</f>
        <v>0</v>
      </c>
      <c r="R364" s="106">
        <f>'01-3'!R110+'02-3'!R110+'03-3'!R110+'04-3'!R110+'05-3'!R110+'08-3'!R110+'09-3'!R110+'10-3'!R110+'11-3'!R110+'12-3'!R110+'13-3'!R110+'14-3'!R110+'15-3'!R110+'16-3'!R110+'17-3'!R110+'18-3'!R110+'19-3'!R110+'21-3'!R110+'22-3'!R110+'24-3'!R110+'25-3'!R110+'28-3'!R110+'29-3'!R110+'30-3'!R110+'32-3'!R110+'35-3'!R110+'37-3'!R110+'47-3'!R110+'62-3'!R110+'64-3'!R110+'74-3'!R110</f>
        <v>0</v>
      </c>
      <c r="S364" s="954"/>
      <c r="T364" s="954"/>
      <c r="U364" s="954"/>
      <c r="V364" s="954"/>
      <c r="W364" s="954"/>
    </row>
    <row r="365" spans="1:23" s="6" customFormat="1" ht="36" hidden="1">
      <c r="A365" s="209">
        <v>17100</v>
      </c>
      <c r="B365" s="208" t="s">
        <v>217</v>
      </c>
      <c r="C365" s="106">
        <f>'01-3'!C111+'02-3'!C111+'03-3'!C111+'04-3'!C111+'05-3'!C111+'08-3'!C111+'09-3'!C111+'10-3'!C111+'11-3'!C111+'12-3'!C111+'13-3'!C111+'14-3'!C111+'15-3'!C111+'16-3'!C111+'17-3'!C111+'18-3'!C111+'19-3'!C111+'21-3'!C111+'22-3'!C111+'24-3'!C111+'25-3'!C111+'28-3'!C111+'29-3'!C111+'30-3'!C111+'32-3'!C111+'35-3'!C111+'37-3'!C111+'47-3'!C111+'62-3'!C111+'64-3'!C111+'74-3'!C111</f>
        <v>0</v>
      </c>
      <c r="D365" s="106">
        <f>'01-3'!D111+'02-3'!D111+'03-3'!D111+'04-3'!D111+'05-3'!D111+'08-3'!D111+'09-3'!D111+'10-3'!D111+'11-3'!D111+'12-3'!D111+'13-3'!D111+'14-3'!D111+'15-3'!D111+'16-3'!D111+'17-3'!D111+'18-3'!D111+'19-3'!D111+'21-3'!D111+'22-3'!D111+'24-3'!D111+'25-3'!D111+'28-3'!D111+'29-3'!D111+'30-3'!D111+'32-3'!D111+'35-3'!D111+'37-3'!D111+'47-3'!D111+'62-3'!D111+'64-3'!D111+'74-3'!D111</f>
        <v>0</v>
      </c>
      <c r="E365" s="106">
        <f>'01-3'!E111+'02-3'!E111+'03-3'!E111+'04-3'!E111+'05-3'!E111+'08-3'!E111+'09-3'!E111+'10-3'!E111+'11-3'!E111+'12-3'!E111+'13-3'!E111+'14-3'!E111+'15-3'!E111+'16-3'!E111+'17-3'!E111+'18-3'!E111+'19-3'!E111+'21-3'!E111+'22-3'!E111+'24-3'!E111+'25-3'!E111+'28-3'!E111+'29-3'!E111+'30-3'!E111+'32-3'!E111+'35-3'!E111+'37-3'!E111+'47-3'!E111+'62-3'!E111+'64-3'!E111+'74-3'!E111</f>
        <v>0</v>
      </c>
      <c r="F365" s="106">
        <f>'01-3'!F111+'02-3'!F111+'03-3'!F111+'04-3'!F111+'05-3'!F111+'08-3'!F111+'09-3'!F111+'10-3'!F111+'11-3'!F111+'12-3'!F111+'13-3'!F111+'14-3'!F111+'15-3'!F111+'16-3'!F111+'17-3'!F111+'18-3'!F111+'19-3'!F111+'21-3'!F111+'22-3'!F111+'24-3'!F111+'25-3'!F111+'28-3'!F111+'29-3'!F111+'30-3'!F111+'32-3'!F111+'35-3'!F111+'37-3'!F111+'47-3'!F111+'62-3'!F111+'64-3'!F111+'74-3'!F111</f>
        <v>0</v>
      </c>
      <c r="G365" s="106">
        <f>'01-3'!G111+'02-3'!G111+'03-3'!G111+'04-3'!G111+'05-3'!G111+'08-3'!G111+'09-3'!G111+'10-3'!G111+'11-3'!G111+'12-3'!G111+'13-3'!G111+'14-3'!G111+'15-3'!G111+'16-3'!G111+'17-3'!G111+'18-3'!G111+'19-3'!G111+'21-3'!G111+'22-3'!G111+'24-3'!G111+'25-3'!G111+'28-3'!G111+'29-3'!G111+'30-3'!G111+'32-3'!G111+'35-3'!G111+'37-3'!G111+'47-3'!G111+'62-3'!G111+'64-3'!G111+'74-3'!G111</f>
        <v>0</v>
      </c>
      <c r="H365" s="106">
        <f>'01-3'!H111+'02-3'!H111+'03-3'!H111+'04-3'!H111+'05-3'!H111+'08-3'!H111+'09-3'!H111+'10-3'!H111+'11-3'!H111+'12-3'!H111+'13-3'!H111+'14-3'!H111+'15-3'!H111+'16-3'!H111+'17-3'!H111+'18-3'!H111+'19-3'!H111+'21-3'!H111+'22-3'!H111+'24-3'!H111+'25-3'!H111+'28-3'!H111+'29-3'!H111+'30-3'!H111+'32-3'!H111+'35-3'!H111+'37-3'!H111+'47-3'!H111+'62-3'!H111+'64-3'!H111+'74-3'!H111</f>
        <v>0</v>
      </c>
      <c r="I365" s="106">
        <f>'01-3'!I111+'02-3'!I111+'03-3'!I111+'04-3'!I111+'05-3'!I111+'08-3'!I111+'09-3'!I111+'10-3'!I111+'11-3'!I111+'12-3'!I111+'13-3'!I111+'14-3'!I111+'15-3'!I111+'16-3'!I111+'17-3'!I111+'18-3'!I111+'19-3'!I111+'21-3'!I111+'22-3'!I111+'24-3'!I111+'25-3'!I111+'28-3'!I111+'29-3'!I111+'30-3'!I111+'32-3'!I111+'35-3'!I111+'37-3'!I111+'47-3'!I111+'62-3'!I111+'64-3'!I111+'74-3'!I111</f>
        <v>0</v>
      </c>
      <c r="J365" s="106">
        <f>'01-3'!J111+'02-3'!J111+'03-3'!J111+'04-3'!J111+'05-3'!J111+'08-3'!J111+'09-3'!J111+'10-3'!J111+'11-3'!J111+'12-3'!J111+'13-3'!J111+'14-3'!J111+'15-3'!J111+'16-3'!J111+'17-3'!J111+'18-3'!J111+'19-3'!J111+'21-3'!J111+'22-3'!J111+'24-3'!J111+'25-3'!J111+'28-3'!J111+'29-3'!J111+'30-3'!J111+'32-3'!J111+'35-3'!J111+'37-3'!J111+'47-3'!J111+'62-3'!J111+'64-3'!J111+'74-3'!J111</f>
        <v>0</v>
      </c>
      <c r="K365" s="106">
        <f>'01-3'!K111+'02-3'!K111+'03-3'!K111+'04-3'!K111+'05-3'!K111+'08-3'!K111+'09-3'!K111+'10-3'!K111+'11-3'!K111+'12-3'!K111+'13-3'!K111+'14-3'!K111+'15-3'!K111+'16-3'!K111+'17-3'!K111+'18-3'!K111+'19-3'!K111+'21-3'!K111+'22-3'!K111+'24-3'!K111+'25-3'!K111+'28-3'!K111+'29-3'!K111+'30-3'!K111+'32-3'!K111+'35-3'!K111+'37-3'!K111+'47-3'!K111+'62-3'!K111+'64-3'!K111+'74-3'!K111</f>
        <v>0</v>
      </c>
      <c r="L365" s="106">
        <f>'01-3'!L111+'02-3'!L111+'03-3'!L111+'04-3'!L111+'05-3'!L111+'08-3'!L111+'09-3'!L111+'10-3'!L111+'11-3'!L111+'12-3'!L111+'13-3'!L111+'14-3'!L111+'15-3'!L111+'16-3'!L111+'17-3'!L111+'18-3'!L111+'19-3'!L111+'21-3'!L111+'22-3'!L111+'24-3'!L111+'25-3'!L111+'28-3'!L111+'29-3'!L111+'30-3'!L111+'32-3'!L111+'35-3'!L111+'37-3'!L111+'47-3'!L111+'62-3'!L111+'64-3'!L111+'74-3'!L111</f>
        <v>0</v>
      </c>
      <c r="M365" s="106">
        <f>'01-3'!M111+'02-3'!M111+'03-3'!M111+'04-3'!M111+'05-3'!M111+'08-3'!M111+'09-3'!M111+'10-3'!M111+'11-3'!M111+'12-3'!M111+'13-3'!M111+'14-3'!M111+'15-3'!M111+'16-3'!M111+'17-3'!M111+'18-3'!M111+'19-3'!M111+'21-3'!M111+'22-3'!M111+'24-3'!M111+'25-3'!M111+'28-3'!M111+'29-3'!M111+'30-3'!M111+'32-3'!M111+'35-3'!M111+'37-3'!M111+'47-3'!M111+'62-3'!M111+'64-3'!M111+'74-3'!M111</f>
        <v>0</v>
      </c>
      <c r="N365" s="106">
        <f>'01-3'!N111+'02-3'!N111+'03-3'!N111+'04-3'!N111+'05-3'!N111+'08-3'!N111+'09-3'!N111+'10-3'!N111+'11-3'!N111+'12-3'!N111+'13-3'!N111+'14-3'!N111+'15-3'!N111+'16-3'!N111+'17-3'!N111+'18-3'!N111+'19-3'!N111+'21-3'!N111+'22-3'!N111+'24-3'!N111+'25-3'!N111+'28-3'!N111+'29-3'!N111+'30-3'!N111+'32-3'!N111+'35-3'!N111+'37-3'!N111+'47-3'!N111+'62-3'!N111+'64-3'!N111+'74-3'!N111</f>
        <v>0</v>
      </c>
      <c r="O365" s="106">
        <f>'01-3'!O111+'02-3'!O111+'03-3'!O111+'04-3'!O111+'05-3'!O111+'08-3'!O111+'09-3'!O111+'10-3'!O111+'11-3'!O111+'12-3'!O111+'13-3'!O111+'14-3'!O111+'15-3'!O111+'16-3'!O111+'17-3'!O111+'18-3'!O111+'19-3'!O111+'21-3'!O111+'22-3'!O111+'24-3'!O111+'25-3'!O111+'28-3'!O111+'29-3'!O111+'30-3'!O111+'32-3'!O111+'35-3'!O111+'37-3'!O111+'47-3'!O111+'62-3'!O111+'64-3'!O111+'74-3'!O111</f>
        <v>0</v>
      </c>
      <c r="P365" s="106">
        <f>'01-3'!P111+'02-3'!P111+'03-3'!P111+'04-3'!P111+'05-3'!P111+'08-3'!P111+'09-3'!P111+'10-3'!P111+'11-3'!P111+'12-3'!P111+'13-3'!P111+'14-3'!P111+'15-3'!P111+'16-3'!P111+'17-3'!P111+'18-3'!P111+'19-3'!P111+'21-3'!P111+'22-3'!P111+'24-3'!P111+'25-3'!P111+'28-3'!P111+'29-3'!P111+'30-3'!P111+'32-3'!P111+'35-3'!P111+'37-3'!P111+'47-3'!P111+'62-3'!P111+'64-3'!P111+'74-3'!P111</f>
        <v>0</v>
      </c>
      <c r="Q365" s="106">
        <f>'01-3'!Q111+'02-3'!Q111+'03-3'!Q111+'04-3'!Q111+'05-3'!Q111+'08-3'!Q111+'09-3'!Q111+'10-3'!Q111+'11-3'!Q111+'12-3'!Q111+'13-3'!Q111+'14-3'!Q111+'15-3'!Q111+'16-3'!Q111+'17-3'!Q111+'18-3'!Q111+'19-3'!Q111+'21-3'!Q111+'22-3'!Q111+'24-3'!Q111+'25-3'!Q111+'28-3'!Q111+'29-3'!Q111+'30-3'!Q111+'32-3'!Q111+'35-3'!Q111+'37-3'!Q111+'47-3'!Q111+'62-3'!Q111+'64-3'!Q111+'74-3'!Q111</f>
        <v>0</v>
      </c>
      <c r="R365" s="106">
        <f>'01-3'!R111+'02-3'!R111+'03-3'!R111+'04-3'!R111+'05-3'!R111+'08-3'!R111+'09-3'!R111+'10-3'!R111+'11-3'!R111+'12-3'!R111+'13-3'!R111+'14-3'!R111+'15-3'!R111+'16-3'!R111+'17-3'!R111+'18-3'!R111+'19-3'!R111+'21-3'!R111+'22-3'!R111+'24-3'!R111+'25-3'!R111+'28-3'!R111+'29-3'!R111+'30-3'!R111+'32-3'!R111+'35-3'!R111+'37-3'!R111+'47-3'!R111+'62-3'!R111+'64-3'!R111+'74-3'!R111</f>
        <v>0</v>
      </c>
      <c r="S365" s="954"/>
      <c r="T365" s="954"/>
      <c r="U365" s="954"/>
      <c r="V365" s="954"/>
      <c r="W365" s="954"/>
    </row>
    <row r="366" spans="1:23" s="6" customFormat="1" ht="60" hidden="1">
      <c r="A366" s="149">
        <v>17110</v>
      </c>
      <c r="B366" s="208" t="s">
        <v>218</v>
      </c>
      <c r="C366" s="106">
        <f>'01-3'!C112+'02-3'!C112+'03-3'!C112+'04-3'!C112+'05-3'!C112+'08-3'!C112+'09-3'!C112+'10-3'!C112+'11-3'!C112+'12-3'!C112+'13-3'!C112+'14-3'!C112+'15-3'!C112+'16-3'!C112+'17-3'!C112+'18-3'!C112+'19-3'!C112+'21-3'!C112+'22-3'!C112+'24-3'!C112+'25-3'!C112+'28-3'!C112+'29-3'!C112+'30-3'!C112+'32-3'!C112+'35-3'!C112+'37-3'!C112+'47-3'!C112+'62-3'!C112+'64-3'!C112+'74-3'!C112</f>
        <v>0</v>
      </c>
      <c r="D366" s="106">
        <f>'01-3'!D112+'02-3'!D112+'03-3'!D112+'04-3'!D112+'05-3'!D112+'08-3'!D112+'09-3'!D112+'10-3'!D112+'11-3'!D112+'12-3'!D112+'13-3'!D112+'14-3'!D112+'15-3'!D112+'16-3'!D112+'17-3'!D112+'18-3'!D112+'19-3'!D112+'21-3'!D112+'22-3'!D112+'24-3'!D112+'25-3'!D112+'28-3'!D112+'29-3'!D112+'30-3'!D112+'32-3'!D112+'35-3'!D112+'37-3'!D112+'47-3'!D112+'62-3'!D112+'64-3'!D112+'74-3'!D112</f>
        <v>0</v>
      </c>
      <c r="E366" s="106">
        <f>'01-3'!E112+'02-3'!E112+'03-3'!E112+'04-3'!E112+'05-3'!E112+'08-3'!E112+'09-3'!E112+'10-3'!E112+'11-3'!E112+'12-3'!E112+'13-3'!E112+'14-3'!E112+'15-3'!E112+'16-3'!E112+'17-3'!E112+'18-3'!E112+'19-3'!E112+'21-3'!E112+'22-3'!E112+'24-3'!E112+'25-3'!E112+'28-3'!E112+'29-3'!E112+'30-3'!E112+'32-3'!E112+'35-3'!E112+'37-3'!E112+'47-3'!E112+'62-3'!E112+'64-3'!E112+'74-3'!E112</f>
        <v>0</v>
      </c>
      <c r="F366" s="106">
        <f>'01-3'!F112+'02-3'!F112+'03-3'!F112+'04-3'!F112+'05-3'!F112+'08-3'!F112+'09-3'!F112+'10-3'!F112+'11-3'!F112+'12-3'!F112+'13-3'!F112+'14-3'!F112+'15-3'!F112+'16-3'!F112+'17-3'!F112+'18-3'!F112+'19-3'!F112+'21-3'!F112+'22-3'!F112+'24-3'!F112+'25-3'!F112+'28-3'!F112+'29-3'!F112+'30-3'!F112+'32-3'!F112+'35-3'!F112+'37-3'!F112+'47-3'!F112+'62-3'!F112+'64-3'!F112+'74-3'!F112</f>
        <v>0</v>
      </c>
      <c r="G366" s="106">
        <f>'01-3'!G112+'02-3'!G112+'03-3'!G112+'04-3'!G112+'05-3'!G112+'08-3'!G112+'09-3'!G112+'10-3'!G112+'11-3'!G112+'12-3'!G112+'13-3'!G112+'14-3'!G112+'15-3'!G112+'16-3'!G112+'17-3'!G112+'18-3'!G112+'19-3'!G112+'21-3'!G112+'22-3'!G112+'24-3'!G112+'25-3'!G112+'28-3'!G112+'29-3'!G112+'30-3'!G112+'32-3'!G112+'35-3'!G112+'37-3'!G112+'47-3'!G112+'62-3'!G112+'64-3'!G112+'74-3'!G112</f>
        <v>0</v>
      </c>
      <c r="H366" s="106">
        <f>'01-3'!H112+'02-3'!H112+'03-3'!H112+'04-3'!H112+'05-3'!H112+'08-3'!H112+'09-3'!H112+'10-3'!H112+'11-3'!H112+'12-3'!H112+'13-3'!H112+'14-3'!H112+'15-3'!H112+'16-3'!H112+'17-3'!H112+'18-3'!H112+'19-3'!H112+'21-3'!H112+'22-3'!H112+'24-3'!H112+'25-3'!H112+'28-3'!H112+'29-3'!H112+'30-3'!H112+'32-3'!H112+'35-3'!H112+'37-3'!H112+'47-3'!H112+'62-3'!H112+'64-3'!H112+'74-3'!H112</f>
        <v>0</v>
      </c>
      <c r="I366" s="106">
        <f>'01-3'!I112+'02-3'!I112+'03-3'!I112+'04-3'!I112+'05-3'!I112+'08-3'!I112+'09-3'!I112+'10-3'!I112+'11-3'!I112+'12-3'!I112+'13-3'!I112+'14-3'!I112+'15-3'!I112+'16-3'!I112+'17-3'!I112+'18-3'!I112+'19-3'!I112+'21-3'!I112+'22-3'!I112+'24-3'!I112+'25-3'!I112+'28-3'!I112+'29-3'!I112+'30-3'!I112+'32-3'!I112+'35-3'!I112+'37-3'!I112+'47-3'!I112+'62-3'!I112+'64-3'!I112+'74-3'!I112</f>
        <v>0</v>
      </c>
      <c r="J366" s="106">
        <f>'01-3'!J112+'02-3'!J112+'03-3'!J112+'04-3'!J112+'05-3'!J112+'08-3'!J112+'09-3'!J112+'10-3'!J112+'11-3'!J112+'12-3'!J112+'13-3'!J112+'14-3'!J112+'15-3'!J112+'16-3'!J112+'17-3'!J112+'18-3'!J112+'19-3'!J112+'21-3'!J112+'22-3'!J112+'24-3'!J112+'25-3'!J112+'28-3'!J112+'29-3'!J112+'30-3'!J112+'32-3'!J112+'35-3'!J112+'37-3'!J112+'47-3'!J112+'62-3'!J112+'64-3'!J112+'74-3'!J112</f>
        <v>0</v>
      </c>
      <c r="K366" s="106">
        <f>'01-3'!K112+'02-3'!K112+'03-3'!K112+'04-3'!K112+'05-3'!K112+'08-3'!K112+'09-3'!K112+'10-3'!K112+'11-3'!K112+'12-3'!K112+'13-3'!K112+'14-3'!K112+'15-3'!K112+'16-3'!K112+'17-3'!K112+'18-3'!K112+'19-3'!K112+'21-3'!K112+'22-3'!K112+'24-3'!K112+'25-3'!K112+'28-3'!K112+'29-3'!K112+'30-3'!K112+'32-3'!K112+'35-3'!K112+'37-3'!K112+'47-3'!K112+'62-3'!K112+'64-3'!K112+'74-3'!K112</f>
        <v>0</v>
      </c>
      <c r="L366" s="106">
        <f>'01-3'!L112+'02-3'!L112+'03-3'!L112+'04-3'!L112+'05-3'!L112+'08-3'!L112+'09-3'!L112+'10-3'!L112+'11-3'!L112+'12-3'!L112+'13-3'!L112+'14-3'!L112+'15-3'!L112+'16-3'!L112+'17-3'!L112+'18-3'!L112+'19-3'!L112+'21-3'!L112+'22-3'!L112+'24-3'!L112+'25-3'!L112+'28-3'!L112+'29-3'!L112+'30-3'!L112+'32-3'!L112+'35-3'!L112+'37-3'!L112+'47-3'!L112+'62-3'!L112+'64-3'!L112+'74-3'!L112</f>
        <v>0</v>
      </c>
      <c r="M366" s="106">
        <f>'01-3'!M112+'02-3'!M112+'03-3'!M112+'04-3'!M112+'05-3'!M112+'08-3'!M112+'09-3'!M112+'10-3'!M112+'11-3'!M112+'12-3'!M112+'13-3'!M112+'14-3'!M112+'15-3'!M112+'16-3'!M112+'17-3'!M112+'18-3'!M112+'19-3'!M112+'21-3'!M112+'22-3'!M112+'24-3'!M112+'25-3'!M112+'28-3'!M112+'29-3'!M112+'30-3'!M112+'32-3'!M112+'35-3'!M112+'37-3'!M112+'47-3'!M112+'62-3'!M112+'64-3'!M112+'74-3'!M112</f>
        <v>0</v>
      </c>
      <c r="N366" s="106">
        <f>'01-3'!N112+'02-3'!N112+'03-3'!N112+'04-3'!N112+'05-3'!N112+'08-3'!N112+'09-3'!N112+'10-3'!N112+'11-3'!N112+'12-3'!N112+'13-3'!N112+'14-3'!N112+'15-3'!N112+'16-3'!N112+'17-3'!N112+'18-3'!N112+'19-3'!N112+'21-3'!N112+'22-3'!N112+'24-3'!N112+'25-3'!N112+'28-3'!N112+'29-3'!N112+'30-3'!N112+'32-3'!N112+'35-3'!N112+'37-3'!N112+'47-3'!N112+'62-3'!N112+'64-3'!N112+'74-3'!N112</f>
        <v>0</v>
      </c>
      <c r="O366" s="106">
        <f>'01-3'!O112+'02-3'!O112+'03-3'!O112+'04-3'!O112+'05-3'!O112+'08-3'!O112+'09-3'!O112+'10-3'!O112+'11-3'!O112+'12-3'!O112+'13-3'!O112+'14-3'!O112+'15-3'!O112+'16-3'!O112+'17-3'!O112+'18-3'!O112+'19-3'!O112+'21-3'!O112+'22-3'!O112+'24-3'!O112+'25-3'!O112+'28-3'!O112+'29-3'!O112+'30-3'!O112+'32-3'!O112+'35-3'!O112+'37-3'!O112+'47-3'!O112+'62-3'!O112+'64-3'!O112+'74-3'!O112</f>
        <v>0</v>
      </c>
      <c r="P366" s="106">
        <f>'01-3'!P112+'02-3'!P112+'03-3'!P112+'04-3'!P112+'05-3'!P112+'08-3'!P112+'09-3'!P112+'10-3'!P112+'11-3'!P112+'12-3'!P112+'13-3'!P112+'14-3'!P112+'15-3'!P112+'16-3'!P112+'17-3'!P112+'18-3'!P112+'19-3'!P112+'21-3'!P112+'22-3'!P112+'24-3'!P112+'25-3'!P112+'28-3'!P112+'29-3'!P112+'30-3'!P112+'32-3'!P112+'35-3'!P112+'37-3'!P112+'47-3'!P112+'62-3'!P112+'64-3'!P112+'74-3'!P112</f>
        <v>0</v>
      </c>
      <c r="Q366" s="106">
        <f>'01-3'!Q112+'02-3'!Q112+'03-3'!Q112+'04-3'!Q112+'05-3'!Q112+'08-3'!Q112+'09-3'!Q112+'10-3'!Q112+'11-3'!Q112+'12-3'!Q112+'13-3'!Q112+'14-3'!Q112+'15-3'!Q112+'16-3'!Q112+'17-3'!Q112+'18-3'!Q112+'19-3'!Q112+'21-3'!Q112+'22-3'!Q112+'24-3'!Q112+'25-3'!Q112+'28-3'!Q112+'29-3'!Q112+'30-3'!Q112+'32-3'!Q112+'35-3'!Q112+'37-3'!Q112+'47-3'!Q112+'62-3'!Q112+'64-3'!Q112+'74-3'!Q112</f>
        <v>0</v>
      </c>
      <c r="R366" s="106">
        <f>'01-3'!R112+'02-3'!R112+'03-3'!R112+'04-3'!R112+'05-3'!R112+'08-3'!R112+'09-3'!R112+'10-3'!R112+'11-3'!R112+'12-3'!R112+'13-3'!R112+'14-3'!R112+'15-3'!R112+'16-3'!R112+'17-3'!R112+'18-3'!R112+'19-3'!R112+'21-3'!R112+'22-3'!R112+'24-3'!R112+'25-3'!R112+'28-3'!R112+'29-3'!R112+'30-3'!R112+'32-3'!R112+'35-3'!R112+'37-3'!R112+'47-3'!R112+'62-3'!R112+'64-3'!R112+'74-3'!R112</f>
        <v>0</v>
      </c>
      <c r="S366" s="954"/>
      <c r="T366" s="954"/>
      <c r="U366" s="954"/>
      <c r="V366" s="954"/>
      <c r="W366" s="954"/>
    </row>
    <row r="367" spans="1:23" s="6" customFormat="1" ht="60" hidden="1">
      <c r="A367" s="149">
        <v>17120</v>
      </c>
      <c r="B367" s="208" t="s">
        <v>219</v>
      </c>
      <c r="C367" s="106">
        <f>'01-3'!C113+'02-3'!C113+'03-3'!C113+'04-3'!C113+'05-3'!C113+'08-3'!C113+'09-3'!C113+'10-3'!C113+'11-3'!C113+'12-3'!C113+'13-3'!C113+'14-3'!C113+'15-3'!C113+'16-3'!C113+'17-3'!C113+'18-3'!C113+'19-3'!C113+'21-3'!C113+'22-3'!C113+'24-3'!C113+'25-3'!C113+'28-3'!C113+'29-3'!C113+'30-3'!C113+'32-3'!C113+'35-3'!C113+'37-3'!C113+'47-3'!C113+'62-3'!C113+'64-3'!C113+'74-3'!C113</f>
        <v>0</v>
      </c>
      <c r="D367" s="106">
        <f>'01-3'!D113+'02-3'!D113+'03-3'!D113+'04-3'!D113+'05-3'!D113+'08-3'!D113+'09-3'!D113+'10-3'!D113+'11-3'!D113+'12-3'!D113+'13-3'!D113+'14-3'!D113+'15-3'!D113+'16-3'!D113+'17-3'!D113+'18-3'!D113+'19-3'!D113+'21-3'!D113+'22-3'!D113+'24-3'!D113+'25-3'!D113+'28-3'!D113+'29-3'!D113+'30-3'!D113+'32-3'!D113+'35-3'!D113+'37-3'!D113+'47-3'!D113+'62-3'!D113+'64-3'!D113+'74-3'!D113</f>
        <v>0</v>
      </c>
      <c r="E367" s="106">
        <f>'01-3'!E113+'02-3'!E113+'03-3'!E113+'04-3'!E113+'05-3'!E113+'08-3'!E113+'09-3'!E113+'10-3'!E113+'11-3'!E113+'12-3'!E113+'13-3'!E113+'14-3'!E113+'15-3'!E113+'16-3'!E113+'17-3'!E113+'18-3'!E113+'19-3'!E113+'21-3'!E113+'22-3'!E113+'24-3'!E113+'25-3'!E113+'28-3'!E113+'29-3'!E113+'30-3'!E113+'32-3'!E113+'35-3'!E113+'37-3'!E113+'47-3'!E113+'62-3'!E113+'64-3'!E113+'74-3'!E113</f>
        <v>0</v>
      </c>
      <c r="F367" s="106">
        <f>'01-3'!F113+'02-3'!F113+'03-3'!F113+'04-3'!F113+'05-3'!F113+'08-3'!F113+'09-3'!F113+'10-3'!F113+'11-3'!F113+'12-3'!F113+'13-3'!F113+'14-3'!F113+'15-3'!F113+'16-3'!F113+'17-3'!F113+'18-3'!F113+'19-3'!F113+'21-3'!F113+'22-3'!F113+'24-3'!F113+'25-3'!F113+'28-3'!F113+'29-3'!F113+'30-3'!F113+'32-3'!F113+'35-3'!F113+'37-3'!F113+'47-3'!F113+'62-3'!F113+'64-3'!F113+'74-3'!F113</f>
        <v>0</v>
      </c>
      <c r="G367" s="106">
        <f>'01-3'!G113+'02-3'!G113+'03-3'!G113+'04-3'!G113+'05-3'!G113+'08-3'!G113+'09-3'!G113+'10-3'!G113+'11-3'!G113+'12-3'!G113+'13-3'!G113+'14-3'!G113+'15-3'!G113+'16-3'!G113+'17-3'!G113+'18-3'!G113+'19-3'!G113+'21-3'!G113+'22-3'!G113+'24-3'!G113+'25-3'!G113+'28-3'!G113+'29-3'!G113+'30-3'!G113+'32-3'!G113+'35-3'!G113+'37-3'!G113+'47-3'!G113+'62-3'!G113+'64-3'!G113+'74-3'!G113</f>
        <v>0</v>
      </c>
      <c r="H367" s="106">
        <f>'01-3'!H113+'02-3'!H113+'03-3'!H113+'04-3'!H113+'05-3'!H113+'08-3'!H113+'09-3'!H113+'10-3'!H113+'11-3'!H113+'12-3'!H113+'13-3'!H113+'14-3'!H113+'15-3'!H113+'16-3'!H113+'17-3'!H113+'18-3'!H113+'19-3'!H113+'21-3'!H113+'22-3'!H113+'24-3'!H113+'25-3'!H113+'28-3'!H113+'29-3'!H113+'30-3'!H113+'32-3'!H113+'35-3'!H113+'37-3'!H113+'47-3'!H113+'62-3'!H113+'64-3'!H113+'74-3'!H113</f>
        <v>0</v>
      </c>
      <c r="I367" s="106">
        <f>'01-3'!I113+'02-3'!I113+'03-3'!I113+'04-3'!I113+'05-3'!I113+'08-3'!I113+'09-3'!I113+'10-3'!I113+'11-3'!I113+'12-3'!I113+'13-3'!I113+'14-3'!I113+'15-3'!I113+'16-3'!I113+'17-3'!I113+'18-3'!I113+'19-3'!I113+'21-3'!I113+'22-3'!I113+'24-3'!I113+'25-3'!I113+'28-3'!I113+'29-3'!I113+'30-3'!I113+'32-3'!I113+'35-3'!I113+'37-3'!I113+'47-3'!I113+'62-3'!I113+'64-3'!I113+'74-3'!I113</f>
        <v>0</v>
      </c>
      <c r="J367" s="106">
        <f>'01-3'!J113+'02-3'!J113+'03-3'!J113+'04-3'!J113+'05-3'!J113+'08-3'!J113+'09-3'!J113+'10-3'!J113+'11-3'!J113+'12-3'!J113+'13-3'!J113+'14-3'!J113+'15-3'!J113+'16-3'!J113+'17-3'!J113+'18-3'!J113+'19-3'!J113+'21-3'!J113+'22-3'!J113+'24-3'!J113+'25-3'!J113+'28-3'!J113+'29-3'!J113+'30-3'!J113+'32-3'!J113+'35-3'!J113+'37-3'!J113+'47-3'!J113+'62-3'!J113+'64-3'!J113+'74-3'!J113</f>
        <v>0</v>
      </c>
      <c r="K367" s="106">
        <f>'01-3'!K113+'02-3'!K113+'03-3'!K113+'04-3'!K113+'05-3'!K113+'08-3'!K113+'09-3'!K113+'10-3'!K113+'11-3'!K113+'12-3'!K113+'13-3'!K113+'14-3'!K113+'15-3'!K113+'16-3'!K113+'17-3'!K113+'18-3'!K113+'19-3'!K113+'21-3'!K113+'22-3'!K113+'24-3'!K113+'25-3'!K113+'28-3'!K113+'29-3'!K113+'30-3'!K113+'32-3'!K113+'35-3'!K113+'37-3'!K113+'47-3'!K113+'62-3'!K113+'64-3'!K113+'74-3'!K113</f>
        <v>0</v>
      </c>
      <c r="L367" s="106">
        <f>'01-3'!L113+'02-3'!L113+'03-3'!L113+'04-3'!L113+'05-3'!L113+'08-3'!L113+'09-3'!L113+'10-3'!L113+'11-3'!L113+'12-3'!L113+'13-3'!L113+'14-3'!L113+'15-3'!L113+'16-3'!L113+'17-3'!L113+'18-3'!L113+'19-3'!L113+'21-3'!L113+'22-3'!L113+'24-3'!L113+'25-3'!L113+'28-3'!L113+'29-3'!L113+'30-3'!L113+'32-3'!L113+'35-3'!L113+'37-3'!L113+'47-3'!L113+'62-3'!L113+'64-3'!L113+'74-3'!L113</f>
        <v>0</v>
      </c>
      <c r="M367" s="106">
        <f>'01-3'!M113+'02-3'!M113+'03-3'!M113+'04-3'!M113+'05-3'!M113+'08-3'!M113+'09-3'!M113+'10-3'!M113+'11-3'!M113+'12-3'!M113+'13-3'!M113+'14-3'!M113+'15-3'!M113+'16-3'!M113+'17-3'!M113+'18-3'!M113+'19-3'!M113+'21-3'!M113+'22-3'!M113+'24-3'!M113+'25-3'!M113+'28-3'!M113+'29-3'!M113+'30-3'!M113+'32-3'!M113+'35-3'!M113+'37-3'!M113+'47-3'!M113+'62-3'!M113+'64-3'!M113+'74-3'!M113</f>
        <v>0</v>
      </c>
      <c r="N367" s="106">
        <f>'01-3'!N113+'02-3'!N113+'03-3'!N113+'04-3'!N113+'05-3'!N113+'08-3'!N113+'09-3'!N113+'10-3'!N113+'11-3'!N113+'12-3'!N113+'13-3'!N113+'14-3'!N113+'15-3'!N113+'16-3'!N113+'17-3'!N113+'18-3'!N113+'19-3'!N113+'21-3'!N113+'22-3'!N113+'24-3'!N113+'25-3'!N113+'28-3'!N113+'29-3'!N113+'30-3'!N113+'32-3'!N113+'35-3'!N113+'37-3'!N113+'47-3'!N113+'62-3'!N113+'64-3'!N113+'74-3'!N113</f>
        <v>0</v>
      </c>
      <c r="O367" s="106">
        <f>'01-3'!O113+'02-3'!O113+'03-3'!O113+'04-3'!O113+'05-3'!O113+'08-3'!O113+'09-3'!O113+'10-3'!O113+'11-3'!O113+'12-3'!O113+'13-3'!O113+'14-3'!O113+'15-3'!O113+'16-3'!O113+'17-3'!O113+'18-3'!O113+'19-3'!O113+'21-3'!O113+'22-3'!O113+'24-3'!O113+'25-3'!O113+'28-3'!O113+'29-3'!O113+'30-3'!O113+'32-3'!O113+'35-3'!O113+'37-3'!O113+'47-3'!O113+'62-3'!O113+'64-3'!O113+'74-3'!O113</f>
        <v>0</v>
      </c>
      <c r="P367" s="106">
        <f>'01-3'!P113+'02-3'!P113+'03-3'!P113+'04-3'!P113+'05-3'!P113+'08-3'!P113+'09-3'!P113+'10-3'!P113+'11-3'!P113+'12-3'!P113+'13-3'!P113+'14-3'!P113+'15-3'!P113+'16-3'!P113+'17-3'!P113+'18-3'!P113+'19-3'!P113+'21-3'!P113+'22-3'!P113+'24-3'!P113+'25-3'!P113+'28-3'!P113+'29-3'!P113+'30-3'!P113+'32-3'!P113+'35-3'!P113+'37-3'!P113+'47-3'!P113+'62-3'!P113+'64-3'!P113+'74-3'!P113</f>
        <v>0</v>
      </c>
      <c r="Q367" s="106">
        <f>'01-3'!Q113+'02-3'!Q113+'03-3'!Q113+'04-3'!Q113+'05-3'!Q113+'08-3'!Q113+'09-3'!Q113+'10-3'!Q113+'11-3'!Q113+'12-3'!Q113+'13-3'!Q113+'14-3'!Q113+'15-3'!Q113+'16-3'!Q113+'17-3'!Q113+'18-3'!Q113+'19-3'!Q113+'21-3'!Q113+'22-3'!Q113+'24-3'!Q113+'25-3'!Q113+'28-3'!Q113+'29-3'!Q113+'30-3'!Q113+'32-3'!Q113+'35-3'!Q113+'37-3'!Q113+'47-3'!Q113+'62-3'!Q113+'64-3'!Q113+'74-3'!Q113</f>
        <v>0</v>
      </c>
      <c r="R367" s="106">
        <f>'01-3'!R113+'02-3'!R113+'03-3'!R113+'04-3'!R113+'05-3'!R113+'08-3'!R113+'09-3'!R113+'10-3'!R113+'11-3'!R113+'12-3'!R113+'13-3'!R113+'14-3'!R113+'15-3'!R113+'16-3'!R113+'17-3'!R113+'18-3'!R113+'19-3'!R113+'21-3'!R113+'22-3'!R113+'24-3'!R113+'25-3'!R113+'28-3'!R113+'29-3'!R113+'30-3'!R113+'32-3'!R113+'35-3'!R113+'37-3'!R113+'47-3'!R113+'62-3'!R113+'64-3'!R113+'74-3'!R113</f>
        <v>0</v>
      </c>
      <c r="S367" s="954"/>
      <c r="T367" s="954"/>
      <c r="U367" s="954"/>
      <c r="V367" s="954"/>
      <c r="W367" s="954"/>
    </row>
    <row r="368" spans="1:23" s="6" customFormat="1" ht="108" hidden="1">
      <c r="A368" s="149">
        <v>17130</v>
      </c>
      <c r="B368" s="208" t="s">
        <v>220</v>
      </c>
      <c r="C368" s="106">
        <f>'01-3'!C114+'02-3'!C114+'03-3'!C114+'04-3'!C114+'05-3'!C114+'08-3'!C114+'09-3'!C114+'10-3'!C114+'11-3'!C114+'12-3'!C114+'13-3'!C114+'14-3'!C114+'15-3'!C114+'16-3'!C114+'17-3'!C114+'18-3'!C114+'19-3'!C114+'21-3'!C114+'22-3'!C114+'24-3'!C114+'25-3'!C114+'28-3'!C114+'29-3'!C114+'30-3'!C114+'32-3'!C114+'35-3'!C114+'37-3'!C114+'47-3'!C114+'62-3'!C114+'64-3'!C114+'74-3'!C114</f>
        <v>0</v>
      </c>
      <c r="D368" s="106">
        <f>'01-3'!D114+'02-3'!D114+'03-3'!D114+'04-3'!D114+'05-3'!D114+'08-3'!D114+'09-3'!D114+'10-3'!D114+'11-3'!D114+'12-3'!D114+'13-3'!D114+'14-3'!D114+'15-3'!D114+'16-3'!D114+'17-3'!D114+'18-3'!D114+'19-3'!D114+'21-3'!D114+'22-3'!D114+'24-3'!D114+'25-3'!D114+'28-3'!D114+'29-3'!D114+'30-3'!D114+'32-3'!D114+'35-3'!D114+'37-3'!D114+'47-3'!D114+'62-3'!D114+'64-3'!D114+'74-3'!D114</f>
        <v>0</v>
      </c>
      <c r="E368" s="106">
        <f>'01-3'!E114+'02-3'!E114+'03-3'!E114+'04-3'!E114+'05-3'!E114+'08-3'!E114+'09-3'!E114+'10-3'!E114+'11-3'!E114+'12-3'!E114+'13-3'!E114+'14-3'!E114+'15-3'!E114+'16-3'!E114+'17-3'!E114+'18-3'!E114+'19-3'!E114+'21-3'!E114+'22-3'!E114+'24-3'!E114+'25-3'!E114+'28-3'!E114+'29-3'!E114+'30-3'!E114+'32-3'!E114+'35-3'!E114+'37-3'!E114+'47-3'!E114+'62-3'!E114+'64-3'!E114+'74-3'!E114</f>
        <v>0</v>
      </c>
      <c r="F368" s="106">
        <f>'01-3'!F114+'02-3'!F114+'03-3'!F114+'04-3'!F114+'05-3'!F114+'08-3'!F114+'09-3'!F114+'10-3'!F114+'11-3'!F114+'12-3'!F114+'13-3'!F114+'14-3'!F114+'15-3'!F114+'16-3'!F114+'17-3'!F114+'18-3'!F114+'19-3'!F114+'21-3'!F114+'22-3'!F114+'24-3'!F114+'25-3'!F114+'28-3'!F114+'29-3'!F114+'30-3'!F114+'32-3'!F114+'35-3'!F114+'37-3'!F114+'47-3'!F114+'62-3'!F114+'64-3'!F114+'74-3'!F114</f>
        <v>0</v>
      </c>
      <c r="G368" s="106">
        <f>'01-3'!G114+'02-3'!G114+'03-3'!G114+'04-3'!G114+'05-3'!G114+'08-3'!G114+'09-3'!G114+'10-3'!G114+'11-3'!G114+'12-3'!G114+'13-3'!G114+'14-3'!G114+'15-3'!G114+'16-3'!G114+'17-3'!G114+'18-3'!G114+'19-3'!G114+'21-3'!G114+'22-3'!G114+'24-3'!G114+'25-3'!G114+'28-3'!G114+'29-3'!G114+'30-3'!G114+'32-3'!G114+'35-3'!G114+'37-3'!G114+'47-3'!G114+'62-3'!G114+'64-3'!G114+'74-3'!G114</f>
        <v>0</v>
      </c>
      <c r="H368" s="106">
        <f>'01-3'!H114+'02-3'!H114+'03-3'!H114+'04-3'!H114+'05-3'!H114+'08-3'!H114+'09-3'!H114+'10-3'!H114+'11-3'!H114+'12-3'!H114+'13-3'!H114+'14-3'!H114+'15-3'!H114+'16-3'!H114+'17-3'!H114+'18-3'!H114+'19-3'!H114+'21-3'!H114+'22-3'!H114+'24-3'!H114+'25-3'!H114+'28-3'!H114+'29-3'!H114+'30-3'!H114+'32-3'!H114+'35-3'!H114+'37-3'!H114+'47-3'!H114+'62-3'!H114+'64-3'!H114+'74-3'!H114</f>
        <v>0</v>
      </c>
      <c r="I368" s="106">
        <f>'01-3'!I114+'02-3'!I114+'03-3'!I114+'04-3'!I114+'05-3'!I114+'08-3'!I114+'09-3'!I114+'10-3'!I114+'11-3'!I114+'12-3'!I114+'13-3'!I114+'14-3'!I114+'15-3'!I114+'16-3'!I114+'17-3'!I114+'18-3'!I114+'19-3'!I114+'21-3'!I114+'22-3'!I114+'24-3'!I114+'25-3'!I114+'28-3'!I114+'29-3'!I114+'30-3'!I114+'32-3'!I114+'35-3'!I114+'37-3'!I114+'47-3'!I114+'62-3'!I114+'64-3'!I114+'74-3'!I114</f>
        <v>0</v>
      </c>
      <c r="J368" s="106">
        <f>'01-3'!J114+'02-3'!J114+'03-3'!J114+'04-3'!J114+'05-3'!J114+'08-3'!J114+'09-3'!J114+'10-3'!J114+'11-3'!J114+'12-3'!J114+'13-3'!J114+'14-3'!J114+'15-3'!J114+'16-3'!J114+'17-3'!J114+'18-3'!J114+'19-3'!J114+'21-3'!J114+'22-3'!J114+'24-3'!J114+'25-3'!J114+'28-3'!J114+'29-3'!J114+'30-3'!J114+'32-3'!J114+'35-3'!J114+'37-3'!J114+'47-3'!J114+'62-3'!J114+'64-3'!J114+'74-3'!J114</f>
        <v>0</v>
      </c>
      <c r="K368" s="106">
        <f>'01-3'!K114+'02-3'!K114+'03-3'!K114+'04-3'!K114+'05-3'!K114+'08-3'!K114+'09-3'!K114+'10-3'!K114+'11-3'!K114+'12-3'!K114+'13-3'!K114+'14-3'!K114+'15-3'!K114+'16-3'!K114+'17-3'!K114+'18-3'!K114+'19-3'!K114+'21-3'!K114+'22-3'!K114+'24-3'!K114+'25-3'!K114+'28-3'!K114+'29-3'!K114+'30-3'!K114+'32-3'!K114+'35-3'!K114+'37-3'!K114+'47-3'!K114+'62-3'!K114+'64-3'!K114+'74-3'!K114</f>
        <v>0</v>
      </c>
      <c r="L368" s="106">
        <f>'01-3'!L114+'02-3'!L114+'03-3'!L114+'04-3'!L114+'05-3'!L114+'08-3'!L114+'09-3'!L114+'10-3'!L114+'11-3'!L114+'12-3'!L114+'13-3'!L114+'14-3'!L114+'15-3'!L114+'16-3'!L114+'17-3'!L114+'18-3'!L114+'19-3'!L114+'21-3'!L114+'22-3'!L114+'24-3'!L114+'25-3'!L114+'28-3'!L114+'29-3'!L114+'30-3'!L114+'32-3'!L114+'35-3'!L114+'37-3'!L114+'47-3'!L114+'62-3'!L114+'64-3'!L114+'74-3'!L114</f>
        <v>0</v>
      </c>
      <c r="M368" s="106">
        <f>'01-3'!M114+'02-3'!M114+'03-3'!M114+'04-3'!M114+'05-3'!M114+'08-3'!M114+'09-3'!M114+'10-3'!M114+'11-3'!M114+'12-3'!M114+'13-3'!M114+'14-3'!M114+'15-3'!M114+'16-3'!M114+'17-3'!M114+'18-3'!M114+'19-3'!M114+'21-3'!M114+'22-3'!M114+'24-3'!M114+'25-3'!M114+'28-3'!M114+'29-3'!M114+'30-3'!M114+'32-3'!M114+'35-3'!M114+'37-3'!M114+'47-3'!M114+'62-3'!M114+'64-3'!M114+'74-3'!M114</f>
        <v>0</v>
      </c>
      <c r="N368" s="106">
        <f>'01-3'!N114+'02-3'!N114+'03-3'!N114+'04-3'!N114+'05-3'!N114+'08-3'!N114+'09-3'!N114+'10-3'!N114+'11-3'!N114+'12-3'!N114+'13-3'!N114+'14-3'!N114+'15-3'!N114+'16-3'!N114+'17-3'!N114+'18-3'!N114+'19-3'!N114+'21-3'!N114+'22-3'!N114+'24-3'!N114+'25-3'!N114+'28-3'!N114+'29-3'!N114+'30-3'!N114+'32-3'!N114+'35-3'!N114+'37-3'!N114+'47-3'!N114+'62-3'!N114+'64-3'!N114+'74-3'!N114</f>
        <v>0</v>
      </c>
      <c r="O368" s="106">
        <f>'01-3'!O114+'02-3'!O114+'03-3'!O114+'04-3'!O114+'05-3'!O114+'08-3'!O114+'09-3'!O114+'10-3'!O114+'11-3'!O114+'12-3'!O114+'13-3'!O114+'14-3'!O114+'15-3'!O114+'16-3'!O114+'17-3'!O114+'18-3'!O114+'19-3'!O114+'21-3'!O114+'22-3'!O114+'24-3'!O114+'25-3'!O114+'28-3'!O114+'29-3'!O114+'30-3'!O114+'32-3'!O114+'35-3'!O114+'37-3'!O114+'47-3'!O114+'62-3'!O114+'64-3'!O114+'74-3'!O114</f>
        <v>0</v>
      </c>
      <c r="P368" s="106">
        <f>'01-3'!P114+'02-3'!P114+'03-3'!P114+'04-3'!P114+'05-3'!P114+'08-3'!P114+'09-3'!P114+'10-3'!P114+'11-3'!P114+'12-3'!P114+'13-3'!P114+'14-3'!P114+'15-3'!P114+'16-3'!P114+'17-3'!P114+'18-3'!P114+'19-3'!P114+'21-3'!P114+'22-3'!P114+'24-3'!P114+'25-3'!P114+'28-3'!P114+'29-3'!P114+'30-3'!P114+'32-3'!P114+'35-3'!P114+'37-3'!P114+'47-3'!P114+'62-3'!P114+'64-3'!P114+'74-3'!P114</f>
        <v>0</v>
      </c>
      <c r="Q368" s="106">
        <f>'01-3'!Q114+'02-3'!Q114+'03-3'!Q114+'04-3'!Q114+'05-3'!Q114+'08-3'!Q114+'09-3'!Q114+'10-3'!Q114+'11-3'!Q114+'12-3'!Q114+'13-3'!Q114+'14-3'!Q114+'15-3'!Q114+'16-3'!Q114+'17-3'!Q114+'18-3'!Q114+'19-3'!Q114+'21-3'!Q114+'22-3'!Q114+'24-3'!Q114+'25-3'!Q114+'28-3'!Q114+'29-3'!Q114+'30-3'!Q114+'32-3'!Q114+'35-3'!Q114+'37-3'!Q114+'47-3'!Q114+'62-3'!Q114+'64-3'!Q114+'74-3'!Q114</f>
        <v>0</v>
      </c>
      <c r="R368" s="106">
        <f>'01-3'!R114+'02-3'!R114+'03-3'!R114+'04-3'!R114+'05-3'!R114+'08-3'!R114+'09-3'!R114+'10-3'!R114+'11-3'!R114+'12-3'!R114+'13-3'!R114+'14-3'!R114+'15-3'!R114+'16-3'!R114+'17-3'!R114+'18-3'!R114+'19-3'!R114+'21-3'!R114+'22-3'!R114+'24-3'!R114+'25-3'!R114+'28-3'!R114+'29-3'!R114+'30-3'!R114+'32-3'!R114+'35-3'!R114+'37-3'!R114+'47-3'!R114+'62-3'!R114+'64-3'!R114+'74-3'!R114</f>
        <v>0</v>
      </c>
      <c r="S368" s="954"/>
      <c r="T368" s="954"/>
      <c r="U368" s="954"/>
      <c r="V368" s="954"/>
      <c r="W368" s="954"/>
    </row>
    <row r="369" spans="1:23" s="6" customFormat="1" ht="108" hidden="1">
      <c r="A369" s="149">
        <v>17140</v>
      </c>
      <c r="B369" s="208" t="s">
        <v>221</v>
      </c>
      <c r="C369" s="106">
        <f>'01-3'!C115+'02-3'!C115+'03-3'!C115+'04-3'!C115+'05-3'!C115+'08-3'!C115+'09-3'!C115+'10-3'!C115+'11-3'!C115+'12-3'!C115+'13-3'!C115+'14-3'!C115+'15-3'!C115+'16-3'!C115+'17-3'!C115+'18-3'!C115+'19-3'!C115+'21-3'!C115+'22-3'!C115+'24-3'!C115+'25-3'!C115+'28-3'!C115+'29-3'!C115+'30-3'!C115+'32-3'!C115+'35-3'!C115+'37-3'!C115+'47-3'!C115+'62-3'!C115+'64-3'!C115+'74-3'!C115</f>
        <v>0</v>
      </c>
      <c r="D369" s="106">
        <f>'01-3'!D115+'02-3'!D115+'03-3'!D115+'04-3'!D115+'05-3'!D115+'08-3'!D115+'09-3'!D115+'10-3'!D115+'11-3'!D115+'12-3'!D115+'13-3'!D115+'14-3'!D115+'15-3'!D115+'16-3'!D115+'17-3'!D115+'18-3'!D115+'19-3'!D115+'21-3'!D115+'22-3'!D115+'24-3'!D115+'25-3'!D115+'28-3'!D115+'29-3'!D115+'30-3'!D115+'32-3'!D115+'35-3'!D115+'37-3'!D115+'47-3'!D115+'62-3'!D115+'64-3'!D115+'74-3'!D115</f>
        <v>0</v>
      </c>
      <c r="E369" s="106">
        <f>'01-3'!E115+'02-3'!E115+'03-3'!E115+'04-3'!E115+'05-3'!E115+'08-3'!E115+'09-3'!E115+'10-3'!E115+'11-3'!E115+'12-3'!E115+'13-3'!E115+'14-3'!E115+'15-3'!E115+'16-3'!E115+'17-3'!E115+'18-3'!E115+'19-3'!E115+'21-3'!E115+'22-3'!E115+'24-3'!E115+'25-3'!E115+'28-3'!E115+'29-3'!E115+'30-3'!E115+'32-3'!E115+'35-3'!E115+'37-3'!E115+'47-3'!E115+'62-3'!E115+'64-3'!E115+'74-3'!E115</f>
        <v>0</v>
      </c>
      <c r="F369" s="106">
        <f>'01-3'!F115+'02-3'!F115+'03-3'!F115+'04-3'!F115+'05-3'!F115+'08-3'!F115+'09-3'!F115+'10-3'!F115+'11-3'!F115+'12-3'!F115+'13-3'!F115+'14-3'!F115+'15-3'!F115+'16-3'!F115+'17-3'!F115+'18-3'!F115+'19-3'!F115+'21-3'!F115+'22-3'!F115+'24-3'!F115+'25-3'!F115+'28-3'!F115+'29-3'!F115+'30-3'!F115+'32-3'!F115+'35-3'!F115+'37-3'!F115+'47-3'!F115+'62-3'!F115+'64-3'!F115+'74-3'!F115</f>
        <v>0</v>
      </c>
      <c r="G369" s="106">
        <f>'01-3'!G115+'02-3'!G115+'03-3'!G115+'04-3'!G115+'05-3'!G115+'08-3'!G115+'09-3'!G115+'10-3'!G115+'11-3'!G115+'12-3'!G115+'13-3'!G115+'14-3'!G115+'15-3'!G115+'16-3'!G115+'17-3'!G115+'18-3'!G115+'19-3'!G115+'21-3'!G115+'22-3'!G115+'24-3'!G115+'25-3'!G115+'28-3'!G115+'29-3'!G115+'30-3'!G115+'32-3'!G115+'35-3'!G115+'37-3'!G115+'47-3'!G115+'62-3'!G115+'64-3'!G115+'74-3'!G115</f>
        <v>0</v>
      </c>
      <c r="H369" s="106">
        <f>'01-3'!H115+'02-3'!H115+'03-3'!H115+'04-3'!H115+'05-3'!H115+'08-3'!H115+'09-3'!H115+'10-3'!H115+'11-3'!H115+'12-3'!H115+'13-3'!H115+'14-3'!H115+'15-3'!H115+'16-3'!H115+'17-3'!H115+'18-3'!H115+'19-3'!H115+'21-3'!H115+'22-3'!H115+'24-3'!H115+'25-3'!H115+'28-3'!H115+'29-3'!H115+'30-3'!H115+'32-3'!H115+'35-3'!H115+'37-3'!H115+'47-3'!H115+'62-3'!H115+'64-3'!H115+'74-3'!H115</f>
        <v>0</v>
      </c>
      <c r="I369" s="106">
        <f>'01-3'!I115+'02-3'!I115+'03-3'!I115+'04-3'!I115+'05-3'!I115+'08-3'!I115+'09-3'!I115+'10-3'!I115+'11-3'!I115+'12-3'!I115+'13-3'!I115+'14-3'!I115+'15-3'!I115+'16-3'!I115+'17-3'!I115+'18-3'!I115+'19-3'!I115+'21-3'!I115+'22-3'!I115+'24-3'!I115+'25-3'!I115+'28-3'!I115+'29-3'!I115+'30-3'!I115+'32-3'!I115+'35-3'!I115+'37-3'!I115+'47-3'!I115+'62-3'!I115+'64-3'!I115+'74-3'!I115</f>
        <v>0</v>
      </c>
      <c r="J369" s="106">
        <f>'01-3'!J115+'02-3'!J115+'03-3'!J115+'04-3'!J115+'05-3'!J115+'08-3'!J115+'09-3'!J115+'10-3'!J115+'11-3'!J115+'12-3'!J115+'13-3'!J115+'14-3'!J115+'15-3'!J115+'16-3'!J115+'17-3'!J115+'18-3'!J115+'19-3'!J115+'21-3'!J115+'22-3'!J115+'24-3'!J115+'25-3'!J115+'28-3'!J115+'29-3'!J115+'30-3'!J115+'32-3'!J115+'35-3'!J115+'37-3'!J115+'47-3'!J115+'62-3'!J115+'64-3'!J115+'74-3'!J115</f>
        <v>0</v>
      </c>
      <c r="K369" s="106">
        <f>'01-3'!K115+'02-3'!K115+'03-3'!K115+'04-3'!K115+'05-3'!K115+'08-3'!K115+'09-3'!K115+'10-3'!K115+'11-3'!K115+'12-3'!K115+'13-3'!K115+'14-3'!K115+'15-3'!K115+'16-3'!K115+'17-3'!K115+'18-3'!K115+'19-3'!K115+'21-3'!K115+'22-3'!K115+'24-3'!K115+'25-3'!K115+'28-3'!K115+'29-3'!K115+'30-3'!K115+'32-3'!K115+'35-3'!K115+'37-3'!K115+'47-3'!K115+'62-3'!K115+'64-3'!K115+'74-3'!K115</f>
        <v>0</v>
      </c>
      <c r="L369" s="106">
        <f>'01-3'!L115+'02-3'!L115+'03-3'!L115+'04-3'!L115+'05-3'!L115+'08-3'!L115+'09-3'!L115+'10-3'!L115+'11-3'!L115+'12-3'!L115+'13-3'!L115+'14-3'!L115+'15-3'!L115+'16-3'!L115+'17-3'!L115+'18-3'!L115+'19-3'!L115+'21-3'!L115+'22-3'!L115+'24-3'!L115+'25-3'!L115+'28-3'!L115+'29-3'!L115+'30-3'!L115+'32-3'!L115+'35-3'!L115+'37-3'!L115+'47-3'!L115+'62-3'!L115+'64-3'!L115+'74-3'!L115</f>
        <v>0</v>
      </c>
      <c r="M369" s="106">
        <f>'01-3'!M115+'02-3'!M115+'03-3'!M115+'04-3'!M115+'05-3'!M115+'08-3'!M115+'09-3'!M115+'10-3'!M115+'11-3'!M115+'12-3'!M115+'13-3'!M115+'14-3'!M115+'15-3'!M115+'16-3'!M115+'17-3'!M115+'18-3'!M115+'19-3'!M115+'21-3'!M115+'22-3'!M115+'24-3'!M115+'25-3'!M115+'28-3'!M115+'29-3'!M115+'30-3'!M115+'32-3'!M115+'35-3'!M115+'37-3'!M115+'47-3'!M115+'62-3'!M115+'64-3'!M115+'74-3'!M115</f>
        <v>0</v>
      </c>
      <c r="N369" s="106">
        <f>'01-3'!N115+'02-3'!N115+'03-3'!N115+'04-3'!N115+'05-3'!N115+'08-3'!N115+'09-3'!N115+'10-3'!N115+'11-3'!N115+'12-3'!N115+'13-3'!N115+'14-3'!N115+'15-3'!N115+'16-3'!N115+'17-3'!N115+'18-3'!N115+'19-3'!N115+'21-3'!N115+'22-3'!N115+'24-3'!N115+'25-3'!N115+'28-3'!N115+'29-3'!N115+'30-3'!N115+'32-3'!N115+'35-3'!N115+'37-3'!N115+'47-3'!N115+'62-3'!N115+'64-3'!N115+'74-3'!N115</f>
        <v>0</v>
      </c>
      <c r="O369" s="106">
        <f>'01-3'!O115+'02-3'!O115+'03-3'!O115+'04-3'!O115+'05-3'!O115+'08-3'!O115+'09-3'!O115+'10-3'!O115+'11-3'!O115+'12-3'!O115+'13-3'!O115+'14-3'!O115+'15-3'!O115+'16-3'!O115+'17-3'!O115+'18-3'!O115+'19-3'!O115+'21-3'!O115+'22-3'!O115+'24-3'!O115+'25-3'!O115+'28-3'!O115+'29-3'!O115+'30-3'!O115+'32-3'!O115+'35-3'!O115+'37-3'!O115+'47-3'!O115+'62-3'!O115+'64-3'!O115+'74-3'!O115</f>
        <v>0</v>
      </c>
      <c r="P369" s="106">
        <f>'01-3'!P115+'02-3'!P115+'03-3'!P115+'04-3'!P115+'05-3'!P115+'08-3'!P115+'09-3'!P115+'10-3'!P115+'11-3'!P115+'12-3'!P115+'13-3'!P115+'14-3'!P115+'15-3'!P115+'16-3'!P115+'17-3'!P115+'18-3'!P115+'19-3'!P115+'21-3'!P115+'22-3'!P115+'24-3'!P115+'25-3'!P115+'28-3'!P115+'29-3'!P115+'30-3'!P115+'32-3'!P115+'35-3'!P115+'37-3'!P115+'47-3'!P115+'62-3'!P115+'64-3'!P115+'74-3'!P115</f>
        <v>0</v>
      </c>
      <c r="Q369" s="106">
        <f>'01-3'!Q115+'02-3'!Q115+'03-3'!Q115+'04-3'!Q115+'05-3'!Q115+'08-3'!Q115+'09-3'!Q115+'10-3'!Q115+'11-3'!Q115+'12-3'!Q115+'13-3'!Q115+'14-3'!Q115+'15-3'!Q115+'16-3'!Q115+'17-3'!Q115+'18-3'!Q115+'19-3'!Q115+'21-3'!Q115+'22-3'!Q115+'24-3'!Q115+'25-3'!Q115+'28-3'!Q115+'29-3'!Q115+'30-3'!Q115+'32-3'!Q115+'35-3'!Q115+'37-3'!Q115+'47-3'!Q115+'62-3'!Q115+'64-3'!Q115+'74-3'!Q115</f>
        <v>0</v>
      </c>
      <c r="R369" s="106">
        <f>'01-3'!R115+'02-3'!R115+'03-3'!R115+'04-3'!R115+'05-3'!R115+'08-3'!R115+'09-3'!R115+'10-3'!R115+'11-3'!R115+'12-3'!R115+'13-3'!R115+'14-3'!R115+'15-3'!R115+'16-3'!R115+'17-3'!R115+'18-3'!R115+'19-3'!R115+'21-3'!R115+'22-3'!R115+'24-3'!R115+'25-3'!R115+'28-3'!R115+'29-3'!R115+'30-3'!R115+'32-3'!R115+'35-3'!R115+'37-3'!R115+'47-3'!R115+'62-3'!R115+'64-3'!R115+'74-3'!R115</f>
        <v>0</v>
      </c>
      <c r="S369" s="954"/>
      <c r="T369" s="954"/>
      <c r="U369" s="954"/>
      <c r="V369" s="954"/>
      <c r="W369" s="954"/>
    </row>
    <row r="370" spans="1:23" s="6" customFormat="1" ht="12">
      <c r="A370" s="137">
        <v>21700</v>
      </c>
      <c r="B370" s="100" t="s">
        <v>97</v>
      </c>
      <c r="C370" s="106">
        <f>'01-3'!C116+'02-3'!C116+'03-3'!C116+'04-3'!C116+'05-3'!C116+'08-3'!C116+'09-3'!C116+'10-3'!C116+'11-3'!C116+'12-3'!C116+'13-3'!C116+'14-3'!C116+'15-3'!C116+'16-3'!C116+'17-3'!C116+'18-3'!C116+'19-3'!C116+'21-3'!C116+'22-3'!C116+'24-3'!C116+'25-3'!C116+'28-3'!C116+'29-3'!C116+'30-3'!C116+'32-3'!C116+'35-3'!C116+'37-3'!C116+'47-3'!C116+'62-3'!C116+'64-3'!C116+'74-3'!C116</f>
        <v>2201878102</v>
      </c>
      <c r="D370" s="106">
        <f>'01-3'!D116+'02-3'!D116+'03-3'!D116+'04-3'!D116+'05-3'!D116+'08-3'!D116+'09-3'!D116+'10-3'!D116+'11-3'!D116+'12-3'!D116+'13-3'!D116+'14-3'!D116+'15-3'!D116+'16-3'!D116+'17-3'!D116+'18-3'!D116+'19-3'!D116+'21-3'!D116+'22-3'!D116+'24-3'!D116+'25-3'!D116+'28-3'!D116+'29-3'!D116+'30-3'!D116+'32-3'!D116+'35-3'!D116+'37-3'!D116+'47-3'!D116+'62-3'!D116+'64-3'!D116+'74-3'!D116</f>
        <v>2180488897</v>
      </c>
      <c r="E370" s="106">
        <f>'01-3'!E116+'02-3'!E116+'03-3'!E116+'04-3'!E116+'05-3'!E116+'08-3'!E116+'09-3'!E116+'10-3'!E116+'11-3'!E116+'12-3'!E116+'13-3'!E116+'14-3'!E116+'15-3'!E116+'16-3'!E116+'17-3'!E116+'18-3'!E116+'19-3'!E116+'21-3'!E116+'22-3'!E116+'24-3'!E116+'25-3'!E116+'28-3'!E116+'29-3'!E116+'30-3'!E116+'32-3'!E116+'35-3'!E116+'37-3'!E116+'47-3'!E116+'62-3'!E116+'64-3'!E116+'74-3'!E116</f>
        <v>-2267848</v>
      </c>
      <c r="F370" s="106">
        <f>'01-3'!F116+'02-3'!F116+'03-3'!F116+'04-3'!F116+'05-3'!F116+'08-3'!F116+'09-3'!F116+'10-3'!F116+'11-3'!F116+'12-3'!F116+'13-3'!F116+'14-3'!F116+'15-3'!F116+'16-3'!F116+'17-3'!F116+'18-3'!F116+'19-3'!F116+'21-3'!F116+'22-3'!F116+'24-3'!F116+'25-3'!F116+'28-3'!F116+'29-3'!F116+'30-3'!F116+'32-3'!F116+'35-3'!F116+'37-3'!F116+'47-3'!F116+'62-3'!F116+'64-3'!F116+'74-3'!F116</f>
        <v>65105473</v>
      </c>
      <c r="G370" s="106">
        <f>'01-3'!G116+'02-3'!G116+'03-3'!G116+'04-3'!G116+'05-3'!G116+'08-3'!G116+'09-3'!G116+'10-3'!G116+'11-3'!G116+'12-3'!G116+'13-3'!G116+'14-3'!G116+'15-3'!G116+'16-3'!G116+'17-3'!G116+'18-3'!G116+'19-3'!G116+'21-3'!G116+'22-3'!G116+'24-3'!G116+'25-3'!G116+'28-3'!G116+'29-3'!G116+'30-3'!G116+'32-3'!G116+'35-3'!G116+'37-3'!G116+'47-3'!G116+'62-3'!G116+'64-3'!G116+'74-3'!G116</f>
        <v>128195131</v>
      </c>
      <c r="H370" s="106">
        <f>'01-3'!H116+'02-3'!H116+'03-3'!H116+'04-3'!H116+'05-3'!H116+'08-3'!H116+'09-3'!H116+'10-3'!H116+'11-3'!H116+'12-3'!H116+'13-3'!H116+'14-3'!H116+'15-3'!H116+'16-3'!H116+'17-3'!H116+'18-3'!H116+'19-3'!H116+'21-3'!H116+'22-3'!H116+'24-3'!H116+'25-3'!H116+'28-3'!H116+'29-3'!H116+'30-3'!H116+'32-3'!H116+'35-3'!H116+'37-3'!H116+'47-3'!H116+'62-3'!H116+'64-3'!H116+'74-3'!H116</f>
        <v>2371521653</v>
      </c>
      <c r="I370" s="106">
        <f>'01-3'!I116+'02-3'!I116+'03-3'!I116+'04-3'!I116+'05-3'!I116+'08-3'!I116+'09-3'!I116+'10-3'!I116+'11-3'!I116+'12-3'!I116+'13-3'!I116+'14-3'!I116+'15-3'!I116+'16-3'!I116+'17-3'!I116+'18-3'!I116+'19-3'!I116+'21-3'!I116+'22-3'!I116+'24-3'!I116+'25-3'!I116+'28-3'!I116+'29-3'!I116+'30-3'!I116+'32-3'!I116+'35-3'!I116+'37-3'!I116+'47-3'!I116+'62-3'!I116+'64-3'!I116+'74-3'!I116</f>
        <v>2330856669</v>
      </c>
      <c r="J370" s="106">
        <f>'01-3'!J116+'02-3'!J116+'03-3'!J116+'04-3'!J116+'05-3'!J116+'08-3'!J116+'09-3'!J116+'10-3'!J116+'11-3'!J116+'12-3'!J116+'13-3'!J116+'14-3'!J116+'15-3'!J116+'16-3'!J116+'17-3'!J116+'18-3'!J116+'19-3'!J116+'21-3'!J116+'22-3'!J116+'24-3'!J116+'25-3'!J116+'28-3'!J116+'29-3'!J116+'30-3'!J116+'32-3'!J116+'35-3'!J116+'37-3'!J116+'47-3'!J116+'62-3'!J116+'64-3'!J116+'74-3'!J116</f>
        <v>5647800</v>
      </c>
      <c r="K370" s="106">
        <f>'01-3'!K116+'02-3'!K116+'03-3'!K116+'04-3'!K116+'05-3'!K116+'08-3'!K116+'09-3'!K116+'10-3'!K116+'11-3'!K116+'12-3'!K116+'13-3'!K116+'14-3'!K116+'15-3'!K116+'16-3'!K116+'17-3'!K116+'18-3'!K116+'19-3'!K116+'21-3'!K116+'22-3'!K116+'24-3'!K116+'25-3'!K116+'28-3'!K116+'29-3'!K116+'30-3'!K116+'32-3'!K116+'35-3'!K116+'37-3'!K116+'47-3'!K116+'62-3'!K116+'64-3'!K116+'74-3'!K116</f>
        <v>88800345</v>
      </c>
      <c r="L370" s="106">
        <f>'01-3'!L116+'02-3'!L116+'03-3'!L116+'04-3'!L116+'05-3'!L116+'08-3'!L116+'09-3'!L116+'10-3'!L116+'11-3'!L116+'12-3'!L116+'13-3'!L116+'14-3'!L116+'15-3'!L116+'16-3'!L116+'17-3'!L116+'18-3'!L116+'19-3'!L116+'21-3'!L116+'22-3'!L116+'24-3'!L116+'25-3'!L116+'28-3'!L116+'29-3'!L116+'30-3'!L116+'32-3'!L116+'35-3'!L116+'37-3'!L116+'47-3'!L116+'62-3'!L116+'64-3'!L116+'74-3'!L116</f>
        <v>168261151</v>
      </c>
      <c r="M370" s="106">
        <f>'01-3'!M116+'02-3'!M116+'03-3'!M116+'04-3'!M116+'05-3'!M116+'08-3'!M116+'09-3'!M116+'10-3'!M116+'11-3'!M116+'12-3'!M116+'13-3'!M116+'14-3'!M116+'15-3'!M116+'16-3'!M116+'17-3'!M116+'18-3'!M116+'19-3'!M116+'21-3'!M116+'22-3'!M116+'24-3'!M116+'25-3'!M116+'28-3'!M116+'29-3'!M116+'30-3'!M116+'32-3'!M116+'35-3'!M116+'37-3'!M116+'47-3'!M116+'62-3'!M116+'64-3'!M116+'74-3'!M116</f>
        <v>2593565965</v>
      </c>
      <c r="N370" s="106">
        <f>'01-3'!N116+'02-3'!N116+'03-3'!N116+'04-3'!N116+'05-3'!N116+'08-3'!N116+'09-3'!N116+'10-3'!N116+'11-3'!N116+'12-3'!N116+'13-3'!N116+'14-3'!N116+'15-3'!N116+'16-3'!N116+'17-3'!N116+'18-3'!N116+'19-3'!N116+'21-3'!N116+'22-3'!N116+'24-3'!N116+'25-3'!N116+'28-3'!N116+'29-3'!N116+'30-3'!N116+'32-3'!N116+'35-3'!N116+'37-3'!N116+'47-3'!N116+'62-3'!N116+'64-3'!N116+'74-3'!N116</f>
        <v>2325204072</v>
      </c>
      <c r="O370" s="106">
        <f>'01-3'!O116+'02-3'!O116+'03-3'!O116+'04-3'!O116+'05-3'!O116+'08-3'!O116+'09-3'!O116+'10-3'!O116+'11-3'!O116+'12-3'!O116+'13-3'!O116+'14-3'!O116+'15-3'!O116+'16-3'!O116+'17-3'!O116+'18-3'!O116+'19-3'!O116+'21-3'!O116+'22-3'!O116+'24-3'!O116+'25-3'!O116+'28-3'!O116+'29-3'!O116+'30-3'!O116+'32-3'!O116+'35-3'!O116+'37-3'!O116+'47-3'!O116+'62-3'!O116+'64-3'!O116+'74-3'!O116</f>
        <v>-3073219</v>
      </c>
      <c r="P370" s="106">
        <f>'01-3'!P116+'02-3'!P116+'03-3'!P116+'04-3'!P116+'05-3'!P116+'08-3'!P116+'09-3'!P116+'10-3'!P116+'11-3'!P116+'12-3'!P116+'13-3'!P116+'14-3'!P116+'15-3'!P116+'16-3'!P116+'17-3'!P116+'18-3'!P116+'19-3'!P116+'21-3'!P116+'22-3'!P116+'24-3'!P116+'25-3'!P116+'28-3'!P116+'29-3'!P116+'30-3'!P116+'32-3'!P116+'35-3'!P116+'37-3'!P116+'47-3'!P116+'62-3'!P116+'64-3'!P116+'74-3'!P116</f>
        <v>120560658</v>
      </c>
      <c r="Q370" s="106">
        <f>'01-3'!Q116+'02-3'!Q116+'03-3'!Q116+'04-3'!Q116+'05-3'!Q116+'08-3'!Q116+'09-3'!Q116+'10-3'!Q116+'11-3'!Q116+'12-3'!Q116+'13-3'!Q116+'14-3'!Q116+'15-3'!Q116+'16-3'!Q116+'17-3'!Q116+'18-3'!Q116+'19-3'!Q116+'21-3'!Q116+'22-3'!Q116+'24-3'!Q116+'25-3'!Q116+'28-3'!Q116+'29-3'!Q116+'30-3'!Q116+'32-3'!Q116+'35-3'!Q116+'37-3'!Q116+'47-3'!Q116+'62-3'!Q116+'64-3'!Q116+'74-3'!Q116</f>
        <v>157563716</v>
      </c>
      <c r="R370" s="106">
        <f>'01-3'!R116+'02-3'!R116+'03-3'!R116+'04-3'!R116+'05-3'!R116+'08-3'!R116+'09-3'!R116+'10-3'!R116+'11-3'!R116+'12-3'!R116+'13-3'!R116+'14-3'!R116+'15-3'!R116+'16-3'!R116+'17-3'!R116+'18-3'!R116+'19-3'!R116+'21-3'!R116+'22-3'!R116+'24-3'!R116+'25-3'!R116+'28-3'!R116+'29-3'!R116+'30-3'!R116+'32-3'!R116+'35-3'!R116+'37-3'!R116+'47-3'!R116+'62-3'!R116+'64-3'!R116+'74-3'!R116</f>
        <v>2600255227</v>
      </c>
      <c r="S370" s="954"/>
      <c r="T370" s="954"/>
      <c r="U370" s="954"/>
      <c r="V370" s="954"/>
      <c r="W370" s="954"/>
    </row>
    <row r="371" spans="1:23" s="6" customFormat="1" ht="24">
      <c r="A371" s="138">
        <v>21710</v>
      </c>
      <c r="B371" s="101" t="s">
        <v>98</v>
      </c>
      <c r="C371" s="106">
        <f>'01-3'!C117+'02-3'!C117+'03-3'!C117+'04-3'!C117+'05-3'!C117+'08-3'!C117+'09-3'!C117+'10-3'!C117+'11-3'!C117+'12-3'!C117+'13-3'!C117+'14-3'!C117+'15-3'!C117+'16-3'!C117+'17-3'!C117+'18-3'!C117+'19-3'!C117+'21-3'!C117+'22-3'!C117+'24-3'!C117+'25-3'!C117+'28-3'!C117+'29-3'!C117+'30-3'!C117+'32-3'!C117+'35-3'!C117+'37-3'!C117+'47-3'!C117+'62-3'!C117+'64-3'!C117+'74-3'!C117</f>
        <v>2201878102</v>
      </c>
      <c r="D371" s="106">
        <f>'01-3'!D117+'02-3'!D117+'03-3'!D117+'04-3'!D117+'05-3'!D117+'08-3'!D117+'09-3'!D117+'10-3'!D117+'11-3'!D117+'12-3'!D117+'13-3'!D117+'14-3'!D117+'15-3'!D117+'16-3'!D117+'17-3'!D117+'18-3'!D117+'19-3'!D117+'21-3'!D117+'22-3'!D117+'24-3'!D117+'25-3'!D117+'28-3'!D117+'29-3'!D117+'30-3'!D117+'32-3'!D117+'35-3'!D117+'37-3'!D117+'47-3'!D117+'62-3'!D117+'64-3'!D117+'74-3'!D117</f>
        <v>2180488897</v>
      </c>
      <c r="E371" s="106">
        <f>'01-3'!E117+'02-3'!E117+'03-3'!E117+'04-3'!E117+'05-3'!E117+'08-3'!E117+'09-3'!E117+'10-3'!E117+'11-3'!E117+'12-3'!E117+'13-3'!E117+'14-3'!E117+'15-3'!E117+'16-3'!E117+'17-3'!E117+'18-3'!E117+'19-3'!E117+'21-3'!E117+'22-3'!E117+'24-3'!E117+'25-3'!E117+'28-3'!E117+'29-3'!E117+'30-3'!E117+'32-3'!E117+'35-3'!E117+'37-3'!E117+'47-3'!E117+'62-3'!E117+'64-3'!E117+'74-3'!E117</f>
        <v>-2267848</v>
      </c>
      <c r="F371" s="106">
        <f>'01-3'!F117+'02-3'!F117+'03-3'!F117+'04-3'!F117+'05-3'!F117+'08-3'!F117+'09-3'!F117+'10-3'!F117+'11-3'!F117+'12-3'!F117+'13-3'!F117+'14-3'!F117+'15-3'!F117+'16-3'!F117+'17-3'!F117+'18-3'!F117+'19-3'!F117+'21-3'!F117+'22-3'!F117+'24-3'!F117+'25-3'!F117+'28-3'!F117+'29-3'!F117+'30-3'!F117+'32-3'!F117+'35-3'!F117+'37-3'!F117+'47-3'!F117+'62-3'!F117+'64-3'!F117+'74-3'!F117</f>
        <v>65105473</v>
      </c>
      <c r="G371" s="106">
        <f>'01-3'!G117+'02-3'!G117+'03-3'!G117+'04-3'!G117+'05-3'!G117+'08-3'!G117+'09-3'!G117+'10-3'!G117+'11-3'!G117+'12-3'!G117+'13-3'!G117+'14-3'!G117+'15-3'!G117+'16-3'!G117+'17-3'!G117+'18-3'!G117+'19-3'!G117+'21-3'!G117+'22-3'!G117+'24-3'!G117+'25-3'!G117+'28-3'!G117+'29-3'!G117+'30-3'!G117+'32-3'!G117+'35-3'!G117+'37-3'!G117+'47-3'!G117+'62-3'!G117+'64-3'!G117+'74-3'!G117</f>
        <v>128195131</v>
      </c>
      <c r="H371" s="106">
        <f>'01-3'!H117+'02-3'!H117+'03-3'!H117+'04-3'!H117+'05-3'!H117+'08-3'!H117+'09-3'!H117+'10-3'!H117+'11-3'!H117+'12-3'!H117+'13-3'!H117+'14-3'!H117+'15-3'!H117+'16-3'!H117+'17-3'!H117+'18-3'!H117+'19-3'!H117+'21-3'!H117+'22-3'!H117+'24-3'!H117+'25-3'!H117+'28-3'!H117+'29-3'!H117+'30-3'!H117+'32-3'!H117+'35-3'!H117+'37-3'!H117+'47-3'!H117+'62-3'!H117+'64-3'!H117+'74-3'!H117</f>
        <v>2371521653</v>
      </c>
      <c r="I371" s="106">
        <f>'01-3'!I117+'02-3'!I117+'03-3'!I117+'04-3'!I117+'05-3'!I117+'08-3'!I117+'09-3'!I117+'10-3'!I117+'11-3'!I117+'12-3'!I117+'13-3'!I117+'14-3'!I117+'15-3'!I117+'16-3'!I117+'17-3'!I117+'18-3'!I117+'19-3'!I117+'21-3'!I117+'22-3'!I117+'24-3'!I117+'25-3'!I117+'28-3'!I117+'29-3'!I117+'30-3'!I117+'32-3'!I117+'35-3'!I117+'37-3'!I117+'47-3'!I117+'62-3'!I117+'64-3'!I117+'74-3'!I117</f>
        <v>2330856669</v>
      </c>
      <c r="J371" s="106">
        <f>'01-3'!J117+'02-3'!J117+'03-3'!J117+'04-3'!J117+'05-3'!J117+'08-3'!J117+'09-3'!J117+'10-3'!J117+'11-3'!J117+'12-3'!J117+'13-3'!J117+'14-3'!J117+'15-3'!J117+'16-3'!J117+'17-3'!J117+'18-3'!J117+'19-3'!J117+'21-3'!J117+'22-3'!J117+'24-3'!J117+'25-3'!J117+'28-3'!J117+'29-3'!J117+'30-3'!J117+'32-3'!J117+'35-3'!J117+'37-3'!J117+'47-3'!J117+'62-3'!J117+'64-3'!J117+'74-3'!J117</f>
        <v>5647800</v>
      </c>
      <c r="K371" s="106">
        <f>'01-3'!K117+'02-3'!K117+'03-3'!K117+'04-3'!K117+'05-3'!K117+'08-3'!K117+'09-3'!K117+'10-3'!K117+'11-3'!K117+'12-3'!K117+'13-3'!K117+'14-3'!K117+'15-3'!K117+'16-3'!K117+'17-3'!K117+'18-3'!K117+'19-3'!K117+'21-3'!K117+'22-3'!K117+'24-3'!K117+'25-3'!K117+'28-3'!K117+'29-3'!K117+'30-3'!K117+'32-3'!K117+'35-3'!K117+'37-3'!K117+'47-3'!K117+'62-3'!K117+'64-3'!K117+'74-3'!K117</f>
        <v>88800345</v>
      </c>
      <c r="L371" s="106">
        <f>'01-3'!L117+'02-3'!L117+'03-3'!L117+'04-3'!L117+'05-3'!L117+'08-3'!L117+'09-3'!L117+'10-3'!L117+'11-3'!L117+'12-3'!L117+'13-3'!L117+'14-3'!L117+'15-3'!L117+'16-3'!L117+'17-3'!L117+'18-3'!L117+'19-3'!L117+'21-3'!L117+'22-3'!L117+'24-3'!L117+'25-3'!L117+'28-3'!L117+'29-3'!L117+'30-3'!L117+'32-3'!L117+'35-3'!L117+'37-3'!L117+'47-3'!L117+'62-3'!L117+'64-3'!L117+'74-3'!L117</f>
        <v>168261151</v>
      </c>
      <c r="M371" s="106">
        <f>'01-3'!M117+'02-3'!M117+'03-3'!M117+'04-3'!M117+'05-3'!M117+'08-3'!M117+'09-3'!M117+'10-3'!M117+'11-3'!M117+'12-3'!M117+'13-3'!M117+'14-3'!M117+'15-3'!M117+'16-3'!M117+'17-3'!M117+'18-3'!M117+'19-3'!M117+'21-3'!M117+'22-3'!M117+'24-3'!M117+'25-3'!M117+'28-3'!M117+'29-3'!M117+'30-3'!M117+'32-3'!M117+'35-3'!M117+'37-3'!M117+'47-3'!M117+'62-3'!M117+'64-3'!M117+'74-3'!M117</f>
        <v>2593565965</v>
      </c>
      <c r="N371" s="106">
        <f>'01-3'!N117+'02-3'!N117+'03-3'!N117+'04-3'!N117+'05-3'!N117+'08-3'!N117+'09-3'!N117+'10-3'!N117+'11-3'!N117+'12-3'!N117+'13-3'!N117+'14-3'!N117+'15-3'!N117+'16-3'!N117+'17-3'!N117+'18-3'!N117+'19-3'!N117+'21-3'!N117+'22-3'!N117+'24-3'!N117+'25-3'!N117+'28-3'!N117+'29-3'!N117+'30-3'!N117+'32-3'!N117+'35-3'!N117+'37-3'!N117+'47-3'!N117+'62-3'!N117+'64-3'!N117+'74-3'!N117</f>
        <v>2325204072</v>
      </c>
      <c r="O371" s="106">
        <f>'01-3'!O117+'02-3'!O117+'03-3'!O117+'04-3'!O117+'05-3'!O117+'08-3'!O117+'09-3'!O117+'10-3'!O117+'11-3'!O117+'12-3'!O117+'13-3'!O117+'14-3'!O117+'15-3'!O117+'16-3'!O117+'17-3'!O117+'18-3'!O117+'19-3'!O117+'21-3'!O117+'22-3'!O117+'24-3'!O117+'25-3'!O117+'28-3'!O117+'29-3'!O117+'30-3'!O117+'32-3'!O117+'35-3'!O117+'37-3'!O117+'47-3'!O117+'62-3'!O117+'64-3'!O117+'74-3'!O117</f>
        <v>-3073219</v>
      </c>
      <c r="P371" s="106">
        <f>'01-3'!P117+'02-3'!P117+'03-3'!P117+'04-3'!P117+'05-3'!P117+'08-3'!P117+'09-3'!P117+'10-3'!P117+'11-3'!P117+'12-3'!P117+'13-3'!P117+'14-3'!P117+'15-3'!P117+'16-3'!P117+'17-3'!P117+'18-3'!P117+'19-3'!P117+'21-3'!P117+'22-3'!P117+'24-3'!P117+'25-3'!P117+'28-3'!P117+'29-3'!P117+'30-3'!P117+'32-3'!P117+'35-3'!P117+'37-3'!P117+'47-3'!P117+'62-3'!P117+'64-3'!P117+'74-3'!P117</f>
        <v>120560658</v>
      </c>
      <c r="Q371" s="106">
        <f>'01-3'!Q117+'02-3'!Q117+'03-3'!Q117+'04-3'!Q117+'05-3'!Q117+'08-3'!Q117+'09-3'!Q117+'10-3'!Q117+'11-3'!Q117+'12-3'!Q117+'13-3'!Q117+'14-3'!Q117+'15-3'!Q117+'16-3'!Q117+'17-3'!Q117+'18-3'!Q117+'19-3'!Q117+'21-3'!Q117+'22-3'!Q117+'24-3'!Q117+'25-3'!Q117+'28-3'!Q117+'29-3'!Q117+'30-3'!Q117+'32-3'!Q117+'35-3'!Q117+'37-3'!Q117+'47-3'!Q117+'62-3'!Q117+'64-3'!Q117+'74-3'!Q117</f>
        <v>157563716</v>
      </c>
      <c r="R371" s="106">
        <f>'01-3'!R117+'02-3'!R117+'03-3'!R117+'04-3'!R117+'05-3'!R117+'08-3'!R117+'09-3'!R117+'10-3'!R117+'11-3'!R117+'12-3'!R117+'13-3'!R117+'14-3'!R117+'15-3'!R117+'16-3'!R117+'17-3'!R117+'18-3'!R117+'19-3'!R117+'21-3'!R117+'22-3'!R117+'24-3'!R117+'25-3'!R117+'28-3'!R117+'29-3'!R117+'30-3'!R117+'32-3'!R117+'35-3'!R117+'37-3'!R117+'47-3'!R117+'62-3'!R117+'64-3'!R117+'74-3'!R117</f>
        <v>2600255227</v>
      </c>
      <c r="S371" s="954"/>
      <c r="T371" s="954"/>
      <c r="U371" s="954"/>
      <c r="V371" s="954"/>
      <c r="W371" s="954"/>
    </row>
    <row r="372" spans="1:23" s="6" customFormat="1" ht="24" hidden="1">
      <c r="A372" s="138">
        <v>21720</v>
      </c>
      <c r="B372" s="101" t="s">
        <v>99</v>
      </c>
      <c r="C372" s="106">
        <f>'01-3'!C118+'02-3'!C118+'03-3'!C118+'04-3'!C118+'05-3'!C118+'08-3'!C118+'09-3'!C118+'10-3'!C118+'11-3'!C118+'12-3'!C118+'13-3'!C118+'14-3'!C118+'15-3'!C118+'16-3'!C118+'17-3'!C118+'18-3'!C118+'19-3'!C118+'21-3'!C118+'22-3'!C118+'24-3'!C118+'25-3'!C118+'28-3'!C118+'29-3'!C118+'30-3'!C118+'32-3'!C118+'35-3'!C118+'37-3'!C118+'47-3'!C118+'62-3'!C118+'64-3'!C118+'74-3'!C118</f>
        <v>0</v>
      </c>
      <c r="D372" s="106">
        <f>'01-3'!D118+'02-3'!D118+'03-3'!D118+'04-3'!D118+'05-3'!D118+'08-3'!D118+'09-3'!D118+'10-3'!D118+'11-3'!D118+'12-3'!D118+'13-3'!D118+'14-3'!D118+'15-3'!D118+'16-3'!D118+'17-3'!D118+'18-3'!D118+'19-3'!D118+'21-3'!D118+'22-3'!D118+'24-3'!D118+'25-3'!D118+'28-3'!D118+'29-3'!D118+'30-3'!D118+'32-3'!D118+'35-3'!D118+'37-3'!D118+'47-3'!D118+'62-3'!D118+'64-3'!D118+'74-3'!D118</f>
        <v>0</v>
      </c>
      <c r="E372" s="106">
        <f>'01-3'!E118+'02-3'!E118+'03-3'!E118+'04-3'!E118+'05-3'!E118+'08-3'!E118+'09-3'!E118+'10-3'!E118+'11-3'!E118+'12-3'!E118+'13-3'!E118+'14-3'!E118+'15-3'!E118+'16-3'!E118+'17-3'!E118+'18-3'!E118+'19-3'!E118+'21-3'!E118+'22-3'!E118+'24-3'!E118+'25-3'!E118+'28-3'!E118+'29-3'!E118+'30-3'!E118+'32-3'!E118+'35-3'!E118+'37-3'!E118+'47-3'!E118+'62-3'!E118+'64-3'!E118+'74-3'!E118</f>
        <v>0</v>
      </c>
      <c r="F372" s="106">
        <f>'01-3'!F118+'02-3'!F118+'03-3'!F118+'04-3'!F118+'05-3'!F118+'08-3'!F118+'09-3'!F118+'10-3'!F118+'11-3'!F118+'12-3'!F118+'13-3'!F118+'14-3'!F118+'15-3'!F118+'16-3'!F118+'17-3'!F118+'18-3'!F118+'19-3'!F118+'21-3'!F118+'22-3'!F118+'24-3'!F118+'25-3'!F118+'28-3'!F118+'29-3'!F118+'30-3'!F118+'32-3'!F118+'35-3'!F118+'37-3'!F118+'47-3'!F118+'62-3'!F118+'64-3'!F118+'74-3'!F118</f>
        <v>0</v>
      </c>
      <c r="G372" s="106">
        <f>'01-3'!G118+'02-3'!G118+'03-3'!G118+'04-3'!G118+'05-3'!G118+'08-3'!G118+'09-3'!G118+'10-3'!G118+'11-3'!G118+'12-3'!G118+'13-3'!G118+'14-3'!G118+'15-3'!G118+'16-3'!G118+'17-3'!G118+'18-3'!G118+'19-3'!G118+'21-3'!G118+'22-3'!G118+'24-3'!G118+'25-3'!G118+'28-3'!G118+'29-3'!G118+'30-3'!G118+'32-3'!G118+'35-3'!G118+'37-3'!G118+'47-3'!G118+'62-3'!G118+'64-3'!G118+'74-3'!G118</f>
        <v>0</v>
      </c>
      <c r="H372" s="106">
        <f>'01-3'!H118+'02-3'!H118+'03-3'!H118+'04-3'!H118+'05-3'!H118+'08-3'!H118+'09-3'!H118+'10-3'!H118+'11-3'!H118+'12-3'!H118+'13-3'!H118+'14-3'!H118+'15-3'!H118+'16-3'!H118+'17-3'!H118+'18-3'!H118+'19-3'!H118+'21-3'!H118+'22-3'!H118+'24-3'!H118+'25-3'!H118+'28-3'!H118+'29-3'!H118+'30-3'!H118+'32-3'!H118+'35-3'!H118+'37-3'!H118+'47-3'!H118+'62-3'!H118+'64-3'!H118+'74-3'!H118</f>
        <v>0</v>
      </c>
      <c r="I372" s="106">
        <f>'01-3'!I118+'02-3'!I118+'03-3'!I118+'04-3'!I118+'05-3'!I118+'08-3'!I118+'09-3'!I118+'10-3'!I118+'11-3'!I118+'12-3'!I118+'13-3'!I118+'14-3'!I118+'15-3'!I118+'16-3'!I118+'17-3'!I118+'18-3'!I118+'19-3'!I118+'21-3'!I118+'22-3'!I118+'24-3'!I118+'25-3'!I118+'28-3'!I118+'29-3'!I118+'30-3'!I118+'32-3'!I118+'35-3'!I118+'37-3'!I118+'47-3'!I118+'62-3'!I118+'64-3'!I118+'74-3'!I118</f>
        <v>0</v>
      </c>
      <c r="J372" s="106">
        <f>'01-3'!J118+'02-3'!J118+'03-3'!J118+'04-3'!J118+'05-3'!J118+'08-3'!J118+'09-3'!J118+'10-3'!J118+'11-3'!J118+'12-3'!J118+'13-3'!J118+'14-3'!J118+'15-3'!J118+'16-3'!J118+'17-3'!J118+'18-3'!J118+'19-3'!J118+'21-3'!J118+'22-3'!J118+'24-3'!J118+'25-3'!J118+'28-3'!J118+'29-3'!J118+'30-3'!J118+'32-3'!J118+'35-3'!J118+'37-3'!J118+'47-3'!J118+'62-3'!J118+'64-3'!J118+'74-3'!J118</f>
        <v>0</v>
      </c>
      <c r="K372" s="106">
        <f>'01-3'!K118+'02-3'!K118+'03-3'!K118+'04-3'!K118+'05-3'!K118+'08-3'!K118+'09-3'!K118+'10-3'!K118+'11-3'!K118+'12-3'!K118+'13-3'!K118+'14-3'!K118+'15-3'!K118+'16-3'!K118+'17-3'!K118+'18-3'!K118+'19-3'!K118+'21-3'!K118+'22-3'!K118+'24-3'!K118+'25-3'!K118+'28-3'!K118+'29-3'!K118+'30-3'!K118+'32-3'!K118+'35-3'!K118+'37-3'!K118+'47-3'!K118+'62-3'!K118+'64-3'!K118+'74-3'!K118</f>
        <v>0</v>
      </c>
      <c r="L372" s="106">
        <f>'01-3'!L118+'02-3'!L118+'03-3'!L118+'04-3'!L118+'05-3'!L118+'08-3'!L118+'09-3'!L118+'10-3'!L118+'11-3'!L118+'12-3'!L118+'13-3'!L118+'14-3'!L118+'15-3'!L118+'16-3'!L118+'17-3'!L118+'18-3'!L118+'19-3'!L118+'21-3'!L118+'22-3'!L118+'24-3'!L118+'25-3'!L118+'28-3'!L118+'29-3'!L118+'30-3'!L118+'32-3'!L118+'35-3'!L118+'37-3'!L118+'47-3'!L118+'62-3'!L118+'64-3'!L118+'74-3'!L118</f>
        <v>0</v>
      </c>
      <c r="M372" s="106">
        <f>'01-3'!M118+'02-3'!M118+'03-3'!M118+'04-3'!M118+'05-3'!M118+'08-3'!M118+'09-3'!M118+'10-3'!M118+'11-3'!M118+'12-3'!M118+'13-3'!M118+'14-3'!M118+'15-3'!M118+'16-3'!M118+'17-3'!M118+'18-3'!M118+'19-3'!M118+'21-3'!M118+'22-3'!M118+'24-3'!M118+'25-3'!M118+'28-3'!M118+'29-3'!M118+'30-3'!M118+'32-3'!M118+'35-3'!M118+'37-3'!M118+'47-3'!M118+'62-3'!M118+'64-3'!M118+'74-3'!M118</f>
        <v>0</v>
      </c>
      <c r="N372" s="106">
        <f>'01-3'!N118+'02-3'!N118+'03-3'!N118+'04-3'!N118+'05-3'!N118+'08-3'!N118+'09-3'!N118+'10-3'!N118+'11-3'!N118+'12-3'!N118+'13-3'!N118+'14-3'!N118+'15-3'!N118+'16-3'!N118+'17-3'!N118+'18-3'!N118+'19-3'!N118+'21-3'!N118+'22-3'!N118+'24-3'!N118+'25-3'!N118+'28-3'!N118+'29-3'!N118+'30-3'!N118+'32-3'!N118+'35-3'!N118+'37-3'!N118+'47-3'!N118+'62-3'!N118+'64-3'!N118+'74-3'!N118</f>
        <v>0</v>
      </c>
      <c r="O372" s="106">
        <f>'01-3'!O118+'02-3'!O118+'03-3'!O118+'04-3'!O118+'05-3'!O118+'08-3'!O118+'09-3'!O118+'10-3'!O118+'11-3'!O118+'12-3'!O118+'13-3'!O118+'14-3'!O118+'15-3'!O118+'16-3'!O118+'17-3'!O118+'18-3'!O118+'19-3'!O118+'21-3'!O118+'22-3'!O118+'24-3'!O118+'25-3'!O118+'28-3'!O118+'29-3'!O118+'30-3'!O118+'32-3'!O118+'35-3'!O118+'37-3'!O118+'47-3'!O118+'62-3'!O118+'64-3'!O118+'74-3'!O118</f>
        <v>0</v>
      </c>
      <c r="P372" s="106">
        <f>'01-3'!P118+'02-3'!P118+'03-3'!P118+'04-3'!P118+'05-3'!P118+'08-3'!P118+'09-3'!P118+'10-3'!P118+'11-3'!P118+'12-3'!P118+'13-3'!P118+'14-3'!P118+'15-3'!P118+'16-3'!P118+'17-3'!P118+'18-3'!P118+'19-3'!P118+'21-3'!P118+'22-3'!P118+'24-3'!P118+'25-3'!P118+'28-3'!P118+'29-3'!P118+'30-3'!P118+'32-3'!P118+'35-3'!P118+'37-3'!P118+'47-3'!P118+'62-3'!P118+'64-3'!P118+'74-3'!P118</f>
        <v>0</v>
      </c>
      <c r="Q372" s="106">
        <f>'01-3'!Q118+'02-3'!Q118+'03-3'!Q118+'04-3'!Q118+'05-3'!Q118+'08-3'!Q118+'09-3'!Q118+'10-3'!Q118+'11-3'!Q118+'12-3'!Q118+'13-3'!Q118+'14-3'!Q118+'15-3'!Q118+'16-3'!Q118+'17-3'!Q118+'18-3'!Q118+'19-3'!Q118+'21-3'!Q118+'22-3'!Q118+'24-3'!Q118+'25-3'!Q118+'28-3'!Q118+'29-3'!Q118+'30-3'!Q118+'32-3'!Q118+'35-3'!Q118+'37-3'!Q118+'47-3'!Q118+'62-3'!Q118+'64-3'!Q118+'74-3'!Q118</f>
        <v>0</v>
      </c>
      <c r="R372" s="106">
        <f>'01-3'!R118+'02-3'!R118+'03-3'!R118+'04-3'!R118+'05-3'!R118+'08-3'!R118+'09-3'!R118+'10-3'!R118+'11-3'!R118+'12-3'!R118+'13-3'!R118+'14-3'!R118+'15-3'!R118+'16-3'!R118+'17-3'!R118+'18-3'!R118+'19-3'!R118+'21-3'!R118+'22-3'!R118+'24-3'!R118+'25-3'!R118+'28-3'!R118+'29-3'!R118+'30-3'!R118+'32-3'!R118+'35-3'!R118+'37-3'!R118+'47-3'!R118+'62-3'!R118+'64-3'!R118+'74-3'!R118</f>
        <v>0</v>
      </c>
      <c r="S372" s="954"/>
      <c r="T372" s="954"/>
      <c r="U372" s="954"/>
      <c r="V372" s="954"/>
      <c r="W372" s="954"/>
    </row>
    <row r="373" spans="1:23" s="6" customFormat="1" ht="11.4">
      <c r="A373" s="129" t="s">
        <v>100</v>
      </c>
      <c r="B373" s="99" t="s">
        <v>101</v>
      </c>
      <c r="C373" s="299">
        <f>'01-3'!C119+'02-3'!C119+'03-3'!C119+'04-3'!C119+'05-3'!C119+'08-3'!C119+'09-3'!C119+'10-3'!C119+'11-3'!C119+'12-3'!C119+'13-3'!C119+'14-3'!C119+'15-3'!C119+'16-3'!C119+'17-3'!C119+'18-3'!C119+'19-3'!C119+'21-3'!C119+'22-3'!C119+'24-3'!C119+'25-3'!C119+'28-3'!C119+'29-3'!C119+'30-3'!C119+'32-3'!C119+'35-3'!C119+'37-3'!C119+'47-3'!C119+'62-3'!C119+'64-3'!C119+'74-3'!C119</f>
        <v>2264569237</v>
      </c>
      <c r="D373" s="299">
        <f>'01-3'!D119+'02-3'!D119+'03-3'!D119+'04-3'!D119+'05-3'!D119+'08-3'!D119+'09-3'!D119+'10-3'!D119+'11-3'!D119+'12-3'!D119+'13-3'!D119+'14-3'!D119+'15-3'!D119+'16-3'!D119+'17-3'!D119+'18-3'!D119+'19-3'!D119+'21-3'!D119+'22-3'!D119+'24-3'!D119+'25-3'!D119+'28-3'!D119+'29-3'!D119+'30-3'!D119+'32-3'!D119+'35-3'!D119+'37-3'!D119+'47-3'!D119+'62-3'!D119+'64-3'!D119+'74-3'!D119</f>
        <v>2240219157</v>
      </c>
      <c r="E373" s="299">
        <f>'01-3'!E119+'02-3'!E119+'03-3'!E119+'04-3'!E119+'05-3'!E119+'08-3'!E119+'09-3'!E119+'10-3'!E119+'11-3'!E119+'12-3'!E119+'13-3'!E119+'14-3'!E119+'15-3'!E119+'16-3'!E119+'17-3'!E119+'18-3'!E119+'19-3'!E119+'21-3'!E119+'22-3'!E119+'24-3'!E119+'25-3'!E119+'28-3'!E119+'29-3'!E119+'30-3'!E119+'32-3'!E119+'35-3'!E119+'37-3'!E119+'47-3'!E119+'62-3'!E119+'64-3'!E119+'74-3'!E119</f>
        <v>-2135869</v>
      </c>
      <c r="F373" s="299">
        <f>'01-3'!F119+'02-3'!F119+'03-3'!F119+'04-3'!F119+'05-3'!F119+'08-3'!F119+'09-3'!F119+'10-3'!F119+'11-3'!F119+'12-3'!F119+'13-3'!F119+'14-3'!F119+'15-3'!F119+'16-3'!F119+'17-3'!F119+'18-3'!F119+'19-3'!F119+'21-3'!F119+'22-3'!F119+'24-3'!F119+'25-3'!F119+'28-3'!F119+'29-3'!F119+'30-3'!F119+'32-3'!F119+'35-3'!F119+'37-3'!F119+'47-3'!F119+'62-3'!F119+'64-3'!F119+'74-3'!F119</f>
        <v>65277225</v>
      </c>
      <c r="G373" s="299">
        <f>'01-3'!G119+'02-3'!G119+'03-3'!G119+'04-3'!G119+'05-3'!G119+'08-3'!G119+'09-3'!G119+'10-3'!G119+'11-3'!G119+'12-3'!G119+'13-3'!G119+'14-3'!G119+'15-3'!G119+'16-3'!G119+'17-3'!G119+'18-3'!G119+'19-3'!G119+'21-3'!G119+'22-3'!G119+'24-3'!G119+'25-3'!G119+'28-3'!G119+'29-3'!G119+'30-3'!G119+'32-3'!G119+'35-3'!G119+'37-3'!G119+'47-3'!G119+'62-3'!G119+'64-3'!G119+'74-3'!G119</f>
        <v>121809113</v>
      </c>
      <c r="H373" s="299">
        <f>'01-3'!H119+'02-3'!H119+'03-3'!H119+'04-3'!H119+'05-3'!H119+'08-3'!H119+'09-3'!H119+'10-3'!H119+'11-3'!H119+'12-3'!H119+'13-3'!H119+'14-3'!H119+'15-3'!H119+'16-3'!H119+'17-3'!H119+'18-3'!H119+'19-3'!H119+'21-3'!H119+'22-3'!H119+'24-3'!H119+'25-3'!H119+'28-3'!H119+'29-3'!H119+'30-3'!H119+'32-3'!H119+'35-3'!H119+'37-3'!H119+'47-3'!H119+'62-3'!H119+'64-3'!H119+'74-3'!H119</f>
        <v>2425169626</v>
      </c>
      <c r="I373" s="299">
        <f>'01-3'!I119+'02-3'!I119+'03-3'!I119+'04-3'!I119+'05-3'!I119+'08-3'!I119+'09-3'!I119+'10-3'!I119+'11-3'!I119+'12-3'!I119+'13-3'!I119+'14-3'!I119+'15-3'!I119+'16-3'!I119+'17-3'!I119+'18-3'!I119+'19-3'!I119+'21-3'!I119+'22-3'!I119+'24-3'!I119+'25-3'!I119+'28-3'!I119+'29-3'!I119+'30-3'!I119+'32-3'!I119+'35-3'!I119+'37-3'!I119+'47-3'!I119+'62-3'!I119+'64-3'!I119+'74-3'!I119</f>
        <v>2388990586</v>
      </c>
      <c r="J373" s="299">
        <f>'01-3'!J119+'02-3'!J119+'03-3'!J119+'04-3'!J119+'05-3'!J119+'08-3'!J119+'09-3'!J119+'10-3'!J119+'11-3'!J119+'12-3'!J119+'13-3'!J119+'14-3'!J119+'15-3'!J119+'16-3'!J119+'17-3'!J119+'18-3'!J119+'19-3'!J119+'21-3'!J119+'22-3'!J119+'24-3'!J119+'25-3'!J119+'28-3'!J119+'29-3'!J119+'30-3'!J119+'32-3'!J119+'35-3'!J119+'37-3'!J119+'47-3'!J119+'62-3'!J119+'64-3'!J119+'74-3'!J119</f>
        <v>5575485</v>
      </c>
      <c r="K373" s="299">
        <f>'01-3'!K119+'02-3'!K119+'03-3'!K119+'04-3'!K119+'05-3'!K119+'08-3'!K119+'09-3'!K119+'10-3'!K119+'11-3'!K119+'12-3'!K119+'13-3'!K119+'14-3'!K119+'15-3'!K119+'16-3'!K119+'17-3'!K119+'18-3'!K119+'19-3'!K119+'21-3'!K119+'22-3'!K119+'24-3'!K119+'25-3'!K119+'28-3'!K119+'29-3'!K119+'30-3'!K119+'32-3'!K119+'35-3'!K119+'37-3'!K119+'47-3'!K119+'62-3'!K119+'64-3'!K119+'74-3'!K119</f>
        <v>89784946</v>
      </c>
      <c r="L373" s="299">
        <f>'01-3'!L119+'02-3'!L119+'03-3'!L119+'04-3'!L119+'05-3'!L119+'08-3'!L119+'09-3'!L119+'10-3'!L119+'11-3'!L119+'12-3'!L119+'13-3'!L119+'14-3'!L119+'15-3'!L119+'16-3'!L119+'17-3'!L119+'18-3'!L119+'19-3'!L119+'21-3'!L119+'22-3'!L119+'24-3'!L119+'25-3'!L119+'28-3'!L119+'29-3'!L119+'30-3'!L119+'32-3'!L119+'35-3'!L119+'37-3'!L119+'47-3'!L119+'62-3'!L119+'64-3'!L119+'74-3'!L119</f>
        <v>168268837</v>
      </c>
      <c r="M373" s="299">
        <f>'01-3'!M119+'02-3'!M119+'03-3'!M119+'04-3'!M119+'05-3'!M119+'08-3'!M119+'09-3'!M119+'10-3'!M119+'11-3'!M119+'12-3'!M119+'13-3'!M119+'14-3'!M119+'15-3'!M119+'16-3'!M119+'17-3'!M119+'18-3'!M119+'19-3'!M119+'21-3'!M119+'22-3'!M119+'24-3'!M119+'25-3'!M119+'28-3'!M119+'29-3'!M119+'30-3'!M119+'32-3'!M119+'35-3'!M119+'37-3'!M119+'47-3'!M119+'62-3'!M119+'64-3'!M119+'74-3'!M119</f>
        <v>2652619854</v>
      </c>
      <c r="N373" s="299">
        <f>'01-3'!N119+'02-3'!N119+'03-3'!N119+'04-3'!N119+'05-3'!N119+'08-3'!N119+'09-3'!N119+'10-3'!N119+'11-3'!N119+'12-3'!N119+'13-3'!N119+'14-3'!N119+'15-3'!N119+'16-3'!N119+'17-3'!N119+'18-3'!N119+'19-3'!N119+'21-3'!N119+'22-3'!N119+'24-3'!N119+'25-3'!N119+'28-3'!N119+'29-3'!N119+'30-3'!N119+'32-3'!N119+'35-3'!N119+'37-3'!N119+'47-3'!N119+'62-3'!N119+'64-3'!N119+'74-3'!N119</f>
        <v>2382801705</v>
      </c>
      <c r="O373" s="299">
        <f>'01-3'!O119+'02-3'!O119+'03-3'!O119+'04-3'!O119+'05-3'!O119+'08-3'!O119+'09-3'!O119+'10-3'!O119+'11-3'!O119+'12-3'!O119+'13-3'!O119+'14-3'!O119+'15-3'!O119+'16-3'!O119+'17-3'!O119+'18-3'!O119+'19-3'!O119+'21-3'!O119+'22-3'!O119+'24-3'!O119+'25-3'!O119+'28-3'!O119+'29-3'!O119+'30-3'!O119+'32-3'!O119+'35-3'!O119+'37-3'!O119+'47-3'!O119+'62-3'!O119+'64-3'!O119+'74-3'!O119</f>
        <v>-3145534</v>
      </c>
      <c r="P373" s="299">
        <f>'01-3'!P119+'02-3'!P119+'03-3'!P119+'04-3'!P119+'05-3'!P119+'08-3'!P119+'09-3'!P119+'10-3'!P119+'11-3'!P119+'12-3'!P119+'13-3'!P119+'14-3'!P119+'15-3'!P119+'16-3'!P119+'17-3'!P119+'18-3'!P119+'19-3'!P119+'21-3'!P119+'22-3'!P119+'24-3'!P119+'25-3'!P119+'28-3'!P119+'29-3'!P119+'30-3'!P119+'32-3'!P119+'35-3'!P119+'37-3'!P119+'47-3'!P119+'62-3'!P119+'64-3'!P119+'74-3'!P119</f>
        <v>121545259</v>
      </c>
      <c r="Q373" s="299">
        <f>'01-3'!Q119+'02-3'!Q119+'03-3'!Q119+'04-3'!Q119+'05-3'!Q119+'08-3'!Q119+'09-3'!Q119+'10-3'!Q119+'11-3'!Q119+'12-3'!Q119+'13-3'!Q119+'14-3'!Q119+'15-3'!Q119+'16-3'!Q119+'17-3'!Q119+'18-3'!Q119+'19-3'!Q119+'21-3'!Q119+'22-3'!Q119+'24-3'!Q119+'25-3'!Q119+'28-3'!Q119+'29-3'!Q119+'30-3'!Q119+'32-3'!Q119+'35-3'!Q119+'37-3'!Q119+'47-3'!Q119+'62-3'!Q119+'64-3'!Q119+'74-3'!Q119</f>
        <v>157563716</v>
      </c>
      <c r="R373" s="299">
        <f>'01-3'!R119+'02-3'!R119+'03-3'!R119+'04-3'!R119+'05-3'!R119+'08-3'!R119+'09-3'!R119+'10-3'!R119+'11-3'!R119+'12-3'!R119+'13-3'!R119+'14-3'!R119+'15-3'!R119+'16-3'!R119+'17-3'!R119+'18-3'!R119+'19-3'!R119+'21-3'!R119+'22-3'!R119+'24-3'!R119+'25-3'!R119+'28-3'!R119+'29-3'!R119+'30-3'!R119+'32-3'!R119+'35-3'!R119+'37-3'!R119+'47-3'!R119+'62-3'!R119+'64-3'!R119+'74-3'!R119</f>
        <v>2658765146</v>
      </c>
      <c r="S373" s="954"/>
      <c r="T373" s="954"/>
      <c r="U373" s="954"/>
      <c r="V373" s="954"/>
      <c r="W373" s="954"/>
    </row>
    <row r="374" spans="1:23" s="6" customFormat="1" ht="20.399999999999999">
      <c r="A374" s="130" t="s">
        <v>102</v>
      </c>
      <c r="B374" s="100" t="s">
        <v>103</v>
      </c>
      <c r="C374" s="106">
        <f>'01-3'!C120+'02-3'!C120+'03-3'!C120+'04-3'!C120+'05-3'!C120+'08-3'!C120+'09-3'!C120+'10-3'!C120+'11-3'!C120+'12-3'!C120+'13-3'!C120+'14-3'!C120+'15-3'!C120+'16-3'!C120+'17-3'!C120+'18-3'!C120+'19-3'!C120+'21-3'!C120+'22-3'!C120+'24-3'!C120+'25-3'!C120+'28-3'!C120+'29-3'!C120+'30-3'!C120+'32-3'!C120+'35-3'!C120+'37-3'!C120+'47-3'!C120+'62-3'!C120+'64-3'!C120+'74-3'!C120</f>
        <v>2197042260</v>
      </c>
      <c r="D374" s="106">
        <f>'01-3'!D120+'02-3'!D120+'03-3'!D120+'04-3'!D120+'05-3'!D120+'08-3'!D120+'09-3'!D120+'10-3'!D120+'11-3'!D120+'12-3'!D120+'13-3'!D120+'14-3'!D120+'15-3'!D120+'16-3'!D120+'17-3'!D120+'18-3'!D120+'19-3'!D120+'21-3'!D120+'22-3'!D120+'24-3'!D120+'25-3'!D120+'28-3'!D120+'29-3'!D120+'30-3'!D120+'32-3'!D120+'35-3'!D120+'37-3'!D120+'47-3'!D120+'62-3'!D120+'64-3'!D120+'74-3'!D120</f>
        <v>2197365262</v>
      </c>
      <c r="E374" s="106">
        <f>'01-3'!E120+'02-3'!E120+'03-3'!E120+'04-3'!E120+'05-3'!E120+'08-3'!E120+'09-3'!E120+'10-3'!E120+'11-3'!E120+'12-3'!E120+'13-3'!E120+'14-3'!E120+'15-3'!E120+'16-3'!E120+'17-3'!E120+'18-3'!E120+'19-3'!E120+'21-3'!E120+'22-3'!E120+'24-3'!E120+'25-3'!E120+'28-3'!E120+'29-3'!E120+'30-3'!E120+'32-3'!E120+'35-3'!E120+'37-3'!E120+'47-3'!E120+'62-3'!E120+'64-3'!E120+'74-3'!E120</f>
        <v>-2086665</v>
      </c>
      <c r="F374" s="106">
        <f>'01-3'!F120+'02-3'!F120+'03-3'!F120+'04-3'!F120+'05-3'!F120+'08-3'!F120+'09-3'!F120+'10-3'!F120+'11-3'!F120+'12-3'!F120+'13-3'!F120+'14-3'!F120+'15-3'!F120+'16-3'!F120+'17-3'!F120+'18-3'!F120+'19-3'!F120+'21-3'!F120+'22-3'!F120+'24-3'!F120+'25-3'!F120+'28-3'!F120+'29-3'!F120+'30-3'!F120+'32-3'!F120+'35-3'!F120+'37-3'!F120+'47-3'!F120+'62-3'!F120+'64-3'!F120+'74-3'!F120</f>
        <v>64799491</v>
      </c>
      <c r="G374" s="106">
        <f>'01-3'!G120+'02-3'!G120+'03-3'!G120+'04-3'!G120+'05-3'!G120+'08-3'!G120+'09-3'!G120+'10-3'!G120+'11-3'!G120+'12-3'!G120+'13-3'!G120+'14-3'!G120+'15-3'!G120+'16-3'!G120+'17-3'!G120+'18-3'!G120+'19-3'!G120+'21-3'!G120+'22-3'!G120+'24-3'!G120+'25-3'!G120+'28-3'!G120+'29-3'!G120+'30-3'!G120+'32-3'!G120+'35-3'!G120+'37-3'!G120+'47-3'!G120+'62-3'!G120+'64-3'!G120+'74-3'!G120</f>
        <v>105240249</v>
      </c>
      <c r="H374" s="106">
        <f>'01-3'!H120+'02-3'!H120+'03-3'!H120+'04-3'!H120+'05-3'!H120+'08-3'!H120+'09-3'!H120+'10-3'!H120+'11-3'!H120+'12-3'!H120+'13-3'!H120+'14-3'!H120+'15-3'!H120+'16-3'!H120+'17-3'!H120+'18-3'!H120+'19-3'!H120+'21-3'!H120+'22-3'!H120+'24-3'!H120+'25-3'!H120+'28-3'!H120+'29-3'!H120+'30-3'!H120+'32-3'!H120+'35-3'!H120+'37-3'!H120+'47-3'!H120+'62-3'!H120+'64-3'!H120+'74-3'!H120</f>
        <v>2365318337</v>
      </c>
      <c r="I374" s="106">
        <f>'01-3'!I120+'02-3'!I120+'03-3'!I120+'04-3'!I120+'05-3'!I120+'08-3'!I120+'09-3'!I120+'10-3'!I120+'11-3'!I120+'12-3'!I120+'13-3'!I120+'14-3'!I120+'15-3'!I120+'16-3'!I120+'17-3'!I120+'18-3'!I120+'19-3'!I120+'21-3'!I120+'22-3'!I120+'24-3'!I120+'25-3'!I120+'28-3'!I120+'29-3'!I120+'30-3'!I120+'32-3'!I120+'35-3'!I120+'37-3'!I120+'47-3'!I120+'62-3'!I120+'64-3'!I120+'74-3'!I120</f>
        <v>2363596582</v>
      </c>
      <c r="J374" s="106">
        <f>'01-3'!J120+'02-3'!J120+'03-3'!J120+'04-3'!J120+'05-3'!J120+'08-3'!J120+'09-3'!J120+'10-3'!J120+'11-3'!J120+'12-3'!J120+'13-3'!J120+'14-3'!J120+'15-3'!J120+'16-3'!J120+'17-3'!J120+'18-3'!J120+'19-3'!J120+'21-3'!J120+'22-3'!J120+'24-3'!J120+'25-3'!J120+'28-3'!J120+'29-3'!J120+'30-3'!J120+'32-3'!J120+'35-3'!J120+'37-3'!J120+'47-3'!J120+'62-3'!J120+'64-3'!J120+'74-3'!J120</f>
        <v>5632319</v>
      </c>
      <c r="K374" s="106">
        <f>'01-3'!K120+'02-3'!K120+'03-3'!K120+'04-3'!K120+'05-3'!K120+'08-3'!K120+'09-3'!K120+'10-3'!K120+'11-3'!K120+'12-3'!K120+'13-3'!K120+'14-3'!K120+'15-3'!K120+'16-3'!K120+'17-3'!K120+'18-3'!K120+'19-3'!K120+'21-3'!K120+'22-3'!K120+'24-3'!K120+'25-3'!K120+'28-3'!K120+'29-3'!K120+'30-3'!K120+'32-3'!K120+'35-3'!K120+'37-3'!K120+'47-3'!K120+'62-3'!K120+'64-3'!K120+'74-3'!K120</f>
        <v>89611495</v>
      </c>
      <c r="L374" s="106">
        <f>'01-3'!L120+'02-3'!L120+'03-3'!L120+'04-3'!L120+'05-3'!L120+'08-3'!L120+'09-3'!L120+'10-3'!L120+'11-3'!L120+'12-3'!L120+'13-3'!L120+'14-3'!L120+'15-3'!L120+'16-3'!L120+'17-3'!L120+'18-3'!L120+'19-3'!L120+'21-3'!L120+'22-3'!L120+'24-3'!L120+'25-3'!L120+'28-3'!L120+'29-3'!L120+'30-3'!L120+'32-3'!L120+'35-3'!L120+'37-3'!L120+'47-3'!L120+'62-3'!L120+'64-3'!L120+'74-3'!L120</f>
        <v>139833649</v>
      </c>
      <c r="M374" s="106">
        <f>'01-3'!M120+'02-3'!M120+'03-3'!M120+'04-3'!M120+'05-3'!M120+'08-3'!M120+'09-3'!M120+'10-3'!M120+'11-3'!M120+'12-3'!M120+'13-3'!M120+'14-3'!M120+'15-3'!M120+'16-3'!M120+'17-3'!M120+'18-3'!M120+'19-3'!M120+'21-3'!M120+'22-3'!M120+'24-3'!M120+'25-3'!M120+'28-3'!M120+'29-3'!M120+'30-3'!M120+'32-3'!M120+'35-3'!M120+'37-3'!M120+'47-3'!M120+'62-3'!M120+'64-3'!M120+'74-3'!M120</f>
        <v>2598674045</v>
      </c>
      <c r="N374" s="106">
        <f>'01-3'!N120+'02-3'!N120+'03-3'!N120+'04-3'!N120+'05-3'!N120+'08-3'!N120+'09-3'!N120+'10-3'!N120+'11-3'!N120+'12-3'!N120+'13-3'!N120+'14-3'!N120+'15-3'!N120+'16-3'!N120+'17-3'!N120+'18-3'!N120+'19-3'!N120+'21-3'!N120+'22-3'!N120+'24-3'!N120+'25-3'!N120+'28-3'!N120+'29-3'!N120+'30-3'!N120+'32-3'!N120+'35-3'!N120+'37-3'!N120+'47-3'!N120+'62-3'!N120+'64-3'!N120+'74-3'!N120</f>
        <v>2357783733</v>
      </c>
      <c r="O374" s="106">
        <f>'01-3'!O120+'02-3'!O120+'03-3'!O120+'04-3'!O120+'05-3'!O120+'08-3'!O120+'09-3'!O120+'10-3'!O120+'11-3'!O120+'12-3'!O120+'13-3'!O120+'14-3'!O120+'15-3'!O120+'16-3'!O120+'17-3'!O120+'18-3'!O120+'19-3'!O120+'21-3'!O120+'22-3'!O120+'24-3'!O120+'25-3'!O120+'28-3'!O120+'29-3'!O120+'30-3'!O120+'32-3'!O120+'35-3'!O120+'37-3'!O120+'47-3'!O120+'62-3'!O120+'64-3'!O120+'74-3'!O120</f>
        <v>-3098700</v>
      </c>
      <c r="P374" s="106">
        <f>'01-3'!P120+'02-3'!P120+'03-3'!P120+'04-3'!P120+'05-3'!P120+'08-3'!P120+'09-3'!P120+'10-3'!P120+'11-3'!P120+'12-3'!P120+'13-3'!P120+'14-3'!P120+'15-3'!P120+'16-3'!P120+'17-3'!P120+'18-3'!P120+'19-3'!P120+'21-3'!P120+'22-3'!P120+'24-3'!P120+'25-3'!P120+'28-3'!P120+'29-3'!P120+'30-3'!P120+'32-3'!P120+'35-3'!P120+'37-3'!P120+'47-3'!P120+'62-3'!P120+'64-3'!P120+'74-3'!P120</f>
        <v>120971487</v>
      </c>
      <c r="Q374" s="106">
        <f>'01-3'!Q120+'02-3'!Q120+'03-3'!Q120+'04-3'!Q120+'05-3'!Q120+'08-3'!Q120+'09-3'!Q120+'10-3'!Q120+'11-3'!Q120+'12-3'!Q120+'13-3'!Q120+'14-3'!Q120+'15-3'!Q120+'16-3'!Q120+'17-3'!Q120+'18-3'!Q120+'19-3'!Q120+'21-3'!Q120+'22-3'!Q120+'24-3'!Q120+'25-3'!Q120+'28-3'!Q120+'29-3'!Q120+'30-3'!Q120+'32-3'!Q120+'35-3'!Q120+'37-3'!Q120+'47-3'!Q120+'62-3'!Q120+'64-3'!Q120+'74-3'!Q120</f>
        <v>132139353</v>
      </c>
      <c r="R374" s="106">
        <f>'01-3'!R120+'02-3'!R120+'03-3'!R120+'04-3'!R120+'05-3'!R120+'08-3'!R120+'09-3'!R120+'10-3'!R120+'11-3'!R120+'12-3'!R120+'13-3'!R120+'14-3'!R120+'15-3'!R120+'16-3'!R120+'17-3'!R120+'18-3'!R120+'19-3'!R120+'21-3'!R120+'22-3'!R120+'24-3'!R120+'25-3'!R120+'28-3'!R120+'29-3'!R120+'30-3'!R120+'32-3'!R120+'35-3'!R120+'37-3'!R120+'47-3'!R120+'62-3'!R120+'64-3'!R120+'74-3'!R120</f>
        <v>2607795873</v>
      </c>
      <c r="S374" s="954"/>
      <c r="T374" s="954"/>
      <c r="U374" s="954"/>
      <c r="V374" s="954"/>
      <c r="W374" s="954"/>
    </row>
    <row r="375" spans="1:23" s="6" customFormat="1" ht="12">
      <c r="A375" s="130" t="s">
        <v>104</v>
      </c>
      <c r="B375" s="100" t="s">
        <v>105</v>
      </c>
      <c r="C375" s="106">
        <f>'01-3'!C121+'02-3'!C121+'03-3'!C121+'04-3'!C121+'05-3'!C121+'08-3'!C121+'09-3'!C121+'10-3'!C121+'11-3'!C121+'12-3'!C121+'13-3'!C121+'14-3'!C121+'15-3'!C121+'16-3'!C121+'17-3'!C121+'18-3'!C121+'19-3'!C121+'21-3'!C121+'22-3'!C121+'24-3'!C121+'25-3'!C121+'28-3'!C121+'29-3'!C121+'30-3'!C121+'32-3'!C121+'35-3'!C121+'37-3'!C121+'47-3'!C121+'62-3'!C121+'64-3'!C121+'74-3'!C121</f>
        <v>765320178</v>
      </c>
      <c r="D375" s="106">
        <f>'01-3'!D121+'02-3'!D121+'03-3'!D121+'04-3'!D121+'05-3'!D121+'08-3'!D121+'09-3'!D121+'10-3'!D121+'11-3'!D121+'12-3'!D121+'13-3'!D121+'14-3'!D121+'15-3'!D121+'16-3'!D121+'17-3'!D121+'18-3'!D121+'19-3'!D121+'21-3'!D121+'22-3'!D121+'24-3'!D121+'25-3'!D121+'28-3'!D121+'29-3'!D121+'30-3'!D121+'32-3'!D121+'35-3'!D121+'37-3'!D121+'47-3'!D121+'62-3'!D121+'64-3'!D121+'74-3'!D121</f>
        <v>756988655</v>
      </c>
      <c r="E375" s="106">
        <f>'01-3'!E121+'02-3'!E121+'03-3'!E121+'04-3'!E121+'05-3'!E121+'08-3'!E121+'09-3'!E121+'10-3'!E121+'11-3'!E121+'12-3'!E121+'13-3'!E121+'14-3'!E121+'15-3'!E121+'16-3'!E121+'17-3'!E121+'18-3'!E121+'19-3'!E121+'21-3'!E121+'22-3'!E121+'24-3'!E121+'25-3'!E121+'28-3'!E121+'29-3'!E121+'30-3'!E121+'32-3'!E121+'35-3'!E121+'37-3'!E121+'47-3'!E121+'62-3'!E121+'64-3'!E121+'74-3'!E121</f>
        <v>-527838</v>
      </c>
      <c r="F375" s="106">
        <f>'01-3'!F121+'02-3'!F121+'03-3'!F121+'04-3'!F121+'05-3'!F121+'08-3'!F121+'09-3'!F121+'10-3'!F121+'11-3'!F121+'12-3'!F121+'13-3'!F121+'14-3'!F121+'15-3'!F121+'16-3'!F121+'17-3'!F121+'18-3'!F121+'19-3'!F121+'21-3'!F121+'22-3'!F121+'24-3'!F121+'25-3'!F121+'28-3'!F121+'29-3'!F121+'30-3'!F121+'32-3'!F121+'35-3'!F121+'37-3'!F121+'47-3'!F121+'62-3'!F121+'64-3'!F121+'74-3'!F121</f>
        <v>44746123</v>
      </c>
      <c r="G375" s="106">
        <f>'01-3'!G121+'02-3'!G121+'03-3'!G121+'04-3'!G121+'05-3'!G121+'08-3'!G121+'09-3'!G121+'10-3'!G121+'11-3'!G121+'12-3'!G121+'13-3'!G121+'14-3'!G121+'15-3'!G121+'16-3'!G121+'17-3'!G121+'18-3'!G121+'19-3'!G121+'21-3'!G121+'22-3'!G121+'24-3'!G121+'25-3'!G121+'28-3'!G121+'29-3'!G121+'30-3'!G121+'32-3'!G121+'35-3'!G121+'37-3'!G121+'47-3'!G121+'62-3'!G121+'64-3'!G121+'74-3'!G121</f>
        <v>24249425</v>
      </c>
      <c r="H375" s="106">
        <f>'01-3'!H121+'02-3'!H121+'03-3'!H121+'04-3'!H121+'05-3'!H121+'08-3'!H121+'09-3'!H121+'10-3'!H121+'11-3'!H121+'12-3'!H121+'13-3'!H121+'14-3'!H121+'15-3'!H121+'16-3'!H121+'17-3'!H121+'18-3'!H121+'19-3'!H121+'21-3'!H121+'22-3'!H121+'24-3'!H121+'25-3'!H121+'28-3'!H121+'29-3'!H121+'30-3'!H121+'32-3'!H121+'35-3'!H121+'37-3'!H121+'47-3'!H121+'62-3'!H121+'64-3'!H121+'74-3'!H121</f>
        <v>825456365</v>
      </c>
      <c r="I375" s="106">
        <f>'01-3'!I121+'02-3'!I121+'03-3'!I121+'04-3'!I121+'05-3'!I121+'08-3'!I121+'09-3'!I121+'10-3'!I121+'11-3'!I121+'12-3'!I121+'13-3'!I121+'14-3'!I121+'15-3'!I121+'16-3'!I121+'17-3'!I121+'18-3'!I121+'19-3'!I121+'21-3'!I121+'22-3'!I121+'24-3'!I121+'25-3'!I121+'28-3'!I121+'29-3'!I121+'30-3'!I121+'32-3'!I121+'35-3'!I121+'37-3'!I121+'47-3'!I121+'62-3'!I121+'64-3'!I121+'74-3'!I121</f>
        <v>754923186</v>
      </c>
      <c r="J375" s="106">
        <f>'01-3'!J121+'02-3'!J121+'03-3'!J121+'04-3'!J121+'05-3'!J121+'08-3'!J121+'09-3'!J121+'10-3'!J121+'11-3'!J121+'12-3'!J121+'13-3'!J121+'14-3'!J121+'15-3'!J121+'16-3'!J121+'17-3'!J121+'18-3'!J121+'19-3'!J121+'21-3'!J121+'22-3'!J121+'24-3'!J121+'25-3'!J121+'28-3'!J121+'29-3'!J121+'30-3'!J121+'32-3'!J121+'35-3'!J121+'37-3'!J121+'47-3'!J121+'62-3'!J121+'64-3'!J121+'74-3'!J121</f>
        <v>-758718</v>
      </c>
      <c r="K375" s="106">
        <f>'01-3'!K121+'02-3'!K121+'03-3'!K121+'04-3'!K121+'05-3'!K121+'08-3'!K121+'09-3'!K121+'10-3'!K121+'11-3'!K121+'12-3'!K121+'13-3'!K121+'14-3'!K121+'15-3'!K121+'16-3'!K121+'17-3'!K121+'18-3'!K121+'19-3'!K121+'21-3'!K121+'22-3'!K121+'24-3'!K121+'25-3'!K121+'28-3'!K121+'29-3'!K121+'30-3'!K121+'32-3'!K121+'35-3'!K121+'37-3'!K121+'47-3'!K121+'62-3'!K121+'64-3'!K121+'74-3'!K121</f>
        <v>39892181</v>
      </c>
      <c r="L375" s="106">
        <f>'01-3'!L121+'02-3'!L121+'03-3'!L121+'04-3'!L121+'05-3'!L121+'08-3'!L121+'09-3'!L121+'10-3'!L121+'11-3'!L121+'12-3'!L121+'13-3'!L121+'14-3'!L121+'15-3'!L121+'16-3'!L121+'17-3'!L121+'18-3'!L121+'19-3'!L121+'21-3'!L121+'22-3'!L121+'24-3'!L121+'25-3'!L121+'28-3'!L121+'29-3'!L121+'30-3'!L121+'32-3'!L121+'35-3'!L121+'37-3'!L121+'47-3'!L121+'62-3'!L121+'64-3'!L121+'74-3'!L121</f>
        <v>34764046</v>
      </c>
      <c r="M375" s="106">
        <f>'01-3'!M121+'02-3'!M121+'03-3'!M121+'04-3'!M121+'05-3'!M121+'08-3'!M121+'09-3'!M121+'10-3'!M121+'11-3'!M121+'12-3'!M121+'13-3'!M121+'14-3'!M121+'15-3'!M121+'16-3'!M121+'17-3'!M121+'18-3'!M121+'19-3'!M121+'21-3'!M121+'22-3'!M121+'24-3'!M121+'25-3'!M121+'28-3'!M121+'29-3'!M121+'30-3'!M121+'32-3'!M121+'35-3'!M121+'37-3'!M121+'47-3'!M121+'62-3'!M121+'64-3'!M121+'74-3'!M121</f>
        <v>828820695</v>
      </c>
      <c r="N375" s="106">
        <f>'01-3'!N121+'02-3'!N121+'03-3'!N121+'04-3'!N121+'05-3'!N121+'08-3'!N121+'09-3'!N121+'10-3'!N121+'11-3'!N121+'12-3'!N121+'13-3'!N121+'14-3'!N121+'15-3'!N121+'16-3'!N121+'17-3'!N121+'18-3'!N121+'19-3'!N121+'21-3'!N121+'22-3'!N121+'24-3'!N121+'25-3'!N121+'28-3'!N121+'29-3'!N121+'30-3'!N121+'32-3'!N121+'35-3'!N121+'37-3'!N121+'47-3'!N121+'62-3'!N121+'64-3'!N121+'74-3'!N121</f>
        <v>725236579</v>
      </c>
      <c r="O375" s="106">
        <f>'01-3'!O121+'02-3'!O121+'03-3'!O121+'04-3'!O121+'05-3'!O121+'08-3'!O121+'09-3'!O121+'10-3'!O121+'11-3'!O121+'12-3'!O121+'13-3'!O121+'14-3'!O121+'15-3'!O121+'16-3'!O121+'17-3'!O121+'18-3'!O121+'19-3'!O121+'21-3'!O121+'22-3'!O121+'24-3'!O121+'25-3'!O121+'28-3'!O121+'29-3'!O121+'30-3'!O121+'32-3'!O121+'35-3'!O121+'37-3'!O121+'47-3'!O121+'62-3'!O121+'64-3'!O121+'74-3'!O121</f>
        <v>-791218</v>
      </c>
      <c r="P375" s="106">
        <f>'01-3'!P121+'02-3'!P121+'03-3'!P121+'04-3'!P121+'05-3'!P121+'08-3'!P121+'09-3'!P121+'10-3'!P121+'11-3'!P121+'12-3'!P121+'13-3'!P121+'14-3'!P121+'15-3'!P121+'16-3'!P121+'17-3'!P121+'18-3'!P121+'19-3'!P121+'21-3'!P121+'22-3'!P121+'24-3'!P121+'25-3'!P121+'28-3'!P121+'29-3'!P121+'30-3'!P121+'32-3'!P121+'35-3'!P121+'37-3'!P121+'47-3'!P121+'62-3'!P121+'64-3'!P121+'74-3'!P121</f>
        <v>50580549</v>
      </c>
      <c r="Q375" s="106">
        <f>'01-3'!Q121+'02-3'!Q121+'03-3'!Q121+'04-3'!Q121+'05-3'!Q121+'08-3'!Q121+'09-3'!Q121+'10-3'!Q121+'11-3'!Q121+'12-3'!Q121+'13-3'!Q121+'14-3'!Q121+'15-3'!Q121+'16-3'!Q121+'17-3'!Q121+'18-3'!Q121+'19-3'!Q121+'21-3'!Q121+'22-3'!Q121+'24-3'!Q121+'25-3'!Q121+'28-3'!Q121+'29-3'!Q121+'30-3'!Q121+'32-3'!Q121+'35-3'!Q121+'37-3'!Q121+'47-3'!Q121+'62-3'!Q121+'64-3'!Q121+'74-3'!Q121</f>
        <v>28613112</v>
      </c>
      <c r="R375" s="106">
        <f>'01-3'!R121+'02-3'!R121+'03-3'!R121+'04-3'!R121+'05-3'!R121+'08-3'!R121+'09-3'!R121+'10-3'!R121+'11-3'!R121+'12-3'!R121+'13-3'!R121+'14-3'!R121+'15-3'!R121+'16-3'!R121+'17-3'!R121+'18-3'!R121+'19-3'!R121+'21-3'!R121+'22-3'!R121+'24-3'!R121+'25-3'!R121+'28-3'!R121+'29-3'!R121+'30-3'!R121+'32-3'!R121+'35-3'!R121+'37-3'!R121+'47-3'!R121+'62-3'!R121+'64-3'!R121+'74-3'!R121</f>
        <v>803639022</v>
      </c>
      <c r="S375" s="954"/>
      <c r="T375" s="954"/>
      <c r="U375" s="954"/>
      <c r="V375" s="954"/>
      <c r="W375" s="954"/>
    </row>
    <row r="376" spans="1:23" s="29" customFormat="1" ht="12">
      <c r="A376" s="132">
        <v>1000</v>
      </c>
      <c r="B376" s="101" t="s">
        <v>106</v>
      </c>
      <c r="C376" s="106">
        <f>'01-3'!C122+'02-3'!C122+'03-3'!C122+'04-3'!C122+'05-3'!C122+'08-3'!C122+'09-3'!C122+'10-3'!C122+'11-3'!C122+'12-3'!C122+'13-3'!C122+'14-3'!C122+'15-3'!C122+'16-3'!C122+'17-3'!C122+'18-3'!C122+'19-3'!C122+'21-3'!C122+'22-3'!C122+'24-3'!C122+'25-3'!C122+'28-3'!C122+'29-3'!C122+'30-3'!C122+'32-3'!C122+'35-3'!C122+'37-3'!C122+'47-3'!C122+'62-3'!C122+'64-3'!C122+'74-3'!C122</f>
        <v>455989489</v>
      </c>
      <c r="D376" s="106">
        <f>'01-3'!D122+'02-3'!D122+'03-3'!D122+'04-3'!D122+'05-3'!D122+'08-3'!D122+'09-3'!D122+'10-3'!D122+'11-3'!D122+'12-3'!D122+'13-3'!D122+'14-3'!D122+'15-3'!D122+'16-3'!D122+'17-3'!D122+'18-3'!D122+'19-3'!D122+'21-3'!D122+'22-3'!D122+'24-3'!D122+'25-3'!D122+'28-3'!D122+'29-3'!D122+'30-3'!D122+'32-3'!D122+'35-3'!D122+'37-3'!D122+'47-3'!D122+'62-3'!D122+'64-3'!D122+'74-3'!D122</f>
        <v>450090258.59574383</v>
      </c>
      <c r="E376" s="106">
        <f>'01-3'!E122+'02-3'!E122+'03-3'!E122+'04-3'!E122+'05-3'!E122+'08-3'!E122+'09-3'!E122+'10-3'!E122+'11-3'!E122+'12-3'!E122+'13-3'!E122+'14-3'!E122+'15-3'!E122+'16-3'!E122+'17-3'!E122+'18-3'!E122+'19-3'!E122+'21-3'!E122+'22-3'!E122+'24-3'!E122+'25-3'!E122+'28-3'!E122+'29-3'!E122+'30-3'!E122+'32-3'!E122+'35-3'!E122+'37-3'!E122+'47-3'!E122+'62-3'!E122+'64-3'!E122+'74-3'!E122</f>
        <v>21138</v>
      </c>
      <c r="F376" s="106">
        <f>'01-3'!F122+'02-3'!F122+'03-3'!F122+'04-3'!F122+'05-3'!F122+'08-3'!F122+'09-3'!F122+'10-3'!F122+'11-3'!F122+'12-3'!F122+'13-3'!F122+'14-3'!F122+'15-3'!F122+'16-3'!F122+'17-3'!F122+'18-3'!F122+'19-3'!F122+'21-3'!F122+'22-3'!F122+'24-3'!F122+'25-3'!F122+'28-3'!F122+'29-3'!F122+'30-3'!F122+'32-3'!F122+'35-3'!F122+'37-3'!F122+'47-3'!F122+'62-3'!F122+'64-3'!F122+'74-3'!F122</f>
        <v>27084542</v>
      </c>
      <c r="G376" s="106">
        <f>'01-3'!G122+'02-3'!G122+'03-3'!G122+'04-3'!G122+'05-3'!G122+'08-3'!G122+'09-3'!G122+'10-3'!G122+'11-3'!G122+'12-3'!G122+'13-3'!G122+'14-3'!G122+'15-3'!G122+'16-3'!G122+'17-3'!G122+'18-3'!G122+'19-3'!G122+'21-3'!G122+'22-3'!G122+'24-3'!G122+'25-3'!G122+'28-3'!G122+'29-3'!G122+'30-3'!G122+'32-3'!G122+'35-3'!G122+'37-3'!G122+'47-3'!G122+'62-3'!G122+'64-3'!G122+'74-3'!G122</f>
        <v>10511353</v>
      </c>
      <c r="H376" s="106">
        <f>'01-3'!H122+'02-3'!H122+'03-3'!H122+'04-3'!H122+'05-3'!H122+'08-3'!H122+'09-3'!H122+'10-3'!H122+'11-3'!H122+'12-3'!H122+'13-3'!H122+'14-3'!H122+'15-3'!H122+'16-3'!H122+'17-3'!H122+'18-3'!H122+'19-3'!H122+'21-3'!H122+'22-3'!H122+'24-3'!H122+'25-3'!H122+'28-3'!H122+'29-3'!H122+'30-3'!H122+'32-3'!H122+'35-3'!H122+'37-3'!H122+'47-3'!H122+'62-3'!H122+'64-3'!H122+'74-3'!H122</f>
        <v>487707291.59574383</v>
      </c>
      <c r="I376" s="106">
        <f>'01-3'!I122+'02-3'!I122+'03-3'!I122+'04-3'!I122+'05-3'!I122+'08-3'!I122+'09-3'!I122+'10-3'!I122+'11-3'!I122+'12-3'!I122+'13-3'!I122+'14-3'!I122+'15-3'!I122+'16-3'!I122+'17-3'!I122+'18-3'!I122+'19-3'!I122+'21-3'!I122+'22-3'!I122+'24-3'!I122+'25-3'!I122+'28-3'!I122+'29-3'!I122+'30-3'!I122+'32-3'!I122+'35-3'!I122+'37-3'!I122+'47-3'!I122+'62-3'!I122+'64-3'!I122+'74-3'!I122</f>
        <v>452717154.59574383</v>
      </c>
      <c r="J376" s="106">
        <f>'01-3'!J122+'02-3'!J122+'03-3'!J122+'04-3'!J122+'05-3'!J122+'08-3'!J122+'09-3'!J122+'10-3'!J122+'11-3'!J122+'12-3'!J122+'13-3'!J122+'14-3'!J122+'15-3'!J122+'16-3'!J122+'17-3'!J122+'18-3'!J122+'19-3'!J122+'21-3'!J122+'22-3'!J122+'24-3'!J122+'25-3'!J122+'28-3'!J122+'29-3'!J122+'30-3'!J122+'32-3'!J122+'35-3'!J122+'37-3'!J122+'47-3'!J122+'62-3'!J122+'64-3'!J122+'74-3'!J122</f>
        <v>-55416</v>
      </c>
      <c r="K376" s="106">
        <f>'01-3'!K122+'02-3'!K122+'03-3'!K122+'04-3'!K122+'05-3'!K122+'08-3'!K122+'09-3'!K122+'10-3'!K122+'11-3'!K122+'12-3'!K122+'13-3'!K122+'14-3'!K122+'15-3'!K122+'16-3'!K122+'17-3'!K122+'18-3'!K122+'19-3'!K122+'21-3'!K122+'22-3'!K122+'24-3'!K122+'25-3'!K122+'28-3'!K122+'29-3'!K122+'30-3'!K122+'32-3'!K122+'35-3'!K122+'37-3'!K122+'47-3'!K122+'62-3'!K122+'64-3'!K122+'74-3'!K122</f>
        <v>27795479</v>
      </c>
      <c r="L376" s="106">
        <f>'01-3'!L122+'02-3'!L122+'03-3'!L122+'04-3'!L122+'05-3'!L122+'08-3'!L122+'09-3'!L122+'10-3'!L122+'11-3'!L122+'12-3'!L122+'13-3'!L122+'14-3'!L122+'15-3'!L122+'16-3'!L122+'17-3'!L122+'18-3'!L122+'19-3'!L122+'21-3'!L122+'22-3'!L122+'24-3'!L122+'25-3'!L122+'28-3'!L122+'29-3'!L122+'30-3'!L122+'32-3'!L122+'35-3'!L122+'37-3'!L122+'47-3'!L122+'62-3'!L122+'64-3'!L122+'74-3'!L122</f>
        <v>13562373</v>
      </c>
      <c r="M376" s="106">
        <f>'01-3'!M122+'02-3'!M122+'03-3'!M122+'04-3'!M122+'05-3'!M122+'08-3'!M122+'09-3'!M122+'10-3'!M122+'11-3'!M122+'12-3'!M122+'13-3'!M122+'14-3'!M122+'15-3'!M122+'16-3'!M122+'17-3'!M122+'18-3'!M122+'19-3'!M122+'21-3'!M122+'22-3'!M122+'24-3'!M122+'25-3'!M122+'28-3'!M122+'29-3'!M122+'30-3'!M122+'32-3'!M122+'35-3'!M122+'37-3'!M122+'47-3'!M122+'62-3'!M122+'64-3'!M122+'74-3'!M122</f>
        <v>494019590.59574383</v>
      </c>
      <c r="N376" s="106">
        <f>'01-3'!N122+'02-3'!N122+'03-3'!N122+'04-3'!N122+'05-3'!N122+'08-3'!N122+'09-3'!N122+'10-3'!N122+'11-3'!N122+'12-3'!N122+'13-3'!N122+'14-3'!N122+'15-3'!N122+'16-3'!N122+'17-3'!N122+'18-3'!N122+'19-3'!N122+'21-3'!N122+'22-3'!N122+'24-3'!N122+'25-3'!N122+'28-3'!N122+'29-3'!N122+'30-3'!N122+'32-3'!N122+'35-3'!N122+'37-3'!N122+'47-3'!N122+'62-3'!N122+'64-3'!N122+'74-3'!N122</f>
        <v>449020175.59574383</v>
      </c>
      <c r="O376" s="106">
        <f>'01-3'!O122+'02-3'!O122+'03-3'!O122+'04-3'!O122+'05-3'!O122+'08-3'!O122+'09-3'!O122+'10-3'!O122+'11-3'!O122+'12-3'!O122+'13-3'!O122+'14-3'!O122+'15-3'!O122+'16-3'!O122+'17-3'!O122+'18-3'!O122+'19-3'!O122+'21-3'!O122+'22-3'!O122+'24-3'!O122+'25-3'!O122+'28-3'!O122+'29-3'!O122+'30-3'!O122+'32-3'!O122+'35-3'!O122+'37-3'!O122+'47-3'!O122+'62-3'!O122+'64-3'!O122+'74-3'!O122</f>
        <v>-55416</v>
      </c>
      <c r="P376" s="106">
        <f>'01-3'!P122+'02-3'!P122+'03-3'!P122+'04-3'!P122+'05-3'!P122+'08-3'!P122+'09-3'!P122+'10-3'!P122+'11-3'!P122+'12-3'!P122+'13-3'!P122+'14-3'!P122+'15-3'!P122+'16-3'!P122+'17-3'!P122+'18-3'!P122+'19-3'!P122+'21-3'!P122+'22-3'!P122+'24-3'!P122+'25-3'!P122+'28-3'!P122+'29-3'!P122+'30-3'!P122+'32-3'!P122+'35-3'!P122+'37-3'!P122+'47-3'!P122+'62-3'!P122+'64-3'!P122+'74-3'!P122</f>
        <v>27167846</v>
      </c>
      <c r="Q376" s="106">
        <f>'01-3'!Q122+'02-3'!Q122+'03-3'!Q122+'04-3'!Q122+'05-3'!Q122+'08-3'!Q122+'09-3'!Q122+'10-3'!Q122+'11-3'!Q122+'12-3'!Q122+'13-3'!Q122+'14-3'!Q122+'15-3'!Q122+'16-3'!Q122+'17-3'!Q122+'18-3'!Q122+'19-3'!Q122+'21-3'!Q122+'22-3'!Q122+'24-3'!Q122+'25-3'!Q122+'28-3'!Q122+'29-3'!Q122+'30-3'!Q122+'32-3'!Q122+'35-3'!Q122+'37-3'!Q122+'47-3'!Q122+'62-3'!Q122+'64-3'!Q122+'74-3'!Q122</f>
        <v>13166538</v>
      </c>
      <c r="R376" s="106">
        <f>'01-3'!R122+'02-3'!R122+'03-3'!R122+'04-3'!R122+'05-3'!R122+'08-3'!R122+'09-3'!R122+'10-3'!R122+'11-3'!R122+'12-3'!R122+'13-3'!R122+'14-3'!R122+'15-3'!R122+'16-3'!R122+'17-3'!R122+'18-3'!R122+'19-3'!R122+'21-3'!R122+'22-3'!R122+'24-3'!R122+'25-3'!R122+'28-3'!R122+'29-3'!R122+'30-3'!R122+'32-3'!R122+'35-3'!R122+'37-3'!R122+'47-3'!R122+'62-3'!R122+'64-3'!R122+'74-3'!R122</f>
        <v>489299143.59574383</v>
      </c>
      <c r="S376" s="1324"/>
      <c r="T376" s="1324"/>
      <c r="U376" s="1324"/>
      <c r="V376" s="1324"/>
      <c r="W376" s="1324"/>
    </row>
    <row r="377" spans="1:23" s="89" customFormat="1" ht="12">
      <c r="A377" s="139">
        <v>1100</v>
      </c>
      <c r="B377" s="101" t="s">
        <v>107</v>
      </c>
      <c r="C377" s="106">
        <f>'01-3'!C123+'02-3'!C123+'03-3'!C123+'04-3'!C123+'05-3'!C123+'08-3'!C123+'09-3'!C123+'10-3'!C123+'11-3'!C123+'12-3'!C123+'13-3'!C123+'14-3'!C123+'15-3'!C123+'16-3'!C123+'17-3'!C123+'18-3'!C123+'19-3'!C123+'21-3'!C123+'22-3'!C123+'24-3'!C123+'25-3'!C123+'28-3'!C123+'29-3'!C123+'30-3'!C123+'32-3'!C123+'35-3'!C123+'37-3'!C123+'47-3'!C123+'62-3'!C123+'64-3'!C123+'74-3'!C123</f>
        <v>341380600</v>
      </c>
      <c r="D377" s="106">
        <f>'01-3'!D123+'02-3'!D123+'03-3'!D123+'04-3'!D123+'05-3'!D123+'08-3'!D123+'09-3'!D123+'10-3'!D123+'11-3'!D123+'12-3'!D123+'13-3'!D123+'14-3'!D123+'15-3'!D123+'16-3'!D123+'17-3'!D123+'18-3'!D123+'19-3'!D123+'21-3'!D123+'22-3'!D123+'24-3'!D123+'25-3'!D123+'28-3'!D123+'29-3'!D123+'30-3'!D123+'32-3'!D123+'35-3'!D123+'37-3'!D123+'47-3'!D123+'62-3'!D123+'64-3'!D123+'74-3'!D123</f>
        <v>336591360.31656182</v>
      </c>
      <c r="E377" s="106">
        <f>'01-3'!E123+'02-3'!E123+'03-3'!E123+'04-3'!E123+'05-3'!E123+'08-3'!E123+'09-3'!E123+'10-3'!E123+'11-3'!E123+'12-3'!E123+'13-3'!E123+'14-3'!E123+'15-3'!E123+'16-3'!E123+'17-3'!E123+'18-3'!E123+'19-3'!E123+'21-3'!E123+'22-3'!E123+'24-3'!E123+'25-3'!E123+'28-3'!E123+'29-3'!E123+'30-3'!E123+'32-3'!E123+'35-3'!E123+'37-3'!E123+'47-3'!E123+'62-3'!E123+'64-3'!E123+'74-3'!E123</f>
        <v>-24992</v>
      </c>
      <c r="F377" s="106">
        <f>'01-3'!F123+'02-3'!F123+'03-3'!F123+'04-3'!F123+'05-3'!F123+'08-3'!F123+'09-3'!F123+'10-3'!F123+'11-3'!F123+'12-3'!F123+'13-3'!F123+'14-3'!F123+'15-3'!F123+'16-3'!F123+'17-3'!F123+'18-3'!F123+'19-3'!F123+'21-3'!F123+'22-3'!F123+'24-3'!F123+'25-3'!F123+'28-3'!F123+'29-3'!F123+'30-3'!F123+'32-3'!F123+'35-3'!F123+'37-3'!F123+'47-3'!F123+'62-3'!F123+'64-3'!F123+'74-3'!F123</f>
        <v>18991159</v>
      </c>
      <c r="G377" s="106">
        <f>'01-3'!G123+'02-3'!G123+'03-3'!G123+'04-3'!G123+'05-3'!G123+'08-3'!G123+'09-3'!G123+'10-3'!G123+'11-3'!G123+'12-3'!G123+'13-3'!G123+'14-3'!G123+'15-3'!G123+'16-3'!G123+'17-3'!G123+'18-3'!G123+'19-3'!G123+'21-3'!G123+'22-3'!G123+'24-3'!G123+'25-3'!G123+'28-3'!G123+'29-3'!G123+'30-3'!G123+'32-3'!G123+'35-3'!G123+'37-3'!G123+'47-3'!G123+'62-3'!G123+'64-3'!G123+'74-3'!G123</f>
        <v>7786252</v>
      </c>
      <c r="H377" s="106">
        <f>'01-3'!H123+'02-3'!H123+'03-3'!H123+'04-3'!H123+'05-3'!H123+'08-3'!H123+'09-3'!H123+'10-3'!H123+'11-3'!H123+'12-3'!H123+'13-3'!H123+'14-3'!H123+'15-3'!H123+'16-3'!H123+'17-3'!H123+'18-3'!H123+'19-3'!H123+'21-3'!H123+'22-3'!H123+'24-3'!H123+'25-3'!H123+'28-3'!H123+'29-3'!H123+'30-3'!H123+'32-3'!H123+'35-3'!H123+'37-3'!H123+'47-3'!H123+'62-3'!H123+'64-3'!H123+'74-3'!H123</f>
        <v>363343779.31656182</v>
      </c>
      <c r="I377" s="106">
        <f>'01-3'!I123+'02-3'!I123+'03-3'!I123+'04-3'!I123+'05-3'!I123+'08-3'!I123+'09-3'!I123+'10-3'!I123+'11-3'!I123+'12-3'!I123+'13-3'!I123+'14-3'!I123+'15-3'!I123+'16-3'!I123+'17-3'!I123+'18-3'!I123+'19-3'!I123+'21-3'!I123+'22-3'!I123+'24-3'!I123+'25-3'!I123+'28-3'!I123+'29-3'!I123+'30-3'!I123+'32-3'!I123+'35-3'!I123+'37-3'!I123+'47-3'!I123+'62-3'!I123+'64-3'!I123+'74-3'!I123</f>
        <v>338689953.31656182</v>
      </c>
      <c r="J377" s="106">
        <f>'01-3'!J123+'02-3'!J123+'03-3'!J123+'04-3'!J123+'05-3'!J123+'08-3'!J123+'09-3'!J123+'10-3'!J123+'11-3'!J123+'12-3'!J123+'13-3'!J123+'14-3'!J123+'15-3'!J123+'16-3'!J123+'17-3'!J123+'18-3'!J123+'19-3'!J123+'21-3'!J123+'22-3'!J123+'24-3'!J123+'25-3'!J123+'28-3'!J123+'29-3'!J123+'30-3'!J123+'32-3'!J123+'35-3'!J123+'37-3'!J123+'47-3'!J123+'62-3'!J123+'64-3'!J123+'74-3'!J123</f>
        <v>-93963</v>
      </c>
      <c r="K377" s="106">
        <f>'01-3'!K123+'02-3'!K123+'03-3'!K123+'04-3'!K123+'05-3'!K123+'08-3'!K123+'09-3'!K123+'10-3'!K123+'11-3'!K123+'12-3'!K123+'13-3'!K123+'14-3'!K123+'15-3'!K123+'16-3'!K123+'17-3'!K123+'18-3'!K123+'19-3'!K123+'21-3'!K123+'22-3'!K123+'24-3'!K123+'25-3'!K123+'28-3'!K123+'29-3'!K123+'30-3'!K123+'32-3'!K123+'35-3'!K123+'37-3'!K123+'47-3'!K123+'62-3'!K123+'64-3'!K123+'74-3'!K123</f>
        <v>19224207</v>
      </c>
      <c r="L377" s="106">
        <f>'01-3'!L123+'02-3'!L123+'03-3'!L123+'04-3'!L123+'05-3'!L123+'08-3'!L123+'09-3'!L123+'10-3'!L123+'11-3'!L123+'12-3'!L123+'13-3'!L123+'14-3'!L123+'15-3'!L123+'16-3'!L123+'17-3'!L123+'18-3'!L123+'19-3'!L123+'21-3'!L123+'22-3'!L123+'24-3'!L123+'25-3'!L123+'28-3'!L123+'29-3'!L123+'30-3'!L123+'32-3'!L123+'35-3'!L123+'37-3'!L123+'47-3'!L123+'62-3'!L123+'64-3'!L123+'74-3'!L123</f>
        <v>10212626</v>
      </c>
      <c r="M377" s="106">
        <f>'01-3'!M123+'02-3'!M123+'03-3'!M123+'04-3'!M123+'05-3'!M123+'08-3'!M123+'09-3'!M123+'10-3'!M123+'11-3'!M123+'12-3'!M123+'13-3'!M123+'14-3'!M123+'15-3'!M123+'16-3'!M123+'17-3'!M123+'18-3'!M123+'19-3'!M123+'21-3'!M123+'22-3'!M123+'24-3'!M123+'25-3'!M123+'28-3'!M123+'29-3'!M123+'30-3'!M123+'32-3'!M123+'35-3'!M123+'37-3'!M123+'47-3'!M123+'62-3'!M123+'64-3'!M123+'74-3'!M123</f>
        <v>368032823.31656182</v>
      </c>
      <c r="N377" s="106">
        <f>'01-3'!N123+'02-3'!N123+'03-3'!N123+'04-3'!N123+'05-3'!N123+'08-3'!N123+'09-3'!N123+'10-3'!N123+'11-3'!N123+'12-3'!N123+'13-3'!N123+'14-3'!N123+'15-3'!N123+'16-3'!N123+'17-3'!N123+'18-3'!N123+'19-3'!N123+'21-3'!N123+'22-3'!N123+'24-3'!N123+'25-3'!N123+'28-3'!N123+'29-3'!N123+'30-3'!N123+'32-3'!N123+'35-3'!N123+'37-3'!N123+'47-3'!N123+'62-3'!N123+'64-3'!N123+'74-3'!N123</f>
        <v>335913475.31656182</v>
      </c>
      <c r="O377" s="106">
        <f>'01-3'!O123+'02-3'!O123+'03-3'!O123+'04-3'!O123+'05-3'!O123+'08-3'!O123+'09-3'!O123+'10-3'!O123+'11-3'!O123+'12-3'!O123+'13-3'!O123+'14-3'!O123+'15-3'!O123+'16-3'!O123+'17-3'!O123+'18-3'!O123+'19-3'!O123+'21-3'!O123+'22-3'!O123+'24-3'!O123+'25-3'!O123+'28-3'!O123+'29-3'!O123+'30-3'!O123+'32-3'!O123+'35-3'!O123+'37-3'!O123+'47-3'!O123+'62-3'!O123+'64-3'!O123+'74-3'!O123</f>
        <v>-93963</v>
      </c>
      <c r="P377" s="106">
        <f>'01-3'!P123+'02-3'!P123+'03-3'!P123+'04-3'!P123+'05-3'!P123+'08-3'!P123+'09-3'!P123+'10-3'!P123+'11-3'!P123+'12-3'!P123+'13-3'!P123+'14-3'!P123+'15-3'!P123+'16-3'!P123+'17-3'!P123+'18-3'!P123+'19-3'!P123+'21-3'!P123+'22-3'!P123+'24-3'!P123+'25-3'!P123+'28-3'!P123+'29-3'!P123+'30-3'!P123+'32-3'!P123+'35-3'!P123+'37-3'!P123+'47-3'!P123+'62-3'!P123+'64-3'!P123+'74-3'!P123</f>
        <v>18978692</v>
      </c>
      <c r="Q377" s="106">
        <f>'01-3'!Q123+'02-3'!Q123+'03-3'!Q123+'04-3'!Q123+'05-3'!Q123+'08-3'!Q123+'09-3'!Q123+'10-3'!Q123+'11-3'!Q123+'12-3'!Q123+'13-3'!Q123+'14-3'!Q123+'15-3'!Q123+'16-3'!Q123+'17-3'!Q123+'18-3'!Q123+'19-3'!Q123+'21-3'!Q123+'22-3'!Q123+'24-3'!Q123+'25-3'!Q123+'28-3'!Q123+'29-3'!Q123+'30-3'!Q123+'32-3'!Q123+'35-3'!Q123+'37-3'!Q123+'47-3'!Q123+'62-3'!Q123+'64-3'!Q123+'74-3'!Q123</f>
        <v>9847606</v>
      </c>
      <c r="R377" s="106">
        <f>'01-3'!R123+'02-3'!R123+'03-3'!R123+'04-3'!R123+'05-3'!R123+'08-3'!R123+'09-3'!R123+'10-3'!R123+'11-3'!R123+'12-3'!R123+'13-3'!R123+'14-3'!R123+'15-3'!R123+'16-3'!R123+'17-3'!R123+'18-3'!R123+'19-3'!R123+'21-3'!R123+'22-3'!R123+'24-3'!R123+'25-3'!R123+'28-3'!R123+'29-3'!R123+'30-3'!R123+'32-3'!R123+'35-3'!R123+'37-3'!R123+'47-3'!R123+'62-3'!R123+'64-3'!R123+'74-3'!R123</f>
        <v>364645810.31656182</v>
      </c>
      <c r="S377" s="499"/>
      <c r="T377" s="499"/>
      <c r="U377" s="499"/>
      <c r="V377" s="499"/>
      <c r="W377" s="499"/>
    </row>
    <row r="378" spans="1:23" s="89" customFormat="1" ht="12">
      <c r="A378" s="132">
        <v>2000</v>
      </c>
      <c r="B378" s="101" t="s">
        <v>108</v>
      </c>
      <c r="C378" s="106">
        <f>'01-3'!C124+'02-3'!C124+'03-3'!C124+'04-3'!C124+'05-3'!C124+'08-3'!C124+'09-3'!C124+'10-3'!C124+'11-3'!C124+'12-3'!C124+'13-3'!C124+'14-3'!C124+'15-3'!C124+'16-3'!C124+'17-3'!C124+'18-3'!C124+'19-3'!C124+'21-3'!C124+'22-3'!C124+'24-3'!C124+'25-3'!C124+'28-3'!C124+'29-3'!C124+'30-3'!C124+'32-3'!C124+'35-3'!C124+'37-3'!C124+'47-3'!C124+'62-3'!C124+'64-3'!C124+'74-3'!C124</f>
        <v>309330689</v>
      </c>
      <c r="D378" s="106">
        <f>'01-3'!D124+'02-3'!D124+'03-3'!D124+'04-3'!D124+'05-3'!D124+'08-3'!D124+'09-3'!D124+'10-3'!D124+'11-3'!D124+'12-3'!D124+'13-3'!D124+'14-3'!D124+'15-3'!D124+'16-3'!D124+'17-3'!D124+'18-3'!D124+'19-3'!D124+'21-3'!D124+'22-3'!D124+'24-3'!D124+'25-3'!D124+'28-3'!D124+'29-3'!D124+'30-3'!D124+'32-3'!D124+'35-3'!D124+'37-3'!D124+'47-3'!D124+'62-3'!D124+'64-3'!D124+'74-3'!D124</f>
        <v>306898396.40425617</v>
      </c>
      <c r="E378" s="106">
        <f>'01-3'!E124+'02-3'!E124+'03-3'!E124+'04-3'!E124+'05-3'!E124+'08-3'!E124+'09-3'!E124+'10-3'!E124+'11-3'!E124+'12-3'!E124+'13-3'!E124+'14-3'!E124+'15-3'!E124+'16-3'!E124+'17-3'!E124+'18-3'!E124+'19-3'!E124+'21-3'!E124+'22-3'!E124+'24-3'!E124+'25-3'!E124+'28-3'!E124+'29-3'!E124+'30-3'!E124+'32-3'!E124+'35-3'!E124+'37-3'!E124+'47-3'!E124+'62-3'!E124+'64-3'!E124+'74-3'!E124</f>
        <v>-548976</v>
      </c>
      <c r="F378" s="106">
        <f>'01-3'!F124+'02-3'!F124+'03-3'!F124+'04-3'!F124+'05-3'!F124+'08-3'!F124+'09-3'!F124+'10-3'!F124+'11-3'!F124+'12-3'!F124+'13-3'!F124+'14-3'!F124+'15-3'!F124+'16-3'!F124+'17-3'!F124+'18-3'!F124+'19-3'!F124+'21-3'!F124+'22-3'!F124+'24-3'!F124+'25-3'!F124+'28-3'!F124+'29-3'!F124+'30-3'!F124+'32-3'!F124+'35-3'!F124+'37-3'!F124+'47-3'!F124+'62-3'!F124+'64-3'!F124+'74-3'!F124</f>
        <v>17661581</v>
      </c>
      <c r="G378" s="106">
        <f>'01-3'!G124+'02-3'!G124+'03-3'!G124+'04-3'!G124+'05-3'!G124+'08-3'!G124+'09-3'!G124+'10-3'!G124+'11-3'!G124+'12-3'!G124+'13-3'!G124+'14-3'!G124+'15-3'!G124+'16-3'!G124+'17-3'!G124+'18-3'!G124+'19-3'!G124+'21-3'!G124+'22-3'!G124+'24-3'!G124+'25-3'!G124+'28-3'!G124+'29-3'!G124+'30-3'!G124+'32-3'!G124+'35-3'!G124+'37-3'!G124+'47-3'!G124+'62-3'!G124+'64-3'!G124+'74-3'!G124</f>
        <v>13738072</v>
      </c>
      <c r="H378" s="106">
        <f>'01-3'!H124+'02-3'!H124+'03-3'!H124+'04-3'!H124+'05-3'!H124+'08-3'!H124+'09-3'!H124+'10-3'!H124+'11-3'!H124+'12-3'!H124+'13-3'!H124+'14-3'!H124+'15-3'!H124+'16-3'!H124+'17-3'!H124+'18-3'!H124+'19-3'!H124+'21-3'!H124+'22-3'!H124+'24-3'!H124+'25-3'!H124+'28-3'!H124+'29-3'!H124+'30-3'!H124+'32-3'!H124+'35-3'!H124+'37-3'!H124+'47-3'!H124+'62-3'!H124+'64-3'!H124+'74-3'!H124</f>
        <v>337749073.40425617</v>
      </c>
      <c r="I378" s="106">
        <f>'01-3'!I124+'02-3'!I124+'03-3'!I124+'04-3'!I124+'05-3'!I124+'08-3'!I124+'09-3'!I124+'10-3'!I124+'11-3'!I124+'12-3'!I124+'13-3'!I124+'14-3'!I124+'15-3'!I124+'16-3'!I124+'17-3'!I124+'18-3'!I124+'19-3'!I124+'21-3'!I124+'22-3'!I124+'24-3'!I124+'25-3'!I124+'28-3'!I124+'29-3'!I124+'30-3'!I124+'32-3'!I124+'35-3'!I124+'37-3'!I124+'47-3'!I124+'62-3'!I124+'64-3'!I124+'74-3'!I124</f>
        <v>302206031.40425617</v>
      </c>
      <c r="J378" s="106">
        <f>'01-3'!J124+'02-3'!J124+'03-3'!J124+'04-3'!J124+'05-3'!J124+'08-3'!J124+'09-3'!J124+'10-3'!J124+'11-3'!J124+'12-3'!J124+'13-3'!J124+'14-3'!J124+'15-3'!J124+'16-3'!J124+'17-3'!J124+'18-3'!J124+'19-3'!J124+'21-3'!J124+'22-3'!J124+'24-3'!J124+'25-3'!J124+'28-3'!J124+'29-3'!J124+'30-3'!J124+'32-3'!J124+'35-3'!J124+'37-3'!J124+'47-3'!J124+'62-3'!J124+'64-3'!J124+'74-3'!J124</f>
        <v>-703302</v>
      </c>
      <c r="K378" s="106">
        <f>'01-3'!K124+'02-3'!K124+'03-3'!K124+'04-3'!K124+'05-3'!K124+'08-3'!K124+'09-3'!K124+'10-3'!K124+'11-3'!K124+'12-3'!K124+'13-3'!K124+'14-3'!K124+'15-3'!K124+'16-3'!K124+'17-3'!K124+'18-3'!K124+'19-3'!K124+'21-3'!K124+'22-3'!K124+'24-3'!K124+'25-3'!K124+'28-3'!K124+'29-3'!K124+'30-3'!K124+'32-3'!K124+'35-3'!K124+'37-3'!K124+'47-3'!K124+'62-3'!K124+'64-3'!K124+'74-3'!K124</f>
        <v>12096702</v>
      </c>
      <c r="L378" s="106">
        <f>'01-3'!L124+'02-3'!L124+'03-3'!L124+'04-3'!L124+'05-3'!L124+'08-3'!L124+'09-3'!L124+'10-3'!L124+'11-3'!L124+'12-3'!L124+'13-3'!L124+'14-3'!L124+'15-3'!L124+'16-3'!L124+'17-3'!L124+'18-3'!L124+'19-3'!L124+'21-3'!L124+'22-3'!L124+'24-3'!L124+'25-3'!L124+'28-3'!L124+'29-3'!L124+'30-3'!L124+'32-3'!L124+'35-3'!L124+'37-3'!L124+'47-3'!L124+'62-3'!L124+'64-3'!L124+'74-3'!L124</f>
        <v>21201673</v>
      </c>
      <c r="M378" s="106">
        <f>'01-3'!M124+'02-3'!M124+'03-3'!M124+'04-3'!M124+'05-3'!M124+'08-3'!M124+'09-3'!M124+'10-3'!M124+'11-3'!M124+'12-3'!M124+'13-3'!M124+'14-3'!M124+'15-3'!M124+'16-3'!M124+'17-3'!M124+'18-3'!M124+'19-3'!M124+'21-3'!M124+'22-3'!M124+'24-3'!M124+'25-3'!M124+'28-3'!M124+'29-3'!M124+'30-3'!M124+'32-3'!M124+'35-3'!M124+'37-3'!M124+'47-3'!M124+'62-3'!M124+'64-3'!M124+'74-3'!M124</f>
        <v>334801104.40425617</v>
      </c>
      <c r="N378" s="106">
        <f>'01-3'!N124+'02-3'!N124+'03-3'!N124+'04-3'!N124+'05-3'!N124+'08-3'!N124+'09-3'!N124+'10-3'!N124+'11-3'!N124+'12-3'!N124+'13-3'!N124+'14-3'!N124+'15-3'!N124+'16-3'!N124+'17-3'!N124+'18-3'!N124+'19-3'!N124+'21-3'!N124+'22-3'!N124+'24-3'!N124+'25-3'!N124+'28-3'!N124+'29-3'!N124+'30-3'!N124+'32-3'!N124+'35-3'!N124+'37-3'!N124+'47-3'!N124+'62-3'!N124+'64-3'!N124+'74-3'!N124</f>
        <v>276216403.40425617</v>
      </c>
      <c r="O378" s="106">
        <f>'01-3'!O124+'02-3'!O124+'03-3'!O124+'04-3'!O124+'05-3'!O124+'08-3'!O124+'09-3'!O124+'10-3'!O124+'11-3'!O124+'12-3'!O124+'13-3'!O124+'14-3'!O124+'15-3'!O124+'16-3'!O124+'17-3'!O124+'18-3'!O124+'19-3'!O124+'21-3'!O124+'22-3'!O124+'24-3'!O124+'25-3'!O124+'28-3'!O124+'29-3'!O124+'30-3'!O124+'32-3'!O124+'35-3'!O124+'37-3'!O124+'47-3'!O124+'62-3'!O124+'64-3'!O124+'74-3'!O124</f>
        <v>-735802</v>
      </c>
      <c r="P378" s="106">
        <f>'01-3'!P124+'02-3'!P124+'03-3'!P124+'04-3'!P124+'05-3'!P124+'08-3'!P124+'09-3'!P124+'10-3'!P124+'11-3'!P124+'12-3'!P124+'13-3'!P124+'14-3'!P124+'15-3'!P124+'16-3'!P124+'17-3'!P124+'18-3'!P124+'19-3'!P124+'21-3'!P124+'22-3'!P124+'24-3'!P124+'25-3'!P124+'28-3'!P124+'29-3'!P124+'30-3'!P124+'32-3'!P124+'35-3'!P124+'37-3'!P124+'47-3'!P124+'62-3'!P124+'64-3'!P124+'74-3'!P124</f>
        <v>23412703</v>
      </c>
      <c r="Q378" s="106">
        <f>'01-3'!Q124+'02-3'!Q124+'03-3'!Q124+'04-3'!Q124+'05-3'!Q124+'08-3'!Q124+'09-3'!Q124+'10-3'!Q124+'11-3'!Q124+'12-3'!Q124+'13-3'!Q124+'14-3'!Q124+'15-3'!Q124+'16-3'!Q124+'17-3'!Q124+'18-3'!Q124+'19-3'!Q124+'21-3'!Q124+'22-3'!Q124+'24-3'!Q124+'25-3'!Q124+'28-3'!Q124+'29-3'!Q124+'30-3'!Q124+'32-3'!Q124+'35-3'!Q124+'37-3'!Q124+'47-3'!Q124+'62-3'!Q124+'64-3'!Q124+'74-3'!Q124</f>
        <v>15446574</v>
      </c>
      <c r="R378" s="106">
        <f>'01-3'!R124+'02-3'!R124+'03-3'!R124+'04-3'!R124+'05-3'!R124+'08-3'!R124+'09-3'!R124+'10-3'!R124+'11-3'!R124+'12-3'!R124+'13-3'!R124+'14-3'!R124+'15-3'!R124+'16-3'!R124+'17-3'!R124+'18-3'!R124+'19-3'!R124+'21-3'!R124+'22-3'!R124+'24-3'!R124+'25-3'!R124+'28-3'!R124+'29-3'!R124+'30-3'!R124+'32-3'!R124+'35-3'!R124+'37-3'!R124+'47-3'!R124+'62-3'!R124+'64-3'!R124+'74-3'!R124</f>
        <v>314339878.40425617</v>
      </c>
      <c r="S378" s="499"/>
      <c r="T378" s="499"/>
      <c r="U378" s="499"/>
      <c r="V378" s="499"/>
      <c r="W378" s="499"/>
    </row>
    <row r="379" spans="1:23" s="89" customFormat="1" ht="12">
      <c r="A379" s="140">
        <v>4000</v>
      </c>
      <c r="B379" s="100" t="s">
        <v>132</v>
      </c>
      <c r="C379" s="106">
        <f>'01-3'!C125+'02-3'!C125+'03-3'!C125+'04-3'!C125+'05-3'!C125+'08-3'!C125+'09-3'!C125+'10-3'!C125+'11-3'!C125+'12-3'!C125+'13-3'!C125+'14-3'!C125+'15-3'!C125+'16-3'!C125+'17-3'!C125+'18-3'!C125+'19-3'!C125+'21-3'!C125+'22-3'!C125+'24-3'!C125+'25-3'!C125+'28-3'!C125+'29-3'!C125+'30-3'!C125+'32-3'!C125+'35-3'!C125+'37-3'!C125+'47-3'!C125+'62-3'!C125+'64-3'!C125+'74-3'!C125</f>
        <v>233782825</v>
      </c>
      <c r="D379" s="106">
        <f>'01-3'!D125+'02-3'!D125+'03-3'!D125+'04-3'!D125+'05-3'!D125+'08-3'!D125+'09-3'!D125+'10-3'!D125+'11-3'!D125+'12-3'!D125+'13-3'!D125+'14-3'!D125+'15-3'!D125+'16-3'!D125+'17-3'!D125+'18-3'!D125+'19-3'!D125+'21-3'!D125+'22-3'!D125+'24-3'!D125+'25-3'!D125+'28-3'!D125+'29-3'!D125+'30-3'!D125+'32-3'!D125+'35-3'!D125+'37-3'!D125+'47-3'!D125+'62-3'!D125+'64-3'!D125+'74-3'!D125</f>
        <v>253957394</v>
      </c>
      <c r="E379" s="106">
        <f>'01-3'!E125+'02-3'!E125+'03-3'!E125+'04-3'!E125+'05-3'!E125+'08-3'!E125+'09-3'!E125+'10-3'!E125+'11-3'!E125+'12-3'!E125+'13-3'!E125+'14-3'!E125+'15-3'!E125+'16-3'!E125+'17-3'!E125+'18-3'!E125+'19-3'!E125+'21-3'!E125+'22-3'!E125+'24-3'!E125+'25-3'!E125+'28-3'!E125+'29-3'!E125+'30-3'!E125+'32-3'!E125+'35-3'!E125+'37-3'!E125+'47-3'!E125+'62-3'!E125+'64-3'!E125+'74-3'!E125</f>
        <v>0</v>
      </c>
      <c r="F379" s="106">
        <f>'01-3'!F125+'02-3'!F125+'03-3'!F125+'04-3'!F125+'05-3'!F125+'08-3'!F125+'09-3'!F125+'10-3'!F125+'11-3'!F125+'12-3'!F125+'13-3'!F125+'14-3'!F125+'15-3'!F125+'16-3'!F125+'17-3'!F125+'18-3'!F125+'19-3'!F125+'21-3'!F125+'22-3'!F125+'24-3'!F125+'25-3'!F125+'28-3'!F125+'29-3'!F125+'30-3'!F125+'32-3'!F125+'35-3'!F125+'37-3'!F125+'47-3'!F125+'62-3'!F125+'64-3'!F125+'74-3'!F125</f>
        <v>0</v>
      </c>
      <c r="G379" s="106">
        <f>'01-3'!G125+'02-3'!G125+'03-3'!G125+'04-3'!G125+'05-3'!G125+'08-3'!G125+'09-3'!G125+'10-3'!G125+'11-3'!G125+'12-3'!G125+'13-3'!G125+'14-3'!G125+'15-3'!G125+'16-3'!G125+'17-3'!G125+'18-3'!G125+'19-3'!G125+'21-3'!G125+'22-3'!G125+'24-3'!G125+'25-3'!G125+'28-3'!G125+'29-3'!G125+'30-3'!G125+'32-3'!G125+'35-3'!G125+'37-3'!G125+'47-3'!G125+'62-3'!G125+'64-3'!G125+'74-3'!G125</f>
        <v>0</v>
      </c>
      <c r="H379" s="106">
        <f>'01-3'!H125+'02-3'!H125+'03-3'!H125+'04-3'!H125+'05-3'!H125+'08-3'!H125+'09-3'!H125+'10-3'!H125+'11-3'!H125+'12-3'!H125+'13-3'!H125+'14-3'!H125+'15-3'!H125+'16-3'!H125+'17-3'!H125+'18-3'!H125+'19-3'!H125+'21-3'!H125+'22-3'!H125+'24-3'!H125+'25-3'!H125+'28-3'!H125+'29-3'!H125+'30-3'!H125+'32-3'!H125+'35-3'!H125+'37-3'!H125+'47-3'!H125+'62-3'!H125+'64-3'!H125+'74-3'!H125</f>
        <v>253957394</v>
      </c>
      <c r="I379" s="106">
        <f>'01-3'!I125+'02-3'!I125+'03-3'!I125+'04-3'!I125+'05-3'!I125+'08-3'!I125+'09-3'!I125+'10-3'!I125+'11-3'!I125+'12-3'!I125+'13-3'!I125+'14-3'!I125+'15-3'!I125+'16-3'!I125+'17-3'!I125+'18-3'!I125+'19-3'!I125+'21-3'!I125+'22-3'!I125+'24-3'!I125+'25-3'!I125+'28-3'!I125+'29-3'!I125+'30-3'!I125+'32-3'!I125+'35-3'!I125+'37-3'!I125+'47-3'!I125+'62-3'!I125+'64-3'!I125+'74-3'!I125</f>
        <v>319845392</v>
      </c>
      <c r="J379" s="106">
        <f>'01-3'!J125+'02-3'!J125+'03-3'!J125+'04-3'!J125+'05-3'!J125+'08-3'!J125+'09-3'!J125+'10-3'!J125+'11-3'!J125+'12-3'!J125+'13-3'!J125+'14-3'!J125+'15-3'!J125+'16-3'!J125+'17-3'!J125+'18-3'!J125+'19-3'!J125+'21-3'!J125+'22-3'!J125+'24-3'!J125+'25-3'!J125+'28-3'!J125+'29-3'!J125+'30-3'!J125+'32-3'!J125+'35-3'!J125+'37-3'!J125+'47-3'!J125+'62-3'!J125+'64-3'!J125+'74-3'!J125</f>
        <v>0</v>
      </c>
      <c r="K379" s="106">
        <f>'01-3'!K125+'02-3'!K125+'03-3'!K125+'04-3'!K125+'05-3'!K125+'08-3'!K125+'09-3'!K125+'10-3'!K125+'11-3'!K125+'12-3'!K125+'13-3'!K125+'14-3'!K125+'15-3'!K125+'16-3'!K125+'17-3'!K125+'18-3'!K125+'19-3'!K125+'21-3'!K125+'22-3'!K125+'24-3'!K125+'25-3'!K125+'28-3'!K125+'29-3'!K125+'30-3'!K125+'32-3'!K125+'35-3'!K125+'37-3'!K125+'47-3'!K125+'62-3'!K125+'64-3'!K125+'74-3'!K125</f>
        <v>0</v>
      </c>
      <c r="L379" s="106">
        <f>'01-3'!L125+'02-3'!L125+'03-3'!L125+'04-3'!L125+'05-3'!L125+'08-3'!L125+'09-3'!L125+'10-3'!L125+'11-3'!L125+'12-3'!L125+'13-3'!L125+'14-3'!L125+'15-3'!L125+'16-3'!L125+'17-3'!L125+'18-3'!L125+'19-3'!L125+'21-3'!L125+'22-3'!L125+'24-3'!L125+'25-3'!L125+'28-3'!L125+'29-3'!L125+'30-3'!L125+'32-3'!L125+'35-3'!L125+'37-3'!L125+'47-3'!L125+'62-3'!L125+'64-3'!L125+'74-3'!L125</f>
        <v>0</v>
      </c>
      <c r="M379" s="106">
        <f>'01-3'!M125+'02-3'!M125+'03-3'!M125+'04-3'!M125+'05-3'!M125+'08-3'!M125+'09-3'!M125+'10-3'!M125+'11-3'!M125+'12-3'!M125+'13-3'!M125+'14-3'!M125+'15-3'!M125+'16-3'!M125+'17-3'!M125+'18-3'!M125+'19-3'!M125+'21-3'!M125+'22-3'!M125+'24-3'!M125+'25-3'!M125+'28-3'!M125+'29-3'!M125+'30-3'!M125+'32-3'!M125+'35-3'!M125+'37-3'!M125+'47-3'!M125+'62-3'!M125+'64-3'!M125+'74-3'!M125</f>
        <v>319845392</v>
      </c>
      <c r="N379" s="106">
        <f>'01-3'!N125+'02-3'!N125+'03-3'!N125+'04-3'!N125+'05-3'!N125+'08-3'!N125+'09-3'!N125+'10-3'!N125+'11-3'!N125+'12-3'!N125+'13-3'!N125+'14-3'!N125+'15-3'!N125+'16-3'!N125+'17-3'!N125+'18-3'!N125+'19-3'!N125+'21-3'!N125+'22-3'!N125+'24-3'!N125+'25-3'!N125+'28-3'!N125+'29-3'!N125+'30-3'!N125+'32-3'!N125+'35-3'!N125+'37-3'!N125+'47-3'!N125+'62-3'!N125+'64-3'!N125+'74-3'!N125</f>
        <v>358258636</v>
      </c>
      <c r="O379" s="106">
        <f>'01-3'!O125+'02-3'!O125+'03-3'!O125+'04-3'!O125+'05-3'!O125+'08-3'!O125+'09-3'!O125+'10-3'!O125+'11-3'!O125+'12-3'!O125+'13-3'!O125+'14-3'!O125+'15-3'!O125+'16-3'!O125+'17-3'!O125+'18-3'!O125+'19-3'!O125+'21-3'!O125+'22-3'!O125+'24-3'!O125+'25-3'!O125+'28-3'!O125+'29-3'!O125+'30-3'!O125+'32-3'!O125+'35-3'!O125+'37-3'!O125+'47-3'!O125+'62-3'!O125+'64-3'!O125+'74-3'!O125</f>
        <v>0</v>
      </c>
      <c r="P379" s="106">
        <f>'01-3'!P125+'02-3'!P125+'03-3'!P125+'04-3'!P125+'05-3'!P125+'08-3'!P125+'09-3'!P125+'10-3'!P125+'11-3'!P125+'12-3'!P125+'13-3'!P125+'14-3'!P125+'15-3'!P125+'16-3'!P125+'17-3'!P125+'18-3'!P125+'19-3'!P125+'21-3'!P125+'22-3'!P125+'24-3'!P125+'25-3'!P125+'28-3'!P125+'29-3'!P125+'30-3'!P125+'32-3'!P125+'35-3'!P125+'37-3'!P125+'47-3'!P125+'62-3'!P125+'64-3'!P125+'74-3'!P125</f>
        <v>0</v>
      </c>
      <c r="Q379" s="106">
        <f>'01-3'!Q125+'02-3'!Q125+'03-3'!Q125+'04-3'!Q125+'05-3'!Q125+'08-3'!Q125+'09-3'!Q125+'10-3'!Q125+'11-3'!Q125+'12-3'!Q125+'13-3'!Q125+'14-3'!Q125+'15-3'!Q125+'16-3'!Q125+'17-3'!Q125+'18-3'!Q125+'19-3'!Q125+'21-3'!Q125+'22-3'!Q125+'24-3'!Q125+'25-3'!Q125+'28-3'!Q125+'29-3'!Q125+'30-3'!Q125+'32-3'!Q125+'35-3'!Q125+'37-3'!Q125+'47-3'!Q125+'62-3'!Q125+'64-3'!Q125+'74-3'!Q125</f>
        <v>0</v>
      </c>
      <c r="R379" s="106">
        <f>'01-3'!R125+'02-3'!R125+'03-3'!R125+'04-3'!R125+'05-3'!R125+'08-3'!R125+'09-3'!R125+'10-3'!R125+'11-3'!R125+'12-3'!R125+'13-3'!R125+'14-3'!R125+'15-3'!R125+'16-3'!R125+'17-3'!R125+'18-3'!R125+'19-3'!R125+'21-3'!R125+'22-3'!R125+'24-3'!R125+'25-3'!R125+'28-3'!R125+'29-3'!R125+'30-3'!R125+'32-3'!R125+'35-3'!R125+'37-3'!R125+'47-3'!R125+'62-3'!R125+'64-3'!R125+'74-3'!R125</f>
        <v>358258636</v>
      </c>
      <c r="S379" s="499"/>
      <c r="T379" s="499"/>
      <c r="U379" s="499"/>
      <c r="V379" s="499"/>
      <c r="W379" s="499"/>
    </row>
    <row r="380" spans="1:23" s="89" customFormat="1" ht="12">
      <c r="A380" s="140" t="s">
        <v>109</v>
      </c>
      <c r="B380" s="100" t="s">
        <v>110</v>
      </c>
      <c r="C380" s="106">
        <f>'01-3'!C126+'02-3'!C126+'03-3'!C126+'04-3'!C126+'05-3'!C126+'08-3'!C126+'09-3'!C126+'10-3'!C126+'11-3'!C126+'12-3'!C126+'13-3'!C126+'14-3'!C126+'15-3'!C126+'16-3'!C126+'17-3'!C126+'18-3'!C126+'19-3'!C126+'21-3'!C126+'22-3'!C126+'24-3'!C126+'25-3'!C126+'28-3'!C126+'29-3'!C126+'30-3'!C126+'32-3'!C126+'35-3'!C126+'37-3'!C126+'47-3'!C126+'62-3'!C126+'64-3'!C126+'74-3'!C126</f>
        <v>650451442</v>
      </c>
      <c r="D380" s="106">
        <f>'01-3'!D126+'02-3'!D126+'03-3'!D126+'04-3'!D126+'05-3'!D126+'08-3'!D126+'09-3'!D126+'10-3'!D126+'11-3'!D126+'12-3'!D126+'13-3'!D126+'14-3'!D126+'15-3'!D126+'16-3'!D126+'17-3'!D126+'18-3'!D126+'19-3'!D126+'21-3'!D126+'22-3'!D126+'24-3'!D126+'25-3'!D126+'28-3'!D126+'29-3'!D126+'30-3'!D126+'32-3'!D126+'35-3'!D126+'37-3'!D126+'47-3'!D126+'62-3'!D126+'64-3'!D126+'74-3'!D126</f>
        <v>643720748</v>
      </c>
      <c r="E380" s="106">
        <f>'01-3'!E126+'02-3'!E126+'03-3'!E126+'04-3'!E126+'05-3'!E126+'08-3'!E126+'09-3'!E126+'10-3'!E126+'11-3'!E126+'12-3'!E126+'13-3'!E126+'14-3'!E126+'15-3'!E126+'16-3'!E126+'17-3'!E126+'18-3'!E126+'19-3'!E126+'21-3'!E126+'22-3'!E126+'24-3'!E126+'25-3'!E126+'28-3'!E126+'29-3'!E126+'30-3'!E126+'32-3'!E126+'35-3'!E126+'37-3'!E126+'47-3'!E126+'62-3'!E126+'64-3'!E126+'74-3'!E126</f>
        <v>3070351</v>
      </c>
      <c r="F380" s="106">
        <f>'01-3'!F126+'02-3'!F126+'03-3'!F126+'04-3'!F126+'05-3'!F126+'08-3'!F126+'09-3'!F126+'10-3'!F126+'11-3'!F126+'12-3'!F126+'13-3'!F126+'14-3'!F126+'15-3'!F126+'16-3'!F126+'17-3'!F126+'18-3'!F126+'19-3'!F126+'21-3'!F126+'22-3'!F126+'24-3'!F126+'25-3'!F126+'28-3'!F126+'29-3'!F126+'30-3'!F126+'32-3'!F126+'35-3'!F126+'37-3'!F126+'47-3'!F126+'62-3'!F126+'64-3'!F126+'74-3'!F126</f>
        <v>4791897</v>
      </c>
      <c r="G380" s="106">
        <f>'01-3'!G126+'02-3'!G126+'03-3'!G126+'04-3'!G126+'05-3'!G126+'08-3'!G126+'09-3'!G126+'10-3'!G126+'11-3'!G126+'12-3'!G126+'13-3'!G126+'14-3'!G126+'15-3'!G126+'16-3'!G126+'17-3'!G126+'18-3'!G126+'19-3'!G126+'21-3'!G126+'22-3'!G126+'24-3'!G126+'25-3'!G126+'28-3'!G126+'29-3'!G126+'30-3'!G126+'32-3'!G126+'35-3'!G126+'37-3'!G126+'47-3'!G126+'62-3'!G126+'64-3'!G126+'74-3'!G126</f>
        <v>63618081</v>
      </c>
      <c r="H380" s="106">
        <f>'01-3'!H126+'02-3'!H126+'03-3'!H126+'04-3'!H126+'05-3'!H126+'08-3'!H126+'09-3'!H126+'10-3'!H126+'11-3'!H126+'12-3'!H126+'13-3'!H126+'14-3'!H126+'15-3'!H126+'16-3'!H126+'17-3'!H126+'18-3'!H126+'19-3'!H126+'21-3'!H126+'22-3'!H126+'24-3'!H126+'25-3'!H126+'28-3'!H126+'29-3'!H126+'30-3'!H126+'32-3'!H126+'35-3'!H126+'37-3'!H126+'47-3'!H126+'62-3'!H126+'64-3'!H126+'74-3'!H126</f>
        <v>715201077</v>
      </c>
      <c r="I380" s="106">
        <f>'01-3'!I126+'02-3'!I126+'03-3'!I126+'04-3'!I126+'05-3'!I126+'08-3'!I126+'09-3'!I126+'10-3'!I126+'11-3'!I126+'12-3'!I126+'13-3'!I126+'14-3'!I126+'15-3'!I126+'16-3'!I126+'17-3'!I126+'18-3'!I126+'19-3'!I126+'21-3'!I126+'22-3'!I126+'24-3'!I126+'25-3'!I126+'28-3'!I126+'29-3'!I126+'30-3'!I126+'32-3'!I126+'35-3'!I126+'37-3'!I126+'47-3'!I126+'62-3'!I126+'64-3'!I126+'74-3'!I126</f>
        <v>754565223</v>
      </c>
      <c r="J380" s="106">
        <f>'01-3'!J126+'02-3'!J126+'03-3'!J126+'04-3'!J126+'05-3'!J126+'08-3'!J126+'09-3'!J126+'10-3'!J126+'11-3'!J126+'12-3'!J126+'13-3'!J126+'14-3'!J126+'15-3'!J126+'16-3'!J126+'17-3'!J126+'18-3'!J126+'19-3'!J126+'21-3'!J126+'22-3'!J126+'24-3'!J126+'25-3'!J126+'28-3'!J126+'29-3'!J126+'30-3'!J126+'32-3'!J126+'35-3'!J126+'37-3'!J126+'47-3'!J126+'62-3'!J126+'64-3'!J126+'74-3'!J126</f>
        <v>-120701073</v>
      </c>
      <c r="K380" s="106">
        <f>'01-3'!K126+'02-3'!K126+'03-3'!K126+'04-3'!K126+'05-3'!K126+'08-3'!K126+'09-3'!K126+'10-3'!K126+'11-3'!K126+'12-3'!K126+'13-3'!K126+'14-3'!K126+'15-3'!K126+'16-3'!K126+'17-3'!K126+'18-3'!K126+'19-3'!K126+'21-3'!K126+'22-3'!K126+'24-3'!K126+'25-3'!K126+'28-3'!K126+'29-3'!K126+'30-3'!K126+'32-3'!K126+'35-3'!K126+'37-3'!K126+'47-3'!K126+'62-3'!K126+'64-3'!K126+'74-3'!K126</f>
        <v>33496255</v>
      </c>
      <c r="L380" s="106">
        <f>'01-3'!L126+'02-3'!L126+'03-3'!L126+'04-3'!L126+'05-3'!L126+'08-3'!L126+'09-3'!L126+'10-3'!L126+'11-3'!L126+'12-3'!L126+'13-3'!L126+'14-3'!L126+'15-3'!L126+'16-3'!L126+'17-3'!L126+'18-3'!L126+'19-3'!L126+'21-3'!L126+'22-3'!L126+'24-3'!L126+'25-3'!L126+'28-3'!L126+'29-3'!L126+'30-3'!L126+'32-3'!L126+'35-3'!L126+'37-3'!L126+'47-3'!L126+'62-3'!L126+'64-3'!L126+'74-3'!L126</f>
        <v>80967853</v>
      </c>
      <c r="M380" s="106">
        <f>'01-3'!M126+'02-3'!M126+'03-3'!M126+'04-3'!M126+'05-3'!M126+'08-3'!M126+'09-3'!M126+'10-3'!M126+'11-3'!M126+'12-3'!M126+'13-3'!M126+'14-3'!M126+'15-3'!M126+'16-3'!M126+'17-3'!M126+'18-3'!M126+'19-3'!M126+'21-3'!M126+'22-3'!M126+'24-3'!M126+'25-3'!M126+'28-3'!M126+'29-3'!M126+'30-3'!M126+'32-3'!M126+'35-3'!M126+'37-3'!M126+'47-3'!M126+'62-3'!M126+'64-3'!M126+'74-3'!M126</f>
        <v>748328258</v>
      </c>
      <c r="N380" s="106">
        <f>'01-3'!N126+'02-3'!N126+'03-3'!N126+'04-3'!N126+'05-3'!N126+'08-3'!N126+'09-3'!N126+'10-3'!N126+'11-3'!N126+'12-3'!N126+'13-3'!N126+'14-3'!N126+'15-3'!N126+'16-3'!N126+'17-3'!N126+'18-3'!N126+'19-3'!N126+'21-3'!N126+'22-3'!N126+'24-3'!N126+'25-3'!N126+'28-3'!N126+'29-3'!N126+'30-3'!N126+'32-3'!N126+'35-3'!N126+'37-3'!N126+'47-3'!N126+'62-3'!N126+'64-3'!N126+'74-3'!N126</f>
        <v>741842730</v>
      </c>
      <c r="O380" s="106">
        <f>'01-3'!O126+'02-3'!O126+'03-3'!O126+'04-3'!O126+'05-3'!O126+'08-3'!O126+'09-3'!O126+'10-3'!O126+'11-3'!O126+'12-3'!O126+'13-3'!O126+'14-3'!O126+'15-3'!O126+'16-3'!O126+'17-3'!O126+'18-3'!O126+'19-3'!O126+'21-3'!O126+'22-3'!O126+'24-3'!O126+'25-3'!O126+'28-3'!O126+'29-3'!O126+'30-3'!O126+'32-3'!O126+'35-3'!O126+'37-3'!O126+'47-3'!O126+'62-3'!O126+'64-3'!O126+'74-3'!O126</f>
        <v>-124755503</v>
      </c>
      <c r="P380" s="106">
        <f>'01-3'!P126+'02-3'!P126+'03-3'!P126+'04-3'!P126+'05-3'!P126+'08-3'!P126+'09-3'!P126+'10-3'!P126+'11-3'!P126+'12-3'!P126+'13-3'!P126+'14-3'!P126+'15-3'!P126+'16-3'!P126+'17-3'!P126+'18-3'!P126+'19-3'!P126+'21-3'!P126+'22-3'!P126+'24-3'!P126+'25-3'!P126+'28-3'!P126+'29-3'!P126+'30-3'!P126+'32-3'!P126+'35-3'!P126+'37-3'!P126+'47-3'!P126+'62-3'!P126+'64-3'!P126+'74-3'!P126</f>
        <v>58268720</v>
      </c>
      <c r="Q380" s="106">
        <f>'01-3'!Q126+'02-3'!Q126+'03-3'!Q126+'04-3'!Q126+'05-3'!Q126+'08-3'!Q126+'09-3'!Q126+'10-3'!Q126+'11-3'!Q126+'12-3'!Q126+'13-3'!Q126+'14-3'!Q126+'15-3'!Q126+'16-3'!Q126+'17-3'!Q126+'18-3'!Q126+'19-3'!Q126+'21-3'!Q126+'22-3'!Q126+'24-3'!Q126+'25-3'!Q126+'28-3'!Q126+'29-3'!Q126+'30-3'!Q126+'32-3'!Q126+'35-3'!Q126+'37-3'!Q126+'47-3'!Q126+'62-3'!Q126+'64-3'!Q126+'74-3'!Q126</f>
        <v>79445846</v>
      </c>
      <c r="R380" s="106">
        <f>'01-3'!R126+'02-3'!R126+'03-3'!R126+'04-3'!R126+'05-3'!R126+'08-3'!R126+'09-3'!R126+'10-3'!R126+'11-3'!R126+'12-3'!R126+'13-3'!R126+'14-3'!R126+'15-3'!R126+'16-3'!R126+'17-3'!R126+'18-3'!R126+'19-3'!R126+'21-3'!R126+'22-3'!R126+'24-3'!R126+'25-3'!R126+'28-3'!R126+'29-3'!R126+'30-3'!R126+'32-3'!R126+'35-3'!R126+'37-3'!R126+'47-3'!R126+'62-3'!R126+'64-3'!R126+'74-3'!R126</f>
        <v>754801793</v>
      </c>
      <c r="S380" s="499"/>
      <c r="T380" s="499"/>
      <c r="U380" s="499"/>
      <c r="V380" s="499"/>
      <c r="W380" s="499"/>
    </row>
    <row r="381" spans="1:23" s="89" customFormat="1" ht="12">
      <c r="A381" s="132">
        <v>3000</v>
      </c>
      <c r="B381" s="101" t="s">
        <v>111</v>
      </c>
      <c r="C381" s="106">
        <f>'01-3'!C127+'02-3'!C127+'03-3'!C127+'04-3'!C127+'05-3'!C127+'08-3'!C127+'09-3'!C127+'10-3'!C127+'11-3'!C127+'12-3'!C127+'13-3'!C127+'14-3'!C127+'15-3'!C127+'16-3'!C127+'17-3'!C127+'18-3'!C127+'19-3'!C127+'21-3'!C127+'22-3'!C127+'24-3'!C127+'25-3'!C127+'28-3'!C127+'29-3'!C127+'30-3'!C127+'32-3'!C127+'35-3'!C127+'37-3'!C127+'47-3'!C127+'62-3'!C127+'64-3'!C127+'74-3'!C127</f>
        <v>518771168</v>
      </c>
      <c r="D381" s="106">
        <f>'01-3'!D127+'02-3'!D127+'03-3'!D127+'04-3'!D127+'05-3'!D127+'08-3'!D127+'09-3'!D127+'10-3'!D127+'11-3'!D127+'12-3'!D127+'13-3'!D127+'14-3'!D127+'15-3'!D127+'16-3'!D127+'17-3'!D127+'18-3'!D127+'19-3'!D127+'21-3'!D127+'22-3'!D127+'24-3'!D127+'25-3'!D127+'28-3'!D127+'29-3'!D127+'30-3'!D127+'32-3'!D127+'35-3'!D127+'37-3'!D127+'47-3'!D127+'62-3'!D127+'64-3'!D127+'74-3'!D127</f>
        <v>509494600</v>
      </c>
      <c r="E381" s="106">
        <f>'01-3'!E127+'02-3'!E127+'03-3'!E127+'04-3'!E127+'05-3'!E127+'08-3'!E127+'09-3'!E127+'10-3'!E127+'11-3'!E127+'12-3'!E127+'13-3'!E127+'14-3'!E127+'15-3'!E127+'16-3'!E127+'17-3'!E127+'18-3'!E127+'19-3'!E127+'21-3'!E127+'22-3'!E127+'24-3'!E127+'25-3'!E127+'28-3'!E127+'29-3'!E127+'30-3'!E127+'32-3'!E127+'35-3'!E127+'37-3'!E127+'47-3'!E127+'62-3'!E127+'64-3'!E127+'74-3'!E127</f>
        <v>2342457</v>
      </c>
      <c r="F381" s="106">
        <f>'01-3'!F127+'02-3'!F127+'03-3'!F127+'04-3'!F127+'05-3'!F127+'08-3'!F127+'09-3'!F127+'10-3'!F127+'11-3'!F127+'12-3'!F127+'13-3'!F127+'14-3'!F127+'15-3'!F127+'16-3'!F127+'17-3'!F127+'18-3'!F127+'19-3'!F127+'21-3'!F127+'22-3'!F127+'24-3'!F127+'25-3'!F127+'28-3'!F127+'29-3'!F127+'30-3'!F127+'32-3'!F127+'35-3'!F127+'37-3'!F127+'47-3'!F127+'62-3'!F127+'64-3'!F127+'74-3'!F127</f>
        <v>4105171</v>
      </c>
      <c r="G381" s="106">
        <f>'01-3'!G127+'02-3'!G127+'03-3'!G127+'04-3'!G127+'05-3'!G127+'08-3'!G127+'09-3'!G127+'10-3'!G127+'11-3'!G127+'12-3'!G127+'13-3'!G127+'14-3'!G127+'15-3'!G127+'16-3'!G127+'17-3'!G127+'18-3'!G127+'19-3'!G127+'21-3'!G127+'22-3'!G127+'24-3'!G127+'25-3'!G127+'28-3'!G127+'29-3'!G127+'30-3'!G127+'32-3'!G127+'35-3'!G127+'37-3'!G127+'47-3'!G127+'62-3'!G127+'64-3'!G127+'74-3'!G127</f>
        <v>62444746</v>
      </c>
      <c r="H381" s="106">
        <f>'01-3'!H127+'02-3'!H127+'03-3'!H127+'04-3'!H127+'05-3'!H127+'08-3'!H127+'09-3'!H127+'10-3'!H127+'11-3'!H127+'12-3'!H127+'13-3'!H127+'14-3'!H127+'15-3'!H127+'16-3'!H127+'17-3'!H127+'18-3'!H127+'19-3'!H127+'21-3'!H127+'22-3'!H127+'24-3'!H127+'25-3'!H127+'28-3'!H127+'29-3'!H127+'30-3'!H127+'32-3'!H127+'35-3'!H127+'37-3'!H127+'47-3'!H127+'62-3'!H127+'64-3'!H127+'74-3'!H127</f>
        <v>578386974</v>
      </c>
      <c r="I381" s="106">
        <f>'01-3'!I127+'02-3'!I127+'03-3'!I127+'04-3'!I127+'05-3'!I127+'08-3'!I127+'09-3'!I127+'10-3'!I127+'11-3'!I127+'12-3'!I127+'13-3'!I127+'14-3'!I127+'15-3'!I127+'16-3'!I127+'17-3'!I127+'18-3'!I127+'19-3'!I127+'21-3'!I127+'22-3'!I127+'24-3'!I127+'25-3'!I127+'28-3'!I127+'29-3'!I127+'30-3'!I127+'32-3'!I127+'35-3'!I127+'37-3'!I127+'47-3'!I127+'62-3'!I127+'64-3'!I127+'74-3'!I127</f>
        <v>486858335</v>
      </c>
      <c r="J381" s="106">
        <f>'01-3'!J127+'02-3'!J127+'03-3'!J127+'04-3'!J127+'05-3'!J127+'08-3'!J127+'09-3'!J127+'10-3'!J127+'11-3'!J127+'12-3'!J127+'13-3'!J127+'14-3'!J127+'15-3'!J127+'16-3'!J127+'17-3'!J127+'18-3'!J127+'19-3'!J127+'21-3'!J127+'22-3'!J127+'24-3'!J127+'25-3'!J127+'28-3'!J127+'29-3'!J127+'30-3'!J127+'32-3'!J127+'35-3'!J127+'37-3'!J127+'47-3'!J127+'62-3'!J127+'64-3'!J127+'74-3'!J127</f>
        <v>8736655</v>
      </c>
      <c r="K381" s="106">
        <f>'01-3'!K127+'02-3'!K127+'03-3'!K127+'04-3'!K127+'05-3'!K127+'08-3'!K127+'09-3'!K127+'10-3'!K127+'11-3'!K127+'12-3'!K127+'13-3'!K127+'14-3'!K127+'15-3'!K127+'16-3'!K127+'17-3'!K127+'18-3'!K127+'19-3'!K127+'21-3'!K127+'22-3'!K127+'24-3'!K127+'25-3'!K127+'28-3'!K127+'29-3'!K127+'30-3'!K127+'32-3'!K127+'35-3'!K127+'37-3'!K127+'47-3'!K127+'62-3'!K127+'64-3'!K127+'74-3'!K127</f>
        <v>31808715</v>
      </c>
      <c r="L381" s="106">
        <f>'01-3'!L127+'02-3'!L127+'03-3'!L127+'04-3'!L127+'05-3'!L127+'08-3'!L127+'09-3'!L127+'10-3'!L127+'11-3'!L127+'12-3'!L127+'13-3'!L127+'14-3'!L127+'15-3'!L127+'16-3'!L127+'17-3'!L127+'18-3'!L127+'19-3'!L127+'21-3'!L127+'22-3'!L127+'24-3'!L127+'25-3'!L127+'28-3'!L127+'29-3'!L127+'30-3'!L127+'32-3'!L127+'35-3'!L127+'37-3'!L127+'47-3'!L127+'62-3'!L127+'64-3'!L127+'74-3'!L127</f>
        <v>76388502</v>
      </c>
      <c r="M381" s="106">
        <f>'01-3'!M127+'02-3'!M127+'03-3'!M127+'04-3'!M127+'05-3'!M127+'08-3'!M127+'09-3'!M127+'10-3'!M127+'11-3'!M127+'12-3'!M127+'13-3'!M127+'14-3'!M127+'15-3'!M127+'16-3'!M127+'17-3'!M127+'18-3'!M127+'19-3'!M127+'21-3'!M127+'22-3'!M127+'24-3'!M127+'25-3'!M127+'28-3'!M127+'29-3'!M127+'30-3'!M127+'32-3'!M127+'35-3'!M127+'37-3'!M127+'47-3'!M127+'62-3'!M127+'64-3'!M127+'74-3'!M127</f>
        <v>603792207</v>
      </c>
      <c r="N381" s="106">
        <f>'01-3'!N127+'02-3'!N127+'03-3'!N127+'04-3'!N127+'05-3'!N127+'08-3'!N127+'09-3'!N127+'10-3'!N127+'11-3'!N127+'12-3'!N127+'13-3'!N127+'14-3'!N127+'15-3'!N127+'16-3'!N127+'17-3'!N127+'18-3'!N127+'19-3'!N127+'21-3'!N127+'22-3'!N127+'24-3'!N127+'25-3'!N127+'28-3'!N127+'29-3'!N127+'30-3'!N127+'32-3'!N127+'35-3'!N127+'37-3'!N127+'47-3'!N127+'62-3'!N127+'64-3'!N127+'74-3'!N127</f>
        <v>474355107</v>
      </c>
      <c r="O381" s="106">
        <f>'01-3'!O127+'02-3'!O127+'03-3'!O127+'04-3'!O127+'05-3'!O127+'08-3'!O127+'09-3'!O127+'10-3'!O127+'11-3'!O127+'12-3'!O127+'13-3'!O127+'14-3'!O127+'15-3'!O127+'16-3'!O127+'17-3'!O127+'18-3'!O127+'19-3'!O127+'21-3'!O127+'22-3'!O127+'24-3'!O127+'25-3'!O127+'28-3'!O127+'29-3'!O127+'30-3'!O127+'32-3'!O127+'35-3'!O127+'37-3'!O127+'47-3'!O127+'62-3'!O127+'64-3'!O127+'74-3'!O127</f>
        <v>195635</v>
      </c>
      <c r="P381" s="106">
        <f>'01-3'!P127+'02-3'!P127+'03-3'!P127+'04-3'!P127+'05-3'!P127+'08-3'!P127+'09-3'!P127+'10-3'!P127+'11-3'!P127+'12-3'!P127+'13-3'!P127+'14-3'!P127+'15-3'!P127+'16-3'!P127+'17-3'!P127+'18-3'!P127+'19-3'!P127+'21-3'!P127+'22-3'!P127+'24-3'!P127+'25-3'!P127+'28-3'!P127+'29-3'!P127+'30-3'!P127+'32-3'!P127+'35-3'!P127+'37-3'!P127+'47-3'!P127+'62-3'!P127+'64-3'!P127+'74-3'!P127</f>
        <v>38431528</v>
      </c>
      <c r="Q381" s="106">
        <f>'01-3'!Q127+'02-3'!Q127+'03-3'!Q127+'04-3'!Q127+'05-3'!Q127+'08-3'!Q127+'09-3'!Q127+'10-3'!Q127+'11-3'!Q127+'12-3'!Q127+'13-3'!Q127+'14-3'!Q127+'15-3'!Q127+'16-3'!Q127+'17-3'!Q127+'18-3'!Q127+'19-3'!Q127+'21-3'!Q127+'22-3'!Q127+'24-3'!Q127+'25-3'!Q127+'28-3'!Q127+'29-3'!Q127+'30-3'!Q127+'32-3'!Q127+'35-3'!Q127+'37-3'!Q127+'47-3'!Q127+'62-3'!Q127+'64-3'!Q127+'74-3'!Q127</f>
        <v>72521376</v>
      </c>
      <c r="R381" s="106">
        <f>'01-3'!R127+'02-3'!R127+'03-3'!R127+'04-3'!R127+'05-3'!R127+'08-3'!R127+'09-3'!R127+'10-3'!R127+'11-3'!R127+'12-3'!R127+'13-3'!R127+'14-3'!R127+'15-3'!R127+'16-3'!R127+'17-3'!R127+'18-3'!R127+'19-3'!R127+'21-3'!R127+'22-3'!R127+'24-3'!R127+'25-3'!R127+'28-3'!R127+'29-3'!R127+'30-3'!R127+'32-3'!R127+'35-3'!R127+'37-3'!R127+'47-3'!R127+'62-3'!R127+'64-3'!R127+'74-3'!R127</f>
        <v>585503646</v>
      </c>
      <c r="S381" s="499"/>
      <c r="T381" s="499"/>
      <c r="U381" s="499"/>
      <c r="V381" s="499"/>
      <c r="W381" s="499"/>
    </row>
    <row r="382" spans="1:23" s="89" customFormat="1" ht="12">
      <c r="A382" s="132">
        <v>6000</v>
      </c>
      <c r="B382" s="101" t="s">
        <v>112</v>
      </c>
      <c r="C382" s="106">
        <f>'01-3'!C128+'02-3'!C128+'03-3'!C128+'04-3'!C128+'05-3'!C128+'08-3'!C128+'09-3'!C128+'10-3'!C128+'11-3'!C128+'12-3'!C128+'13-3'!C128+'14-3'!C128+'15-3'!C128+'16-3'!C128+'17-3'!C128+'18-3'!C128+'19-3'!C128+'21-3'!C128+'22-3'!C128+'24-3'!C128+'25-3'!C128+'28-3'!C128+'29-3'!C128+'30-3'!C128+'32-3'!C128+'35-3'!C128+'37-3'!C128+'47-3'!C128+'62-3'!C128+'64-3'!C128+'74-3'!C128</f>
        <v>131680274</v>
      </c>
      <c r="D382" s="106">
        <f>'01-3'!D128+'02-3'!D128+'03-3'!D128+'04-3'!D128+'05-3'!D128+'08-3'!D128+'09-3'!D128+'10-3'!D128+'11-3'!D128+'12-3'!D128+'13-3'!D128+'14-3'!D128+'15-3'!D128+'16-3'!D128+'17-3'!D128+'18-3'!D128+'19-3'!D128+'21-3'!D128+'22-3'!D128+'24-3'!D128+'25-3'!D128+'28-3'!D128+'29-3'!D128+'30-3'!D128+'32-3'!D128+'35-3'!D128+'37-3'!D128+'47-3'!D128+'62-3'!D128+'64-3'!D128+'74-3'!D128</f>
        <v>134226148</v>
      </c>
      <c r="E382" s="106">
        <f>'01-3'!E128+'02-3'!E128+'03-3'!E128+'04-3'!E128+'05-3'!E128+'08-3'!E128+'09-3'!E128+'10-3'!E128+'11-3'!E128+'12-3'!E128+'13-3'!E128+'14-3'!E128+'15-3'!E128+'16-3'!E128+'17-3'!E128+'18-3'!E128+'19-3'!E128+'21-3'!E128+'22-3'!E128+'24-3'!E128+'25-3'!E128+'28-3'!E128+'29-3'!E128+'30-3'!E128+'32-3'!E128+'35-3'!E128+'37-3'!E128+'47-3'!E128+'62-3'!E128+'64-3'!E128+'74-3'!E128</f>
        <v>727894</v>
      </c>
      <c r="F382" s="106">
        <f>'01-3'!F128+'02-3'!F128+'03-3'!F128+'04-3'!F128+'05-3'!F128+'08-3'!F128+'09-3'!F128+'10-3'!F128+'11-3'!F128+'12-3'!F128+'13-3'!F128+'14-3'!F128+'15-3'!F128+'16-3'!F128+'17-3'!F128+'18-3'!F128+'19-3'!F128+'21-3'!F128+'22-3'!F128+'24-3'!F128+'25-3'!F128+'28-3'!F128+'29-3'!F128+'30-3'!F128+'32-3'!F128+'35-3'!F128+'37-3'!F128+'47-3'!F128+'62-3'!F128+'64-3'!F128+'74-3'!F128</f>
        <v>686726</v>
      </c>
      <c r="G382" s="106">
        <f>'01-3'!G128+'02-3'!G128+'03-3'!G128+'04-3'!G128+'05-3'!G128+'08-3'!G128+'09-3'!G128+'10-3'!G128+'11-3'!G128+'12-3'!G128+'13-3'!G128+'14-3'!G128+'15-3'!G128+'16-3'!G128+'17-3'!G128+'18-3'!G128+'19-3'!G128+'21-3'!G128+'22-3'!G128+'24-3'!G128+'25-3'!G128+'28-3'!G128+'29-3'!G128+'30-3'!G128+'32-3'!G128+'35-3'!G128+'37-3'!G128+'47-3'!G128+'62-3'!G128+'64-3'!G128+'74-3'!G128</f>
        <v>1173335</v>
      </c>
      <c r="H382" s="106">
        <f>'01-3'!H128+'02-3'!H128+'03-3'!H128+'04-3'!H128+'05-3'!H128+'08-3'!H128+'09-3'!H128+'10-3'!H128+'11-3'!H128+'12-3'!H128+'13-3'!H128+'14-3'!H128+'15-3'!H128+'16-3'!H128+'17-3'!H128+'18-3'!H128+'19-3'!H128+'21-3'!H128+'22-3'!H128+'24-3'!H128+'25-3'!H128+'28-3'!H128+'29-3'!H128+'30-3'!H128+'32-3'!H128+'35-3'!H128+'37-3'!H128+'47-3'!H128+'62-3'!H128+'64-3'!H128+'74-3'!H128</f>
        <v>136814103</v>
      </c>
      <c r="I382" s="106">
        <f>'01-3'!I128+'02-3'!I128+'03-3'!I128+'04-3'!I128+'05-3'!I128+'08-3'!I128+'09-3'!I128+'10-3'!I128+'11-3'!I128+'12-3'!I128+'13-3'!I128+'14-3'!I128+'15-3'!I128+'16-3'!I128+'17-3'!I128+'18-3'!I128+'19-3'!I128+'21-3'!I128+'22-3'!I128+'24-3'!I128+'25-3'!I128+'28-3'!I128+'29-3'!I128+'30-3'!I128+'32-3'!I128+'35-3'!I128+'37-3'!I128+'47-3'!I128+'62-3'!I128+'64-3'!I128+'74-3'!I128</f>
        <v>267706888</v>
      </c>
      <c r="J382" s="106">
        <f>'01-3'!J128+'02-3'!J128+'03-3'!J128+'04-3'!J128+'05-3'!J128+'08-3'!J128+'09-3'!J128+'10-3'!J128+'11-3'!J128+'12-3'!J128+'13-3'!J128+'14-3'!J128+'15-3'!J128+'16-3'!J128+'17-3'!J128+'18-3'!J128+'19-3'!J128+'21-3'!J128+'22-3'!J128+'24-3'!J128+'25-3'!J128+'28-3'!J128+'29-3'!J128+'30-3'!J128+'32-3'!J128+'35-3'!J128+'37-3'!J128+'47-3'!J128+'62-3'!J128+'64-3'!J128+'74-3'!J128</f>
        <v>-129437728</v>
      </c>
      <c r="K382" s="106">
        <f>'01-3'!K128+'02-3'!K128+'03-3'!K128+'04-3'!K128+'05-3'!K128+'08-3'!K128+'09-3'!K128+'10-3'!K128+'11-3'!K128+'12-3'!K128+'13-3'!K128+'14-3'!K128+'15-3'!K128+'16-3'!K128+'17-3'!K128+'18-3'!K128+'19-3'!K128+'21-3'!K128+'22-3'!K128+'24-3'!K128+'25-3'!K128+'28-3'!K128+'29-3'!K128+'30-3'!K128+'32-3'!K128+'35-3'!K128+'37-3'!K128+'47-3'!K128+'62-3'!K128+'64-3'!K128+'74-3'!K128</f>
        <v>1687540</v>
      </c>
      <c r="L382" s="106">
        <f>'01-3'!L128+'02-3'!L128+'03-3'!L128+'04-3'!L128+'05-3'!L128+'08-3'!L128+'09-3'!L128+'10-3'!L128+'11-3'!L128+'12-3'!L128+'13-3'!L128+'14-3'!L128+'15-3'!L128+'16-3'!L128+'17-3'!L128+'18-3'!L128+'19-3'!L128+'21-3'!L128+'22-3'!L128+'24-3'!L128+'25-3'!L128+'28-3'!L128+'29-3'!L128+'30-3'!L128+'32-3'!L128+'35-3'!L128+'37-3'!L128+'47-3'!L128+'62-3'!L128+'64-3'!L128+'74-3'!L128</f>
        <v>4579351</v>
      </c>
      <c r="M382" s="106">
        <f>'01-3'!M128+'02-3'!M128+'03-3'!M128+'04-3'!M128+'05-3'!M128+'08-3'!M128+'09-3'!M128+'10-3'!M128+'11-3'!M128+'12-3'!M128+'13-3'!M128+'14-3'!M128+'15-3'!M128+'16-3'!M128+'17-3'!M128+'18-3'!M128+'19-3'!M128+'21-3'!M128+'22-3'!M128+'24-3'!M128+'25-3'!M128+'28-3'!M128+'29-3'!M128+'30-3'!M128+'32-3'!M128+'35-3'!M128+'37-3'!M128+'47-3'!M128+'62-3'!M128+'64-3'!M128+'74-3'!M128</f>
        <v>144536051</v>
      </c>
      <c r="N382" s="106">
        <f>'01-3'!N128+'02-3'!N128+'03-3'!N128+'04-3'!N128+'05-3'!N128+'08-3'!N128+'09-3'!N128+'10-3'!N128+'11-3'!N128+'12-3'!N128+'13-3'!N128+'14-3'!N128+'15-3'!N128+'16-3'!N128+'17-3'!N128+'18-3'!N128+'19-3'!N128+'21-3'!N128+'22-3'!N128+'24-3'!N128+'25-3'!N128+'28-3'!N128+'29-3'!N128+'30-3'!N128+'32-3'!N128+'35-3'!N128+'37-3'!N128+'47-3'!N128+'62-3'!N128+'64-3'!N128+'74-3'!N128</f>
        <v>267487623</v>
      </c>
      <c r="O382" s="106">
        <f>'01-3'!O128+'02-3'!O128+'03-3'!O128+'04-3'!O128+'05-3'!O128+'08-3'!O128+'09-3'!O128+'10-3'!O128+'11-3'!O128+'12-3'!O128+'13-3'!O128+'14-3'!O128+'15-3'!O128+'16-3'!O128+'17-3'!O128+'18-3'!O128+'19-3'!O128+'21-3'!O128+'22-3'!O128+'24-3'!O128+'25-3'!O128+'28-3'!O128+'29-3'!O128+'30-3'!O128+'32-3'!O128+'35-3'!O128+'37-3'!O128+'47-3'!O128+'62-3'!O128+'64-3'!O128+'74-3'!O128</f>
        <v>-124951138</v>
      </c>
      <c r="P382" s="106">
        <f>'01-3'!P128+'02-3'!P128+'03-3'!P128+'04-3'!P128+'05-3'!P128+'08-3'!P128+'09-3'!P128+'10-3'!P128+'11-3'!P128+'12-3'!P128+'13-3'!P128+'14-3'!P128+'15-3'!P128+'16-3'!P128+'17-3'!P128+'18-3'!P128+'19-3'!P128+'21-3'!P128+'22-3'!P128+'24-3'!P128+'25-3'!P128+'28-3'!P128+'29-3'!P128+'30-3'!P128+'32-3'!P128+'35-3'!P128+'37-3'!P128+'47-3'!P128+'62-3'!P128+'64-3'!P128+'74-3'!P128</f>
        <v>19837192</v>
      </c>
      <c r="Q382" s="106">
        <f>'01-3'!Q128+'02-3'!Q128+'03-3'!Q128+'04-3'!Q128+'05-3'!Q128+'08-3'!Q128+'09-3'!Q128+'10-3'!Q128+'11-3'!Q128+'12-3'!Q128+'13-3'!Q128+'14-3'!Q128+'15-3'!Q128+'16-3'!Q128+'17-3'!Q128+'18-3'!Q128+'19-3'!Q128+'21-3'!Q128+'22-3'!Q128+'24-3'!Q128+'25-3'!Q128+'28-3'!Q128+'29-3'!Q128+'30-3'!Q128+'32-3'!Q128+'35-3'!Q128+'37-3'!Q128+'47-3'!Q128+'62-3'!Q128+'64-3'!Q128+'74-3'!Q128</f>
        <v>6924470</v>
      </c>
      <c r="R382" s="106">
        <f>'01-3'!R128+'02-3'!R128+'03-3'!R128+'04-3'!R128+'05-3'!R128+'08-3'!R128+'09-3'!R128+'10-3'!R128+'11-3'!R128+'12-3'!R128+'13-3'!R128+'14-3'!R128+'15-3'!R128+'16-3'!R128+'17-3'!R128+'18-3'!R128+'19-3'!R128+'21-3'!R128+'22-3'!R128+'24-3'!R128+'25-3'!R128+'28-3'!R128+'29-3'!R128+'30-3'!R128+'32-3'!R128+'35-3'!R128+'37-3'!R128+'47-3'!R128+'62-3'!R128+'64-3'!R128+'74-3'!R128</f>
        <v>169298147</v>
      </c>
      <c r="S382" s="499"/>
      <c r="T382" s="499"/>
      <c r="U382" s="499"/>
      <c r="V382" s="499"/>
      <c r="W382" s="499"/>
    </row>
    <row r="383" spans="1:23" s="89" customFormat="1" ht="22.8">
      <c r="A383" s="140" t="s">
        <v>113</v>
      </c>
      <c r="B383" s="100" t="s">
        <v>183</v>
      </c>
      <c r="C383" s="106">
        <f>'01-3'!C129+'02-3'!C129+'03-3'!C129+'04-3'!C129+'05-3'!C129+'08-3'!C129+'09-3'!C129+'10-3'!C129+'11-3'!C129+'12-3'!C129+'13-3'!C129+'14-3'!C129+'15-3'!C129+'16-3'!C129+'17-3'!C129+'18-3'!C129+'19-3'!C129+'21-3'!C129+'22-3'!C129+'24-3'!C129+'25-3'!C129+'28-3'!C129+'29-3'!C129+'30-3'!C129+'32-3'!C129+'35-3'!C129+'37-3'!C129+'47-3'!C129+'62-3'!C129+'64-3'!C129+'74-3'!C129</f>
        <v>151769171</v>
      </c>
      <c r="D383" s="106">
        <f>'01-3'!D129+'02-3'!D129+'03-3'!D129+'04-3'!D129+'05-3'!D129+'08-3'!D129+'09-3'!D129+'10-3'!D129+'11-3'!D129+'12-3'!D129+'13-3'!D129+'14-3'!D129+'15-3'!D129+'16-3'!D129+'17-3'!D129+'18-3'!D129+'19-3'!D129+'21-3'!D129+'22-3'!D129+'24-3'!D129+'25-3'!D129+'28-3'!D129+'29-3'!D129+'30-3'!D129+'32-3'!D129+'35-3'!D129+'37-3'!D129+'47-3'!D129+'62-3'!D129+'64-3'!D129+'74-3'!D129</f>
        <v>162193378</v>
      </c>
      <c r="E383" s="106">
        <f>'01-3'!E129+'02-3'!E129+'03-3'!E129+'04-3'!E129+'05-3'!E129+'08-3'!E129+'09-3'!E129+'10-3'!E129+'11-3'!E129+'12-3'!E129+'13-3'!E129+'14-3'!E129+'15-3'!E129+'16-3'!E129+'17-3'!E129+'18-3'!E129+'19-3'!E129+'21-3'!E129+'22-3'!E129+'24-3'!E129+'25-3'!E129+'28-3'!E129+'29-3'!E129+'30-3'!E129+'32-3'!E129+'35-3'!E129+'37-3'!E129+'47-3'!E129+'62-3'!E129+'64-3'!E129+'74-3'!E129</f>
        <v>0</v>
      </c>
      <c r="F383" s="106">
        <f>'01-3'!F129+'02-3'!F129+'03-3'!F129+'04-3'!F129+'05-3'!F129+'08-3'!F129+'09-3'!F129+'10-3'!F129+'11-3'!F129+'12-3'!F129+'13-3'!F129+'14-3'!F129+'15-3'!F129+'16-3'!F129+'17-3'!F129+'18-3'!F129+'19-3'!F129+'21-3'!F129+'22-3'!F129+'24-3'!F129+'25-3'!F129+'28-3'!F129+'29-3'!F129+'30-3'!F129+'32-3'!F129+'35-3'!F129+'37-3'!F129+'47-3'!F129+'62-3'!F129+'64-3'!F129+'74-3'!F129</f>
        <v>8701492</v>
      </c>
      <c r="G383" s="106">
        <f>'01-3'!G129+'02-3'!G129+'03-3'!G129+'04-3'!G129+'05-3'!G129+'08-3'!G129+'09-3'!G129+'10-3'!G129+'11-3'!G129+'12-3'!G129+'13-3'!G129+'14-3'!G129+'15-3'!G129+'16-3'!G129+'17-3'!G129+'18-3'!G129+'19-3'!G129+'21-3'!G129+'22-3'!G129+'24-3'!G129+'25-3'!G129+'28-3'!G129+'29-3'!G129+'30-3'!G129+'32-3'!G129+'35-3'!G129+'37-3'!G129+'47-3'!G129+'62-3'!G129+'64-3'!G129+'74-3'!G129</f>
        <v>24163</v>
      </c>
      <c r="H383" s="106">
        <f>'01-3'!H129+'02-3'!H129+'03-3'!H129+'04-3'!H129+'05-3'!H129+'08-3'!H129+'09-3'!H129+'10-3'!H129+'11-3'!H129+'12-3'!H129+'13-3'!H129+'14-3'!H129+'15-3'!H129+'16-3'!H129+'17-3'!H129+'18-3'!H129+'19-3'!H129+'21-3'!H129+'22-3'!H129+'24-3'!H129+'25-3'!H129+'28-3'!H129+'29-3'!H129+'30-3'!H129+'32-3'!H129+'35-3'!H129+'37-3'!H129+'47-3'!H129+'62-3'!H129+'64-3'!H129+'74-3'!H129</f>
        <v>170919033</v>
      </c>
      <c r="I383" s="106">
        <f>'01-3'!I129+'02-3'!I129+'03-3'!I129+'04-3'!I129+'05-3'!I129+'08-3'!I129+'09-3'!I129+'10-3'!I129+'11-3'!I129+'12-3'!I129+'13-3'!I129+'14-3'!I129+'15-3'!I129+'16-3'!I129+'17-3'!I129+'18-3'!I129+'19-3'!I129+'21-3'!I129+'22-3'!I129+'24-3'!I129+'25-3'!I129+'28-3'!I129+'29-3'!I129+'30-3'!I129+'32-3'!I129+'35-3'!I129+'37-3'!I129+'47-3'!I129+'62-3'!I129+'64-3'!I129+'74-3'!I129</f>
        <v>170236689</v>
      </c>
      <c r="J383" s="106">
        <f>'01-3'!J129+'02-3'!J129+'03-3'!J129+'04-3'!J129+'05-3'!J129+'08-3'!J129+'09-3'!J129+'10-3'!J129+'11-3'!J129+'12-3'!J129+'13-3'!J129+'14-3'!J129+'15-3'!J129+'16-3'!J129+'17-3'!J129+'18-3'!J129+'19-3'!J129+'21-3'!J129+'22-3'!J129+'24-3'!J129+'25-3'!J129+'28-3'!J129+'29-3'!J129+'30-3'!J129+'32-3'!J129+'35-3'!J129+'37-3'!J129+'47-3'!J129+'62-3'!J129+'64-3'!J129+'74-3'!J129</f>
        <v>0</v>
      </c>
      <c r="K383" s="106">
        <f>'01-3'!K129+'02-3'!K129+'03-3'!K129+'04-3'!K129+'05-3'!K129+'08-3'!K129+'09-3'!K129+'10-3'!K129+'11-3'!K129+'12-3'!K129+'13-3'!K129+'14-3'!K129+'15-3'!K129+'16-3'!K129+'17-3'!K129+'18-3'!K129+'19-3'!K129+'21-3'!K129+'22-3'!K129+'24-3'!K129+'25-3'!K129+'28-3'!K129+'29-3'!K129+'30-3'!K129+'32-3'!K129+'35-3'!K129+'37-3'!K129+'47-3'!K129+'62-3'!K129+'64-3'!K129+'74-3'!K129</f>
        <v>9991492</v>
      </c>
      <c r="L383" s="106">
        <f>'01-3'!L129+'02-3'!L129+'03-3'!L129+'04-3'!L129+'05-3'!L129+'08-3'!L129+'09-3'!L129+'10-3'!L129+'11-3'!L129+'12-3'!L129+'13-3'!L129+'14-3'!L129+'15-3'!L129+'16-3'!L129+'17-3'!L129+'18-3'!L129+'19-3'!L129+'21-3'!L129+'22-3'!L129+'24-3'!L129+'25-3'!L129+'28-3'!L129+'29-3'!L129+'30-3'!L129+'32-3'!L129+'35-3'!L129+'37-3'!L129+'47-3'!L129+'62-3'!L129+'64-3'!L129+'74-3'!L129</f>
        <v>24163</v>
      </c>
      <c r="M383" s="106">
        <f>'01-3'!M129+'02-3'!M129+'03-3'!M129+'04-3'!M129+'05-3'!M129+'08-3'!M129+'09-3'!M129+'10-3'!M129+'11-3'!M129+'12-3'!M129+'13-3'!M129+'14-3'!M129+'15-3'!M129+'16-3'!M129+'17-3'!M129+'18-3'!M129+'19-3'!M129+'21-3'!M129+'22-3'!M129+'24-3'!M129+'25-3'!M129+'28-3'!M129+'29-3'!M129+'30-3'!M129+'32-3'!M129+'35-3'!M129+'37-3'!M129+'47-3'!M129+'62-3'!M129+'64-3'!M129+'74-3'!M129</f>
        <v>180252344</v>
      </c>
      <c r="N383" s="106">
        <f>'01-3'!N129+'02-3'!N129+'03-3'!N129+'04-3'!N129+'05-3'!N129+'08-3'!N129+'09-3'!N129+'10-3'!N129+'11-3'!N129+'12-3'!N129+'13-3'!N129+'14-3'!N129+'15-3'!N129+'16-3'!N129+'17-3'!N129+'18-3'!N129+'19-3'!N129+'21-3'!N129+'22-3'!N129+'24-3'!N129+'25-3'!N129+'28-3'!N129+'29-3'!N129+'30-3'!N129+'32-3'!N129+'35-3'!N129+'37-3'!N129+'47-3'!N129+'62-3'!N129+'64-3'!N129+'74-3'!N129</f>
        <v>179251617</v>
      </c>
      <c r="O383" s="106">
        <f>'01-3'!O129+'02-3'!O129+'03-3'!O129+'04-3'!O129+'05-3'!O129+'08-3'!O129+'09-3'!O129+'10-3'!O129+'11-3'!O129+'12-3'!O129+'13-3'!O129+'14-3'!O129+'15-3'!O129+'16-3'!O129+'17-3'!O129+'18-3'!O129+'19-3'!O129+'21-3'!O129+'22-3'!O129+'24-3'!O129+'25-3'!O129+'28-3'!O129+'29-3'!O129+'30-3'!O129+'32-3'!O129+'35-3'!O129+'37-3'!O129+'47-3'!O129+'62-3'!O129+'64-3'!O129+'74-3'!O129</f>
        <v>0</v>
      </c>
      <c r="P383" s="106">
        <f>'01-3'!P129+'02-3'!P129+'03-3'!P129+'04-3'!P129+'05-3'!P129+'08-3'!P129+'09-3'!P129+'10-3'!P129+'11-3'!P129+'12-3'!P129+'13-3'!P129+'14-3'!P129+'15-3'!P129+'16-3'!P129+'17-3'!P129+'18-3'!P129+'19-3'!P129+'21-3'!P129+'22-3'!P129+'24-3'!P129+'25-3'!P129+'28-3'!P129+'29-3'!P129+'30-3'!P129+'32-3'!P129+'35-3'!P129+'37-3'!P129+'47-3'!P129+'62-3'!P129+'64-3'!P129+'74-3'!P129</f>
        <v>5001492</v>
      </c>
      <c r="Q383" s="106">
        <f>'01-3'!Q129+'02-3'!Q129+'03-3'!Q129+'04-3'!Q129+'05-3'!Q129+'08-3'!Q129+'09-3'!Q129+'10-3'!Q129+'11-3'!Q129+'12-3'!Q129+'13-3'!Q129+'14-3'!Q129+'15-3'!Q129+'16-3'!Q129+'17-3'!Q129+'18-3'!Q129+'19-3'!Q129+'21-3'!Q129+'22-3'!Q129+'24-3'!Q129+'25-3'!Q129+'28-3'!Q129+'29-3'!Q129+'30-3'!Q129+'32-3'!Q129+'35-3'!Q129+'37-3'!Q129+'47-3'!Q129+'62-3'!Q129+'64-3'!Q129+'74-3'!Q129</f>
        <v>24163</v>
      </c>
      <c r="R383" s="106">
        <f>'01-3'!R129+'02-3'!R129+'03-3'!R129+'04-3'!R129+'05-3'!R129+'08-3'!R129+'09-3'!R129+'10-3'!R129+'11-3'!R129+'12-3'!R129+'13-3'!R129+'14-3'!R129+'15-3'!R129+'16-3'!R129+'17-3'!R129+'18-3'!R129+'19-3'!R129+'21-3'!R129+'22-3'!R129+'24-3'!R129+'25-3'!R129+'28-3'!R129+'29-3'!R129+'30-3'!R129+'32-3'!R129+'35-3'!R129+'37-3'!R129+'47-3'!R129+'62-3'!R129+'64-3'!R129+'74-3'!R129</f>
        <v>184277272</v>
      </c>
      <c r="S383" s="499"/>
      <c r="T383" s="499"/>
      <c r="U383" s="499"/>
      <c r="V383" s="499"/>
      <c r="W383" s="499"/>
    </row>
    <row r="384" spans="1:23" s="89" customFormat="1" ht="12">
      <c r="A384" s="132">
        <v>7600</v>
      </c>
      <c r="B384" s="112" t="s">
        <v>184</v>
      </c>
      <c r="C384" s="106">
        <f>'01-3'!C130+'02-3'!C130+'03-3'!C130+'04-3'!C130+'05-3'!C130+'08-3'!C130+'09-3'!C130+'10-3'!C130+'11-3'!C130+'12-3'!C130+'13-3'!C130+'14-3'!C130+'15-3'!C130+'16-3'!C130+'17-3'!C130+'18-3'!C130+'19-3'!C130+'21-3'!C130+'22-3'!C130+'24-3'!C130+'25-3'!C130+'28-3'!C130+'29-3'!C130+'30-3'!C130+'32-3'!C130+'35-3'!C130+'37-3'!C130+'47-3'!C130+'62-3'!C130+'64-3'!C130+'74-3'!C130</f>
        <v>138883717</v>
      </c>
      <c r="D384" s="106">
        <f>'01-3'!D130+'02-3'!D130+'03-3'!D130+'04-3'!D130+'05-3'!D130+'08-3'!D130+'09-3'!D130+'10-3'!D130+'11-3'!D130+'12-3'!D130+'13-3'!D130+'14-3'!D130+'15-3'!D130+'16-3'!D130+'17-3'!D130+'18-3'!D130+'19-3'!D130+'21-3'!D130+'22-3'!D130+'24-3'!D130+'25-3'!D130+'28-3'!D130+'29-3'!D130+'30-3'!D130+'32-3'!D130+'35-3'!D130+'37-3'!D130+'47-3'!D130+'62-3'!D130+'64-3'!D130+'74-3'!D130</f>
        <v>150000000</v>
      </c>
      <c r="E384" s="106">
        <f>'01-3'!E130+'02-3'!E130+'03-3'!E130+'04-3'!E130+'05-3'!E130+'08-3'!E130+'09-3'!E130+'10-3'!E130+'11-3'!E130+'12-3'!E130+'13-3'!E130+'14-3'!E130+'15-3'!E130+'16-3'!E130+'17-3'!E130+'18-3'!E130+'19-3'!E130+'21-3'!E130+'22-3'!E130+'24-3'!E130+'25-3'!E130+'28-3'!E130+'29-3'!E130+'30-3'!E130+'32-3'!E130+'35-3'!E130+'37-3'!E130+'47-3'!E130+'62-3'!E130+'64-3'!E130+'74-3'!E130</f>
        <v>0</v>
      </c>
      <c r="F384" s="106">
        <f>'01-3'!F130+'02-3'!F130+'03-3'!F130+'04-3'!F130+'05-3'!F130+'08-3'!F130+'09-3'!F130+'10-3'!F130+'11-3'!F130+'12-3'!F130+'13-3'!F130+'14-3'!F130+'15-3'!F130+'16-3'!F130+'17-3'!F130+'18-3'!F130+'19-3'!F130+'21-3'!F130+'22-3'!F130+'24-3'!F130+'25-3'!F130+'28-3'!F130+'29-3'!F130+'30-3'!F130+'32-3'!F130+'35-3'!F130+'37-3'!F130+'47-3'!F130+'62-3'!F130+'64-3'!F130+'74-3'!F130</f>
        <v>8700000</v>
      </c>
      <c r="G384" s="106">
        <f>'01-3'!G130+'02-3'!G130+'03-3'!G130+'04-3'!G130+'05-3'!G130+'08-3'!G130+'09-3'!G130+'10-3'!G130+'11-3'!G130+'12-3'!G130+'13-3'!G130+'14-3'!G130+'15-3'!G130+'16-3'!G130+'17-3'!G130+'18-3'!G130+'19-3'!G130+'21-3'!G130+'22-3'!G130+'24-3'!G130+'25-3'!G130+'28-3'!G130+'29-3'!G130+'30-3'!G130+'32-3'!G130+'35-3'!G130+'37-3'!G130+'47-3'!G130+'62-3'!G130+'64-3'!G130+'74-3'!G130</f>
        <v>0</v>
      </c>
      <c r="H384" s="106">
        <f>'01-3'!H130+'02-3'!H130+'03-3'!H130+'04-3'!H130+'05-3'!H130+'08-3'!H130+'09-3'!H130+'10-3'!H130+'11-3'!H130+'12-3'!H130+'13-3'!H130+'14-3'!H130+'15-3'!H130+'16-3'!H130+'17-3'!H130+'18-3'!H130+'19-3'!H130+'21-3'!H130+'22-3'!H130+'24-3'!H130+'25-3'!H130+'28-3'!H130+'29-3'!H130+'30-3'!H130+'32-3'!H130+'35-3'!H130+'37-3'!H130+'47-3'!H130+'62-3'!H130+'64-3'!H130+'74-3'!H130</f>
        <v>158700000</v>
      </c>
      <c r="I384" s="106">
        <f>'01-3'!I130+'02-3'!I130+'03-3'!I130+'04-3'!I130+'05-3'!I130+'08-3'!I130+'09-3'!I130+'10-3'!I130+'11-3'!I130+'12-3'!I130+'13-3'!I130+'14-3'!I130+'15-3'!I130+'16-3'!I130+'17-3'!I130+'18-3'!I130+'19-3'!I130+'21-3'!I130+'22-3'!I130+'24-3'!I130+'25-3'!I130+'28-3'!I130+'29-3'!I130+'30-3'!I130+'32-3'!I130+'35-3'!I130+'37-3'!I130+'47-3'!I130+'62-3'!I130+'64-3'!I130+'74-3'!I130</f>
        <v>158000000</v>
      </c>
      <c r="J384" s="106">
        <f>'01-3'!J130+'02-3'!J130+'03-3'!J130+'04-3'!J130+'05-3'!J130+'08-3'!J130+'09-3'!J130+'10-3'!J130+'11-3'!J130+'12-3'!J130+'13-3'!J130+'14-3'!J130+'15-3'!J130+'16-3'!J130+'17-3'!J130+'18-3'!J130+'19-3'!J130+'21-3'!J130+'22-3'!J130+'24-3'!J130+'25-3'!J130+'28-3'!J130+'29-3'!J130+'30-3'!J130+'32-3'!J130+'35-3'!J130+'37-3'!J130+'47-3'!J130+'62-3'!J130+'64-3'!J130+'74-3'!J130</f>
        <v>0</v>
      </c>
      <c r="K384" s="106">
        <f>'01-3'!K130+'02-3'!K130+'03-3'!K130+'04-3'!K130+'05-3'!K130+'08-3'!K130+'09-3'!K130+'10-3'!K130+'11-3'!K130+'12-3'!K130+'13-3'!K130+'14-3'!K130+'15-3'!K130+'16-3'!K130+'17-3'!K130+'18-3'!K130+'19-3'!K130+'21-3'!K130+'22-3'!K130+'24-3'!K130+'25-3'!K130+'28-3'!K130+'29-3'!K130+'30-3'!K130+'32-3'!K130+'35-3'!K130+'37-3'!K130+'47-3'!K130+'62-3'!K130+'64-3'!K130+'74-3'!K130</f>
        <v>9990000</v>
      </c>
      <c r="L384" s="106">
        <f>'01-3'!L130+'02-3'!L130+'03-3'!L130+'04-3'!L130+'05-3'!L130+'08-3'!L130+'09-3'!L130+'10-3'!L130+'11-3'!L130+'12-3'!L130+'13-3'!L130+'14-3'!L130+'15-3'!L130+'16-3'!L130+'17-3'!L130+'18-3'!L130+'19-3'!L130+'21-3'!L130+'22-3'!L130+'24-3'!L130+'25-3'!L130+'28-3'!L130+'29-3'!L130+'30-3'!L130+'32-3'!L130+'35-3'!L130+'37-3'!L130+'47-3'!L130+'62-3'!L130+'64-3'!L130+'74-3'!L130</f>
        <v>0</v>
      </c>
      <c r="M384" s="106">
        <f>'01-3'!M130+'02-3'!M130+'03-3'!M130+'04-3'!M130+'05-3'!M130+'08-3'!M130+'09-3'!M130+'10-3'!M130+'11-3'!M130+'12-3'!M130+'13-3'!M130+'14-3'!M130+'15-3'!M130+'16-3'!M130+'17-3'!M130+'18-3'!M130+'19-3'!M130+'21-3'!M130+'22-3'!M130+'24-3'!M130+'25-3'!M130+'28-3'!M130+'29-3'!M130+'30-3'!M130+'32-3'!M130+'35-3'!M130+'37-3'!M130+'47-3'!M130+'62-3'!M130+'64-3'!M130+'74-3'!M130</f>
        <v>167990000</v>
      </c>
      <c r="N384" s="106">
        <f>'01-3'!N130+'02-3'!N130+'03-3'!N130+'04-3'!N130+'05-3'!N130+'08-3'!N130+'09-3'!N130+'10-3'!N130+'11-3'!N130+'12-3'!N130+'13-3'!N130+'14-3'!N130+'15-3'!N130+'16-3'!N130+'17-3'!N130+'18-3'!N130+'19-3'!N130+'21-3'!N130+'22-3'!N130+'24-3'!N130+'25-3'!N130+'28-3'!N130+'29-3'!N130+'30-3'!N130+'32-3'!N130+'35-3'!N130+'37-3'!N130+'47-3'!N130+'62-3'!N130+'64-3'!N130+'74-3'!N130</f>
        <v>167000000</v>
      </c>
      <c r="O384" s="106">
        <f>'01-3'!O130+'02-3'!O130+'03-3'!O130+'04-3'!O130+'05-3'!O130+'08-3'!O130+'09-3'!O130+'10-3'!O130+'11-3'!O130+'12-3'!O130+'13-3'!O130+'14-3'!O130+'15-3'!O130+'16-3'!O130+'17-3'!O130+'18-3'!O130+'19-3'!O130+'21-3'!O130+'22-3'!O130+'24-3'!O130+'25-3'!O130+'28-3'!O130+'29-3'!O130+'30-3'!O130+'32-3'!O130+'35-3'!O130+'37-3'!O130+'47-3'!O130+'62-3'!O130+'64-3'!O130+'74-3'!O130</f>
        <v>0</v>
      </c>
      <c r="P384" s="106">
        <f>'01-3'!P130+'02-3'!P130+'03-3'!P130+'04-3'!P130+'05-3'!P130+'08-3'!P130+'09-3'!P130+'10-3'!P130+'11-3'!P130+'12-3'!P130+'13-3'!P130+'14-3'!P130+'15-3'!P130+'16-3'!P130+'17-3'!P130+'18-3'!P130+'19-3'!P130+'21-3'!P130+'22-3'!P130+'24-3'!P130+'25-3'!P130+'28-3'!P130+'29-3'!P130+'30-3'!P130+'32-3'!P130+'35-3'!P130+'37-3'!P130+'47-3'!P130+'62-3'!P130+'64-3'!P130+'74-3'!P130</f>
        <v>5000000</v>
      </c>
      <c r="Q384" s="106">
        <f>'01-3'!Q130+'02-3'!Q130+'03-3'!Q130+'04-3'!Q130+'05-3'!Q130+'08-3'!Q130+'09-3'!Q130+'10-3'!Q130+'11-3'!Q130+'12-3'!Q130+'13-3'!Q130+'14-3'!Q130+'15-3'!Q130+'16-3'!Q130+'17-3'!Q130+'18-3'!Q130+'19-3'!Q130+'21-3'!Q130+'22-3'!Q130+'24-3'!Q130+'25-3'!Q130+'28-3'!Q130+'29-3'!Q130+'30-3'!Q130+'32-3'!Q130+'35-3'!Q130+'37-3'!Q130+'47-3'!Q130+'62-3'!Q130+'64-3'!Q130+'74-3'!Q130</f>
        <v>0</v>
      </c>
      <c r="R384" s="106">
        <f>'01-3'!R130+'02-3'!R130+'03-3'!R130+'04-3'!R130+'05-3'!R130+'08-3'!R130+'09-3'!R130+'10-3'!R130+'11-3'!R130+'12-3'!R130+'13-3'!R130+'14-3'!R130+'15-3'!R130+'16-3'!R130+'17-3'!R130+'18-3'!R130+'19-3'!R130+'21-3'!R130+'22-3'!R130+'24-3'!R130+'25-3'!R130+'28-3'!R130+'29-3'!R130+'30-3'!R130+'32-3'!R130+'35-3'!R130+'37-3'!R130+'47-3'!R130+'62-3'!R130+'64-3'!R130+'74-3'!R130</f>
        <v>172000000</v>
      </c>
      <c r="S384" s="499"/>
      <c r="T384" s="499"/>
      <c r="U384" s="499"/>
      <c r="V384" s="499"/>
      <c r="W384" s="499"/>
    </row>
    <row r="385" spans="1:23" s="89" customFormat="1" ht="12">
      <c r="A385" s="132">
        <v>7700</v>
      </c>
      <c r="B385" s="102" t="s">
        <v>114</v>
      </c>
      <c r="C385" s="106">
        <f>'01-3'!C131+'02-3'!C131+'03-3'!C131+'04-3'!C131+'05-3'!C131+'08-3'!C131+'09-3'!C131+'10-3'!C131+'11-3'!C131+'12-3'!C131+'13-3'!C131+'14-3'!C131+'15-3'!C131+'16-3'!C131+'17-3'!C131+'18-3'!C131+'19-3'!C131+'21-3'!C131+'22-3'!C131+'24-3'!C131+'25-3'!C131+'28-3'!C131+'29-3'!C131+'30-3'!C131+'32-3'!C131+'35-3'!C131+'37-3'!C131+'47-3'!C131+'62-3'!C131+'64-3'!C131+'74-3'!C131</f>
        <v>12885454</v>
      </c>
      <c r="D385" s="106">
        <f>'01-3'!D131+'02-3'!D131+'03-3'!D131+'04-3'!D131+'05-3'!D131+'08-3'!D131+'09-3'!D131+'10-3'!D131+'11-3'!D131+'12-3'!D131+'13-3'!D131+'14-3'!D131+'15-3'!D131+'16-3'!D131+'17-3'!D131+'18-3'!D131+'19-3'!D131+'21-3'!D131+'22-3'!D131+'24-3'!D131+'25-3'!D131+'28-3'!D131+'29-3'!D131+'30-3'!D131+'32-3'!D131+'35-3'!D131+'37-3'!D131+'47-3'!D131+'62-3'!D131+'64-3'!D131+'74-3'!D131</f>
        <v>12193378</v>
      </c>
      <c r="E385" s="106">
        <f>'01-3'!E131+'02-3'!E131+'03-3'!E131+'04-3'!E131+'05-3'!E131+'08-3'!E131+'09-3'!E131+'10-3'!E131+'11-3'!E131+'12-3'!E131+'13-3'!E131+'14-3'!E131+'15-3'!E131+'16-3'!E131+'17-3'!E131+'18-3'!E131+'19-3'!E131+'21-3'!E131+'22-3'!E131+'24-3'!E131+'25-3'!E131+'28-3'!E131+'29-3'!E131+'30-3'!E131+'32-3'!E131+'35-3'!E131+'37-3'!E131+'47-3'!E131+'62-3'!E131+'64-3'!E131+'74-3'!E131</f>
        <v>0</v>
      </c>
      <c r="F385" s="106">
        <f>'01-3'!F131+'02-3'!F131+'03-3'!F131+'04-3'!F131+'05-3'!F131+'08-3'!F131+'09-3'!F131+'10-3'!F131+'11-3'!F131+'12-3'!F131+'13-3'!F131+'14-3'!F131+'15-3'!F131+'16-3'!F131+'17-3'!F131+'18-3'!F131+'19-3'!F131+'21-3'!F131+'22-3'!F131+'24-3'!F131+'25-3'!F131+'28-3'!F131+'29-3'!F131+'30-3'!F131+'32-3'!F131+'35-3'!F131+'37-3'!F131+'47-3'!F131+'62-3'!F131+'64-3'!F131+'74-3'!F131</f>
        <v>1492</v>
      </c>
      <c r="G385" s="106">
        <f>'01-3'!G131+'02-3'!G131+'03-3'!G131+'04-3'!G131+'05-3'!G131+'08-3'!G131+'09-3'!G131+'10-3'!G131+'11-3'!G131+'12-3'!G131+'13-3'!G131+'14-3'!G131+'15-3'!G131+'16-3'!G131+'17-3'!G131+'18-3'!G131+'19-3'!G131+'21-3'!G131+'22-3'!G131+'24-3'!G131+'25-3'!G131+'28-3'!G131+'29-3'!G131+'30-3'!G131+'32-3'!G131+'35-3'!G131+'37-3'!G131+'47-3'!G131+'62-3'!G131+'64-3'!G131+'74-3'!G131</f>
        <v>24163</v>
      </c>
      <c r="H385" s="106">
        <f>'01-3'!H131+'02-3'!H131+'03-3'!H131+'04-3'!H131+'05-3'!H131+'08-3'!H131+'09-3'!H131+'10-3'!H131+'11-3'!H131+'12-3'!H131+'13-3'!H131+'14-3'!H131+'15-3'!H131+'16-3'!H131+'17-3'!H131+'18-3'!H131+'19-3'!H131+'21-3'!H131+'22-3'!H131+'24-3'!H131+'25-3'!H131+'28-3'!H131+'29-3'!H131+'30-3'!H131+'32-3'!H131+'35-3'!H131+'37-3'!H131+'47-3'!H131+'62-3'!H131+'64-3'!H131+'74-3'!H131</f>
        <v>12219033</v>
      </c>
      <c r="I385" s="106">
        <f>'01-3'!I131+'02-3'!I131+'03-3'!I131+'04-3'!I131+'05-3'!I131+'08-3'!I131+'09-3'!I131+'10-3'!I131+'11-3'!I131+'12-3'!I131+'13-3'!I131+'14-3'!I131+'15-3'!I131+'16-3'!I131+'17-3'!I131+'18-3'!I131+'19-3'!I131+'21-3'!I131+'22-3'!I131+'24-3'!I131+'25-3'!I131+'28-3'!I131+'29-3'!I131+'30-3'!I131+'32-3'!I131+'35-3'!I131+'37-3'!I131+'47-3'!I131+'62-3'!I131+'64-3'!I131+'74-3'!I131</f>
        <v>12236689</v>
      </c>
      <c r="J385" s="106">
        <f>'01-3'!J131+'02-3'!J131+'03-3'!J131+'04-3'!J131+'05-3'!J131+'08-3'!J131+'09-3'!J131+'10-3'!J131+'11-3'!J131+'12-3'!J131+'13-3'!J131+'14-3'!J131+'15-3'!J131+'16-3'!J131+'17-3'!J131+'18-3'!J131+'19-3'!J131+'21-3'!J131+'22-3'!J131+'24-3'!J131+'25-3'!J131+'28-3'!J131+'29-3'!J131+'30-3'!J131+'32-3'!J131+'35-3'!J131+'37-3'!J131+'47-3'!J131+'62-3'!J131+'64-3'!J131+'74-3'!J131</f>
        <v>0</v>
      </c>
      <c r="K385" s="106">
        <f>'01-3'!K131+'02-3'!K131+'03-3'!K131+'04-3'!K131+'05-3'!K131+'08-3'!K131+'09-3'!K131+'10-3'!K131+'11-3'!K131+'12-3'!K131+'13-3'!K131+'14-3'!K131+'15-3'!K131+'16-3'!K131+'17-3'!K131+'18-3'!K131+'19-3'!K131+'21-3'!K131+'22-3'!K131+'24-3'!K131+'25-3'!K131+'28-3'!K131+'29-3'!K131+'30-3'!K131+'32-3'!K131+'35-3'!K131+'37-3'!K131+'47-3'!K131+'62-3'!K131+'64-3'!K131+'74-3'!K131</f>
        <v>1492</v>
      </c>
      <c r="L385" s="106">
        <f>'01-3'!L131+'02-3'!L131+'03-3'!L131+'04-3'!L131+'05-3'!L131+'08-3'!L131+'09-3'!L131+'10-3'!L131+'11-3'!L131+'12-3'!L131+'13-3'!L131+'14-3'!L131+'15-3'!L131+'16-3'!L131+'17-3'!L131+'18-3'!L131+'19-3'!L131+'21-3'!L131+'22-3'!L131+'24-3'!L131+'25-3'!L131+'28-3'!L131+'29-3'!L131+'30-3'!L131+'32-3'!L131+'35-3'!L131+'37-3'!L131+'47-3'!L131+'62-3'!L131+'64-3'!L131+'74-3'!L131</f>
        <v>24163</v>
      </c>
      <c r="M385" s="106">
        <f>'01-3'!M131+'02-3'!M131+'03-3'!M131+'04-3'!M131+'05-3'!M131+'08-3'!M131+'09-3'!M131+'10-3'!M131+'11-3'!M131+'12-3'!M131+'13-3'!M131+'14-3'!M131+'15-3'!M131+'16-3'!M131+'17-3'!M131+'18-3'!M131+'19-3'!M131+'21-3'!M131+'22-3'!M131+'24-3'!M131+'25-3'!M131+'28-3'!M131+'29-3'!M131+'30-3'!M131+'32-3'!M131+'35-3'!M131+'37-3'!M131+'47-3'!M131+'62-3'!M131+'64-3'!M131+'74-3'!M131</f>
        <v>12262344</v>
      </c>
      <c r="N385" s="106">
        <f>'01-3'!N131+'02-3'!N131+'03-3'!N131+'04-3'!N131+'05-3'!N131+'08-3'!N131+'09-3'!N131+'10-3'!N131+'11-3'!N131+'12-3'!N131+'13-3'!N131+'14-3'!N131+'15-3'!N131+'16-3'!N131+'17-3'!N131+'18-3'!N131+'19-3'!N131+'21-3'!N131+'22-3'!N131+'24-3'!N131+'25-3'!N131+'28-3'!N131+'29-3'!N131+'30-3'!N131+'32-3'!N131+'35-3'!N131+'37-3'!N131+'47-3'!N131+'62-3'!N131+'64-3'!N131+'74-3'!N131</f>
        <v>12251617</v>
      </c>
      <c r="O385" s="106">
        <f>'01-3'!O131+'02-3'!O131+'03-3'!O131+'04-3'!O131+'05-3'!O131+'08-3'!O131+'09-3'!O131+'10-3'!O131+'11-3'!O131+'12-3'!O131+'13-3'!O131+'14-3'!O131+'15-3'!O131+'16-3'!O131+'17-3'!O131+'18-3'!O131+'19-3'!O131+'21-3'!O131+'22-3'!O131+'24-3'!O131+'25-3'!O131+'28-3'!O131+'29-3'!O131+'30-3'!O131+'32-3'!O131+'35-3'!O131+'37-3'!O131+'47-3'!O131+'62-3'!O131+'64-3'!O131+'74-3'!O131</f>
        <v>0</v>
      </c>
      <c r="P385" s="106">
        <f>'01-3'!P131+'02-3'!P131+'03-3'!P131+'04-3'!P131+'05-3'!P131+'08-3'!P131+'09-3'!P131+'10-3'!P131+'11-3'!P131+'12-3'!P131+'13-3'!P131+'14-3'!P131+'15-3'!P131+'16-3'!P131+'17-3'!P131+'18-3'!P131+'19-3'!P131+'21-3'!P131+'22-3'!P131+'24-3'!P131+'25-3'!P131+'28-3'!P131+'29-3'!P131+'30-3'!P131+'32-3'!P131+'35-3'!P131+'37-3'!P131+'47-3'!P131+'62-3'!P131+'64-3'!P131+'74-3'!P131</f>
        <v>1492</v>
      </c>
      <c r="Q385" s="106">
        <f>'01-3'!Q131+'02-3'!Q131+'03-3'!Q131+'04-3'!Q131+'05-3'!Q131+'08-3'!Q131+'09-3'!Q131+'10-3'!Q131+'11-3'!Q131+'12-3'!Q131+'13-3'!Q131+'14-3'!Q131+'15-3'!Q131+'16-3'!Q131+'17-3'!Q131+'18-3'!Q131+'19-3'!Q131+'21-3'!Q131+'22-3'!Q131+'24-3'!Q131+'25-3'!Q131+'28-3'!Q131+'29-3'!Q131+'30-3'!Q131+'32-3'!Q131+'35-3'!Q131+'37-3'!Q131+'47-3'!Q131+'62-3'!Q131+'64-3'!Q131+'74-3'!Q131</f>
        <v>24163</v>
      </c>
      <c r="R385" s="106">
        <f>'01-3'!R131+'02-3'!R131+'03-3'!R131+'04-3'!R131+'05-3'!R131+'08-3'!R131+'09-3'!R131+'10-3'!R131+'11-3'!R131+'12-3'!R131+'13-3'!R131+'14-3'!R131+'15-3'!R131+'16-3'!R131+'17-3'!R131+'18-3'!R131+'19-3'!R131+'21-3'!R131+'22-3'!R131+'24-3'!R131+'25-3'!R131+'28-3'!R131+'29-3'!R131+'30-3'!R131+'32-3'!R131+'35-3'!R131+'37-3'!R131+'47-3'!R131+'62-3'!R131+'64-3'!R131+'74-3'!R131</f>
        <v>12277272</v>
      </c>
      <c r="S385" s="499"/>
      <c r="T385" s="499"/>
      <c r="U385" s="499"/>
      <c r="V385" s="499"/>
      <c r="W385" s="499"/>
    </row>
    <row r="386" spans="1:23" s="89" customFormat="1" ht="20.399999999999999">
      <c r="A386" s="140" t="s">
        <v>185</v>
      </c>
      <c r="B386" s="100" t="s">
        <v>115</v>
      </c>
      <c r="C386" s="106">
        <f>'01-3'!C132+'02-3'!C132+'03-3'!C132+'04-3'!C132+'05-3'!C132+'08-3'!C132+'09-3'!C132+'10-3'!C132+'11-3'!C132+'12-3'!C132+'13-3'!C132+'14-3'!C132+'15-3'!C132+'16-3'!C132+'17-3'!C132+'18-3'!C132+'19-3'!C132+'21-3'!C132+'22-3'!C132+'24-3'!C132+'25-3'!C132+'28-3'!C132+'29-3'!C132+'30-3'!C132+'32-3'!C132+'35-3'!C132+'37-3'!C132+'47-3'!C132+'62-3'!C132+'64-3'!C132+'74-3'!C132</f>
        <v>395718644</v>
      </c>
      <c r="D386" s="106">
        <f>'01-3'!D132+'02-3'!D132+'03-3'!D132+'04-3'!D132+'05-3'!D132+'08-3'!D132+'09-3'!D132+'10-3'!D132+'11-3'!D132+'12-3'!D132+'13-3'!D132+'14-3'!D132+'15-3'!D132+'16-3'!D132+'17-3'!D132+'18-3'!D132+'19-3'!D132+'21-3'!D132+'22-3'!D132+'24-3'!D132+'25-3'!D132+'28-3'!D132+'29-3'!D132+'30-3'!D132+'32-3'!D132+'35-3'!D132+'37-3'!D132+'47-3'!D132+'62-3'!D132+'64-3'!D132+'74-3'!D132</f>
        <v>380505087</v>
      </c>
      <c r="E386" s="106">
        <f>'01-3'!E132+'02-3'!E132+'03-3'!E132+'04-3'!E132+'05-3'!E132+'08-3'!E132+'09-3'!E132+'10-3'!E132+'11-3'!E132+'12-3'!E132+'13-3'!E132+'14-3'!E132+'15-3'!E132+'16-3'!E132+'17-3'!E132+'18-3'!E132+'19-3'!E132+'21-3'!E132+'22-3'!E132+'24-3'!E132+'25-3'!E132+'28-3'!E132+'29-3'!E132+'30-3'!E132+'32-3'!E132+'35-3'!E132+'37-3'!E132+'47-3'!E132+'62-3'!E132+'64-3'!E132+'74-3'!E132</f>
        <v>-4629178</v>
      </c>
      <c r="F386" s="106">
        <f>'01-3'!F132+'02-3'!F132+'03-3'!F132+'04-3'!F132+'05-3'!F132+'08-3'!F132+'09-3'!F132+'10-3'!F132+'11-3'!F132+'12-3'!F132+'13-3'!F132+'14-3'!F132+'15-3'!F132+'16-3'!F132+'17-3'!F132+'18-3'!F132+'19-3'!F132+'21-3'!F132+'22-3'!F132+'24-3'!F132+'25-3'!F132+'28-3'!F132+'29-3'!F132+'30-3'!F132+'32-3'!F132+'35-3'!F132+'37-3'!F132+'47-3'!F132+'62-3'!F132+'64-3'!F132+'74-3'!F132</f>
        <v>6559979</v>
      </c>
      <c r="G386" s="106">
        <f>'01-3'!G132+'02-3'!G132+'03-3'!G132+'04-3'!G132+'05-3'!G132+'08-3'!G132+'09-3'!G132+'10-3'!G132+'11-3'!G132+'12-3'!G132+'13-3'!G132+'14-3'!G132+'15-3'!G132+'16-3'!G132+'17-3'!G132+'18-3'!G132+'19-3'!G132+'21-3'!G132+'22-3'!G132+'24-3'!G132+'25-3'!G132+'28-3'!G132+'29-3'!G132+'30-3'!G132+'32-3'!G132+'35-3'!G132+'37-3'!G132+'47-3'!G132+'62-3'!G132+'64-3'!G132+'74-3'!G132</f>
        <v>17348580</v>
      </c>
      <c r="H386" s="106">
        <f>'01-3'!H132+'02-3'!H132+'03-3'!H132+'04-3'!H132+'05-3'!H132+'08-3'!H132+'09-3'!H132+'10-3'!H132+'11-3'!H132+'12-3'!H132+'13-3'!H132+'14-3'!H132+'15-3'!H132+'16-3'!H132+'17-3'!H132+'18-3'!H132+'19-3'!H132+'21-3'!H132+'22-3'!H132+'24-3'!H132+'25-3'!H132+'28-3'!H132+'29-3'!H132+'30-3'!H132+'32-3'!H132+'35-3'!H132+'37-3'!H132+'47-3'!H132+'62-3'!H132+'64-3'!H132+'74-3'!H132</f>
        <v>399784468</v>
      </c>
      <c r="I386" s="106">
        <f>'01-3'!I132+'02-3'!I132+'03-3'!I132+'04-3'!I132+'05-3'!I132+'08-3'!I132+'09-3'!I132+'10-3'!I132+'11-3'!I132+'12-3'!I132+'13-3'!I132+'14-3'!I132+'15-3'!I132+'16-3'!I132+'17-3'!I132+'18-3'!I132+'19-3'!I132+'21-3'!I132+'22-3'!I132+'24-3'!I132+'25-3'!I132+'28-3'!I132+'29-3'!I132+'30-3'!I132+'32-3'!I132+'35-3'!I132+'37-3'!I132+'47-3'!I132+'62-3'!I132+'64-3'!I132+'74-3'!I132</f>
        <v>364026092</v>
      </c>
      <c r="J386" s="106">
        <f>'01-3'!J132+'02-3'!J132+'03-3'!J132+'04-3'!J132+'05-3'!J132+'08-3'!J132+'09-3'!J132+'10-3'!J132+'11-3'!J132+'12-3'!J132+'13-3'!J132+'14-3'!J132+'15-3'!J132+'16-3'!J132+'17-3'!J132+'18-3'!J132+'19-3'!J132+'21-3'!J132+'22-3'!J132+'24-3'!J132+'25-3'!J132+'28-3'!J132+'29-3'!J132+'30-3'!J132+'32-3'!J132+'35-3'!J132+'37-3'!J132+'47-3'!J132+'62-3'!J132+'64-3'!J132+'74-3'!J132</f>
        <v>127092110</v>
      </c>
      <c r="K386" s="106">
        <f>'01-3'!K132+'02-3'!K132+'03-3'!K132+'04-3'!K132+'05-3'!K132+'08-3'!K132+'09-3'!K132+'10-3'!K132+'11-3'!K132+'12-3'!K132+'13-3'!K132+'14-3'!K132+'15-3'!K132+'16-3'!K132+'17-3'!K132+'18-3'!K132+'19-3'!K132+'21-3'!K132+'22-3'!K132+'24-3'!K132+'25-3'!K132+'28-3'!K132+'29-3'!K132+'30-3'!K132+'32-3'!K132+'35-3'!K132+'37-3'!K132+'47-3'!K132+'62-3'!K132+'64-3'!K132+'74-3'!K132</f>
        <v>6231567</v>
      </c>
      <c r="L386" s="106">
        <f>'01-3'!L132+'02-3'!L132+'03-3'!L132+'04-3'!L132+'05-3'!L132+'08-3'!L132+'09-3'!L132+'10-3'!L132+'11-3'!L132+'12-3'!L132+'13-3'!L132+'14-3'!L132+'15-3'!L132+'16-3'!L132+'17-3'!L132+'18-3'!L132+'19-3'!L132+'21-3'!L132+'22-3'!L132+'24-3'!L132+'25-3'!L132+'28-3'!L132+'29-3'!L132+'30-3'!L132+'32-3'!L132+'35-3'!L132+'37-3'!L132+'47-3'!L132+'62-3'!L132+'64-3'!L132+'74-3'!L132</f>
        <v>24077587</v>
      </c>
      <c r="M386" s="106">
        <f>'01-3'!M132+'02-3'!M132+'03-3'!M132+'04-3'!M132+'05-3'!M132+'08-3'!M132+'09-3'!M132+'10-3'!M132+'11-3'!M132+'12-3'!M132+'13-3'!M132+'14-3'!M132+'15-3'!M132+'16-3'!M132+'17-3'!M132+'18-3'!M132+'19-3'!M132+'21-3'!M132+'22-3'!M132+'24-3'!M132+'25-3'!M132+'28-3'!M132+'29-3'!M132+'30-3'!M132+'32-3'!M132+'35-3'!M132+'37-3'!M132+'47-3'!M132+'62-3'!M132+'64-3'!M132+'74-3'!M132</f>
        <v>521427356</v>
      </c>
      <c r="N386" s="106">
        <f>'01-3'!N132+'02-3'!N132+'03-3'!N132+'04-3'!N132+'05-3'!N132+'08-3'!N132+'09-3'!N132+'10-3'!N132+'11-3'!N132+'12-3'!N132+'13-3'!N132+'14-3'!N132+'15-3'!N132+'16-3'!N132+'17-3'!N132+'18-3'!N132+'19-3'!N132+'21-3'!N132+'22-3'!N132+'24-3'!N132+'25-3'!N132+'28-3'!N132+'29-3'!N132+'30-3'!N132+'32-3'!N132+'35-3'!N132+'37-3'!N132+'47-3'!N132+'62-3'!N132+'64-3'!N132+'74-3'!N132</f>
        <v>353194171</v>
      </c>
      <c r="O386" s="106">
        <f>'01-3'!O132+'02-3'!O132+'03-3'!O132+'04-3'!O132+'05-3'!O132+'08-3'!O132+'09-3'!O132+'10-3'!O132+'11-3'!O132+'12-3'!O132+'13-3'!O132+'14-3'!O132+'15-3'!O132+'16-3'!O132+'17-3'!O132+'18-3'!O132+'19-3'!O132+'21-3'!O132+'22-3'!O132+'24-3'!O132+'25-3'!O132+'28-3'!O132+'29-3'!O132+'30-3'!O132+'32-3'!O132+'35-3'!O132+'37-3'!O132+'47-3'!O132+'62-3'!O132+'64-3'!O132+'74-3'!O132</f>
        <v>122448021</v>
      </c>
      <c r="P386" s="106">
        <f>'01-3'!P132+'02-3'!P132+'03-3'!P132+'04-3'!P132+'05-3'!P132+'08-3'!P132+'09-3'!P132+'10-3'!P132+'11-3'!P132+'12-3'!P132+'13-3'!P132+'14-3'!P132+'15-3'!P132+'16-3'!P132+'17-3'!P132+'18-3'!P132+'19-3'!P132+'21-3'!P132+'22-3'!P132+'24-3'!P132+'25-3'!P132+'28-3'!P132+'29-3'!P132+'30-3'!P132+'32-3'!P132+'35-3'!P132+'37-3'!P132+'47-3'!P132+'62-3'!P132+'64-3'!P132+'74-3'!P132</f>
        <v>7120726</v>
      </c>
      <c r="Q386" s="106">
        <f>'01-3'!Q132+'02-3'!Q132+'03-3'!Q132+'04-3'!Q132+'05-3'!Q132+'08-3'!Q132+'09-3'!Q132+'10-3'!Q132+'11-3'!Q132+'12-3'!Q132+'13-3'!Q132+'14-3'!Q132+'15-3'!Q132+'16-3'!Q132+'17-3'!Q132+'18-3'!Q132+'19-3'!Q132+'21-3'!Q132+'22-3'!Q132+'24-3'!Q132+'25-3'!Q132+'28-3'!Q132+'29-3'!Q132+'30-3'!Q132+'32-3'!Q132+'35-3'!Q132+'37-3'!Q132+'47-3'!Q132+'62-3'!Q132+'64-3'!Q132+'74-3'!Q132</f>
        <v>24056232</v>
      </c>
      <c r="R386" s="106">
        <f>'01-3'!R132+'02-3'!R132+'03-3'!R132+'04-3'!R132+'05-3'!R132+'08-3'!R132+'09-3'!R132+'10-3'!R132+'11-3'!R132+'12-3'!R132+'13-3'!R132+'14-3'!R132+'15-3'!R132+'16-3'!R132+'17-3'!R132+'18-3'!R132+'19-3'!R132+'21-3'!R132+'22-3'!R132+'24-3'!R132+'25-3'!R132+'28-3'!R132+'29-3'!R132+'30-3'!R132+'32-3'!R132+'35-3'!R132+'37-3'!R132+'47-3'!R132+'62-3'!R132+'64-3'!R132+'74-3'!R132</f>
        <v>506819150</v>
      </c>
      <c r="S386" s="499"/>
      <c r="T386" s="499"/>
      <c r="U386" s="499"/>
      <c r="V386" s="499"/>
      <c r="W386" s="499"/>
    </row>
    <row r="387" spans="1:23" s="89" customFormat="1" ht="12">
      <c r="A387" s="132">
        <v>7100</v>
      </c>
      <c r="B387" s="112" t="s">
        <v>116</v>
      </c>
      <c r="C387" s="106">
        <f>'01-3'!C133+'02-3'!C133+'03-3'!C133+'04-3'!C133+'05-3'!C133+'08-3'!C133+'09-3'!C133+'10-3'!C133+'11-3'!C133+'12-3'!C133+'13-3'!C133+'14-3'!C133+'15-3'!C133+'16-3'!C133+'17-3'!C133+'18-3'!C133+'19-3'!C133+'21-3'!C133+'22-3'!C133+'24-3'!C133+'25-3'!C133+'28-3'!C133+'29-3'!C133+'30-3'!C133+'32-3'!C133+'35-3'!C133+'37-3'!C133+'47-3'!C133+'62-3'!C133+'64-3'!C133+'74-3'!C133</f>
        <v>16579380</v>
      </c>
      <c r="D387" s="106">
        <f>'01-3'!D133+'02-3'!D133+'03-3'!D133+'04-3'!D133+'05-3'!D133+'08-3'!D133+'09-3'!D133+'10-3'!D133+'11-3'!D133+'12-3'!D133+'13-3'!D133+'14-3'!D133+'15-3'!D133+'16-3'!D133+'17-3'!D133+'18-3'!D133+'19-3'!D133+'21-3'!D133+'22-3'!D133+'24-3'!D133+'25-3'!D133+'28-3'!D133+'29-3'!D133+'30-3'!D133+'32-3'!D133+'35-3'!D133+'37-3'!D133+'47-3'!D133+'62-3'!D133+'64-3'!D133+'74-3'!D133</f>
        <v>14634211</v>
      </c>
      <c r="E387" s="106">
        <f>'01-3'!E133+'02-3'!E133+'03-3'!E133+'04-3'!E133+'05-3'!E133+'08-3'!E133+'09-3'!E133+'10-3'!E133+'11-3'!E133+'12-3'!E133+'13-3'!E133+'14-3'!E133+'15-3'!E133+'16-3'!E133+'17-3'!E133+'18-3'!E133+'19-3'!E133+'21-3'!E133+'22-3'!E133+'24-3'!E133+'25-3'!E133+'28-3'!E133+'29-3'!E133+'30-3'!E133+'32-3'!E133+'35-3'!E133+'37-3'!E133+'47-3'!E133+'62-3'!E133+'64-3'!E133+'74-3'!E133</f>
        <v>8117</v>
      </c>
      <c r="F387" s="106">
        <f>'01-3'!F133+'02-3'!F133+'03-3'!F133+'04-3'!F133+'05-3'!F133+'08-3'!F133+'09-3'!F133+'10-3'!F133+'11-3'!F133+'12-3'!F133+'13-3'!F133+'14-3'!F133+'15-3'!F133+'16-3'!F133+'17-3'!F133+'18-3'!F133+'19-3'!F133+'21-3'!F133+'22-3'!F133+'24-3'!F133+'25-3'!F133+'28-3'!F133+'29-3'!F133+'30-3'!F133+'32-3'!F133+'35-3'!F133+'37-3'!F133+'47-3'!F133+'62-3'!F133+'64-3'!F133+'74-3'!F133</f>
        <v>2457230</v>
      </c>
      <c r="G387" s="106">
        <f>'01-3'!G133+'02-3'!G133+'03-3'!G133+'04-3'!G133+'05-3'!G133+'08-3'!G133+'09-3'!G133+'10-3'!G133+'11-3'!G133+'12-3'!G133+'13-3'!G133+'14-3'!G133+'15-3'!G133+'16-3'!G133+'17-3'!G133+'18-3'!G133+'19-3'!G133+'21-3'!G133+'22-3'!G133+'24-3'!G133+'25-3'!G133+'28-3'!G133+'29-3'!G133+'30-3'!G133+'32-3'!G133+'35-3'!G133+'37-3'!G133+'47-3'!G133+'62-3'!G133+'64-3'!G133+'74-3'!G133</f>
        <v>1496000</v>
      </c>
      <c r="H387" s="106">
        <f>'01-3'!H133+'02-3'!H133+'03-3'!H133+'04-3'!H133+'05-3'!H133+'08-3'!H133+'09-3'!H133+'10-3'!H133+'11-3'!H133+'12-3'!H133+'13-3'!H133+'14-3'!H133+'15-3'!H133+'16-3'!H133+'17-3'!H133+'18-3'!H133+'19-3'!H133+'21-3'!H133+'22-3'!H133+'24-3'!H133+'25-3'!H133+'28-3'!H133+'29-3'!H133+'30-3'!H133+'32-3'!H133+'35-3'!H133+'37-3'!H133+'47-3'!H133+'62-3'!H133+'64-3'!H133+'74-3'!H133</f>
        <v>18595558</v>
      </c>
      <c r="I387" s="106">
        <f>'01-3'!I133+'02-3'!I133+'03-3'!I133+'04-3'!I133+'05-3'!I133+'08-3'!I133+'09-3'!I133+'10-3'!I133+'11-3'!I133+'12-3'!I133+'13-3'!I133+'14-3'!I133+'15-3'!I133+'16-3'!I133+'17-3'!I133+'18-3'!I133+'19-3'!I133+'21-3'!I133+'22-3'!I133+'24-3'!I133+'25-3'!I133+'28-3'!I133+'29-3'!I133+'30-3'!I133+'32-3'!I133+'35-3'!I133+'37-3'!I133+'47-3'!I133+'62-3'!I133+'64-3'!I133+'74-3'!I133</f>
        <v>14350197</v>
      </c>
      <c r="J387" s="106">
        <f>'01-3'!J133+'02-3'!J133+'03-3'!J133+'04-3'!J133+'05-3'!J133+'08-3'!J133+'09-3'!J133+'10-3'!J133+'11-3'!J133+'12-3'!J133+'13-3'!J133+'14-3'!J133+'15-3'!J133+'16-3'!J133+'17-3'!J133+'18-3'!J133+'19-3'!J133+'21-3'!J133+'22-3'!J133+'24-3'!J133+'25-3'!J133+'28-3'!J133+'29-3'!J133+'30-3'!J133+'32-3'!J133+'35-3'!J133+'37-3'!J133+'47-3'!J133+'62-3'!J133+'64-3'!J133+'74-3'!J133</f>
        <v>127092110</v>
      </c>
      <c r="K387" s="106">
        <f>'01-3'!K133+'02-3'!K133+'03-3'!K133+'04-3'!K133+'05-3'!K133+'08-3'!K133+'09-3'!K133+'10-3'!K133+'11-3'!K133+'12-3'!K133+'13-3'!K133+'14-3'!K133+'15-3'!K133+'16-3'!K133+'17-3'!K133+'18-3'!K133+'19-3'!K133+'21-3'!K133+'22-3'!K133+'24-3'!K133+'25-3'!K133+'28-3'!K133+'29-3'!K133+'30-3'!K133+'32-3'!K133+'35-3'!K133+'37-3'!K133+'47-3'!K133+'62-3'!K133+'64-3'!K133+'74-3'!K133</f>
        <v>2094445</v>
      </c>
      <c r="L387" s="106">
        <f>'01-3'!L133+'02-3'!L133+'03-3'!L133+'04-3'!L133+'05-3'!L133+'08-3'!L133+'09-3'!L133+'10-3'!L133+'11-3'!L133+'12-3'!L133+'13-3'!L133+'14-3'!L133+'15-3'!L133+'16-3'!L133+'17-3'!L133+'18-3'!L133+'19-3'!L133+'21-3'!L133+'22-3'!L133+'24-3'!L133+'25-3'!L133+'28-3'!L133+'29-3'!L133+'30-3'!L133+'32-3'!L133+'35-3'!L133+'37-3'!L133+'47-3'!L133+'62-3'!L133+'64-3'!L133+'74-3'!L133</f>
        <v>1476000</v>
      </c>
      <c r="M387" s="106">
        <f>'01-3'!M133+'02-3'!M133+'03-3'!M133+'04-3'!M133+'05-3'!M133+'08-3'!M133+'09-3'!M133+'10-3'!M133+'11-3'!M133+'12-3'!M133+'13-3'!M133+'14-3'!M133+'15-3'!M133+'16-3'!M133+'17-3'!M133+'18-3'!M133+'19-3'!M133+'21-3'!M133+'22-3'!M133+'24-3'!M133+'25-3'!M133+'28-3'!M133+'29-3'!M133+'30-3'!M133+'32-3'!M133+'35-3'!M133+'37-3'!M133+'47-3'!M133+'62-3'!M133+'64-3'!M133+'74-3'!M133</f>
        <v>145012752</v>
      </c>
      <c r="N387" s="106">
        <f>'01-3'!N133+'02-3'!N133+'03-3'!N133+'04-3'!N133+'05-3'!N133+'08-3'!N133+'09-3'!N133+'10-3'!N133+'11-3'!N133+'12-3'!N133+'13-3'!N133+'14-3'!N133+'15-3'!N133+'16-3'!N133+'17-3'!N133+'18-3'!N133+'19-3'!N133+'21-3'!N133+'22-3'!N133+'24-3'!N133+'25-3'!N133+'28-3'!N133+'29-3'!N133+'30-3'!N133+'32-3'!N133+'35-3'!N133+'37-3'!N133+'47-3'!N133+'62-3'!N133+'64-3'!N133+'74-3'!N133</f>
        <v>14030007</v>
      </c>
      <c r="O387" s="106">
        <f>'01-3'!O133+'02-3'!O133+'03-3'!O133+'04-3'!O133+'05-3'!O133+'08-3'!O133+'09-3'!O133+'10-3'!O133+'11-3'!O133+'12-3'!O133+'13-3'!O133+'14-3'!O133+'15-3'!O133+'16-3'!O133+'17-3'!O133+'18-3'!O133+'19-3'!O133+'21-3'!O133+'22-3'!O133+'24-3'!O133+'25-3'!O133+'28-3'!O133+'29-3'!O133+'30-3'!O133+'32-3'!O133+'35-3'!O133+'37-3'!O133+'47-3'!O133+'62-3'!O133+'64-3'!O133+'74-3'!O133</f>
        <v>122448021</v>
      </c>
      <c r="P387" s="106">
        <f>'01-3'!P133+'02-3'!P133+'03-3'!P133+'04-3'!P133+'05-3'!P133+'08-3'!P133+'09-3'!P133+'10-3'!P133+'11-3'!P133+'12-3'!P133+'13-3'!P133+'14-3'!P133+'15-3'!P133+'16-3'!P133+'17-3'!P133+'18-3'!P133+'19-3'!P133+'21-3'!P133+'22-3'!P133+'24-3'!P133+'25-3'!P133+'28-3'!P133+'29-3'!P133+'30-3'!P133+'32-3'!P133+'35-3'!P133+'37-3'!P133+'47-3'!P133+'62-3'!P133+'64-3'!P133+'74-3'!P133</f>
        <v>1703419</v>
      </c>
      <c r="Q387" s="106">
        <f>'01-3'!Q133+'02-3'!Q133+'03-3'!Q133+'04-3'!Q133+'05-3'!Q133+'08-3'!Q133+'09-3'!Q133+'10-3'!Q133+'11-3'!Q133+'12-3'!Q133+'13-3'!Q133+'14-3'!Q133+'15-3'!Q133+'16-3'!Q133+'17-3'!Q133+'18-3'!Q133+'19-3'!Q133+'21-3'!Q133+'22-3'!Q133+'24-3'!Q133+'25-3'!Q133+'28-3'!Q133+'29-3'!Q133+'30-3'!Q133+'32-3'!Q133+'35-3'!Q133+'37-3'!Q133+'47-3'!Q133+'62-3'!Q133+'64-3'!Q133+'74-3'!Q133</f>
        <v>1476000</v>
      </c>
      <c r="R387" s="106">
        <f>'01-3'!R133+'02-3'!R133+'03-3'!R133+'04-3'!R133+'05-3'!R133+'08-3'!R133+'09-3'!R133+'10-3'!R133+'11-3'!R133+'12-3'!R133+'13-3'!R133+'14-3'!R133+'15-3'!R133+'16-3'!R133+'17-3'!R133+'18-3'!R133+'19-3'!R133+'21-3'!R133+'22-3'!R133+'24-3'!R133+'25-3'!R133+'28-3'!R133+'29-3'!R133+'30-3'!R133+'32-3'!R133+'35-3'!R133+'37-3'!R133+'47-3'!R133+'62-3'!R133+'64-3'!R133+'74-3'!R133</f>
        <v>139657447</v>
      </c>
      <c r="S387" s="499"/>
      <c r="T387" s="499"/>
      <c r="U387" s="499"/>
      <c r="V387" s="499"/>
      <c r="W387" s="499"/>
    </row>
    <row r="388" spans="1:23" s="89" customFormat="1" ht="24">
      <c r="A388" s="133" t="s">
        <v>117</v>
      </c>
      <c r="B388" s="112" t="s">
        <v>118</v>
      </c>
      <c r="C388" s="106">
        <f>'01-3'!C134+'02-3'!C134+'03-3'!C134+'04-3'!C134+'05-3'!C134+'08-3'!C134+'09-3'!C134+'10-3'!C134+'11-3'!C134+'12-3'!C134+'13-3'!C134+'14-3'!C134+'15-3'!C134+'16-3'!C134+'17-3'!C134+'18-3'!C134+'19-3'!C134+'21-3'!C134+'22-3'!C134+'24-3'!C134+'25-3'!C134+'28-3'!C134+'29-3'!C134+'30-3'!C134+'32-3'!C134+'35-3'!C134+'37-3'!C134+'47-3'!C134+'62-3'!C134+'64-3'!C134+'74-3'!C134</f>
        <v>15010694</v>
      </c>
      <c r="D388" s="106">
        <f>'01-3'!D134+'02-3'!D134+'03-3'!D134+'04-3'!D134+'05-3'!D134+'08-3'!D134+'09-3'!D134+'10-3'!D134+'11-3'!D134+'12-3'!D134+'13-3'!D134+'14-3'!D134+'15-3'!D134+'16-3'!D134+'17-3'!D134+'18-3'!D134+'19-3'!D134+'21-3'!D134+'22-3'!D134+'24-3'!D134+'25-3'!D134+'28-3'!D134+'29-3'!D134+'30-3'!D134+'32-3'!D134+'35-3'!D134+'37-3'!D134+'47-3'!D134+'62-3'!D134+'64-3'!D134+'74-3'!D134</f>
        <v>14556451</v>
      </c>
      <c r="E388" s="106">
        <f>'01-3'!E134+'02-3'!E134+'03-3'!E134+'04-3'!E134+'05-3'!E134+'08-3'!E134+'09-3'!E134+'10-3'!E134+'11-3'!E134+'12-3'!E134+'13-3'!E134+'14-3'!E134+'15-3'!E134+'16-3'!E134+'17-3'!E134+'18-3'!E134+'19-3'!E134+'21-3'!E134+'22-3'!E134+'24-3'!E134+'25-3'!E134+'28-3'!E134+'29-3'!E134+'30-3'!E134+'32-3'!E134+'35-3'!E134+'37-3'!E134+'47-3'!E134+'62-3'!E134+'64-3'!E134+'74-3'!E134</f>
        <v>8117</v>
      </c>
      <c r="F388" s="106">
        <f>'01-3'!F134+'02-3'!F134+'03-3'!F134+'04-3'!F134+'05-3'!F134+'08-3'!F134+'09-3'!F134+'10-3'!F134+'11-3'!F134+'12-3'!F134+'13-3'!F134+'14-3'!F134+'15-3'!F134+'16-3'!F134+'17-3'!F134+'18-3'!F134+'19-3'!F134+'21-3'!F134+'22-3'!F134+'24-3'!F134+'25-3'!F134+'28-3'!F134+'29-3'!F134+'30-3'!F134+'32-3'!F134+'35-3'!F134+'37-3'!F134+'47-3'!F134+'62-3'!F134+'64-3'!F134+'74-3'!F134</f>
        <v>2457230</v>
      </c>
      <c r="G388" s="106">
        <f>'01-3'!G134+'02-3'!G134+'03-3'!G134+'04-3'!G134+'05-3'!G134+'08-3'!G134+'09-3'!G134+'10-3'!G134+'11-3'!G134+'12-3'!G134+'13-3'!G134+'14-3'!G134+'15-3'!G134+'16-3'!G134+'17-3'!G134+'18-3'!G134+'19-3'!G134+'21-3'!G134+'22-3'!G134+'24-3'!G134+'25-3'!G134+'28-3'!G134+'29-3'!G134+'30-3'!G134+'32-3'!G134+'35-3'!G134+'37-3'!G134+'47-3'!G134+'62-3'!G134+'64-3'!G134+'74-3'!G134</f>
        <v>1476000</v>
      </c>
      <c r="H388" s="106">
        <f>'01-3'!H134+'02-3'!H134+'03-3'!H134+'04-3'!H134+'05-3'!H134+'08-3'!H134+'09-3'!H134+'10-3'!H134+'11-3'!H134+'12-3'!H134+'13-3'!H134+'14-3'!H134+'15-3'!H134+'16-3'!H134+'17-3'!H134+'18-3'!H134+'19-3'!H134+'21-3'!H134+'22-3'!H134+'24-3'!H134+'25-3'!H134+'28-3'!H134+'29-3'!H134+'30-3'!H134+'32-3'!H134+'35-3'!H134+'37-3'!H134+'47-3'!H134+'62-3'!H134+'64-3'!H134+'74-3'!H134</f>
        <v>18497798</v>
      </c>
      <c r="I388" s="106">
        <f>'01-3'!I134+'02-3'!I134+'03-3'!I134+'04-3'!I134+'05-3'!I134+'08-3'!I134+'09-3'!I134+'10-3'!I134+'11-3'!I134+'12-3'!I134+'13-3'!I134+'14-3'!I134+'15-3'!I134+'16-3'!I134+'17-3'!I134+'18-3'!I134+'19-3'!I134+'21-3'!I134+'22-3'!I134+'24-3'!I134+'25-3'!I134+'28-3'!I134+'29-3'!I134+'30-3'!I134+'32-3'!I134+'35-3'!I134+'37-3'!I134+'47-3'!I134+'62-3'!I134+'64-3'!I134+'74-3'!I134</f>
        <v>14272437</v>
      </c>
      <c r="J388" s="106">
        <f>'01-3'!J134+'02-3'!J134+'03-3'!J134+'04-3'!J134+'05-3'!J134+'08-3'!J134+'09-3'!J134+'10-3'!J134+'11-3'!J134+'12-3'!J134+'13-3'!J134+'14-3'!J134+'15-3'!J134+'16-3'!J134+'17-3'!J134+'18-3'!J134+'19-3'!J134+'21-3'!J134+'22-3'!J134+'24-3'!J134+'25-3'!J134+'28-3'!J134+'29-3'!J134+'30-3'!J134+'32-3'!J134+'35-3'!J134+'37-3'!J134+'47-3'!J134+'62-3'!J134+'64-3'!J134+'74-3'!J134</f>
        <v>127092110</v>
      </c>
      <c r="K388" s="106">
        <f>'01-3'!K134+'02-3'!K134+'03-3'!K134+'04-3'!K134+'05-3'!K134+'08-3'!K134+'09-3'!K134+'10-3'!K134+'11-3'!K134+'12-3'!K134+'13-3'!K134+'14-3'!K134+'15-3'!K134+'16-3'!K134+'17-3'!K134+'18-3'!K134+'19-3'!K134+'21-3'!K134+'22-3'!K134+'24-3'!K134+'25-3'!K134+'28-3'!K134+'29-3'!K134+'30-3'!K134+'32-3'!K134+'35-3'!K134+'37-3'!K134+'47-3'!K134+'62-3'!K134+'64-3'!K134+'74-3'!K134</f>
        <v>2094445</v>
      </c>
      <c r="L388" s="106">
        <f>'01-3'!L134+'02-3'!L134+'03-3'!L134+'04-3'!L134+'05-3'!L134+'08-3'!L134+'09-3'!L134+'10-3'!L134+'11-3'!L134+'12-3'!L134+'13-3'!L134+'14-3'!L134+'15-3'!L134+'16-3'!L134+'17-3'!L134+'18-3'!L134+'19-3'!L134+'21-3'!L134+'22-3'!L134+'24-3'!L134+'25-3'!L134+'28-3'!L134+'29-3'!L134+'30-3'!L134+'32-3'!L134+'35-3'!L134+'37-3'!L134+'47-3'!L134+'62-3'!L134+'64-3'!L134+'74-3'!L134</f>
        <v>1476000</v>
      </c>
      <c r="M388" s="106">
        <f>'01-3'!M134+'02-3'!M134+'03-3'!M134+'04-3'!M134+'05-3'!M134+'08-3'!M134+'09-3'!M134+'10-3'!M134+'11-3'!M134+'12-3'!M134+'13-3'!M134+'14-3'!M134+'15-3'!M134+'16-3'!M134+'17-3'!M134+'18-3'!M134+'19-3'!M134+'21-3'!M134+'22-3'!M134+'24-3'!M134+'25-3'!M134+'28-3'!M134+'29-3'!M134+'30-3'!M134+'32-3'!M134+'35-3'!M134+'37-3'!M134+'47-3'!M134+'62-3'!M134+'64-3'!M134+'74-3'!M134</f>
        <v>144934992</v>
      </c>
      <c r="N388" s="106">
        <f>'01-3'!N134+'02-3'!N134+'03-3'!N134+'04-3'!N134+'05-3'!N134+'08-3'!N134+'09-3'!N134+'10-3'!N134+'11-3'!N134+'12-3'!N134+'13-3'!N134+'14-3'!N134+'15-3'!N134+'16-3'!N134+'17-3'!N134+'18-3'!N134+'19-3'!N134+'21-3'!N134+'22-3'!N134+'24-3'!N134+'25-3'!N134+'28-3'!N134+'29-3'!N134+'30-3'!N134+'32-3'!N134+'35-3'!N134+'37-3'!N134+'47-3'!N134+'62-3'!N134+'64-3'!N134+'74-3'!N134</f>
        <v>14030007</v>
      </c>
      <c r="O388" s="106">
        <f>'01-3'!O134+'02-3'!O134+'03-3'!O134+'04-3'!O134+'05-3'!O134+'08-3'!O134+'09-3'!O134+'10-3'!O134+'11-3'!O134+'12-3'!O134+'13-3'!O134+'14-3'!O134+'15-3'!O134+'16-3'!O134+'17-3'!O134+'18-3'!O134+'19-3'!O134+'21-3'!O134+'22-3'!O134+'24-3'!O134+'25-3'!O134+'28-3'!O134+'29-3'!O134+'30-3'!O134+'32-3'!O134+'35-3'!O134+'37-3'!O134+'47-3'!O134+'62-3'!O134+'64-3'!O134+'74-3'!O134</f>
        <v>122448021</v>
      </c>
      <c r="P388" s="106">
        <f>'01-3'!P134+'02-3'!P134+'03-3'!P134+'04-3'!P134+'05-3'!P134+'08-3'!P134+'09-3'!P134+'10-3'!P134+'11-3'!P134+'12-3'!P134+'13-3'!P134+'14-3'!P134+'15-3'!P134+'16-3'!P134+'17-3'!P134+'18-3'!P134+'19-3'!P134+'21-3'!P134+'22-3'!P134+'24-3'!P134+'25-3'!P134+'28-3'!P134+'29-3'!P134+'30-3'!P134+'32-3'!P134+'35-3'!P134+'37-3'!P134+'47-3'!P134+'62-3'!P134+'64-3'!P134+'74-3'!P134</f>
        <v>1703419</v>
      </c>
      <c r="Q388" s="106">
        <f>'01-3'!Q134+'02-3'!Q134+'03-3'!Q134+'04-3'!Q134+'05-3'!Q134+'08-3'!Q134+'09-3'!Q134+'10-3'!Q134+'11-3'!Q134+'12-3'!Q134+'13-3'!Q134+'14-3'!Q134+'15-3'!Q134+'16-3'!Q134+'17-3'!Q134+'18-3'!Q134+'19-3'!Q134+'21-3'!Q134+'22-3'!Q134+'24-3'!Q134+'25-3'!Q134+'28-3'!Q134+'29-3'!Q134+'30-3'!Q134+'32-3'!Q134+'35-3'!Q134+'37-3'!Q134+'47-3'!Q134+'62-3'!Q134+'64-3'!Q134+'74-3'!Q134</f>
        <v>1476000</v>
      </c>
      <c r="R388" s="106">
        <f>'01-3'!R134+'02-3'!R134+'03-3'!R134+'04-3'!R134+'05-3'!R134+'08-3'!R134+'09-3'!R134+'10-3'!R134+'11-3'!R134+'12-3'!R134+'13-3'!R134+'14-3'!R134+'15-3'!R134+'16-3'!R134+'17-3'!R134+'18-3'!R134+'19-3'!R134+'21-3'!R134+'22-3'!R134+'24-3'!R134+'25-3'!R134+'28-3'!R134+'29-3'!R134+'30-3'!R134+'32-3'!R134+'35-3'!R134+'37-3'!R134+'47-3'!R134+'62-3'!R134+'64-3'!R134+'74-3'!R134</f>
        <v>139657447</v>
      </c>
      <c r="S388" s="499"/>
      <c r="T388" s="499"/>
      <c r="U388" s="499"/>
      <c r="V388" s="499"/>
      <c r="W388" s="499"/>
    </row>
    <row r="389" spans="1:23" s="89" customFormat="1" ht="24">
      <c r="A389" s="133">
        <v>7130</v>
      </c>
      <c r="B389" s="112" t="s">
        <v>119</v>
      </c>
      <c r="C389" s="106">
        <f>'01-3'!C135+'02-3'!C135+'03-3'!C135+'04-3'!C135+'05-3'!C135+'08-3'!C135+'09-3'!C135+'10-3'!C135+'11-3'!C135+'12-3'!C135+'13-3'!C135+'14-3'!C135+'15-3'!C135+'16-3'!C135+'17-3'!C135+'18-3'!C135+'19-3'!C135+'21-3'!C135+'22-3'!C135+'24-3'!C135+'25-3'!C135+'28-3'!C135+'29-3'!C135+'30-3'!C135+'32-3'!C135+'35-3'!C135+'37-3'!C135+'47-3'!C135+'62-3'!C135+'64-3'!C135+'74-3'!C135</f>
        <v>1568686</v>
      </c>
      <c r="D389" s="106">
        <f>'01-3'!D135+'02-3'!D135+'03-3'!D135+'04-3'!D135+'05-3'!D135+'08-3'!D135+'09-3'!D135+'10-3'!D135+'11-3'!D135+'12-3'!D135+'13-3'!D135+'14-3'!D135+'15-3'!D135+'16-3'!D135+'17-3'!D135+'18-3'!D135+'19-3'!D135+'21-3'!D135+'22-3'!D135+'24-3'!D135+'25-3'!D135+'28-3'!D135+'29-3'!D135+'30-3'!D135+'32-3'!D135+'35-3'!D135+'37-3'!D135+'47-3'!D135+'62-3'!D135+'64-3'!D135+'74-3'!D135</f>
        <v>77760</v>
      </c>
      <c r="E389" s="106">
        <f>'01-3'!E135+'02-3'!E135+'03-3'!E135+'04-3'!E135+'05-3'!E135+'08-3'!E135+'09-3'!E135+'10-3'!E135+'11-3'!E135+'12-3'!E135+'13-3'!E135+'14-3'!E135+'15-3'!E135+'16-3'!E135+'17-3'!E135+'18-3'!E135+'19-3'!E135+'21-3'!E135+'22-3'!E135+'24-3'!E135+'25-3'!E135+'28-3'!E135+'29-3'!E135+'30-3'!E135+'32-3'!E135+'35-3'!E135+'37-3'!E135+'47-3'!E135+'62-3'!E135+'64-3'!E135+'74-3'!E135</f>
        <v>0</v>
      </c>
      <c r="F389" s="106">
        <f>'01-3'!F135+'02-3'!F135+'03-3'!F135+'04-3'!F135+'05-3'!F135+'08-3'!F135+'09-3'!F135+'10-3'!F135+'11-3'!F135+'12-3'!F135+'13-3'!F135+'14-3'!F135+'15-3'!F135+'16-3'!F135+'17-3'!F135+'18-3'!F135+'19-3'!F135+'21-3'!F135+'22-3'!F135+'24-3'!F135+'25-3'!F135+'28-3'!F135+'29-3'!F135+'30-3'!F135+'32-3'!F135+'35-3'!F135+'37-3'!F135+'47-3'!F135+'62-3'!F135+'64-3'!F135+'74-3'!F135</f>
        <v>0</v>
      </c>
      <c r="G389" s="106">
        <f>'01-3'!G135+'02-3'!G135+'03-3'!G135+'04-3'!G135+'05-3'!G135+'08-3'!G135+'09-3'!G135+'10-3'!G135+'11-3'!G135+'12-3'!G135+'13-3'!G135+'14-3'!G135+'15-3'!G135+'16-3'!G135+'17-3'!G135+'18-3'!G135+'19-3'!G135+'21-3'!G135+'22-3'!G135+'24-3'!G135+'25-3'!G135+'28-3'!G135+'29-3'!G135+'30-3'!G135+'32-3'!G135+'35-3'!G135+'37-3'!G135+'47-3'!G135+'62-3'!G135+'64-3'!G135+'74-3'!G135</f>
        <v>20000</v>
      </c>
      <c r="H389" s="106">
        <f>'01-3'!H135+'02-3'!H135+'03-3'!H135+'04-3'!H135+'05-3'!H135+'08-3'!H135+'09-3'!H135+'10-3'!H135+'11-3'!H135+'12-3'!H135+'13-3'!H135+'14-3'!H135+'15-3'!H135+'16-3'!H135+'17-3'!H135+'18-3'!H135+'19-3'!H135+'21-3'!H135+'22-3'!H135+'24-3'!H135+'25-3'!H135+'28-3'!H135+'29-3'!H135+'30-3'!H135+'32-3'!H135+'35-3'!H135+'37-3'!H135+'47-3'!H135+'62-3'!H135+'64-3'!H135+'74-3'!H135</f>
        <v>97760</v>
      </c>
      <c r="I389" s="106">
        <f>'01-3'!I135+'02-3'!I135+'03-3'!I135+'04-3'!I135+'05-3'!I135+'08-3'!I135+'09-3'!I135+'10-3'!I135+'11-3'!I135+'12-3'!I135+'13-3'!I135+'14-3'!I135+'15-3'!I135+'16-3'!I135+'17-3'!I135+'18-3'!I135+'19-3'!I135+'21-3'!I135+'22-3'!I135+'24-3'!I135+'25-3'!I135+'28-3'!I135+'29-3'!I135+'30-3'!I135+'32-3'!I135+'35-3'!I135+'37-3'!I135+'47-3'!I135+'62-3'!I135+'64-3'!I135+'74-3'!I135</f>
        <v>77760</v>
      </c>
      <c r="J389" s="106">
        <f>'01-3'!J135+'02-3'!J135+'03-3'!J135+'04-3'!J135+'05-3'!J135+'08-3'!J135+'09-3'!J135+'10-3'!J135+'11-3'!J135+'12-3'!J135+'13-3'!J135+'14-3'!J135+'15-3'!J135+'16-3'!J135+'17-3'!J135+'18-3'!J135+'19-3'!J135+'21-3'!J135+'22-3'!J135+'24-3'!J135+'25-3'!J135+'28-3'!J135+'29-3'!J135+'30-3'!J135+'32-3'!J135+'35-3'!J135+'37-3'!J135+'47-3'!J135+'62-3'!J135+'64-3'!J135+'74-3'!J135</f>
        <v>0</v>
      </c>
      <c r="K389" s="106">
        <f>'01-3'!K135+'02-3'!K135+'03-3'!K135+'04-3'!K135+'05-3'!K135+'08-3'!K135+'09-3'!K135+'10-3'!K135+'11-3'!K135+'12-3'!K135+'13-3'!K135+'14-3'!K135+'15-3'!K135+'16-3'!K135+'17-3'!K135+'18-3'!K135+'19-3'!K135+'21-3'!K135+'22-3'!K135+'24-3'!K135+'25-3'!K135+'28-3'!K135+'29-3'!K135+'30-3'!K135+'32-3'!K135+'35-3'!K135+'37-3'!K135+'47-3'!K135+'62-3'!K135+'64-3'!K135+'74-3'!K135</f>
        <v>0</v>
      </c>
      <c r="L389" s="106">
        <f>'01-3'!L135+'02-3'!L135+'03-3'!L135+'04-3'!L135+'05-3'!L135+'08-3'!L135+'09-3'!L135+'10-3'!L135+'11-3'!L135+'12-3'!L135+'13-3'!L135+'14-3'!L135+'15-3'!L135+'16-3'!L135+'17-3'!L135+'18-3'!L135+'19-3'!L135+'21-3'!L135+'22-3'!L135+'24-3'!L135+'25-3'!L135+'28-3'!L135+'29-3'!L135+'30-3'!L135+'32-3'!L135+'35-3'!L135+'37-3'!L135+'47-3'!L135+'62-3'!L135+'64-3'!L135+'74-3'!L135</f>
        <v>0</v>
      </c>
      <c r="M389" s="106">
        <f>'01-3'!M135+'02-3'!M135+'03-3'!M135+'04-3'!M135+'05-3'!M135+'08-3'!M135+'09-3'!M135+'10-3'!M135+'11-3'!M135+'12-3'!M135+'13-3'!M135+'14-3'!M135+'15-3'!M135+'16-3'!M135+'17-3'!M135+'18-3'!M135+'19-3'!M135+'21-3'!M135+'22-3'!M135+'24-3'!M135+'25-3'!M135+'28-3'!M135+'29-3'!M135+'30-3'!M135+'32-3'!M135+'35-3'!M135+'37-3'!M135+'47-3'!M135+'62-3'!M135+'64-3'!M135+'74-3'!M135</f>
        <v>77760</v>
      </c>
      <c r="N389" s="106">
        <f>'01-3'!N135+'02-3'!N135+'03-3'!N135+'04-3'!N135+'05-3'!N135+'08-3'!N135+'09-3'!N135+'10-3'!N135+'11-3'!N135+'12-3'!N135+'13-3'!N135+'14-3'!N135+'15-3'!N135+'16-3'!N135+'17-3'!N135+'18-3'!N135+'19-3'!N135+'21-3'!N135+'22-3'!N135+'24-3'!N135+'25-3'!N135+'28-3'!N135+'29-3'!N135+'30-3'!N135+'32-3'!N135+'35-3'!N135+'37-3'!N135+'47-3'!N135+'62-3'!N135+'64-3'!N135+'74-3'!N135</f>
        <v>0</v>
      </c>
      <c r="O389" s="106">
        <f>'01-3'!O135+'02-3'!O135+'03-3'!O135+'04-3'!O135+'05-3'!O135+'08-3'!O135+'09-3'!O135+'10-3'!O135+'11-3'!O135+'12-3'!O135+'13-3'!O135+'14-3'!O135+'15-3'!O135+'16-3'!O135+'17-3'!O135+'18-3'!O135+'19-3'!O135+'21-3'!O135+'22-3'!O135+'24-3'!O135+'25-3'!O135+'28-3'!O135+'29-3'!O135+'30-3'!O135+'32-3'!O135+'35-3'!O135+'37-3'!O135+'47-3'!O135+'62-3'!O135+'64-3'!O135+'74-3'!O135</f>
        <v>0</v>
      </c>
      <c r="P389" s="106">
        <f>'01-3'!P135+'02-3'!P135+'03-3'!P135+'04-3'!P135+'05-3'!P135+'08-3'!P135+'09-3'!P135+'10-3'!P135+'11-3'!P135+'12-3'!P135+'13-3'!P135+'14-3'!P135+'15-3'!P135+'16-3'!P135+'17-3'!P135+'18-3'!P135+'19-3'!P135+'21-3'!P135+'22-3'!P135+'24-3'!P135+'25-3'!P135+'28-3'!P135+'29-3'!P135+'30-3'!P135+'32-3'!P135+'35-3'!P135+'37-3'!P135+'47-3'!P135+'62-3'!P135+'64-3'!P135+'74-3'!P135</f>
        <v>0</v>
      </c>
      <c r="Q389" s="106">
        <f>'01-3'!Q135+'02-3'!Q135+'03-3'!Q135+'04-3'!Q135+'05-3'!Q135+'08-3'!Q135+'09-3'!Q135+'10-3'!Q135+'11-3'!Q135+'12-3'!Q135+'13-3'!Q135+'14-3'!Q135+'15-3'!Q135+'16-3'!Q135+'17-3'!Q135+'18-3'!Q135+'19-3'!Q135+'21-3'!Q135+'22-3'!Q135+'24-3'!Q135+'25-3'!Q135+'28-3'!Q135+'29-3'!Q135+'30-3'!Q135+'32-3'!Q135+'35-3'!Q135+'37-3'!Q135+'47-3'!Q135+'62-3'!Q135+'64-3'!Q135+'74-3'!Q135</f>
        <v>0</v>
      </c>
      <c r="R389" s="106">
        <f>'01-3'!R135+'02-3'!R135+'03-3'!R135+'04-3'!R135+'05-3'!R135+'08-3'!R135+'09-3'!R135+'10-3'!R135+'11-3'!R135+'12-3'!R135+'13-3'!R135+'14-3'!R135+'15-3'!R135+'16-3'!R135+'17-3'!R135+'18-3'!R135+'19-3'!R135+'21-3'!R135+'22-3'!R135+'24-3'!R135+'25-3'!R135+'28-3'!R135+'29-3'!R135+'30-3'!R135+'32-3'!R135+'35-3'!R135+'37-3'!R135+'47-3'!R135+'62-3'!R135+'64-3'!R135+'74-3'!R135</f>
        <v>0</v>
      </c>
      <c r="S389" s="499"/>
      <c r="T389" s="499"/>
      <c r="U389" s="499"/>
      <c r="V389" s="499"/>
      <c r="W389" s="499"/>
    </row>
    <row r="390" spans="1:23" s="89" customFormat="1" ht="36">
      <c r="A390" s="134">
        <v>7131</v>
      </c>
      <c r="B390" s="112" t="s">
        <v>120</v>
      </c>
      <c r="C390" s="106">
        <f>'01-3'!C136+'02-3'!C136+'03-3'!C136+'04-3'!C136+'05-3'!C136+'08-3'!C136+'09-3'!C136+'10-3'!C136+'11-3'!C136+'12-3'!C136+'13-3'!C136+'14-3'!C136+'15-3'!C136+'16-3'!C136+'17-3'!C136+'18-3'!C136+'19-3'!C136+'21-3'!C136+'22-3'!C136+'24-3'!C136+'25-3'!C136+'28-3'!C136+'29-3'!C136+'30-3'!C136+'32-3'!C136+'35-3'!C136+'37-3'!C136+'47-3'!C136+'62-3'!C136+'64-3'!C136+'74-3'!C136</f>
        <v>1568686</v>
      </c>
      <c r="D390" s="106">
        <f>'01-3'!D136+'02-3'!D136+'03-3'!D136+'04-3'!D136+'05-3'!D136+'08-3'!D136+'09-3'!D136+'10-3'!D136+'11-3'!D136+'12-3'!D136+'13-3'!D136+'14-3'!D136+'15-3'!D136+'16-3'!D136+'17-3'!D136+'18-3'!D136+'19-3'!D136+'21-3'!D136+'22-3'!D136+'24-3'!D136+'25-3'!D136+'28-3'!D136+'29-3'!D136+'30-3'!D136+'32-3'!D136+'35-3'!D136+'37-3'!D136+'47-3'!D136+'62-3'!D136+'64-3'!D136+'74-3'!D136</f>
        <v>77760</v>
      </c>
      <c r="E390" s="106">
        <f>'01-3'!E136+'02-3'!E136+'03-3'!E136+'04-3'!E136+'05-3'!E136+'08-3'!E136+'09-3'!E136+'10-3'!E136+'11-3'!E136+'12-3'!E136+'13-3'!E136+'14-3'!E136+'15-3'!E136+'16-3'!E136+'17-3'!E136+'18-3'!E136+'19-3'!E136+'21-3'!E136+'22-3'!E136+'24-3'!E136+'25-3'!E136+'28-3'!E136+'29-3'!E136+'30-3'!E136+'32-3'!E136+'35-3'!E136+'37-3'!E136+'47-3'!E136+'62-3'!E136+'64-3'!E136+'74-3'!E136</f>
        <v>0</v>
      </c>
      <c r="F390" s="106">
        <f>'01-3'!F136+'02-3'!F136+'03-3'!F136+'04-3'!F136+'05-3'!F136+'08-3'!F136+'09-3'!F136+'10-3'!F136+'11-3'!F136+'12-3'!F136+'13-3'!F136+'14-3'!F136+'15-3'!F136+'16-3'!F136+'17-3'!F136+'18-3'!F136+'19-3'!F136+'21-3'!F136+'22-3'!F136+'24-3'!F136+'25-3'!F136+'28-3'!F136+'29-3'!F136+'30-3'!F136+'32-3'!F136+'35-3'!F136+'37-3'!F136+'47-3'!F136+'62-3'!F136+'64-3'!F136+'74-3'!F136</f>
        <v>0</v>
      </c>
      <c r="G390" s="106">
        <f>'01-3'!G136+'02-3'!G136+'03-3'!G136+'04-3'!G136+'05-3'!G136+'08-3'!G136+'09-3'!G136+'10-3'!G136+'11-3'!G136+'12-3'!G136+'13-3'!G136+'14-3'!G136+'15-3'!G136+'16-3'!G136+'17-3'!G136+'18-3'!G136+'19-3'!G136+'21-3'!G136+'22-3'!G136+'24-3'!G136+'25-3'!G136+'28-3'!G136+'29-3'!G136+'30-3'!G136+'32-3'!G136+'35-3'!G136+'37-3'!G136+'47-3'!G136+'62-3'!G136+'64-3'!G136+'74-3'!G136</f>
        <v>20000</v>
      </c>
      <c r="H390" s="106">
        <f>'01-3'!H136+'02-3'!H136+'03-3'!H136+'04-3'!H136+'05-3'!H136+'08-3'!H136+'09-3'!H136+'10-3'!H136+'11-3'!H136+'12-3'!H136+'13-3'!H136+'14-3'!H136+'15-3'!H136+'16-3'!H136+'17-3'!H136+'18-3'!H136+'19-3'!H136+'21-3'!H136+'22-3'!H136+'24-3'!H136+'25-3'!H136+'28-3'!H136+'29-3'!H136+'30-3'!H136+'32-3'!H136+'35-3'!H136+'37-3'!H136+'47-3'!H136+'62-3'!H136+'64-3'!H136+'74-3'!H136</f>
        <v>97760</v>
      </c>
      <c r="I390" s="106">
        <f>'01-3'!I136+'02-3'!I136+'03-3'!I136+'04-3'!I136+'05-3'!I136+'08-3'!I136+'09-3'!I136+'10-3'!I136+'11-3'!I136+'12-3'!I136+'13-3'!I136+'14-3'!I136+'15-3'!I136+'16-3'!I136+'17-3'!I136+'18-3'!I136+'19-3'!I136+'21-3'!I136+'22-3'!I136+'24-3'!I136+'25-3'!I136+'28-3'!I136+'29-3'!I136+'30-3'!I136+'32-3'!I136+'35-3'!I136+'37-3'!I136+'47-3'!I136+'62-3'!I136+'64-3'!I136+'74-3'!I136</f>
        <v>77760</v>
      </c>
      <c r="J390" s="106">
        <f>'01-3'!J136+'02-3'!J136+'03-3'!J136+'04-3'!J136+'05-3'!J136+'08-3'!J136+'09-3'!J136+'10-3'!J136+'11-3'!J136+'12-3'!J136+'13-3'!J136+'14-3'!J136+'15-3'!J136+'16-3'!J136+'17-3'!J136+'18-3'!J136+'19-3'!J136+'21-3'!J136+'22-3'!J136+'24-3'!J136+'25-3'!J136+'28-3'!J136+'29-3'!J136+'30-3'!J136+'32-3'!J136+'35-3'!J136+'37-3'!J136+'47-3'!J136+'62-3'!J136+'64-3'!J136+'74-3'!J136</f>
        <v>0</v>
      </c>
      <c r="K390" s="106">
        <f>'01-3'!K136+'02-3'!K136+'03-3'!K136+'04-3'!K136+'05-3'!K136+'08-3'!K136+'09-3'!K136+'10-3'!K136+'11-3'!K136+'12-3'!K136+'13-3'!K136+'14-3'!K136+'15-3'!K136+'16-3'!K136+'17-3'!K136+'18-3'!K136+'19-3'!K136+'21-3'!K136+'22-3'!K136+'24-3'!K136+'25-3'!K136+'28-3'!K136+'29-3'!K136+'30-3'!K136+'32-3'!K136+'35-3'!K136+'37-3'!K136+'47-3'!K136+'62-3'!K136+'64-3'!K136+'74-3'!K136</f>
        <v>0</v>
      </c>
      <c r="L390" s="106">
        <f>'01-3'!L136+'02-3'!L136+'03-3'!L136+'04-3'!L136+'05-3'!L136+'08-3'!L136+'09-3'!L136+'10-3'!L136+'11-3'!L136+'12-3'!L136+'13-3'!L136+'14-3'!L136+'15-3'!L136+'16-3'!L136+'17-3'!L136+'18-3'!L136+'19-3'!L136+'21-3'!L136+'22-3'!L136+'24-3'!L136+'25-3'!L136+'28-3'!L136+'29-3'!L136+'30-3'!L136+'32-3'!L136+'35-3'!L136+'37-3'!L136+'47-3'!L136+'62-3'!L136+'64-3'!L136+'74-3'!L136</f>
        <v>0</v>
      </c>
      <c r="M390" s="106">
        <f>'01-3'!M136+'02-3'!M136+'03-3'!M136+'04-3'!M136+'05-3'!M136+'08-3'!M136+'09-3'!M136+'10-3'!M136+'11-3'!M136+'12-3'!M136+'13-3'!M136+'14-3'!M136+'15-3'!M136+'16-3'!M136+'17-3'!M136+'18-3'!M136+'19-3'!M136+'21-3'!M136+'22-3'!M136+'24-3'!M136+'25-3'!M136+'28-3'!M136+'29-3'!M136+'30-3'!M136+'32-3'!M136+'35-3'!M136+'37-3'!M136+'47-3'!M136+'62-3'!M136+'64-3'!M136+'74-3'!M136</f>
        <v>77760</v>
      </c>
      <c r="N390" s="106">
        <f>'01-3'!N136+'02-3'!N136+'03-3'!N136+'04-3'!N136+'05-3'!N136+'08-3'!N136+'09-3'!N136+'10-3'!N136+'11-3'!N136+'12-3'!N136+'13-3'!N136+'14-3'!N136+'15-3'!N136+'16-3'!N136+'17-3'!N136+'18-3'!N136+'19-3'!N136+'21-3'!N136+'22-3'!N136+'24-3'!N136+'25-3'!N136+'28-3'!N136+'29-3'!N136+'30-3'!N136+'32-3'!N136+'35-3'!N136+'37-3'!N136+'47-3'!N136+'62-3'!N136+'64-3'!N136+'74-3'!N136</f>
        <v>0</v>
      </c>
      <c r="O390" s="106">
        <f>'01-3'!O136+'02-3'!O136+'03-3'!O136+'04-3'!O136+'05-3'!O136+'08-3'!O136+'09-3'!O136+'10-3'!O136+'11-3'!O136+'12-3'!O136+'13-3'!O136+'14-3'!O136+'15-3'!O136+'16-3'!O136+'17-3'!O136+'18-3'!O136+'19-3'!O136+'21-3'!O136+'22-3'!O136+'24-3'!O136+'25-3'!O136+'28-3'!O136+'29-3'!O136+'30-3'!O136+'32-3'!O136+'35-3'!O136+'37-3'!O136+'47-3'!O136+'62-3'!O136+'64-3'!O136+'74-3'!O136</f>
        <v>0</v>
      </c>
      <c r="P390" s="106">
        <f>'01-3'!P136+'02-3'!P136+'03-3'!P136+'04-3'!P136+'05-3'!P136+'08-3'!P136+'09-3'!P136+'10-3'!P136+'11-3'!P136+'12-3'!P136+'13-3'!P136+'14-3'!P136+'15-3'!P136+'16-3'!P136+'17-3'!P136+'18-3'!P136+'19-3'!P136+'21-3'!P136+'22-3'!P136+'24-3'!P136+'25-3'!P136+'28-3'!P136+'29-3'!P136+'30-3'!P136+'32-3'!P136+'35-3'!P136+'37-3'!P136+'47-3'!P136+'62-3'!P136+'64-3'!P136+'74-3'!P136</f>
        <v>0</v>
      </c>
      <c r="Q390" s="106">
        <f>'01-3'!Q136+'02-3'!Q136+'03-3'!Q136+'04-3'!Q136+'05-3'!Q136+'08-3'!Q136+'09-3'!Q136+'10-3'!Q136+'11-3'!Q136+'12-3'!Q136+'13-3'!Q136+'14-3'!Q136+'15-3'!Q136+'16-3'!Q136+'17-3'!Q136+'18-3'!Q136+'19-3'!Q136+'21-3'!Q136+'22-3'!Q136+'24-3'!Q136+'25-3'!Q136+'28-3'!Q136+'29-3'!Q136+'30-3'!Q136+'32-3'!Q136+'35-3'!Q136+'37-3'!Q136+'47-3'!Q136+'62-3'!Q136+'64-3'!Q136+'74-3'!Q136</f>
        <v>0</v>
      </c>
      <c r="R390" s="106">
        <f>'01-3'!R136+'02-3'!R136+'03-3'!R136+'04-3'!R136+'05-3'!R136+'08-3'!R136+'09-3'!R136+'10-3'!R136+'11-3'!R136+'12-3'!R136+'13-3'!R136+'14-3'!R136+'15-3'!R136+'16-3'!R136+'17-3'!R136+'18-3'!R136+'19-3'!R136+'21-3'!R136+'22-3'!R136+'24-3'!R136+'25-3'!R136+'28-3'!R136+'29-3'!R136+'30-3'!R136+'32-3'!R136+'35-3'!R136+'37-3'!R136+'47-3'!R136+'62-3'!R136+'64-3'!R136+'74-3'!R136</f>
        <v>0</v>
      </c>
      <c r="S390" s="499"/>
      <c r="T390" s="499"/>
      <c r="U390" s="499"/>
      <c r="V390" s="499"/>
      <c r="W390" s="499"/>
    </row>
    <row r="391" spans="1:23" s="29" customFormat="1" ht="36" hidden="1">
      <c r="A391" s="134">
        <v>7132</v>
      </c>
      <c r="B391" s="112" t="s">
        <v>121</v>
      </c>
      <c r="C391" s="106">
        <f>'01-3'!C137+'02-3'!C137+'03-3'!C137+'04-3'!C137+'05-3'!C137+'08-3'!C137+'09-3'!C137+'10-3'!C137+'11-3'!C137+'12-3'!C137+'13-3'!C137+'14-3'!C137+'15-3'!C137+'16-3'!C137+'17-3'!C137+'18-3'!C137+'19-3'!C137+'21-3'!C137+'22-3'!C137+'24-3'!C137+'25-3'!C137+'28-3'!C137+'29-3'!C137+'30-3'!C137+'32-3'!C137+'35-3'!C137+'37-3'!C137+'47-3'!C137+'62-3'!C137+'64-3'!C137+'74-3'!C137</f>
        <v>0</v>
      </c>
      <c r="D391" s="106">
        <f>'01-3'!D137+'02-3'!D137+'03-3'!D137+'04-3'!D137+'05-3'!D137+'08-3'!D137+'09-3'!D137+'10-3'!D137+'11-3'!D137+'12-3'!D137+'13-3'!D137+'14-3'!D137+'15-3'!D137+'16-3'!D137+'17-3'!D137+'18-3'!D137+'19-3'!D137+'21-3'!D137+'22-3'!D137+'24-3'!D137+'25-3'!D137+'28-3'!D137+'29-3'!D137+'30-3'!D137+'32-3'!D137+'35-3'!D137+'37-3'!D137+'47-3'!D137+'62-3'!D137+'64-3'!D137+'74-3'!D137</f>
        <v>0</v>
      </c>
      <c r="E391" s="106">
        <f>'01-3'!E137+'02-3'!E137+'03-3'!E137+'04-3'!E137+'05-3'!E137+'08-3'!E137+'09-3'!E137+'10-3'!E137+'11-3'!E137+'12-3'!E137+'13-3'!E137+'14-3'!E137+'15-3'!E137+'16-3'!E137+'17-3'!E137+'18-3'!E137+'19-3'!E137+'21-3'!E137+'22-3'!E137+'24-3'!E137+'25-3'!E137+'28-3'!E137+'29-3'!E137+'30-3'!E137+'32-3'!E137+'35-3'!E137+'37-3'!E137+'47-3'!E137+'62-3'!E137+'64-3'!E137+'74-3'!E137</f>
        <v>0</v>
      </c>
      <c r="F391" s="106">
        <f>'01-3'!F137+'02-3'!F137+'03-3'!F137+'04-3'!F137+'05-3'!F137+'08-3'!F137+'09-3'!F137+'10-3'!F137+'11-3'!F137+'12-3'!F137+'13-3'!F137+'14-3'!F137+'15-3'!F137+'16-3'!F137+'17-3'!F137+'18-3'!F137+'19-3'!F137+'21-3'!F137+'22-3'!F137+'24-3'!F137+'25-3'!F137+'28-3'!F137+'29-3'!F137+'30-3'!F137+'32-3'!F137+'35-3'!F137+'37-3'!F137+'47-3'!F137+'62-3'!F137+'64-3'!F137+'74-3'!F137</f>
        <v>0</v>
      </c>
      <c r="G391" s="106">
        <f>'01-3'!G137+'02-3'!G137+'03-3'!G137+'04-3'!G137+'05-3'!G137+'08-3'!G137+'09-3'!G137+'10-3'!G137+'11-3'!G137+'12-3'!G137+'13-3'!G137+'14-3'!G137+'15-3'!G137+'16-3'!G137+'17-3'!G137+'18-3'!G137+'19-3'!G137+'21-3'!G137+'22-3'!G137+'24-3'!G137+'25-3'!G137+'28-3'!G137+'29-3'!G137+'30-3'!G137+'32-3'!G137+'35-3'!G137+'37-3'!G137+'47-3'!G137+'62-3'!G137+'64-3'!G137+'74-3'!G137</f>
        <v>0</v>
      </c>
      <c r="H391" s="106">
        <f>'01-3'!H137+'02-3'!H137+'03-3'!H137+'04-3'!H137+'05-3'!H137+'08-3'!H137+'09-3'!H137+'10-3'!H137+'11-3'!H137+'12-3'!H137+'13-3'!H137+'14-3'!H137+'15-3'!H137+'16-3'!H137+'17-3'!H137+'18-3'!H137+'19-3'!H137+'21-3'!H137+'22-3'!H137+'24-3'!H137+'25-3'!H137+'28-3'!H137+'29-3'!H137+'30-3'!H137+'32-3'!H137+'35-3'!H137+'37-3'!H137+'47-3'!H137+'62-3'!H137+'64-3'!H137+'74-3'!H137</f>
        <v>0</v>
      </c>
      <c r="I391" s="106">
        <f>'01-3'!I137+'02-3'!I137+'03-3'!I137+'04-3'!I137+'05-3'!I137+'08-3'!I137+'09-3'!I137+'10-3'!I137+'11-3'!I137+'12-3'!I137+'13-3'!I137+'14-3'!I137+'15-3'!I137+'16-3'!I137+'17-3'!I137+'18-3'!I137+'19-3'!I137+'21-3'!I137+'22-3'!I137+'24-3'!I137+'25-3'!I137+'28-3'!I137+'29-3'!I137+'30-3'!I137+'32-3'!I137+'35-3'!I137+'37-3'!I137+'47-3'!I137+'62-3'!I137+'64-3'!I137+'74-3'!I137</f>
        <v>0</v>
      </c>
      <c r="J391" s="106">
        <f>'01-3'!J137+'02-3'!J137+'03-3'!J137+'04-3'!J137+'05-3'!J137+'08-3'!J137+'09-3'!J137+'10-3'!J137+'11-3'!J137+'12-3'!J137+'13-3'!J137+'14-3'!J137+'15-3'!J137+'16-3'!J137+'17-3'!J137+'18-3'!J137+'19-3'!J137+'21-3'!J137+'22-3'!J137+'24-3'!J137+'25-3'!J137+'28-3'!J137+'29-3'!J137+'30-3'!J137+'32-3'!J137+'35-3'!J137+'37-3'!J137+'47-3'!J137+'62-3'!J137+'64-3'!J137+'74-3'!J137</f>
        <v>0</v>
      </c>
      <c r="K391" s="106">
        <f>'01-3'!K137+'02-3'!K137+'03-3'!K137+'04-3'!K137+'05-3'!K137+'08-3'!K137+'09-3'!K137+'10-3'!K137+'11-3'!K137+'12-3'!K137+'13-3'!K137+'14-3'!K137+'15-3'!K137+'16-3'!K137+'17-3'!K137+'18-3'!K137+'19-3'!K137+'21-3'!K137+'22-3'!K137+'24-3'!K137+'25-3'!K137+'28-3'!K137+'29-3'!K137+'30-3'!K137+'32-3'!K137+'35-3'!K137+'37-3'!K137+'47-3'!K137+'62-3'!K137+'64-3'!K137+'74-3'!K137</f>
        <v>0</v>
      </c>
      <c r="L391" s="106">
        <f>'01-3'!L137+'02-3'!L137+'03-3'!L137+'04-3'!L137+'05-3'!L137+'08-3'!L137+'09-3'!L137+'10-3'!L137+'11-3'!L137+'12-3'!L137+'13-3'!L137+'14-3'!L137+'15-3'!L137+'16-3'!L137+'17-3'!L137+'18-3'!L137+'19-3'!L137+'21-3'!L137+'22-3'!L137+'24-3'!L137+'25-3'!L137+'28-3'!L137+'29-3'!L137+'30-3'!L137+'32-3'!L137+'35-3'!L137+'37-3'!L137+'47-3'!L137+'62-3'!L137+'64-3'!L137+'74-3'!L137</f>
        <v>0</v>
      </c>
      <c r="M391" s="106">
        <f>'01-3'!M137+'02-3'!M137+'03-3'!M137+'04-3'!M137+'05-3'!M137+'08-3'!M137+'09-3'!M137+'10-3'!M137+'11-3'!M137+'12-3'!M137+'13-3'!M137+'14-3'!M137+'15-3'!M137+'16-3'!M137+'17-3'!M137+'18-3'!M137+'19-3'!M137+'21-3'!M137+'22-3'!M137+'24-3'!M137+'25-3'!M137+'28-3'!M137+'29-3'!M137+'30-3'!M137+'32-3'!M137+'35-3'!M137+'37-3'!M137+'47-3'!M137+'62-3'!M137+'64-3'!M137+'74-3'!M137</f>
        <v>0</v>
      </c>
      <c r="N391" s="106">
        <f>'01-3'!N137+'02-3'!N137+'03-3'!N137+'04-3'!N137+'05-3'!N137+'08-3'!N137+'09-3'!N137+'10-3'!N137+'11-3'!N137+'12-3'!N137+'13-3'!N137+'14-3'!N137+'15-3'!N137+'16-3'!N137+'17-3'!N137+'18-3'!N137+'19-3'!N137+'21-3'!N137+'22-3'!N137+'24-3'!N137+'25-3'!N137+'28-3'!N137+'29-3'!N137+'30-3'!N137+'32-3'!N137+'35-3'!N137+'37-3'!N137+'47-3'!N137+'62-3'!N137+'64-3'!N137+'74-3'!N137</f>
        <v>0</v>
      </c>
      <c r="O391" s="106">
        <f>'01-3'!O137+'02-3'!O137+'03-3'!O137+'04-3'!O137+'05-3'!O137+'08-3'!O137+'09-3'!O137+'10-3'!O137+'11-3'!O137+'12-3'!O137+'13-3'!O137+'14-3'!O137+'15-3'!O137+'16-3'!O137+'17-3'!O137+'18-3'!O137+'19-3'!O137+'21-3'!O137+'22-3'!O137+'24-3'!O137+'25-3'!O137+'28-3'!O137+'29-3'!O137+'30-3'!O137+'32-3'!O137+'35-3'!O137+'37-3'!O137+'47-3'!O137+'62-3'!O137+'64-3'!O137+'74-3'!O137</f>
        <v>0</v>
      </c>
      <c r="P391" s="106">
        <f>'01-3'!P137+'02-3'!P137+'03-3'!P137+'04-3'!P137+'05-3'!P137+'08-3'!P137+'09-3'!P137+'10-3'!P137+'11-3'!P137+'12-3'!P137+'13-3'!P137+'14-3'!P137+'15-3'!P137+'16-3'!P137+'17-3'!P137+'18-3'!P137+'19-3'!P137+'21-3'!P137+'22-3'!P137+'24-3'!P137+'25-3'!P137+'28-3'!P137+'29-3'!P137+'30-3'!P137+'32-3'!P137+'35-3'!P137+'37-3'!P137+'47-3'!P137+'62-3'!P137+'64-3'!P137+'74-3'!P137</f>
        <v>0</v>
      </c>
      <c r="Q391" s="106">
        <f>'01-3'!Q137+'02-3'!Q137+'03-3'!Q137+'04-3'!Q137+'05-3'!Q137+'08-3'!Q137+'09-3'!Q137+'10-3'!Q137+'11-3'!Q137+'12-3'!Q137+'13-3'!Q137+'14-3'!Q137+'15-3'!Q137+'16-3'!Q137+'17-3'!Q137+'18-3'!Q137+'19-3'!Q137+'21-3'!Q137+'22-3'!Q137+'24-3'!Q137+'25-3'!Q137+'28-3'!Q137+'29-3'!Q137+'30-3'!Q137+'32-3'!Q137+'35-3'!Q137+'37-3'!Q137+'47-3'!Q137+'62-3'!Q137+'64-3'!Q137+'74-3'!Q137</f>
        <v>0</v>
      </c>
      <c r="R391" s="106">
        <f>'01-3'!R137+'02-3'!R137+'03-3'!R137+'04-3'!R137+'05-3'!R137+'08-3'!R137+'09-3'!R137+'10-3'!R137+'11-3'!R137+'12-3'!R137+'13-3'!R137+'14-3'!R137+'15-3'!R137+'16-3'!R137+'17-3'!R137+'18-3'!R137+'19-3'!R137+'21-3'!R137+'22-3'!R137+'24-3'!R137+'25-3'!R137+'28-3'!R137+'29-3'!R137+'30-3'!R137+'32-3'!R137+'35-3'!R137+'37-3'!R137+'47-3'!R137+'62-3'!R137+'64-3'!R137+'74-3'!R137</f>
        <v>0</v>
      </c>
      <c r="S391" s="1324"/>
      <c r="T391" s="1324"/>
      <c r="U391" s="1324"/>
      <c r="V391" s="1324"/>
      <c r="W391" s="1324"/>
    </row>
    <row r="392" spans="1:23" s="29" customFormat="1" ht="36" hidden="1">
      <c r="A392" s="134" t="s">
        <v>186</v>
      </c>
      <c r="B392" s="112" t="s">
        <v>187</v>
      </c>
      <c r="C392" s="106">
        <f>'01-3'!C138+'02-3'!C138+'03-3'!C138+'04-3'!C138+'05-3'!C138+'08-3'!C138+'09-3'!C138+'10-3'!C138+'11-3'!C138+'12-3'!C138+'13-3'!C138+'14-3'!C138+'15-3'!C138+'16-3'!C138+'17-3'!C138+'18-3'!C138+'19-3'!C138+'21-3'!C138+'22-3'!C138+'24-3'!C138+'25-3'!C138+'28-3'!C138+'29-3'!C138+'30-3'!C138+'32-3'!C138+'35-3'!C138+'37-3'!C138+'47-3'!C138+'62-3'!C138+'64-3'!C138+'74-3'!C138</f>
        <v>0</v>
      </c>
      <c r="D392" s="106">
        <f>'01-3'!D138+'02-3'!D138+'03-3'!D138+'04-3'!D138+'05-3'!D138+'08-3'!D138+'09-3'!D138+'10-3'!D138+'11-3'!D138+'12-3'!D138+'13-3'!D138+'14-3'!D138+'15-3'!D138+'16-3'!D138+'17-3'!D138+'18-3'!D138+'19-3'!D138+'21-3'!D138+'22-3'!D138+'24-3'!D138+'25-3'!D138+'28-3'!D138+'29-3'!D138+'30-3'!D138+'32-3'!D138+'35-3'!D138+'37-3'!D138+'47-3'!D138+'62-3'!D138+'64-3'!D138+'74-3'!D138</f>
        <v>0</v>
      </c>
      <c r="E392" s="106">
        <f>'01-3'!E138+'02-3'!E138+'03-3'!E138+'04-3'!E138+'05-3'!E138+'08-3'!E138+'09-3'!E138+'10-3'!E138+'11-3'!E138+'12-3'!E138+'13-3'!E138+'14-3'!E138+'15-3'!E138+'16-3'!E138+'17-3'!E138+'18-3'!E138+'19-3'!E138+'21-3'!E138+'22-3'!E138+'24-3'!E138+'25-3'!E138+'28-3'!E138+'29-3'!E138+'30-3'!E138+'32-3'!E138+'35-3'!E138+'37-3'!E138+'47-3'!E138+'62-3'!E138+'64-3'!E138+'74-3'!E138</f>
        <v>0</v>
      </c>
      <c r="F392" s="106">
        <f>'01-3'!F138+'02-3'!F138+'03-3'!F138+'04-3'!F138+'05-3'!F138+'08-3'!F138+'09-3'!F138+'10-3'!F138+'11-3'!F138+'12-3'!F138+'13-3'!F138+'14-3'!F138+'15-3'!F138+'16-3'!F138+'17-3'!F138+'18-3'!F138+'19-3'!F138+'21-3'!F138+'22-3'!F138+'24-3'!F138+'25-3'!F138+'28-3'!F138+'29-3'!F138+'30-3'!F138+'32-3'!F138+'35-3'!F138+'37-3'!F138+'47-3'!F138+'62-3'!F138+'64-3'!F138+'74-3'!F138</f>
        <v>0</v>
      </c>
      <c r="G392" s="106">
        <f>'01-3'!G138+'02-3'!G138+'03-3'!G138+'04-3'!G138+'05-3'!G138+'08-3'!G138+'09-3'!G138+'10-3'!G138+'11-3'!G138+'12-3'!G138+'13-3'!G138+'14-3'!G138+'15-3'!G138+'16-3'!G138+'17-3'!G138+'18-3'!G138+'19-3'!G138+'21-3'!G138+'22-3'!G138+'24-3'!G138+'25-3'!G138+'28-3'!G138+'29-3'!G138+'30-3'!G138+'32-3'!G138+'35-3'!G138+'37-3'!G138+'47-3'!G138+'62-3'!G138+'64-3'!G138+'74-3'!G138</f>
        <v>0</v>
      </c>
      <c r="H392" s="106">
        <f>'01-3'!H138+'02-3'!H138+'03-3'!H138+'04-3'!H138+'05-3'!H138+'08-3'!H138+'09-3'!H138+'10-3'!H138+'11-3'!H138+'12-3'!H138+'13-3'!H138+'14-3'!H138+'15-3'!H138+'16-3'!H138+'17-3'!H138+'18-3'!H138+'19-3'!H138+'21-3'!H138+'22-3'!H138+'24-3'!H138+'25-3'!H138+'28-3'!H138+'29-3'!H138+'30-3'!H138+'32-3'!H138+'35-3'!H138+'37-3'!H138+'47-3'!H138+'62-3'!H138+'64-3'!H138+'74-3'!H138</f>
        <v>0</v>
      </c>
      <c r="I392" s="106">
        <f>'01-3'!I138+'02-3'!I138+'03-3'!I138+'04-3'!I138+'05-3'!I138+'08-3'!I138+'09-3'!I138+'10-3'!I138+'11-3'!I138+'12-3'!I138+'13-3'!I138+'14-3'!I138+'15-3'!I138+'16-3'!I138+'17-3'!I138+'18-3'!I138+'19-3'!I138+'21-3'!I138+'22-3'!I138+'24-3'!I138+'25-3'!I138+'28-3'!I138+'29-3'!I138+'30-3'!I138+'32-3'!I138+'35-3'!I138+'37-3'!I138+'47-3'!I138+'62-3'!I138+'64-3'!I138+'74-3'!I138</f>
        <v>0</v>
      </c>
      <c r="J392" s="106">
        <f>'01-3'!J138+'02-3'!J138+'03-3'!J138+'04-3'!J138+'05-3'!J138+'08-3'!J138+'09-3'!J138+'10-3'!J138+'11-3'!J138+'12-3'!J138+'13-3'!J138+'14-3'!J138+'15-3'!J138+'16-3'!J138+'17-3'!J138+'18-3'!J138+'19-3'!J138+'21-3'!J138+'22-3'!J138+'24-3'!J138+'25-3'!J138+'28-3'!J138+'29-3'!J138+'30-3'!J138+'32-3'!J138+'35-3'!J138+'37-3'!J138+'47-3'!J138+'62-3'!J138+'64-3'!J138+'74-3'!J138</f>
        <v>0</v>
      </c>
      <c r="K392" s="106">
        <f>'01-3'!K138+'02-3'!K138+'03-3'!K138+'04-3'!K138+'05-3'!K138+'08-3'!K138+'09-3'!K138+'10-3'!K138+'11-3'!K138+'12-3'!K138+'13-3'!K138+'14-3'!K138+'15-3'!K138+'16-3'!K138+'17-3'!K138+'18-3'!K138+'19-3'!K138+'21-3'!K138+'22-3'!K138+'24-3'!K138+'25-3'!K138+'28-3'!K138+'29-3'!K138+'30-3'!K138+'32-3'!K138+'35-3'!K138+'37-3'!K138+'47-3'!K138+'62-3'!K138+'64-3'!K138+'74-3'!K138</f>
        <v>0</v>
      </c>
      <c r="L392" s="106">
        <f>'01-3'!L138+'02-3'!L138+'03-3'!L138+'04-3'!L138+'05-3'!L138+'08-3'!L138+'09-3'!L138+'10-3'!L138+'11-3'!L138+'12-3'!L138+'13-3'!L138+'14-3'!L138+'15-3'!L138+'16-3'!L138+'17-3'!L138+'18-3'!L138+'19-3'!L138+'21-3'!L138+'22-3'!L138+'24-3'!L138+'25-3'!L138+'28-3'!L138+'29-3'!L138+'30-3'!L138+'32-3'!L138+'35-3'!L138+'37-3'!L138+'47-3'!L138+'62-3'!L138+'64-3'!L138+'74-3'!L138</f>
        <v>0</v>
      </c>
      <c r="M392" s="106">
        <f>'01-3'!M138+'02-3'!M138+'03-3'!M138+'04-3'!M138+'05-3'!M138+'08-3'!M138+'09-3'!M138+'10-3'!M138+'11-3'!M138+'12-3'!M138+'13-3'!M138+'14-3'!M138+'15-3'!M138+'16-3'!M138+'17-3'!M138+'18-3'!M138+'19-3'!M138+'21-3'!M138+'22-3'!M138+'24-3'!M138+'25-3'!M138+'28-3'!M138+'29-3'!M138+'30-3'!M138+'32-3'!M138+'35-3'!M138+'37-3'!M138+'47-3'!M138+'62-3'!M138+'64-3'!M138+'74-3'!M138</f>
        <v>0</v>
      </c>
      <c r="N392" s="106">
        <f>'01-3'!N138+'02-3'!N138+'03-3'!N138+'04-3'!N138+'05-3'!N138+'08-3'!N138+'09-3'!N138+'10-3'!N138+'11-3'!N138+'12-3'!N138+'13-3'!N138+'14-3'!N138+'15-3'!N138+'16-3'!N138+'17-3'!N138+'18-3'!N138+'19-3'!N138+'21-3'!N138+'22-3'!N138+'24-3'!N138+'25-3'!N138+'28-3'!N138+'29-3'!N138+'30-3'!N138+'32-3'!N138+'35-3'!N138+'37-3'!N138+'47-3'!N138+'62-3'!N138+'64-3'!N138+'74-3'!N138</f>
        <v>0</v>
      </c>
      <c r="O392" s="106">
        <f>'01-3'!O138+'02-3'!O138+'03-3'!O138+'04-3'!O138+'05-3'!O138+'08-3'!O138+'09-3'!O138+'10-3'!O138+'11-3'!O138+'12-3'!O138+'13-3'!O138+'14-3'!O138+'15-3'!O138+'16-3'!O138+'17-3'!O138+'18-3'!O138+'19-3'!O138+'21-3'!O138+'22-3'!O138+'24-3'!O138+'25-3'!O138+'28-3'!O138+'29-3'!O138+'30-3'!O138+'32-3'!O138+'35-3'!O138+'37-3'!O138+'47-3'!O138+'62-3'!O138+'64-3'!O138+'74-3'!O138</f>
        <v>0</v>
      </c>
      <c r="P392" s="106">
        <f>'01-3'!P138+'02-3'!P138+'03-3'!P138+'04-3'!P138+'05-3'!P138+'08-3'!P138+'09-3'!P138+'10-3'!P138+'11-3'!P138+'12-3'!P138+'13-3'!P138+'14-3'!P138+'15-3'!P138+'16-3'!P138+'17-3'!P138+'18-3'!P138+'19-3'!P138+'21-3'!P138+'22-3'!P138+'24-3'!P138+'25-3'!P138+'28-3'!P138+'29-3'!P138+'30-3'!P138+'32-3'!P138+'35-3'!P138+'37-3'!P138+'47-3'!P138+'62-3'!P138+'64-3'!P138+'74-3'!P138</f>
        <v>0</v>
      </c>
      <c r="Q392" s="106">
        <f>'01-3'!Q138+'02-3'!Q138+'03-3'!Q138+'04-3'!Q138+'05-3'!Q138+'08-3'!Q138+'09-3'!Q138+'10-3'!Q138+'11-3'!Q138+'12-3'!Q138+'13-3'!Q138+'14-3'!Q138+'15-3'!Q138+'16-3'!Q138+'17-3'!Q138+'18-3'!Q138+'19-3'!Q138+'21-3'!Q138+'22-3'!Q138+'24-3'!Q138+'25-3'!Q138+'28-3'!Q138+'29-3'!Q138+'30-3'!Q138+'32-3'!Q138+'35-3'!Q138+'37-3'!Q138+'47-3'!Q138+'62-3'!Q138+'64-3'!Q138+'74-3'!Q138</f>
        <v>0</v>
      </c>
      <c r="R392" s="106">
        <f>'01-3'!R138+'02-3'!R138+'03-3'!R138+'04-3'!R138+'05-3'!R138+'08-3'!R138+'09-3'!R138+'10-3'!R138+'11-3'!R138+'12-3'!R138+'13-3'!R138+'14-3'!R138+'15-3'!R138+'16-3'!R138+'17-3'!R138+'18-3'!R138+'19-3'!R138+'21-3'!R138+'22-3'!R138+'24-3'!R138+'25-3'!R138+'28-3'!R138+'29-3'!R138+'30-3'!R138+'32-3'!R138+'35-3'!R138+'37-3'!R138+'47-3'!R138+'62-3'!R138+'64-3'!R138+'74-3'!R138</f>
        <v>0</v>
      </c>
      <c r="S392" s="1324"/>
      <c r="T392" s="1324"/>
      <c r="U392" s="1324"/>
      <c r="V392" s="1324"/>
      <c r="W392" s="1324"/>
    </row>
    <row r="393" spans="1:23" s="29" customFormat="1" ht="24">
      <c r="A393" s="132">
        <v>7300</v>
      </c>
      <c r="B393" s="108" t="s">
        <v>155</v>
      </c>
      <c r="C393" s="106">
        <f>'01-3'!C139+'02-3'!C139+'03-3'!C139+'04-3'!C139+'05-3'!C139+'08-3'!C139+'09-3'!C139+'10-3'!C139+'11-3'!C139+'12-3'!C139+'13-3'!C139+'14-3'!C139+'15-3'!C139+'16-3'!C139+'17-3'!C139+'18-3'!C139+'19-3'!C139+'21-3'!C139+'22-3'!C139+'24-3'!C139+'25-3'!C139+'28-3'!C139+'29-3'!C139+'30-3'!C139+'32-3'!C139+'35-3'!C139+'37-3'!C139+'47-3'!C139+'62-3'!C139+'64-3'!C139+'74-3'!C139</f>
        <v>350916399</v>
      </c>
      <c r="D393" s="106">
        <f>'01-3'!D139+'02-3'!D139+'03-3'!D139+'04-3'!D139+'05-3'!D139+'08-3'!D139+'09-3'!D139+'10-3'!D139+'11-3'!D139+'12-3'!D139+'13-3'!D139+'14-3'!D139+'15-3'!D139+'16-3'!D139+'17-3'!D139+'18-3'!D139+'19-3'!D139+'21-3'!D139+'22-3'!D139+'24-3'!D139+'25-3'!D139+'28-3'!D139+'29-3'!D139+'30-3'!D139+'32-3'!D139+'35-3'!D139+'37-3'!D139+'47-3'!D139+'62-3'!D139+'64-3'!D139+'74-3'!D139</f>
        <v>339216241</v>
      </c>
      <c r="E393" s="106">
        <f>'01-3'!E139+'02-3'!E139+'03-3'!E139+'04-3'!E139+'05-3'!E139+'08-3'!E139+'09-3'!E139+'10-3'!E139+'11-3'!E139+'12-3'!E139+'13-3'!E139+'14-3'!E139+'15-3'!E139+'16-3'!E139+'17-3'!E139+'18-3'!E139+'19-3'!E139+'21-3'!E139+'22-3'!E139+'24-3'!E139+'25-3'!E139+'28-3'!E139+'29-3'!E139+'30-3'!E139+'32-3'!E139+'35-3'!E139+'37-3'!E139+'47-3'!E139+'62-3'!E139+'64-3'!E139+'74-3'!E139</f>
        <v>-4637295</v>
      </c>
      <c r="F393" s="106">
        <f>'01-3'!F139+'02-3'!F139+'03-3'!F139+'04-3'!F139+'05-3'!F139+'08-3'!F139+'09-3'!F139+'10-3'!F139+'11-3'!F139+'12-3'!F139+'13-3'!F139+'14-3'!F139+'15-3'!F139+'16-3'!F139+'17-3'!F139+'18-3'!F139+'19-3'!F139+'21-3'!F139+'22-3'!F139+'24-3'!F139+'25-3'!F139+'28-3'!F139+'29-3'!F139+'30-3'!F139+'32-3'!F139+'35-3'!F139+'37-3'!F139+'47-3'!F139+'62-3'!F139+'64-3'!F139+'74-3'!F139</f>
        <v>4299793</v>
      </c>
      <c r="G393" s="106">
        <f>'01-3'!G139+'02-3'!G139+'03-3'!G139+'04-3'!G139+'05-3'!G139+'08-3'!G139+'09-3'!G139+'10-3'!G139+'11-3'!G139+'12-3'!G139+'13-3'!G139+'14-3'!G139+'15-3'!G139+'16-3'!G139+'17-3'!G139+'18-3'!G139+'19-3'!G139+'21-3'!G139+'22-3'!G139+'24-3'!G139+'25-3'!G139+'28-3'!G139+'29-3'!G139+'30-3'!G139+'32-3'!G139+'35-3'!G139+'37-3'!G139+'47-3'!G139+'62-3'!G139+'64-3'!G139+'74-3'!G139</f>
        <v>13637638</v>
      </c>
      <c r="H393" s="106">
        <f>'01-3'!H139+'02-3'!H139+'03-3'!H139+'04-3'!H139+'05-3'!H139+'08-3'!H139+'09-3'!H139+'10-3'!H139+'11-3'!H139+'12-3'!H139+'13-3'!H139+'14-3'!H139+'15-3'!H139+'16-3'!H139+'17-3'!H139+'18-3'!H139+'19-3'!H139+'21-3'!H139+'22-3'!H139+'24-3'!H139+'25-3'!H139+'28-3'!H139+'29-3'!H139+'30-3'!H139+'32-3'!H139+'35-3'!H139+'37-3'!H139+'47-3'!H139+'62-3'!H139+'64-3'!H139+'74-3'!H139</f>
        <v>352516377</v>
      </c>
      <c r="I393" s="106">
        <f>'01-3'!I139+'02-3'!I139+'03-3'!I139+'04-3'!I139+'05-3'!I139+'08-3'!I139+'09-3'!I139+'10-3'!I139+'11-3'!I139+'12-3'!I139+'13-3'!I139+'14-3'!I139+'15-3'!I139+'16-3'!I139+'17-3'!I139+'18-3'!I139+'19-3'!I139+'21-3'!I139+'22-3'!I139+'24-3'!I139+'25-3'!I139+'28-3'!I139+'29-3'!I139+'30-3'!I139+'32-3'!I139+'35-3'!I139+'37-3'!I139+'47-3'!I139+'62-3'!I139+'64-3'!I139+'74-3'!I139</f>
        <v>328735534</v>
      </c>
      <c r="J393" s="106">
        <f>'01-3'!J139+'02-3'!J139+'03-3'!J139+'04-3'!J139+'05-3'!J139+'08-3'!J139+'09-3'!J139+'10-3'!J139+'11-3'!J139+'12-3'!J139+'13-3'!J139+'14-3'!J139+'15-3'!J139+'16-3'!J139+'17-3'!J139+'18-3'!J139+'19-3'!J139+'21-3'!J139+'22-3'!J139+'24-3'!J139+'25-3'!J139+'28-3'!J139+'29-3'!J139+'30-3'!J139+'32-3'!J139+'35-3'!J139+'37-3'!J139+'47-3'!J139+'62-3'!J139+'64-3'!J139+'74-3'!J139</f>
        <v>0</v>
      </c>
      <c r="K393" s="106">
        <f>'01-3'!K139+'02-3'!K139+'03-3'!K139+'04-3'!K139+'05-3'!K139+'08-3'!K139+'09-3'!K139+'10-3'!K139+'11-3'!K139+'12-3'!K139+'13-3'!K139+'14-3'!K139+'15-3'!K139+'16-3'!K139+'17-3'!K139+'18-3'!K139+'19-3'!K139+'21-3'!K139+'22-3'!K139+'24-3'!K139+'25-3'!K139+'28-3'!K139+'29-3'!K139+'30-3'!K139+'32-3'!K139+'35-3'!K139+'37-3'!K139+'47-3'!K139+'62-3'!K139+'64-3'!K139+'74-3'!K139</f>
        <v>4337122</v>
      </c>
      <c r="L393" s="106">
        <f>'01-3'!L139+'02-3'!L139+'03-3'!L139+'04-3'!L139+'05-3'!L139+'08-3'!L139+'09-3'!L139+'10-3'!L139+'11-3'!L139+'12-3'!L139+'13-3'!L139+'14-3'!L139+'15-3'!L139+'16-3'!L139+'17-3'!L139+'18-3'!L139+'19-3'!L139+'21-3'!L139+'22-3'!L139+'24-3'!L139+'25-3'!L139+'28-3'!L139+'29-3'!L139+'30-3'!L139+'32-3'!L139+'35-3'!L139+'37-3'!L139+'47-3'!L139+'62-3'!L139+'64-3'!L139+'74-3'!L139</f>
        <v>19580305</v>
      </c>
      <c r="M393" s="106">
        <f>'01-3'!M139+'02-3'!M139+'03-3'!M139+'04-3'!M139+'05-3'!M139+'08-3'!M139+'09-3'!M139+'10-3'!M139+'11-3'!M139+'12-3'!M139+'13-3'!M139+'14-3'!M139+'15-3'!M139+'16-3'!M139+'17-3'!M139+'18-3'!M139+'19-3'!M139+'21-3'!M139+'22-3'!M139+'24-3'!M139+'25-3'!M139+'28-3'!M139+'29-3'!M139+'30-3'!M139+'32-3'!M139+'35-3'!M139+'37-3'!M139+'47-3'!M139+'62-3'!M139+'64-3'!M139+'74-3'!M139</f>
        <v>352652961</v>
      </c>
      <c r="N393" s="106">
        <f>'01-3'!N139+'02-3'!N139+'03-3'!N139+'04-3'!N139+'05-3'!N139+'08-3'!N139+'09-3'!N139+'10-3'!N139+'11-3'!N139+'12-3'!N139+'13-3'!N139+'14-3'!N139+'15-3'!N139+'16-3'!N139+'17-3'!N139+'18-3'!N139+'19-3'!N139+'21-3'!N139+'22-3'!N139+'24-3'!N139+'25-3'!N139+'28-3'!N139+'29-3'!N139+'30-3'!N139+'32-3'!N139+'35-3'!N139+'37-3'!N139+'47-3'!N139+'62-3'!N139+'64-3'!N139+'74-3'!N139</f>
        <v>318223803</v>
      </c>
      <c r="O393" s="106">
        <f>'01-3'!O139+'02-3'!O139+'03-3'!O139+'04-3'!O139+'05-3'!O139+'08-3'!O139+'09-3'!O139+'10-3'!O139+'11-3'!O139+'12-3'!O139+'13-3'!O139+'14-3'!O139+'15-3'!O139+'16-3'!O139+'17-3'!O139+'18-3'!O139+'19-3'!O139+'21-3'!O139+'22-3'!O139+'24-3'!O139+'25-3'!O139+'28-3'!O139+'29-3'!O139+'30-3'!O139+'32-3'!O139+'35-3'!O139+'37-3'!O139+'47-3'!O139+'62-3'!O139+'64-3'!O139+'74-3'!O139</f>
        <v>0</v>
      </c>
      <c r="P393" s="106">
        <f>'01-3'!P139+'02-3'!P139+'03-3'!P139+'04-3'!P139+'05-3'!P139+'08-3'!P139+'09-3'!P139+'10-3'!P139+'11-3'!P139+'12-3'!P139+'13-3'!P139+'14-3'!P139+'15-3'!P139+'16-3'!P139+'17-3'!P139+'18-3'!P139+'19-3'!P139+'21-3'!P139+'22-3'!P139+'24-3'!P139+'25-3'!P139+'28-3'!P139+'29-3'!P139+'30-3'!P139+'32-3'!P139+'35-3'!P139+'37-3'!P139+'47-3'!P139+'62-3'!P139+'64-3'!P139+'74-3'!P139</f>
        <v>5617307</v>
      </c>
      <c r="Q393" s="106">
        <f>'01-3'!Q139+'02-3'!Q139+'03-3'!Q139+'04-3'!Q139+'05-3'!Q139+'08-3'!Q139+'09-3'!Q139+'10-3'!Q139+'11-3'!Q139+'12-3'!Q139+'13-3'!Q139+'14-3'!Q139+'15-3'!Q139+'16-3'!Q139+'17-3'!Q139+'18-3'!Q139+'19-3'!Q139+'21-3'!Q139+'22-3'!Q139+'24-3'!Q139+'25-3'!Q139+'28-3'!Q139+'29-3'!Q139+'30-3'!Q139+'32-3'!Q139+'35-3'!Q139+'37-3'!Q139+'47-3'!Q139+'62-3'!Q139+'64-3'!Q139+'74-3'!Q139</f>
        <v>19530507</v>
      </c>
      <c r="R393" s="106">
        <f>'01-3'!R139+'02-3'!R139+'03-3'!R139+'04-3'!R139+'05-3'!R139+'08-3'!R139+'09-3'!R139+'10-3'!R139+'11-3'!R139+'12-3'!R139+'13-3'!R139+'14-3'!R139+'15-3'!R139+'16-3'!R139+'17-3'!R139+'18-3'!R139+'19-3'!R139+'21-3'!R139+'22-3'!R139+'24-3'!R139+'25-3'!R139+'28-3'!R139+'29-3'!R139+'30-3'!R139+'32-3'!R139+'35-3'!R139+'37-3'!R139+'47-3'!R139+'62-3'!R139+'64-3'!R139+'74-3'!R139</f>
        <v>343371617</v>
      </c>
      <c r="S393" s="1324"/>
      <c r="T393" s="1324"/>
      <c r="U393" s="1324"/>
      <c r="V393" s="1324"/>
      <c r="W393" s="1324"/>
    </row>
    <row r="394" spans="1:23" s="4" customFormat="1" ht="24">
      <c r="A394" s="133" t="s">
        <v>188</v>
      </c>
      <c r="B394" s="112" t="s">
        <v>170</v>
      </c>
      <c r="C394" s="106">
        <f>'01-3'!C140+'02-3'!C140+'03-3'!C140+'04-3'!C140+'05-3'!C140+'08-3'!C140+'09-3'!C140+'10-3'!C140+'11-3'!C140+'12-3'!C140+'13-3'!C140+'14-3'!C140+'15-3'!C140+'16-3'!C140+'17-3'!C140+'18-3'!C140+'19-3'!C140+'21-3'!C140+'22-3'!C140+'24-3'!C140+'25-3'!C140+'28-3'!C140+'29-3'!C140+'30-3'!C140+'32-3'!C140+'35-3'!C140+'37-3'!C140+'47-3'!C140+'62-3'!C140+'64-3'!C140+'74-3'!C140</f>
        <v>272762561</v>
      </c>
      <c r="D394" s="106">
        <f>'01-3'!D140+'02-3'!D140+'03-3'!D140+'04-3'!D140+'05-3'!D140+'08-3'!D140+'09-3'!D140+'10-3'!D140+'11-3'!D140+'12-3'!D140+'13-3'!D140+'14-3'!D140+'15-3'!D140+'16-3'!D140+'17-3'!D140+'18-3'!D140+'19-3'!D140+'21-3'!D140+'22-3'!D140+'24-3'!D140+'25-3'!D140+'28-3'!D140+'29-3'!D140+'30-3'!D140+'32-3'!D140+'35-3'!D140+'37-3'!D140+'47-3'!D140+'62-3'!D140+'64-3'!D140+'74-3'!D140</f>
        <v>261174978</v>
      </c>
      <c r="E394" s="106">
        <f>'01-3'!E140+'02-3'!E140+'03-3'!E140+'04-3'!E140+'05-3'!E140+'08-3'!E140+'09-3'!E140+'10-3'!E140+'11-3'!E140+'12-3'!E140+'13-3'!E140+'14-3'!E140+'15-3'!E140+'16-3'!E140+'17-3'!E140+'18-3'!E140+'19-3'!E140+'21-3'!E140+'22-3'!E140+'24-3'!E140+'25-3'!E140+'28-3'!E140+'29-3'!E140+'30-3'!E140+'32-3'!E140+'35-3'!E140+'37-3'!E140+'47-3'!E140+'62-3'!E140+'64-3'!E140+'74-3'!E140</f>
        <v>-3716212</v>
      </c>
      <c r="F394" s="106">
        <f>'01-3'!F140+'02-3'!F140+'03-3'!F140+'04-3'!F140+'05-3'!F140+'08-3'!F140+'09-3'!F140+'10-3'!F140+'11-3'!F140+'12-3'!F140+'13-3'!F140+'14-3'!F140+'15-3'!F140+'16-3'!F140+'17-3'!F140+'18-3'!F140+'19-3'!F140+'21-3'!F140+'22-3'!F140+'24-3'!F140+'25-3'!F140+'28-3'!F140+'29-3'!F140+'30-3'!F140+'32-3'!F140+'35-3'!F140+'37-3'!F140+'47-3'!F140+'62-3'!F140+'64-3'!F140+'74-3'!F140</f>
        <v>4299793</v>
      </c>
      <c r="G394" s="106">
        <f>'01-3'!G140+'02-3'!G140+'03-3'!G140+'04-3'!G140+'05-3'!G140+'08-3'!G140+'09-3'!G140+'10-3'!G140+'11-3'!G140+'12-3'!G140+'13-3'!G140+'14-3'!G140+'15-3'!G140+'16-3'!G140+'17-3'!G140+'18-3'!G140+'19-3'!G140+'21-3'!G140+'22-3'!G140+'24-3'!G140+'25-3'!G140+'28-3'!G140+'29-3'!G140+'30-3'!G140+'32-3'!G140+'35-3'!G140+'37-3'!G140+'47-3'!G140+'62-3'!G140+'64-3'!G140+'74-3'!G140</f>
        <v>13504340</v>
      </c>
      <c r="H394" s="106">
        <f>'01-3'!H140+'02-3'!H140+'03-3'!H140+'04-3'!H140+'05-3'!H140+'08-3'!H140+'09-3'!H140+'10-3'!H140+'11-3'!H140+'12-3'!H140+'13-3'!H140+'14-3'!H140+'15-3'!H140+'16-3'!H140+'17-3'!H140+'18-3'!H140+'19-3'!H140+'21-3'!H140+'22-3'!H140+'24-3'!H140+'25-3'!H140+'28-3'!H140+'29-3'!H140+'30-3'!H140+'32-3'!H140+'35-3'!H140+'37-3'!H140+'47-3'!H140+'62-3'!H140+'64-3'!H140+'74-3'!H140</f>
        <v>275262899</v>
      </c>
      <c r="I394" s="106">
        <f>'01-3'!I140+'02-3'!I140+'03-3'!I140+'04-3'!I140+'05-3'!I140+'08-3'!I140+'09-3'!I140+'10-3'!I140+'11-3'!I140+'12-3'!I140+'13-3'!I140+'14-3'!I140+'15-3'!I140+'16-3'!I140+'17-3'!I140+'18-3'!I140+'19-3'!I140+'21-3'!I140+'22-3'!I140+'24-3'!I140+'25-3'!I140+'28-3'!I140+'29-3'!I140+'30-3'!I140+'32-3'!I140+'35-3'!I140+'37-3'!I140+'47-3'!I140+'62-3'!I140+'64-3'!I140+'74-3'!I140</f>
        <v>252441429</v>
      </c>
      <c r="J394" s="106">
        <f>'01-3'!J140+'02-3'!J140+'03-3'!J140+'04-3'!J140+'05-3'!J140+'08-3'!J140+'09-3'!J140+'10-3'!J140+'11-3'!J140+'12-3'!J140+'13-3'!J140+'14-3'!J140+'15-3'!J140+'16-3'!J140+'17-3'!J140+'18-3'!J140+'19-3'!J140+'21-3'!J140+'22-3'!J140+'24-3'!J140+'25-3'!J140+'28-3'!J140+'29-3'!J140+'30-3'!J140+'32-3'!J140+'35-3'!J140+'37-3'!J140+'47-3'!J140+'62-3'!J140+'64-3'!J140+'74-3'!J140</f>
        <v>0</v>
      </c>
      <c r="K394" s="106">
        <f>'01-3'!K140+'02-3'!K140+'03-3'!K140+'04-3'!K140+'05-3'!K140+'08-3'!K140+'09-3'!K140+'10-3'!K140+'11-3'!K140+'12-3'!K140+'13-3'!K140+'14-3'!K140+'15-3'!K140+'16-3'!K140+'17-3'!K140+'18-3'!K140+'19-3'!K140+'21-3'!K140+'22-3'!K140+'24-3'!K140+'25-3'!K140+'28-3'!K140+'29-3'!K140+'30-3'!K140+'32-3'!K140+'35-3'!K140+'37-3'!K140+'47-3'!K140+'62-3'!K140+'64-3'!K140+'74-3'!K140</f>
        <v>4337122</v>
      </c>
      <c r="L394" s="106">
        <f>'01-3'!L140+'02-3'!L140+'03-3'!L140+'04-3'!L140+'05-3'!L140+'08-3'!L140+'09-3'!L140+'10-3'!L140+'11-3'!L140+'12-3'!L140+'13-3'!L140+'14-3'!L140+'15-3'!L140+'16-3'!L140+'17-3'!L140+'18-3'!L140+'19-3'!L140+'21-3'!L140+'22-3'!L140+'24-3'!L140+'25-3'!L140+'28-3'!L140+'29-3'!L140+'30-3'!L140+'32-3'!L140+'35-3'!L140+'37-3'!L140+'47-3'!L140+'62-3'!L140+'64-3'!L140+'74-3'!L140</f>
        <v>19340558</v>
      </c>
      <c r="M394" s="106">
        <f>'01-3'!M140+'02-3'!M140+'03-3'!M140+'04-3'!M140+'05-3'!M140+'08-3'!M140+'09-3'!M140+'10-3'!M140+'11-3'!M140+'12-3'!M140+'13-3'!M140+'14-3'!M140+'15-3'!M140+'16-3'!M140+'17-3'!M140+'18-3'!M140+'19-3'!M140+'21-3'!M140+'22-3'!M140+'24-3'!M140+'25-3'!M140+'28-3'!M140+'29-3'!M140+'30-3'!M140+'32-3'!M140+'35-3'!M140+'37-3'!M140+'47-3'!M140+'62-3'!M140+'64-3'!M140+'74-3'!M140</f>
        <v>276119109</v>
      </c>
      <c r="N394" s="106">
        <f>'01-3'!N140+'02-3'!N140+'03-3'!N140+'04-3'!N140+'05-3'!N140+'08-3'!N140+'09-3'!N140+'10-3'!N140+'11-3'!N140+'12-3'!N140+'13-3'!N140+'14-3'!N140+'15-3'!N140+'16-3'!N140+'17-3'!N140+'18-3'!N140+'19-3'!N140+'21-3'!N140+'22-3'!N140+'24-3'!N140+'25-3'!N140+'28-3'!N140+'29-3'!N140+'30-3'!N140+'32-3'!N140+'35-3'!N140+'37-3'!N140+'47-3'!N140+'62-3'!N140+'64-3'!N140+'74-3'!N140</f>
        <v>242865380</v>
      </c>
      <c r="O394" s="106">
        <f>'01-3'!O140+'02-3'!O140+'03-3'!O140+'04-3'!O140+'05-3'!O140+'08-3'!O140+'09-3'!O140+'10-3'!O140+'11-3'!O140+'12-3'!O140+'13-3'!O140+'14-3'!O140+'15-3'!O140+'16-3'!O140+'17-3'!O140+'18-3'!O140+'19-3'!O140+'21-3'!O140+'22-3'!O140+'24-3'!O140+'25-3'!O140+'28-3'!O140+'29-3'!O140+'30-3'!O140+'32-3'!O140+'35-3'!O140+'37-3'!O140+'47-3'!O140+'62-3'!O140+'64-3'!O140+'74-3'!O140</f>
        <v>0</v>
      </c>
      <c r="P394" s="106">
        <f>'01-3'!P140+'02-3'!P140+'03-3'!P140+'04-3'!P140+'05-3'!P140+'08-3'!P140+'09-3'!P140+'10-3'!P140+'11-3'!P140+'12-3'!P140+'13-3'!P140+'14-3'!P140+'15-3'!P140+'16-3'!P140+'17-3'!P140+'18-3'!P140+'19-3'!P140+'21-3'!P140+'22-3'!P140+'24-3'!P140+'25-3'!P140+'28-3'!P140+'29-3'!P140+'30-3'!P140+'32-3'!P140+'35-3'!P140+'37-3'!P140+'47-3'!P140+'62-3'!P140+'64-3'!P140+'74-3'!P140</f>
        <v>5617307</v>
      </c>
      <c r="Q394" s="106">
        <f>'01-3'!Q140+'02-3'!Q140+'03-3'!Q140+'04-3'!Q140+'05-3'!Q140+'08-3'!Q140+'09-3'!Q140+'10-3'!Q140+'11-3'!Q140+'12-3'!Q140+'13-3'!Q140+'14-3'!Q140+'15-3'!Q140+'16-3'!Q140+'17-3'!Q140+'18-3'!Q140+'19-3'!Q140+'21-3'!Q140+'22-3'!Q140+'24-3'!Q140+'25-3'!Q140+'28-3'!Q140+'29-3'!Q140+'30-3'!Q140+'32-3'!Q140+'35-3'!Q140+'37-3'!Q140+'47-3'!Q140+'62-3'!Q140+'64-3'!Q140+'74-3'!Q140</f>
        <v>19417903</v>
      </c>
      <c r="R394" s="106">
        <f>'01-3'!R140+'02-3'!R140+'03-3'!R140+'04-3'!R140+'05-3'!R140+'08-3'!R140+'09-3'!R140+'10-3'!R140+'11-3'!R140+'12-3'!R140+'13-3'!R140+'14-3'!R140+'15-3'!R140+'16-3'!R140+'17-3'!R140+'18-3'!R140+'19-3'!R140+'21-3'!R140+'22-3'!R140+'24-3'!R140+'25-3'!R140+'28-3'!R140+'29-3'!R140+'30-3'!R140+'32-3'!R140+'35-3'!R140+'37-3'!R140+'47-3'!R140+'62-3'!R140+'64-3'!R140+'74-3'!R140</f>
        <v>267900590</v>
      </c>
      <c r="S394" s="1323"/>
      <c r="T394" s="1323"/>
      <c r="U394" s="1323"/>
      <c r="V394" s="1323"/>
      <c r="W394" s="1323"/>
    </row>
    <row r="395" spans="1:23" ht="48" hidden="1">
      <c r="A395" s="133" t="s">
        <v>189</v>
      </c>
      <c r="B395" s="112" t="s">
        <v>156</v>
      </c>
      <c r="C395" s="106">
        <f>'01-3'!C141+'02-3'!C141+'03-3'!C141+'04-3'!C141+'05-3'!C141+'08-3'!C141+'09-3'!C141+'10-3'!C141+'11-3'!C141+'12-3'!C141+'13-3'!C141+'14-3'!C141+'15-3'!C141+'16-3'!C141+'17-3'!C141+'18-3'!C141+'19-3'!C141+'21-3'!C141+'22-3'!C141+'24-3'!C141+'25-3'!C141+'28-3'!C141+'29-3'!C141+'30-3'!C141+'32-3'!C141+'35-3'!C141+'37-3'!C141+'47-3'!C141+'62-3'!C141+'64-3'!C141+'74-3'!C141</f>
        <v>0</v>
      </c>
      <c r="D395" s="106">
        <f>'01-3'!D141+'02-3'!D141+'03-3'!D141+'04-3'!D141+'05-3'!D141+'08-3'!D141+'09-3'!D141+'10-3'!D141+'11-3'!D141+'12-3'!D141+'13-3'!D141+'14-3'!D141+'15-3'!D141+'16-3'!D141+'17-3'!D141+'18-3'!D141+'19-3'!D141+'21-3'!D141+'22-3'!D141+'24-3'!D141+'25-3'!D141+'28-3'!D141+'29-3'!D141+'30-3'!D141+'32-3'!D141+'35-3'!D141+'37-3'!D141+'47-3'!D141+'62-3'!D141+'64-3'!D141+'74-3'!D141</f>
        <v>0</v>
      </c>
      <c r="E395" s="106">
        <f>'01-3'!E141+'02-3'!E141+'03-3'!E141+'04-3'!E141+'05-3'!E141+'08-3'!E141+'09-3'!E141+'10-3'!E141+'11-3'!E141+'12-3'!E141+'13-3'!E141+'14-3'!E141+'15-3'!E141+'16-3'!E141+'17-3'!E141+'18-3'!E141+'19-3'!E141+'21-3'!E141+'22-3'!E141+'24-3'!E141+'25-3'!E141+'28-3'!E141+'29-3'!E141+'30-3'!E141+'32-3'!E141+'35-3'!E141+'37-3'!E141+'47-3'!E141+'62-3'!E141+'64-3'!E141+'74-3'!E141</f>
        <v>0</v>
      </c>
      <c r="F395" s="106">
        <f>'01-3'!F141+'02-3'!F141+'03-3'!F141+'04-3'!F141+'05-3'!F141+'08-3'!F141+'09-3'!F141+'10-3'!F141+'11-3'!F141+'12-3'!F141+'13-3'!F141+'14-3'!F141+'15-3'!F141+'16-3'!F141+'17-3'!F141+'18-3'!F141+'19-3'!F141+'21-3'!F141+'22-3'!F141+'24-3'!F141+'25-3'!F141+'28-3'!F141+'29-3'!F141+'30-3'!F141+'32-3'!F141+'35-3'!F141+'37-3'!F141+'47-3'!F141+'62-3'!F141+'64-3'!F141+'74-3'!F141</f>
        <v>0</v>
      </c>
      <c r="G395" s="106">
        <f>'01-3'!G141+'02-3'!G141+'03-3'!G141+'04-3'!G141+'05-3'!G141+'08-3'!G141+'09-3'!G141+'10-3'!G141+'11-3'!G141+'12-3'!G141+'13-3'!G141+'14-3'!G141+'15-3'!G141+'16-3'!G141+'17-3'!G141+'18-3'!G141+'19-3'!G141+'21-3'!G141+'22-3'!G141+'24-3'!G141+'25-3'!G141+'28-3'!G141+'29-3'!G141+'30-3'!G141+'32-3'!G141+'35-3'!G141+'37-3'!G141+'47-3'!G141+'62-3'!G141+'64-3'!G141+'74-3'!G141</f>
        <v>0</v>
      </c>
      <c r="H395" s="106">
        <f>'01-3'!H141+'02-3'!H141+'03-3'!H141+'04-3'!H141+'05-3'!H141+'08-3'!H141+'09-3'!H141+'10-3'!H141+'11-3'!H141+'12-3'!H141+'13-3'!H141+'14-3'!H141+'15-3'!H141+'16-3'!H141+'17-3'!H141+'18-3'!H141+'19-3'!H141+'21-3'!H141+'22-3'!H141+'24-3'!H141+'25-3'!H141+'28-3'!H141+'29-3'!H141+'30-3'!H141+'32-3'!H141+'35-3'!H141+'37-3'!H141+'47-3'!H141+'62-3'!H141+'64-3'!H141+'74-3'!H141</f>
        <v>0</v>
      </c>
      <c r="I395" s="106">
        <f>'01-3'!I141+'02-3'!I141+'03-3'!I141+'04-3'!I141+'05-3'!I141+'08-3'!I141+'09-3'!I141+'10-3'!I141+'11-3'!I141+'12-3'!I141+'13-3'!I141+'14-3'!I141+'15-3'!I141+'16-3'!I141+'17-3'!I141+'18-3'!I141+'19-3'!I141+'21-3'!I141+'22-3'!I141+'24-3'!I141+'25-3'!I141+'28-3'!I141+'29-3'!I141+'30-3'!I141+'32-3'!I141+'35-3'!I141+'37-3'!I141+'47-3'!I141+'62-3'!I141+'64-3'!I141+'74-3'!I141</f>
        <v>0</v>
      </c>
      <c r="J395" s="106">
        <f>'01-3'!J141+'02-3'!J141+'03-3'!J141+'04-3'!J141+'05-3'!J141+'08-3'!J141+'09-3'!J141+'10-3'!J141+'11-3'!J141+'12-3'!J141+'13-3'!J141+'14-3'!J141+'15-3'!J141+'16-3'!J141+'17-3'!J141+'18-3'!J141+'19-3'!J141+'21-3'!J141+'22-3'!J141+'24-3'!J141+'25-3'!J141+'28-3'!J141+'29-3'!J141+'30-3'!J141+'32-3'!J141+'35-3'!J141+'37-3'!J141+'47-3'!J141+'62-3'!J141+'64-3'!J141+'74-3'!J141</f>
        <v>0</v>
      </c>
      <c r="K395" s="106">
        <f>'01-3'!K141+'02-3'!K141+'03-3'!K141+'04-3'!K141+'05-3'!K141+'08-3'!K141+'09-3'!K141+'10-3'!K141+'11-3'!K141+'12-3'!K141+'13-3'!K141+'14-3'!K141+'15-3'!K141+'16-3'!K141+'17-3'!K141+'18-3'!K141+'19-3'!K141+'21-3'!K141+'22-3'!K141+'24-3'!K141+'25-3'!K141+'28-3'!K141+'29-3'!K141+'30-3'!K141+'32-3'!K141+'35-3'!K141+'37-3'!K141+'47-3'!K141+'62-3'!K141+'64-3'!K141+'74-3'!K141</f>
        <v>0</v>
      </c>
      <c r="L395" s="106">
        <f>'01-3'!L141+'02-3'!L141+'03-3'!L141+'04-3'!L141+'05-3'!L141+'08-3'!L141+'09-3'!L141+'10-3'!L141+'11-3'!L141+'12-3'!L141+'13-3'!L141+'14-3'!L141+'15-3'!L141+'16-3'!L141+'17-3'!L141+'18-3'!L141+'19-3'!L141+'21-3'!L141+'22-3'!L141+'24-3'!L141+'25-3'!L141+'28-3'!L141+'29-3'!L141+'30-3'!L141+'32-3'!L141+'35-3'!L141+'37-3'!L141+'47-3'!L141+'62-3'!L141+'64-3'!L141+'74-3'!L141</f>
        <v>0</v>
      </c>
      <c r="M395" s="106">
        <f>'01-3'!M141+'02-3'!M141+'03-3'!M141+'04-3'!M141+'05-3'!M141+'08-3'!M141+'09-3'!M141+'10-3'!M141+'11-3'!M141+'12-3'!M141+'13-3'!M141+'14-3'!M141+'15-3'!M141+'16-3'!M141+'17-3'!M141+'18-3'!M141+'19-3'!M141+'21-3'!M141+'22-3'!M141+'24-3'!M141+'25-3'!M141+'28-3'!M141+'29-3'!M141+'30-3'!M141+'32-3'!M141+'35-3'!M141+'37-3'!M141+'47-3'!M141+'62-3'!M141+'64-3'!M141+'74-3'!M141</f>
        <v>0</v>
      </c>
      <c r="N395" s="106">
        <f>'01-3'!N141+'02-3'!N141+'03-3'!N141+'04-3'!N141+'05-3'!N141+'08-3'!N141+'09-3'!N141+'10-3'!N141+'11-3'!N141+'12-3'!N141+'13-3'!N141+'14-3'!N141+'15-3'!N141+'16-3'!N141+'17-3'!N141+'18-3'!N141+'19-3'!N141+'21-3'!N141+'22-3'!N141+'24-3'!N141+'25-3'!N141+'28-3'!N141+'29-3'!N141+'30-3'!N141+'32-3'!N141+'35-3'!N141+'37-3'!N141+'47-3'!N141+'62-3'!N141+'64-3'!N141+'74-3'!N141</f>
        <v>0</v>
      </c>
      <c r="O395" s="106">
        <f>'01-3'!O141+'02-3'!O141+'03-3'!O141+'04-3'!O141+'05-3'!O141+'08-3'!O141+'09-3'!O141+'10-3'!O141+'11-3'!O141+'12-3'!O141+'13-3'!O141+'14-3'!O141+'15-3'!O141+'16-3'!O141+'17-3'!O141+'18-3'!O141+'19-3'!O141+'21-3'!O141+'22-3'!O141+'24-3'!O141+'25-3'!O141+'28-3'!O141+'29-3'!O141+'30-3'!O141+'32-3'!O141+'35-3'!O141+'37-3'!O141+'47-3'!O141+'62-3'!O141+'64-3'!O141+'74-3'!O141</f>
        <v>0</v>
      </c>
      <c r="P395" s="106">
        <f>'01-3'!P141+'02-3'!P141+'03-3'!P141+'04-3'!P141+'05-3'!P141+'08-3'!P141+'09-3'!P141+'10-3'!P141+'11-3'!P141+'12-3'!P141+'13-3'!P141+'14-3'!P141+'15-3'!P141+'16-3'!P141+'17-3'!P141+'18-3'!P141+'19-3'!P141+'21-3'!P141+'22-3'!P141+'24-3'!P141+'25-3'!P141+'28-3'!P141+'29-3'!P141+'30-3'!P141+'32-3'!P141+'35-3'!P141+'37-3'!P141+'47-3'!P141+'62-3'!P141+'64-3'!P141+'74-3'!P141</f>
        <v>0</v>
      </c>
      <c r="Q395" s="106">
        <f>'01-3'!Q141+'02-3'!Q141+'03-3'!Q141+'04-3'!Q141+'05-3'!Q141+'08-3'!Q141+'09-3'!Q141+'10-3'!Q141+'11-3'!Q141+'12-3'!Q141+'13-3'!Q141+'14-3'!Q141+'15-3'!Q141+'16-3'!Q141+'17-3'!Q141+'18-3'!Q141+'19-3'!Q141+'21-3'!Q141+'22-3'!Q141+'24-3'!Q141+'25-3'!Q141+'28-3'!Q141+'29-3'!Q141+'30-3'!Q141+'32-3'!Q141+'35-3'!Q141+'37-3'!Q141+'47-3'!Q141+'62-3'!Q141+'64-3'!Q141+'74-3'!Q141</f>
        <v>0</v>
      </c>
      <c r="R395" s="106">
        <f>'01-3'!R141+'02-3'!R141+'03-3'!R141+'04-3'!R141+'05-3'!R141+'08-3'!R141+'09-3'!R141+'10-3'!R141+'11-3'!R141+'12-3'!R141+'13-3'!R141+'14-3'!R141+'15-3'!R141+'16-3'!R141+'17-3'!R141+'18-3'!R141+'19-3'!R141+'21-3'!R141+'22-3'!R141+'24-3'!R141+'25-3'!R141+'28-3'!R141+'29-3'!R141+'30-3'!R141+'32-3'!R141+'35-3'!R141+'37-3'!R141+'47-3'!R141+'62-3'!R141+'64-3'!R141+'74-3'!R141</f>
        <v>0</v>
      </c>
    </row>
    <row r="396" spans="1:23" ht="36">
      <c r="A396" s="133">
        <v>7350</v>
      </c>
      <c r="B396" s="112" t="s">
        <v>163</v>
      </c>
      <c r="C396" s="106">
        <f>'01-3'!C142+'02-3'!C142+'03-3'!C142+'04-3'!C142+'05-3'!C142+'08-3'!C142+'09-3'!C142+'10-3'!C142+'11-3'!C142+'12-3'!C142+'13-3'!C142+'14-3'!C142+'15-3'!C142+'16-3'!C142+'17-3'!C142+'18-3'!C142+'19-3'!C142+'21-3'!C142+'22-3'!C142+'24-3'!C142+'25-3'!C142+'28-3'!C142+'29-3'!C142+'30-3'!C142+'32-3'!C142+'35-3'!C142+'37-3'!C142+'47-3'!C142+'62-3'!C142+'64-3'!C142+'74-3'!C142</f>
        <v>78153838</v>
      </c>
      <c r="D396" s="106">
        <f>'01-3'!D142+'02-3'!D142+'03-3'!D142+'04-3'!D142+'05-3'!D142+'08-3'!D142+'09-3'!D142+'10-3'!D142+'11-3'!D142+'12-3'!D142+'13-3'!D142+'14-3'!D142+'15-3'!D142+'16-3'!D142+'17-3'!D142+'18-3'!D142+'19-3'!D142+'21-3'!D142+'22-3'!D142+'24-3'!D142+'25-3'!D142+'28-3'!D142+'29-3'!D142+'30-3'!D142+'32-3'!D142+'35-3'!D142+'37-3'!D142+'47-3'!D142+'62-3'!D142+'64-3'!D142+'74-3'!D142</f>
        <v>78041263</v>
      </c>
      <c r="E396" s="106">
        <f>'01-3'!E142+'02-3'!E142+'03-3'!E142+'04-3'!E142+'05-3'!E142+'08-3'!E142+'09-3'!E142+'10-3'!E142+'11-3'!E142+'12-3'!E142+'13-3'!E142+'14-3'!E142+'15-3'!E142+'16-3'!E142+'17-3'!E142+'18-3'!E142+'19-3'!E142+'21-3'!E142+'22-3'!E142+'24-3'!E142+'25-3'!E142+'28-3'!E142+'29-3'!E142+'30-3'!E142+'32-3'!E142+'35-3'!E142+'37-3'!E142+'47-3'!E142+'62-3'!E142+'64-3'!E142+'74-3'!E142</f>
        <v>-921083</v>
      </c>
      <c r="F396" s="106">
        <f>'01-3'!F142+'02-3'!F142+'03-3'!F142+'04-3'!F142+'05-3'!F142+'08-3'!F142+'09-3'!F142+'10-3'!F142+'11-3'!F142+'12-3'!F142+'13-3'!F142+'14-3'!F142+'15-3'!F142+'16-3'!F142+'17-3'!F142+'18-3'!F142+'19-3'!F142+'21-3'!F142+'22-3'!F142+'24-3'!F142+'25-3'!F142+'28-3'!F142+'29-3'!F142+'30-3'!F142+'32-3'!F142+'35-3'!F142+'37-3'!F142+'47-3'!F142+'62-3'!F142+'64-3'!F142+'74-3'!F142</f>
        <v>0</v>
      </c>
      <c r="G396" s="106">
        <f>'01-3'!G142+'02-3'!G142+'03-3'!G142+'04-3'!G142+'05-3'!G142+'08-3'!G142+'09-3'!G142+'10-3'!G142+'11-3'!G142+'12-3'!G142+'13-3'!G142+'14-3'!G142+'15-3'!G142+'16-3'!G142+'17-3'!G142+'18-3'!G142+'19-3'!G142+'21-3'!G142+'22-3'!G142+'24-3'!G142+'25-3'!G142+'28-3'!G142+'29-3'!G142+'30-3'!G142+'32-3'!G142+'35-3'!G142+'37-3'!G142+'47-3'!G142+'62-3'!G142+'64-3'!G142+'74-3'!G142</f>
        <v>133298</v>
      </c>
      <c r="H396" s="106">
        <f>'01-3'!H142+'02-3'!H142+'03-3'!H142+'04-3'!H142+'05-3'!H142+'08-3'!H142+'09-3'!H142+'10-3'!H142+'11-3'!H142+'12-3'!H142+'13-3'!H142+'14-3'!H142+'15-3'!H142+'16-3'!H142+'17-3'!H142+'18-3'!H142+'19-3'!H142+'21-3'!H142+'22-3'!H142+'24-3'!H142+'25-3'!H142+'28-3'!H142+'29-3'!H142+'30-3'!H142+'32-3'!H142+'35-3'!H142+'37-3'!H142+'47-3'!H142+'62-3'!H142+'64-3'!H142+'74-3'!H142</f>
        <v>77253478</v>
      </c>
      <c r="I396" s="106">
        <f>'01-3'!I142+'02-3'!I142+'03-3'!I142+'04-3'!I142+'05-3'!I142+'08-3'!I142+'09-3'!I142+'10-3'!I142+'11-3'!I142+'12-3'!I142+'13-3'!I142+'14-3'!I142+'15-3'!I142+'16-3'!I142+'17-3'!I142+'18-3'!I142+'19-3'!I142+'21-3'!I142+'22-3'!I142+'24-3'!I142+'25-3'!I142+'28-3'!I142+'29-3'!I142+'30-3'!I142+'32-3'!I142+'35-3'!I142+'37-3'!I142+'47-3'!I142+'62-3'!I142+'64-3'!I142+'74-3'!I142</f>
        <v>76294105</v>
      </c>
      <c r="J396" s="106">
        <f>'01-3'!J142+'02-3'!J142+'03-3'!J142+'04-3'!J142+'05-3'!J142+'08-3'!J142+'09-3'!J142+'10-3'!J142+'11-3'!J142+'12-3'!J142+'13-3'!J142+'14-3'!J142+'15-3'!J142+'16-3'!J142+'17-3'!J142+'18-3'!J142+'19-3'!J142+'21-3'!J142+'22-3'!J142+'24-3'!J142+'25-3'!J142+'28-3'!J142+'29-3'!J142+'30-3'!J142+'32-3'!J142+'35-3'!J142+'37-3'!J142+'47-3'!J142+'62-3'!J142+'64-3'!J142+'74-3'!J142</f>
        <v>0</v>
      </c>
      <c r="K396" s="106">
        <f>'01-3'!K142+'02-3'!K142+'03-3'!K142+'04-3'!K142+'05-3'!K142+'08-3'!K142+'09-3'!K142+'10-3'!K142+'11-3'!K142+'12-3'!K142+'13-3'!K142+'14-3'!K142+'15-3'!K142+'16-3'!K142+'17-3'!K142+'18-3'!K142+'19-3'!K142+'21-3'!K142+'22-3'!K142+'24-3'!K142+'25-3'!K142+'28-3'!K142+'29-3'!K142+'30-3'!K142+'32-3'!K142+'35-3'!K142+'37-3'!K142+'47-3'!K142+'62-3'!K142+'64-3'!K142+'74-3'!K142</f>
        <v>0</v>
      </c>
      <c r="L396" s="106">
        <f>'01-3'!L142+'02-3'!L142+'03-3'!L142+'04-3'!L142+'05-3'!L142+'08-3'!L142+'09-3'!L142+'10-3'!L142+'11-3'!L142+'12-3'!L142+'13-3'!L142+'14-3'!L142+'15-3'!L142+'16-3'!L142+'17-3'!L142+'18-3'!L142+'19-3'!L142+'21-3'!L142+'22-3'!L142+'24-3'!L142+'25-3'!L142+'28-3'!L142+'29-3'!L142+'30-3'!L142+'32-3'!L142+'35-3'!L142+'37-3'!L142+'47-3'!L142+'62-3'!L142+'64-3'!L142+'74-3'!L142</f>
        <v>239747</v>
      </c>
      <c r="M396" s="106">
        <f>'01-3'!M142+'02-3'!M142+'03-3'!M142+'04-3'!M142+'05-3'!M142+'08-3'!M142+'09-3'!M142+'10-3'!M142+'11-3'!M142+'12-3'!M142+'13-3'!M142+'14-3'!M142+'15-3'!M142+'16-3'!M142+'17-3'!M142+'18-3'!M142+'19-3'!M142+'21-3'!M142+'22-3'!M142+'24-3'!M142+'25-3'!M142+'28-3'!M142+'29-3'!M142+'30-3'!M142+'32-3'!M142+'35-3'!M142+'37-3'!M142+'47-3'!M142+'62-3'!M142+'64-3'!M142+'74-3'!M142</f>
        <v>76533852</v>
      </c>
      <c r="N396" s="106">
        <f>'01-3'!N142+'02-3'!N142+'03-3'!N142+'04-3'!N142+'05-3'!N142+'08-3'!N142+'09-3'!N142+'10-3'!N142+'11-3'!N142+'12-3'!N142+'13-3'!N142+'14-3'!N142+'15-3'!N142+'16-3'!N142+'17-3'!N142+'18-3'!N142+'19-3'!N142+'21-3'!N142+'22-3'!N142+'24-3'!N142+'25-3'!N142+'28-3'!N142+'29-3'!N142+'30-3'!N142+'32-3'!N142+'35-3'!N142+'37-3'!N142+'47-3'!N142+'62-3'!N142+'64-3'!N142+'74-3'!N142</f>
        <v>75358423</v>
      </c>
      <c r="O396" s="106">
        <f>'01-3'!O142+'02-3'!O142+'03-3'!O142+'04-3'!O142+'05-3'!O142+'08-3'!O142+'09-3'!O142+'10-3'!O142+'11-3'!O142+'12-3'!O142+'13-3'!O142+'14-3'!O142+'15-3'!O142+'16-3'!O142+'17-3'!O142+'18-3'!O142+'19-3'!O142+'21-3'!O142+'22-3'!O142+'24-3'!O142+'25-3'!O142+'28-3'!O142+'29-3'!O142+'30-3'!O142+'32-3'!O142+'35-3'!O142+'37-3'!O142+'47-3'!O142+'62-3'!O142+'64-3'!O142+'74-3'!O142</f>
        <v>0</v>
      </c>
      <c r="P396" s="106">
        <f>'01-3'!P142+'02-3'!P142+'03-3'!P142+'04-3'!P142+'05-3'!P142+'08-3'!P142+'09-3'!P142+'10-3'!P142+'11-3'!P142+'12-3'!P142+'13-3'!P142+'14-3'!P142+'15-3'!P142+'16-3'!P142+'17-3'!P142+'18-3'!P142+'19-3'!P142+'21-3'!P142+'22-3'!P142+'24-3'!P142+'25-3'!P142+'28-3'!P142+'29-3'!P142+'30-3'!P142+'32-3'!P142+'35-3'!P142+'37-3'!P142+'47-3'!P142+'62-3'!P142+'64-3'!P142+'74-3'!P142</f>
        <v>0</v>
      </c>
      <c r="Q396" s="106">
        <f>'01-3'!Q142+'02-3'!Q142+'03-3'!Q142+'04-3'!Q142+'05-3'!Q142+'08-3'!Q142+'09-3'!Q142+'10-3'!Q142+'11-3'!Q142+'12-3'!Q142+'13-3'!Q142+'14-3'!Q142+'15-3'!Q142+'16-3'!Q142+'17-3'!Q142+'18-3'!Q142+'19-3'!Q142+'21-3'!Q142+'22-3'!Q142+'24-3'!Q142+'25-3'!Q142+'28-3'!Q142+'29-3'!Q142+'30-3'!Q142+'32-3'!Q142+'35-3'!Q142+'37-3'!Q142+'47-3'!Q142+'62-3'!Q142+'64-3'!Q142+'74-3'!Q142</f>
        <v>112604</v>
      </c>
      <c r="R396" s="106">
        <f>'01-3'!R142+'02-3'!R142+'03-3'!R142+'04-3'!R142+'05-3'!R142+'08-3'!R142+'09-3'!R142+'10-3'!R142+'11-3'!R142+'12-3'!R142+'13-3'!R142+'14-3'!R142+'15-3'!R142+'16-3'!R142+'17-3'!R142+'18-3'!R142+'19-3'!R142+'21-3'!R142+'22-3'!R142+'24-3'!R142+'25-3'!R142+'28-3'!R142+'29-3'!R142+'30-3'!R142+'32-3'!R142+'35-3'!R142+'37-3'!R142+'47-3'!R142+'62-3'!R142+'64-3'!R142+'74-3'!R142</f>
        <v>75471027</v>
      </c>
    </row>
    <row r="397" spans="1:23" ht="24">
      <c r="A397" s="132">
        <v>7400</v>
      </c>
      <c r="B397" s="108" t="s">
        <v>161</v>
      </c>
      <c r="C397" s="106">
        <f>'01-3'!C143+'02-3'!C143+'03-3'!C143+'04-3'!C143+'05-3'!C143+'08-3'!C143+'09-3'!C143+'10-3'!C143+'11-3'!C143+'12-3'!C143+'13-3'!C143+'14-3'!C143+'15-3'!C143+'16-3'!C143+'17-3'!C143+'18-3'!C143+'19-3'!C143+'21-3'!C143+'22-3'!C143+'24-3'!C143+'25-3'!C143+'28-3'!C143+'29-3'!C143+'30-3'!C143+'32-3'!C143+'35-3'!C143+'37-3'!C143+'47-3'!C143+'62-3'!C143+'64-3'!C143+'74-3'!C143</f>
        <v>28222865</v>
      </c>
      <c r="D397" s="106">
        <f>'01-3'!D143+'02-3'!D143+'03-3'!D143+'04-3'!D143+'05-3'!D143+'08-3'!D143+'09-3'!D143+'10-3'!D143+'11-3'!D143+'12-3'!D143+'13-3'!D143+'14-3'!D143+'15-3'!D143+'16-3'!D143+'17-3'!D143+'18-3'!D143+'19-3'!D143+'21-3'!D143+'22-3'!D143+'24-3'!D143+'25-3'!D143+'28-3'!D143+'29-3'!D143+'30-3'!D143+'32-3'!D143+'35-3'!D143+'37-3'!D143+'47-3'!D143+'62-3'!D143+'64-3'!D143+'74-3'!D143</f>
        <v>26654635</v>
      </c>
      <c r="E397" s="106">
        <f>'01-3'!E143+'02-3'!E143+'03-3'!E143+'04-3'!E143+'05-3'!E143+'08-3'!E143+'09-3'!E143+'10-3'!E143+'11-3'!E143+'12-3'!E143+'13-3'!E143+'14-3'!E143+'15-3'!E143+'16-3'!E143+'17-3'!E143+'18-3'!E143+'19-3'!E143+'21-3'!E143+'22-3'!E143+'24-3'!E143+'25-3'!E143+'28-3'!E143+'29-3'!E143+'30-3'!E143+'32-3'!E143+'35-3'!E143+'37-3'!E143+'47-3'!E143+'62-3'!E143+'64-3'!E143+'74-3'!E143</f>
        <v>0</v>
      </c>
      <c r="F397" s="106">
        <f>'01-3'!F143+'02-3'!F143+'03-3'!F143+'04-3'!F143+'05-3'!F143+'08-3'!F143+'09-3'!F143+'10-3'!F143+'11-3'!F143+'12-3'!F143+'13-3'!F143+'14-3'!F143+'15-3'!F143+'16-3'!F143+'17-3'!F143+'18-3'!F143+'19-3'!F143+'21-3'!F143+'22-3'!F143+'24-3'!F143+'25-3'!F143+'28-3'!F143+'29-3'!F143+'30-3'!F143+'32-3'!F143+'35-3'!F143+'37-3'!F143+'47-3'!F143+'62-3'!F143+'64-3'!F143+'74-3'!F143</f>
        <v>-197044</v>
      </c>
      <c r="G397" s="106">
        <f>'01-3'!G143+'02-3'!G143+'03-3'!G143+'04-3'!G143+'05-3'!G143+'08-3'!G143+'09-3'!G143+'10-3'!G143+'11-3'!G143+'12-3'!G143+'13-3'!G143+'14-3'!G143+'15-3'!G143+'16-3'!G143+'17-3'!G143+'18-3'!G143+'19-3'!G143+'21-3'!G143+'22-3'!G143+'24-3'!G143+'25-3'!G143+'28-3'!G143+'29-3'!G143+'30-3'!G143+'32-3'!G143+'35-3'!G143+'37-3'!G143+'47-3'!G143+'62-3'!G143+'64-3'!G143+'74-3'!G143</f>
        <v>2214942</v>
      </c>
      <c r="H397" s="106">
        <f>'01-3'!H143+'02-3'!H143+'03-3'!H143+'04-3'!H143+'05-3'!H143+'08-3'!H143+'09-3'!H143+'10-3'!H143+'11-3'!H143+'12-3'!H143+'13-3'!H143+'14-3'!H143+'15-3'!H143+'16-3'!H143+'17-3'!H143+'18-3'!H143+'19-3'!H143+'21-3'!H143+'22-3'!H143+'24-3'!H143+'25-3'!H143+'28-3'!H143+'29-3'!H143+'30-3'!H143+'32-3'!H143+'35-3'!H143+'37-3'!H143+'47-3'!H143+'62-3'!H143+'64-3'!H143+'74-3'!H143</f>
        <v>28672533</v>
      </c>
      <c r="I397" s="106">
        <f>'01-3'!I143+'02-3'!I143+'03-3'!I143+'04-3'!I143+'05-3'!I143+'08-3'!I143+'09-3'!I143+'10-3'!I143+'11-3'!I143+'12-3'!I143+'13-3'!I143+'14-3'!I143+'15-3'!I143+'16-3'!I143+'17-3'!I143+'18-3'!I143+'19-3'!I143+'21-3'!I143+'22-3'!I143+'24-3'!I143+'25-3'!I143+'28-3'!I143+'29-3'!I143+'30-3'!I143+'32-3'!I143+'35-3'!I143+'37-3'!I143+'47-3'!I143+'62-3'!I143+'64-3'!I143+'74-3'!I143</f>
        <v>20940361</v>
      </c>
      <c r="J397" s="106">
        <f>'01-3'!J143+'02-3'!J143+'03-3'!J143+'04-3'!J143+'05-3'!J143+'08-3'!J143+'09-3'!J143+'10-3'!J143+'11-3'!J143+'12-3'!J143+'13-3'!J143+'14-3'!J143+'15-3'!J143+'16-3'!J143+'17-3'!J143+'18-3'!J143+'19-3'!J143+'21-3'!J143+'22-3'!J143+'24-3'!J143+'25-3'!J143+'28-3'!J143+'29-3'!J143+'30-3'!J143+'32-3'!J143+'35-3'!J143+'37-3'!J143+'47-3'!J143+'62-3'!J143+'64-3'!J143+'74-3'!J143</f>
        <v>0</v>
      </c>
      <c r="K397" s="106">
        <f>'01-3'!K143+'02-3'!K143+'03-3'!K143+'04-3'!K143+'05-3'!K143+'08-3'!K143+'09-3'!K143+'10-3'!K143+'11-3'!K143+'12-3'!K143+'13-3'!K143+'14-3'!K143+'15-3'!K143+'16-3'!K143+'17-3'!K143+'18-3'!K143+'19-3'!K143+'21-3'!K143+'22-3'!K143+'24-3'!K143+'25-3'!K143+'28-3'!K143+'29-3'!K143+'30-3'!K143+'32-3'!K143+'35-3'!K143+'37-3'!K143+'47-3'!K143+'62-3'!K143+'64-3'!K143+'74-3'!K143</f>
        <v>-200000</v>
      </c>
      <c r="L397" s="106">
        <f>'01-3'!L143+'02-3'!L143+'03-3'!L143+'04-3'!L143+'05-3'!L143+'08-3'!L143+'09-3'!L143+'10-3'!L143+'11-3'!L143+'12-3'!L143+'13-3'!L143+'14-3'!L143+'15-3'!L143+'16-3'!L143+'17-3'!L143+'18-3'!L143+'19-3'!L143+'21-3'!L143+'22-3'!L143+'24-3'!L143+'25-3'!L143+'28-3'!L143+'29-3'!L143+'30-3'!L143+'32-3'!L143+'35-3'!L143+'37-3'!L143+'47-3'!L143+'62-3'!L143+'64-3'!L143+'74-3'!L143</f>
        <v>3021282</v>
      </c>
      <c r="M397" s="106">
        <f>'01-3'!M143+'02-3'!M143+'03-3'!M143+'04-3'!M143+'05-3'!M143+'08-3'!M143+'09-3'!M143+'10-3'!M143+'11-3'!M143+'12-3'!M143+'13-3'!M143+'14-3'!M143+'15-3'!M143+'16-3'!M143+'17-3'!M143+'18-3'!M143+'19-3'!M143+'21-3'!M143+'22-3'!M143+'24-3'!M143+'25-3'!M143+'28-3'!M143+'29-3'!M143+'30-3'!M143+'32-3'!M143+'35-3'!M143+'37-3'!M143+'47-3'!M143+'62-3'!M143+'64-3'!M143+'74-3'!M143</f>
        <v>23761643</v>
      </c>
      <c r="N397" s="106">
        <f>'01-3'!N143+'02-3'!N143+'03-3'!N143+'04-3'!N143+'05-3'!N143+'08-3'!N143+'09-3'!N143+'10-3'!N143+'11-3'!N143+'12-3'!N143+'13-3'!N143+'14-3'!N143+'15-3'!N143+'16-3'!N143+'17-3'!N143+'18-3'!N143+'19-3'!N143+'21-3'!N143+'22-3'!N143+'24-3'!N143+'25-3'!N143+'28-3'!N143+'29-3'!N143+'30-3'!N143+'32-3'!N143+'35-3'!N143+'37-3'!N143+'47-3'!N143+'62-3'!N143+'64-3'!N143+'74-3'!N143</f>
        <v>20940361</v>
      </c>
      <c r="O397" s="106">
        <f>'01-3'!O143+'02-3'!O143+'03-3'!O143+'04-3'!O143+'05-3'!O143+'08-3'!O143+'09-3'!O143+'10-3'!O143+'11-3'!O143+'12-3'!O143+'13-3'!O143+'14-3'!O143+'15-3'!O143+'16-3'!O143+'17-3'!O143+'18-3'!O143+'19-3'!O143+'21-3'!O143+'22-3'!O143+'24-3'!O143+'25-3'!O143+'28-3'!O143+'29-3'!O143+'30-3'!O143+'32-3'!O143+'35-3'!O143+'37-3'!O143+'47-3'!O143+'62-3'!O143+'64-3'!O143+'74-3'!O143</f>
        <v>0</v>
      </c>
      <c r="P397" s="106">
        <f>'01-3'!P143+'02-3'!P143+'03-3'!P143+'04-3'!P143+'05-3'!P143+'08-3'!P143+'09-3'!P143+'10-3'!P143+'11-3'!P143+'12-3'!P143+'13-3'!P143+'14-3'!P143+'15-3'!P143+'16-3'!P143+'17-3'!P143+'18-3'!P143+'19-3'!P143+'21-3'!P143+'22-3'!P143+'24-3'!P143+'25-3'!P143+'28-3'!P143+'29-3'!P143+'30-3'!P143+'32-3'!P143+'35-3'!P143+'37-3'!P143+'47-3'!P143+'62-3'!P143+'64-3'!P143+'74-3'!P143</f>
        <v>-200000</v>
      </c>
      <c r="Q397" s="106">
        <f>'01-3'!Q143+'02-3'!Q143+'03-3'!Q143+'04-3'!Q143+'05-3'!Q143+'08-3'!Q143+'09-3'!Q143+'10-3'!Q143+'11-3'!Q143+'12-3'!Q143+'13-3'!Q143+'14-3'!Q143+'15-3'!Q143+'16-3'!Q143+'17-3'!Q143+'18-3'!Q143+'19-3'!Q143+'21-3'!Q143+'22-3'!Q143+'24-3'!Q143+'25-3'!Q143+'28-3'!Q143+'29-3'!Q143+'30-3'!Q143+'32-3'!Q143+'35-3'!Q143+'37-3'!Q143+'47-3'!Q143+'62-3'!Q143+'64-3'!Q143+'74-3'!Q143</f>
        <v>3049725</v>
      </c>
      <c r="R397" s="106">
        <f>'01-3'!R143+'02-3'!R143+'03-3'!R143+'04-3'!R143+'05-3'!R143+'08-3'!R143+'09-3'!R143+'10-3'!R143+'11-3'!R143+'12-3'!R143+'13-3'!R143+'14-3'!R143+'15-3'!R143+'16-3'!R143+'17-3'!R143+'18-3'!R143+'19-3'!R143+'21-3'!R143+'22-3'!R143+'24-3'!R143+'25-3'!R143+'28-3'!R143+'29-3'!R143+'30-3'!R143+'32-3'!R143+'35-3'!R143+'37-3'!R143+'47-3'!R143+'62-3'!R143+'64-3'!R143+'74-3'!R143</f>
        <v>23790086</v>
      </c>
    </row>
    <row r="398" spans="1:23" ht="24">
      <c r="A398" s="133">
        <v>7460</v>
      </c>
      <c r="B398" s="108" t="s">
        <v>162</v>
      </c>
      <c r="C398" s="106">
        <f>'01-3'!C144+'02-3'!C144+'03-3'!C144+'04-3'!C144+'05-3'!C144+'08-3'!C144+'09-3'!C144+'10-3'!C144+'11-3'!C144+'12-3'!C144+'13-3'!C144+'14-3'!C144+'15-3'!C144+'16-3'!C144+'17-3'!C144+'18-3'!C144+'19-3'!C144+'21-3'!C144+'22-3'!C144+'24-3'!C144+'25-3'!C144+'28-3'!C144+'29-3'!C144+'30-3'!C144+'32-3'!C144+'35-3'!C144+'37-3'!C144+'47-3'!C144+'62-3'!C144+'64-3'!C144+'74-3'!C144</f>
        <v>16429517</v>
      </c>
      <c r="D398" s="106">
        <f>'01-3'!D144+'02-3'!D144+'03-3'!D144+'04-3'!D144+'05-3'!D144+'08-3'!D144+'09-3'!D144+'10-3'!D144+'11-3'!D144+'12-3'!D144+'13-3'!D144+'14-3'!D144+'15-3'!D144+'16-3'!D144+'17-3'!D144+'18-3'!D144+'19-3'!D144+'21-3'!D144+'22-3'!D144+'24-3'!D144+'25-3'!D144+'28-3'!D144+'29-3'!D144+'30-3'!D144+'32-3'!D144+'35-3'!D144+'37-3'!D144+'47-3'!D144+'62-3'!D144+'64-3'!D144+'74-3'!D144</f>
        <v>16447171</v>
      </c>
      <c r="E398" s="106">
        <f>'01-3'!E144+'02-3'!E144+'03-3'!E144+'04-3'!E144+'05-3'!E144+'08-3'!E144+'09-3'!E144+'10-3'!E144+'11-3'!E144+'12-3'!E144+'13-3'!E144+'14-3'!E144+'15-3'!E144+'16-3'!E144+'17-3'!E144+'18-3'!E144+'19-3'!E144+'21-3'!E144+'22-3'!E144+'24-3'!E144+'25-3'!E144+'28-3'!E144+'29-3'!E144+'30-3'!E144+'32-3'!E144+'35-3'!E144+'37-3'!E144+'47-3'!E144+'62-3'!E144+'64-3'!E144+'74-3'!E144</f>
        <v>0</v>
      </c>
      <c r="F398" s="106">
        <f>'01-3'!F144+'02-3'!F144+'03-3'!F144+'04-3'!F144+'05-3'!F144+'08-3'!F144+'09-3'!F144+'10-3'!F144+'11-3'!F144+'12-3'!F144+'13-3'!F144+'14-3'!F144+'15-3'!F144+'16-3'!F144+'17-3'!F144+'18-3'!F144+'19-3'!F144+'21-3'!F144+'22-3'!F144+'24-3'!F144+'25-3'!F144+'28-3'!F144+'29-3'!F144+'30-3'!F144+'32-3'!F144+'35-3'!F144+'37-3'!F144+'47-3'!F144+'62-3'!F144+'64-3'!F144+'74-3'!F144</f>
        <v>0</v>
      </c>
      <c r="G398" s="106">
        <f>'01-3'!G144+'02-3'!G144+'03-3'!G144+'04-3'!G144+'05-3'!G144+'08-3'!G144+'09-3'!G144+'10-3'!G144+'11-3'!G144+'12-3'!G144+'13-3'!G144+'14-3'!G144+'15-3'!G144+'16-3'!G144+'17-3'!G144+'18-3'!G144+'19-3'!G144+'21-3'!G144+'22-3'!G144+'24-3'!G144+'25-3'!G144+'28-3'!G144+'29-3'!G144+'30-3'!G144+'32-3'!G144+'35-3'!G144+'37-3'!G144+'47-3'!G144+'62-3'!G144+'64-3'!G144+'74-3'!G144</f>
        <v>114935</v>
      </c>
      <c r="H398" s="106">
        <f>'01-3'!H144+'02-3'!H144+'03-3'!H144+'04-3'!H144+'05-3'!H144+'08-3'!H144+'09-3'!H144+'10-3'!H144+'11-3'!H144+'12-3'!H144+'13-3'!H144+'14-3'!H144+'15-3'!H144+'16-3'!H144+'17-3'!H144+'18-3'!H144+'19-3'!H144+'21-3'!H144+'22-3'!H144+'24-3'!H144+'25-3'!H144+'28-3'!H144+'29-3'!H144+'30-3'!H144+'32-3'!H144+'35-3'!H144+'37-3'!H144+'47-3'!H144+'62-3'!H144+'64-3'!H144+'74-3'!H144</f>
        <v>16562106</v>
      </c>
      <c r="I398" s="106">
        <f>'01-3'!I144+'02-3'!I144+'03-3'!I144+'04-3'!I144+'05-3'!I144+'08-3'!I144+'09-3'!I144+'10-3'!I144+'11-3'!I144+'12-3'!I144+'13-3'!I144+'14-3'!I144+'15-3'!I144+'16-3'!I144+'17-3'!I144+'18-3'!I144+'19-3'!I144+'21-3'!I144+'22-3'!I144+'24-3'!I144+'25-3'!I144+'28-3'!I144+'29-3'!I144+'30-3'!I144+'32-3'!I144+'35-3'!I144+'37-3'!I144+'47-3'!I144+'62-3'!I144+'64-3'!I144+'74-3'!I144</f>
        <v>10732897</v>
      </c>
      <c r="J398" s="106">
        <f>'01-3'!J144+'02-3'!J144+'03-3'!J144+'04-3'!J144+'05-3'!J144+'08-3'!J144+'09-3'!J144+'10-3'!J144+'11-3'!J144+'12-3'!J144+'13-3'!J144+'14-3'!J144+'15-3'!J144+'16-3'!J144+'17-3'!J144+'18-3'!J144+'19-3'!J144+'21-3'!J144+'22-3'!J144+'24-3'!J144+'25-3'!J144+'28-3'!J144+'29-3'!J144+'30-3'!J144+'32-3'!J144+'35-3'!J144+'37-3'!J144+'47-3'!J144+'62-3'!J144+'64-3'!J144+'74-3'!J144</f>
        <v>0</v>
      </c>
      <c r="K398" s="106">
        <f>'01-3'!K144+'02-3'!K144+'03-3'!K144+'04-3'!K144+'05-3'!K144+'08-3'!K144+'09-3'!K144+'10-3'!K144+'11-3'!K144+'12-3'!K144+'13-3'!K144+'14-3'!K144+'15-3'!K144+'16-3'!K144+'17-3'!K144+'18-3'!K144+'19-3'!K144+'21-3'!K144+'22-3'!K144+'24-3'!K144+'25-3'!K144+'28-3'!K144+'29-3'!K144+'30-3'!K144+'32-3'!K144+'35-3'!K144+'37-3'!K144+'47-3'!K144+'62-3'!K144+'64-3'!K144+'74-3'!K144</f>
        <v>0</v>
      </c>
      <c r="L398" s="106">
        <f>'01-3'!L144+'02-3'!L144+'03-3'!L144+'04-3'!L144+'05-3'!L144+'08-3'!L144+'09-3'!L144+'10-3'!L144+'11-3'!L144+'12-3'!L144+'13-3'!L144+'14-3'!L144+'15-3'!L144+'16-3'!L144+'17-3'!L144+'18-3'!L144+'19-3'!L144+'21-3'!L144+'22-3'!L144+'24-3'!L144+'25-3'!L144+'28-3'!L144+'29-3'!L144+'30-3'!L144+'32-3'!L144+'35-3'!L144+'37-3'!L144+'47-3'!L144+'62-3'!L144+'64-3'!L144+'74-3'!L144</f>
        <v>114935</v>
      </c>
      <c r="M398" s="106">
        <f>'01-3'!M144+'02-3'!M144+'03-3'!M144+'04-3'!M144+'05-3'!M144+'08-3'!M144+'09-3'!M144+'10-3'!M144+'11-3'!M144+'12-3'!M144+'13-3'!M144+'14-3'!M144+'15-3'!M144+'16-3'!M144+'17-3'!M144+'18-3'!M144+'19-3'!M144+'21-3'!M144+'22-3'!M144+'24-3'!M144+'25-3'!M144+'28-3'!M144+'29-3'!M144+'30-3'!M144+'32-3'!M144+'35-3'!M144+'37-3'!M144+'47-3'!M144+'62-3'!M144+'64-3'!M144+'74-3'!M144</f>
        <v>10847832</v>
      </c>
      <c r="N398" s="106">
        <f>'01-3'!N144+'02-3'!N144+'03-3'!N144+'04-3'!N144+'05-3'!N144+'08-3'!N144+'09-3'!N144+'10-3'!N144+'11-3'!N144+'12-3'!N144+'13-3'!N144+'14-3'!N144+'15-3'!N144+'16-3'!N144+'17-3'!N144+'18-3'!N144+'19-3'!N144+'21-3'!N144+'22-3'!N144+'24-3'!N144+'25-3'!N144+'28-3'!N144+'29-3'!N144+'30-3'!N144+'32-3'!N144+'35-3'!N144+'37-3'!N144+'47-3'!N144+'62-3'!N144+'64-3'!N144+'74-3'!N144</f>
        <v>10732897</v>
      </c>
      <c r="O398" s="106">
        <f>'01-3'!O144+'02-3'!O144+'03-3'!O144+'04-3'!O144+'05-3'!O144+'08-3'!O144+'09-3'!O144+'10-3'!O144+'11-3'!O144+'12-3'!O144+'13-3'!O144+'14-3'!O144+'15-3'!O144+'16-3'!O144+'17-3'!O144+'18-3'!O144+'19-3'!O144+'21-3'!O144+'22-3'!O144+'24-3'!O144+'25-3'!O144+'28-3'!O144+'29-3'!O144+'30-3'!O144+'32-3'!O144+'35-3'!O144+'37-3'!O144+'47-3'!O144+'62-3'!O144+'64-3'!O144+'74-3'!O144</f>
        <v>0</v>
      </c>
      <c r="P398" s="106">
        <f>'01-3'!P144+'02-3'!P144+'03-3'!P144+'04-3'!P144+'05-3'!P144+'08-3'!P144+'09-3'!P144+'10-3'!P144+'11-3'!P144+'12-3'!P144+'13-3'!P144+'14-3'!P144+'15-3'!P144+'16-3'!P144+'17-3'!P144+'18-3'!P144+'19-3'!P144+'21-3'!P144+'22-3'!P144+'24-3'!P144+'25-3'!P144+'28-3'!P144+'29-3'!P144+'30-3'!P144+'32-3'!P144+'35-3'!P144+'37-3'!P144+'47-3'!P144+'62-3'!P144+'64-3'!P144+'74-3'!P144</f>
        <v>0</v>
      </c>
      <c r="Q398" s="106">
        <f>'01-3'!Q144+'02-3'!Q144+'03-3'!Q144+'04-3'!Q144+'05-3'!Q144+'08-3'!Q144+'09-3'!Q144+'10-3'!Q144+'11-3'!Q144+'12-3'!Q144+'13-3'!Q144+'14-3'!Q144+'15-3'!Q144+'16-3'!Q144+'17-3'!Q144+'18-3'!Q144+'19-3'!Q144+'21-3'!Q144+'22-3'!Q144+'24-3'!Q144+'25-3'!Q144+'28-3'!Q144+'29-3'!Q144+'30-3'!Q144+'32-3'!Q144+'35-3'!Q144+'37-3'!Q144+'47-3'!Q144+'62-3'!Q144+'64-3'!Q144+'74-3'!Q144</f>
        <v>114935</v>
      </c>
      <c r="R398" s="106">
        <f>'01-3'!R144+'02-3'!R144+'03-3'!R144+'04-3'!R144+'05-3'!R144+'08-3'!R144+'09-3'!R144+'10-3'!R144+'11-3'!R144+'12-3'!R144+'13-3'!R144+'14-3'!R144+'15-3'!R144+'16-3'!R144+'17-3'!R144+'18-3'!R144+'19-3'!R144+'21-3'!R144+'22-3'!R144+'24-3'!R144+'25-3'!R144+'28-3'!R144+'29-3'!R144+'30-3'!R144+'32-3'!R144+'35-3'!R144+'37-3'!R144+'47-3'!R144+'62-3'!R144+'64-3'!R144+'74-3'!R144</f>
        <v>10847832</v>
      </c>
    </row>
    <row r="399" spans="1:23" ht="48">
      <c r="A399" s="133">
        <v>7470</v>
      </c>
      <c r="B399" s="112" t="s">
        <v>167</v>
      </c>
      <c r="C399" s="106">
        <f>'01-3'!C145+'02-3'!C145+'03-3'!C145+'04-3'!C145+'05-3'!C145+'08-3'!C145+'09-3'!C145+'10-3'!C145+'11-3'!C145+'12-3'!C145+'13-3'!C145+'14-3'!C145+'15-3'!C145+'16-3'!C145+'17-3'!C145+'18-3'!C145+'19-3'!C145+'21-3'!C145+'22-3'!C145+'24-3'!C145+'25-3'!C145+'28-3'!C145+'29-3'!C145+'30-3'!C145+'32-3'!C145+'35-3'!C145+'37-3'!C145+'47-3'!C145+'62-3'!C145+'64-3'!C145+'74-3'!C145</f>
        <v>11793348</v>
      </c>
      <c r="D399" s="106">
        <f>'01-3'!D145+'02-3'!D145+'03-3'!D145+'04-3'!D145+'05-3'!D145+'08-3'!D145+'09-3'!D145+'10-3'!D145+'11-3'!D145+'12-3'!D145+'13-3'!D145+'14-3'!D145+'15-3'!D145+'16-3'!D145+'17-3'!D145+'18-3'!D145+'19-3'!D145+'21-3'!D145+'22-3'!D145+'24-3'!D145+'25-3'!D145+'28-3'!D145+'29-3'!D145+'30-3'!D145+'32-3'!D145+'35-3'!D145+'37-3'!D145+'47-3'!D145+'62-3'!D145+'64-3'!D145+'74-3'!D145</f>
        <v>10207464</v>
      </c>
      <c r="E399" s="106">
        <f>'01-3'!E145+'02-3'!E145+'03-3'!E145+'04-3'!E145+'05-3'!E145+'08-3'!E145+'09-3'!E145+'10-3'!E145+'11-3'!E145+'12-3'!E145+'13-3'!E145+'14-3'!E145+'15-3'!E145+'16-3'!E145+'17-3'!E145+'18-3'!E145+'19-3'!E145+'21-3'!E145+'22-3'!E145+'24-3'!E145+'25-3'!E145+'28-3'!E145+'29-3'!E145+'30-3'!E145+'32-3'!E145+'35-3'!E145+'37-3'!E145+'47-3'!E145+'62-3'!E145+'64-3'!E145+'74-3'!E145</f>
        <v>0</v>
      </c>
      <c r="F399" s="106">
        <f>'01-3'!F145+'02-3'!F145+'03-3'!F145+'04-3'!F145+'05-3'!F145+'08-3'!F145+'09-3'!F145+'10-3'!F145+'11-3'!F145+'12-3'!F145+'13-3'!F145+'14-3'!F145+'15-3'!F145+'16-3'!F145+'17-3'!F145+'18-3'!F145+'19-3'!F145+'21-3'!F145+'22-3'!F145+'24-3'!F145+'25-3'!F145+'28-3'!F145+'29-3'!F145+'30-3'!F145+'32-3'!F145+'35-3'!F145+'37-3'!F145+'47-3'!F145+'62-3'!F145+'64-3'!F145+'74-3'!F145</f>
        <v>-197044</v>
      </c>
      <c r="G399" s="106">
        <f>'01-3'!G145+'02-3'!G145+'03-3'!G145+'04-3'!G145+'05-3'!G145+'08-3'!G145+'09-3'!G145+'10-3'!G145+'11-3'!G145+'12-3'!G145+'13-3'!G145+'14-3'!G145+'15-3'!G145+'16-3'!G145+'17-3'!G145+'18-3'!G145+'19-3'!G145+'21-3'!G145+'22-3'!G145+'24-3'!G145+'25-3'!G145+'28-3'!G145+'29-3'!G145+'30-3'!G145+'32-3'!G145+'35-3'!G145+'37-3'!G145+'47-3'!G145+'62-3'!G145+'64-3'!G145+'74-3'!G145</f>
        <v>2100007</v>
      </c>
      <c r="H399" s="106">
        <f>'01-3'!H145+'02-3'!H145+'03-3'!H145+'04-3'!H145+'05-3'!H145+'08-3'!H145+'09-3'!H145+'10-3'!H145+'11-3'!H145+'12-3'!H145+'13-3'!H145+'14-3'!H145+'15-3'!H145+'16-3'!H145+'17-3'!H145+'18-3'!H145+'19-3'!H145+'21-3'!H145+'22-3'!H145+'24-3'!H145+'25-3'!H145+'28-3'!H145+'29-3'!H145+'30-3'!H145+'32-3'!H145+'35-3'!H145+'37-3'!H145+'47-3'!H145+'62-3'!H145+'64-3'!H145+'74-3'!H145</f>
        <v>12110427</v>
      </c>
      <c r="I399" s="106">
        <f>'01-3'!I145+'02-3'!I145+'03-3'!I145+'04-3'!I145+'05-3'!I145+'08-3'!I145+'09-3'!I145+'10-3'!I145+'11-3'!I145+'12-3'!I145+'13-3'!I145+'14-3'!I145+'15-3'!I145+'16-3'!I145+'17-3'!I145+'18-3'!I145+'19-3'!I145+'21-3'!I145+'22-3'!I145+'24-3'!I145+'25-3'!I145+'28-3'!I145+'29-3'!I145+'30-3'!I145+'32-3'!I145+'35-3'!I145+'37-3'!I145+'47-3'!I145+'62-3'!I145+'64-3'!I145+'74-3'!I145</f>
        <v>10207464</v>
      </c>
      <c r="J399" s="106">
        <f>'01-3'!J145+'02-3'!J145+'03-3'!J145+'04-3'!J145+'05-3'!J145+'08-3'!J145+'09-3'!J145+'10-3'!J145+'11-3'!J145+'12-3'!J145+'13-3'!J145+'14-3'!J145+'15-3'!J145+'16-3'!J145+'17-3'!J145+'18-3'!J145+'19-3'!J145+'21-3'!J145+'22-3'!J145+'24-3'!J145+'25-3'!J145+'28-3'!J145+'29-3'!J145+'30-3'!J145+'32-3'!J145+'35-3'!J145+'37-3'!J145+'47-3'!J145+'62-3'!J145+'64-3'!J145+'74-3'!J145</f>
        <v>0</v>
      </c>
      <c r="K399" s="106">
        <f>'01-3'!K145+'02-3'!K145+'03-3'!K145+'04-3'!K145+'05-3'!K145+'08-3'!K145+'09-3'!K145+'10-3'!K145+'11-3'!K145+'12-3'!K145+'13-3'!K145+'14-3'!K145+'15-3'!K145+'16-3'!K145+'17-3'!K145+'18-3'!K145+'19-3'!K145+'21-3'!K145+'22-3'!K145+'24-3'!K145+'25-3'!K145+'28-3'!K145+'29-3'!K145+'30-3'!K145+'32-3'!K145+'35-3'!K145+'37-3'!K145+'47-3'!K145+'62-3'!K145+'64-3'!K145+'74-3'!K145</f>
        <v>-200000</v>
      </c>
      <c r="L399" s="106">
        <f>'01-3'!L145+'02-3'!L145+'03-3'!L145+'04-3'!L145+'05-3'!L145+'08-3'!L145+'09-3'!L145+'10-3'!L145+'11-3'!L145+'12-3'!L145+'13-3'!L145+'14-3'!L145+'15-3'!L145+'16-3'!L145+'17-3'!L145+'18-3'!L145+'19-3'!L145+'21-3'!L145+'22-3'!L145+'24-3'!L145+'25-3'!L145+'28-3'!L145+'29-3'!L145+'30-3'!L145+'32-3'!L145+'35-3'!L145+'37-3'!L145+'47-3'!L145+'62-3'!L145+'64-3'!L145+'74-3'!L145</f>
        <v>2906347</v>
      </c>
      <c r="M399" s="106">
        <f>'01-3'!M145+'02-3'!M145+'03-3'!M145+'04-3'!M145+'05-3'!M145+'08-3'!M145+'09-3'!M145+'10-3'!M145+'11-3'!M145+'12-3'!M145+'13-3'!M145+'14-3'!M145+'15-3'!M145+'16-3'!M145+'17-3'!M145+'18-3'!M145+'19-3'!M145+'21-3'!M145+'22-3'!M145+'24-3'!M145+'25-3'!M145+'28-3'!M145+'29-3'!M145+'30-3'!M145+'32-3'!M145+'35-3'!M145+'37-3'!M145+'47-3'!M145+'62-3'!M145+'64-3'!M145+'74-3'!M145</f>
        <v>12913811</v>
      </c>
      <c r="N399" s="106">
        <f>'01-3'!N145+'02-3'!N145+'03-3'!N145+'04-3'!N145+'05-3'!N145+'08-3'!N145+'09-3'!N145+'10-3'!N145+'11-3'!N145+'12-3'!N145+'13-3'!N145+'14-3'!N145+'15-3'!N145+'16-3'!N145+'17-3'!N145+'18-3'!N145+'19-3'!N145+'21-3'!N145+'22-3'!N145+'24-3'!N145+'25-3'!N145+'28-3'!N145+'29-3'!N145+'30-3'!N145+'32-3'!N145+'35-3'!N145+'37-3'!N145+'47-3'!N145+'62-3'!N145+'64-3'!N145+'74-3'!N145</f>
        <v>10207464</v>
      </c>
      <c r="O399" s="106">
        <f>'01-3'!O145+'02-3'!O145+'03-3'!O145+'04-3'!O145+'05-3'!O145+'08-3'!O145+'09-3'!O145+'10-3'!O145+'11-3'!O145+'12-3'!O145+'13-3'!O145+'14-3'!O145+'15-3'!O145+'16-3'!O145+'17-3'!O145+'18-3'!O145+'19-3'!O145+'21-3'!O145+'22-3'!O145+'24-3'!O145+'25-3'!O145+'28-3'!O145+'29-3'!O145+'30-3'!O145+'32-3'!O145+'35-3'!O145+'37-3'!O145+'47-3'!O145+'62-3'!O145+'64-3'!O145+'74-3'!O145</f>
        <v>0</v>
      </c>
      <c r="P399" s="106">
        <f>'01-3'!P145+'02-3'!P145+'03-3'!P145+'04-3'!P145+'05-3'!P145+'08-3'!P145+'09-3'!P145+'10-3'!P145+'11-3'!P145+'12-3'!P145+'13-3'!P145+'14-3'!P145+'15-3'!P145+'16-3'!P145+'17-3'!P145+'18-3'!P145+'19-3'!P145+'21-3'!P145+'22-3'!P145+'24-3'!P145+'25-3'!P145+'28-3'!P145+'29-3'!P145+'30-3'!P145+'32-3'!P145+'35-3'!P145+'37-3'!P145+'47-3'!P145+'62-3'!P145+'64-3'!P145+'74-3'!P145</f>
        <v>-200000</v>
      </c>
      <c r="Q399" s="106">
        <f>'01-3'!Q145+'02-3'!Q145+'03-3'!Q145+'04-3'!Q145+'05-3'!Q145+'08-3'!Q145+'09-3'!Q145+'10-3'!Q145+'11-3'!Q145+'12-3'!Q145+'13-3'!Q145+'14-3'!Q145+'15-3'!Q145+'16-3'!Q145+'17-3'!Q145+'18-3'!Q145+'19-3'!Q145+'21-3'!Q145+'22-3'!Q145+'24-3'!Q145+'25-3'!Q145+'28-3'!Q145+'29-3'!Q145+'30-3'!Q145+'32-3'!Q145+'35-3'!Q145+'37-3'!Q145+'47-3'!Q145+'62-3'!Q145+'64-3'!Q145+'74-3'!Q145</f>
        <v>2934790</v>
      </c>
      <c r="R399" s="106">
        <f>'01-3'!R145+'02-3'!R145+'03-3'!R145+'04-3'!R145+'05-3'!R145+'08-3'!R145+'09-3'!R145+'10-3'!R145+'11-3'!R145+'12-3'!R145+'13-3'!R145+'14-3'!R145+'15-3'!R145+'16-3'!R145+'17-3'!R145+'18-3'!R145+'19-3'!R145+'21-3'!R145+'22-3'!R145+'24-3'!R145+'25-3'!R145+'28-3'!R145+'29-3'!R145+'30-3'!R145+'32-3'!R145+'35-3'!R145+'37-3'!R145+'47-3'!R145+'62-3'!R145+'64-3'!R145+'74-3'!R145</f>
        <v>12942254</v>
      </c>
    </row>
    <row r="400" spans="1:23" ht="24" hidden="1">
      <c r="A400" s="132">
        <v>7500</v>
      </c>
      <c r="B400" s="112" t="s">
        <v>157</v>
      </c>
      <c r="C400" s="106">
        <f>'01-3'!C146+'02-3'!C146+'03-3'!C146+'04-3'!C146+'05-3'!C146+'08-3'!C146+'09-3'!C146+'10-3'!C146+'11-3'!C146+'12-3'!C146+'13-3'!C146+'14-3'!C146+'15-3'!C146+'16-3'!C146+'17-3'!C146+'18-3'!C146+'19-3'!C146+'21-3'!C146+'22-3'!C146+'24-3'!C146+'25-3'!C146+'28-3'!C146+'29-3'!C146+'30-3'!C146+'32-3'!C146+'35-3'!C146+'37-3'!C146+'47-3'!C146+'62-3'!C146+'64-3'!C146+'74-3'!C146</f>
        <v>0</v>
      </c>
      <c r="D400" s="106">
        <f>'01-3'!D146+'02-3'!D146+'03-3'!D146+'04-3'!D146+'05-3'!D146+'08-3'!D146+'09-3'!D146+'10-3'!D146+'11-3'!D146+'12-3'!D146+'13-3'!D146+'14-3'!D146+'15-3'!D146+'16-3'!D146+'17-3'!D146+'18-3'!D146+'19-3'!D146+'21-3'!D146+'22-3'!D146+'24-3'!D146+'25-3'!D146+'28-3'!D146+'29-3'!D146+'30-3'!D146+'32-3'!D146+'35-3'!D146+'37-3'!D146+'47-3'!D146+'62-3'!D146+'64-3'!D146+'74-3'!D146</f>
        <v>0</v>
      </c>
      <c r="E400" s="106">
        <f>'01-3'!E146+'02-3'!E146+'03-3'!E146+'04-3'!E146+'05-3'!E146+'08-3'!E146+'09-3'!E146+'10-3'!E146+'11-3'!E146+'12-3'!E146+'13-3'!E146+'14-3'!E146+'15-3'!E146+'16-3'!E146+'17-3'!E146+'18-3'!E146+'19-3'!E146+'21-3'!E146+'22-3'!E146+'24-3'!E146+'25-3'!E146+'28-3'!E146+'29-3'!E146+'30-3'!E146+'32-3'!E146+'35-3'!E146+'37-3'!E146+'47-3'!E146+'62-3'!E146+'64-3'!E146+'74-3'!E146</f>
        <v>0</v>
      </c>
      <c r="F400" s="106">
        <f>'01-3'!F146+'02-3'!F146+'03-3'!F146+'04-3'!F146+'05-3'!F146+'08-3'!F146+'09-3'!F146+'10-3'!F146+'11-3'!F146+'12-3'!F146+'13-3'!F146+'14-3'!F146+'15-3'!F146+'16-3'!F146+'17-3'!F146+'18-3'!F146+'19-3'!F146+'21-3'!F146+'22-3'!F146+'24-3'!F146+'25-3'!F146+'28-3'!F146+'29-3'!F146+'30-3'!F146+'32-3'!F146+'35-3'!F146+'37-3'!F146+'47-3'!F146+'62-3'!F146+'64-3'!F146+'74-3'!F146</f>
        <v>0</v>
      </c>
      <c r="G400" s="106">
        <f>'01-3'!G146+'02-3'!G146+'03-3'!G146+'04-3'!G146+'05-3'!G146+'08-3'!G146+'09-3'!G146+'10-3'!G146+'11-3'!G146+'12-3'!G146+'13-3'!G146+'14-3'!G146+'15-3'!G146+'16-3'!G146+'17-3'!G146+'18-3'!G146+'19-3'!G146+'21-3'!G146+'22-3'!G146+'24-3'!G146+'25-3'!G146+'28-3'!G146+'29-3'!G146+'30-3'!G146+'32-3'!G146+'35-3'!G146+'37-3'!G146+'47-3'!G146+'62-3'!G146+'64-3'!G146+'74-3'!G146</f>
        <v>0</v>
      </c>
      <c r="H400" s="106">
        <f>'01-3'!H146+'02-3'!H146+'03-3'!H146+'04-3'!H146+'05-3'!H146+'08-3'!H146+'09-3'!H146+'10-3'!H146+'11-3'!H146+'12-3'!H146+'13-3'!H146+'14-3'!H146+'15-3'!H146+'16-3'!H146+'17-3'!H146+'18-3'!H146+'19-3'!H146+'21-3'!H146+'22-3'!H146+'24-3'!H146+'25-3'!H146+'28-3'!H146+'29-3'!H146+'30-3'!H146+'32-3'!H146+'35-3'!H146+'37-3'!H146+'47-3'!H146+'62-3'!H146+'64-3'!H146+'74-3'!H146</f>
        <v>0</v>
      </c>
      <c r="I400" s="106">
        <f>'01-3'!I146+'02-3'!I146+'03-3'!I146+'04-3'!I146+'05-3'!I146+'08-3'!I146+'09-3'!I146+'10-3'!I146+'11-3'!I146+'12-3'!I146+'13-3'!I146+'14-3'!I146+'15-3'!I146+'16-3'!I146+'17-3'!I146+'18-3'!I146+'19-3'!I146+'21-3'!I146+'22-3'!I146+'24-3'!I146+'25-3'!I146+'28-3'!I146+'29-3'!I146+'30-3'!I146+'32-3'!I146+'35-3'!I146+'37-3'!I146+'47-3'!I146+'62-3'!I146+'64-3'!I146+'74-3'!I146</f>
        <v>0</v>
      </c>
      <c r="J400" s="106">
        <f>'01-3'!J146+'02-3'!J146+'03-3'!J146+'04-3'!J146+'05-3'!J146+'08-3'!J146+'09-3'!J146+'10-3'!J146+'11-3'!J146+'12-3'!J146+'13-3'!J146+'14-3'!J146+'15-3'!J146+'16-3'!J146+'17-3'!J146+'18-3'!J146+'19-3'!J146+'21-3'!J146+'22-3'!J146+'24-3'!J146+'25-3'!J146+'28-3'!J146+'29-3'!J146+'30-3'!J146+'32-3'!J146+'35-3'!J146+'37-3'!J146+'47-3'!J146+'62-3'!J146+'64-3'!J146+'74-3'!J146</f>
        <v>0</v>
      </c>
      <c r="K400" s="106">
        <f>'01-3'!K146+'02-3'!K146+'03-3'!K146+'04-3'!K146+'05-3'!K146+'08-3'!K146+'09-3'!K146+'10-3'!K146+'11-3'!K146+'12-3'!K146+'13-3'!K146+'14-3'!K146+'15-3'!K146+'16-3'!K146+'17-3'!K146+'18-3'!K146+'19-3'!K146+'21-3'!K146+'22-3'!K146+'24-3'!K146+'25-3'!K146+'28-3'!K146+'29-3'!K146+'30-3'!K146+'32-3'!K146+'35-3'!K146+'37-3'!K146+'47-3'!K146+'62-3'!K146+'64-3'!K146+'74-3'!K146</f>
        <v>0</v>
      </c>
      <c r="L400" s="106">
        <f>'01-3'!L146+'02-3'!L146+'03-3'!L146+'04-3'!L146+'05-3'!L146+'08-3'!L146+'09-3'!L146+'10-3'!L146+'11-3'!L146+'12-3'!L146+'13-3'!L146+'14-3'!L146+'15-3'!L146+'16-3'!L146+'17-3'!L146+'18-3'!L146+'19-3'!L146+'21-3'!L146+'22-3'!L146+'24-3'!L146+'25-3'!L146+'28-3'!L146+'29-3'!L146+'30-3'!L146+'32-3'!L146+'35-3'!L146+'37-3'!L146+'47-3'!L146+'62-3'!L146+'64-3'!L146+'74-3'!L146</f>
        <v>0</v>
      </c>
      <c r="M400" s="106">
        <f>'01-3'!M146+'02-3'!M146+'03-3'!M146+'04-3'!M146+'05-3'!M146+'08-3'!M146+'09-3'!M146+'10-3'!M146+'11-3'!M146+'12-3'!M146+'13-3'!M146+'14-3'!M146+'15-3'!M146+'16-3'!M146+'17-3'!M146+'18-3'!M146+'19-3'!M146+'21-3'!M146+'22-3'!M146+'24-3'!M146+'25-3'!M146+'28-3'!M146+'29-3'!M146+'30-3'!M146+'32-3'!M146+'35-3'!M146+'37-3'!M146+'47-3'!M146+'62-3'!M146+'64-3'!M146+'74-3'!M146</f>
        <v>0</v>
      </c>
      <c r="N400" s="106">
        <f>'01-3'!N146+'02-3'!N146+'03-3'!N146+'04-3'!N146+'05-3'!N146+'08-3'!N146+'09-3'!N146+'10-3'!N146+'11-3'!N146+'12-3'!N146+'13-3'!N146+'14-3'!N146+'15-3'!N146+'16-3'!N146+'17-3'!N146+'18-3'!N146+'19-3'!N146+'21-3'!N146+'22-3'!N146+'24-3'!N146+'25-3'!N146+'28-3'!N146+'29-3'!N146+'30-3'!N146+'32-3'!N146+'35-3'!N146+'37-3'!N146+'47-3'!N146+'62-3'!N146+'64-3'!N146+'74-3'!N146</f>
        <v>0</v>
      </c>
      <c r="O400" s="106">
        <f>'01-3'!O146+'02-3'!O146+'03-3'!O146+'04-3'!O146+'05-3'!O146+'08-3'!O146+'09-3'!O146+'10-3'!O146+'11-3'!O146+'12-3'!O146+'13-3'!O146+'14-3'!O146+'15-3'!O146+'16-3'!O146+'17-3'!O146+'18-3'!O146+'19-3'!O146+'21-3'!O146+'22-3'!O146+'24-3'!O146+'25-3'!O146+'28-3'!O146+'29-3'!O146+'30-3'!O146+'32-3'!O146+'35-3'!O146+'37-3'!O146+'47-3'!O146+'62-3'!O146+'64-3'!O146+'74-3'!O146</f>
        <v>0</v>
      </c>
      <c r="P400" s="106">
        <f>'01-3'!P146+'02-3'!P146+'03-3'!P146+'04-3'!P146+'05-3'!P146+'08-3'!P146+'09-3'!P146+'10-3'!P146+'11-3'!P146+'12-3'!P146+'13-3'!P146+'14-3'!P146+'15-3'!P146+'16-3'!P146+'17-3'!P146+'18-3'!P146+'19-3'!P146+'21-3'!P146+'22-3'!P146+'24-3'!P146+'25-3'!P146+'28-3'!P146+'29-3'!P146+'30-3'!P146+'32-3'!P146+'35-3'!P146+'37-3'!P146+'47-3'!P146+'62-3'!P146+'64-3'!P146+'74-3'!P146</f>
        <v>0</v>
      </c>
      <c r="Q400" s="106">
        <f>'01-3'!Q146+'02-3'!Q146+'03-3'!Q146+'04-3'!Q146+'05-3'!Q146+'08-3'!Q146+'09-3'!Q146+'10-3'!Q146+'11-3'!Q146+'12-3'!Q146+'13-3'!Q146+'14-3'!Q146+'15-3'!Q146+'16-3'!Q146+'17-3'!Q146+'18-3'!Q146+'19-3'!Q146+'21-3'!Q146+'22-3'!Q146+'24-3'!Q146+'25-3'!Q146+'28-3'!Q146+'29-3'!Q146+'30-3'!Q146+'32-3'!Q146+'35-3'!Q146+'37-3'!Q146+'47-3'!Q146+'62-3'!Q146+'64-3'!Q146+'74-3'!Q146</f>
        <v>0</v>
      </c>
      <c r="R400" s="106">
        <f>'01-3'!R146+'02-3'!R146+'03-3'!R146+'04-3'!R146+'05-3'!R146+'08-3'!R146+'09-3'!R146+'10-3'!R146+'11-3'!R146+'12-3'!R146+'13-3'!R146+'14-3'!R146+'15-3'!R146+'16-3'!R146+'17-3'!R146+'18-3'!R146+'19-3'!R146+'21-3'!R146+'22-3'!R146+'24-3'!R146+'25-3'!R146+'28-3'!R146+'29-3'!R146+'30-3'!R146+'32-3'!R146+'35-3'!R146+'37-3'!R146+'47-3'!R146+'62-3'!R146+'64-3'!R146+'74-3'!R146</f>
        <v>0</v>
      </c>
    </row>
    <row r="401" spans="1:23" s="4" customFormat="1" ht="12">
      <c r="A401" s="140" t="s">
        <v>133</v>
      </c>
      <c r="B401" s="100" t="s">
        <v>122</v>
      </c>
      <c r="C401" s="106">
        <f>'01-3'!C147+'02-3'!C147+'03-3'!C147+'04-3'!C147+'05-3'!C147+'08-3'!C147+'09-3'!C147+'10-3'!C147+'11-3'!C147+'12-3'!C147+'13-3'!C147+'14-3'!C147+'15-3'!C147+'16-3'!C147+'17-3'!C147+'18-3'!C147+'19-3'!C147+'21-3'!C147+'22-3'!C147+'24-3'!C147+'25-3'!C147+'28-3'!C147+'29-3'!C147+'30-3'!C147+'32-3'!C147+'35-3'!C147+'37-3'!C147+'47-3'!C147+'62-3'!C147+'64-3'!C147+'74-3'!C147</f>
        <v>67526977</v>
      </c>
      <c r="D401" s="106">
        <f>'01-3'!D147+'02-3'!D147+'03-3'!D147+'04-3'!D147+'05-3'!D147+'08-3'!D147+'09-3'!D147+'10-3'!D147+'11-3'!D147+'12-3'!D147+'13-3'!D147+'14-3'!D147+'15-3'!D147+'16-3'!D147+'17-3'!D147+'18-3'!D147+'19-3'!D147+'21-3'!D147+'22-3'!D147+'24-3'!D147+'25-3'!D147+'28-3'!D147+'29-3'!D147+'30-3'!D147+'32-3'!D147+'35-3'!D147+'37-3'!D147+'47-3'!D147+'62-3'!D147+'64-3'!D147+'74-3'!D147</f>
        <v>42853895</v>
      </c>
      <c r="E401" s="106">
        <f>'01-3'!E147+'02-3'!E147+'03-3'!E147+'04-3'!E147+'05-3'!E147+'08-3'!E147+'09-3'!E147+'10-3'!E147+'11-3'!E147+'12-3'!E147+'13-3'!E147+'14-3'!E147+'15-3'!E147+'16-3'!E147+'17-3'!E147+'18-3'!E147+'19-3'!E147+'21-3'!E147+'22-3'!E147+'24-3'!E147+'25-3'!E147+'28-3'!E147+'29-3'!E147+'30-3'!E147+'32-3'!E147+'35-3'!E147+'37-3'!E147+'47-3'!E147+'62-3'!E147+'64-3'!E147+'74-3'!E147</f>
        <v>-49204</v>
      </c>
      <c r="F401" s="106">
        <f>'01-3'!F147+'02-3'!F147+'03-3'!F147+'04-3'!F147+'05-3'!F147+'08-3'!F147+'09-3'!F147+'10-3'!F147+'11-3'!F147+'12-3'!F147+'13-3'!F147+'14-3'!F147+'15-3'!F147+'16-3'!F147+'17-3'!F147+'18-3'!F147+'19-3'!F147+'21-3'!F147+'22-3'!F147+'24-3'!F147+'25-3'!F147+'28-3'!F147+'29-3'!F147+'30-3'!F147+'32-3'!F147+'35-3'!F147+'37-3'!F147+'47-3'!F147+'62-3'!F147+'64-3'!F147+'74-3'!F147</f>
        <v>477734</v>
      </c>
      <c r="G401" s="106">
        <f>'01-3'!G147+'02-3'!G147+'03-3'!G147+'04-3'!G147+'05-3'!G147+'08-3'!G147+'09-3'!G147+'10-3'!G147+'11-3'!G147+'12-3'!G147+'13-3'!G147+'14-3'!G147+'15-3'!G147+'16-3'!G147+'17-3'!G147+'18-3'!G147+'19-3'!G147+'21-3'!G147+'22-3'!G147+'24-3'!G147+'25-3'!G147+'28-3'!G147+'29-3'!G147+'30-3'!G147+'32-3'!G147+'35-3'!G147+'37-3'!G147+'47-3'!G147+'62-3'!G147+'64-3'!G147+'74-3'!G147</f>
        <v>16568864</v>
      </c>
      <c r="H401" s="106">
        <f>'01-3'!H147+'02-3'!H147+'03-3'!H147+'04-3'!H147+'05-3'!H147+'08-3'!H147+'09-3'!H147+'10-3'!H147+'11-3'!H147+'12-3'!H147+'13-3'!H147+'14-3'!H147+'15-3'!H147+'16-3'!H147+'17-3'!H147+'18-3'!H147+'19-3'!H147+'21-3'!H147+'22-3'!H147+'24-3'!H147+'25-3'!H147+'28-3'!H147+'29-3'!H147+'30-3'!H147+'32-3'!H147+'35-3'!H147+'37-3'!H147+'47-3'!H147+'62-3'!H147+'64-3'!H147+'74-3'!H147</f>
        <v>59851289</v>
      </c>
      <c r="I401" s="106">
        <f>'01-3'!I147+'02-3'!I147+'03-3'!I147+'04-3'!I147+'05-3'!I147+'08-3'!I147+'09-3'!I147+'10-3'!I147+'11-3'!I147+'12-3'!I147+'13-3'!I147+'14-3'!I147+'15-3'!I147+'16-3'!I147+'17-3'!I147+'18-3'!I147+'19-3'!I147+'21-3'!I147+'22-3'!I147+'24-3'!I147+'25-3'!I147+'28-3'!I147+'29-3'!I147+'30-3'!I147+'32-3'!I147+'35-3'!I147+'37-3'!I147+'47-3'!I147+'62-3'!I147+'64-3'!I147+'74-3'!I147</f>
        <v>25394004</v>
      </c>
      <c r="J401" s="106">
        <f>'01-3'!J147+'02-3'!J147+'03-3'!J147+'04-3'!J147+'05-3'!J147+'08-3'!J147+'09-3'!J147+'10-3'!J147+'11-3'!J147+'12-3'!J147+'13-3'!J147+'14-3'!J147+'15-3'!J147+'16-3'!J147+'17-3'!J147+'18-3'!J147+'19-3'!J147+'21-3'!J147+'22-3'!J147+'24-3'!J147+'25-3'!J147+'28-3'!J147+'29-3'!J147+'30-3'!J147+'32-3'!J147+'35-3'!J147+'37-3'!J147+'47-3'!J147+'62-3'!J147+'64-3'!J147+'74-3'!J147</f>
        <v>-56834</v>
      </c>
      <c r="K401" s="106">
        <f>'01-3'!K147+'02-3'!K147+'03-3'!K147+'04-3'!K147+'05-3'!K147+'08-3'!K147+'09-3'!K147+'10-3'!K147+'11-3'!K147+'12-3'!K147+'13-3'!K147+'14-3'!K147+'15-3'!K147+'16-3'!K147+'17-3'!K147+'18-3'!K147+'19-3'!K147+'21-3'!K147+'22-3'!K147+'24-3'!K147+'25-3'!K147+'28-3'!K147+'29-3'!K147+'30-3'!K147+'32-3'!K147+'35-3'!K147+'37-3'!K147+'47-3'!K147+'62-3'!K147+'64-3'!K147+'74-3'!K147</f>
        <v>173451</v>
      </c>
      <c r="L401" s="106">
        <f>'01-3'!L147+'02-3'!L147+'03-3'!L147+'04-3'!L147+'05-3'!L147+'08-3'!L147+'09-3'!L147+'10-3'!L147+'11-3'!L147+'12-3'!L147+'13-3'!L147+'14-3'!L147+'15-3'!L147+'16-3'!L147+'17-3'!L147+'18-3'!L147+'19-3'!L147+'21-3'!L147+'22-3'!L147+'24-3'!L147+'25-3'!L147+'28-3'!L147+'29-3'!L147+'30-3'!L147+'32-3'!L147+'35-3'!L147+'37-3'!L147+'47-3'!L147+'62-3'!L147+'64-3'!L147+'74-3'!L147</f>
        <v>28435188</v>
      </c>
      <c r="M401" s="106">
        <f>'01-3'!M147+'02-3'!M147+'03-3'!M147+'04-3'!M147+'05-3'!M147+'08-3'!M147+'09-3'!M147+'10-3'!M147+'11-3'!M147+'12-3'!M147+'13-3'!M147+'14-3'!M147+'15-3'!M147+'16-3'!M147+'17-3'!M147+'18-3'!M147+'19-3'!M147+'21-3'!M147+'22-3'!M147+'24-3'!M147+'25-3'!M147+'28-3'!M147+'29-3'!M147+'30-3'!M147+'32-3'!M147+'35-3'!M147+'37-3'!M147+'47-3'!M147+'62-3'!M147+'64-3'!M147+'74-3'!M147</f>
        <v>53945809</v>
      </c>
      <c r="N401" s="106">
        <f>'01-3'!N147+'02-3'!N147+'03-3'!N147+'04-3'!N147+'05-3'!N147+'08-3'!N147+'09-3'!N147+'10-3'!N147+'11-3'!N147+'12-3'!N147+'13-3'!N147+'14-3'!N147+'15-3'!N147+'16-3'!N147+'17-3'!N147+'18-3'!N147+'19-3'!N147+'21-3'!N147+'22-3'!N147+'24-3'!N147+'25-3'!N147+'28-3'!N147+'29-3'!N147+'30-3'!N147+'32-3'!N147+'35-3'!N147+'37-3'!N147+'47-3'!N147+'62-3'!N147+'64-3'!N147+'74-3'!N147</f>
        <v>25017972</v>
      </c>
      <c r="O401" s="106">
        <f>'01-3'!O147+'02-3'!O147+'03-3'!O147+'04-3'!O147+'05-3'!O147+'08-3'!O147+'09-3'!O147+'10-3'!O147+'11-3'!O147+'12-3'!O147+'13-3'!O147+'14-3'!O147+'15-3'!O147+'16-3'!O147+'17-3'!O147+'18-3'!O147+'19-3'!O147+'21-3'!O147+'22-3'!O147+'24-3'!O147+'25-3'!O147+'28-3'!O147+'29-3'!O147+'30-3'!O147+'32-3'!O147+'35-3'!O147+'37-3'!O147+'47-3'!O147+'62-3'!O147+'64-3'!O147+'74-3'!O147</f>
        <v>-46834</v>
      </c>
      <c r="P401" s="106">
        <f>'01-3'!P147+'02-3'!P147+'03-3'!P147+'04-3'!P147+'05-3'!P147+'08-3'!P147+'09-3'!P147+'10-3'!P147+'11-3'!P147+'12-3'!P147+'13-3'!P147+'14-3'!P147+'15-3'!P147+'16-3'!P147+'17-3'!P147+'18-3'!P147+'19-3'!P147+'21-3'!P147+'22-3'!P147+'24-3'!P147+'25-3'!P147+'28-3'!P147+'29-3'!P147+'30-3'!P147+'32-3'!P147+'35-3'!P147+'37-3'!P147+'47-3'!P147+'62-3'!P147+'64-3'!P147+'74-3'!P147</f>
        <v>573772</v>
      </c>
      <c r="Q401" s="106">
        <f>'01-3'!Q147+'02-3'!Q147+'03-3'!Q147+'04-3'!Q147+'05-3'!Q147+'08-3'!Q147+'09-3'!Q147+'10-3'!Q147+'11-3'!Q147+'12-3'!Q147+'13-3'!Q147+'14-3'!Q147+'15-3'!Q147+'16-3'!Q147+'17-3'!Q147+'18-3'!Q147+'19-3'!Q147+'21-3'!Q147+'22-3'!Q147+'24-3'!Q147+'25-3'!Q147+'28-3'!Q147+'29-3'!Q147+'30-3'!Q147+'32-3'!Q147+'35-3'!Q147+'37-3'!Q147+'47-3'!Q147+'62-3'!Q147+'64-3'!Q147+'74-3'!Q147</f>
        <v>25424363</v>
      </c>
      <c r="R401" s="106">
        <f>'01-3'!R147+'02-3'!R147+'03-3'!R147+'04-3'!R147+'05-3'!R147+'08-3'!R147+'09-3'!R147+'10-3'!R147+'11-3'!R147+'12-3'!R147+'13-3'!R147+'14-3'!R147+'15-3'!R147+'16-3'!R147+'17-3'!R147+'18-3'!R147+'19-3'!R147+'21-3'!R147+'22-3'!R147+'24-3'!R147+'25-3'!R147+'28-3'!R147+'29-3'!R147+'30-3'!R147+'32-3'!R147+'35-3'!R147+'37-3'!R147+'47-3'!R147+'62-3'!R147+'64-3'!R147+'74-3'!R147</f>
        <v>50969273</v>
      </c>
      <c r="S401" s="1323"/>
      <c r="T401" s="1323"/>
      <c r="U401" s="1323"/>
      <c r="V401" s="1323"/>
      <c r="W401" s="1323"/>
    </row>
    <row r="402" spans="1:23" s="6" customFormat="1" ht="12">
      <c r="A402" s="140">
        <v>5000</v>
      </c>
      <c r="B402" s="100" t="s">
        <v>123</v>
      </c>
      <c r="C402" s="106">
        <f>'01-3'!C148+'02-3'!C148+'03-3'!C148+'04-3'!C148+'05-3'!C148+'08-3'!C148+'09-3'!C148+'10-3'!C148+'11-3'!C148+'12-3'!C148+'13-3'!C148+'14-3'!C148+'15-3'!C148+'16-3'!C148+'17-3'!C148+'18-3'!C148+'19-3'!C148+'21-3'!C148+'22-3'!C148+'24-3'!C148+'25-3'!C148+'28-3'!C148+'29-3'!C148+'30-3'!C148+'32-3'!C148+'35-3'!C148+'37-3'!C148+'47-3'!C148+'62-3'!C148+'64-3'!C148+'74-3'!C148</f>
        <v>67119789</v>
      </c>
      <c r="D402" s="106">
        <f>'01-3'!D148+'02-3'!D148+'03-3'!D148+'04-3'!D148+'05-3'!D148+'08-3'!D148+'09-3'!D148+'10-3'!D148+'11-3'!D148+'12-3'!D148+'13-3'!D148+'14-3'!D148+'15-3'!D148+'16-3'!D148+'17-3'!D148+'18-3'!D148+'19-3'!D148+'21-3'!D148+'22-3'!D148+'24-3'!D148+'25-3'!D148+'28-3'!D148+'29-3'!D148+'30-3'!D148+'32-3'!D148+'35-3'!D148+'37-3'!D148+'47-3'!D148+'62-3'!D148+'64-3'!D148+'74-3'!D148</f>
        <v>42446707</v>
      </c>
      <c r="E402" s="106">
        <f>'01-3'!E148+'02-3'!E148+'03-3'!E148+'04-3'!E148+'05-3'!E148+'08-3'!E148+'09-3'!E148+'10-3'!E148+'11-3'!E148+'12-3'!E148+'13-3'!E148+'14-3'!E148+'15-3'!E148+'16-3'!E148+'17-3'!E148+'18-3'!E148+'19-3'!E148+'21-3'!E148+'22-3'!E148+'24-3'!E148+'25-3'!E148+'28-3'!E148+'29-3'!E148+'30-3'!E148+'32-3'!E148+'35-3'!E148+'37-3'!E148+'47-3'!E148+'62-3'!E148+'64-3'!E148+'74-3'!E148</f>
        <v>-49204</v>
      </c>
      <c r="F402" s="106">
        <f>'01-3'!F148+'02-3'!F148+'03-3'!F148+'04-3'!F148+'05-3'!F148+'08-3'!F148+'09-3'!F148+'10-3'!F148+'11-3'!F148+'12-3'!F148+'13-3'!F148+'14-3'!F148+'15-3'!F148+'16-3'!F148+'17-3'!F148+'18-3'!F148+'19-3'!F148+'21-3'!F148+'22-3'!F148+'24-3'!F148+'25-3'!F148+'28-3'!F148+'29-3'!F148+'30-3'!F148+'32-3'!F148+'35-3'!F148+'37-3'!F148+'47-3'!F148+'62-3'!F148+'64-3'!F148+'74-3'!F148</f>
        <v>477734</v>
      </c>
      <c r="G402" s="106">
        <f>'01-3'!G148+'02-3'!G148+'03-3'!G148+'04-3'!G148+'05-3'!G148+'08-3'!G148+'09-3'!G148+'10-3'!G148+'11-3'!G148+'12-3'!G148+'13-3'!G148+'14-3'!G148+'15-3'!G148+'16-3'!G148+'17-3'!G148+'18-3'!G148+'19-3'!G148+'21-3'!G148+'22-3'!G148+'24-3'!G148+'25-3'!G148+'28-3'!G148+'29-3'!G148+'30-3'!G148+'32-3'!G148+'35-3'!G148+'37-3'!G148+'47-3'!G148+'62-3'!G148+'64-3'!G148+'74-3'!G148</f>
        <v>16568864</v>
      </c>
      <c r="H402" s="106">
        <f>'01-3'!H148+'02-3'!H148+'03-3'!H148+'04-3'!H148+'05-3'!H148+'08-3'!H148+'09-3'!H148+'10-3'!H148+'11-3'!H148+'12-3'!H148+'13-3'!H148+'14-3'!H148+'15-3'!H148+'16-3'!H148+'17-3'!H148+'18-3'!H148+'19-3'!H148+'21-3'!H148+'22-3'!H148+'24-3'!H148+'25-3'!H148+'28-3'!H148+'29-3'!H148+'30-3'!H148+'32-3'!H148+'35-3'!H148+'37-3'!H148+'47-3'!H148+'62-3'!H148+'64-3'!H148+'74-3'!H148</f>
        <v>59444101</v>
      </c>
      <c r="I402" s="106">
        <f>'01-3'!I148+'02-3'!I148+'03-3'!I148+'04-3'!I148+'05-3'!I148+'08-3'!I148+'09-3'!I148+'10-3'!I148+'11-3'!I148+'12-3'!I148+'13-3'!I148+'14-3'!I148+'15-3'!I148+'16-3'!I148+'17-3'!I148+'18-3'!I148+'19-3'!I148+'21-3'!I148+'22-3'!I148+'24-3'!I148+'25-3'!I148+'28-3'!I148+'29-3'!I148+'30-3'!I148+'32-3'!I148+'35-3'!I148+'37-3'!I148+'47-3'!I148+'62-3'!I148+'64-3'!I148+'74-3'!I148</f>
        <v>24986816</v>
      </c>
      <c r="J402" s="106">
        <f>'01-3'!J148+'02-3'!J148+'03-3'!J148+'04-3'!J148+'05-3'!J148+'08-3'!J148+'09-3'!J148+'10-3'!J148+'11-3'!J148+'12-3'!J148+'13-3'!J148+'14-3'!J148+'15-3'!J148+'16-3'!J148+'17-3'!J148+'18-3'!J148+'19-3'!J148+'21-3'!J148+'22-3'!J148+'24-3'!J148+'25-3'!J148+'28-3'!J148+'29-3'!J148+'30-3'!J148+'32-3'!J148+'35-3'!J148+'37-3'!J148+'47-3'!J148+'62-3'!J148+'64-3'!J148+'74-3'!J148</f>
        <v>-56834</v>
      </c>
      <c r="K402" s="106">
        <f>'01-3'!K148+'02-3'!K148+'03-3'!K148+'04-3'!K148+'05-3'!K148+'08-3'!K148+'09-3'!K148+'10-3'!K148+'11-3'!K148+'12-3'!K148+'13-3'!K148+'14-3'!K148+'15-3'!K148+'16-3'!K148+'17-3'!K148+'18-3'!K148+'19-3'!K148+'21-3'!K148+'22-3'!K148+'24-3'!K148+'25-3'!K148+'28-3'!K148+'29-3'!K148+'30-3'!K148+'32-3'!K148+'35-3'!K148+'37-3'!K148+'47-3'!K148+'62-3'!K148+'64-3'!K148+'74-3'!K148</f>
        <v>173451</v>
      </c>
      <c r="L402" s="106">
        <f>'01-3'!L148+'02-3'!L148+'03-3'!L148+'04-3'!L148+'05-3'!L148+'08-3'!L148+'09-3'!L148+'10-3'!L148+'11-3'!L148+'12-3'!L148+'13-3'!L148+'14-3'!L148+'15-3'!L148+'16-3'!L148+'17-3'!L148+'18-3'!L148+'19-3'!L148+'21-3'!L148+'22-3'!L148+'24-3'!L148+'25-3'!L148+'28-3'!L148+'29-3'!L148+'30-3'!L148+'32-3'!L148+'35-3'!L148+'37-3'!L148+'47-3'!L148+'62-3'!L148+'64-3'!L148+'74-3'!L148</f>
        <v>28435188</v>
      </c>
      <c r="M402" s="106">
        <f>'01-3'!M148+'02-3'!M148+'03-3'!M148+'04-3'!M148+'05-3'!M148+'08-3'!M148+'09-3'!M148+'10-3'!M148+'11-3'!M148+'12-3'!M148+'13-3'!M148+'14-3'!M148+'15-3'!M148+'16-3'!M148+'17-3'!M148+'18-3'!M148+'19-3'!M148+'21-3'!M148+'22-3'!M148+'24-3'!M148+'25-3'!M148+'28-3'!M148+'29-3'!M148+'30-3'!M148+'32-3'!M148+'35-3'!M148+'37-3'!M148+'47-3'!M148+'62-3'!M148+'64-3'!M148+'74-3'!M148</f>
        <v>53538621</v>
      </c>
      <c r="N402" s="106">
        <f>'01-3'!N148+'02-3'!N148+'03-3'!N148+'04-3'!N148+'05-3'!N148+'08-3'!N148+'09-3'!N148+'10-3'!N148+'11-3'!N148+'12-3'!N148+'13-3'!N148+'14-3'!N148+'15-3'!N148+'16-3'!N148+'17-3'!N148+'18-3'!N148+'19-3'!N148+'21-3'!N148+'22-3'!N148+'24-3'!N148+'25-3'!N148+'28-3'!N148+'29-3'!N148+'30-3'!N148+'32-3'!N148+'35-3'!N148+'37-3'!N148+'47-3'!N148+'62-3'!N148+'64-3'!N148+'74-3'!N148</f>
        <v>24610784</v>
      </c>
      <c r="O402" s="106">
        <f>'01-3'!O148+'02-3'!O148+'03-3'!O148+'04-3'!O148+'05-3'!O148+'08-3'!O148+'09-3'!O148+'10-3'!O148+'11-3'!O148+'12-3'!O148+'13-3'!O148+'14-3'!O148+'15-3'!O148+'16-3'!O148+'17-3'!O148+'18-3'!O148+'19-3'!O148+'21-3'!O148+'22-3'!O148+'24-3'!O148+'25-3'!O148+'28-3'!O148+'29-3'!O148+'30-3'!O148+'32-3'!O148+'35-3'!O148+'37-3'!O148+'47-3'!O148+'62-3'!O148+'64-3'!O148+'74-3'!O148</f>
        <v>-46834</v>
      </c>
      <c r="P402" s="106">
        <f>'01-3'!P148+'02-3'!P148+'03-3'!P148+'04-3'!P148+'05-3'!P148+'08-3'!P148+'09-3'!P148+'10-3'!P148+'11-3'!P148+'12-3'!P148+'13-3'!P148+'14-3'!P148+'15-3'!P148+'16-3'!P148+'17-3'!P148+'18-3'!P148+'19-3'!P148+'21-3'!P148+'22-3'!P148+'24-3'!P148+'25-3'!P148+'28-3'!P148+'29-3'!P148+'30-3'!P148+'32-3'!P148+'35-3'!P148+'37-3'!P148+'47-3'!P148+'62-3'!P148+'64-3'!P148+'74-3'!P148</f>
        <v>573772</v>
      </c>
      <c r="Q402" s="106">
        <f>'01-3'!Q148+'02-3'!Q148+'03-3'!Q148+'04-3'!Q148+'05-3'!Q148+'08-3'!Q148+'09-3'!Q148+'10-3'!Q148+'11-3'!Q148+'12-3'!Q148+'13-3'!Q148+'14-3'!Q148+'15-3'!Q148+'16-3'!Q148+'17-3'!Q148+'18-3'!Q148+'19-3'!Q148+'21-3'!Q148+'22-3'!Q148+'24-3'!Q148+'25-3'!Q148+'28-3'!Q148+'29-3'!Q148+'30-3'!Q148+'32-3'!Q148+'35-3'!Q148+'37-3'!Q148+'47-3'!Q148+'62-3'!Q148+'64-3'!Q148+'74-3'!Q148</f>
        <v>25424363</v>
      </c>
      <c r="R402" s="106">
        <f>'01-3'!R148+'02-3'!R148+'03-3'!R148+'04-3'!R148+'05-3'!R148+'08-3'!R148+'09-3'!R148+'10-3'!R148+'11-3'!R148+'12-3'!R148+'13-3'!R148+'14-3'!R148+'15-3'!R148+'16-3'!R148+'17-3'!R148+'18-3'!R148+'19-3'!R148+'21-3'!R148+'22-3'!R148+'24-3'!R148+'25-3'!R148+'28-3'!R148+'29-3'!R148+'30-3'!R148+'32-3'!R148+'35-3'!R148+'37-3'!R148+'47-3'!R148+'62-3'!R148+'64-3'!R148+'74-3'!R148</f>
        <v>50562085</v>
      </c>
      <c r="S402" s="954"/>
      <c r="T402" s="954"/>
      <c r="U402" s="954"/>
      <c r="V402" s="954"/>
      <c r="W402" s="954"/>
    </row>
    <row r="403" spans="1:23" s="6" customFormat="1" ht="12">
      <c r="A403" s="140">
        <v>9000</v>
      </c>
      <c r="B403" s="115" t="s">
        <v>164</v>
      </c>
      <c r="C403" s="106">
        <f>'01-3'!C149+'02-3'!C149+'03-3'!C149+'04-3'!C149+'05-3'!C149+'08-3'!C149+'09-3'!C149+'10-3'!C149+'11-3'!C149+'12-3'!C149+'13-3'!C149+'14-3'!C149+'15-3'!C149+'16-3'!C149+'17-3'!C149+'18-3'!C149+'19-3'!C149+'21-3'!C149+'22-3'!C149+'24-3'!C149+'25-3'!C149+'28-3'!C149+'29-3'!C149+'30-3'!C149+'32-3'!C149+'35-3'!C149+'37-3'!C149+'47-3'!C149+'62-3'!C149+'64-3'!C149+'74-3'!C149</f>
        <v>407188</v>
      </c>
      <c r="D403" s="106">
        <f>'01-3'!D149+'02-3'!D149+'03-3'!D149+'04-3'!D149+'05-3'!D149+'08-3'!D149+'09-3'!D149+'10-3'!D149+'11-3'!D149+'12-3'!D149+'13-3'!D149+'14-3'!D149+'15-3'!D149+'16-3'!D149+'17-3'!D149+'18-3'!D149+'19-3'!D149+'21-3'!D149+'22-3'!D149+'24-3'!D149+'25-3'!D149+'28-3'!D149+'29-3'!D149+'30-3'!D149+'32-3'!D149+'35-3'!D149+'37-3'!D149+'47-3'!D149+'62-3'!D149+'64-3'!D149+'74-3'!D149</f>
        <v>407188</v>
      </c>
      <c r="E403" s="106">
        <f>'01-3'!E149+'02-3'!E149+'03-3'!E149+'04-3'!E149+'05-3'!E149+'08-3'!E149+'09-3'!E149+'10-3'!E149+'11-3'!E149+'12-3'!E149+'13-3'!E149+'14-3'!E149+'15-3'!E149+'16-3'!E149+'17-3'!E149+'18-3'!E149+'19-3'!E149+'21-3'!E149+'22-3'!E149+'24-3'!E149+'25-3'!E149+'28-3'!E149+'29-3'!E149+'30-3'!E149+'32-3'!E149+'35-3'!E149+'37-3'!E149+'47-3'!E149+'62-3'!E149+'64-3'!E149+'74-3'!E149</f>
        <v>0</v>
      </c>
      <c r="F403" s="106">
        <f>'01-3'!F149+'02-3'!F149+'03-3'!F149+'04-3'!F149+'05-3'!F149+'08-3'!F149+'09-3'!F149+'10-3'!F149+'11-3'!F149+'12-3'!F149+'13-3'!F149+'14-3'!F149+'15-3'!F149+'16-3'!F149+'17-3'!F149+'18-3'!F149+'19-3'!F149+'21-3'!F149+'22-3'!F149+'24-3'!F149+'25-3'!F149+'28-3'!F149+'29-3'!F149+'30-3'!F149+'32-3'!F149+'35-3'!F149+'37-3'!F149+'47-3'!F149+'62-3'!F149+'64-3'!F149+'74-3'!F149</f>
        <v>0</v>
      </c>
      <c r="G403" s="106">
        <f>'01-3'!G149+'02-3'!G149+'03-3'!G149+'04-3'!G149+'05-3'!G149+'08-3'!G149+'09-3'!G149+'10-3'!G149+'11-3'!G149+'12-3'!G149+'13-3'!G149+'14-3'!G149+'15-3'!G149+'16-3'!G149+'17-3'!G149+'18-3'!G149+'19-3'!G149+'21-3'!G149+'22-3'!G149+'24-3'!G149+'25-3'!G149+'28-3'!G149+'29-3'!G149+'30-3'!G149+'32-3'!G149+'35-3'!G149+'37-3'!G149+'47-3'!G149+'62-3'!G149+'64-3'!G149+'74-3'!G149</f>
        <v>0</v>
      </c>
      <c r="H403" s="106">
        <f>'01-3'!H149+'02-3'!H149+'03-3'!H149+'04-3'!H149+'05-3'!H149+'08-3'!H149+'09-3'!H149+'10-3'!H149+'11-3'!H149+'12-3'!H149+'13-3'!H149+'14-3'!H149+'15-3'!H149+'16-3'!H149+'17-3'!H149+'18-3'!H149+'19-3'!H149+'21-3'!H149+'22-3'!H149+'24-3'!H149+'25-3'!H149+'28-3'!H149+'29-3'!H149+'30-3'!H149+'32-3'!H149+'35-3'!H149+'37-3'!H149+'47-3'!H149+'62-3'!H149+'64-3'!H149+'74-3'!H149</f>
        <v>407188</v>
      </c>
      <c r="I403" s="106">
        <f>'01-3'!I149+'02-3'!I149+'03-3'!I149+'04-3'!I149+'05-3'!I149+'08-3'!I149+'09-3'!I149+'10-3'!I149+'11-3'!I149+'12-3'!I149+'13-3'!I149+'14-3'!I149+'15-3'!I149+'16-3'!I149+'17-3'!I149+'18-3'!I149+'19-3'!I149+'21-3'!I149+'22-3'!I149+'24-3'!I149+'25-3'!I149+'28-3'!I149+'29-3'!I149+'30-3'!I149+'32-3'!I149+'35-3'!I149+'37-3'!I149+'47-3'!I149+'62-3'!I149+'64-3'!I149+'74-3'!I149</f>
        <v>407188</v>
      </c>
      <c r="J403" s="106">
        <f>'01-3'!J149+'02-3'!J149+'03-3'!J149+'04-3'!J149+'05-3'!J149+'08-3'!J149+'09-3'!J149+'10-3'!J149+'11-3'!J149+'12-3'!J149+'13-3'!J149+'14-3'!J149+'15-3'!J149+'16-3'!J149+'17-3'!J149+'18-3'!J149+'19-3'!J149+'21-3'!J149+'22-3'!J149+'24-3'!J149+'25-3'!J149+'28-3'!J149+'29-3'!J149+'30-3'!J149+'32-3'!J149+'35-3'!J149+'37-3'!J149+'47-3'!J149+'62-3'!J149+'64-3'!J149+'74-3'!J149</f>
        <v>0</v>
      </c>
      <c r="K403" s="106">
        <f>'01-3'!K149+'02-3'!K149+'03-3'!K149+'04-3'!K149+'05-3'!K149+'08-3'!K149+'09-3'!K149+'10-3'!K149+'11-3'!K149+'12-3'!K149+'13-3'!K149+'14-3'!K149+'15-3'!K149+'16-3'!K149+'17-3'!K149+'18-3'!K149+'19-3'!K149+'21-3'!K149+'22-3'!K149+'24-3'!K149+'25-3'!K149+'28-3'!K149+'29-3'!K149+'30-3'!K149+'32-3'!K149+'35-3'!K149+'37-3'!K149+'47-3'!K149+'62-3'!K149+'64-3'!K149+'74-3'!K149</f>
        <v>0</v>
      </c>
      <c r="L403" s="106">
        <f>'01-3'!L149+'02-3'!L149+'03-3'!L149+'04-3'!L149+'05-3'!L149+'08-3'!L149+'09-3'!L149+'10-3'!L149+'11-3'!L149+'12-3'!L149+'13-3'!L149+'14-3'!L149+'15-3'!L149+'16-3'!L149+'17-3'!L149+'18-3'!L149+'19-3'!L149+'21-3'!L149+'22-3'!L149+'24-3'!L149+'25-3'!L149+'28-3'!L149+'29-3'!L149+'30-3'!L149+'32-3'!L149+'35-3'!L149+'37-3'!L149+'47-3'!L149+'62-3'!L149+'64-3'!L149+'74-3'!L149</f>
        <v>0</v>
      </c>
      <c r="M403" s="106">
        <f>'01-3'!M149+'02-3'!M149+'03-3'!M149+'04-3'!M149+'05-3'!M149+'08-3'!M149+'09-3'!M149+'10-3'!M149+'11-3'!M149+'12-3'!M149+'13-3'!M149+'14-3'!M149+'15-3'!M149+'16-3'!M149+'17-3'!M149+'18-3'!M149+'19-3'!M149+'21-3'!M149+'22-3'!M149+'24-3'!M149+'25-3'!M149+'28-3'!M149+'29-3'!M149+'30-3'!M149+'32-3'!M149+'35-3'!M149+'37-3'!M149+'47-3'!M149+'62-3'!M149+'64-3'!M149+'74-3'!M149</f>
        <v>407188</v>
      </c>
      <c r="N403" s="106">
        <f>'01-3'!N149+'02-3'!N149+'03-3'!N149+'04-3'!N149+'05-3'!N149+'08-3'!N149+'09-3'!N149+'10-3'!N149+'11-3'!N149+'12-3'!N149+'13-3'!N149+'14-3'!N149+'15-3'!N149+'16-3'!N149+'17-3'!N149+'18-3'!N149+'19-3'!N149+'21-3'!N149+'22-3'!N149+'24-3'!N149+'25-3'!N149+'28-3'!N149+'29-3'!N149+'30-3'!N149+'32-3'!N149+'35-3'!N149+'37-3'!N149+'47-3'!N149+'62-3'!N149+'64-3'!N149+'74-3'!N149</f>
        <v>407188</v>
      </c>
      <c r="O403" s="106">
        <f>'01-3'!O149+'02-3'!O149+'03-3'!O149+'04-3'!O149+'05-3'!O149+'08-3'!O149+'09-3'!O149+'10-3'!O149+'11-3'!O149+'12-3'!O149+'13-3'!O149+'14-3'!O149+'15-3'!O149+'16-3'!O149+'17-3'!O149+'18-3'!O149+'19-3'!O149+'21-3'!O149+'22-3'!O149+'24-3'!O149+'25-3'!O149+'28-3'!O149+'29-3'!O149+'30-3'!O149+'32-3'!O149+'35-3'!O149+'37-3'!O149+'47-3'!O149+'62-3'!O149+'64-3'!O149+'74-3'!O149</f>
        <v>0</v>
      </c>
      <c r="P403" s="106">
        <f>'01-3'!P149+'02-3'!P149+'03-3'!P149+'04-3'!P149+'05-3'!P149+'08-3'!P149+'09-3'!P149+'10-3'!P149+'11-3'!P149+'12-3'!P149+'13-3'!P149+'14-3'!P149+'15-3'!P149+'16-3'!P149+'17-3'!P149+'18-3'!P149+'19-3'!P149+'21-3'!P149+'22-3'!P149+'24-3'!P149+'25-3'!P149+'28-3'!P149+'29-3'!P149+'30-3'!P149+'32-3'!P149+'35-3'!P149+'37-3'!P149+'47-3'!P149+'62-3'!P149+'64-3'!P149+'74-3'!P149</f>
        <v>0</v>
      </c>
      <c r="Q403" s="106">
        <f>'01-3'!Q149+'02-3'!Q149+'03-3'!Q149+'04-3'!Q149+'05-3'!Q149+'08-3'!Q149+'09-3'!Q149+'10-3'!Q149+'11-3'!Q149+'12-3'!Q149+'13-3'!Q149+'14-3'!Q149+'15-3'!Q149+'16-3'!Q149+'17-3'!Q149+'18-3'!Q149+'19-3'!Q149+'21-3'!Q149+'22-3'!Q149+'24-3'!Q149+'25-3'!Q149+'28-3'!Q149+'29-3'!Q149+'30-3'!Q149+'32-3'!Q149+'35-3'!Q149+'37-3'!Q149+'47-3'!Q149+'62-3'!Q149+'64-3'!Q149+'74-3'!Q149</f>
        <v>0</v>
      </c>
      <c r="R403" s="106">
        <f>'01-3'!R149+'02-3'!R149+'03-3'!R149+'04-3'!R149+'05-3'!R149+'08-3'!R149+'09-3'!R149+'10-3'!R149+'11-3'!R149+'12-3'!R149+'13-3'!R149+'14-3'!R149+'15-3'!R149+'16-3'!R149+'17-3'!R149+'18-3'!R149+'19-3'!R149+'21-3'!R149+'22-3'!R149+'24-3'!R149+'25-3'!R149+'28-3'!R149+'29-3'!R149+'30-3'!R149+'32-3'!R149+'35-3'!R149+'37-3'!R149+'47-3'!R149+'62-3'!R149+'64-3'!R149+'74-3'!R149</f>
        <v>407188</v>
      </c>
      <c r="S403" s="954"/>
      <c r="T403" s="954"/>
      <c r="U403" s="954"/>
      <c r="V403" s="954"/>
      <c r="W403" s="954"/>
    </row>
    <row r="404" spans="1:23" s="6" customFormat="1" ht="12" hidden="1">
      <c r="A404" s="141">
        <v>9100</v>
      </c>
      <c r="B404" s="112" t="s">
        <v>124</v>
      </c>
      <c r="C404" s="106">
        <f>'01-3'!C150+'02-3'!C150+'03-3'!C150+'04-3'!C150+'05-3'!C150+'08-3'!C150+'09-3'!C150+'10-3'!C150+'11-3'!C150+'12-3'!C150+'13-3'!C150+'14-3'!C150+'15-3'!C150+'16-3'!C150+'17-3'!C150+'18-3'!C150+'19-3'!C150+'21-3'!C150+'22-3'!C150+'24-3'!C150+'25-3'!C150+'28-3'!C150+'29-3'!C150+'30-3'!C150+'32-3'!C150+'35-3'!C150+'37-3'!C150+'47-3'!C150+'62-3'!C150+'64-3'!C150+'74-3'!C150</f>
        <v>0</v>
      </c>
      <c r="D404" s="106">
        <f>'01-3'!D150+'02-3'!D150+'03-3'!D150+'04-3'!D150+'05-3'!D150+'08-3'!D150+'09-3'!D150+'10-3'!D150+'11-3'!D150+'12-3'!D150+'13-3'!D150+'14-3'!D150+'15-3'!D150+'16-3'!D150+'17-3'!D150+'18-3'!D150+'19-3'!D150+'21-3'!D150+'22-3'!D150+'24-3'!D150+'25-3'!D150+'28-3'!D150+'29-3'!D150+'30-3'!D150+'32-3'!D150+'35-3'!D150+'37-3'!D150+'47-3'!D150+'62-3'!D150+'64-3'!D150+'74-3'!D150</f>
        <v>0</v>
      </c>
      <c r="E404" s="106">
        <f>'01-3'!E150+'02-3'!E150+'03-3'!E150+'04-3'!E150+'05-3'!E150+'08-3'!E150+'09-3'!E150+'10-3'!E150+'11-3'!E150+'12-3'!E150+'13-3'!E150+'14-3'!E150+'15-3'!E150+'16-3'!E150+'17-3'!E150+'18-3'!E150+'19-3'!E150+'21-3'!E150+'22-3'!E150+'24-3'!E150+'25-3'!E150+'28-3'!E150+'29-3'!E150+'30-3'!E150+'32-3'!E150+'35-3'!E150+'37-3'!E150+'47-3'!E150+'62-3'!E150+'64-3'!E150+'74-3'!E150</f>
        <v>0</v>
      </c>
      <c r="F404" s="106">
        <f>'01-3'!F150+'02-3'!F150+'03-3'!F150+'04-3'!F150+'05-3'!F150+'08-3'!F150+'09-3'!F150+'10-3'!F150+'11-3'!F150+'12-3'!F150+'13-3'!F150+'14-3'!F150+'15-3'!F150+'16-3'!F150+'17-3'!F150+'18-3'!F150+'19-3'!F150+'21-3'!F150+'22-3'!F150+'24-3'!F150+'25-3'!F150+'28-3'!F150+'29-3'!F150+'30-3'!F150+'32-3'!F150+'35-3'!F150+'37-3'!F150+'47-3'!F150+'62-3'!F150+'64-3'!F150+'74-3'!F150</f>
        <v>0</v>
      </c>
      <c r="G404" s="106">
        <f>'01-3'!G150+'02-3'!G150+'03-3'!G150+'04-3'!G150+'05-3'!G150+'08-3'!G150+'09-3'!G150+'10-3'!G150+'11-3'!G150+'12-3'!G150+'13-3'!G150+'14-3'!G150+'15-3'!G150+'16-3'!G150+'17-3'!G150+'18-3'!G150+'19-3'!G150+'21-3'!G150+'22-3'!G150+'24-3'!G150+'25-3'!G150+'28-3'!G150+'29-3'!G150+'30-3'!G150+'32-3'!G150+'35-3'!G150+'37-3'!G150+'47-3'!G150+'62-3'!G150+'64-3'!G150+'74-3'!G150</f>
        <v>0</v>
      </c>
      <c r="H404" s="106">
        <f>'01-3'!H150+'02-3'!H150+'03-3'!H150+'04-3'!H150+'05-3'!H150+'08-3'!H150+'09-3'!H150+'10-3'!H150+'11-3'!H150+'12-3'!H150+'13-3'!H150+'14-3'!H150+'15-3'!H150+'16-3'!H150+'17-3'!H150+'18-3'!H150+'19-3'!H150+'21-3'!H150+'22-3'!H150+'24-3'!H150+'25-3'!H150+'28-3'!H150+'29-3'!H150+'30-3'!H150+'32-3'!H150+'35-3'!H150+'37-3'!H150+'47-3'!H150+'62-3'!H150+'64-3'!H150+'74-3'!H150</f>
        <v>0</v>
      </c>
      <c r="I404" s="106">
        <f>'01-3'!I150+'02-3'!I150+'03-3'!I150+'04-3'!I150+'05-3'!I150+'08-3'!I150+'09-3'!I150+'10-3'!I150+'11-3'!I150+'12-3'!I150+'13-3'!I150+'14-3'!I150+'15-3'!I150+'16-3'!I150+'17-3'!I150+'18-3'!I150+'19-3'!I150+'21-3'!I150+'22-3'!I150+'24-3'!I150+'25-3'!I150+'28-3'!I150+'29-3'!I150+'30-3'!I150+'32-3'!I150+'35-3'!I150+'37-3'!I150+'47-3'!I150+'62-3'!I150+'64-3'!I150+'74-3'!I150</f>
        <v>0</v>
      </c>
      <c r="J404" s="106">
        <f>'01-3'!J150+'02-3'!J150+'03-3'!J150+'04-3'!J150+'05-3'!J150+'08-3'!J150+'09-3'!J150+'10-3'!J150+'11-3'!J150+'12-3'!J150+'13-3'!J150+'14-3'!J150+'15-3'!J150+'16-3'!J150+'17-3'!J150+'18-3'!J150+'19-3'!J150+'21-3'!J150+'22-3'!J150+'24-3'!J150+'25-3'!J150+'28-3'!J150+'29-3'!J150+'30-3'!J150+'32-3'!J150+'35-3'!J150+'37-3'!J150+'47-3'!J150+'62-3'!J150+'64-3'!J150+'74-3'!J150</f>
        <v>0</v>
      </c>
      <c r="K404" s="106">
        <f>'01-3'!K150+'02-3'!K150+'03-3'!K150+'04-3'!K150+'05-3'!K150+'08-3'!K150+'09-3'!K150+'10-3'!K150+'11-3'!K150+'12-3'!K150+'13-3'!K150+'14-3'!K150+'15-3'!K150+'16-3'!K150+'17-3'!K150+'18-3'!K150+'19-3'!K150+'21-3'!K150+'22-3'!K150+'24-3'!K150+'25-3'!K150+'28-3'!K150+'29-3'!K150+'30-3'!K150+'32-3'!K150+'35-3'!K150+'37-3'!K150+'47-3'!K150+'62-3'!K150+'64-3'!K150+'74-3'!K150</f>
        <v>0</v>
      </c>
      <c r="L404" s="106">
        <f>'01-3'!L150+'02-3'!L150+'03-3'!L150+'04-3'!L150+'05-3'!L150+'08-3'!L150+'09-3'!L150+'10-3'!L150+'11-3'!L150+'12-3'!L150+'13-3'!L150+'14-3'!L150+'15-3'!L150+'16-3'!L150+'17-3'!L150+'18-3'!L150+'19-3'!L150+'21-3'!L150+'22-3'!L150+'24-3'!L150+'25-3'!L150+'28-3'!L150+'29-3'!L150+'30-3'!L150+'32-3'!L150+'35-3'!L150+'37-3'!L150+'47-3'!L150+'62-3'!L150+'64-3'!L150+'74-3'!L150</f>
        <v>0</v>
      </c>
      <c r="M404" s="106">
        <f>'01-3'!M150+'02-3'!M150+'03-3'!M150+'04-3'!M150+'05-3'!M150+'08-3'!M150+'09-3'!M150+'10-3'!M150+'11-3'!M150+'12-3'!M150+'13-3'!M150+'14-3'!M150+'15-3'!M150+'16-3'!M150+'17-3'!M150+'18-3'!M150+'19-3'!M150+'21-3'!M150+'22-3'!M150+'24-3'!M150+'25-3'!M150+'28-3'!M150+'29-3'!M150+'30-3'!M150+'32-3'!M150+'35-3'!M150+'37-3'!M150+'47-3'!M150+'62-3'!M150+'64-3'!M150+'74-3'!M150</f>
        <v>0</v>
      </c>
      <c r="N404" s="106">
        <f>'01-3'!N150+'02-3'!N150+'03-3'!N150+'04-3'!N150+'05-3'!N150+'08-3'!N150+'09-3'!N150+'10-3'!N150+'11-3'!N150+'12-3'!N150+'13-3'!N150+'14-3'!N150+'15-3'!N150+'16-3'!N150+'17-3'!N150+'18-3'!N150+'19-3'!N150+'21-3'!N150+'22-3'!N150+'24-3'!N150+'25-3'!N150+'28-3'!N150+'29-3'!N150+'30-3'!N150+'32-3'!N150+'35-3'!N150+'37-3'!N150+'47-3'!N150+'62-3'!N150+'64-3'!N150+'74-3'!N150</f>
        <v>0</v>
      </c>
      <c r="O404" s="106">
        <f>'01-3'!O150+'02-3'!O150+'03-3'!O150+'04-3'!O150+'05-3'!O150+'08-3'!O150+'09-3'!O150+'10-3'!O150+'11-3'!O150+'12-3'!O150+'13-3'!O150+'14-3'!O150+'15-3'!O150+'16-3'!O150+'17-3'!O150+'18-3'!O150+'19-3'!O150+'21-3'!O150+'22-3'!O150+'24-3'!O150+'25-3'!O150+'28-3'!O150+'29-3'!O150+'30-3'!O150+'32-3'!O150+'35-3'!O150+'37-3'!O150+'47-3'!O150+'62-3'!O150+'64-3'!O150+'74-3'!O150</f>
        <v>0</v>
      </c>
      <c r="P404" s="106">
        <f>'01-3'!P150+'02-3'!P150+'03-3'!P150+'04-3'!P150+'05-3'!P150+'08-3'!P150+'09-3'!P150+'10-3'!P150+'11-3'!P150+'12-3'!P150+'13-3'!P150+'14-3'!P150+'15-3'!P150+'16-3'!P150+'17-3'!P150+'18-3'!P150+'19-3'!P150+'21-3'!P150+'22-3'!P150+'24-3'!P150+'25-3'!P150+'28-3'!P150+'29-3'!P150+'30-3'!P150+'32-3'!P150+'35-3'!P150+'37-3'!P150+'47-3'!P150+'62-3'!P150+'64-3'!P150+'74-3'!P150</f>
        <v>0</v>
      </c>
      <c r="Q404" s="106">
        <f>'01-3'!Q150+'02-3'!Q150+'03-3'!Q150+'04-3'!Q150+'05-3'!Q150+'08-3'!Q150+'09-3'!Q150+'10-3'!Q150+'11-3'!Q150+'12-3'!Q150+'13-3'!Q150+'14-3'!Q150+'15-3'!Q150+'16-3'!Q150+'17-3'!Q150+'18-3'!Q150+'19-3'!Q150+'21-3'!Q150+'22-3'!Q150+'24-3'!Q150+'25-3'!Q150+'28-3'!Q150+'29-3'!Q150+'30-3'!Q150+'32-3'!Q150+'35-3'!Q150+'37-3'!Q150+'47-3'!Q150+'62-3'!Q150+'64-3'!Q150+'74-3'!Q150</f>
        <v>0</v>
      </c>
      <c r="R404" s="106">
        <f>'01-3'!R150+'02-3'!R150+'03-3'!R150+'04-3'!R150+'05-3'!R150+'08-3'!R150+'09-3'!R150+'10-3'!R150+'11-3'!R150+'12-3'!R150+'13-3'!R150+'14-3'!R150+'15-3'!R150+'16-3'!R150+'17-3'!R150+'18-3'!R150+'19-3'!R150+'21-3'!R150+'22-3'!R150+'24-3'!R150+'25-3'!R150+'28-3'!R150+'29-3'!R150+'30-3'!R150+'32-3'!R150+'35-3'!R150+'37-3'!R150+'47-3'!R150+'62-3'!R150+'64-3'!R150+'74-3'!R150</f>
        <v>0</v>
      </c>
      <c r="S404" s="954"/>
      <c r="T404" s="954"/>
      <c r="U404" s="954"/>
      <c r="V404" s="954"/>
      <c r="W404" s="954"/>
    </row>
    <row r="405" spans="1:23" s="6" customFormat="1" ht="24" hidden="1">
      <c r="A405" s="133" t="s">
        <v>125</v>
      </c>
      <c r="B405" s="112" t="s">
        <v>203</v>
      </c>
      <c r="C405" s="106">
        <f>'01-3'!C151+'02-3'!C151+'03-3'!C151+'04-3'!C151+'05-3'!C151+'08-3'!C151+'09-3'!C151+'10-3'!C151+'11-3'!C151+'12-3'!C151+'13-3'!C151+'14-3'!C151+'15-3'!C151+'16-3'!C151+'17-3'!C151+'18-3'!C151+'19-3'!C151+'21-3'!C151+'22-3'!C151+'24-3'!C151+'25-3'!C151+'28-3'!C151+'29-3'!C151+'30-3'!C151+'32-3'!C151+'35-3'!C151+'37-3'!C151+'47-3'!C151+'62-3'!C151+'64-3'!C151+'74-3'!C151</f>
        <v>0</v>
      </c>
      <c r="D405" s="106">
        <f>'01-3'!D151+'02-3'!D151+'03-3'!D151+'04-3'!D151+'05-3'!D151+'08-3'!D151+'09-3'!D151+'10-3'!D151+'11-3'!D151+'12-3'!D151+'13-3'!D151+'14-3'!D151+'15-3'!D151+'16-3'!D151+'17-3'!D151+'18-3'!D151+'19-3'!D151+'21-3'!D151+'22-3'!D151+'24-3'!D151+'25-3'!D151+'28-3'!D151+'29-3'!D151+'30-3'!D151+'32-3'!D151+'35-3'!D151+'37-3'!D151+'47-3'!D151+'62-3'!D151+'64-3'!D151+'74-3'!D151</f>
        <v>0</v>
      </c>
      <c r="E405" s="106">
        <f>'01-3'!E151+'02-3'!E151+'03-3'!E151+'04-3'!E151+'05-3'!E151+'08-3'!E151+'09-3'!E151+'10-3'!E151+'11-3'!E151+'12-3'!E151+'13-3'!E151+'14-3'!E151+'15-3'!E151+'16-3'!E151+'17-3'!E151+'18-3'!E151+'19-3'!E151+'21-3'!E151+'22-3'!E151+'24-3'!E151+'25-3'!E151+'28-3'!E151+'29-3'!E151+'30-3'!E151+'32-3'!E151+'35-3'!E151+'37-3'!E151+'47-3'!E151+'62-3'!E151+'64-3'!E151+'74-3'!E151</f>
        <v>0</v>
      </c>
      <c r="F405" s="106">
        <f>'01-3'!F151+'02-3'!F151+'03-3'!F151+'04-3'!F151+'05-3'!F151+'08-3'!F151+'09-3'!F151+'10-3'!F151+'11-3'!F151+'12-3'!F151+'13-3'!F151+'14-3'!F151+'15-3'!F151+'16-3'!F151+'17-3'!F151+'18-3'!F151+'19-3'!F151+'21-3'!F151+'22-3'!F151+'24-3'!F151+'25-3'!F151+'28-3'!F151+'29-3'!F151+'30-3'!F151+'32-3'!F151+'35-3'!F151+'37-3'!F151+'47-3'!F151+'62-3'!F151+'64-3'!F151+'74-3'!F151</f>
        <v>0</v>
      </c>
      <c r="G405" s="106">
        <f>'01-3'!G151+'02-3'!G151+'03-3'!G151+'04-3'!G151+'05-3'!G151+'08-3'!G151+'09-3'!G151+'10-3'!G151+'11-3'!G151+'12-3'!G151+'13-3'!G151+'14-3'!G151+'15-3'!G151+'16-3'!G151+'17-3'!G151+'18-3'!G151+'19-3'!G151+'21-3'!G151+'22-3'!G151+'24-3'!G151+'25-3'!G151+'28-3'!G151+'29-3'!G151+'30-3'!G151+'32-3'!G151+'35-3'!G151+'37-3'!G151+'47-3'!G151+'62-3'!G151+'64-3'!G151+'74-3'!G151</f>
        <v>0</v>
      </c>
      <c r="H405" s="106">
        <f>'01-3'!H151+'02-3'!H151+'03-3'!H151+'04-3'!H151+'05-3'!H151+'08-3'!H151+'09-3'!H151+'10-3'!H151+'11-3'!H151+'12-3'!H151+'13-3'!H151+'14-3'!H151+'15-3'!H151+'16-3'!H151+'17-3'!H151+'18-3'!H151+'19-3'!H151+'21-3'!H151+'22-3'!H151+'24-3'!H151+'25-3'!H151+'28-3'!H151+'29-3'!H151+'30-3'!H151+'32-3'!H151+'35-3'!H151+'37-3'!H151+'47-3'!H151+'62-3'!H151+'64-3'!H151+'74-3'!H151</f>
        <v>0</v>
      </c>
      <c r="I405" s="106">
        <f>'01-3'!I151+'02-3'!I151+'03-3'!I151+'04-3'!I151+'05-3'!I151+'08-3'!I151+'09-3'!I151+'10-3'!I151+'11-3'!I151+'12-3'!I151+'13-3'!I151+'14-3'!I151+'15-3'!I151+'16-3'!I151+'17-3'!I151+'18-3'!I151+'19-3'!I151+'21-3'!I151+'22-3'!I151+'24-3'!I151+'25-3'!I151+'28-3'!I151+'29-3'!I151+'30-3'!I151+'32-3'!I151+'35-3'!I151+'37-3'!I151+'47-3'!I151+'62-3'!I151+'64-3'!I151+'74-3'!I151</f>
        <v>0</v>
      </c>
      <c r="J405" s="106">
        <f>'01-3'!J151+'02-3'!J151+'03-3'!J151+'04-3'!J151+'05-3'!J151+'08-3'!J151+'09-3'!J151+'10-3'!J151+'11-3'!J151+'12-3'!J151+'13-3'!J151+'14-3'!J151+'15-3'!J151+'16-3'!J151+'17-3'!J151+'18-3'!J151+'19-3'!J151+'21-3'!J151+'22-3'!J151+'24-3'!J151+'25-3'!J151+'28-3'!J151+'29-3'!J151+'30-3'!J151+'32-3'!J151+'35-3'!J151+'37-3'!J151+'47-3'!J151+'62-3'!J151+'64-3'!J151+'74-3'!J151</f>
        <v>0</v>
      </c>
      <c r="K405" s="106">
        <f>'01-3'!K151+'02-3'!K151+'03-3'!K151+'04-3'!K151+'05-3'!K151+'08-3'!K151+'09-3'!K151+'10-3'!K151+'11-3'!K151+'12-3'!K151+'13-3'!K151+'14-3'!K151+'15-3'!K151+'16-3'!K151+'17-3'!K151+'18-3'!K151+'19-3'!K151+'21-3'!K151+'22-3'!K151+'24-3'!K151+'25-3'!K151+'28-3'!K151+'29-3'!K151+'30-3'!K151+'32-3'!K151+'35-3'!K151+'37-3'!K151+'47-3'!K151+'62-3'!K151+'64-3'!K151+'74-3'!K151</f>
        <v>0</v>
      </c>
      <c r="L405" s="106">
        <f>'01-3'!L151+'02-3'!L151+'03-3'!L151+'04-3'!L151+'05-3'!L151+'08-3'!L151+'09-3'!L151+'10-3'!L151+'11-3'!L151+'12-3'!L151+'13-3'!L151+'14-3'!L151+'15-3'!L151+'16-3'!L151+'17-3'!L151+'18-3'!L151+'19-3'!L151+'21-3'!L151+'22-3'!L151+'24-3'!L151+'25-3'!L151+'28-3'!L151+'29-3'!L151+'30-3'!L151+'32-3'!L151+'35-3'!L151+'37-3'!L151+'47-3'!L151+'62-3'!L151+'64-3'!L151+'74-3'!L151</f>
        <v>0</v>
      </c>
      <c r="M405" s="106">
        <f>'01-3'!M151+'02-3'!M151+'03-3'!M151+'04-3'!M151+'05-3'!M151+'08-3'!M151+'09-3'!M151+'10-3'!M151+'11-3'!M151+'12-3'!M151+'13-3'!M151+'14-3'!M151+'15-3'!M151+'16-3'!M151+'17-3'!M151+'18-3'!M151+'19-3'!M151+'21-3'!M151+'22-3'!M151+'24-3'!M151+'25-3'!M151+'28-3'!M151+'29-3'!M151+'30-3'!M151+'32-3'!M151+'35-3'!M151+'37-3'!M151+'47-3'!M151+'62-3'!M151+'64-3'!M151+'74-3'!M151</f>
        <v>0</v>
      </c>
      <c r="N405" s="106">
        <f>'01-3'!N151+'02-3'!N151+'03-3'!N151+'04-3'!N151+'05-3'!N151+'08-3'!N151+'09-3'!N151+'10-3'!N151+'11-3'!N151+'12-3'!N151+'13-3'!N151+'14-3'!N151+'15-3'!N151+'16-3'!N151+'17-3'!N151+'18-3'!N151+'19-3'!N151+'21-3'!N151+'22-3'!N151+'24-3'!N151+'25-3'!N151+'28-3'!N151+'29-3'!N151+'30-3'!N151+'32-3'!N151+'35-3'!N151+'37-3'!N151+'47-3'!N151+'62-3'!N151+'64-3'!N151+'74-3'!N151</f>
        <v>0</v>
      </c>
      <c r="O405" s="106">
        <f>'01-3'!O151+'02-3'!O151+'03-3'!O151+'04-3'!O151+'05-3'!O151+'08-3'!O151+'09-3'!O151+'10-3'!O151+'11-3'!O151+'12-3'!O151+'13-3'!O151+'14-3'!O151+'15-3'!O151+'16-3'!O151+'17-3'!O151+'18-3'!O151+'19-3'!O151+'21-3'!O151+'22-3'!O151+'24-3'!O151+'25-3'!O151+'28-3'!O151+'29-3'!O151+'30-3'!O151+'32-3'!O151+'35-3'!O151+'37-3'!O151+'47-3'!O151+'62-3'!O151+'64-3'!O151+'74-3'!O151</f>
        <v>0</v>
      </c>
      <c r="P405" s="106">
        <f>'01-3'!P151+'02-3'!P151+'03-3'!P151+'04-3'!P151+'05-3'!P151+'08-3'!P151+'09-3'!P151+'10-3'!P151+'11-3'!P151+'12-3'!P151+'13-3'!P151+'14-3'!P151+'15-3'!P151+'16-3'!P151+'17-3'!P151+'18-3'!P151+'19-3'!P151+'21-3'!P151+'22-3'!P151+'24-3'!P151+'25-3'!P151+'28-3'!P151+'29-3'!P151+'30-3'!P151+'32-3'!P151+'35-3'!P151+'37-3'!P151+'47-3'!P151+'62-3'!P151+'64-3'!P151+'74-3'!P151</f>
        <v>0</v>
      </c>
      <c r="Q405" s="106">
        <f>'01-3'!Q151+'02-3'!Q151+'03-3'!Q151+'04-3'!Q151+'05-3'!Q151+'08-3'!Q151+'09-3'!Q151+'10-3'!Q151+'11-3'!Q151+'12-3'!Q151+'13-3'!Q151+'14-3'!Q151+'15-3'!Q151+'16-3'!Q151+'17-3'!Q151+'18-3'!Q151+'19-3'!Q151+'21-3'!Q151+'22-3'!Q151+'24-3'!Q151+'25-3'!Q151+'28-3'!Q151+'29-3'!Q151+'30-3'!Q151+'32-3'!Q151+'35-3'!Q151+'37-3'!Q151+'47-3'!Q151+'62-3'!Q151+'64-3'!Q151+'74-3'!Q151</f>
        <v>0</v>
      </c>
      <c r="R405" s="106">
        <f>'01-3'!R151+'02-3'!R151+'03-3'!R151+'04-3'!R151+'05-3'!R151+'08-3'!R151+'09-3'!R151+'10-3'!R151+'11-3'!R151+'12-3'!R151+'13-3'!R151+'14-3'!R151+'15-3'!R151+'16-3'!R151+'17-3'!R151+'18-3'!R151+'19-3'!R151+'21-3'!R151+'22-3'!R151+'24-3'!R151+'25-3'!R151+'28-3'!R151+'29-3'!R151+'30-3'!R151+'32-3'!R151+'35-3'!R151+'37-3'!R151+'47-3'!R151+'62-3'!R151+'64-3'!R151+'74-3'!R151</f>
        <v>0</v>
      </c>
      <c r="S405" s="954"/>
      <c r="T405" s="954"/>
      <c r="U405" s="954"/>
      <c r="V405" s="954"/>
      <c r="W405" s="954"/>
    </row>
    <row r="406" spans="1:23" s="6" customFormat="1" ht="24" hidden="1">
      <c r="A406" s="133">
        <v>9140</v>
      </c>
      <c r="B406" s="112" t="s">
        <v>204</v>
      </c>
      <c r="C406" s="106">
        <f>'01-3'!C152+'02-3'!C152+'03-3'!C152+'04-3'!C152+'05-3'!C152+'08-3'!C152+'09-3'!C152+'10-3'!C152+'11-3'!C152+'12-3'!C152+'13-3'!C152+'14-3'!C152+'15-3'!C152+'16-3'!C152+'17-3'!C152+'18-3'!C152+'19-3'!C152+'21-3'!C152+'22-3'!C152+'24-3'!C152+'25-3'!C152+'28-3'!C152+'29-3'!C152+'30-3'!C152+'32-3'!C152+'35-3'!C152+'37-3'!C152+'47-3'!C152+'62-3'!C152+'64-3'!C152+'74-3'!C152</f>
        <v>0</v>
      </c>
      <c r="D406" s="106">
        <f>'01-3'!D152+'02-3'!D152+'03-3'!D152+'04-3'!D152+'05-3'!D152+'08-3'!D152+'09-3'!D152+'10-3'!D152+'11-3'!D152+'12-3'!D152+'13-3'!D152+'14-3'!D152+'15-3'!D152+'16-3'!D152+'17-3'!D152+'18-3'!D152+'19-3'!D152+'21-3'!D152+'22-3'!D152+'24-3'!D152+'25-3'!D152+'28-3'!D152+'29-3'!D152+'30-3'!D152+'32-3'!D152+'35-3'!D152+'37-3'!D152+'47-3'!D152+'62-3'!D152+'64-3'!D152+'74-3'!D152</f>
        <v>0</v>
      </c>
      <c r="E406" s="106">
        <f>'01-3'!E152+'02-3'!E152+'03-3'!E152+'04-3'!E152+'05-3'!E152+'08-3'!E152+'09-3'!E152+'10-3'!E152+'11-3'!E152+'12-3'!E152+'13-3'!E152+'14-3'!E152+'15-3'!E152+'16-3'!E152+'17-3'!E152+'18-3'!E152+'19-3'!E152+'21-3'!E152+'22-3'!E152+'24-3'!E152+'25-3'!E152+'28-3'!E152+'29-3'!E152+'30-3'!E152+'32-3'!E152+'35-3'!E152+'37-3'!E152+'47-3'!E152+'62-3'!E152+'64-3'!E152+'74-3'!E152</f>
        <v>0</v>
      </c>
      <c r="F406" s="106">
        <f>'01-3'!F152+'02-3'!F152+'03-3'!F152+'04-3'!F152+'05-3'!F152+'08-3'!F152+'09-3'!F152+'10-3'!F152+'11-3'!F152+'12-3'!F152+'13-3'!F152+'14-3'!F152+'15-3'!F152+'16-3'!F152+'17-3'!F152+'18-3'!F152+'19-3'!F152+'21-3'!F152+'22-3'!F152+'24-3'!F152+'25-3'!F152+'28-3'!F152+'29-3'!F152+'30-3'!F152+'32-3'!F152+'35-3'!F152+'37-3'!F152+'47-3'!F152+'62-3'!F152+'64-3'!F152+'74-3'!F152</f>
        <v>0</v>
      </c>
      <c r="G406" s="106">
        <f>'01-3'!G152+'02-3'!G152+'03-3'!G152+'04-3'!G152+'05-3'!G152+'08-3'!G152+'09-3'!G152+'10-3'!G152+'11-3'!G152+'12-3'!G152+'13-3'!G152+'14-3'!G152+'15-3'!G152+'16-3'!G152+'17-3'!G152+'18-3'!G152+'19-3'!G152+'21-3'!G152+'22-3'!G152+'24-3'!G152+'25-3'!G152+'28-3'!G152+'29-3'!G152+'30-3'!G152+'32-3'!G152+'35-3'!G152+'37-3'!G152+'47-3'!G152+'62-3'!G152+'64-3'!G152+'74-3'!G152</f>
        <v>0</v>
      </c>
      <c r="H406" s="106">
        <f>'01-3'!H152+'02-3'!H152+'03-3'!H152+'04-3'!H152+'05-3'!H152+'08-3'!H152+'09-3'!H152+'10-3'!H152+'11-3'!H152+'12-3'!H152+'13-3'!H152+'14-3'!H152+'15-3'!H152+'16-3'!H152+'17-3'!H152+'18-3'!H152+'19-3'!H152+'21-3'!H152+'22-3'!H152+'24-3'!H152+'25-3'!H152+'28-3'!H152+'29-3'!H152+'30-3'!H152+'32-3'!H152+'35-3'!H152+'37-3'!H152+'47-3'!H152+'62-3'!H152+'64-3'!H152+'74-3'!H152</f>
        <v>0</v>
      </c>
      <c r="I406" s="106">
        <f>'01-3'!I152+'02-3'!I152+'03-3'!I152+'04-3'!I152+'05-3'!I152+'08-3'!I152+'09-3'!I152+'10-3'!I152+'11-3'!I152+'12-3'!I152+'13-3'!I152+'14-3'!I152+'15-3'!I152+'16-3'!I152+'17-3'!I152+'18-3'!I152+'19-3'!I152+'21-3'!I152+'22-3'!I152+'24-3'!I152+'25-3'!I152+'28-3'!I152+'29-3'!I152+'30-3'!I152+'32-3'!I152+'35-3'!I152+'37-3'!I152+'47-3'!I152+'62-3'!I152+'64-3'!I152+'74-3'!I152</f>
        <v>0</v>
      </c>
      <c r="J406" s="106">
        <f>'01-3'!J152+'02-3'!J152+'03-3'!J152+'04-3'!J152+'05-3'!J152+'08-3'!J152+'09-3'!J152+'10-3'!J152+'11-3'!J152+'12-3'!J152+'13-3'!J152+'14-3'!J152+'15-3'!J152+'16-3'!J152+'17-3'!J152+'18-3'!J152+'19-3'!J152+'21-3'!J152+'22-3'!J152+'24-3'!J152+'25-3'!J152+'28-3'!J152+'29-3'!J152+'30-3'!J152+'32-3'!J152+'35-3'!J152+'37-3'!J152+'47-3'!J152+'62-3'!J152+'64-3'!J152+'74-3'!J152</f>
        <v>0</v>
      </c>
      <c r="K406" s="106">
        <f>'01-3'!K152+'02-3'!K152+'03-3'!K152+'04-3'!K152+'05-3'!K152+'08-3'!K152+'09-3'!K152+'10-3'!K152+'11-3'!K152+'12-3'!K152+'13-3'!K152+'14-3'!K152+'15-3'!K152+'16-3'!K152+'17-3'!K152+'18-3'!K152+'19-3'!K152+'21-3'!K152+'22-3'!K152+'24-3'!K152+'25-3'!K152+'28-3'!K152+'29-3'!K152+'30-3'!K152+'32-3'!K152+'35-3'!K152+'37-3'!K152+'47-3'!K152+'62-3'!K152+'64-3'!K152+'74-3'!K152</f>
        <v>0</v>
      </c>
      <c r="L406" s="106">
        <f>'01-3'!L152+'02-3'!L152+'03-3'!L152+'04-3'!L152+'05-3'!L152+'08-3'!L152+'09-3'!L152+'10-3'!L152+'11-3'!L152+'12-3'!L152+'13-3'!L152+'14-3'!L152+'15-3'!L152+'16-3'!L152+'17-3'!L152+'18-3'!L152+'19-3'!L152+'21-3'!L152+'22-3'!L152+'24-3'!L152+'25-3'!L152+'28-3'!L152+'29-3'!L152+'30-3'!L152+'32-3'!L152+'35-3'!L152+'37-3'!L152+'47-3'!L152+'62-3'!L152+'64-3'!L152+'74-3'!L152</f>
        <v>0</v>
      </c>
      <c r="M406" s="106">
        <f>'01-3'!M152+'02-3'!M152+'03-3'!M152+'04-3'!M152+'05-3'!M152+'08-3'!M152+'09-3'!M152+'10-3'!M152+'11-3'!M152+'12-3'!M152+'13-3'!M152+'14-3'!M152+'15-3'!M152+'16-3'!M152+'17-3'!M152+'18-3'!M152+'19-3'!M152+'21-3'!M152+'22-3'!M152+'24-3'!M152+'25-3'!M152+'28-3'!M152+'29-3'!M152+'30-3'!M152+'32-3'!M152+'35-3'!M152+'37-3'!M152+'47-3'!M152+'62-3'!M152+'64-3'!M152+'74-3'!M152</f>
        <v>0</v>
      </c>
      <c r="N406" s="106">
        <f>'01-3'!N152+'02-3'!N152+'03-3'!N152+'04-3'!N152+'05-3'!N152+'08-3'!N152+'09-3'!N152+'10-3'!N152+'11-3'!N152+'12-3'!N152+'13-3'!N152+'14-3'!N152+'15-3'!N152+'16-3'!N152+'17-3'!N152+'18-3'!N152+'19-3'!N152+'21-3'!N152+'22-3'!N152+'24-3'!N152+'25-3'!N152+'28-3'!N152+'29-3'!N152+'30-3'!N152+'32-3'!N152+'35-3'!N152+'37-3'!N152+'47-3'!N152+'62-3'!N152+'64-3'!N152+'74-3'!N152</f>
        <v>0</v>
      </c>
      <c r="O406" s="106">
        <f>'01-3'!O152+'02-3'!O152+'03-3'!O152+'04-3'!O152+'05-3'!O152+'08-3'!O152+'09-3'!O152+'10-3'!O152+'11-3'!O152+'12-3'!O152+'13-3'!O152+'14-3'!O152+'15-3'!O152+'16-3'!O152+'17-3'!O152+'18-3'!O152+'19-3'!O152+'21-3'!O152+'22-3'!O152+'24-3'!O152+'25-3'!O152+'28-3'!O152+'29-3'!O152+'30-3'!O152+'32-3'!O152+'35-3'!O152+'37-3'!O152+'47-3'!O152+'62-3'!O152+'64-3'!O152+'74-3'!O152</f>
        <v>0</v>
      </c>
      <c r="P406" s="106">
        <f>'01-3'!P152+'02-3'!P152+'03-3'!P152+'04-3'!P152+'05-3'!P152+'08-3'!P152+'09-3'!P152+'10-3'!P152+'11-3'!P152+'12-3'!P152+'13-3'!P152+'14-3'!P152+'15-3'!P152+'16-3'!P152+'17-3'!P152+'18-3'!P152+'19-3'!P152+'21-3'!P152+'22-3'!P152+'24-3'!P152+'25-3'!P152+'28-3'!P152+'29-3'!P152+'30-3'!P152+'32-3'!P152+'35-3'!P152+'37-3'!P152+'47-3'!P152+'62-3'!P152+'64-3'!P152+'74-3'!P152</f>
        <v>0</v>
      </c>
      <c r="Q406" s="106">
        <f>'01-3'!Q152+'02-3'!Q152+'03-3'!Q152+'04-3'!Q152+'05-3'!Q152+'08-3'!Q152+'09-3'!Q152+'10-3'!Q152+'11-3'!Q152+'12-3'!Q152+'13-3'!Q152+'14-3'!Q152+'15-3'!Q152+'16-3'!Q152+'17-3'!Q152+'18-3'!Q152+'19-3'!Q152+'21-3'!Q152+'22-3'!Q152+'24-3'!Q152+'25-3'!Q152+'28-3'!Q152+'29-3'!Q152+'30-3'!Q152+'32-3'!Q152+'35-3'!Q152+'37-3'!Q152+'47-3'!Q152+'62-3'!Q152+'64-3'!Q152+'74-3'!Q152</f>
        <v>0</v>
      </c>
      <c r="R406" s="106">
        <f>'01-3'!R152+'02-3'!R152+'03-3'!R152+'04-3'!R152+'05-3'!R152+'08-3'!R152+'09-3'!R152+'10-3'!R152+'11-3'!R152+'12-3'!R152+'13-3'!R152+'14-3'!R152+'15-3'!R152+'16-3'!R152+'17-3'!R152+'18-3'!R152+'19-3'!R152+'21-3'!R152+'22-3'!R152+'24-3'!R152+'25-3'!R152+'28-3'!R152+'29-3'!R152+'30-3'!R152+'32-3'!R152+'35-3'!R152+'37-3'!R152+'47-3'!R152+'62-3'!R152+'64-3'!R152+'74-3'!R152</f>
        <v>0</v>
      </c>
      <c r="S406" s="954"/>
      <c r="T406" s="954"/>
      <c r="U406" s="954"/>
      <c r="V406" s="954"/>
      <c r="W406" s="954"/>
    </row>
    <row r="407" spans="1:23" s="6" customFormat="1" ht="36" hidden="1">
      <c r="A407" s="134">
        <v>9141</v>
      </c>
      <c r="B407" s="108" t="s">
        <v>190</v>
      </c>
      <c r="C407" s="106">
        <f>'01-3'!C153+'02-3'!C153+'03-3'!C153+'04-3'!C153+'05-3'!C153+'08-3'!C153+'09-3'!C153+'10-3'!C153+'11-3'!C153+'12-3'!C153+'13-3'!C153+'14-3'!C153+'15-3'!C153+'16-3'!C153+'17-3'!C153+'18-3'!C153+'19-3'!C153+'21-3'!C153+'22-3'!C153+'24-3'!C153+'25-3'!C153+'28-3'!C153+'29-3'!C153+'30-3'!C153+'32-3'!C153+'35-3'!C153+'37-3'!C153+'47-3'!C153+'62-3'!C153+'64-3'!C153+'74-3'!C153</f>
        <v>0</v>
      </c>
      <c r="D407" s="106">
        <f>'01-3'!D153+'02-3'!D153+'03-3'!D153+'04-3'!D153+'05-3'!D153+'08-3'!D153+'09-3'!D153+'10-3'!D153+'11-3'!D153+'12-3'!D153+'13-3'!D153+'14-3'!D153+'15-3'!D153+'16-3'!D153+'17-3'!D153+'18-3'!D153+'19-3'!D153+'21-3'!D153+'22-3'!D153+'24-3'!D153+'25-3'!D153+'28-3'!D153+'29-3'!D153+'30-3'!D153+'32-3'!D153+'35-3'!D153+'37-3'!D153+'47-3'!D153+'62-3'!D153+'64-3'!D153+'74-3'!D153</f>
        <v>0</v>
      </c>
      <c r="E407" s="106">
        <f>'01-3'!E153+'02-3'!E153+'03-3'!E153+'04-3'!E153+'05-3'!E153+'08-3'!E153+'09-3'!E153+'10-3'!E153+'11-3'!E153+'12-3'!E153+'13-3'!E153+'14-3'!E153+'15-3'!E153+'16-3'!E153+'17-3'!E153+'18-3'!E153+'19-3'!E153+'21-3'!E153+'22-3'!E153+'24-3'!E153+'25-3'!E153+'28-3'!E153+'29-3'!E153+'30-3'!E153+'32-3'!E153+'35-3'!E153+'37-3'!E153+'47-3'!E153+'62-3'!E153+'64-3'!E153+'74-3'!E153</f>
        <v>0</v>
      </c>
      <c r="F407" s="106">
        <f>'01-3'!F153+'02-3'!F153+'03-3'!F153+'04-3'!F153+'05-3'!F153+'08-3'!F153+'09-3'!F153+'10-3'!F153+'11-3'!F153+'12-3'!F153+'13-3'!F153+'14-3'!F153+'15-3'!F153+'16-3'!F153+'17-3'!F153+'18-3'!F153+'19-3'!F153+'21-3'!F153+'22-3'!F153+'24-3'!F153+'25-3'!F153+'28-3'!F153+'29-3'!F153+'30-3'!F153+'32-3'!F153+'35-3'!F153+'37-3'!F153+'47-3'!F153+'62-3'!F153+'64-3'!F153+'74-3'!F153</f>
        <v>0</v>
      </c>
      <c r="G407" s="106">
        <f>'01-3'!G153+'02-3'!G153+'03-3'!G153+'04-3'!G153+'05-3'!G153+'08-3'!G153+'09-3'!G153+'10-3'!G153+'11-3'!G153+'12-3'!G153+'13-3'!G153+'14-3'!G153+'15-3'!G153+'16-3'!G153+'17-3'!G153+'18-3'!G153+'19-3'!G153+'21-3'!G153+'22-3'!G153+'24-3'!G153+'25-3'!G153+'28-3'!G153+'29-3'!G153+'30-3'!G153+'32-3'!G153+'35-3'!G153+'37-3'!G153+'47-3'!G153+'62-3'!G153+'64-3'!G153+'74-3'!G153</f>
        <v>0</v>
      </c>
      <c r="H407" s="106">
        <f>'01-3'!H153+'02-3'!H153+'03-3'!H153+'04-3'!H153+'05-3'!H153+'08-3'!H153+'09-3'!H153+'10-3'!H153+'11-3'!H153+'12-3'!H153+'13-3'!H153+'14-3'!H153+'15-3'!H153+'16-3'!H153+'17-3'!H153+'18-3'!H153+'19-3'!H153+'21-3'!H153+'22-3'!H153+'24-3'!H153+'25-3'!H153+'28-3'!H153+'29-3'!H153+'30-3'!H153+'32-3'!H153+'35-3'!H153+'37-3'!H153+'47-3'!H153+'62-3'!H153+'64-3'!H153+'74-3'!H153</f>
        <v>0</v>
      </c>
      <c r="I407" s="106">
        <f>'01-3'!I153+'02-3'!I153+'03-3'!I153+'04-3'!I153+'05-3'!I153+'08-3'!I153+'09-3'!I153+'10-3'!I153+'11-3'!I153+'12-3'!I153+'13-3'!I153+'14-3'!I153+'15-3'!I153+'16-3'!I153+'17-3'!I153+'18-3'!I153+'19-3'!I153+'21-3'!I153+'22-3'!I153+'24-3'!I153+'25-3'!I153+'28-3'!I153+'29-3'!I153+'30-3'!I153+'32-3'!I153+'35-3'!I153+'37-3'!I153+'47-3'!I153+'62-3'!I153+'64-3'!I153+'74-3'!I153</f>
        <v>0</v>
      </c>
      <c r="J407" s="106">
        <f>'01-3'!J153+'02-3'!J153+'03-3'!J153+'04-3'!J153+'05-3'!J153+'08-3'!J153+'09-3'!J153+'10-3'!J153+'11-3'!J153+'12-3'!J153+'13-3'!J153+'14-3'!J153+'15-3'!J153+'16-3'!J153+'17-3'!J153+'18-3'!J153+'19-3'!J153+'21-3'!J153+'22-3'!J153+'24-3'!J153+'25-3'!J153+'28-3'!J153+'29-3'!J153+'30-3'!J153+'32-3'!J153+'35-3'!J153+'37-3'!J153+'47-3'!J153+'62-3'!J153+'64-3'!J153+'74-3'!J153</f>
        <v>0</v>
      </c>
      <c r="K407" s="106">
        <f>'01-3'!K153+'02-3'!K153+'03-3'!K153+'04-3'!K153+'05-3'!K153+'08-3'!K153+'09-3'!K153+'10-3'!K153+'11-3'!K153+'12-3'!K153+'13-3'!K153+'14-3'!K153+'15-3'!K153+'16-3'!K153+'17-3'!K153+'18-3'!K153+'19-3'!K153+'21-3'!K153+'22-3'!K153+'24-3'!K153+'25-3'!K153+'28-3'!K153+'29-3'!K153+'30-3'!K153+'32-3'!K153+'35-3'!K153+'37-3'!K153+'47-3'!K153+'62-3'!K153+'64-3'!K153+'74-3'!K153</f>
        <v>0</v>
      </c>
      <c r="L407" s="106">
        <f>'01-3'!L153+'02-3'!L153+'03-3'!L153+'04-3'!L153+'05-3'!L153+'08-3'!L153+'09-3'!L153+'10-3'!L153+'11-3'!L153+'12-3'!L153+'13-3'!L153+'14-3'!L153+'15-3'!L153+'16-3'!L153+'17-3'!L153+'18-3'!L153+'19-3'!L153+'21-3'!L153+'22-3'!L153+'24-3'!L153+'25-3'!L153+'28-3'!L153+'29-3'!L153+'30-3'!L153+'32-3'!L153+'35-3'!L153+'37-3'!L153+'47-3'!L153+'62-3'!L153+'64-3'!L153+'74-3'!L153</f>
        <v>0</v>
      </c>
      <c r="M407" s="106">
        <f>'01-3'!M153+'02-3'!M153+'03-3'!M153+'04-3'!M153+'05-3'!M153+'08-3'!M153+'09-3'!M153+'10-3'!M153+'11-3'!M153+'12-3'!M153+'13-3'!M153+'14-3'!M153+'15-3'!M153+'16-3'!M153+'17-3'!M153+'18-3'!M153+'19-3'!M153+'21-3'!M153+'22-3'!M153+'24-3'!M153+'25-3'!M153+'28-3'!M153+'29-3'!M153+'30-3'!M153+'32-3'!M153+'35-3'!M153+'37-3'!M153+'47-3'!M153+'62-3'!M153+'64-3'!M153+'74-3'!M153</f>
        <v>0</v>
      </c>
      <c r="N407" s="106">
        <f>'01-3'!N153+'02-3'!N153+'03-3'!N153+'04-3'!N153+'05-3'!N153+'08-3'!N153+'09-3'!N153+'10-3'!N153+'11-3'!N153+'12-3'!N153+'13-3'!N153+'14-3'!N153+'15-3'!N153+'16-3'!N153+'17-3'!N153+'18-3'!N153+'19-3'!N153+'21-3'!N153+'22-3'!N153+'24-3'!N153+'25-3'!N153+'28-3'!N153+'29-3'!N153+'30-3'!N153+'32-3'!N153+'35-3'!N153+'37-3'!N153+'47-3'!N153+'62-3'!N153+'64-3'!N153+'74-3'!N153</f>
        <v>0</v>
      </c>
      <c r="O407" s="106">
        <f>'01-3'!O153+'02-3'!O153+'03-3'!O153+'04-3'!O153+'05-3'!O153+'08-3'!O153+'09-3'!O153+'10-3'!O153+'11-3'!O153+'12-3'!O153+'13-3'!O153+'14-3'!O153+'15-3'!O153+'16-3'!O153+'17-3'!O153+'18-3'!O153+'19-3'!O153+'21-3'!O153+'22-3'!O153+'24-3'!O153+'25-3'!O153+'28-3'!O153+'29-3'!O153+'30-3'!O153+'32-3'!O153+'35-3'!O153+'37-3'!O153+'47-3'!O153+'62-3'!O153+'64-3'!O153+'74-3'!O153</f>
        <v>0</v>
      </c>
      <c r="P407" s="106">
        <f>'01-3'!P153+'02-3'!P153+'03-3'!P153+'04-3'!P153+'05-3'!P153+'08-3'!P153+'09-3'!P153+'10-3'!P153+'11-3'!P153+'12-3'!P153+'13-3'!P153+'14-3'!P153+'15-3'!P153+'16-3'!P153+'17-3'!P153+'18-3'!P153+'19-3'!P153+'21-3'!P153+'22-3'!P153+'24-3'!P153+'25-3'!P153+'28-3'!P153+'29-3'!P153+'30-3'!P153+'32-3'!P153+'35-3'!P153+'37-3'!P153+'47-3'!P153+'62-3'!P153+'64-3'!P153+'74-3'!P153</f>
        <v>0</v>
      </c>
      <c r="Q407" s="106">
        <f>'01-3'!Q153+'02-3'!Q153+'03-3'!Q153+'04-3'!Q153+'05-3'!Q153+'08-3'!Q153+'09-3'!Q153+'10-3'!Q153+'11-3'!Q153+'12-3'!Q153+'13-3'!Q153+'14-3'!Q153+'15-3'!Q153+'16-3'!Q153+'17-3'!Q153+'18-3'!Q153+'19-3'!Q153+'21-3'!Q153+'22-3'!Q153+'24-3'!Q153+'25-3'!Q153+'28-3'!Q153+'29-3'!Q153+'30-3'!Q153+'32-3'!Q153+'35-3'!Q153+'37-3'!Q153+'47-3'!Q153+'62-3'!Q153+'64-3'!Q153+'74-3'!Q153</f>
        <v>0</v>
      </c>
      <c r="R407" s="106">
        <f>'01-3'!R153+'02-3'!R153+'03-3'!R153+'04-3'!R153+'05-3'!R153+'08-3'!R153+'09-3'!R153+'10-3'!R153+'11-3'!R153+'12-3'!R153+'13-3'!R153+'14-3'!R153+'15-3'!R153+'16-3'!R153+'17-3'!R153+'18-3'!R153+'19-3'!R153+'21-3'!R153+'22-3'!R153+'24-3'!R153+'25-3'!R153+'28-3'!R153+'29-3'!R153+'30-3'!R153+'32-3'!R153+'35-3'!R153+'37-3'!R153+'47-3'!R153+'62-3'!R153+'64-3'!R153+'74-3'!R153</f>
        <v>0</v>
      </c>
      <c r="S407" s="954"/>
      <c r="T407" s="954"/>
      <c r="U407" s="954"/>
      <c r="V407" s="954"/>
      <c r="W407" s="954"/>
    </row>
    <row r="408" spans="1:23" s="6" customFormat="1" ht="36" hidden="1">
      <c r="A408" s="134">
        <v>9142</v>
      </c>
      <c r="B408" s="108" t="s">
        <v>191</v>
      </c>
      <c r="C408" s="106">
        <f>'01-3'!C154+'02-3'!C154+'03-3'!C154+'04-3'!C154+'05-3'!C154+'08-3'!C154+'09-3'!C154+'10-3'!C154+'11-3'!C154+'12-3'!C154+'13-3'!C154+'14-3'!C154+'15-3'!C154+'16-3'!C154+'17-3'!C154+'18-3'!C154+'19-3'!C154+'21-3'!C154+'22-3'!C154+'24-3'!C154+'25-3'!C154+'28-3'!C154+'29-3'!C154+'30-3'!C154+'32-3'!C154+'35-3'!C154+'37-3'!C154+'47-3'!C154+'62-3'!C154+'64-3'!C154+'74-3'!C154</f>
        <v>0</v>
      </c>
      <c r="D408" s="106">
        <f>'01-3'!D154+'02-3'!D154+'03-3'!D154+'04-3'!D154+'05-3'!D154+'08-3'!D154+'09-3'!D154+'10-3'!D154+'11-3'!D154+'12-3'!D154+'13-3'!D154+'14-3'!D154+'15-3'!D154+'16-3'!D154+'17-3'!D154+'18-3'!D154+'19-3'!D154+'21-3'!D154+'22-3'!D154+'24-3'!D154+'25-3'!D154+'28-3'!D154+'29-3'!D154+'30-3'!D154+'32-3'!D154+'35-3'!D154+'37-3'!D154+'47-3'!D154+'62-3'!D154+'64-3'!D154+'74-3'!D154</f>
        <v>0</v>
      </c>
      <c r="E408" s="106">
        <f>'01-3'!E154+'02-3'!E154+'03-3'!E154+'04-3'!E154+'05-3'!E154+'08-3'!E154+'09-3'!E154+'10-3'!E154+'11-3'!E154+'12-3'!E154+'13-3'!E154+'14-3'!E154+'15-3'!E154+'16-3'!E154+'17-3'!E154+'18-3'!E154+'19-3'!E154+'21-3'!E154+'22-3'!E154+'24-3'!E154+'25-3'!E154+'28-3'!E154+'29-3'!E154+'30-3'!E154+'32-3'!E154+'35-3'!E154+'37-3'!E154+'47-3'!E154+'62-3'!E154+'64-3'!E154+'74-3'!E154</f>
        <v>0</v>
      </c>
      <c r="F408" s="106">
        <f>'01-3'!F154+'02-3'!F154+'03-3'!F154+'04-3'!F154+'05-3'!F154+'08-3'!F154+'09-3'!F154+'10-3'!F154+'11-3'!F154+'12-3'!F154+'13-3'!F154+'14-3'!F154+'15-3'!F154+'16-3'!F154+'17-3'!F154+'18-3'!F154+'19-3'!F154+'21-3'!F154+'22-3'!F154+'24-3'!F154+'25-3'!F154+'28-3'!F154+'29-3'!F154+'30-3'!F154+'32-3'!F154+'35-3'!F154+'37-3'!F154+'47-3'!F154+'62-3'!F154+'64-3'!F154+'74-3'!F154</f>
        <v>0</v>
      </c>
      <c r="G408" s="106">
        <f>'01-3'!G154+'02-3'!G154+'03-3'!G154+'04-3'!G154+'05-3'!G154+'08-3'!G154+'09-3'!G154+'10-3'!G154+'11-3'!G154+'12-3'!G154+'13-3'!G154+'14-3'!G154+'15-3'!G154+'16-3'!G154+'17-3'!G154+'18-3'!G154+'19-3'!G154+'21-3'!G154+'22-3'!G154+'24-3'!G154+'25-3'!G154+'28-3'!G154+'29-3'!G154+'30-3'!G154+'32-3'!G154+'35-3'!G154+'37-3'!G154+'47-3'!G154+'62-3'!G154+'64-3'!G154+'74-3'!G154</f>
        <v>0</v>
      </c>
      <c r="H408" s="106">
        <f>'01-3'!H154+'02-3'!H154+'03-3'!H154+'04-3'!H154+'05-3'!H154+'08-3'!H154+'09-3'!H154+'10-3'!H154+'11-3'!H154+'12-3'!H154+'13-3'!H154+'14-3'!H154+'15-3'!H154+'16-3'!H154+'17-3'!H154+'18-3'!H154+'19-3'!H154+'21-3'!H154+'22-3'!H154+'24-3'!H154+'25-3'!H154+'28-3'!H154+'29-3'!H154+'30-3'!H154+'32-3'!H154+'35-3'!H154+'37-3'!H154+'47-3'!H154+'62-3'!H154+'64-3'!H154+'74-3'!H154</f>
        <v>0</v>
      </c>
      <c r="I408" s="106">
        <f>'01-3'!I154+'02-3'!I154+'03-3'!I154+'04-3'!I154+'05-3'!I154+'08-3'!I154+'09-3'!I154+'10-3'!I154+'11-3'!I154+'12-3'!I154+'13-3'!I154+'14-3'!I154+'15-3'!I154+'16-3'!I154+'17-3'!I154+'18-3'!I154+'19-3'!I154+'21-3'!I154+'22-3'!I154+'24-3'!I154+'25-3'!I154+'28-3'!I154+'29-3'!I154+'30-3'!I154+'32-3'!I154+'35-3'!I154+'37-3'!I154+'47-3'!I154+'62-3'!I154+'64-3'!I154+'74-3'!I154</f>
        <v>0</v>
      </c>
      <c r="J408" s="106">
        <f>'01-3'!J154+'02-3'!J154+'03-3'!J154+'04-3'!J154+'05-3'!J154+'08-3'!J154+'09-3'!J154+'10-3'!J154+'11-3'!J154+'12-3'!J154+'13-3'!J154+'14-3'!J154+'15-3'!J154+'16-3'!J154+'17-3'!J154+'18-3'!J154+'19-3'!J154+'21-3'!J154+'22-3'!J154+'24-3'!J154+'25-3'!J154+'28-3'!J154+'29-3'!J154+'30-3'!J154+'32-3'!J154+'35-3'!J154+'37-3'!J154+'47-3'!J154+'62-3'!J154+'64-3'!J154+'74-3'!J154</f>
        <v>0</v>
      </c>
      <c r="K408" s="106">
        <f>'01-3'!K154+'02-3'!K154+'03-3'!K154+'04-3'!K154+'05-3'!K154+'08-3'!K154+'09-3'!K154+'10-3'!K154+'11-3'!K154+'12-3'!K154+'13-3'!K154+'14-3'!K154+'15-3'!K154+'16-3'!K154+'17-3'!K154+'18-3'!K154+'19-3'!K154+'21-3'!K154+'22-3'!K154+'24-3'!K154+'25-3'!K154+'28-3'!K154+'29-3'!K154+'30-3'!K154+'32-3'!K154+'35-3'!K154+'37-3'!K154+'47-3'!K154+'62-3'!K154+'64-3'!K154+'74-3'!K154</f>
        <v>0</v>
      </c>
      <c r="L408" s="106">
        <f>'01-3'!L154+'02-3'!L154+'03-3'!L154+'04-3'!L154+'05-3'!L154+'08-3'!L154+'09-3'!L154+'10-3'!L154+'11-3'!L154+'12-3'!L154+'13-3'!L154+'14-3'!L154+'15-3'!L154+'16-3'!L154+'17-3'!L154+'18-3'!L154+'19-3'!L154+'21-3'!L154+'22-3'!L154+'24-3'!L154+'25-3'!L154+'28-3'!L154+'29-3'!L154+'30-3'!L154+'32-3'!L154+'35-3'!L154+'37-3'!L154+'47-3'!L154+'62-3'!L154+'64-3'!L154+'74-3'!L154</f>
        <v>0</v>
      </c>
      <c r="M408" s="106">
        <f>'01-3'!M154+'02-3'!M154+'03-3'!M154+'04-3'!M154+'05-3'!M154+'08-3'!M154+'09-3'!M154+'10-3'!M154+'11-3'!M154+'12-3'!M154+'13-3'!M154+'14-3'!M154+'15-3'!M154+'16-3'!M154+'17-3'!M154+'18-3'!M154+'19-3'!M154+'21-3'!M154+'22-3'!M154+'24-3'!M154+'25-3'!M154+'28-3'!M154+'29-3'!M154+'30-3'!M154+'32-3'!M154+'35-3'!M154+'37-3'!M154+'47-3'!M154+'62-3'!M154+'64-3'!M154+'74-3'!M154</f>
        <v>0</v>
      </c>
      <c r="N408" s="106">
        <f>'01-3'!N154+'02-3'!N154+'03-3'!N154+'04-3'!N154+'05-3'!N154+'08-3'!N154+'09-3'!N154+'10-3'!N154+'11-3'!N154+'12-3'!N154+'13-3'!N154+'14-3'!N154+'15-3'!N154+'16-3'!N154+'17-3'!N154+'18-3'!N154+'19-3'!N154+'21-3'!N154+'22-3'!N154+'24-3'!N154+'25-3'!N154+'28-3'!N154+'29-3'!N154+'30-3'!N154+'32-3'!N154+'35-3'!N154+'37-3'!N154+'47-3'!N154+'62-3'!N154+'64-3'!N154+'74-3'!N154</f>
        <v>0</v>
      </c>
      <c r="O408" s="106">
        <f>'01-3'!O154+'02-3'!O154+'03-3'!O154+'04-3'!O154+'05-3'!O154+'08-3'!O154+'09-3'!O154+'10-3'!O154+'11-3'!O154+'12-3'!O154+'13-3'!O154+'14-3'!O154+'15-3'!O154+'16-3'!O154+'17-3'!O154+'18-3'!O154+'19-3'!O154+'21-3'!O154+'22-3'!O154+'24-3'!O154+'25-3'!O154+'28-3'!O154+'29-3'!O154+'30-3'!O154+'32-3'!O154+'35-3'!O154+'37-3'!O154+'47-3'!O154+'62-3'!O154+'64-3'!O154+'74-3'!O154</f>
        <v>0</v>
      </c>
      <c r="P408" s="106">
        <f>'01-3'!P154+'02-3'!P154+'03-3'!P154+'04-3'!P154+'05-3'!P154+'08-3'!P154+'09-3'!P154+'10-3'!P154+'11-3'!P154+'12-3'!P154+'13-3'!P154+'14-3'!P154+'15-3'!P154+'16-3'!P154+'17-3'!P154+'18-3'!P154+'19-3'!P154+'21-3'!P154+'22-3'!P154+'24-3'!P154+'25-3'!P154+'28-3'!P154+'29-3'!P154+'30-3'!P154+'32-3'!P154+'35-3'!P154+'37-3'!P154+'47-3'!P154+'62-3'!P154+'64-3'!P154+'74-3'!P154</f>
        <v>0</v>
      </c>
      <c r="Q408" s="106">
        <f>'01-3'!Q154+'02-3'!Q154+'03-3'!Q154+'04-3'!Q154+'05-3'!Q154+'08-3'!Q154+'09-3'!Q154+'10-3'!Q154+'11-3'!Q154+'12-3'!Q154+'13-3'!Q154+'14-3'!Q154+'15-3'!Q154+'16-3'!Q154+'17-3'!Q154+'18-3'!Q154+'19-3'!Q154+'21-3'!Q154+'22-3'!Q154+'24-3'!Q154+'25-3'!Q154+'28-3'!Q154+'29-3'!Q154+'30-3'!Q154+'32-3'!Q154+'35-3'!Q154+'37-3'!Q154+'47-3'!Q154+'62-3'!Q154+'64-3'!Q154+'74-3'!Q154</f>
        <v>0</v>
      </c>
      <c r="R408" s="106">
        <f>'01-3'!R154+'02-3'!R154+'03-3'!R154+'04-3'!R154+'05-3'!R154+'08-3'!R154+'09-3'!R154+'10-3'!R154+'11-3'!R154+'12-3'!R154+'13-3'!R154+'14-3'!R154+'15-3'!R154+'16-3'!R154+'17-3'!R154+'18-3'!R154+'19-3'!R154+'21-3'!R154+'22-3'!R154+'24-3'!R154+'25-3'!R154+'28-3'!R154+'29-3'!R154+'30-3'!R154+'32-3'!R154+'35-3'!R154+'37-3'!R154+'47-3'!R154+'62-3'!R154+'64-3'!R154+'74-3'!R154</f>
        <v>0</v>
      </c>
      <c r="S408" s="954"/>
      <c r="T408" s="954"/>
      <c r="U408" s="954"/>
      <c r="V408" s="954"/>
      <c r="W408" s="954"/>
    </row>
    <row r="409" spans="1:23" s="6" customFormat="1" ht="24" hidden="1">
      <c r="A409" s="134">
        <v>9149</v>
      </c>
      <c r="B409" s="108" t="s">
        <v>192</v>
      </c>
      <c r="C409" s="106">
        <f>'01-3'!C155+'02-3'!C155+'03-3'!C155+'04-3'!C155+'05-3'!C155+'08-3'!C155+'09-3'!C155+'10-3'!C155+'11-3'!C155+'12-3'!C155+'13-3'!C155+'14-3'!C155+'15-3'!C155+'16-3'!C155+'17-3'!C155+'18-3'!C155+'19-3'!C155+'21-3'!C155+'22-3'!C155+'24-3'!C155+'25-3'!C155+'28-3'!C155+'29-3'!C155+'30-3'!C155+'32-3'!C155+'35-3'!C155+'37-3'!C155+'47-3'!C155+'62-3'!C155+'64-3'!C155+'74-3'!C155</f>
        <v>0</v>
      </c>
      <c r="D409" s="106">
        <f>'01-3'!D155+'02-3'!D155+'03-3'!D155+'04-3'!D155+'05-3'!D155+'08-3'!D155+'09-3'!D155+'10-3'!D155+'11-3'!D155+'12-3'!D155+'13-3'!D155+'14-3'!D155+'15-3'!D155+'16-3'!D155+'17-3'!D155+'18-3'!D155+'19-3'!D155+'21-3'!D155+'22-3'!D155+'24-3'!D155+'25-3'!D155+'28-3'!D155+'29-3'!D155+'30-3'!D155+'32-3'!D155+'35-3'!D155+'37-3'!D155+'47-3'!D155+'62-3'!D155+'64-3'!D155+'74-3'!D155</f>
        <v>0</v>
      </c>
      <c r="E409" s="106">
        <f>'01-3'!E155+'02-3'!E155+'03-3'!E155+'04-3'!E155+'05-3'!E155+'08-3'!E155+'09-3'!E155+'10-3'!E155+'11-3'!E155+'12-3'!E155+'13-3'!E155+'14-3'!E155+'15-3'!E155+'16-3'!E155+'17-3'!E155+'18-3'!E155+'19-3'!E155+'21-3'!E155+'22-3'!E155+'24-3'!E155+'25-3'!E155+'28-3'!E155+'29-3'!E155+'30-3'!E155+'32-3'!E155+'35-3'!E155+'37-3'!E155+'47-3'!E155+'62-3'!E155+'64-3'!E155+'74-3'!E155</f>
        <v>0</v>
      </c>
      <c r="F409" s="106">
        <f>'01-3'!F155+'02-3'!F155+'03-3'!F155+'04-3'!F155+'05-3'!F155+'08-3'!F155+'09-3'!F155+'10-3'!F155+'11-3'!F155+'12-3'!F155+'13-3'!F155+'14-3'!F155+'15-3'!F155+'16-3'!F155+'17-3'!F155+'18-3'!F155+'19-3'!F155+'21-3'!F155+'22-3'!F155+'24-3'!F155+'25-3'!F155+'28-3'!F155+'29-3'!F155+'30-3'!F155+'32-3'!F155+'35-3'!F155+'37-3'!F155+'47-3'!F155+'62-3'!F155+'64-3'!F155+'74-3'!F155</f>
        <v>0</v>
      </c>
      <c r="G409" s="106">
        <f>'01-3'!G155+'02-3'!G155+'03-3'!G155+'04-3'!G155+'05-3'!G155+'08-3'!G155+'09-3'!G155+'10-3'!G155+'11-3'!G155+'12-3'!G155+'13-3'!G155+'14-3'!G155+'15-3'!G155+'16-3'!G155+'17-3'!G155+'18-3'!G155+'19-3'!G155+'21-3'!G155+'22-3'!G155+'24-3'!G155+'25-3'!G155+'28-3'!G155+'29-3'!G155+'30-3'!G155+'32-3'!G155+'35-3'!G155+'37-3'!G155+'47-3'!G155+'62-3'!G155+'64-3'!G155+'74-3'!G155</f>
        <v>0</v>
      </c>
      <c r="H409" s="106">
        <f>'01-3'!H155+'02-3'!H155+'03-3'!H155+'04-3'!H155+'05-3'!H155+'08-3'!H155+'09-3'!H155+'10-3'!H155+'11-3'!H155+'12-3'!H155+'13-3'!H155+'14-3'!H155+'15-3'!H155+'16-3'!H155+'17-3'!H155+'18-3'!H155+'19-3'!H155+'21-3'!H155+'22-3'!H155+'24-3'!H155+'25-3'!H155+'28-3'!H155+'29-3'!H155+'30-3'!H155+'32-3'!H155+'35-3'!H155+'37-3'!H155+'47-3'!H155+'62-3'!H155+'64-3'!H155+'74-3'!H155</f>
        <v>0</v>
      </c>
      <c r="I409" s="106">
        <f>'01-3'!I155+'02-3'!I155+'03-3'!I155+'04-3'!I155+'05-3'!I155+'08-3'!I155+'09-3'!I155+'10-3'!I155+'11-3'!I155+'12-3'!I155+'13-3'!I155+'14-3'!I155+'15-3'!I155+'16-3'!I155+'17-3'!I155+'18-3'!I155+'19-3'!I155+'21-3'!I155+'22-3'!I155+'24-3'!I155+'25-3'!I155+'28-3'!I155+'29-3'!I155+'30-3'!I155+'32-3'!I155+'35-3'!I155+'37-3'!I155+'47-3'!I155+'62-3'!I155+'64-3'!I155+'74-3'!I155</f>
        <v>0</v>
      </c>
      <c r="J409" s="106">
        <f>'01-3'!J155+'02-3'!J155+'03-3'!J155+'04-3'!J155+'05-3'!J155+'08-3'!J155+'09-3'!J155+'10-3'!J155+'11-3'!J155+'12-3'!J155+'13-3'!J155+'14-3'!J155+'15-3'!J155+'16-3'!J155+'17-3'!J155+'18-3'!J155+'19-3'!J155+'21-3'!J155+'22-3'!J155+'24-3'!J155+'25-3'!J155+'28-3'!J155+'29-3'!J155+'30-3'!J155+'32-3'!J155+'35-3'!J155+'37-3'!J155+'47-3'!J155+'62-3'!J155+'64-3'!J155+'74-3'!J155</f>
        <v>0</v>
      </c>
      <c r="K409" s="106">
        <f>'01-3'!K155+'02-3'!K155+'03-3'!K155+'04-3'!K155+'05-3'!K155+'08-3'!K155+'09-3'!K155+'10-3'!K155+'11-3'!K155+'12-3'!K155+'13-3'!K155+'14-3'!K155+'15-3'!K155+'16-3'!K155+'17-3'!K155+'18-3'!K155+'19-3'!K155+'21-3'!K155+'22-3'!K155+'24-3'!K155+'25-3'!K155+'28-3'!K155+'29-3'!K155+'30-3'!K155+'32-3'!K155+'35-3'!K155+'37-3'!K155+'47-3'!K155+'62-3'!K155+'64-3'!K155+'74-3'!K155</f>
        <v>0</v>
      </c>
      <c r="L409" s="106">
        <f>'01-3'!L155+'02-3'!L155+'03-3'!L155+'04-3'!L155+'05-3'!L155+'08-3'!L155+'09-3'!L155+'10-3'!L155+'11-3'!L155+'12-3'!L155+'13-3'!L155+'14-3'!L155+'15-3'!L155+'16-3'!L155+'17-3'!L155+'18-3'!L155+'19-3'!L155+'21-3'!L155+'22-3'!L155+'24-3'!L155+'25-3'!L155+'28-3'!L155+'29-3'!L155+'30-3'!L155+'32-3'!L155+'35-3'!L155+'37-3'!L155+'47-3'!L155+'62-3'!L155+'64-3'!L155+'74-3'!L155</f>
        <v>0</v>
      </c>
      <c r="M409" s="106">
        <f>'01-3'!M155+'02-3'!M155+'03-3'!M155+'04-3'!M155+'05-3'!M155+'08-3'!M155+'09-3'!M155+'10-3'!M155+'11-3'!M155+'12-3'!M155+'13-3'!M155+'14-3'!M155+'15-3'!M155+'16-3'!M155+'17-3'!M155+'18-3'!M155+'19-3'!M155+'21-3'!M155+'22-3'!M155+'24-3'!M155+'25-3'!M155+'28-3'!M155+'29-3'!M155+'30-3'!M155+'32-3'!M155+'35-3'!M155+'37-3'!M155+'47-3'!M155+'62-3'!M155+'64-3'!M155+'74-3'!M155</f>
        <v>0</v>
      </c>
      <c r="N409" s="106">
        <f>'01-3'!N155+'02-3'!N155+'03-3'!N155+'04-3'!N155+'05-3'!N155+'08-3'!N155+'09-3'!N155+'10-3'!N155+'11-3'!N155+'12-3'!N155+'13-3'!N155+'14-3'!N155+'15-3'!N155+'16-3'!N155+'17-3'!N155+'18-3'!N155+'19-3'!N155+'21-3'!N155+'22-3'!N155+'24-3'!N155+'25-3'!N155+'28-3'!N155+'29-3'!N155+'30-3'!N155+'32-3'!N155+'35-3'!N155+'37-3'!N155+'47-3'!N155+'62-3'!N155+'64-3'!N155+'74-3'!N155</f>
        <v>0</v>
      </c>
      <c r="O409" s="106">
        <f>'01-3'!O155+'02-3'!O155+'03-3'!O155+'04-3'!O155+'05-3'!O155+'08-3'!O155+'09-3'!O155+'10-3'!O155+'11-3'!O155+'12-3'!O155+'13-3'!O155+'14-3'!O155+'15-3'!O155+'16-3'!O155+'17-3'!O155+'18-3'!O155+'19-3'!O155+'21-3'!O155+'22-3'!O155+'24-3'!O155+'25-3'!O155+'28-3'!O155+'29-3'!O155+'30-3'!O155+'32-3'!O155+'35-3'!O155+'37-3'!O155+'47-3'!O155+'62-3'!O155+'64-3'!O155+'74-3'!O155</f>
        <v>0</v>
      </c>
      <c r="P409" s="106">
        <f>'01-3'!P155+'02-3'!P155+'03-3'!P155+'04-3'!P155+'05-3'!P155+'08-3'!P155+'09-3'!P155+'10-3'!P155+'11-3'!P155+'12-3'!P155+'13-3'!P155+'14-3'!P155+'15-3'!P155+'16-3'!P155+'17-3'!P155+'18-3'!P155+'19-3'!P155+'21-3'!P155+'22-3'!P155+'24-3'!P155+'25-3'!P155+'28-3'!P155+'29-3'!P155+'30-3'!P155+'32-3'!P155+'35-3'!P155+'37-3'!P155+'47-3'!P155+'62-3'!P155+'64-3'!P155+'74-3'!P155</f>
        <v>0</v>
      </c>
      <c r="Q409" s="106">
        <f>'01-3'!Q155+'02-3'!Q155+'03-3'!Q155+'04-3'!Q155+'05-3'!Q155+'08-3'!Q155+'09-3'!Q155+'10-3'!Q155+'11-3'!Q155+'12-3'!Q155+'13-3'!Q155+'14-3'!Q155+'15-3'!Q155+'16-3'!Q155+'17-3'!Q155+'18-3'!Q155+'19-3'!Q155+'21-3'!Q155+'22-3'!Q155+'24-3'!Q155+'25-3'!Q155+'28-3'!Q155+'29-3'!Q155+'30-3'!Q155+'32-3'!Q155+'35-3'!Q155+'37-3'!Q155+'47-3'!Q155+'62-3'!Q155+'64-3'!Q155+'74-3'!Q155</f>
        <v>0</v>
      </c>
      <c r="R409" s="106">
        <f>'01-3'!R155+'02-3'!R155+'03-3'!R155+'04-3'!R155+'05-3'!R155+'08-3'!R155+'09-3'!R155+'10-3'!R155+'11-3'!R155+'12-3'!R155+'13-3'!R155+'14-3'!R155+'15-3'!R155+'16-3'!R155+'17-3'!R155+'18-3'!R155+'19-3'!R155+'21-3'!R155+'22-3'!R155+'24-3'!R155+'25-3'!R155+'28-3'!R155+'29-3'!R155+'30-3'!R155+'32-3'!R155+'35-3'!R155+'37-3'!R155+'47-3'!R155+'62-3'!R155+'64-3'!R155+'74-3'!R155</f>
        <v>0</v>
      </c>
      <c r="S409" s="954"/>
      <c r="T409" s="954"/>
      <c r="U409" s="954"/>
      <c r="V409" s="954"/>
      <c r="W409" s="954"/>
    </row>
    <row r="410" spans="1:23" s="6" customFormat="1" ht="24">
      <c r="A410" s="141">
        <v>9500</v>
      </c>
      <c r="B410" s="108" t="s">
        <v>165</v>
      </c>
      <c r="C410" s="106">
        <f>'01-3'!C156+'02-3'!C156+'03-3'!C156+'04-3'!C156+'05-3'!C156+'08-3'!C156+'09-3'!C156+'10-3'!C156+'11-3'!C156+'12-3'!C156+'13-3'!C156+'14-3'!C156+'15-3'!C156+'16-3'!C156+'17-3'!C156+'18-3'!C156+'19-3'!C156+'21-3'!C156+'22-3'!C156+'24-3'!C156+'25-3'!C156+'28-3'!C156+'29-3'!C156+'30-3'!C156+'32-3'!C156+'35-3'!C156+'37-3'!C156+'47-3'!C156+'62-3'!C156+'64-3'!C156+'74-3'!C156</f>
        <v>407188</v>
      </c>
      <c r="D410" s="106">
        <f>'01-3'!D156+'02-3'!D156+'03-3'!D156+'04-3'!D156+'05-3'!D156+'08-3'!D156+'09-3'!D156+'10-3'!D156+'11-3'!D156+'12-3'!D156+'13-3'!D156+'14-3'!D156+'15-3'!D156+'16-3'!D156+'17-3'!D156+'18-3'!D156+'19-3'!D156+'21-3'!D156+'22-3'!D156+'24-3'!D156+'25-3'!D156+'28-3'!D156+'29-3'!D156+'30-3'!D156+'32-3'!D156+'35-3'!D156+'37-3'!D156+'47-3'!D156+'62-3'!D156+'64-3'!D156+'74-3'!D156</f>
        <v>407188</v>
      </c>
      <c r="E410" s="106">
        <f>'01-3'!E156+'02-3'!E156+'03-3'!E156+'04-3'!E156+'05-3'!E156+'08-3'!E156+'09-3'!E156+'10-3'!E156+'11-3'!E156+'12-3'!E156+'13-3'!E156+'14-3'!E156+'15-3'!E156+'16-3'!E156+'17-3'!E156+'18-3'!E156+'19-3'!E156+'21-3'!E156+'22-3'!E156+'24-3'!E156+'25-3'!E156+'28-3'!E156+'29-3'!E156+'30-3'!E156+'32-3'!E156+'35-3'!E156+'37-3'!E156+'47-3'!E156+'62-3'!E156+'64-3'!E156+'74-3'!E156</f>
        <v>0</v>
      </c>
      <c r="F410" s="106">
        <f>'01-3'!F156+'02-3'!F156+'03-3'!F156+'04-3'!F156+'05-3'!F156+'08-3'!F156+'09-3'!F156+'10-3'!F156+'11-3'!F156+'12-3'!F156+'13-3'!F156+'14-3'!F156+'15-3'!F156+'16-3'!F156+'17-3'!F156+'18-3'!F156+'19-3'!F156+'21-3'!F156+'22-3'!F156+'24-3'!F156+'25-3'!F156+'28-3'!F156+'29-3'!F156+'30-3'!F156+'32-3'!F156+'35-3'!F156+'37-3'!F156+'47-3'!F156+'62-3'!F156+'64-3'!F156+'74-3'!F156</f>
        <v>0</v>
      </c>
      <c r="G410" s="106">
        <f>'01-3'!G156+'02-3'!G156+'03-3'!G156+'04-3'!G156+'05-3'!G156+'08-3'!G156+'09-3'!G156+'10-3'!G156+'11-3'!G156+'12-3'!G156+'13-3'!G156+'14-3'!G156+'15-3'!G156+'16-3'!G156+'17-3'!G156+'18-3'!G156+'19-3'!G156+'21-3'!G156+'22-3'!G156+'24-3'!G156+'25-3'!G156+'28-3'!G156+'29-3'!G156+'30-3'!G156+'32-3'!G156+'35-3'!G156+'37-3'!G156+'47-3'!G156+'62-3'!G156+'64-3'!G156+'74-3'!G156</f>
        <v>0</v>
      </c>
      <c r="H410" s="106">
        <f>'01-3'!H156+'02-3'!H156+'03-3'!H156+'04-3'!H156+'05-3'!H156+'08-3'!H156+'09-3'!H156+'10-3'!H156+'11-3'!H156+'12-3'!H156+'13-3'!H156+'14-3'!H156+'15-3'!H156+'16-3'!H156+'17-3'!H156+'18-3'!H156+'19-3'!H156+'21-3'!H156+'22-3'!H156+'24-3'!H156+'25-3'!H156+'28-3'!H156+'29-3'!H156+'30-3'!H156+'32-3'!H156+'35-3'!H156+'37-3'!H156+'47-3'!H156+'62-3'!H156+'64-3'!H156+'74-3'!H156</f>
        <v>407188</v>
      </c>
      <c r="I410" s="106">
        <f>'01-3'!I156+'02-3'!I156+'03-3'!I156+'04-3'!I156+'05-3'!I156+'08-3'!I156+'09-3'!I156+'10-3'!I156+'11-3'!I156+'12-3'!I156+'13-3'!I156+'14-3'!I156+'15-3'!I156+'16-3'!I156+'17-3'!I156+'18-3'!I156+'19-3'!I156+'21-3'!I156+'22-3'!I156+'24-3'!I156+'25-3'!I156+'28-3'!I156+'29-3'!I156+'30-3'!I156+'32-3'!I156+'35-3'!I156+'37-3'!I156+'47-3'!I156+'62-3'!I156+'64-3'!I156+'74-3'!I156</f>
        <v>407188</v>
      </c>
      <c r="J410" s="106">
        <f>'01-3'!J156+'02-3'!J156+'03-3'!J156+'04-3'!J156+'05-3'!J156+'08-3'!J156+'09-3'!J156+'10-3'!J156+'11-3'!J156+'12-3'!J156+'13-3'!J156+'14-3'!J156+'15-3'!J156+'16-3'!J156+'17-3'!J156+'18-3'!J156+'19-3'!J156+'21-3'!J156+'22-3'!J156+'24-3'!J156+'25-3'!J156+'28-3'!J156+'29-3'!J156+'30-3'!J156+'32-3'!J156+'35-3'!J156+'37-3'!J156+'47-3'!J156+'62-3'!J156+'64-3'!J156+'74-3'!J156</f>
        <v>0</v>
      </c>
      <c r="K410" s="106">
        <f>'01-3'!K156+'02-3'!K156+'03-3'!K156+'04-3'!K156+'05-3'!K156+'08-3'!K156+'09-3'!K156+'10-3'!K156+'11-3'!K156+'12-3'!K156+'13-3'!K156+'14-3'!K156+'15-3'!K156+'16-3'!K156+'17-3'!K156+'18-3'!K156+'19-3'!K156+'21-3'!K156+'22-3'!K156+'24-3'!K156+'25-3'!K156+'28-3'!K156+'29-3'!K156+'30-3'!K156+'32-3'!K156+'35-3'!K156+'37-3'!K156+'47-3'!K156+'62-3'!K156+'64-3'!K156+'74-3'!K156</f>
        <v>0</v>
      </c>
      <c r="L410" s="106">
        <f>'01-3'!L156+'02-3'!L156+'03-3'!L156+'04-3'!L156+'05-3'!L156+'08-3'!L156+'09-3'!L156+'10-3'!L156+'11-3'!L156+'12-3'!L156+'13-3'!L156+'14-3'!L156+'15-3'!L156+'16-3'!L156+'17-3'!L156+'18-3'!L156+'19-3'!L156+'21-3'!L156+'22-3'!L156+'24-3'!L156+'25-3'!L156+'28-3'!L156+'29-3'!L156+'30-3'!L156+'32-3'!L156+'35-3'!L156+'37-3'!L156+'47-3'!L156+'62-3'!L156+'64-3'!L156+'74-3'!L156</f>
        <v>0</v>
      </c>
      <c r="M410" s="106">
        <f>'01-3'!M156+'02-3'!M156+'03-3'!M156+'04-3'!M156+'05-3'!M156+'08-3'!M156+'09-3'!M156+'10-3'!M156+'11-3'!M156+'12-3'!M156+'13-3'!M156+'14-3'!M156+'15-3'!M156+'16-3'!M156+'17-3'!M156+'18-3'!M156+'19-3'!M156+'21-3'!M156+'22-3'!M156+'24-3'!M156+'25-3'!M156+'28-3'!M156+'29-3'!M156+'30-3'!M156+'32-3'!M156+'35-3'!M156+'37-3'!M156+'47-3'!M156+'62-3'!M156+'64-3'!M156+'74-3'!M156</f>
        <v>407188</v>
      </c>
      <c r="N410" s="106">
        <f>'01-3'!N156+'02-3'!N156+'03-3'!N156+'04-3'!N156+'05-3'!N156+'08-3'!N156+'09-3'!N156+'10-3'!N156+'11-3'!N156+'12-3'!N156+'13-3'!N156+'14-3'!N156+'15-3'!N156+'16-3'!N156+'17-3'!N156+'18-3'!N156+'19-3'!N156+'21-3'!N156+'22-3'!N156+'24-3'!N156+'25-3'!N156+'28-3'!N156+'29-3'!N156+'30-3'!N156+'32-3'!N156+'35-3'!N156+'37-3'!N156+'47-3'!N156+'62-3'!N156+'64-3'!N156+'74-3'!N156</f>
        <v>407188</v>
      </c>
      <c r="O410" s="106">
        <f>'01-3'!O156+'02-3'!O156+'03-3'!O156+'04-3'!O156+'05-3'!O156+'08-3'!O156+'09-3'!O156+'10-3'!O156+'11-3'!O156+'12-3'!O156+'13-3'!O156+'14-3'!O156+'15-3'!O156+'16-3'!O156+'17-3'!O156+'18-3'!O156+'19-3'!O156+'21-3'!O156+'22-3'!O156+'24-3'!O156+'25-3'!O156+'28-3'!O156+'29-3'!O156+'30-3'!O156+'32-3'!O156+'35-3'!O156+'37-3'!O156+'47-3'!O156+'62-3'!O156+'64-3'!O156+'74-3'!O156</f>
        <v>0</v>
      </c>
      <c r="P410" s="106">
        <f>'01-3'!P156+'02-3'!P156+'03-3'!P156+'04-3'!P156+'05-3'!P156+'08-3'!P156+'09-3'!P156+'10-3'!P156+'11-3'!P156+'12-3'!P156+'13-3'!P156+'14-3'!P156+'15-3'!P156+'16-3'!P156+'17-3'!P156+'18-3'!P156+'19-3'!P156+'21-3'!P156+'22-3'!P156+'24-3'!P156+'25-3'!P156+'28-3'!P156+'29-3'!P156+'30-3'!P156+'32-3'!P156+'35-3'!P156+'37-3'!P156+'47-3'!P156+'62-3'!P156+'64-3'!P156+'74-3'!P156</f>
        <v>0</v>
      </c>
      <c r="Q410" s="106">
        <f>'01-3'!Q156+'02-3'!Q156+'03-3'!Q156+'04-3'!Q156+'05-3'!Q156+'08-3'!Q156+'09-3'!Q156+'10-3'!Q156+'11-3'!Q156+'12-3'!Q156+'13-3'!Q156+'14-3'!Q156+'15-3'!Q156+'16-3'!Q156+'17-3'!Q156+'18-3'!Q156+'19-3'!Q156+'21-3'!Q156+'22-3'!Q156+'24-3'!Q156+'25-3'!Q156+'28-3'!Q156+'29-3'!Q156+'30-3'!Q156+'32-3'!Q156+'35-3'!Q156+'37-3'!Q156+'47-3'!Q156+'62-3'!Q156+'64-3'!Q156+'74-3'!Q156</f>
        <v>0</v>
      </c>
      <c r="R410" s="106">
        <f>'01-3'!R156+'02-3'!R156+'03-3'!R156+'04-3'!R156+'05-3'!R156+'08-3'!R156+'09-3'!R156+'10-3'!R156+'11-3'!R156+'12-3'!R156+'13-3'!R156+'14-3'!R156+'15-3'!R156+'16-3'!R156+'17-3'!R156+'18-3'!R156+'19-3'!R156+'21-3'!R156+'22-3'!R156+'24-3'!R156+'25-3'!R156+'28-3'!R156+'29-3'!R156+'30-3'!R156+'32-3'!R156+'35-3'!R156+'37-3'!R156+'47-3'!R156+'62-3'!R156+'64-3'!R156+'74-3'!R156</f>
        <v>407188</v>
      </c>
      <c r="S410" s="954"/>
      <c r="T410" s="954"/>
      <c r="U410" s="954"/>
      <c r="V410" s="954"/>
      <c r="W410" s="954"/>
    </row>
    <row r="411" spans="1:23" s="6" customFormat="1" ht="24">
      <c r="A411" s="133" t="s">
        <v>193</v>
      </c>
      <c r="B411" s="108" t="s">
        <v>171</v>
      </c>
      <c r="C411" s="106">
        <f>'01-3'!C157+'02-3'!C157+'03-3'!C157+'04-3'!C157+'05-3'!C157+'08-3'!C157+'09-3'!C157+'10-3'!C157+'11-3'!C157+'12-3'!C157+'13-3'!C157+'14-3'!C157+'15-3'!C157+'16-3'!C157+'17-3'!C157+'18-3'!C157+'19-3'!C157+'21-3'!C157+'22-3'!C157+'24-3'!C157+'25-3'!C157+'28-3'!C157+'29-3'!C157+'30-3'!C157+'32-3'!C157+'35-3'!C157+'37-3'!C157+'47-3'!C157+'62-3'!C157+'64-3'!C157+'74-3'!C157</f>
        <v>407188</v>
      </c>
      <c r="D411" s="106">
        <f>'01-3'!D157+'02-3'!D157+'03-3'!D157+'04-3'!D157+'05-3'!D157+'08-3'!D157+'09-3'!D157+'10-3'!D157+'11-3'!D157+'12-3'!D157+'13-3'!D157+'14-3'!D157+'15-3'!D157+'16-3'!D157+'17-3'!D157+'18-3'!D157+'19-3'!D157+'21-3'!D157+'22-3'!D157+'24-3'!D157+'25-3'!D157+'28-3'!D157+'29-3'!D157+'30-3'!D157+'32-3'!D157+'35-3'!D157+'37-3'!D157+'47-3'!D157+'62-3'!D157+'64-3'!D157+'74-3'!D157</f>
        <v>407188</v>
      </c>
      <c r="E411" s="106">
        <f>'01-3'!E157+'02-3'!E157+'03-3'!E157+'04-3'!E157+'05-3'!E157+'08-3'!E157+'09-3'!E157+'10-3'!E157+'11-3'!E157+'12-3'!E157+'13-3'!E157+'14-3'!E157+'15-3'!E157+'16-3'!E157+'17-3'!E157+'18-3'!E157+'19-3'!E157+'21-3'!E157+'22-3'!E157+'24-3'!E157+'25-3'!E157+'28-3'!E157+'29-3'!E157+'30-3'!E157+'32-3'!E157+'35-3'!E157+'37-3'!E157+'47-3'!E157+'62-3'!E157+'64-3'!E157+'74-3'!E157</f>
        <v>0</v>
      </c>
      <c r="F411" s="106">
        <f>'01-3'!F157+'02-3'!F157+'03-3'!F157+'04-3'!F157+'05-3'!F157+'08-3'!F157+'09-3'!F157+'10-3'!F157+'11-3'!F157+'12-3'!F157+'13-3'!F157+'14-3'!F157+'15-3'!F157+'16-3'!F157+'17-3'!F157+'18-3'!F157+'19-3'!F157+'21-3'!F157+'22-3'!F157+'24-3'!F157+'25-3'!F157+'28-3'!F157+'29-3'!F157+'30-3'!F157+'32-3'!F157+'35-3'!F157+'37-3'!F157+'47-3'!F157+'62-3'!F157+'64-3'!F157+'74-3'!F157</f>
        <v>0</v>
      </c>
      <c r="G411" s="106">
        <f>'01-3'!G157+'02-3'!G157+'03-3'!G157+'04-3'!G157+'05-3'!G157+'08-3'!G157+'09-3'!G157+'10-3'!G157+'11-3'!G157+'12-3'!G157+'13-3'!G157+'14-3'!G157+'15-3'!G157+'16-3'!G157+'17-3'!G157+'18-3'!G157+'19-3'!G157+'21-3'!G157+'22-3'!G157+'24-3'!G157+'25-3'!G157+'28-3'!G157+'29-3'!G157+'30-3'!G157+'32-3'!G157+'35-3'!G157+'37-3'!G157+'47-3'!G157+'62-3'!G157+'64-3'!G157+'74-3'!G157</f>
        <v>0</v>
      </c>
      <c r="H411" s="106">
        <f>'01-3'!H157+'02-3'!H157+'03-3'!H157+'04-3'!H157+'05-3'!H157+'08-3'!H157+'09-3'!H157+'10-3'!H157+'11-3'!H157+'12-3'!H157+'13-3'!H157+'14-3'!H157+'15-3'!H157+'16-3'!H157+'17-3'!H157+'18-3'!H157+'19-3'!H157+'21-3'!H157+'22-3'!H157+'24-3'!H157+'25-3'!H157+'28-3'!H157+'29-3'!H157+'30-3'!H157+'32-3'!H157+'35-3'!H157+'37-3'!H157+'47-3'!H157+'62-3'!H157+'64-3'!H157+'74-3'!H157</f>
        <v>407188</v>
      </c>
      <c r="I411" s="106">
        <f>'01-3'!I157+'02-3'!I157+'03-3'!I157+'04-3'!I157+'05-3'!I157+'08-3'!I157+'09-3'!I157+'10-3'!I157+'11-3'!I157+'12-3'!I157+'13-3'!I157+'14-3'!I157+'15-3'!I157+'16-3'!I157+'17-3'!I157+'18-3'!I157+'19-3'!I157+'21-3'!I157+'22-3'!I157+'24-3'!I157+'25-3'!I157+'28-3'!I157+'29-3'!I157+'30-3'!I157+'32-3'!I157+'35-3'!I157+'37-3'!I157+'47-3'!I157+'62-3'!I157+'64-3'!I157+'74-3'!I157</f>
        <v>407188</v>
      </c>
      <c r="J411" s="106">
        <f>'01-3'!J157+'02-3'!J157+'03-3'!J157+'04-3'!J157+'05-3'!J157+'08-3'!J157+'09-3'!J157+'10-3'!J157+'11-3'!J157+'12-3'!J157+'13-3'!J157+'14-3'!J157+'15-3'!J157+'16-3'!J157+'17-3'!J157+'18-3'!J157+'19-3'!J157+'21-3'!J157+'22-3'!J157+'24-3'!J157+'25-3'!J157+'28-3'!J157+'29-3'!J157+'30-3'!J157+'32-3'!J157+'35-3'!J157+'37-3'!J157+'47-3'!J157+'62-3'!J157+'64-3'!J157+'74-3'!J157</f>
        <v>0</v>
      </c>
      <c r="K411" s="106">
        <f>'01-3'!K157+'02-3'!K157+'03-3'!K157+'04-3'!K157+'05-3'!K157+'08-3'!K157+'09-3'!K157+'10-3'!K157+'11-3'!K157+'12-3'!K157+'13-3'!K157+'14-3'!K157+'15-3'!K157+'16-3'!K157+'17-3'!K157+'18-3'!K157+'19-3'!K157+'21-3'!K157+'22-3'!K157+'24-3'!K157+'25-3'!K157+'28-3'!K157+'29-3'!K157+'30-3'!K157+'32-3'!K157+'35-3'!K157+'37-3'!K157+'47-3'!K157+'62-3'!K157+'64-3'!K157+'74-3'!K157</f>
        <v>0</v>
      </c>
      <c r="L411" s="106">
        <f>'01-3'!L157+'02-3'!L157+'03-3'!L157+'04-3'!L157+'05-3'!L157+'08-3'!L157+'09-3'!L157+'10-3'!L157+'11-3'!L157+'12-3'!L157+'13-3'!L157+'14-3'!L157+'15-3'!L157+'16-3'!L157+'17-3'!L157+'18-3'!L157+'19-3'!L157+'21-3'!L157+'22-3'!L157+'24-3'!L157+'25-3'!L157+'28-3'!L157+'29-3'!L157+'30-3'!L157+'32-3'!L157+'35-3'!L157+'37-3'!L157+'47-3'!L157+'62-3'!L157+'64-3'!L157+'74-3'!L157</f>
        <v>0</v>
      </c>
      <c r="M411" s="106">
        <f>'01-3'!M157+'02-3'!M157+'03-3'!M157+'04-3'!M157+'05-3'!M157+'08-3'!M157+'09-3'!M157+'10-3'!M157+'11-3'!M157+'12-3'!M157+'13-3'!M157+'14-3'!M157+'15-3'!M157+'16-3'!M157+'17-3'!M157+'18-3'!M157+'19-3'!M157+'21-3'!M157+'22-3'!M157+'24-3'!M157+'25-3'!M157+'28-3'!M157+'29-3'!M157+'30-3'!M157+'32-3'!M157+'35-3'!M157+'37-3'!M157+'47-3'!M157+'62-3'!M157+'64-3'!M157+'74-3'!M157</f>
        <v>407188</v>
      </c>
      <c r="N411" s="106">
        <f>'01-3'!N157+'02-3'!N157+'03-3'!N157+'04-3'!N157+'05-3'!N157+'08-3'!N157+'09-3'!N157+'10-3'!N157+'11-3'!N157+'12-3'!N157+'13-3'!N157+'14-3'!N157+'15-3'!N157+'16-3'!N157+'17-3'!N157+'18-3'!N157+'19-3'!N157+'21-3'!N157+'22-3'!N157+'24-3'!N157+'25-3'!N157+'28-3'!N157+'29-3'!N157+'30-3'!N157+'32-3'!N157+'35-3'!N157+'37-3'!N157+'47-3'!N157+'62-3'!N157+'64-3'!N157+'74-3'!N157</f>
        <v>407188</v>
      </c>
      <c r="O411" s="106">
        <f>'01-3'!O157+'02-3'!O157+'03-3'!O157+'04-3'!O157+'05-3'!O157+'08-3'!O157+'09-3'!O157+'10-3'!O157+'11-3'!O157+'12-3'!O157+'13-3'!O157+'14-3'!O157+'15-3'!O157+'16-3'!O157+'17-3'!O157+'18-3'!O157+'19-3'!O157+'21-3'!O157+'22-3'!O157+'24-3'!O157+'25-3'!O157+'28-3'!O157+'29-3'!O157+'30-3'!O157+'32-3'!O157+'35-3'!O157+'37-3'!O157+'47-3'!O157+'62-3'!O157+'64-3'!O157+'74-3'!O157</f>
        <v>0</v>
      </c>
      <c r="P411" s="106">
        <f>'01-3'!P157+'02-3'!P157+'03-3'!P157+'04-3'!P157+'05-3'!P157+'08-3'!P157+'09-3'!P157+'10-3'!P157+'11-3'!P157+'12-3'!P157+'13-3'!P157+'14-3'!P157+'15-3'!P157+'16-3'!P157+'17-3'!P157+'18-3'!P157+'19-3'!P157+'21-3'!P157+'22-3'!P157+'24-3'!P157+'25-3'!P157+'28-3'!P157+'29-3'!P157+'30-3'!P157+'32-3'!P157+'35-3'!P157+'37-3'!P157+'47-3'!P157+'62-3'!P157+'64-3'!P157+'74-3'!P157</f>
        <v>0</v>
      </c>
      <c r="Q411" s="106">
        <f>'01-3'!Q157+'02-3'!Q157+'03-3'!Q157+'04-3'!Q157+'05-3'!Q157+'08-3'!Q157+'09-3'!Q157+'10-3'!Q157+'11-3'!Q157+'12-3'!Q157+'13-3'!Q157+'14-3'!Q157+'15-3'!Q157+'16-3'!Q157+'17-3'!Q157+'18-3'!Q157+'19-3'!Q157+'21-3'!Q157+'22-3'!Q157+'24-3'!Q157+'25-3'!Q157+'28-3'!Q157+'29-3'!Q157+'30-3'!Q157+'32-3'!Q157+'35-3'!Q157+'37-3'!Q157+'47-3'!Q157+'62-3'!Q157+'64-3'!Q157+'74-3'!Q157</f>
        <v>0</v>
      </c>
      <c r="R411" s="106">
        <f>'01-3'!R157+'02-3'!R157+'03-3'!R157+'04-3'!R157+'05-3'!R157+'08-3'!R157+'09-3'!R157+'10-3'!R157+'11-3'!R157+'12-3'!R157+'13-3'!R157+'14-3'!R157+'15-3'!R157+'16-3'!R157+'17-3'!R157+'18-3'!R157+'19-3'!R157+'21-3'!R157+'22-3'!R157+'24-3'!R157+'25-3'!R157+'28-3'!R157+'29-3'!R157+'30-3'!R157+'32-3'!R157+'35-3'!R157+'37-3'!R157+'47-3'!R157+'62-3'!R157+'64-3'!R157+'74-3'!R157</f>
        <v>407188</v>
      </c>
      <c r="S411" s="954"/>
      <c r="T411" s="954"/>
      <c r="U411" s="954"/>
      <c r="V411" s="954"/>
      <c r="W411" s="954"/>
    </row>
    <row r="412" spans="1:23" s="6" customFormat="1" ht="48" hidden="1">
      <c r="A412" s="133">
        <v>9580</v>
      </c>
      <c r="B412" s="108" t="s">
        <v>166</v>
      </c>
      <c r="C412" s="106">
        <f>'01-3'!C158+'02-3'!C158+'03-3'!C158+'04-3'!C158+'05-3'!C158+'08-3'!C158+'09-3'!C158+'10-3'!C158+'11-3'!C158+'12-3'!C158+'13-3'!C158+'14-3'!C158+'15-3'!C158+'16-3'!C158+'17-3'!C158+'18-3'!C158+'19-3'!C158+'21-3'!C158+'22-3'!C158+'24-3'!C158+'25-3'!C158+'28-3'!C158+'29-3'!C158+'30-3'!C158+'32-3'!C158+'35-3'!C158+'37-3'!C158+'47-3'!C158+'62-3'!C158+'64-3'!C158+'74-3'!C158</f>
        <v>0</v>
      </c>
      <c r="D412" s="106">
        <f>'01-3'!D158+'02-3'!D158+'03-3'!D158+'04-3'!D158+'05-3'!D158+'08-3'!D158+'09-3'!D158+'10-3'!D158+'11-3'!D158+'12-3'!D158+'13-3'!D158+'14-3'!D158+'15-3'!D158+'16-3'!D158+'17-3'!D158+'18-3'!D158+'19-3'!D158+'21-3'!D158+'22-3'!D158+'24-3'!D158+'25-3'!D158+'28-3'!D158+'29-3'!D158+'30-3'!D158+'32-3'!D158+'35-3'!D158+'37-3'!D158+'47-3'!D158+'62-3'!D158+'64-3'!D158+'74-3'!D158</f>
        <v>0</v>
      </c>
      <c r="E412" s="106">
        <f>'01-3'!E158+'02-3'!E158+'03-3'!E158+'04-3'!E158+'05-3'!E158+'08-3'!E158+'09-3'!E158+'10-3'!E158+'11-3'!E158+'12-3'!E158+'13-3'!E158+'14-3'!E158+'15-3'!E158+'16-3'!E158+'17-3'!E158+'18-3'!E158+'19-3'!E158+'21-3'!E158+'22-3'!E158+'24-3'!E158+'25-3'!E158+'28-3'!E158+'29-3'!E158+'30-3'!E158+'32-3'!E158+'35-3'!E158+'37-3'!E158+'47-3'!E158+'62-3'!E158+'64-3'!E158+'74-3'!E158</f>
        <v>0</v>
      </c>
      <c r="F412" s="106">
        <f>'01-3'!F158+'02-3'!F158+'03-3'!F158+'04-3'!F158+'05-3'!F158+'08-3'!F158+'09-3'!F158+'10-3'!F158+'11-3'!F158+'12-3'!F158+'13-3'!F158+'14-3'!F158+'15-3'!F158+'16-3'!F158+'17-3'!F158+'18-3'!F158+'19-3'!F158+'21-3'!F158+'22-3'!F158+'24-3'!F158+'25-3'!F158+'28-3'!F158+'29-3'!F158+'30-3'!F158+'32-3'!F158+'35-3'!F158+'37-3'!F158+'47-3'!F158+'62-3'!F158+'64-3'!F158+'74-3'!F158</f>
        <v>0</v>
      </c>
      <c r="G412" s="106">
        <f>'01-3'!G158+'02-3'!G158+'03-3'!G158+'04-3'!G158+'05-3'!G158+'08-3'!G158+'09-3'!G158+'10-3'!G158+'11-3'!G158+'12-3'!G158+'13-3'!G158+'14-3'!G158+'15-3'!G158+'16-3'!G158+'17-3'!G158+'18-3'!G158+'19-3'!G158+'21-3'!G158+'22-3'!G158+'24-3'!G158+'25-3'!G158+'28-3'!G158+'29-3'!G158+'30-3'!G158+'32-3'!G158+'35-3'!G158+'37-3'!G158+'47-3'!G158+'62-3'!G158+'64-3'!G158+'74-3'!G158</f>
        <v>0</v>
      </c>
      <c r="H412" s="106">
        <f>'01-3'!H158+'02-3'!H158+'03-3'!H158+'04-3'!H158+'05-3'!H158+'08-3'!H158+'09-3'!H158+'10-3'!H158+'11-3'!H158+'12-3'!H158+'13-3'!H158+'14-3'!H158+'15-3'!H158+'16-3'!H158+'17-3'!H158+'18-3'!H158+'19-3'!H158+'21-3'!H158+'22-3'!H158+'24-3'!H158+'25-3'!H158+'28-3'!H158+'29-3'!H158+'30-3'!H158+'32-3'!H158+'35-3'!H158+'37-3'!H158+'47-3'!H158+'62-3'!H158+'64-3'!H158+'74-3'!H158</f>
        <v>0</v>
      </c>
      <c r="I412" s="106">
        <f>'01-3'!I158+'02-3'!I158+'03-3'!I158+'04-3'!I158+'05-3'!I158+'08-3'!I158+'09-3'!I158+'10-3'!I158+'11-3'!I158+'12-3'!I158+'13-3'!I158+'14-3'!I158+'15-3'!I158+'16-3'!I158+'17-3'!I158+'18-3'!I158+'19-3'!I158+'21-3'!I158+'22-3'!I158+'24-3'!I158+'25-3'!I158+'28-3'!I158+'29-3'!I158+'30-3'!I158+'32-3'!I158+'35-3'!I158+'37-3'!I158+'47-3'!I158+'62-3'!I158+'64-3'!I158+'74-3'!I158</f>
        <v>0</v>
      </c>
      <c r="J412" s="106">
        <f>'01-3'!J158+'02-3'!J158+'03-3'!J158+'04-3'!J158+'05-3'!J158+'08-3'!J158+'09-3'!J158+'10-3'!J158+'11-3'!J158+'12-3'!J158+'13-3'!J158+'14-3'!J158+'15-3'!J158+'16-3'!J158+'17-3'!J158+'18-3'!J158+'19-3'!J158+'21-3'!J158+'22-3'!J158+'24-3'!J158+'25-3'!J158+'28-3'!J158+'29-3'!J158+'30-3'!J158+'32-3'!J158+'35-3'!J158+'37-3'!J158+'47-3'!J158+'62-3'!J158+'64-3'!J158+'74-3'!J158</f>
        <v>0</v>
      </c>
      <c r="K412" s="106">
        <f>'01-3'!K158+'02-3'!K158+'03-3'!K158+'04-3'!K158+'05-3'!K158+'08-3'!K158+'09-3'!K158+'10-3'!K158+'11-3'!K158+'12-3'!K158+'13-3'!K158+'14-3'!K158+'15-3'!K158+'16-3'!K158+'17-3'!K158+'18-3'!K158+'19-3'!K158+'21-3'!K158+'22-3'!K158+'24-3'!K158+'25-3'!K158+'28-3'!K158+'29-3'!K158+'30-3'!K158+'32-3'!K158+'35-3'!K158+'37-3'!K158+'47-3'!K158+'62-3'!K158+'64-3'!K158+'74-3'!K158</f>
        <v>0</v>
      </c>
      <c r="L412" s="106">
        <f>'01-3'!L158+'02-3'!L158+'03-3'!L158+'04-3'!L158+'05-3'!L158+'08-3'!L158+'09-3'!L158+'10-3'!L158+'11-3'!L158+'12-3'!L158+'13-3'!L158+'14-3'!L158+'15-3'!L158+'16-3'!L158+'17-3'!L158+'18-3'!L158+'19-3'!L158+'21-3'!L158+'22-3'!L158+'24-3'!L158+'25-3'!L158+'28-3'!L158+'29-3'!L158+'30-3'!L158+'32-3'!L158+'35-3'!L158+'37-3'!L158+'47-3'!L158+'62-3'!L158+'64-3'!L158+'74-3'!L158</f>
        <v>0</v>
      </c>
      <c r="M412" s="106">
        <f>'01-3'!M158+'02-3'!M158+'03-3'!M158+'04-3'!M158+'05-3'!M158+'08-3'!M158+'09-3'!M158+'10-3'!M158+'11-3'!M158+'12-3'!M158+'13-3'!M158+'14-3'!M158+'15-3'!M158+'16-3'!M158+'17-3'!M158+'18-3'!M158+'19-3'!M158+'21-3'!M158+'22-3'!M158+'24-3'!M158+'25-3'!M158+'28-3'!M158+'29-3'!M158+'30-3'!M158+'32-3'!M158+'35-3'!M158+'37-3'!M158+'47-3'!M158+'62-3'!M158+'64-3'!M158+'74-3'!M158</f>
        <v>0</v>
      </c>
      <c r="N412" s="106">
        <f>'01-3'!N158+'02-3'!N158+'03-3'!N158+'04-3'!N158+'05-3'!N158+'08-3'!N158+'09-3'!N158+'10-3'!N158+'11-3'!N158+'12-3'!N158+'13-3'!N158+'14-3'!N158+'15-3'!N158+'16-3'!N158+'17-3'!N158+'18-3'!N158+'19-3'!N158+'21-3'!N158+'22-3'!N158+'24-3'!N158+'25-3'!N158+'28-3'!N158+'29-3'!N158+'30-3'!N158+'32-3'!N158+'35-3'!N158+'37-3'!N158+'47-3'!N158+'62-3'!N158+'64-3'!N158+'74-3'!N158</f>
        <v>0</v>
      </c>
      <c r="O412" s="106">
        <f>'01-3'!O158+'02-3'!O158+'03-3'!O158+'04-3'!O158+'05-3'!O158+'08-3'!O158+'09-3'!O158+'10-3'!O158+'11-3'!O158+'12-3'!O158+'13-3'!O158+'14-3'!O158+'15-3'!O158+'16-3'!O158+'17-3'!O158+'18-3'!O158+'19-3'!O158+'21-3'!O158+'22-3'!O158+'24-3'!O158+'25-3'!O158+'28-3'!O158+'29-3'!O158+'30-3'!O158+'32-3'!O158+'35-3'!O158+'37-3'!O158+'47-3'!O158+'62-3'!O158+'64-3'!O158+'74-3'!O158</f>
        <v>0</v>
      </c>
      <c r="P412" s="106">
        <f>'01-3'!P158+'02-3'!P158+'03-3'!P158+'04-3'!P158+'05-3'!P158+'08-3'!P158+'09-3'!P158+'10-3'!P158+'11-3'!P158+'12-3'!P158+'13-3'!P158+'14-3'!P158+'15-3'!P158+'16-3'!P158+'17-3'!P158+'18-3'!P158+'19-3'!P158+'21-3'!P158+'22-3'!P158+'24-3'!P158+'25-3'!P158+'28-3'!P158+'29-3'!P158+'30-3'!P158+'32-3'!P158+'35-3'!P158+'37-3'!P158+'47-3'!P158+'62-3'!P158+'64-3'!P158+'74-3'!P158</f>
        <v>0</v>
      </c>
      <c r="Q412" s="106">
        <f>'01-3'!Q158+'02-3'!Q158+'03-3'!Q158+'04-3'!Q158+'05-3'!Q158+'08-3'!Q158+'09-3'!Q158+'10-3'!Q158+'11-3'!Q158+'12-3'!Q158+'13-3'!Q158+'14-3'!Q158+'15-3'!Q158+'16-3'!Q158+'17-3'!Q158+'18-3'!Q158+'19-3'!Q158+'21-3'!Q158+'22-3'!Q158+'24-3'!Q158+'25-3'!Q158+'28-3'!Q158+'29-3'!Q158+'30-3'!Q158+'32-3'!Q158+'35-3'!Q158+'37-3'!Q158+'47-3'!Q158+'62-3'!Q158+'64-3'!Q158+'74-3'!Q158</f>
        <v>0</v>
      </c>
      <c r="R412" s="106">
        <f>'01-3'!R158+'02-3'!R158+'03-3'!R158+'04-3'!R158+'05-3'!R158+'08-3'!R158+'09-3'!R158+'10-3'!R158+'11-3'!R158+'12-3'!R158+'13-3'!R158+'14-3'!R158+'15-3'!R158+'16-3'!R158+'17-3'!R158+'18-3'!R158+'19-3'!R158+'21-3'!R158+'22-3'!R158+'24-3'!R158+'25-3'!R158+'28-3'!R158+'29-3'!R158+'30-3'!R158+'32-3'!R158+'35-3'!R158+'37-3'!R158+'47-3'!R158+'62-3'!R158+'64-3'!R158+'74-3'!R158</f>
        <v>0</v>
      </c>
      <c r="S412" s="954"/>
      <c r="T412" s="954"/>
      <c r="U412" s="954"/>
      <c r="V412" s="954"/>
      <c r="W412" s="954"/>
    </row>
    <row r="413" spans="1:23" s="6" customFormat="1" ht="48" hidden="1">
      <c r="A413" s="133">
        <v>9590</v>
      </c>
      <c r="B413" s="112" t="s">
        <v>172</v>
      </c>
      <c r="C413" s="106">
        <f>'01-3'!C159+'02-3'!C159+'03-3'!C159+'04-3'!C159+'05-3'!C159+'08-3'!C159+'09-3'!C159+'10-3'!C159+'11-3'!C159+'12-3'!C159+'13-3'!C159+'14-3'!C159+'15-3'!C159+'16-3'!C159+'17-3'!C159+'18-3'!C159+'19-3'!C159+'21-3'!C159+'22-3'!C159+'24-3'!C159+'25-3'!C159+'28-3'!C159+'29-3'!C159+'30-3'!C159+'32-3'!C159+'35-3'!C159+'37-3'!C159+'47-3'!C159+'62-3'!C159+'64-3'!C159+'74-3'!C159</f>
        <v>0</v>
      </c>
      <c r="D413" s="106">
        <f>'01-3'!D159+'02-3'!D159+'03-3'!D159+'04-3'!D159+'05-3'!D159+'08-3'!D159+'09-3'!D159+'10-3'!D159+'11-3'!D159+'12-3'!D159+'13-3'!D159+'14-3'!D159+'15-3'!D159+'16-3'!D159+'17-3'!D159+'18-3'!D159+'19-3'!D159+'21-3'!D159+'22-3'!D159+'24-3'!D159+'25-3'!D159+'28-3'!D159+'29-3'!D159+'30-3'!D159+'32-3'!D159+'35-3'!D159+'37-3'!D159+'47-3'!D159+'62-3'!D159+'64-3'!D159+'74-3'!D159</f>
        <v>0</v>
      </c>
      <c r="E413" s="106">
        <f>'01-3'!E159+'02-3'!E159+'03-3'!E159+'04-3'!E159+'05-3'!E159+'08-3'!E159+'09-3'!E159+'10-3'!E159+'11-3'!E159+'12-3'!E159+'13-3'!E159+'14-3'!E159+'15-3'!E159+'16-3'!E159+'17-3'!E159+'18-3'!E159+'19-3'!E159+'21-3'!E159+'22-3'!E159+'24-3'!E159+'25-3'!E159+'28-3'!E159+'29-3'!E159+'30-3'!E159+'32-3'!E159+'35-3'!E159+'37-3'!E159+'47-3'!E159+'62-3'!E159+'64-3'!E159+'74-3'!E159</f>
        <v>0</v>
      </c>
      <c r="F413" s="106">
        <f>'01-3'!F159+'02-3'!F159+'03-3'!F159+'04-3'!F159+'05-3'!F159+'08-3'!F159+'09-3'!F159+'10-3'!F159+'11-3'!F159+'12-3'!F159+'13-3'!F159+'14-3'!F159+'15-3'!F159+'16-3'!F159+'17-3'!F159+'18-3'!F159+'19-3'!F159+'21-3'!F159+'22-3'!F159+'24-3'!F159+'25-3'!F159+'28-3'!F159+'29-3'!F159+'30-3'!F159+'32-3'!F159+'35-3'!F159+'37-3'!F159+'47-3'!F159+'62-3'!F159+'64-3'!F159+'74-3'!F159</f>
        <v>0</v>
      </c>
      <c r="G413" s="106">
        <f>'01-3'!G159+'02-3'!G159+'03-3'!G159+'04-3'!G159+'05-3'!G159+'08-3'!G159+'09-3'!G159+'10-3'!G159+'11-3'!G159+'12-3'!G159+'13-3'!G159+'14-3'!G159+'15-3'!G159+'16-3'!G159+'17-3'!G159+'18-3'!G159+'19-3'!G159+'21-3'!G159+'22-3'!G159+'24-3'!G159+'25-3'!G159+'28-3'!G159+'29-3'!G159+'30-3'!G159+'32-3'!G159+'35-3'!G159+'37-3'!G159+'47-3'!G159+'62-3'!G159+'64-3'!G159+'74-3'!G159</f>
        <v>0</v>
      </c>
      <c r="H413" s="106">
        <f>'01-3'!H159+'02-3'!H159+'03-3'!H159+'04-3'!H159+'05-3'!H159+'08-3'!H159+'09-3'!H159+'10-3'!H159+'11-3'!H159+'12-3'!H159+'13-3'!H159+'14-3'!H159+'15-3'!H159+'16-3'!H159+'17-3'!H159+'18-3'!H159+'19-3'!H159+'21-3'!H159+'22-3'!H159+'24-3'!H159+'25-3'!H159+'28-3'!H159+'29-3'!H159+'30-3'!H159+'32-3'!H159+'35-3'!H159+'37-3'!H159+'47-3'!H159+'62-3'!H159+'64-3'!H159+'74-3'!H159</f>
        <v>0</v>
      </c>
      <c r="I413" s="106">
        <f>'01-3'!I159+'02-3'!I159+'03-3'!I159+'04-3'!I159+'05-3'!I159+'08-3'!I159+'09-3'!I159+'10-3'!I159+'11-3'!I159+'12-3'!I159+'13-3'!I159+'14-3'!I159+'15-3'!I159+'16-3'!I159+'17-3'!I159+'18-3'!I159+'19-3'!I159+'21-3'!I159+'22-3'!I159+'24-3'!I159+'25-3'!I159+'28-3'!I159+'29-3'!I159+'30-3'!I159+'32-3'!I159+'35-3'!I159+'37-3'!I159+'47-3'!I159+'62-3'!I159+'64-3'!I159+'74-3'!I159</f>
        <v>0</v>
      </c>
      <c r="J413" s="106">
        <f>'01-3'!J159+'02-3'!J159+'03-3'!J159+'04-3'!J159+'05-3'!J159+'08-3'!J159+'09-3'!J159+'10-3'!J159+'11-3'!J159+'12-3'!J159+'13-3'!J159+'14-3'!J159+'15-3'!J159+'16-3'!J159+'17-3'!J159+'18-3'!J159+'19-3'!J159+'21-3'!J159+'22-3'!J159+'24-3'!J159+'25-3'!J159+'28-3'!J159+'29-3'!J159+'30-3'!J159+'32-3'!J159+'35-3'!J159+'37-3'!J159+'47-3'!J159+'62-3'!J159+'64-3'!J159+'74-3'!J159</f>
        <v>0</v>
      </c>
      <c r="K413" s="106">
        <f>'01-3'!K159+'02-3'!K159+'03-3'!K159+'04-3'!K159+'05-3'!K159+'08-3'!K159+'09-3'!K159+'10-3'!K159+'11-3'!K159+'12-3'!K159+'13-3'!K159+'14-3'!K159+'15-3'!K159+'16-3'!K159+'17-3'!K159+'18-3'!K159+'19-3'!K159+'21-3'!K159+'22-3'!K159+'24-3'!K159+'25-3'!K159+'28-3'!K159+'29-3'!K159+'30-3'!K159+'32-3'!K159+'35-3'!K159+'37-3'!K159+'47-3'!K159+'62-3'!K159+'64-3'!K159+'74-3'!K159</f>
        <v>0</v>
      </c>
      <c r="L413" s="106">
        <f>'01-3'!L159+'02-3'!L159+'03-3'!L159+'04-3'!L159+'05-3'!L159+'08-3'!L159+'09-3'!L159+'10-3'!L159+'11-3'!L159+'12-3'!L159+'13-3'!L159+'14-3'!L159+'15-3'!L159+'16-3'!L159+'17-3'!L159+'18-3'!L159+'19-3'!L159+'21-3'!L159+'22-3'!L159+'24-3'!L159+'25-3'!L159+'28-3'!L159+'29-3'!L159+'30-3'!L159+'32-3'!L159+'35-3'!L159+'37-3'!L159+'47-3'!L159+'62-3'!L159+'64-3'!L159+'74-3'!L159</f>
        <v>0</v>
      </c>
      <c r="M413" s="106">
        <f>'01-3'!M159+'02-3'!M159+'03-3'!M159+'04-3'!M159+'05-3'!M159+'08-3'!M159+'09-3'!M159+'10-3'!M159+'11-3'!M159+'12-3'!M159+'13-3'!M159+'14-3'!M159+'15-3'!M159+'16-3'!M159+'17-3'!M159+'18-3'!M159+'19-3'!M159+'21-3'!M159+'22-3'!M159+'24-3'!M159+'25-3'!M159+'28-3'!M159+'29-3'!M159+'30-3'!M159+'32-3'!M159+'35-3'!M159+'37-3'!M159+'47-3'!M159+'62-3'!M159+'64-3'!M159+'74-3'!M159</f>
        <v>0</v>
      </c>
      <c r="N413" s="106">
        <f>'01-3'!N159+'02-3'!N159+'03-3'!N159+'04-3'!N159+'05-3'!N159+'08-3'!N159+'09-3'!N159+'10-3'!N159+'11-3'!N159+'12-3'!N159+'13-3'!N159+'14-3'!N159+'15-3'!N159+'16-3'!N159+'17-3'!N159+'18-3'!N159+'19-3'!N159+'21-3'!N159+'22-3'!N159+'24-3'!N159+'25-3'!N159+'28-3'!N159+'29-3'!N159+'30-3'!N159+'32-3'!N159+'35-3'!N159+'37-3'!N159+'47-3'!N159+'62-3'!N159+'64-3'!N159+'74-3'!N159</f>
        <v>0</v>
      </c>
      <c r="O413" s="106">
        <f>'01-3'!O159+'02-3'!O159+'03-3'!O159+'04-3'!O159+'05-3'!O159+'08-3'!O159+'09-3'!O159+'10-3'!O159+'11-3'!O159+'12-3'!O159+'13-3'!O159+'14-3'!O159+'15-3'!O159+'16-3'!O159+'17-3'!O159+'18-3'!O159+'19-3'!O159+'21-3'!O159+'22-3'!O159+'24-3'!O159+'25-3'!O159+'28-3'!O159+'29-3'!O159+'30-3'!O159+'32-3'!O159+'35-3'!O159+'37-3'!O159+'47-3'!O159+'62-3'!O159+'64-3'!O159+'74-3'!O159</f>
        <v>0</v>
      </c>
      <c r="P413" s="106">
        <f>'01-3'!P159+'02-3'!P159+'03-3'!P159+'04-3'!P159+'05-3'!P159+'08-3'!P159+'09-3'!P159+'10-3'!P159+'11-3'!P159+'12-3'!P159+'13-3'!P159+'14-3'!P159+'15-3'!P159+'16-3'!P159+'17-3'!P159+'18-3'!P159+'19-3'!P159+'21-3'!P159+'22-3'!P159+'24-3'!P159+'25-3'!P159+'28-3'!P159+'29-3'!P159+'30-3'!P159+'32-3'!P159+'35-3'!P159+'37-3'!P159+'47-3'!P159+'62-3'!P159+'64-3'!P159+'74-3'!P159</f>
        <v>0</v>
      </c>
      <c r="Q413" s="106">
        <f>'01-3'!Q159+'02-3'!Q159+'03-3'!Q159+'04-3'!Q159+'05-3'!Q159+'08-3'!Q159+'09-3'!Q159+'10-3'!Q159+'11-3'!Q159+'12-3'!Q159+'13-3'!Q159+'14-3'!Q159+'15-3'!Q159+'16-3'!Q159+'17-3'!Q159+'18-3'!Q159+'19-3'!Q159+'21-3'!Q159+'22-3'!Q159+'24-3'!Q159+'25-3'!Q159+'28-3'!Q159+'29-3'!Q159+'30-3'!Q159+'32-3'!Q159+'35-3'!Q159+'37-3'!Q159+'47-3'!Q159+'62-3'!Q159+'64-3'!Q159+'74-3'!Q159</f>
        <v>0</v>
      </c>
      <c r="R413" s="106">
        <f>'01-3'!R159+'02-3'!R159+'03-3'!R159+'04-3'!R159+'05-3'!R159+'08-3'!R159+'09-3'!R159+'10-3'!R159+'11-3'!R159+'12-3'!R159+'13-3'!R159+'14-3'!R159+'15-3'!R159+'16-3'!R159+'17-3'!R159+'18-3'!R159+'19-3'!R159+'21-3'!R159+'22-3'!R159+'24-3'!R159+'25-3'!R159+'28-3'!R159+'29-3'!R159+'30-3'!R159+'32-3'!R159+'35-3'!R159+'37-3'!R159+'47-3'!R159+'62-3'!R159+'64-3'!R159+'74-3'!R159</f>
        <v>0</v>
      </c>
      <c r="S413" s="954"/>
      <c r="T413" s="954"/>
      <c r="U413" s="954"/>
      <c r="V413" s="954"/>
      <c r="W413" s="954"/>
    </row>
    <row r="414" spans="1:23" s="6" customFormat="1" ht="24" hidden="1">
      <c r="A414" s="141">
        <v>9700</v>
      </c>
      <c r="B414" s="116" t="s">
        <v>194</v>
      </c>
      <c r="C414" s="106">
        <f>'01-3'!C160+'02-3'!C160+'03-3'!C160+'04-3'!C160+'05-3'!C160+'08-3'!C160+'09-3'!C160+'10-3'!C160+'11-3'!C160+'12-3'!C160+'13-3'!C160+'14-3'!C160+'15-3'!C160+'16-3'!C160+'17-3'!C160+'18-3'!C160+'19-3'!C160+'21-3'!C160+'22-3'!C160+'24-3'!C160+'25-3'!C160+'28-3'!C160+'29-3'!C160+'30-3'!C160+'32-3'!C160+'35-3'!C160+'37-3'!C160+'47-3'!C160+'62-3'!C160+'64-3'!C160+'74-3'!C160</f>
        <v>0</v>
      </c>
      <c r="D414" s="106">
        <f>'01-3'!D160+'02-3'!D160+'03-3'!D160+'04-3'!D160+'05-3'!D160+'08-3'!D160+'09-3'!D160+'10-3'!D160+'11-3'!D160+'12-3'!D160+'13-3'!D160+'14-3'!D160+'15-3'!D160+'16-3'!D160+'17-3'!D160+'18-3'!D160+'19-3'!D160+'21-3'!D160+'22-3'!D160+'24-3'!D160+'25-3'!D160+'28-3'!D160+'29-3'!D160+'30-3'!D160+'32-3'!D160+'35-3'!D160+'37-3'!D160+'47-3'!D160+'62-3'!D160+'64-3'!D160+'74-3'!D160</f>
        <v>0</v>
      </c>
      <c r="E414" s="106">
        <f>'01-3'!E160+'02-3'!E160+'03-3'!E160+'04-3'!E160+'05-3'!E160+'08-3'!E160+'09-3'!E160+'10-3'!E160+'11-3'!E160+'12-3'!E160+'13-3'!E160+'14-3'!E160+'15-3'!E160+'16-3'!E160+'17-3'!E160+'18-3'!E160+'19-3'!E160+'21-3'!E160+'22-3'!E160+'24-3'!E160+'25-3'!E160+'28-3'!E160+'29-3'!E160+'30-3'!E160+'32-3'!E160+'35-3'!E160+'37-3'!E160+'47-3'!E160+'62-3'!E160+'64-3'!E160+'74-3'!E160</f>
        <v>0</v>
      </c>
      <c r="F414" s="106">
        <f>'01-3'!F160+'02-3'!F160+'03-3'!F160+'04-3'!F160+'05-3'!F160+'08-3'!F160+'09-3'!F160+'10-3'!F160+'11-3'!F160+'12-3'!F160+'13-3'!F160+'14-3'!F160+'15-3'!F160+'16-3'!F160+'17-3'!F160+'18-3'!F160+'19-3'!F160+'21-3'!F160+'22-3'!F160+'24-3'!F160+'25-3'!F160+'28-3'!F160+'29-3'!F160+'30-3'!F160+'32-3'!F160+'35-3'!F160+'37-3'!F160+'47-3'!F160+'62-3'!F160+'64-3'!F160+'74-3'!F160</f>
        <v>0</v>
      </c>
      <c r="G414" s="106">
        <f>'01-3'!G160+'02-3'!G160+'03-3'!G160+'04-3'!G160+'05-3'!G160+'08-3'!G160+'09-3'!G160+'10-3'!G160+'11-3'!G160+'12-3'!G160+'13-3'!G160+'14-3'!G160+'15-3'!G160+'16-3'!G160+'17-3'!G160+'18-3'!G160+'19-3'!G160+'21-3'!G160+'22-3'!G160+'24-3'!G160+'25-3'!G160+'28-3'!G160+'29-3'!G160+'30-3'!G160+'32-3'!G160+'35-3'!G160+'37-3'!G160+'47-3'!G160+'62-3'!G160+'64-3'!G160+'74-3'!G160</f>
        <v>0</v>
      </c>
      <c r="H414" s="106">
        <f>'01-3'!H160+'02-3'!H160+'03-3'!H160+'04-3'!H160+'05-3'!H160+'08-3'!H160+'09-3'!H160+'10-3'!H160+'11-3'!H160+'12-3'!H160+'13-3'!H160+'14-3'!H160+'15-3'!H160+'16-3'!H160+'17-3'!H160+'18-3'!H160+'19-3'!H160+'21-3'!H160+'22-3'!H160+'24-3'!H160+'25-3'!H160+'28-3'!H160+'29-3'!H160+'30-3'!H160+'32-3'!H160+'35-3'!H160+'37-3'!H160+'47-3'!H160+'62-3'!H160+'64-3'!H160+'74-3'!H160</f>
        <v>0</v>
      </c>
      <c r="I414" s="106">
        <f>'01-3'!I160+'02-3'!I160+'03-3'!I160+'04-3'!I160+'05-3'!I160+'08-3'!I160+'09-3'!I160+'10-3'!I160+'11-3'!I160+'12-3'!I160+'13-3'!I160+'14-3'!I160+'15-3'!I160+'16-3'!I160+'17-3'!I160+'18-3'!I160+'19-3'!I160+'21-3'!I160+'22-3'!I160+'24-3'!I160+'25-3'!I160+'28-3'!I160+'29-3'!I160+'30-3'!I160+'32-3'!I160+'35-3'!I160+'37-3'!I160+'47-3'!I160+'62-3'!I160+'64-3'!I160+'74-3'!I160</f>
        <v>0</v>
      </c>
      <c r="J414" s="106">
        <f>'01-3'!J160+'02-3'!J160+'03-3'!J160+'04-3'!J160+'05-3'!J160+'08-3'!J160+'09-3'!J160+'10-3'!J160+'11-3'!J160+'12-3'!J160+'13-3'!J160+'14-3'!J160+'15-3'!J160+'16-3'!J160+'17-3'!J160+'18-3'!J160+'19-3'!J160+'21-3'!J160+'22-3'!J160+'24-3'!J160+'25-3'!J160+'28-3'!J160+'29-3'!J160+'30-3'!J160+'32-3'!J160+'35-3'!J160+'37-3'!J160+'47-3'!J160+'62-3'!J160+'64-3'!J160+'74-3'!J160</f>
        <v>0</v>
      </c>
      <c r="K414" s="106">
        <f>'01-3'!K160+'02-3'!K160+'03-3'!K160+'04-3'!K160+'05-3'!K160+'08-3'!K160+'09-3'!K160+'10-3'!K160+'11-3'!K160+'12-3'!K160+'13-3'!K160+'14-3'!K160+'15-3'!K160+'16-3'!K160+'17-3'!K160+'18-3'!K160+'19-3'!K160+'21-3'!K160+'22-3'!K160+'24-3'!K160+'25-3'!K160+'28-3'!K160+'29-3'!K160+'30-3'!K160+'32-3'!K160+'35-3'!K160+'37-3'!K160+'47-3'!K160+'62-3'!K160+'64-3'!K160+'74-3'!K160</f>
        <v>0</v>
      </c>
      <c r="L414" s="106">
        <f>'01-3'!L160+'02-3'!L160+'03-3'!L160+'04-3'!L160+'05-3'!L160+'08-3'!L160+'09-3'!L160+'10-3'!L160+'11-3'!L160+'12-3'!L160+'13-3'!L160+'14-3'!L160+'15-3'!L160+'16-3'!L160+'17-3'!L160+'18-3'!L160+'19-3'!L160+'21-3'!L160+'22-3'!L160+'24-3'!L160+'25-3'!L160+'28-3'!L160+'29-3'!L160+'30-3'!L160+'32-3'!L160+'35-3'!L160+'37-3'!L160+'47-3'!L160+'62-3'!L160+'64-3'!L160+'74-3'!L160</f>
        <v>0</v>
      </c>
      <c r="M414" s="106">
        <f>'01-3'!M160+'02-3'!M160+'03-3'!M160+'04-3'!M160+'05-3'!M160+'08-3'!M160+'09-3'!M160+'10-3'!M160+'11-3'!M160+'12-3'!M160+'13-3'!M160+'14-3'!M160+'15-3'!M160+'16-3'!M160+'17-3'!M160+'18-3'!M160+'19-3'!M160+'21-3'!M160+'22-3'!M160+'24-3'!M160+'25-3'!M160+'28-3'!M160+'29-3'!M160+'30-3'!M160+'32-3'!M160+'35-3'!M160+'37-3'!M160+'47-3'!M160+'62-3'!M160+'64-3'!M160+'74-3'!M160</f>
        <v>0</v>
      </c>
      <c r="N414" s="106">
        <f>'01-3'!N160+'02-3'!N160+'03-3'!N160+'04-3'!N160+'05-3'!N160+'08-3'!N160+'09-3'!N160+'10-3'!N160+'11-3'!N160+'12-3'!N160+'13-3'!N160+'14-3'!N160+'15-3'!N160+'16-3'!N160+'17-3'!N160+'18-3'!N160+'19-3'!N160+'21-3'!N160+'22-3'!N160+'24-3'!N160+'25-3'!N160+'28-3'!N160+'29-3'!N160+'30-3'!N160+'32-3'!N160+'35-3'!N160+'37-3'!N160+'47-3'!N160+'62-3'!N160+'64-3'!N160+'74-3'!N160</f>
        <v>0</v>
      </c>
      <c r="O414" s="106">
        <f>'01-3'!O160+'02-3'!O160+'03-3'!O160+'04-3'!O160+'05-3'!O160+'08-3'!O160+'09-3'!O160+'10-3'!O160+'11-3'!O160+'12-3'!O160+'13-3'!O160+'14-3'!O160+'15-3'!O160+'16-3'!O160+'17-3'!O160+'18-3'!O160+'19-3'!O160+'21-3'!O160+'22-3'!O160+'24-3'!O160+'25-3'!O160+'28-3'!O160+'29-3'!O160+'30-3'!O160+'32-3'!O160+'35-3'!O160+'37-3'!O160+'47-3'!O160+'62-3'!O160+'64-3'!O160+'74-3'!O160</f>
        <v>0</v>
      </c>
      <c r="P414" s="106">
        <f>'01-3'!P160+'02-3'!P160+'03-3'!P160+'04-3'!P160+'05-3'!P160+'08-3'!P160+'09-3'!P160+'10-3'!P160+'11-3'!P160+'12-3'!P160+'13-3'!P160+'14-3'!P160+'15-3'!P160+'16-3'!P160+'17-3'!P160+'18-3'!P160+'19-3'!P160+'21-3'!P160+'22-3'!P160+'24-3'!P160+'25-3'!P160+'28-3'!P160+'29-3'!P160+'30-3'!P160+'32-3'!P160+'35-3'!P160+'37-3'!P160+'47-3'!P160+'62-3'!P160+'64-3'!P160+'74-3'!P160</f>
        <v>0</v>
      </c>
      <c r="Q414" s="106">
        <f>'01-3'!Q160+'02-3'!Q160+'03-3'!Q160+'04-3'!Q160+'05-3'!Q160+'08-3'!Q160+'09-3'!Q160+'10-3'!Q160+'11-3'!Q160+'12-3'!Q160+'13-3'!Q160+'14-3'!Q160+'15-3'!Q160+'16-3'!Q160+'17-3'!Q160+'18-3'!Q160+'19-3'!Q160+'21-3'!Q160+'22-3'!Q160+'24-3'!Q160+'25-3'!Q160+'28-3'!Q160+'29-3'!Q160+'30-3'!Q160+'32-3'!Q160+'35-3'!Q160+'37-3'!Q160+'47-3'!Q160+'62-3'!Q160+'64-3'!Q160+'74-3'!Q160</f>
        <v>0</v>
      </c>
      <c r="R414" s="106">
        <f>'01-3'!R160+'02-3'!R160+'03-3'!R160+'04-3'!R160+'05-3'!R160+'08-3'!R160+'09-3'!R160+'10-3'!R160+'11-3'!R160+'12-3'!R160+'13-3'!R160+'14-3'!R160+'15-3'!R160+'16-3'!R160+'17-3'!R160+'18-3'!R160+'19-3'!R160+'21-3'!R160+'22-3'!R160+'24-3'!R160+'25-3'!R160+'28-3'!R160+'29-3'!R160+'30-3'!R160+'32-3'!R160+'35-3'!R160+'37-3'!R160+'47-3'!R160+'62-3'!R160+'64-3'!R160+'74-3'!R160</f>
        <v>0</v>
      </c>
      <c r="S414" s="954"/>
      <c r="T414" s="954"/>
      <c r="U414" s="954"/>
      <c r="V414" s="954"/>
      <c r="W414" s="954"/>
    </row>
    <row r="415" spans="1:23" s="6" customFormat="1" ht="24" hidden="1">
      <c r="A415" s="133">
        <v>9710</v>
      </c>
      <c r="B415" s="117" t="s">
        <v>195</v>
      </c>
      <c r="C415" s="106">
        <f>'01-3'!C161+'02-3'!C161+'03-3'!C161+'04-3'!C161+'05-3'!C161+'08-3'!C161+'09-3'!C161+'10-3'!C161+'11-3'!C161+'12-3'!C161+'13-3'!C161+'14-3'!C161+'15-3'!C161+'16-3'!C161+'17-3'!C161+'18-3'!C161+'19-3'!C161+'21-3'!C161+'22-3'!C161+'24-3'!C161+'25-3'!C161+'28-3'!C161+'29-3'!C161+'30-3'!C161+'32-3'!C161+'35-3'!C161+'37-3'!C161+'47-3'!C161+'62-3'!C161+'64-3'!C161+'74-3'!C161</f>
        <v>0</v>
      </c>
      <c r="D415" s="106">
        <f>'01-3'!D161+'02-3'!D161+'03-3'!D161+'04-3'!D161+'05-3'!D161+'08-3'!D161+'09-3'!D161+'10-3'!D161+'11-3'!D161+'12-3'!D161+'13-3'!D161+'14-3'!D161+'15-3'!D161+'16-3'!D161+'17-3'!D161+'18-3'!D161+'19-3'!D161+'21-3'!D161+'22-3'!D161+'24-3'!D161+'25-3'!D161+'28-3'!D161+'29-3'!D161+'30-3'!D161+'32-3'!D161+'35-3'!D161+'37-3'!D161+'47-3'!D161+'62-3'!D161+'64-3'!D161+'74-3'!D161</f>
        <v>0</v>
      </c>
      <c r="E415" s="106">
        <f>'01-3'!E161+'02-3'!E161+'03-3'!E161+'04-3'!E161+'05-3'!E161+'08-3'!E161+'09-3'!E161+'10-3'!E161+'11-3'!E161+'12-3'!E161+'13-3'!E161+'14-3'!E161+'15-3'!E161+'16-3'!E161+'17-3'!E161+'18-3'!E161+'19-3'!E161+'21-3'!E161+'22-3'!E161+'24-3'!E161+'25-3'!E161+'28-3'!E161+'29-3'!E161+'30-3'!E161+'32-3'!E161+'35-3'!E161+'37-3'!E161+'47-3'!E161+'62-3'!E161+'64-3'!E161+'74-3'!E161</f>
        <v>0</v>
      </c>
      <c r="F415" s="106">
        <f>'01-3'!F161+'02-3'!F161+'03-3'!F161+'04-3'!F161+'05-3'!F161+'08-3'!F161+'09-3'!F161+'10-3'!F161+'11-3'!F161+'12-3'!F161+'13-3'!F161+'14-3'!F161+'15-3'!F161+'16-3'!F161+'17-3'!F161+'18-3'!F161+'19-3'!F161+'21-3'!F161+'22-3'!F161+'24-3'!F161+'25-3'!F161+'28-3'!F161+'29-3'!F161+'30-3'!F161+'32-3'!F161+'35-3'!F161+'37-3'!F161+'47-3'!F161+'62-3'!F161+'64-3'!F161+'74-3'!F161</f>
        <v>0</v>
      </c>
      <c r="G415" s="106">
        <f>'01-3'!G161+'02-3'!G161+'03-3'!G161+'04-3'!G161+'05-3'!G161+'08-3'!G161+'09-3'!G161+'10-3'!G161+'11-3'!G161+'12-3'!G161+'13-3'!G161+'14-3'!G161+'15-3'!G161+'16-3'!G161+'17-3'!G161+'18-3'!G161+'19-3'!G161+'21-3'!G161+'22-3'!G161+'24-3'!G161+'25-3'!G161+'28-3'!G161+'29-3'!G161+'30-3'!G161+'32-3'!G161+'35-3'!G161+'37-3'!G161+'47-3'!G161+'62-3'!G161+'64-3'!G161+'74-3'!G161</f>
        <v>0</v>
      </c>
      <c r="H415" s="106">
        <f>'01-3'!H161+'02-3'!H161+'03-3'!H161+'04-3'!H161+'05-3'!H161+'08-3'!H161+'09-3'!H161+'10-3'!H161+'11-3'!H161+'12-3'!H161+'13-3'!H161+'14-3'!H161+'15-3'!H161+'16-3'!H161+'17-3'!H161+'18-3'!H161+'19-3'!H161+'21-3'!H161+'22-3'!H161+'24-3'!H161+'25-3'!H161+'28-3'!H161+'29-3'!H161+'30-3'!H161+'32-3'!H161+'35-3'!H161+'37-3'!H161+'47-3'!H161+'62-3'!H161+'64-3'!H161+'74-3'!H161</f>
        <v>0</v>
      </c>
      <c r="I415" s="106">
        <f>'01-3'!I161+'02-3'!I161+'03-3'!I161+'04-3'!I161+'05-3'!I161+'08-3'!I161+'09-3'!I161+'10-3'!I161+'11-3'!I161+'12-3'!I161+'13-3'!I161+'14-3'!I161+'15-3'!I161+'16-3'!I161+'17-3'!I161+'18-3'!I161+'19-3'!I161+'21-3'!I161+'22-3'!I161+'24-3'!I161+'25-3'!I161+'28-3'!I161+'29-3'!I161+'30-3'!I161+'32-3'!I161+'35-3'!I161+'37-3'!I161+'47-3'!I161+'62-3'!I161+'64-3'!I161+'74-3'!I161</f>
        <v>0</v>
      </c>
      <c r="J415" s="106">
        <f>'01-3'!J161+'02-3'!J161+'03-3'!J161+'04-3'!J161+'05-3'!J161+'08-3'!J161+'09-3'!J161+'10-3'!J161+'11-3'!J161+'12-3'!J161+'13-3'!J161+'14-3'!J161+'15-3'!J161+'16-3'!J161+'17-3'!J161+'18-3'!J161+'19-3'!J161+'21-3'!J161+'22-3'!J161+'24-3'!J161+'25-3'!J161+'28-3'!J161+'29-3'!J161+'30-3'!J161+'32-3'!J161+'35-3'!J161+'37-3'!J161+'47-3'!J161+'62-3'!J161+'64-3'!J161+'74-3'!J161</f>
        <v>0</v>
      </c>
      <c r="K415" s="106">
        <f>'01-3'!K161+'02-3'!K161+'03-3'!K161+'04-3'!K161+'05-3'!K161+'08-3'!K161+'09-3'!K161+'10-3'!K161+'11-3'!K161+'12-3'!K161+'13-3'!K161+'14-3'!K161+'15-3'!K161+'16-3'!K161+'17-3'!K161+'18-3'!K161+'19-3'!K161+'21-3'!K161+'22-3'!K161+'24-3'!K161+'25-3'!K161+'28-3'!K161+'29-3'!K161+'30-3'!K161+'32-3'!K161+'35-3'!K161+'37-3'!K161+'47-3'!K161+'62-3'!K161+'64-3'!K161+'74-3'!K161</f>
        <v>0</v>
      </c>
      <c r="L415" s="106">
        <f>'01-3'!L161+'02-3'!L161+'03-3'!L161+'04-3'!L161+'05-3'!L161+'08-3'!L161+'09-3'!L161+'10-3'!L161+'11-3'!L161+'12-3'!L161+'13-3'!L161+'14-3'!L161+'15-3'!L161+'16-3'!L161+'17-3'!L161+'18-3'!L161+'19-3'!L161+'21-3'!L161+'22-3'!L161+'24-3'!L161+'25-3'!L161+'28-3'!L161+'29-3'!L161+'30-3'!L161+'32-3'!L161+'35-3'!L161+'37-3'!L161+'47-3'!L161+'62-3'!L161+'64-3'!L161+'74-3'!L161</f>
        <v>0</v>
      </c>
      <c r="M415" s="106">
        <f>'01-3'!M161+'02-3'!M161+'03-3'!M161+'04-3'!M161+'05-3'!M161+'08-3'!M161+'09-3'!M161+'10-3'!M161+'11-3'!M161+'12-3'!M161+'13-3'!M161+'14-3'!M161+'15-3'!M161+'16-3'!M161+'17-3'!M161+'18-3'!M161+'19-3'!M161+'21-3'!M161+'22-3'!M161+'24-3'!M161+'25-3'!M161+'28-3'!M161+'29-3'!M161+'30-3'!M161+'32-3'!M161+'35-3'!M161+'37-3'!M161+'47-3'!M161+'62-3'!M161+'64-3'!M161+'74-3'!M161</f>
        <v>0</v>
      </c>
      <c r="N415" s="106">
        <f>'01-3'!N161+'02-3'!N161+'03-3'!N161+'04-3'!N161+'05-3'!N161+'08-3'!N161+'09-3'!N161+'10-3'!N161+'11-3'!N161+'12-3'!N161+'13-3'!N161+'14-3'!N161+'15-3'!N161+'16-3'!N161+'17-3'!N161+'18-3'!N161+'19-3'!N161+'21-3'!N161+'22-3'!N161+'24-3'!N161+'25-3'!N161+'28-3'!N161+'29-3'!N161+'30-3'!N161+'32-3'!N161+'35-3'!N161+'37-3'!N161+'47-3'!N161+'62-3'!N161+'64-3'!N161+'74-3'!N161</f>
        <v>0</v>
      </c>
      <c r="O415" s="106">
        <f>'01-3'!O161+'02-3'!O161+'03-3'!O161+'04-3'!O161+'05-3'!O161+'08-3'!O161+'09-3'!O161+'10-3'!O161+'11-3'!O161+'12-3'!O161+'13-3'!O161+'14-3'!O161+'15-3'!O161+'16-3'!O161+'17-3'!O161+'18-3'!O161+'19-3'!O161+'21-3'!O161+'22-3'!O161+'24-3'!O161+'25-3'!O161+'28-3'!O161+'29-3'!O161+'30-3'!O161+'32-3'!O161+'35-3'!O161+'37-3'!O161+'47-3'!O161+'62-3'!O161+'64-3'!O161+'74-3'!O161</f>
        <v>0</v>
      </c>
      <c r="P415" s="106">
        <f>'01-3'!P161+'02-3'!P161+'03-3'!P161+'04-3'!P161+'05-3'!P161+'08-3'!P161+'09-3'!P161+'10-3'!P161+'11-3'!P161+'12-3'!P161+'13-3'!P161+'14-3'!P161+'15-3'!P161+'16-3'!P161+'17-3'!P161+'18-3'!P161+'19-3'!P161+'21-3'!P161+'22-3'!P161+'24-3'!P161+'25-3'!P161+'28-3'!P161+'29-3'!P161+'30-3'!P161+'32-3'!P161+'35-3'!P161+'37-3'!P161+'47-3'!P161+'62-3'!P161+'64-3'!P161+'74-3'!P161</f>
        <v>0</v>
      </c>
      <c r="Q415" s="106">
        <f>'01-3'!Q161+'02-3'!Q161+'03-3'!Q161+'04-3'!Q161+'05-3'!Q161+'08-3'!Q161+'09-3'!Q161+'10-3'!Q161+'11-3'!Q161+'12-3'!Q161+'13-3'!Q161+'14-3'!Q161+'15-3'!Q161+'16-3'!Q161+'17-3'!Q161+'18-3'!Q161+'19-3'!Q161+'21-3'!Q161+'22-3'!Q161+'24-3'!Q161+'25-3'!Q161+'28-3'!Q161+'29-3'!Q161+'30-3'!Q161+'32-3'!Q161+'35-3'!Q161+'37-3'!Q161+'47-3'!Q161+'62-3'!Q161+'64-3'!Q161+'74-3'!Q161</f>
        <v>0</v>
      </c>
      <c r="R415" s="106">
        <f>'01-3'!R161+'02-3'!R161+'03-3'!R161+'04-3'!R161+'05-3'!R161+'08-3'!R161+'09-3'!R161+'10-3'!R161+'11-3'!R161+'12-3'!R161+'13-3'!R161+'14-3'!R161+'15-3'!R161+'16-3'!R161+'17-3'!R161+'18-3'!R161+'19-3'!R161+'21-3'!R161+'22-3'!R161+'24-3'!R161+'25-3'!R161+'28-3'!R161+'29-3'!R161+'30-3'!R161+'32-3'!R161+'35-3'!R161+'37-3'!R161+'47-3'!R161+'62-3'!R161+'64-3'!R161+'74-3'!R161</f>
        <v>0</v>
      </c>
      <c r="S415" s="954"/>
      <c r="T415" s="954"/>
      <c r="U415" s="954"/>
      <c r="V415" s="954"/>
      <c r="W415" s="954"/>
    </row>
    <row r="416" spans="1:23" s="6" customFormat="1" ht="48" hidden="1">
      <c r="A416" s="142">
        <v>9720</v>
      </c>
      <c r="B416" s="116" t="s">
        <v>196</v>
      </c>
      <c r="C416" s="106">
        <f>'01-3'!C162+'02-3'!C162+'03-3'!C162+'04-3'!C162+'05-3'!C162+'08-3'!C162+'09-3'!C162+'10-3'!C162+'11-3'!C162+'12-3'!C162+'13-3'!C162+'14-3'!C162+'15-3'!C162+'16-3'!C162+'17-3'!C162+'18-3'!C162+'19-3'!C162+'21-3'!C162+'22-3'!C162+'24-3'!C162+'25-3'!C162+'28-3'!C162+'29-3'!C162+'30-3'!C162+'32-3'!C162+'35-3'!C162+'37-3'!C162+'47-3'!C162+'62-3'!C162+'64-3'!C162+'74-3'!C162</f>
        <v>0</v>
      </c>
      <c r="D416" s="106">
        <f>'01-3'!D162+'02-3'!D162+'03-3'!D162+'04-3'!D162+'05-3'!D162+'08-3'!D162+'09-3'!D162+'10-3'!D162+'11-3'!D162+'12-3'!D162+'13-3'!D162+'14-3'!D162+'15-3'!D162+'16-3'!D162+'17-3'!D162+'18-3'!D162+'19-3'!D162+'21-3'!D162+'22-3'!D162+'24-3'!D162+'25-3'!D162+'28-3'!D162+'29-3'!D162+'30-3'!D162+'32-3'!D162+'35-3'!D162+'37-3'!D162+'47-3'!D162+'62-3'!D162+'64-3'!D162+'74-3'!D162</f>
        <v>0</v>
      </c>
      <c r="E416" s="106">
        <f>'01-3'!E162+'02-3'!E162+'03-3'!E162+'04-3'!E162+'05-3'!E162+'08-3'!E162+'09-3'!E162+'10-3'!E162+'11-3'!E162+'12-3'!E162+'13-3'!E162+'14-3'!E162+'15-3'!E162+'16-3'!E162+'17-3'!E162+'18-3'!E162+'19-3'!E162+'21-3'!E162+'22-3'!E162+'24-3'!E162+'25-3'!E162+'28-3'!E162+'29-3'!E162+'30-3'!E162+'32-3'!E162+'35-3'!E162+'37-3'!E162+'47-3'!E162+'62-3'!E162+'64-3'!E162+'74-3'!E162</f>
        <v>0</v>
      </c>
      <c r="F416" s="106">
        <f>'01-3'!F162+'02-3'!F162+'03-3'!F162+'04-3'!F162+'05-3'!F162+'08-3'!F162+'09-3'!F162+'10-3'!F162+'11-3'!F162+'12-3'!F162+'13-3'!F162+'14-3'!F162+'15-3'!F162+'16-3'!F162+'17-3'!F162+'18-3'!F162+'19-3'!F162+'21-3'!F162+'22-3'!F162+'24-3'!F162+'25-3'!F162+'28-3'!F162+'29-3'!F162+'30-3'!F162+'32-3'!F162+'35-3'!F162+'37-3'!F162+'47-3'!F162+'62-3'!F162+'64-3'!F162+'74-3'!F162</f>
        <v>0</v>
      </c>
      <c r="G416" s="106">
        <f>'01-3'!G162+'02-3'!G162+'03-3'!G162+'04-3'!G162+'05-3'!G162+'08-3'!G162+'09-3'!G162+'10-3'!G162+'11-3'!G162+'12-3'!G162+'13-3'!G162+'14-3'!G162+'15-3'!G162+'16-3'!G162+'17-3'!G162+'18-3'!G162+'19-3'!G162+'21-3'!G162+'22-3'!G162+'24-3'!G162+'25-3'!G162+'28-3'!G162+'29-3'!G162+'30-3'!G162+'32-3'!G162+'35-3'!G162+'37-3'!G162+'47-3'!G162+'62-3'!G162+'64-3'!G162+'74-3'!G162</f>
        <v>0</v>
      </c>
      <c r="H416" s="106">
        <f>'01-3'!H162+'02-3'!H162+'03-3'!H162+'04-3'!H162+'05-3'!H162+'08-3'!H162+'09-3'!H162+'10-3'!H162+'11-3'!H162+'12-3'!H162+'13-3'!H162+'14-3'!H162+'15-3'!H162+'16-3'!H162+'17-3'!H162+'18-3'!H162+'19-3'!H162+'21-3'!H162+'22-3'!H162+'24-3'!H162+'25-3'!H162+'28-3'!H162+'29-3'!H162+'30-3'!H162+'32-3'!H162+'35-3'!H162+'37-3'!H162+'47-3'!H162+'62-3'!H162+'64-3'!H162+'74-3'!H162</f>
        <v>0</v>
      </c>
      <c r="I416" s="106">
        <f>'01-3'!I162+'02-3'!I162+'03-3'!I162+'04-3'!I162+'05-3'!I162+'08-3'!I162+'09-3'!I162+'10-3'!I162+'11-3'!I162+'12-3'!I162+'13-3'!I162+'14-3'!I162+'15-3'!I162+'16-3'!I162+'17-3'!I162+'18-3'!I162+'19-3'!I162+'21-3'!I162+'22-3'!I162+'24-3'!I162+'25-3'!I162+'28-3'!I162+'29-3'!I162+'30-3'!I162+'32-3'!I162+'35-3'!I162+'37-3'!I162+'47-3'!I162+'62-3'!I162+'64-3'!I162+'74-3'!I162</f>
        <v>0</v>
      </c>
      <c r="J416" s="106">
        <f>'01-3'!J162+'02-3'!J162+'03-3'!J162+'04-3'!J162+'05-3'!J162+'08-3'!J162+'09-3'!J162+'10-3'!J162+'11-3'!J162+'12-3'!J162+'13-3'!J162+'14-3'!J162+'15-3'!J162+'16-3'!J162+'17-3'!J162+'18-3'!J162+'19-3'!J162+'21-3'!J162+'22-3'!J162+'24-3'!J162+'25-3'!J162+'28-3'!J162+'29-3'!J162+'30-3'!J162+'32-3'!J162+'35-3'!J162+'37-3'!J162+'47-3'!J162+'62-3'!J162+'64-3'!J162+'74-3'!J162</f>
        <v>0</v>
      </c>
      <c r="K416" s="106">
        <f>'01-3'!K162+'02-3'!K162+'03-3'!K162+'04-3'!K162+'05-3'!K162+'08-3'!K162+'09-3'!K162+'10-3'!K162+'11-3'!K162+'12-3'!K162+'13-3'!K162+'14-3'!K162+'15-3'!K162+'16-3'!K162+'17-3'!K162+'18-3'!K162+'19-3'!K162+'21-3'!K162+'22-3'!K162+'24-3'!K162+'25-3'!K162+'28-3'!K162+'29-3'!K162+'30-3'!K162+'32-3'!K162+'35-3'!K162+'37-3'!K162+'47-3'!K162+'62-3'!K162+'64-3'!K162+'74-3'!K162</f>
        <v>0</v>
      </c>
      <c r="L416" s="106">
        <f>'01-3'!L162+'02-3'!L162+'03-3'!L162+'04-3'!L162+'05-3'!L162+'08-3'!L162+'09-3'!L162+'10-3'!L162+'11-3'!L162+'12-3'!L162+'13-3'!L162+'14-3'!L162+'15-3'!L162+'16-3'!L162+'17-3'!L162+'18-3'!L162+'19-3'!L162+'21-3'!L162+'22-3'!L162+'24-3'!L162+'25-3'!L162+'28-3'!L162+'29-3'!L162+'30-3'!L162+'32-3'!L162+'35-3'!L162+'37-3'!L162+'47-3'!L162+'62-3'!L162+'64-3'!L162+'74-3'!L162</f>
        <v>0</v>
      </c>
      <c r="M416" s="106">
        <f>'01-3'!M162+'02-3'!M162+'03-3'!M162+'04-3'!M162+'05-3'!M162+'08-3'!M162+'09-3'!M162+'10-3'!M162+'11-3'!M162+'12-3'!M162+'13-3'!M162+'14-3'!M162+'15-3'!M162+'16-3'!M162+'17-3'!M162+'18-3'!M162+'19-3'!M162+'21-3'!M162+'22-3'!M162+'24-3'!M162+'25-3'!M162+'28-3'!M162+'29-3'!M162+'30-3'!M162+'32-3'!M162+'35-3'!M162+'37-3'!M162+'47-3'!M162+'62-3'!M162+'64-3'!M162+'74-3'!M162</f>
        <v>0</v>
      </c>
      <c r="N416" s="106">
        <f>'01-3'!N162+'02-3'!N162+'03-3'!N162+'04-3'!N162+'05-3'!N162+'08-3'!N162+'09-3'!N162+'10-3'!N162+'11-3'!N162+'12-3'!N162+'13-3'!N162+'14-3'!N162+'15-3'!N162+'16-3'!N162+'17-3'!N162+'18-3'!N162+'19-3'!N162+'21-3'!N162+'22-3'!N162+'24-3'!N162+'25-3'!N162+'28-3'!N162+'29-3'!N162+'30-3'!N162+'32-3'!N162+'35-3'!N162+'37-3'!N162+'47-3'!N162+'62-3'!N162+'64-3'!N162+'74-3'!N162</f>
        <v>0</v>
      </c>
      <c r="O416" s="106">
        <f>'01-3'!O162+'02-3'!O162+'03-3'!O162+'04-3'!O162+'05-3'!O162+'08-3'!O162+'09-3'!O162+'10-3'!O162+'11-3'!O162+'12-3'!O162+'13-3'!O162+'14-3'!O162+'15-3'!O162+'16-3'!O162+'17-3'!O162+'18-3'!O162+'19-3'!O162+'21-3'!O162+'22-3'!O162+'24-3'!O162+'25-3'!O162+'28-3'!O162+'29-3'!O162+'30-3'!O162+'32-3'!O162+'35-3'!O162+'37-3'!O162+'47-3'!O162+'62-3'!O162+'64-3'!O162+'74-3'!O162</f>
        <v>0</v>
      </c>
      <c r="P416" s="106">
        <f>'01-3'!P162+'02-3'!P162+'03-3'!P162+'04-3'!P162+'05-3'!P162+'08-3'!P162+'09-3'!P162+'10-3'!P162+'11-3'!P162+'12-3'!P162+'13-3'!P162+'14-3'!P162+'15-3'!P162+'16-3'!P162+'17-3'!P162+'18-3'!P162+'19-3'!P162+'21-3'!P162+'22-3'!P162+'24-3'!P162+'25-3'!P162+'28-3'!P162+'29-3'!P162+'30-3'!P162+'32-3'!P162+'35-3'!P162+'37-3'!P162+'47-3'!P162+'62-3'!P162+'64-3'!P162+'74-3'!P162</f>
        <v>0</v>
      </c>
      <c r="Q416" s="106">
        <f>'01-3'!Q162+'02-3'!Q162+'03-3'!Q162+'04-3'!Q162+'05-3'!Q162+'08-3'!Q162+'09-3'!Q162+'10-3'!Q162+'11-3'!Q162+'12-3'!Q162+'13-3'!Q162+'14-3'!Q162+'15-3'!Q162+'16-3'!Q162+'17-3'!Q162+'18-3'!Q162+'19-3'!Q162+'21-3'!Q162+'22-3'!Q162+'24-3'!Q162+'25-3'!Q162+'28-3'!Q162+'29-3'!Q162+'30-3'!Q162+'32-3'!Q162+'35-3'!Q162+'37-3'!Q162+'47-3'!Q162+'62-3'!Q162+'64-3'!Q162+'74-3'!Q162</f>
        <v>0</v>
      </c>
      <c r="R416" s="106">
        <f>'01-3'!R162+'02-3'!R162+'03-3'!R162+'04-3'!R162+'05-3'!R162+'08-3'!R162+'09-3'!R162+'10-3'!R162+'11-3'!R162+'12-3'!R162+'13-3'!R162+'14-3'!R162+'15-3'!R162+'16-3'!R162+'17-3'!R162+'18-3'!R162+'19-3'!R162+'21-3'!R162+'22-3'!R162+'24-3'!R162+'25-3'!R162+'28-3'!R162+'29-3'!R162+'30-3'!R162+'32-3'!R162+'35-3'!R162+'37-3'!R162+'47-3'!R162+'62-3'!R162+'64-3'!R162+'74-3'!R162</f>
        <v>0</v>
      </c>
      <c r="S416" s="954"/>
      <c r="T416" s="954"/>
      <c r="U416" s="954"/>
      <c r="V416" s="954"/>
      <c r="W416" s="954"/>
    </row>
    <row r="417" spans="1:23" s="6" customFormat="1" ht="24" hidden="1">
      <c r="A417" s="141">
        <v>9600</v>
      </c>
      <c r="B417" s="112" t="s">
        <v>134</v>
      </c>
      <c r="C417" s="106">
        <f>'01-3'!C163+'02-3'!C163+'03-3'!C163+'04-3'!C163+'05-3'!C163+'08-3'!C163+'09-3'!C163+'10-3'!C163+'11-3'!C163+'12-3'!C163+'13-3'!C163+'14-3'!C163+'15-3'!C163+'16-3'!C163+'17-3'!C163+'18-3'!C163+'19-3'!C163+'21-3'!C163+'22-3'!C163+'24-3'!C163+'25-3'!C163+'28-3'!C163+'29-3'!C163+'30-3'!C163+'32-3'!C163+'35-3'!C163+'37-3'!C163+'47-3'!C163+'62-3'!C163+'64-3'!C163+'74-3'!C163</f>
        <v>0</v>
      </c>
      <c r="D417" s="106">
        <f>'01-3'!D163+'02-3'!D163+'03-3'!D163+'04-3'!D163+'05-3'!D163+'08-3'!D163+'09-3'!D163+'10-3'!D163+'11-3'!D163+'12-3'!D163+'13-3'!D163+'14-3'!D163+'15-3'!D163+'16-3'!D163+'17-3'!D163+'18-3'!D163+'19-3'!D163+'21-3'!D163+'22-3'!D163+'24-3'!D163+'25-3'!D163+'28-3'!D163+'29-3'!D163+'30-3'!D163+'32-3'!D163+'35-3'!D163+'37-3'!D163+'47-3'!D163+'62-3'!D163+'64-3'!D163+'74-3'!D163</f>
        <v>0</v>
      </c>
      <c r="E417" s="106">
        <f>'01-3'!E163+'02-3'!E163+'03-3'!E163+'04-3'!E163+'05-3'!E163+'08-3'!E163+'09-3'!E163+'10-3'!E163+'11-3'!E163+'12-3'!E163+'13-3'!E163+'14-3'!E163+'15-3'!E163+'16-3'!E163+'17-3'!E163+'18-3'!E163+'19-3'!E163+'21-3'!E163+'22-3'!E163+'24-3'!E163+'25-3'!E163+'28-3'!E163+'29-3'!E163+'30-3'!E163+'32-3'!E163+'35-3'!E163+'37-3'!E163+'47-3'!E163+'62-3'!E163+'64-3'!E163+'74-3'!E163</f>
        <v>0</v>
      </c>
      <c r="F417" s="106">
        <f>'01-3'!F163+'02-3'!F163+'03-3'!F163+'04-3'!F163+'05-3'!F163+'08-3'!F163+'09-3'!F163+'10-3'!F163+'11-3'!F163+'12-3'!F163+'13-3'!F163+'14-3'!F163+'15-3'!F163+'16-3'!F163+'17-3'!F163+'18-3'!F163+'19-3'!F163+'21-3'!F163+'22-3'!F163+'24-3'!F163+'25-3'!F163+'28-3'!F163+'29-3'!F163+'30-3'!F163+'32-3'!F163+'35-3'!F163+'37-3'!F163+'47-3'!F163+'62-3'!F163+'64-3'!F163+'74-3'!F163</f>
        <v>0</v>
      </c>
      <c r="G417" s="106">
        <f>'01-3'!G163+'02-3'!G163+'03-3'!G163+'04-3'!G163+'05-3'!G163+'08-3'!G163+'09-3'!G163+'10-3'!G163+'11-3'!G163+'12-3'!G163+'13-3'!G163+'14-3'!G163+'15-3'!G163+'16-3'!G163+'17-3'!G163+'18-3'!G163+'19-3'!G163+'21-3'!G163+'22-3'!G163+'24-3'!G163+'25-3'!G163+'28-3'!G163+'29-3'!G163+'30-3'!G163+'32-3'!G163+'35-3'!G163+'37-3'!G163+'47-3'!G163+'62-3'!G163+'64-3'!G163+'74-3'!G163</f>
        <v>0</v>
      </c>
      <c r="H417" s="106">
        <f>'01-3'!H163+'02-3'!H163+'03-3'!H163+'04-3'!H163+'05-3'!H163+'08-3'!H163+'09-3'!H163+'10-3'!H163+'11-3'!H163+'12-3'!H163+'13-3'!H163+'14-3'!H163+'15-3'!H163+'16-3'!H163+'17-3'!H163+'18-3'!H163+'19-3'!H163+'21-3'!H163+'22-3'!H163+'24-3'!H163+'25-3'!H163+'28-3'!H163+'29-3'!H163+'30-3'!H163+'32-3'!H163+'35-3'!H163+'37-3'!H163+'47-3'!H163+'62-3'!H163+'64-3'!H163+'74-3'!H163</f>
        <v>0</v>
      </c>
      <c r="I417" s="106">
        <f>'01-3'!I163+'02-3'!I163+'03-3'!I163+'04-3'!I163+'05-3'!I163+'08-3'!I163+'09-3'!I163+'10-3'!I163+'11-3'!I163+'12-3'!I163+'13-3'!I163+'14-3'!I163+'15-3'!I163+'16-3'!I163+'17-3'!I163+'18-3'!I163+'19-3'!I163+'21-3'!I163+'22-3'!I163+'24-3'!I163+'25-3'!I163+'28-3'!I163+'29-3'!I163+'30-3'!I163+'32-3'!I163+'35-3'!I163+'37-3'!I163+'47-3'!I163+'62-3'!I163+'64-3'!I163+'74-3'!I163</f>
        <v>0</v>
      </c>
      <c r="J417" s="106">
        <f>'01-3'!J163+'02-3'!J163+'03-3'!J163+'04-3'!J163+'05-3'!J163+'08-3'!J163+'09-3'!J163+'10-3'!J163+'11-3'!J163+'12-3'!J163+'13-3'!J163+'14-3'!J163+'15-3'!J163+'16-3'!J163+'17-3'!J163+'18-3'!J163+'19-3'!J163+'21-3'!J163+'22-3'!J163+'24-3'!J163+'25-3'!J163+'28-3'!J163+'29-3'!J163+'30-3'!J163+'32-3'!J163+'35-3'!J163+'37-3'!J163+'47-3'!J163+'62-3'!J163+'64-3'!J163+'74-3'!J163</f>
        <v>0</v>
      </c>
      <c r="K417" s="106">
        <f>'01-3'!K163+'02-3'!K163+'03-3'!K163+'04-3'!K163+'05-3'!K163+'08-3'!K163+'09-3'!K163+'10-3'!K163+'11-3'!K163+'12-3'!K163+'13-3'!K163+'14-3'!K163+'15-3'!K163+'16-3'!K163+'17-3'!K163+'18-3'!K163+'19-3'!K163+'21-3'!K163+'22-3'!K163+'24-3'!K163+'25-3'!K163+'28-3'!K163+'29-3'!K163+'30-3'!K163+'32-3'!K163+'35-3'!K163+'37-3'!K163+'47-3'!K163+'62-3'!K163+'64-3'!K163+'74-3'!K163</f>
        <v>0</v>
      </c>
      <c r="L417" s="106">
        <f>'01-3'!L163+'02-3'!L163+'03-3'!L163+'04-3'!L163+'05-3'!L163+'08-3'!L163+'09-3'!L163+'10-3'!L163+'11-3'!L163+'12-3'!L163+'13-3'!L163+'14-3'!L163+'15-3'!L163+'16-3'!L163+'17-3'!L163+'18-3'!L163+'19-3'!L163+'21-3'!L163+'22-3'!L163+'24-3'!L163+'25-3'!L163+'28-3'!L163+'29-3'!L163+'30-3'!L163+'32-3'!L163+'35-3'!L163+'37-3'!L163+'47-3'!L163+'62-3'!L163+'64-3'!L163+'74-3'!L163</f>
        <v>0</v>
      </c>
      <c r="M417" s="106">
        <f>'01-3'!M163+'02-3'!M163+'03-3'!M163+'04-3'!M163+'05-3'!M163+'08-3'!M163+'09-3'!M163+'10-3'!M163+'11-3'!M163+'12-3'!M163+'13-3'!M163+'14-3'!M163+'15-3'!M163+'16-3'!M163+'17-3'!M163+'18-3'!M163+'19-3'!M163+'21-3'!M163+'22-3'!M163+'24-3'!M163+'25-3'!M163+'28-3'!M163+'29-3'!M163+'30-3'!M163+'32-3'!M163+'35-3'!M163+'37-3'!M163+'47-3'!M163+'62-3'!M163+'64-3'!M163+'74-3'!M163</f>
        <v>0</v>
      </c>
      <c r="N417" s="106">
        <f>'01-3'!N163+'02-3'!N163+'03-3'!N163+'04-3'!N163+'05-3'!N163+'08-3'!N163+'09-3'!N163+'10-3'!N163+'11-3'!N163+'12-3'!N163+'13-3'!N163+'14-3'!N163+'15-3'!N163+'16-3'!N163+'17-3'!N163+'18-3'!N163+'19-3'!N163+'21-3'!N163+'22-3'!N163+'24-3'!N163+'25-3'!N163+'28-3'!N163+'29-3'!N163+'30-3'!N163+'32-3'!N163+'35-3'!N163+'37-3'!N163+'47-3'!N163+'62-3'!N163+'64-3'!N163+'74-3'!N163</f>
        <v>0</v>
      </c>
      <c r="O417" s="106">
        <f>'01-3'!O163+'02-3'!O163+'03-3'!O163+'04-3'!O163+'05-3'!O163+'08-3'!O163+'09-3'!O163+'10-3'!O163+'11-3'!O163+'12-3'!O163+'13-3'!O163+'14-3'!O163+'15-3'!O163+'16-3'!O163+'17-3'!O163+'18-3'!O163+'19-3'!O163+'21-3'!O163+'22-3'!O163+'24-3'!O163+'25-3'!O163+'28-3'!O163+'29-3'!O163+'30-3'!O163+'32-3'!O163+'35-3'!O163+'37-3'!O163+'47-3'!O163+'62-3'!O163+'64-3'!O163+'74-3'!O163</f>
        <v>0</v>
      </c>
      <c r="P417" s="106">
        <f>'01-3'!P163+'02-3'!P163+'03-3'!P163+'04-3'!P163+'05-3'!P163+'08-3'!P163+'09-3'!P163+'10-3'!P163+'11-3'!P163+'12-3'!P163+'13-3'!P163+'14-3'!P163+'15-3'!P163+'16-3'!P163+'17-3'!P163+'18-3'!P163+'19-3'!P163+'21-3'!P163+'22-3'!P163+'24-3'!P163+'25-3'!P163+'28-3'!P163+'29-3'!P163+'30-3'!P163+'32-3'!P163+'35-3'!P163+'37-3'!P163+'47-3'!P163+'62-3'!P163+'64-3'!P163+'74-3'!P163</f>
        <v>0</v>
      </c>
      <c r="Q417" s="106">
        <f>'01-3'!Q163+'02-3'!Q163+'03-3'!Q163+'04-3'!Q163+'05-3'!Q163+'08-3'!Q163+'09-3'!Q163+'10-3'!Q163+'11-3'!Q163+'12-3'!Q163+'13-3'!Q163+'14-3'!Q163+'15-3'!Q163+'16-3'!Q163+'17-3'!Q163+'18-3'!Q163+'19-3'!Q163+'21-3'!Q163+'22-3'!Q163+'24-3'!Q163+'25-3'!Q163+'28-3'!Q163+'29-3'!Q163+'30-3'!Q163+'32-3'!Q163+'35-3'!Q163+'37-3'!Q163+'47-3'!Q163+'62-3'!Q163+'64-3'!Q163+'74-3'!Q163</f>
        <v>0</v>
      </c>
      <c r="R417" s="106">
        <f>'01-3'!R163+'02-3'!R163+'03-3'!R163+'04-3'!R163+'05-3'!R163+'08-3'!R163+'09-3'!R163+'10-3'!R163+'11-3'!R163+'12-3'!R163+'13-3'!R163+'14-3'!R163+'15-3'!R163+'16-3'!R163+'17-3'!R163+'18-3'!R163+'19-3'!R163+'21-3'!R163+'22-3'!R163+'24-3'!R163+'25-3'!R163+'28-3'!R163+'29-3'!R163+'30-3'!R163+'32-3'!R163+'35-3'!R163+'37-3'!R163+'47-3'!R163+'62-3'!R163+'64-3'!R163+'74-3'!R163</f>
        <v>0</v>
      </c>
      <c r="S417" s="954"/>
      <c r="T417" s="954"/>
      <c r="U417" s="954"/>
      <c r="V417" s="954"/>
      <c r="W417" s="954"/>
    </row>
    <row r="418" spans="1:23" s="6" customFormat="1" ht="30.6">
      <c r="A418" s="130" t="s">
        <v>197</v>
      </c>
      <c r="B418" s="118" t="s">
        <v>47</v>
      </c>
      <c r="C418" s="106">
        <f>'01-3'!C164+'02-3'!C164+'03-3'!C164+'04-3'!C164+'05-3'!C164+'08-3'!C164+'09-3'!C164+'10-3'!C164+'11-3'!C164+'12-3'!C164+'13-3'!C164+'14-3'!C164+'15-3'!C164+'16-3'!C164+'17-3'!C164+'18-3'!C164+'19-3'!C164+'21-3'!C164+'22-3'!C164+'24-3'!C164+'25-3'!C164+'28-3'!C164+'29-3'!C164+'30-3'!C164+'32-3'!C164+'35-3'!C164+'37-3'!C164+'47-3'!C164+'62-3'!C164+'64-3'!C164+'74-3'!C164</f>
        <v>3441912</v>
      </c>
      <c r="D418" s="106">
        <f>'01-3'!D164+'02-3'!D164+'03-3'!D164+'04-3'!D164+'05-3'!D164+'08-3'!D164+'09-3'!D164+'10-3'!D164+'11-3'!D164+'12-3'!D164+'13-3'!D164+'14-3'!D164+'15-3'!D164+'16-3'!D164+'17-3'!D164+'18-3'!D164+'19-3'!D164+'21-3'!D164+'22-3'!D164+'24-3'!D164+'25-3'!D164+'28-3'!D164+'29-3'!D164+'30-3'!D164+'32-3'!D164+'35-3'!D164+'37-3'!D164+'47-3'!D164+'62-3'!D164+'64-3'!D164+'74-3'!D164</f>
        <v>-34637</v>
      </c>
      <c r="E418" s="106">
        <f>'01-3'!E164+'02-3'!E164+'03-3'!E164+'04-3'!E164+'05-3'!E164+'08-3'!E164+'09-3'!E164+'10-3'!E164+'11-3'!E164+'12-3'!E164+'13-3'!E164+'14-3'!E164+'15-3'!E164+'16-3'!E164+'17-3'!E164+'18-3'!E164+'19-3'!E164+'21-3'!E164+'22-3'!E164+'24-3'!E164+'25-3'!E164+'28-3'!E164+'29-3'!E164+'30-3'!E164+'32-3'!E164+'35-3'!E164+'37-3'!E164+'47-3'!E164+'62-3'!E164+'64-3'!E164+'74-3'!E164</f>
        <v>0</v>
      </c>
      <c r="F418" s="106">
        <f>'01-3'!F164+'02-3'!F164+'03-3'!F164+'04-3'!F164+'05-3'!F164+'08-3'!F164+'09-3'!F164+'10-3'!F164+'11-3'!F164+'12-3'!F164+'13-3'!F164+'14-3'!F164+'15-3'!F164+'16-3'!F164+'17-3'!F164+'18-3'!F164+'19-3'!F164+'21-3'!F164+'22-3'!F164+'24-3'!F164+'25-3'!F164+'28-3'!F164+'29-3'!F164+'30-3'!F164+'32-3'!F164+'35-3'!F164+'37-3'!F164+'47-3'!F164+'62-3'!F164+'64-3'!F164+'74-3'!F164</f>
        <v>14355</v>
      </c>
      <c r="G418" s="106">
        <f>'01-3'!G164+'02-3'!G164+'03-3'!G164+'04-3'!G164+'05-3'!G164+'08-3'!G164+'09-3'!G164+'10-3'!G164+'11-3'!G164+'12-3'!G164+'13-3'!G164+'14-3'!G164+'15-3'!G164+'16-3'!G164+'17-3'!G164+'18-3'!G164+'19-3'!G164+'21-3'!G164+'22-3'!G164+'24-3'!G164+'25-3'!G164+'28-3'!G164+'29-3'!G164+'30-3'!G164+'32-3'!G164+'35-3'!G164+'37-3'!G164+'47-3'!G164+'62-3'!G164+'64-3'!G164+'74-3'!G164</f>
        <v>6406018</v>
      </c>
      <c r="H418" s="106">
        <f>'01-3'!H164+'02-3'!H164+'03-3'!H164+'04-3'!H164+'05-3'!H164+'08-3'!H164+'09-3'!H164+'10-3'!H164+'11-3'!H164+'12-3'!H164+'13-3'!H164+'14-3'!H164+'15-3'!H164+'16-3'!H164+'17-3'!H164+'18-3'!H164+'19-3'!H164+'21-3'!H164+'22-3'!H164+'24-3'!H164+'25-3'!H164+'28-3'!H164+'29-3'!H164+'30-3'!H164+'32-3'!H164+'35-3'!H164+'37-3'!H164+'47-3'!H164+'62-3'!H164+'64-3'!H164+'74-3'!H164</f>
        <v>6385736</v>
      </c>
      <c r="I418" s="106">
        <f>'01-3'!I164+'02-3'!I164+'03-3'!I164+'04-3'!I164+'05-3'!I164+'08-3'!I164+'09-3'!I164+'10-3'!I164+'11-3'!I164+'12-3'!I164+'13-3'!I164+'14-3'!I164+'15-3'!I164+'16-3'!I164+'17-3'!I164+'18-3'!I164+'19-3'!I164+'21-3'!I164+'22-3'!I164+'24-3'!I164+'25-3'!I164+'28-3'!I164+'29-3'!I164+'30-3'!I164+'32-3'!I164+'35-3'!I164+'37-3'!I164+'47-3'!I164+'62-3'!I164+'64-3'!I164+'74-3'!I164</f>
        <v>712088</v>
      </c>
      <c r="J418" s="106">
        <f>'01-3'!J164+'02-3'!J164+'03-3'!J164+'04-3'!J164+'05-3'!J164+'08-3'!J164+'09-3'!J164+'10-3'!J164+'11-3'!J164+'12-3'!J164+'13-3'!J164+'14-3'!J164+'15-3'!J164+'16-3'!J164+'17-3'!J164+'18-3'!J164+'19-3'!J164+'21-3'!J164+'22-3'!J164+'24-3'!J164+'25-3'!J164+'28-3'!J164+'29-3'!J164+'30-3'!J164+'32-3'!J164+'35-3'!J164+'37-3'!J164+'47-3'!J164+'62-3'!J164+'64-3'!J164+'74-3'!J164</f>
        <v>0</v>
      </c>
      <c r="K418" s="106">
        <f>'01-3'!K164+'02-3'!K164+'03-3'!K164+'04-3'!K164+'05-3'!K164+'08-3'!K164+'09-3'!K164+'10-3'!K164+'11-3'!K164+'12-3'!K164+'13-3'!K164+'14-3'!K164+'15-3'!K164+'16-3'!K164+'17-3'!K164+'18-3'!K164+'19-3'!K164+'21-3'!K164+'22-3'!K164+'24-3'!K164+'25-3'!K164+'28-3'!K164+'29-3'!K164+'30-3'!K164+'32-3'!K164+'35-3'!K164+'37-3'!K164+'47-3'!K164+'62-3'!K164+'64-3'!K164+'74-3'!K164</f>
        <v>14355</v>
      </c>
      <c r="L418" s="106">
        <f>'01-3'!L164+'02-3'!L164+'03-3'!L164+'04-3'!L164+'05-3'!L164+'08-3'!L164+'09-3'!L164+'10-3'!L164+'11-3'!L164+'12-3'!L164+'13-3'!L164+'14-3'!L164+'15-3'!L164+'16-3'!L164+'17-3'!L164+'18-3'!L164+'19-3'!L164+'21-3'!L164+'22-3'!L164+'24-3'!L164+'25-3'!L164+'28-3'!L164+'29-3'!L164+'30-3'!L164+'32-3'!L164+'35-3'!L164+'37-3'!L164+'47-3'!L164+'62-3'!L164+'64-3'!L164+'74-3'!L164</f>
        <v>-7686</v>
      </c>
      <c r="M418" s="106">
        <f>'01-3'!M164+'02-3'!M164+'03-3'!M164+'04-3'!M164+'05-3'!M164+'08-3'!M164+'09-3'!M164+'10-3'!M164+'11-3'!M164+'12-3'!M164+'13-3'!M164+'14-3'!M164+'15-3'!M164+'16-3'!M164+'17-3'!M164+'18-3'!M164+'19-3'!M164+'21-3'!M164+'22-3'!M164+'24-3'!M164+'25-3'!M164+'28-3'!M164+'29-3'!M164+'30-3'!M164+'32-3'!M164+'35-3'!M164+'37-3'!M164+'47-3'!M164+'62-3'!M164+'64-3'!M164+'74-3'!M164</f>
        <v>718757</v>
      </c>
      <c r="N418" s="106">
        <f>'01-3'!N164+'02-3'!N164+'03-3'!N164+'04-3'!N164+'05-3'!N164+'08-3'!N164+'09-3'!N164+'10-3'!N164+'11-3'!N164+'12-3'!N164+'13-3'!N164+'14-3'!N164+'15-3'!N164+'16-3'!N164+'17-3'!N164+'18-3'!N164+'19-3'!N164+'21-3'!N164+'22-3'!N164+'24-3'!N164+'25-3'!N164+'28-3'!N164+'29-3'!N164+'30-3'!N164+'32-3'!N164+'35-3'!N164+'37-3'!N164+'47-3'!N164+'62-3'!N164+'64-3'!N164+'74-3'!N164</f>
        <v>909333</v>
      </c>
      <c r="O418" s="106">
        <f>'01-3'!O164+'02-3'!O164+'03-3'!O164+'04-3'!O164+'05-3'!O164+'08-3'!O164+'09-3'!O164+'10-3'!O164+'11-3'!O164+'12-3'!O164+'13-3'!O164+'14-3'!O164+'15-3'!O164+'16-3'!O164+'17-3'!O164+'18-3'!O164+'19-3'!O164+'21-3'!O164+'22-3'!O164+'24-3'!O164+'25-3'!O164+'28-3'!O164+'29-3'!O164+'30-3'!O164+'32-3'!O164+'35-3'!O164+'37-3'!O164+'47-3'!O164+'62-3'!O164+'64-3'!O164+'74-3'!O164</f>
        <v>0</v>
      </c>
      <c r="P418" s="106">
        <f>'01-3'!P164+'02-3'!P164+'03-3'!P164+'04-3'!P164+'05-3'!P164+'08-3'!P164+'09-3'!P164+'10-3'!P164+'11-3'!P164+'12-3'!P164+'13-3'!P164+'14-3'!P164+'15-3'!P164+'16-3'!P164+'17-3'!P164+'18-3'!P164+'19-3'!P164+'21-3'!P164+'22-3'!P164+'24-3'!P164+'25-3'!P164+'28-3'!P164+'29-3'!P164+'30-3'!P164+'32-3'!P164+'35-3'!P164+'37-3'!P164+'47-3'!P164+'62-3'!P164+'64-3'!P164+'74-3'!P164</f>
        <v>14355</v>
      </c>
      <c r="Q418" s="106">
        <f>'01-3'!Q164+'02-3'!Q164+'03-3'!Q164+'04-3'!Q164+'05-3'!Q164+'08-3'!Q164+'09-3'!Q164+'10-3'!Q164+'11-3'!Q164+'12-3'!Q164+'13-3'!Q164+'14-3'!Q164+'15-3'!Q164+'16-3'!Q164+'17-3'!Q164+'18-3'!Q164+'19-3'!Q164+'21-3'!Q164+'22-3'!Q164+'24-3'!Q164+'25-3'!Q164+'28-3'!Q164+'29-3'!Q164+'30-3'!Q164+'32-3'!Q164+'35-3'!Q164+'37-3'!Q164+'47-3'!Q164+'62-3'!Q164+'64-3'!Q164+'74-3'!Q164</f>
        <v>0</v>
      </c>
      <c r="R418" s="106">
        <f>'01-3'!R164+'02-3'!R164+'03-3'!R164+'04-3'!R164+'05-3'!R164+'08-3'!R164+'09-3'!R164+'10-3'!R164+'11-3'!R164+'12-3'!R164+'13-3'!R164+'14-3'!R164+'15-3'!R164+'16-3'!R164+'17-3'!R164+'18-3'!R164+'19-3'!R164+'21-3'!R164+'22-3'!R164+'24-3'!R164+'25-3'!R164+'28-3'!R164+'29-3'!R164+'30-3'!R164+'32-3'!R164+'35-3'!R164+'37-3'!R164+'47-3'!R164+'62-3'!R164+'64-3'!R164+'74-3'!R164</f>
        <v>923688</v>
      </c>
      <c r="S418" s="954"/>
      <c r="T418" s="954"/>
      <c r="U418" s="954"/>
      <c r="V418" s="954"/>
      <c r="W418" s="954"/>
    </row>
    <row r="419" spans="1:23" s="6" customFormat="1" ht="12">
      <c r="A419" s="143" t="s">
        <v>48</v>
      </c>
      <c r="B419" s="118" t="s">
        <v>49</v>
      </c>
      <c r="C419" s="106">
        <f>'01-3'!C165+'02-3'!C165+'03-3'!C165+'04-3'!C165+'05-3'!C165+'08-3'!C165+'09-3'!C165+'10-3'!C165+'11-3'!C165+'12-3'!C165+'13-3'!C165+'14-3'!C165+'15-3'!C165+'16-3'!C165+'17-3'!C165+'18-3'!C165+'19-3'!C165+'21-3'!C165+'22-3'!C165+'24-3'!C165+'25-3'!C165+'28-3'!C165+'29-3'!C165+'30-3'!C165+'32-3'!C165+'35-3'!C165+'37-3'!C165+'47-3'!C165+'62-3'!C165+'64-3'!C165+'74-3'!C165</f>
        <v>-3441912</v>
      </c>
      <c r="D419" s="106">
        <f>'01-3'!D165+'02-3'!D165+'03-3'!D165+'04-3'!D165+'05-3'!D165+'08-3'!D165+'09-3'!D165+'10-3'!D165+'11-3'!D165+'12-3'!D165+'13-3'!D165+'14-3'!D165+'15-3'!D165+'16-3'!D165+'17-3'!D165+'18-3'!D165+'19-3'!D165+'21-3'!D165+'22-3'!D165+'24-3'!D165+'25-3'!D165+'28-3'!D165+'29-3'!D165+'30-3'!D165+'32-3'!D165+'35-3'!D165+'37-3'!D165+'47-3'!D165+'62-3'!D165+'64-3'!D165+'74-3'!D165</f>
        <v>34637</v>
      </c>
      <c r="E419" s="106">
        <f>'01-3'!E165+'02-3'!E165+'03-3'!E165+'04-3'!E165+'05-3'!E165+'08-3'!E165+'09-3'!E165+'10-3'!E165+'11-3'!E165+'12-3'!E165+'13-3'!E165+'14-3'!E165+'15-3'!E165+'16-3'!E165+'17-3'!E165+'18-3'!E165+'19-3'!E165+'21-3'!E165+'22-3'!E165+'24-3'!E165+'25-3'!E165+'28-3'!E165+'29-3'!E165+'30-3'!E165+'32-3'!E165+'35-3'!E165+'37-3'!E165+'47-3'!E165+'62-3'!E165+'64-3'!E165+'74-3'!E165</f>
        <v>0</v>
      </c>
      <c r="F419" s="106">
        <f>'01-3'!F165+'02-3'!F165+'03-3'!F165+'04-3'!F165+'05-3'!F165+'08-3'!F165+'09-3'!F165+'10-3'!F165+'11-3'!F165+'12-3'!F165+'13-3'!F165+'14-3'!F165+'15-3'!F165+'16-3'!F165+'17-3'!F165+'18-3'!F165+'19-3'!F165+'21-3'!F165+'22-3'!F165+'24-3'!F165+'25-3'!F165+'28-3'!F165+'29-3'!F165+'30-3'!F165+'32-3'!F165+'35-3'!F165+'37-3'!F165+'47-3'!F165+'62-3'!F165+'64-3'!F165+'74-3'!F165</f>
        <v>-14355</v>
      </c>
      <c r="G419" s="106">
        <f>'01-3'!G165+'02-3'!G165+'03-3'!G165+'04-3'!G165+'05-3'!G165+'08-3'!G165+'09-3'!G165+'10-3'!G165+'11-3'!G165+'12-3'!G165+'13-3'!G165+'14-3'!G165+'15-3'!G165+'16-3'!G165+'17-3'!G165+'18-3'!G165+'19-3'!G165+'21-3'!G165+'22-3'!G165+'24-3'!G165+'25-3'!G165+'28-3'!G165+'29-3'!G165+'30-3'!G165+'32-3'!G165+'35-3'!G165+'37-3'!G165+'47-3'!G165+'62-3'!G165+'64-3'!G165+'74-3'!G165</f>
        <v>-6406018</v>
      </c>
      <c r="H419" s="106">
        <f>'01-3'!H165+'02-3'!H165+'03-3'!H165+'04-3'!H165+'05-3'!H165+'08-3'!H165+'09-3'!H165+'10-3'!H165+'11-3'!H165+'12-3'!H165+'13-3'!H165+'14-3'!H165+'15-3'!H165+'16-3'!H165+'17-3'!H165+'18-3'!H165+'19-3'!H165+'21-3'!H165+'22-3'!H165+'24-3'!H165+'25-3'!H165+'28-3'!H165+'29-3'!H165+'30-3'!H165+'32-3'!H165+'35-3'!H165+'37-3'!H165+'47-3'!H165+'62-3'!H165+'64-3'!H165+'74-3'!H165</f>
        <v>-6385736</v>
      </c>
      <c r="I419" s="106">
        <f>'01-3'!I165+'02-3'!I165+'03-3'!I165+'04-3'!I165+'05-3'!I165+'08-3'!I165+'09-3'!I165+'10-3'!I165+'11-3'!I165+'12-3'!I165+'13-3'!I165+'14-3'!I165+'15-3'!I165+'16-3'!I165+'17-3'!I165+'18-3'!I165+'19-3'!I165+'21-3'!I165+'22-3'!I165+'24-3'!I165+'25-3'!I165+'28-3'!I165+'29-3'!I165+'30-3'!I165+'32-3'!I165+'35-3'!I165+'37-3'!I165+'47-3'!I165+'62-3'!I165+'64-3'!I165+'74-3'!I165</f>
        <v>-712088</v>
      </c>
      <c r="J419" s="106">
        <f>'01-3'!J165+'02-3'!J165+'03-3'!J165+'04-3'!J165+'05-3'!J165+'08-3'!J165+'09-3'!J165+'10-3'!J165+'11-3'!J165+'12-3'!J165+'13-3'!J165+'14-3'!J165+'15-3'!J165+'16-3'!J165+'17-3'!J165+'18-3'!J165+'19-3'!J165+'21-3'!J165+'22-3'!J165+'24-3'!J165+'25-3'!J165+'28-3'!J165+'29-3'!J165+'30-3'!J165+'32-3'!J165+'35-3'!J165+'37-3'!J165+'47-3'!J165+'62-3'!J165+'64-3'!J165+'74-3'!J165</f>
        <v>0</v>
      </c>
      <c r="K419" s="106">
        <f>'01-3'!K165+'02-3'!K165+'03-3'!K165+'04-3'!K165+'05-3'!K165+'08-3'!K165+'09-3'!K165+'10-3'!K165+'11-3'!K165+'12-3'!K165+'13-3'!K165+'14-3'!K165+'15-3'!K165+'16-3'!K165+'17-3'!K165+'18-3'!K165+'19-3'!K165+'21-3'!K165+'22-3'!K165+'24-3'!K165+'25-3'!K165+'28-3'!K165+'29-3'!K165+'30-3'!K165+'32-3'!K165+'35-3'!K165+'37-3'!K165+'47-3'!K165+'62-3'!K165+'64-3'!K165+'74-3'!K165</f>
        <v>-14355</v>
      </c>
      <c r="L419" s="106">
        <f>'01-3'!L165+'02-3'!L165+'03-3'!L165+'04-3'!L165+'05-3'!L165+'08-3'!L165+'09-3'!L165+'10-3'!L165+'11-3'!L165+'12-3'!L165+'13-3'!L165+'14-3'!L165+'15-3'!L165+'16-3'!L165+'17-3'!L165+'18-3'!L165+'19-3'!L165+'21-3'!L165+'22-3'!L165+'24-3'!L165+'25-3'!L165+'28-3'!L165+'29-3'!L165+'30-3'!L165+'32-3'!L165+'35-3'!L165+'37-3'!L165+'47-3'!L165+'62-3'!L165+'64-3'!L165+'74-3'!L165</f>
        <v>7686</v>
      </c>
      <c r="M419" s="106">
        <f>'01-3'!M165+'02-3'!M165+'03-3'!M165+'04-3'!M165+'05-3'!M165+'08-3'!M165+'09-3'!M165+'10-3'!M165+'11-3'!M165+'12-3'!M165+'13-3'!M165+'14-3'!M165+'15-3'!M165+'16-3'!M165+'17-3'!M165+'18-3'!M165+'19-3'!M165+'21-3'!M165+'22-3'!M165+'24-3'!M165+'25-3'!M165+'28-3'!M165+'29-3'!M165+'30-3'!M165+'32-3'!M165+'35-3'!M165+'37-3'!M165+'47-3'!M165+'62-3'!M165+'64-3'!M165+'74-3'!M165</f>
        <v>-718757</v>
      </c>
      <c r="N419" s="106">
        <f>'01-3'!N165+'02-3'!N165+'03-3'!N165+'04-3'!N165+'05-3'!N165+'08-3'!N165+'09-3'!N165+'10-3'!N165+'11-3'!N165+'12-3'!N165+'13-3'!N165+'14-3'!N165+'15-3'!N165+'16-3'!N165+'17-3'!N165+'18-3'!N165+'19-3'!N165+'21-3'!N165+'22-3'!N165+'24-3'!N165+'25-3'!N165+'28-3'!N165+'29-3'!N165+'30-3'!N165+'32-3'!N165+'35-3'!N165+'37-3'!N165+'47-3'!N165+'62-3'!N165+'64-3'!N165+'74-3'!N165</f>
        <v>-909333</v>
      </c>
      <c r="O419" s="106">
        <f>'01-3'!O165+'02-3'!O165+'03-3'!O165+'04-3'!O165+'05-3'!O165+'08-3'!O165+'09-3'!O165+'10-3'!O165+'11-3'!O165+'12-3'!O165+'13-3'!O165+'14-3'!O165+'15-3'!O165+'16-3'!O165+'17-3'!O165+'18-3'!O165+'19-3'!O165+'21-3'!O165+'22-3'!O165+'24-3'!O165+'25-3'!O165+'28-3'!O165+'29-3'!O165+'30-3'!O165+'32-3'!O165+'35-3'!O165+'37-3'!O165+'47-3'!O165+'62-3'!O165+'64-3'!O165+'74-3'!O165</f>
        <v>0</v>
      </c>
      <c r="P419" s="106">
        <f>'01-3'!P165+'02-3'!P165+'03-3'!P165+'04-3'!P165+'05-3'!P165+'08-3'!P165+'09-3'!P165+'10-3'!P165+'11-3'!P165+'12-3'!P165+'13-3'!P165+'14-3'!P165+'15-3'!P165+'16-3'!P165+'17-3'!P165+'18-3'!P165+'19-3'!P165+'21-3'!P165+'22-3'!P165+'24-3'!P165+'25-3'!P165+'28-3'!P165+'29-3'!P165+'30-3'!P165+'32-3'!P165+'35-3'!P165+'37-3'!P165+'47-3'!P165+'62-3'!P165+'64-3'!P165+'74-3'!P165</f>
        <v>-14355</v>
      </c>
      <c r="Q419" s="106">
        <f>'01-3'!Q165+'02-3'!Q165+'03-3'!Q165+'04-3'!Q165+'05-3'!Q165+'08-3'!Q165+'09-3'!Q165+'10-3'!Q165+'11-3'!Q165+'12-3'!Q165+'13-3'!Q165+'14-3'!Q165+'15-3'!Q165+'16-3'!Q165+'17-3'!Q165+'18-3'!Q165+'19-3'!Q165+'21-3'!Q165+'22-3'!Q165+'24-3'!Q165+'25-3'!Q165+'28-3'!Q165+'29-3'!Q165+'30-3'!Q165+'32-3'!Q165+'35-3'!Q165+'37-3'!Q165+'47-3'!Q165+'62-3'!Q165+'64-3'!Q165+'74-3'!Q165</f>
        <v>0</v>
      </c>
      <c r="R419" s="106">
        <f>'01-3'!R165+'02-3'!R165+'03-3'!R165+'04-3'!R165+'05-3'!R165+'08-3'!R165+'09-3'!R165+'10-3'!R165+'11-3'!R165+'12-3'!R165+'13-3'!R165+'14-3'!R165+'15-3'!R165+'16-3'!R165+'17-3'!R165+'18-3'!R165+'19-3'!R165+'21-3'!R165+'22-3'!R165+'24-3'!R165+'25-3'!R165+'28-3'!R165+'29-3'!R165+'30-3'!R165+'32-3'!R165+'35-3'!R165+'37-3'!R165+'47-3'!R165+'62-3'!R165+'64-3'!R165+'74-3'!R165</f>
        <v>-923688</v>
      </c>
      <c r="S419" s="954"/>
      <c r="T419" s="954"/>
      <c r="U419" s="954"/>
      <c r="V419" s="954"/>
      <c r="W419" s="954"/>
    </row>
    <row r="420" spans="1:23" s="6" customFormat="1" ht="12">
      <c r="A420" s="141" t="s">
        <v>50</v>
      </c>
      <c r="B420" s="112" t="s">
        <v>51</v>
      </c>
      <c r="C420" s="106">
        <f>'01-3'!C166+'02-3'!C166+'03-3'!C166+'04-3'!C166+'05-3'!C166+'08-3'!C166+'09-3'!C166+'10-3'!C166+'11-3'!C166+'12-3'!C166+'13-3'!C166+'14-3'!C166+'15-3'!C166+'16-3'!C166+'17-3'!C166+'18-3'!C166+'19-3'!C166+'21-3'!C166+'22-3'!C166+'24-3'!C166+'25-3'!C166+'28-3'!C166+'29-3'!C166+'30-3'!C166+'32-3'!C166+'35-3'!C166+'37-3'!C166+'47-3'!C166+'62-3'!C166+'64-3'!C166+'74-3'!C166</f>
        <v>-3999814</v>
      </c>
      <c r="D420" s="106">
        <f>'01-3'!D166+'02-3'!D166+'03-3'!D166+'04-3'!D166+'05-3'!D166+'08-3'!D166+'09-3'!D166+'10-3'!D166+'11-3'!D166+'12-3'!D166+'13-3'!D166+'14-3'!D166+'15-3'!D166+'16-3'!D166+'17-3'!D166+'18-3'!D166+'19-3'!D166+'21-3'!D166+'22-3'!D166+'24-3'!D166+'25-3'!D166+'28-3'!D166+'29-3'!D166+'30-3'!D166+'32-3'!D166+'35-3'!D166+'37-3'!D166+'47-3'!D166+'62-3'!D166+'64-3'!D166+'74-3'!D166</f>
        <v>-2831114</v>
      </c>
      <c r="E420" s="106">
        <f>'01-3'!E166+'02-3'!E166+'03-3'!E166+'04-3'!E166+'05-3'!E166+'08-3'!E166+'09-3'!E166+'10-3'!E166+'11-3'!E166+'12-3'!E166+'13-3'!E166+'14-3'!E166+'15-3'!E166+'16-3'!E166+'17-3'!E166+'18-3'!E166+'19-3'!E166+'21-3'!E166+'22-3'!E166+'24-3'!E166+'25-3'!E166+'28-3'!E166+'29-3'!E166+'30-3'!E166+'32-3'!E166+'35-3'!E166+'37-3'!E166+'47-3'!E166+'62-3'!E166+'64-3'!E166+'74-3'!E166</f>
        <v>0</v>
      </c>
      <c r="F420" s="106">
        <f>'01-3'!F166+'02-3'!F166+'03-3'!F166+'04-3'!F166+'05-3'!F166+'08-3'!F166+'09-3'!F166+'10-3'!F166+'11-3'!F166+'12-3'!F166+'13-3'!F166+'14-3'!F166+'15-3'!F166+'16-3'!F166+'17-3'!F166+'18-3'!F166+'19-3'!F166+'21-3'!F166+'22-3'!F166+'24-3'!F166+'25-3'!F166+'28-3'!F166+'29-3'!F166+'30-3'!F166+'32-3'!F166+'35-3'!F166+'37-3'!F166+'47-3'!F166+'62-3'!F166+'64-3'!F166+'74-3'!F166</f>
        <v>0</v>
      </c>
      <c r="G420" s="106">
        <f>'01-3'!G166+'02-3'!G166+'03-3'!G166+'04-3'!G166+'05-3'!G166+'08-3'!G166+'09-3'!G166+'10-3'!G166+'11-3'!G166+'12-3'!G166+'13-3'!G166+'14-3'!G166+'15-3'!G166+'16-3'!G166+'17-3'!G166+'18-3'!G166+'19-3'!G166+'21-3'!G166+'22-3'!G166+'24-3'!G166+'25-3'!G166+'28-3'!G166+'29-3'!G166+'30-3'!G166+'32-3'!G166+'35-3'!G166+'37-3'!G166+'47-3'!G166+'62-3'!G166+'64-3'!G166+'74-3'!G166</f>
        <v>0</v>
      </c>
      <c r="H420" s="106">
        <f>'01-3'!H166+'02-3'!H166+'03-3'!H166+'04-3'!H166+'05-3'!H166+'08-3'!H166+'09-3'!H166+'10-3'!H166+'11-3'!H166+'12-3'!H166+'13-3'!H166+'14-3'!H166+'15-3'!H166+'16-3'!H166+'17-3'!H166+'18-3'!H166+'19-3'!H166+'21-3'!H166+'22-3'!H166+'24-3'!H166+'25-3'!H166+'28-3'!H166+'29-3'!H166+'30-3'!H166+'32-3'!H166+'35-3'!H166+'37-3'!H166+'47-3'!H166+'62-3'!H166+'64-3'!H166+'74-3'!H166</f>
        <v>-2831114</v>
      </c>
      <c r="I420" s="106">
        <f>'01-3'!I166+'02-3'!I166+'03-3'!I166+'04-3'!I166+'05-3'!I166+'08-3'!I166+'09-3'!I166+'10-3'!I166+'11-3'!I166+'12-3'!I166+'13-3'!I166+'14-3'!I166+'15-3'!I166+'16-3'!I166+'17-3'!I166+'18-3'!I166+'19-3'!I166+'21-3'!I166+'22-3'!I166+'24-3'!I166+'25-3'!I166+'28-3'!I166+'29-3'!I166+'30-3'!I166+'32-3'!I166+'35-3'!I166+'37-3'!I166+'47-3'!I166+'62-3'!I166+'64-3'!I166+'74-3'!I166</f>
        <v>-3004368</v>
      </c>
      <c r="J420" s="106">
        <f>'01-3'!J166+'02-3'!J166+'03-3'!J166+'04-3'!J166+'05-3'!J166+'08-3'!J166+'09-3'!J166+'10-3'!J166+'11-3'!J166+'12-3'!J166+'13-3'!J166+'14-3'!J166+'15-3'!J166+'16-3'!J166+'17-3'!J166+'18-3'!J166+'19-3'!J166+'21-3'!J166+'22-3'!J166+'24-3'!J166+'25-3'!J166+'28-3'!J166+'29-3'!J166+'30-3'!J166+'32-3'!J166+'35-3'!J166+'37-3'!J166+'47-3'!J166+'62-3'!J166+'64-3'!J166+'74-3'!J166</f>
        <v>0</v>
      </c>
      <c r="K420" s="106">
        <f>'01-3'!K166+'02-3'!K166+'03-3'!K166+'04-3'!K166+'05-3'!K166+'08-3'!K166+'09-3'!K166+'10-3'!K166+'11-3'!K166+'12-3'!K166+'13-3'!K166+'14-3'!K166+'15-3'!K166+'16-3'!K166+'17-3'!K166+'18-3'!K166+'19-3'!K166+'21-3'!K166+'22-3'!K166+'24-3'!K166+'25-3'!K166+'28-3'!K166+'29-3'!K166+'30-3'!K166+'32-3'!K166+'35-3'!K166+'37-3'!K166+'47-3'!K166+'62-3'!K166+'64-3'!K166+'74-3'!K166</f>
        <v>0</v>
      </c>
      <c r="L420" s="106">
        <f>'01-3'!L166+'02-3'!L166+'03-3'!L166+'04-3'!L166+'05-3'!L166+'08-3'!L166+'09-3'!L166+'10-3'!L166+'11-3'!L166+'12-3'!L166+'13-3'!L166+'14-3'!L166+'15-3'!L166+'16-3'!L166+'17-3'!L166+'18-3'!L166+'19-3'!L166+'21-3'!L166+'22-3'!L166+'24-3'!L166+'25-3'!L166+'28-3'!L166+'29-3'!L166+'30-3'!L166+'32-3'!L166+'35-3'!L166+'37-3'!L166+'47-3'!L166+'62-3'!L166+'64-3'!L166+'74-3'!L166</f>
        <v>0</v>
      </c>
      <c r="M420" s="106">
        <f>'01-3'!M166+'02-3'!M166+'03-3'!M166+'04-3'!M166+'05-3'!M166+'08-3'!M166+'09-3'!M166+'10-3'!M166+'11-3'!M166+'12-3'!M166+'13-3'!M166+'14-3'!M166+'15-3'!M166+'16-3'!M166+'17-3'!M166+'18-3'!M166+'19-3'!M166+'21-3'!M166+'22-3'!M166+'24-3'!M166+'25-3'!M166+'28-3'!M166+'29-3'!M166+'30-3'!M166+'32-3'!M166+'35-3'!M166+'37-3'!M166+'47-3'!M166+'62-3'!M166+'64-3'!M166+'74-3'!M166</f>
        <v>-3004368</v>
      </c>
      <c r="N420" s="106">
        <f>'01-3'!N166+'02-3'!N166+'03-3'!N166+'04-3'!N166+'05-3'!N166+'08-3'!N166+'09-3'!N166+'10-3'!N166+'11-3'!N166+'12-3'!N166+'13-3'!N166+'14-3'!N166+'15-3'!N166+'16-3'!N166+'17-3'!N166+'18-3'!N166+'19-3'!N166+'21-3'!N166+'22-3'!N166+'24-3'!N166+'25-3'!N166+'28-3'!N166+'29-3'!N166+'30-3'!N166+'32-3'!N166+'35-3'!N166+'37-3'!N166+'47-3'!N166+'62-3'!N166+'64-3'!N166+'74-3'!N166</f>
        <v>-3201613</v>
      </c>
      <c r="O420" s="106">
        <f>'01-3'!O166+'02-3'!O166+'03-3'!O166+'04-3'!O166+'05-3'!O166+'08-3'!O166+'09-3'!O166+'10-3'!O166+'11-3'!O166+'12-3'!O166+'13-3'!O166+'14-3'!O166+'15-3'!O166+'16-3'!O166+'17-3'!O166+'18-3'!O166+'19-3'!O166+'21-3'!O166+'22-3'!O166+'24-3'!O166+'25-3'!O166+'28-3'!O166+'29-3'!O166+'30-3'!O166+'32-3'!O166+'35-3'!O166+'37-3'!O166+'47-3'!O166+'62-3'!O166+'64-3'!O166+'74-3'!O166</f>
        <v>0</v>
      </c>
      <c r="P420" s="106">
        <f>'01-3'!P166+'02-3'!P166+'03-3'!P166+'04-3'!P166+'05-3'!P166+'08-3'!P166+'09-3'!P166+'10-3'!P166+'11-3'!P166+'12-3'!P166+'13-3'!P166+'14-3'!P166+'15-3'!P166+'16-3'!P166+'17-3'!P166+'18-3'!P166+'19-3'!P166+'21-3'!P166+'22-3'!P166+'24-3'!P166+'25-3'!P166+'28-3'!P166+'29-3'!P166+'30-3'!P166+'32-3'!P166+'35-3'!P166+'37-3'!P166+'47-3'!P166+'62-3'!P166+'64-3'!P166+'74-3'!P166</f>
        <v>0</v>
      </c>
      <c r="Q420" s="106">
        <f>'01-3'!Q166+'02-3'!Q166+'03-3'!Q166+'04-3'!Q166+'05-3'!Q166+'08-3'!Q166+'09-3'!Q166+'10-3'!Q166+'11-3'!Q166+'12-3'!Q166+'13-3'!Q166+'14-3'!Q166+'15-3'!Q166+'16-3'!Q166+'17-3'!Q166+'18-3'!Q166+'19-3'!Q166+'21-3'!Q166+'22-3'!Q166+'24-3'!Q166+'25-3'!Q166+'28-3'!Q166+'29-3'!Q166+'30-3'!Q166+'32-3'!Q166+'35-3'!Q166+'37-3'!Q166+'47-3'!Q166+'62-3'!Q166+'64-3'!Q166+'74-3'!Q166</f>
        <v>0</v>
      </c>
      <c r="R420" s="106">
        <f>'01-3'!R166+'02-3'!R166+'03-3'!R166+'04-3'!R166+'05-3'!R166+'08-3'!R166+'09-3'!R166+'10-3'!R166+'11-3'!R166+'12-3'!R166+'13-3'!R166+'14-3'!R166+'15-3'!R166+'16-3'!R166+'17-3'!R166+'18-3'!R166+'19-3'!R166+'21-3'!R166+'22-3'!R166+'24-3'!R166+'25-3'!R166+'28-3'!R166+'29-3'!R166+'30-3'!R166+'32-3'!R166+'35-3'!R166+'37-3'!R166+'47-3'!R166+'62-3'!R166+'64-3'!R166+'74-3'!R166</f>
        <v>-3201613</v>
      </c>
      <c r="S420" s="954"/>
      <c r="T420" s="954"/>
      <c r="U420" s="954"/>
      <c r="V420" s="954"/>
      <c r="W420" s="954"/>
    </row>
    <row r="421" spans="1:23" s="6" customFormat="1" ht="12">
      <c r="A421" s="141" t="s">
        <v>52</v>
      </c>
      <c r="B421" s="112" t="s">
        <v>53</v>
      </c>
      <c r="C421" s="106">
        <f>'01-3'!C167+'02-3'!C167+'03-3'!C167+'04-3'!C167+'05-3'!C167+'08-3'!C167+'09-3'!C167+'10-3'!C167+'11-3'!C167+'12-3'!C167+'13-3'!C167+'14-3'!C167+'15-3'!C167+'16-3'!C167+'17-3'!C167+'18-3'!C167+'19-3'!C167+'21-3'!C167+'22-3'!C167+'24-3'!C167+'25-3'!C167+'28-3'!C167+'29-3'!C167+'30-3'!C167+'32-3'!C167+'35-3'!C167+'37-3'!C167+'47-3'!C167+'62-3'!C167+'64-3'!C167+'74-3'!C167</f>
        <v>0</v>
      </c>
      <c r="D421" s="106">
        <f>'01-3'!D167+'02-3'!D167+'03-3'!D167+'04-3'!D167+'05-3'!D167+'08-3'!D167+'09-3'!D167+'10-3'!D167+'11-3'!D167+'12-3'!D167+'13-3'!D167+'14-3'!D167+'15-3'!D167+'16-3'!D167+'17-3'!D167+'18-3'!D167+'19-3'!D167+'21-3'!D167+'22-3'!D167+'24-3'!D167+'25-3'!D167+'28-3'!D167+'29-3'!D167+'30-3'!D167+'32-3'!D167+'35-3'!D167+'37-3'!D167+'47-3'!D167+'62-3'!D167+'64-3'!D167+'74-3'!D167</f>
        <v>0</v>
      </c>
      <c r="E421" s="106">
        <f>'01-3'!E167+'02-3'!E167+'03-3'!E167+'04-3'!E167+'05-3'!E167+'08-3'!E167+'09-3'!E167+'10-3'!E167+'11-3'!E167+'12-3'!E167+'13-3'!E167+'14-3'!E167+'15-3'!E167+'16-3'!E167+'17-3'!E167+'18-3'!E167+'19-3'!E167+'21-3'!E167+'22-3'!E167+'24-3'!E167+'25-3'!E167+'28-3'!E167+'29-3'!E167+'30-3'!E167+'32-3'!E167+'35-3'!E167+'37-3'!E167+'47-3'!E167+'62-3'!E167+'64-3'!E167+'74-3'!E167</f>
        <v>0</v>
      </c>
      <c r="F421" s="106">
        <f>'01-3'!F167+'02-3'!F167+'03-3'!F167+'04-3'!F167+'05-3'!F167+'08-3'!F167+'09-3'!F167+'10-3'!F167+'11-3'!F167+'12-3'!F167+'13-3'!F167+'14-3'!F167+'15-3'!F167+'16-3'!F167+'17-3'!F167+'18-3'!F167+'19-3'!F167+'21-3'!F167+'22-3'!F167+'24-3'!F167+'25-3'!F167+'28-3'!F167+'29-3'!F167+'30-3'!F167+'32-3'!F167+'35-3'!F167+'37-3'!F167+'47-3'!F167+'62-3'!F167+'64-3'!F167+'74-3'!F167</f>
        <v>0</v>
      </c>
      <c r="G421" s="106">
        <f>'01-3'!G167+'02-3'!G167+'03-3'!G167+'04-3'!G167+'05-3'!G167+'08-3'!G167+'09-3'!G167+'10-3'!G167+'11-3'!G167+'12-3'!G167+'13-3'!G167+'14-3'!G167+'15-3'!G167+'16-3'!G167+'17-3'!G167+'18-3'!G167+'19-3'!G167+'21-3'!G167+'22-3'!G167+'24-3'!G167+'25-3'!G167+'28-3'!G167+'29-3'!G167+'30-3'!G167+'32-3'!G167+'35-3'!G167+'37-3'!G167+'47-3'!G167+'62-3'!G167+'64-3'!G167+'74-3'!G167</f>
        <v>0</v>
      </c>
      <c r="H421" s="106">
        <f>'01-3'!H167+'02-3'!H167+'03-3'!H167+'04-3'!H167+'05-3'!H167+'08-3'!H167+'09-3'!H167+'10-3'!H167+'11-3'!H167+'12-3'!H167+'13-3'!H167+'14-3'!H167+'15-3'!H167+'16-3'!H167+'17-3'!H167+'18-3'!H167+'19-3'!H167+'21-3'!H167+'22-3'!H167+'24-3'!H167+'25-3'!H167+'28-3'!H167+'29-3'!H167+'30-3'!H167+'32-3'!H167+'35-3'!H167+'37-3'!H167+'47-3'!H167+'62-3'!H167+'64-3'!H167+'74-3'!H167</f>
        <v>0</v>
      </c>
      <c r="I421" s="106">
        <f>'01-3'!I167+'02-3'!I167+'03-3'!I167+'04-3'!I167+'05-3'!I167+'08-3'!I167+'09-3'!I167+'10-3'!I167+'11-3'!I167+'12-3'!I167+'13-3'!I167+'14-3'!I167+'15-3'!I167+'16-3'!I167+'17-3'!I167+'18-3'!I167+'19-3'!I167+'21-3'!I167+'22-3'!I167+'24-3'!I167+'25-3'!I167+'28-3'!I167+'29-3'!I167+'30-3'!I167+'32-3'!I167+'35-3'!I167+'37-3'!I167+'47-3'!I167+'62-3'!I167+'64-3'!I167+'74-3'!I167</f>
        <v>0</v>
      </c>
      <c r="J421" s="106">
        <f>'01-3'!J167+'02-3'!J167+'03-3'!J167+'04-3'!J167+'05-3'!J167+'08-3'!J167+'09-3'!J167+'10-3'!J167+'11-3'!J167+'12-3'!J167+'13-3'!J167+'14-3'!J167+'15-3'!J167+'16-3'!J167+'17-3'!J167+'18-3'!J167+'19-3'!J167+'21-3'!J167+'22-3'!J167+'24-3'!J167+'25-3'!J167+'28-3'!J167+'29-3'!J167+'30-3'!J167+'32-3'!J167+'35-3'!J167+'37-3'!J167+'47-3'!J167+'62-3'!J167+'64-3'!J167+'74-3'!J167</f>
        <v>0</v>
      </c>
      <c r="K421" s="106">
        <f>'01-3'!K167+'02-3'!K167+'03-3'!K167+'04-3'!K167+'05-3'!K167+'08-3'!K167+'09-3'!K167+'10-3'!K167+'11-3'!K167+'12-3'!K167+'13-3'!K167+'14-3'!K167+'15-3'!K167+'16-3'!K167+'17-3'!K167+'18-3'!K167+'19-3'!K167+'21-3'!K167+'22-3'!K167+'24-3'!K167+'25-3'!K167+'28-3'!K167+'29-3'!K167+'30-3'!K167+'32-3'!K167+'35-3'!K167+'37-3'!K167+'47-3'!K167+'62-3'!K167+'64-3'!K167+'74-3'!K167</f>
        <v>0</v>
      </c>
      <c r="L421" s="106">
        <f>'01-3'!L167+'02-3'!L167+'03-3'!L167+'04-3'!L167+'05-3'!L167+'08-3'!L167+'09-3'!L167+'10-3'!L167+'11-3'!L167+'12-3'!L167+'13-3'!L167+'14-3'!L167+'15-3'!L167+'16-3'!L167+'17-3'!L167+'18-3'!L167+'19-3'!L167+'21-3'!L167+'22-3'!L167+'24-3'!L167+'25-3'!L167+'28-3'!L167+'29-3'!L167+'30-3'!L167+'32-3'!L167+'35-3'!L167+'37-3'!L167+'47-3'!L167+'62-3'!L167+'64-3'!L167+'74-3'!L167</f>
        <v>0</v>
      </c>
      <c r="M421" s="106">
        <f>'01-3'!M167+'02-3'!M167+'03-3'!M167+'04-3'!M167+'05-3'!M167+'08-3'!M167+'09-3'!M167+'10-3'!M167+'11-3'!M167+'12-3'!M167+'13-3'!M167+'14-3'!M167+'15-3'!M167+'16-3'!M167+'17-3'!M167+'18-3'!M167+'19-3'!M167+'21-3'!M167+'22-3'!M167+'24-3'!M167+'25-3'!M167+'28-3'!M167+'29-3'!M167+'30-3'!M167+'32-3'!M167+'35-3'!M167+'37-3'!M167+'47-3'!M167+'62-3'!M167+'64-3'!M167+'74-3'!M167</f>
        <v>0</v>
      </c>
      <c r="N421" s="106">
        <f>'01-3'!N167+'02-3'!N167+'03-3'!N167+'04-3'!N167+'05-3'!N167+'08-3'!N167+'09-3'!N167+'10-3'!N167+'11-3'!N167+'12-3'!N167+'13-3'!N167+'14-3'!N167+'15-3'!N167+'16-3'!N167+'17-3'!N167+'18-3'!N167+'19-3'!N167+'21-3'!N167+'22-3'!N167+'24-3'!N167+'25-3'!N167+'28-3'!N167+'29-3'!N167+'30-3'!N167+'32-3'!N167+'35-3'!N167+'37-3'!N167+'47-3'!N167+'62-3'!N167+'64-3'!N167+'74-3'!N167</f>
        <v>0</v>
      </c>
      <c r="O421" s="106">
        <f>'01-3'!O167+'02-3'!O167+'03-3'!O167+'04-3'!O167+'05-3'!O167+'08-3'!O167+'09-3'!O167+'10-3'!O167+'11-3'!O167+'12-3'!O167+'13-3'!O167+'14-3'!O167+'15-3'!O167+'16-3'!O167+'17-3'!O167+'18-3'!O167+'19-3'!O167+'21-3'!O167+'22-3'!O167+'24-3'!O167+'25-3'!O167+'28-3'!O167+'29-3'!O167+'30-3'!O167+'32-3'!O167+'35-3'!O167+'37-3'!O167+'47-3'!O167+'62-3'!O167+'64-3'!O167+'74-3'!O167</f>
        <v>0</v>
      </c>
      <c r="P421" s="106">
        <f>'01-3'!P167+'02-3'!P167+'03-3'!P167+'04-3'!P167+'05-3'!P167+'08-3'!P167+'09-3'!P167+'10-3'!P167+'11-3'!P167+'12-3'!P167+'13-3'!P167+'14-3'!P167+'15-3'!P167+'16-3'!P167+'17-3'!P167+'18-3'!P167+'19-3'!P167+'21-3'!P167+'22-3'!P167+'24-3'!P167+'25-3'!P167+'28-3'!P167+'29-3'!P167+'30-3'!P167+'32-3'!P167+'35-3'!P167+'37-3'!P167+'47-3'!P167+'62-3'!P167+'64-3'!P167+'74-3'!P167</f>
        <v>0</v>
      </c>
      <c r="Q421" s="106">
        <f>'01-3'!Q167+'02-3'!Q167+'03-3'!Q167+'04-3'!Q167+'05-3'!Q167+'08-3'!Q167+'09-3'!Q167+'10-3'!Q167+'11-3'!Q167+'12-3'!Q167+'13-3'!Q167+'14-3'!Q167+'15-3'!Q167+'16-3'!Q167+'17-3'!Q167+'18-3'!Q167+'19-3'!Q167+'21-3'!Q167+'22-3'!Q167+'24-3'!Q167+'25-3'!Q167+'28-3'!Q167+'29-3'!Q167+'30-3'!Q167+'32-3'!Q167+'35-3'!Q167+'37-3'!Q167+'47-3'!Q167+'62-3'!Q167+'64-3'!Q167+'74-3'!Q167</f>
        <v>0</v>
      </c>
      <c r="R421" s="106">
        <f>'01-3'!R167+'02-3'!R167+'03-3'!R167+'04-3'!R167+'05-3'!R167+'08-3'!R167+'09-3'!R167+'10-3'!R167+'11-3'!R167+'12-3'!R167+'13-3'!R167+'14-3'!R167+'15-3'!R167+'16-3'!R167+'17-3'!R167+'18-3'!R167+'19-3'!R167+'21-3'!R167+'22-3'!R167+'24-3'!R167+'25-3'!R167+'28-3'!R167+'29-3'!R167+'30-3'!R167+'32-3'!R167+'35-3'!R167+'37-3'!R167+'47-3'!R167+'62-3'!R167+'64-3'!R167+'74-3'!R167</f>
        <v>0</v>
      </c>
      <c r="S421" s="954"/>
      <c r="T421" s="954"/>
      <c r="U421" s="954"/>
      <c r="V421" s="954"/>
      <c r="W421" s="954"/>
    </row>
    <row r="422" spans="1:23" s="6" customFormat="1" ht="12">
      <c r="A422" s="141" t="s">
        <v>54</v>
      </c>
      <c r="B422" s="112" t="s">
        <v>55</v>
      </c>
      <c r="C422" s="106">
        <f>'01-3'!C168+'02-3'!C168+'03-3'!C168+'04-3'!C168+'05-3'!C168+'08-3'!C168+'09-3'!C168+'10-3'!C168+'11-3'!C168+'12-3'!C168+'13-3'!C168+'14-3'!C168+'15-3'!C168+'16-3'!C168+'17-3'!C168+'18-3'!C168+'19-3'!C168+'21-3'!C168+'22-3'!C168+'24-3'!C168+'25-3'!C168+'28-3'!C168+'29-3'!C168+'30-3'!C168+'32-3'!C168+'35-3'!C168+'37-3'!C168+'47-3'!C168+'62-3'!C168+'64-3'!C168+'74-3'!C168</f>
        <v>-3999814</v>
      </c>
      <c r="D422" s="106">
        <f>'01-3'!D168+'02-3'!D168+'03-3'!D168+'04-3'!D168+'05-3'!D168+'08-3'!D168+'09-3'!D168+'10-3'!D168+'11-3'!D168+'12-3'!D168+'13-3'!D168+'14-3'!D168+'15-3'!D168+'16-3'!D168+'17-3'!D168+'18-3'!D168+'19-3'!D168+'21-3'!D168+'22-3'!D168+'24-3'!D168+'25-3'!D168+'28-3'!D168+'29-3'!D168+'30-3'!D168+'32-3'!D168+'35-3'!D168+'37-3'!D168+'47-3'!D168+'62-3'!D168+'64-3'!D168+'74-3'!D168</f>
        <v>-2831114</v>
      </c>
      <c r="E422" s="106">
        <f>'01-3'!E168+'02-3'!E168+'03-3'!E168+'04-3'!E168+'05-3'!E168+'08-3'!E168+'09-3'!E168+'10-3'!E168+'11-3'!E168+'12-3'!E168+'13-3'!E168+'14-3'!E168+'15-3'!E168+'16-3'!E168+'17-3'!E168+'18-3'!E168+'19-3'!E168+'21-3'!E168+'22-3'!E168+'24-3'!E168+'25-3'!E168+'28-3'!E168+'29-3'!E168+'30-3'!E168+'32-3'!E168+'35-3'!E168+'37-3'!E168+'47-3'!E168+'62-3'!E168+'64-3'!E168+'74-3'!E168</f>
        <v>0</v>
      </c>
      <c r="F422" s="106">
        <f>'01-3'!F168+'02-3'!F168+'03-3'!F168+'04-3'!F168+'05-3'!F168+'08-3'!F168+'09-3'!F168+'10-3'!F168+'11-3'!F168+'12-3'!F168+'13-3'!F168+'14-3'!F168+'15-3'!F168+'16-3'!F168+'17-3'!F168+'18-3'!F168+'19-3'!F168+'21-3'!F168+'22-3'!F168+'24-3'!F168+'25-3'!F168+'28-3'!F168+'29-3'!F168+'30-3'!F168+'32-3'!F168+'35-3'!F168+'37-3'!F168+'47-3'!F168+'62-3'!F168+'64-3'!F168+'74-3'!F168</f>
        <v>0</v>
      </c>
      <c r="G422" s="106">
        <f>'01-3'!G168+'02-3'!G168+'03-3'!G168+'04-3'!G168+'05-3'!G168+'08-3'!G168+'09-3'!G168+'10-3'!G168+'11-3'!G168+'12-3'!G168+'13-3'!G168+'14-3'!G168+'15-3'!G168+'16-3'!G168+'17-3'!G168+'18-3'!G168+'19-3'!G168+'21-3'!G168+'22-3'!G168+'24-3'!G168+'25-3'!G168+'28-3'!G168+'29-3'!G168+'30-3'!G168+'32-3'!G168+'35-3'!G168+'37-3'!G168+'47-3'!G168+'62-3'!G168+'64-3'!G168+'74-3'!G168</f>
        <v>0</v>
      </c>
      <c r="H422" s="106">
        <f>'01-3'!H168+'02-3'!H168+'03-3'!H168+'04-3'!H168+'05-3'!H168+'08-3'!H168+'09-3'!H168+'10-3'!H168+'11-3'!H168+'12-3'!H168+'13-3'!H168+'14-3'!H168+'15-3'!H168+'16-3'!H168+'17-3'!H168+'18-3'!H168+'19-3'!H168+'21-3'!H168+'22-3'!H168+'24-3'!H168+'25-3'!H168+'28-3'!H168+'29-3'!H168+'30-3'!H168+'32-3'!H168+'35-3'!H168+'37-3'!H168+'47-3'!H168+'62-3'!H168+'64-3'!H168+'74-3'!H168</f>
        <v>-2831114</v>
      </c>
      <c r="I422" s="106">
        <f>'01-3'!I168+'02-3'!I168+'03-3'!I168+'04-3'!I168+'05-3'!I168+'08-3'!I168+'09-3'!I168+'10-3'!I168+'11-3'!I168+'12-3'!I168+'13-3'!I168+'14-3'!I168+'15-3'!I168+'16-3'!I168+'17-3'!I168+'18-3'!I168+'19-3'!I168+'21-3'!I168+'22-3'!I168+'24-3'!I168+'25-3'!I168+'28-3'!I168+'29-3'!I168+'30-3'!I168+'32-3'!I168+'35-3'!I168+'37-3'!I168+'47-3'!I168+'62-3'!I168+'64-3'!I168+'74-3'!I168</f>
        <v>-3004368</v>
      </c>
      <c r="J422" s="106">
        <f>'01-3'!J168+'02-3'!J168+'03-3'!J168+'04-3'!J168+'05-3'!J168+'08-3'!J168+'09-3'!J168+'10-3'!J168+'11-3'!J168+'12-3'!J168+'13-3'!J168+'14-3'!J168+'15-3'!J168+'16-3'!J168+'17-3'!J168+'18-3'!J168+'19-3'!J168+'21-3'!J168+'22-3'!J168+'24-3'!J168+'25-3'!J168+'28-3'!J168+'29-3'!J168+'30-3'!J168+'32-3'!J168+'35-3'!J168+'37-3'!J168+'47-3'!J168+'62-3'!J168+'64-3'!J168+'74-3'!J168</f>
        <v>0</v>
      </c>
      <c r="K422" s="106">
        <f>'01-3'!K168+'02-3'!K168+'03-3'!K168+'04-3'!K168+'05-3'!K168+'08-3'!K168+'09-3'!K168+'10-3'!K168+'11-3'!K168+'12-3'!K168+'13-3'!K168+'14-3'!K168+'15-3'!K168+'16-3'!K168+'17-3'!K168+'18-3'!K168+'19-3'!K168+'21-3'!K168+'22-3'!K168+'24-3'!K168+'25-3'!K168+'28-3'!K168+'29-3'!K168+'30-3'!K168+'32-3'!K168+'35-3'!K168+'37-3'!K168+'47-3'!K168+'62-3'!K168+'64-3'!K168+'74-3'!K168</f>
        <v>0</v>
      </c>
      <c r="L422" s="106">
        <f>'01-3'!L168+'02-3'!L168+'03-3'!L168+'04-3'!L168+'05-3'!L168+'08-3'!L168+'09-3'!L168+'10-3'!L168+'11-3'!L168+'12-3'!L168+'13-3'!L168+'14-3'!L168+'15-3'!L168+'16-3'!L168+'17-3'!L168+'18-3'!L168+'19-3'!L168+'21-3'!L168+'22-3'!L168+'24-3'!L168+'25-3'!L168+'28-3'!L168+'29-3'!L168+'30-3'!L168+'32-3'!L168+'35-3'!L168+'37-3'!L168+'47-3'!L168+'62-3'!L168+'64-3'!L168+'74-3'!L168</f>
        <v>0</v>
      </c>
      <c r="M422" s="106">
        <f>'01-3'!M168+'02-3'!M168+'03-3'!M168+'04-3'!M168+'05-3'!M168+'08-3'!M168+'09-3'!M168+'10-3'!M168+'11-3'!M168+'12-3'!M168+'13-3'!M168+'14-3'!M168+'15-3'!M168+'16-3'!M168+'17-3'!M168+'18-3'!M168+'19-3'!M168+'21-3'!M168+'22-3'!M168+'24-3'!M168+'25-3'!M168+'28-3'!M168+'29-3'!M168+'30-3'!M168+'32-3'!M168+'35-3'!M168+'37-3'!M168+'47-3'!M168+'62-3'!M168+'64-3'!M168+'74-3'!M168</f>
        <v>-3004368</v>
      </c>
      <c r="N422" s="106">
        <f>'01-3'!N168+'02-3'!N168+'03-3'!N168+'04-3'!N168+'05-3'!N168+'08-3'!N168+'09-3'!N168+'10-3'!N168+'11-3'!N168+'12-3'!N168+'13-3'!N168+'14-3'!N168+'15-3'!N168+'16-3'!N168+'17-3'!N168+'18-3'!N168+'19-3'!N168+'21-3'!N168+'22-3'!N168+'24-3'!N168+'25-3'!N168+'28-3'!N168+'29-3'!N168+'30-3'!N168+'32-3'!N168+'35-3'!N168+'37-3'!N168+'47-3'!N168+'62-3'!N168+'64-3'!N168+'74-3'!N168</f>
        <v>-3201613</v>
      </c>
      <c r="O422" s="106">
        <f>'01-3'!O168+'02-3'!O168+'03-3'!O168+'04-3'!O168+'05-3'!O168+'08-3'!O168+'09-3'!O168+'10-3'!O168+'11-3'!O168+'12-3'!O168+'13-3'!O168+'14-3'!O168+'15-3'!O168+'16-3'!O168+'17-3'!O168+'18-3'!O168+'19-3'!O168+'21-3'!O168+'22-3'!O168+'24-3'!O168+'25-3'!O168+'28-3'!O168+'29-3'!O168+'30-3'!O168+'32-3'!O168+'35-3'!O168+'37-3'!O168+'47-3'!O168+'62-3'!O168+'64-3'!O168+'74-3'!O168</f>
        <v>0</v>
      </c>
      <c r="P422" s="106">
        <f>'01-3'!P168+'02-3'!P168+'03-3'!P168+'04-3'!P168+'05-3'!P168+'08-3'!P168+'09-3'!P168+'10-3'!P168+'11-3'!P168+'12-3'!P168+'13-3'!P168+'14-3'!P168+'15-3'!P168+'16-3'!P168+'17-3'!P168+'18-3'!P168+'19-3'!P168+'21-3'!P168+'22-3'!P168+'24-3'!P168+'25-3'!P168+'28-3'!P168+'29-3'!P168+'30-3'!P168+'32-3'!P168+'35-3'!P168+'37-3'!P168+'47-3'!P168+'62-3'!P168+'64-3'!P168+'74-3'!P168</f>
        <v>0</v>
      </c>
      <c r="Q422" s="106">
        <f>'01-3'!Q168+'02-3'!Q168+'03-3'!Q168+'04-3'!Q168+'05-3'!Q168+'08-3'!Q168+'09-3'!Q168+'10-3'!Q168+'11-3'!Q168+'12-3'!Q168+'13-3'!Q168+'14-3'!Q168+'15-3'!Q168+'16-3'!Q168+'17-3'!Q168+'18-3'!Q168+'19-3'!Q168+'21-3'!Q168+'22-3'!Q168+'24-3'!Q168+'25-3'!Q168+'28-3'!Q168+'29-3'!Q168+'30-3'!Q168+'32-3'!Q168+'35-3'!Q168+'37-3'!Q168+'47-3'!Q168+'62-3'!Q168+'64-3'!Q168+'74-3'!Q168</f>
        <v>0</v>
      </c>
      <c r="R422" s="106">
        <f>'01-3'!R168+'02-3'!R168+'03-3'!R168+'04-3'!R168+'05-3'!R168+'08-3'!R168+'09-3'!R168+'10-3'!R168+'11-3'!R168+'12-3'!R168+'13-3'!R168+'14-3'!R168+'15-3'!R168+'16-3'!R168+'17-3'!R168+'18-3'!R168+'19-3'!R168+'21-3'!R168+'22-3'!R168+'24-3'!R168+'25-3'!R168+'28-3'!R168+'29-3'!R168+'30-3'!R168+'32-3'!R168+'35-3'!R168+'37-3'!R168+'47-3'!R168+'62-3'!R168+'64-3'!R168+'74-3'!R168</f>
        <v>-3201613</v>
      </c>
      <c r="S422" s="954"/>
      <c r="T422" s="954"/>
      <c r="U422" s="954"/>
      <c r="V422" s="954"/>
      <c r="W422" s="954"/>
    </row>
    <row r="423" spans="1:23" s="6" customFormat="1" ht="12">
      <c r="A423" s="141" t="s">
        <v>56</v>
      </c>
      <c r="B423" s="112" t="s">
        <v>57</v>
      </c>
      <c r="C423" s="106">
        <f>'01-3'!C169+'02-3'!C169+'03-3'!C169+'04-3'!C169+'05-3'!C169+'08-3'!C169+'09-3'!C169+'10-3'!C169+'11-3'!C169+'12-3'!C169+'13-3'!C169+'14-3'!C169+'15-3'!C169+'16-3'!C169+'17-3'!C169+'18-3'!C169+'19-3'!C169+'21-3'!C169+'22-3'!C169+'24-3'!C169+'25-3'!C169+'28-3'!C169+'29-3'!C169+'30-3'!C169+'32-3'!C169+'35-3'!C169+'37-3'!C169+'47-3'!C169+'62-3'!C169+'64-3'!C169+'74-3'!C169</f>
        <v>2603640</v>
      </c>
      <c r="D423" s="106">
        <f>'01-3'!D169+'02-3'!D169+'03-3'!D169+'04-3'!D169+'05-3'!D169+'08-3'!D169+'09-3'!D169+'10-3'!D169+'11-3'!D169+'12-3'!D169+'13-3'!D169+'14-3'!D169+'15-3'!D169+'16-3'!D169+'17-3'!D169+'18-3'!D169+'19-3'!D169+'21-3'!D169+'22-3'!D169+'24-3'!D169+'25-3'!D169+'28-3'!D169+'29-3'!D169+'30-3'!D169+'32-3'!D169+'35-3'!D169+'37-3'!D169+'47-3'!D169+'62-3'!D169+'64-3'!D169+'74-3'!D169</f>
        <v>1810000</v>
      </c>
      <c r="E423" s="106">
        <f>'01-3'!E169+'02-3'!E169+'03-3'!E169+'04-3'!E169+'05-3'!E169+'08-3'!E169+'09-3'!E169+'10-3'!E169+'11-3'!E169+'12-3'!E169+'13-3'!E169+'14-3'!E169+'15-3'!E169+'16-3'!E169+'17-3'!E169+'18-3'!E169+'19-3'!E169+'21-3'!E169+'22-3'!E169+'24-3'!E169+'25-3'!E169+'28-3'!E169+'29-3'!E169+'30-3'!E169+'32-3'!E169+'35-3'!E169+'37-3'!E169+'47-3'!E169+'62-3'!E169+'64-3'!E169+'74-3'!E169</f>
        <v>0</v>
      </c>
      <c r="F423" s="106">
        <f>'01-3'!F169+'02-3'!F169+'03-3'!F169+'04-3'!F169+'05-3'!F169+'08-3'!F169+'09-3'!F169+'10-3'!F169+'11-3'!F169+'12-3'!F169+'13-3'!F169+'14-3'!F169+'15-3'!F169+'16-3'!F169+'17-3'!F169+'18-3'!F169+'19-3'!F169+'21-3'!F169+'22-3'!F169+'24-3'!F169+'25-3'!F169+'28-3'!F169+'29-3'!F169+'30-3'!F169+'32-3'!F169+'35-3'!F169+'37-3'!F169+'47-3'!F169+'62-3'!F169+'64-3'!F169+'74-3'!F169</f>
        <v>0</v>
      </c>
      <c r="G423" s="106">
        <f>'01-3'!G169+'02-3'!G169+'03-3'!G169+'04-3'!G169+'05-3'!G169+'08-3'!G169+'09-3'!G169+'10-3'!G169+'11-3'!G169+'12-3'!G169+'13-3'!G169+'14-3'!G169+'15-3'!G169+'16-3'!G169+'17-3'!G169+'18-3'!G169+'19-3'!G169+'21-3'!G169+'22-3'!G169+'24-3'!G169+'25-3'!G169+'28-3'!G169+'29-3'!G169+'30-3'!G169+'32-3'!G169+'35-3'!G169+'37-3'!G169+'47-3'!G169+'62-3'!G169+'64-3'!G169+'74-3'!G169</f>
        <v>0</v>
      </c>
      <c r="H423" s="106">
        <f>'01-3'!H169+'02-3'!H169+'03-3'!H169+'04-3'!H169+'05-3'!H169+'08-3'!H169+'09-3'!H169+'10-3'!H169+'11-3'!H169+'12-3'!H169+'13-3'!H169+'14-3'!H169+'15-3'!H169+'16-3'!H169+'17-3'!H169+'18-3'!H169+'19-3'!H169+'21-3'!H169+'22-3'!H169+'24-3'!H169+'25-3'!H169+'28-3'!H169+'29-3'!H169+'30-3'!H169+'32-3'!H169+'35-3'!H169+'37-3'!H169+'47-3'!H169+'62-3'!H169+'64-3'!H169+'74-3'!H169</f>
        <v>1810000</v>
      </c>
      <c r="I423" s="106">
        <f>'01-3'!I169+'02-3'!I169+'03-3'!I169+'04-3'!I169+'05-3'!I169+'08-3'!I169+'09-3'!I169+'10-3'!I169+'11-3'!I169+'12-3'!I169+'13-3'!I169+'14-3'!I169+'15-3'!I169+'16-3'!I169+'17-3'!I169+'18-3'!I169+'19-3'!I169+'21-3'!I169+'22-3'!I169+'24-3'!I169+'25-3'!I169+'28-3'!I169+'29-3'!I169+'30-3'!I169+'32-3'!I169+'35-3'!I169+'37-3'!I169+'47-3'!I169+'62-3'!I169+'64-3'!I169+'74-3'!I169</f>
        <v>1810000</v>
      </c>
      <c r="J423" s="106">
        <f>'01-3'!J169+'02-3'!J169+'03-3'!J169+'04-3'!J169+'05-3'!J169+'08-3'!J169+'09-3'!J169+'10-3'!J169+'11-3'!J169+'12-3'!J169+'13-3'!J169+'14-3'!J169+'15-3'!J169+'16-3'!J169+'17-3'!J169+'18-3'!J169+'19-3'!J169+'21-3'!J169+'22-3'!J169+'24-3'!J169+'25-3'!J169+'28-3'!J169+'29-3'!J169+'30-3'!J169+'32-3'!J169+'35-3'!J169+'37-3'!J169+'47-3'!J169+'62-3'!J169+'64-3'!J169+'74-3'!J169</f>
        <v>0</v>
      </c>
      <c r="K423" s="106">
        <f>'01-3'!K169+'02-3'!K169+'03-3'!K169+'04-3'!K169+'05-3'!K169+'08-3'!K169+'09-3'!K169+'10-3'!K169+'11-3'!K169+'12-3'!K169+'13-3'!K169+'14-3'!K169+'15-3'!K169+'16-3'!K169+'17-3'!K169+'18-3'!K169+'19-3'!K169+'21-3'!K169+'22-3'!K169+'24-3'!K169+'25-3'!K169+'28-3'!K169+'29-3'!K169+'30-3'!K169+'32-3'!K169+'35-3'!K169+'37-3'!K169+'47-3'!K169+'62-3'!K169+'64-3'!K169+'74-3'!K169</f>
        <v>0</v>
      </c>
      <c r="L423" s="106">
        <f>'01-3'!L169+'02-3'!L169+'03-3'!L169+'04-3'!L169+'05-3'!L169+'08-3'!L169+'09-3'!L169+'10-3'!L169+'11-3'!L169+'12-3'!L169+'13-3'!L169+'14-3'!L169+'15-3'!L169+'16-3'!L169+'17-3'!L169+'18-3'!L169+'19-3'!L169+'21-3'!L169+'22-3'!L169+'24-3'!L169+'25-3'!L169+'28-3'!L169+'29-3'!L169+'30-3'!L169+'32-3'!L169+'35-3'!L169+'37-3'!L169+'47-3'!L169+'62-3'!L169+'64-3'!L169+'74-3'!L169</f>
        <v>0</v>
      </c>
      <c r="M423" s="106">
        <f>'01-3'!M169+'02-3'!M169+'03-3'!M169+'04-3'!M169+'05-3'!M169+'08-3'!M169+'09-3'!M169+'10-3'!M169+'11-3'!M169+'12-3'!M169+'13-3'!M169+'14-3'!M169+'15-3'!M169+'16-3'!M169+'17-3'!M169+'18-3'!M169+'19-3'!M169+'21-3'!M169+'22-3'!M169+'24-3'!M169+'25-3'!M169+'28-3'!M169+'29-3'!M169+'30-3'!M169+'32-3'!M169+'35-3'!M169+'37-3'!M169+'47-3'!M169+'62-3'!M169+'64-3'!M169+'74-3'!M169</f>
        <v>1810000</v>
      </c>
      <c r="N423" s="106">
        <f>'01-3'!N169+'02-3'!N169+'03-3'!N169+'04-3'!N169+'05-3'!N169+'08-3'!N169+'09-3'!N169+'10-3'!N169+'11-3'!N169+'12-3'!N169+'13-3'!N169+'14-3'!N169+'15-3'!N169+'16-3'!N169+'17-3'!N169+'18-3'!N169+'19-3'!N169+'21-3'!N169+'22-3'!N169+'24-3'!N169+'25-3'!N169+'28-3'!N169+'29-3'!N169+'30-3'!N169+'32-3'!N169+'35-3'!N169+'37-3'!N169+'47-3'!N169+'62-3'!N169+'64-3'!N169+'74-3'!N169</f>
        <v>1810000</v>
      </c>
      <c r="O423" s="106">
        <f>'01-3'!O169+'02-3'!O169+'03-3'!O169+'04-3'!O169+'05-3'!O169+'08-3'!O169+'09-3'!O169+'10-3'!O169+'11-3'!O169+'12-3'!O169+'13-3'!O169+'14-3'!O169+'15-3'!O169+'16-3'!O169+'17-3'!O169+'18-3'!O169+'19-3'!O169+'21-3'!O169+'22-3'!O169+'24-3'!O169+'25-3'!O169+'28-3'!O169+'29-3'!O169+'30-3'!O169+'32-3'!O169+'35-3'!O169+'37-3'!O169+'47-3'!O169+'62-3'!O169+'64-3'!O169+'74-3'!O169</f>
        <v>0</v>
      </c>
      <c r="P423" s="106">
        <f>'01-3'!P169+'02-3'!P169+'03-3'!P169+'04-3'!P169+'05-3'!P169+'08-3'!P169+'09-3'!P169+'10-3'!P169+'11-3'!P169+'12-3'!P169+'13-3'!P169+'14-3'!P169+'15-3'!P169+'16-3'!P169+'17-3'!P169+'18-3'!P169+'19-3'!P169+'21-3'!P169+'22-3'!P169+'24-3'!P169+'25-3'!P169+'28-3'!P169+'29-3'!P169+'30-3'!P169+'32-3'!P169+'35-3'!P169+'37-3'!P169+'47-3'!P169+'62-3'!P169+'64-3'!P169+'74-3'!P169</f>
        <v>0</v>
      </c>
      <c r="Q423" s="106">
        <f>'01-3'!Q169+'02-3'!Q169+'03-3'!Q169+'04-3'!Q169+'05-3'!Q169+'08-3'!Q169+'09-3'!Q169+'10-3'!Q169+'11-3'!Q169+'12-3'!Q169+'13-3'!Q169+'14-3'!Q169+'15-3'!Q169+'16-3'!Q169+'17-3'!Q169+'18-3'!Q169+'19-3'!Q169+'21-3'!Q169+'22-3'!Q169+'24-3'!Q169+'25-3'!Q169+'28-3'!Q169+'29-3'!Q169+'30-3'!Q169+'32-3'!Q169+'35-3'!Q169+'37-3'!Q169+'47-3'!Q169+'62-3'!Q169+'64-3'!Q169+'74-3'!Q169</f>
        <v>0</v>
      </c>
      <c r="R423" s="106">
        <f>'01-3'!R169+'02-3'!R169+'03-3'!R169+'04-3'!R169+'05-3'!R169+'08-3'!R169+'09-3'!R169+'10-3'!R169+'11-3'!R169+'12-3'!R169+'13-3'!R169+'14-3'!R169+'15-3'!R169+'16-3'!R169+'17-3'!R169+'18-3'!R169+'19-3'!R169+'21-3'!R169+'22-3'!R169+'24-3'!R169+'25-3'!R169+'28-3'!R169+'29-3'!R169+'30-3'!R169+'32-3'!R169+'35-3'!R169+'37-3'!R169+'47-3'!R169+'62-3'!R169+'64-3'!R169+'74-3'!R169</f>
        <v>1810000</v>
      </c>
      <c r="S423" s="954"/>
      <c r="T423" s="954"/>
      <c r="U423" s="954"/>
      <c r="V423" s="954"/>
      <c r="W423" s="954"/>
    </row>
    <row r="424" spans="1:23" s="6" customFormat="1" ht="12">
      <c r="A424" s="141" t="s">
        <v>58</v>
      </c>
      <c r="B424" s="112" t="s">
        <v>59</v>
      </c>
      <c r="C424" s="106">
        <f>'01-3'!C170+'02-3'!C170+'03-3'!C170+'04-3'!C170+'05-3'!C170+'08-3'!C170+'09-3'!C170+'10-3'!C170+'11-3'!C170+'12-3'!C170+'13-3'!C170+'14-3'!C170+'15-3'!C170+'16-3'!C170+'17-3'!C170+'18-3'!C170+'19-3'!C170+'21-3'!C170+'22-3'!C170+'24-3'!C170+'25-3'!C170+'28-3'!C170+'29-3'!C170+'30-3'!C170+'32-3'!C170+'35-3'!C170+'37-3'!C170+'47-3'!C170+'62-3'!C170+'64-3'!C170+'74-3'!C170</f>
        <v>0</v>
      </c>
      <c r="D424" s="106">
        <f>'01-3'!D170+'02-3'!D170+'03-3'!D170+'04-3'!D170+'05-3'!D170+'08-3'!D170+'09-3'!D170+'10-3'!D170+'11-3'!D170+'12-3'!D170+'13-3'!D170+'14-3'!D170+'15-3'!D170+'16-3'!D170+'17-3'!D170+'18-3'!D170+'19-3'!D170+'21-3'!D170+'22-3'!D170+'24-3'!D170+'25-3'!D170+'28-3'!D170+'29-3'!D170+'30-3'!D170+'32-3'!D170+'35-3'!D170+'37-3'!D170+'47-3'!D170+'62-3'!D170+'64-3'!D170+'74-3'!D170</f>
        <v>0</v>
      </c>
      <c r="E424" s="106">
        <f>'01-3'!E170+'02-3'!E170+'03-3'!E170+'04-3'!E170+'05-3'!E170+'08-3'!E170+'09-3'!E170+'10-3'!E170+'11-3'!E170+'12-3'!E170+'13-3'!E170+'14-3'!E170+'15-3'!E170+'16-3'!E170+'17-3'!E170+'18-3'!E170+'19-3'!E170+'21-3'!E170+'22-3'!E170+'24-3'!E170+'25-3'!E170+'28-3'!E170+'29-3'!E170+'30-3'!E170+'32-3'!E170+'35-3'!E170+'37-3'!E170+'47-3'!E170+'62-3'!E170+'64-3'!E170+'74-3'!E170</f>
        <v>0</v>
      </c>
      <c r="F424" s="106">
        <f>'01-3'!F170+'02-3'!F170+'03-3'!F170+'04-3'!F170+'05-3'!F170+'08-3'!F170+'09-3'!F170+'10-3'!F170+'11-3'!F170+'12-3'!F170+'13-3'!F170+'14-3'!F170+'15-3'!F170+'16-3'!F170+'17-3'!F170+'18-3'!F170+'19-3'!F170+'21-3'!F170+'22-3'!F170+'24-3'!F170+'25-3'!F170+'28-3'!F170+'29-3'!F170+'30-3'!F170+'32-3'!F170+'35-3'!F170+'37-3'!F170+'47-3'!F170+'62-3'!F170+'64-3'!F170+'74-3'!F170</f>
        <v>0</v>
      </c>
      <c r="G424" s="106">
        <f>'01-3'!G170+'02-3'!G170+'03-3'!G170+'04-3'!G170+'05-3'!G170+'08-3'!G170+'09-3'!G170+'10-3'!G170+'11-3'!G170+'12-3'!G170+'13-3'!G170+'14-3'!G170+'15-3'!G170+'16-3'!G170+'17-3'!G170+'18-3'!G170+'19-3'!G170+'21-3'!G170+'22-3'!G170+'24-3'!G170+'25-3'!G170+'28-3'!G170+'29-3'!G170+'30-3'!G170+'32-3'!G170+'35-3'!G170+'37-3'!G170+'47-3'!G170+'62-3'!G170+'64-3'!G170+'74-3'!G170</f>
        <v>0</v>
      </c>
      <c r="H424" s="106">
        <f>'01-3'!H170+'02-3'!H170+'03-3'!H170+'04-3'!H170+'05-3'!H170+'08-3'!H170+'09-3'!H170+'10-3'!H170+'11-3'!H170+'12-3'!H170+'13-3'!H170+'14-3'!H170+'15-3'!H170+'16-3'!H170+'17-3'!H170+'18-3'!H170+'19-3'!H170+'21-3'!H170+'22-3'!H170+'24-3'!H170+'25-3'!H170+'28-3'!H170+'29-3'!H170+'30-3'!H170+'32-3'!H170+'35-3'!H170+'37-3'!H170+'47-3'!H170+'62-3'!H170+'64-3'!H170+'74-3'!H170</f>
        <v>0</v>
      </c>
      <c r="I424" s="106">
        <f>'01-3'!I170+'02-3'!I170+'03-3'!I170+'04-3'!I170+'05-3'!I170+'08-3'!I170+'09-3'!I170+'10-3'!I170+'11-3'!I170+'12-3'!I170+'13-3'!I170+'14-3'!I170+'15-3'!I170+'16-3'!I170+'17-3'!I170+'18-3'!I170+'19-3'!I170+'21-3'!I170+'22-3'!I170+'24-3'!I170+'25-3'!I170+'28-3'!I170+'29-3'!I170+'30-3'!I170+'32-3'!I170+'35-3'!I170+'37-3'!I170+'47-3'!I170+'62-3'!I170+'64-3'!I170+'74-3'!I170</f>
        <v>0</v>
      </c>
      <c r="J424" s="106">
        <f>'01-3'!J170+'02-3'!J170+'03-3'!J170+'04-3'!J170+'05-3'!J170+'08-3'!J170+'09-3'!J170+'10-3'!J170+'11-3'!J170+'12-3'!J170+'13-3'!J170+'14-3'!J170+'15-3'!J170+'16-3'!J170+'17-3'!J170+'18-3'!J170+'19-3'!J170+'21-3'!J170+'22-3'!J170+'24-3'!J170+'25-3'!J170+'28-3'!J170+'29-3'!J170+'30-3'!J170+'32-3'!J170+'35-3'!J170+'37-3'!J170+'47-3'!J170+'62-3'!J170+'64-3'!J170+'74-3'!J170</f>
        <v>0</v>
      </c>
      <c r="K424" s="106">
        <f>'01-3'!K170+'02-3'!K170+'03-3'!K170+'04-3'!K170+'05-3'!K170+'08-3'!K170+'09-3'!K170+'10-3'!K170+'11-3'!K170+'12-3'!K170+'13-3'!K170+'14-3'!K170+'15-3'!K170+'16-3'!K170+'17-3'!K170+'18-3'!K170+'19-3'!K170+'21-3'!K170+'22-3'!K170+'24-3'!K170+'25-3'!K170+'28-3'!K170+'29-3'!K170+'30-3'!K170+'32-3'!K170+'35-3'!K170+'37-3'!K170+'47-3'!K170+'62-3'!K170+'64-3'!K170+'74-3'!K170</f>
        <v>0</v>
      </c>
      <c r="L424" s="106">
        <f>'01-3'!L170+'02-3'!L170+'03-3'!L170+'04-3'!L170+'05-3'!L170+'08-3'!L170+'09-3'!L170+'10-3'!L170+'11-3'!L170+'12-3'!L170+'13-3'!L170+'14-3'!L170+'15-3'!L170+'16-3'!L170+'17-3'!L170+'18-3'!L170+'19-3'!L170+'21-3'!L170+'22-3'!L170+'24-3'!L170+'25-3'!L170+'28-3'!L170+'29-3'!L170+'30-3'!L170+'32-3'!L170+'35-3'!L170+'37-3'!L170+'47-3'!L170+'62-3'!L170+'64-3'!L170+'74-3'!L170</f>
        <v>0</v>
      </c>
      <c r="M424" s="106">
        <f>'01-3'!M170+'02-3'!M170+'03-3'!M170+'04-3'!M170+'05-3'!M170+'08-3'!M170+'09-3'!M170+'10-3'!M170+'11-3'!M170+'12-3'!M170+'13-3'!M170+'14-3'!M170+'15-3'!M170+'16-3'!M170+'17-3'!M170+'18-3'!M170+'19-3'!M170+'21-3'!M170+'22-3'!M170+'24-3'!M170+'25-3'!M170+'28-3'!M170+'29-3'!M170+'30-3'!M170+'32-3'!M170+'35-3'!M170+'37-3'!M170+'47-3'!M170+'62-3'!M170+'64-3'!M170+'74-3'!M170</f>
        <v>0</v>
      </c>
      <c r="N424" s="106">
        <f>'01-3'!N170+'02-3'!N170+'03-3'!N170+'04-3'!N170+'05-3'!N170+'08-3'!N170+'09-3'!N170+'10-3'!N170+'11-3'!N170+'12-3'!N170+'13-3'!N170+'14-3'!N170+'15-3'!N170+'16-3'!N170+'17-3'!N170+'18-3'!N170+'19-3'!N170+'21-3'!N170+'22-3'!N170+'24-3'!N170+'25-3'!N170+'28-3'!N170+'29-3'!N170+'30-3'!N170+'32-3'!N170+'35-3'!N170+'37-3'!N170+'47-3'!N170+'62-3'!N170+'64-3'!N170+'74-3'!N170</f>
        <v>0</v>
      </c>
      <c r="O424" s="106">
        <f>'01-3'!O170+'02-3'!O170+'03-3'!O170+'04-3'!O170+'05-3'!O170+'08-3'!O170+'09-3'!O170+'10-3'!O170+'11-3'!O170+'12-3'!O170+'13-3'!O170+'14-3'!O170+'15-3'!O170+'16-3'!O170+'17-3'!O170+'18-3'!O170+'19-3'!O170+'21-3'!O170+'22-3'!O170+'24-3'!O170+'25-3'!O170+'28-3'!O170+'29-3'!O170+'30-3'!O170+'32-3'!O170+'35-3'!O170+'37-3'!O170+'47-3'!O170+'62-3'!O170+'64-3'!O170+'74-3'!O170</f>
        <v>0</v>
      </c>
      <c r="P424" s="106">
        <f>'01-3'!P170+'02-3'!P170+'03-3'!P170+'04-3'!P170+'05-3'!P170+'08-3'!P170+'09-3'!P170+'10-3'!P170+'11-3'!P170+'12-3'!P170+'13-3'!P170+'14-3'!P170+'15-3'!P170+'16-3'!P170+'17-3'!P170+'18-3'!P170+'19-3'!P170+'21-3'!P170+'22-3'!P170+'24-3'!P170+'25-3'!P170+'28-3'!P170+'29-3'!P170+'30-3'!P170+'32-3'!P170+'35-3'!P170+'37-3'!P170+'47-3'!P170+'62-3'!P170+'64-3'!P170+'74-3'!P170</f>
        <v>0</v>
      </c>
      <c r="Q424" s="106">
        <f>'01-3'!Q170+'02-3'!Q170+'03-3'!Q170+'04-3'!Q170+'05-3'!Q170+'08-3'!Q170+'09-3'!Q170+'10-3'!Q170+'11-3'!Q170+'12-3'!Q170+'13-3'!Q170+'14-3'!Q170+'15-3'!Q170+'16-3'!Q170+'17-3'!Q170+'18-3'!Q170+'19-3'!Q170+'21-3'!Q170+'22-3'!Q170+'24-3'!Q170+'25-3'!Q170+'28-3'!Q170+'29-3'!Q170+'30-3'!Q170+'32-3'!Q170+'35-3'!Q170+'37-3'!Q170+'47-3'!Q170+'62-3'!Q170+'64-3'!Q170+'74-3'!Q170</f>
        <v>0</v>
      </c>
      <c r="R424" s="106">
        <f>'01-3'!R170+'02-3'!R170+'03-3'!R170+'04-3'!R170+'05-3'!R170+'08-3'!R170+'09-3'!R170+'10-3'!R170+'11-3'!R170+'12-3'!R170+'13-3'!R170+'14-3'!R170+'15-3'!R170+'16-3'!R170+'17-3'!R170+'18-3'!R170+'19-3'!R170+'21-3'!R170+'22-3'!R170+'24-3'!R170+'25-3'!R170+'28-3'!R170+'29-3'!R170+'30-3'!R170+'32-3'!R170+'35-3'!R170+'37-3'!R170+'47-3'!R170+'62-3'!R170+'64-3'!R170+'74-3'!R170</f>
        <v>0</v>
      </c>
      <c r="S424" s="954"/>
      <c r="T424" s="954"/>
      <c r="U424" s="954"/>
      <c r="V424" s="954"/>
      <c r="W424" s="954"/>
    </row>
    <row r="425" spans="1:23" s="6" customFormat="1" ht="12">
      <c r="A425" s="141" t="s">
        <v>60</v>
      </c>
      <c r="B425" s="112" t="s">
        <v>61</v>
      </c>
      <c r="C425" s="106">
        <f>'01-3'!C171+'02-3'!C171+'03-3'!C171+'04-3'!C171+'05-3'!C171+'08-3'!C171+'09-3'!C171+'10-3'!C171+'11-3'!C171+'12-3'!C171+'13-3'!C171+'14-3'!C171+'15-3'!C171+'16-3'!C171+'17-3'!C171+'18-3'!C171+'19-3'!C171+'21-3'!C171+'22-3'!C171+'24-3'!C171+'25-3'!C171+'28-3'!C171+'29-3'!C171+'30-3'!C171+'32-3'!C171+'35-3'!C171+'37-3'!C171+'47-3'!C171+'62-3'!C171+'64-3'!C171+'74-3'!C171</f>
        <v>2603640</v>
      </c>
      <c r="D425" s="106">
        <f>'01-3'!D171+'02-3'!D171+'03-3'!D171+'04-3'!D171+'05-3'!D171+'08-3'!D171+'09-3'!D171+'10-3'!D171+'11-3'!D171+'12-3'!D171+'13-3'!D171+'14-3'!D171+'15-3'!D171+'16-3'!D171+'17-3'!D171+'18-3'!D171+'19-3'!D171+'21-3'!D171+'22-3'!D171+'24-3'!D171+'25-3'!D171+'28-3'!D171+'29-3'!D171+'30-3'!D171+'32-3'!D171+'35-3'!D171+'37-3'!D171+'47-3'!D171+'62-3'!D171+'64-3'!D171+'74-3'!D171</f>
        <v>1810000</v>
      </c>
      <c r="E425" s="106">
        <f>'01-3'!E171+'02-3'!E171+'03-3'!E171+'04-3'!E171+'05-3'!E171+'08-3'!E171+'09-3'!E171+'10-3'!E171+'11-3'!E171+'12-3'!E171+'13-3'!E171+'14-3'!E171+'15-3'!E171+'16-3'!E171+'17-3'!E171+'18-3'!E171+'19-3'!E171+'21-3'!E171+'22-3'!E171+'24-3'!E171+'25-3'!E171+'28-3'!E171+'29-3'!E171+'30-3'!E171+'32-3'!E171+'35-3'!E171+'37-3'!E171+'47-3'!E171+'62-3'!E171+'64-3'!E171+'74-3'!E171</f>
        <v>0</v>
      </c>
      <c r="F425" s="106">
        <f>'01-3'!F171+'02-3'!F171+'03-3'!F171+'04-3'!F171+'05-3'!F171+'08-3'!F171+'09-3'!F171+'10-3'!F171+'11-3'!F171+'12-3'!F171+'13-3'!F171+'14-3'!F171+'15-3'!F171+'16-3'!F171+'17-3'!F171+'18-3'!F171+'19-3'!F171+'21-3'!F171+'22-3'!F171+'24-3'!F171+'25-3'!F171+'28-3'!F171+'29-3'!F171+'30-3'!F171+'32-3'!F171+'35-3'!F171+'37-3'!F171+'47-3'!F171+'62-3'!F171+'64-3'!F171+'74-3'!F171</f>
        <v>0</v>
      </c>
      <c r="G425" s="106">
        <f>'01-3'!G171+'02-3'!G171+'03-3'!G171+'04-3'!G171+'05-3'!G171+'08-3'!G171+'09-3'!G171+'10-3'!G171+'11-3'!G171+'12-3'!G171+'13-3'!G171+'14-3'!G171+'15-3'!G171+'16-3'!G171+'17-3'!G171+'18-3'!G171+'19-3'!G171+'21-3'!G171+'22-3'!G171+'24-3'!G171+'25-3'!G171+'28-3'!G171+'29-3'!G171+'30-3'!G171+'32-3'!G171+'35-3'!G171+'37-3'!G171+'47-3'!G171+'62-3'!G171+'64-3'!G171+'74-3'!G171</f>
        <v>0</v>
      </c>
      <c r="H425" s="106">
        <f>'01-3'!H171+'02-3'!H171+'03-3'!H171+'04-3'!H171+'05-3'!H171+'08-3'!H171+'09-3'!H171+'10-3'!H171+'11-3'!H171+'12-3'!H171+'13-3'!H171+'14-3'!H171+'15-3'!H171+'16-3'!H171+'17-3'!H171+'18-3'!H171+'19-3'!H171+'21-3'!H171+'22-3'!H171+'24-3'!H171+'25-3'!H171+'28-3'!H171+'29-3'!H171+'30-3'!H171+'32-3'!H171+'35-3'!H171+'37-3'!H171+'47-3'!H171+'62-3'!H171+'64-3'!H171+'74-3'!H171</f>
        <v>1810000</v>
      </c>
      <c r="I425" s="106">
        <f>'01-3'!I171+'02-3'!I171+'03-3'!I171+'04-3'!I171+'05-3'!I171+'08-3'!I171+'09-3'!I171+'10-3'!I171+'11-3'!I171+'12-3'!I171+'13-3'!I171+'14-3'!I171+'15-3'!I171+'16-3'!I171+'17-3'!I171+'18-3'!I171+'19-3'!I171+'21-3'!I171+'22-3'!I171+'24-3'!I171+'25-3'!I171+'28-3'!I171+'29-3'!I171+'30-3'!I171+'32-3'!I171+'35-3'!I171+'37-3'!I171+'47-3'!I171+'62-3'!I171+'64-3'!I171+'74-3'!I171</f>
        <v>1810000</v>
      </c>
      <c r="J425" s="106">
        <f>'01-3'!J171+'02-3'!J171+'03-3'!J171+'04-3'!J171+'05-3'!J171+'08-3'!J171+'09-3'!J171+'10-3'!J171+'11-3'!J171+'12-3'!J171+'13-3'!J171+'14-3'!J171+'15-3'!J171+'16-3'!J171+'17-3'!J171+'18-3'!J171+'19-3'!J171+'21-3'!J171+'22-3'!J171+'24-3'!J171+'25-3'!J171+'28-3'!J171+'29-3'!J171+'30-3'!J171+'32-3'!J171+'35-3'!J171+'37-3'!J171+'47-3'!J171+'62-3'!J171+'64-3'!J171+'74-3'!J171</f>
        <v>0</v>
      </c>
      <c r="K425" s="106">
        <f>'01-3'!K171+'02-3'!K171+'03-3'!K171+'04-3'!K171+'05-3'!K171+'08-3'!K171+'09-3'!K171+'10-3'!K171+'11-3'!K171+'12-3'!K171+'13-3'!K171+'14-3'!K171+'15-3'!K171+'16-3'!K171+'17-3'!K171+'18-3'!K171+'19-3'!K171+'21-3'!K171+'22-3'!K171+'24-3'!K171+'25-3'!K171+'28-3'!K171+'29-3'!K171+'30-3'!K171+'32-3'!K171+'35-3'!K171+'37-3'!K171+'47-3'!K171+'62-3'!K171+'64-3'!K171+'74-3'!K171</f>
        <v>0</v>
      </c>
      <c r="L425" s="106">
        <f>'01-3'!L171+'02-3'!L171+'03-3'!L171+'04-3'!L171+'05-3'!L171+'08-3'!L171+'09-3'!L171+'10-3'!L171+'11-3'!L171+'12-3'!L171+'13-3'!L171+'14-3'!L171+'15-3'!L171+'16-3'!L171+'17-3'!L171+'18-3'!L171+'19-3'!L171+'21-3'!L171+'22-3'!L171+'24-3'!L171+'25-3'!L171+'28-3'!L171+'29-3'!L171+'30-3'!L171+'32-3'!L171+'35-3'!L171+'37-3'!L171+'47-3'!L171+'62-3'!L171+'64-3'!L171+'74-3'!L171</f>
        <v>0</v>
      </c>
      <c r="M425" s="106">
        <f>'01-3'!M171+'02-3'!M171+'03-3'!M171+'04-3'!M171+'05-3'!M171+'08-3'!M171+'09-3'!M171+'10-3'!M171+'11-3'!M171+'12-3'!M171+'13-3'!M171+'14-3'!M171+'15-3'!M171+'16-3'!M171+'17-3'!M171+'18-3'!M171+'19-3'!M171+'21-3'!M171+'22-3'!M171+'24-3'!M171+'25-3'!M171+'28-3'!M171+'29-3'!M171+'30-3'!M171+'32-3'!M171+'35-3'!M171+'37-3'!M171+'47-3'!M171+'62-3'!M171+'64-3'!M171+'74-3'!M171</f>
        <v>1810000</v>
      </c>
      <c r="N425" s="106">
        <f>'01-3'!N171+'02-3'!N171+'03-3'!N171+'04-3'!N171+'05-3'!N171+'08-3'!N171+'09-3'!N171+'10-3'!N171+'11-3'!N171+'12-3'!N171+'13-3'!N171+'14-3'!N171+'15-3'!N171+'16-3'!N171+'17-3'!N171+'18-3'!N171+'19-3'!N171+'21-3'!N171+'22-3'!N171+'24-3'!N171+'25-3'!N171+'28-3'!N171+'29-3'!N171+'30-3'!N171+'32-3'!N171+'35-3'!N171+'37-3'!N171+'47-3'!N171+'62-3'!N171+'64-3'!N171+'74-3'!N171</f>
        <v>1810000</v>
      </c>
      <c r="O425" s="106">
        <f>'01-3'!O171+'02-3'!O171+'03-3'!O171+'04-3'!O171+'05-3'!O171+'08-3'!O171+'09-3'!O171+'10-3'!O171+'11-3'!O171+'12-3'!O171+'13-3'!O171+'14-3'!O171+'15-3'!O171+'16-3'!O171+'17-3'!O171+'18-3'!O171+'19-3'!O171+'21-3'!O171+'22-3'!O171+'24-3'!O171+'25-3'!O171+'28-3'!O171+'29-3'!O171+'30-3'!O171+'32-3'!O171+'35-3'!O171+'37-3'!O171+'47-3'!O171+'62-3'!O171+'64-3'!O171+'74-3'!O171</f>
        <v>0</v>
      </c>
      <c r="P425" s="106">
        <f>'01-3'!P171+'02-3'!P171+'03-3'!P171+'04-3'!P171+'05-3'!P171+'08-3'!P171+'09-3'!P171+'10-3'!P171+'11-3'!P171+'12-3'!P171+'13-3'!P171+'14-3'!P171+'15-3'!P171+'16-3'!P171+'17-3'!P171+'18-3'!P171+'19-3'!P171+'21-3'!P171+'22-3'!P171+'24-3'!P171+'25-3'!P171+'28-3'!P171+'29-3'!P171+'30-3'!P171+'32-3'!P171+'35-3'!P171+'37-3'!P171+'47-3'!P171+'62-3'!P171+'64-3'!P171+'74-3'!P171</f>
        <v>0</v>
      </c>
      <c r="Q425" s="106">
        <f>'01-3'!Q171+'02-3'!Q171+'03-3'!Q171+'04-3'!Q171+'05-3'!Q171+'08-3'!Q171+'09-3'!Q171+'10-3'!Q171+'11-3'!Q171+'12-3'!Q171+'13-3'!Q171+'14-3'!Q171+'15-3'!Q171+'16-3'!Q171+'17-3'!Q171+'18-3'!Q171+'19-3'!Q171+'21-3'!Q171+'22-3'!Q171+'24-3'!Q171+'25-3'!Q171+'28-3'!Q171+'29-3'!Q171+'30-3'!Q171+'32-3'!Q171+'35-3'!Q171+'37-3'!Q171+'47-3'!Q171+'62-3'!Q171+'64-3'!Q171+'74-3'!Q171</f>
        <v>0</v>
      </c>
      <c r="R425" s="106">
        <f>'01-3'!R171+'02-3'!R171+'03-3'!R171+'04-3'!R171+'05-3'!R171+'08-3'!R171+'09-3'!R171+'10-3'!R171+'11-3'!R171+'12-3'!R171+'13-3'!R171+'14-3'!R171+'15-3'!R171+'16-3'!R171+'17-3'!R171+'18-3'!R171+'19-3'!R171+'21-3'!R171+'22-3'!R171+'24-3'!R171+'25-3'!R171+'28-3'!R171+'29-3'!R171+'30-3'!R171+'32-3'!R171+'35-3'!R171+'37-3'!R171+'47-3'!R171+'62-3'!R171+'64-3'!R171+'74-3'!R171</f>
        <v>1810000</v>
      </c>
      <c r="S425" s="954"/>
      <c r="T425" s="954"/>
      <c r="U425" s="954"/>
      <c r="V425" s="954"/>
      <c r="W425" s="954"/>
    </row>
    <row r="426" spans="1:23" s="6" customFormat="1" ht="12">
      <c r="A426" s="141" t="s">
        <v>198</v>
      </c>
      <c r="B426" s="120" t="s">
        <v>168</v>
      </c>
      <c r="C426" s="106">
        <f>'01-3'!C172+'02-3'!C172+'03-3'!C172+'04-3'!C172+'05-3'!C172+'08-3'!C172+'09-3'!C172+'10-3'!C172+'11-3'!C172+'12-3'!C172+'13-3'!C172+'14-3'!C172+'15-3'!C172+'16-3'!C172+'17-3'!C172+'18-3'!C172+'19-3'!C172+'21-3'!C172+'22-3'!C172+'24-3'!C172+'25-3'!C172+'28-3'!C172+'29-3'!C172+'30-3'!C172+'32-3'!C172+'35-3'!C172+'37-3'!C172+'47-3'!C172+'62-3'!C172+'64-3'!C172+'74-3'!C172</f>
        <v>-4300500</v>
      </c>
      <c r="D426" s="106">
        <f>'01-3'!D172+'02-3'!D172+'03-3'!D172+'04-3'!D172+'05-3'!D172+'08-3'!D172+'09-3'!D172+'10-3'!D172+'11-3'!D172+'12-3'!D172+'13-3'!D172+'14-3'!D172+'15-3'!D172+'16-3'!D172+'17-3'!D172+'18-3'!D172+'19-3'!D172+'21-3'!D172+'22-3'!D172+'24-3'!D172+'25-3'!D172+'28-3'!D172+'29-3'!D172+'30-3'!D172+'32-3'!D172+'35-3'!D172+'37-3'!D172+'47-3'!D172+'62-3'!D172+'64-3'!D172+'74-3'!D172</f>
        <v>0</v>
      </c>
      <c r="E426" s="106">
        <f>'01-3'!E172+'02-3'!E172+'03-3'!E172+'04-3'!E172+'05-3'!E172+'08-3'!E172+'09-3'!E172+'10-3'!E172+'11-3'!E172+'12-3'!E172+'13-3'!E172+'14-3'!E172+'15-3'!E172+'16-3'!E172+'17-3'!E172+'18-3'!E172+'19-3'!E172+'21-3'!E172+'22-3'!E172+'24-3'!E172+'25-3'!E172+'28-3'!E172+'29-3'!E172+'30-3'!E172+'32-3'!E172+'35-3'!E172+'37-3'!E172+'47-3'!E172+'62-3'!E172+'64-3'!E172+'74-3'!E172</f>
        <v>0</v>
      </c>
      <c r="F426" s="106">
        <f>'01-3'!F172+'02-3'!F172+'03-3'!F172+'04-3'!F172+'05-3'!F172+'08-3'!F172+'09-3'!F172+'10-3'!F172+'11-3'!F172+'12-3'!F172+'13-3'!F172+'14-3'!F172+'15-3'!F172+'16-3'!F172+'17-3'!F172+'18-3'!F172+'19-3'!F172+'21-3'!F172+'22-3'!F172+'24-3'!F172+'25-3'!F172+'28-3'!F172+'29-3'!F172+'30-3'!F172+'32-3'!F172+'35-3'!F172+'37-3'!F172+'47-3'!F172+'62-3'!F172+'64-3'!F172+'74-3'!F172</f>
        <v>0</v>
      </c>
      <c r="G426" s="106">
        <f>'01-3'!G172+'02-3'!G172+'03-3'!G172+'04-3'!G172+'05-3'!G172+'08-3'!G172+'09-3'!G172+'10-3'!G172+'11-3'!G172+'12-3'!G172+'13-3'!G172+'14-3'!G172+'15-3'!G172+'16-3'!G172+'17-3'!G172+'18-3'!G172+'19-3'!G172+'21-3'!G172+'22-3'!G172+'24-3'!G172+'25-3'!G172+'28-3'!G172+'29-3'!G172+'30-3'!G172+'32-3'!G172+'35-3'!G172+'37-3'!G172+'47-3'!G172+'62-3'!G172+'64-3'!G172+'74-3'!G172</f>
        <v>-6496018</v>
      </c>
      <c r="H426" s="106">
        <f>'01-3'!H172+'02-3'!H172+'03-3'!H172+'04-3'!H172+'05-3'!H172+'08-3'!H172+'09-3'!H172+'10-3'!H172+'11-3'!H172+'12-3'!H172+'13-3'!H172+'14-3'!H172+'15-3'!H172+'16-3'!H172+'17-3'!H172+'18-3'!H172+'19-3'!H172+'21-3'!H172+'22-3'!H172+'24-3'!H172+'25-3'!H172+'28-3'!H172+'29-3'!H172+'30-3'!H172+'32-3'!H172+'35-3'!H172+'37-3'!H172+'47-3'!H172+'62-3'!H172+'64-3'!H172+'74-3'!H172</f>
        <v>-6496018</v>
      </c>
      <c r="I426" s="106">
        <f>'01-3'!I172+'02-3'!I172+'03-3'!I172+'04-3'!I172+'05-3'!I172+'08-3'!I172+'09-3'!I172+'10-3'!I172+'11-3'!I172+'12-3'!I172+'13-3'!I172+'14-3'!I172+'15-3'!I172+'16-3'!I172+'17-3'!I172+'18-3'!I172+'19-3'!I172+'21-3'!I172+'22-3'!I172+'24-3'!I172+'25-3'!I172+'28-3'!I172+'29-3'!I172+'30-3'!I172+'32-3'!I172+'35-3'!I172+'37-3'!I172+'47-3'!I172+'62-3'!I172+'64-3'!I172+'74-3'!I172</f>
        <v>0</v>
      </c>
      <c r="J426" s="106">
        <f>'01-3'!J172+'02-3'!J172+'03-3'!J172+'04-3'!J172+'05-3'!J172+'08-3'!J172+'09-3'!J172+'10-3'!J172+'11-3'!J172+'12-3'!J172+'13-3'!J172+'14-3'!J172+'15-3'!J172+'16-3'!J172+'17-3'!J172+'18-3'!J172+'19-3'!J172+'21-3'!J172+'22-3'!J172+'24-3'!J172+'25-3'!J172+'28-3'!J172+'29-3'!J172+'30-3'!J172+'32-3'!J172+'35-3'!J172+'37-3'!J172+'47-3'!J172+'62-3'!J172+'64-3'!J172+'74-3'!J172</f>
        <v>0</v>
      </c>
      <c r="K426" s="106">
        <f>'01-3'!K172+'02-3'!K172+'03-3'!K172+'04-3'!K172+'05-3'!K172+'08-3'!K172+'09-3'!K172+'10-3'!K172+'11-3'!K172+'12-3'!K172+'13-3'!K172+'14-3'!K172+'15-3'!K172+'16-3'!K172+'17-3'!K172+'18-3'!K172+'19-3'!K172+'21-3'!K172+'22-3'!K172+'24-3'!K172+'25-3'!K172+'28-3'!K172+'29-3'!K172+'30-3'!K172+'32-3'!K172+'35-3'!K172+'37-3'!K172+'47-3'!K172+'62-3'!K172+'64-3'!K172+'74-3'!K172</f>
        <v>0</v>
      </c>
      <c r="L426" s="106">
        <f>'01-3'!L172+'02-3'!L172+'03-3'!L172+'04-3'!L172+'05-3'!L172+'08-3'!L172+'09-3'!L172+'10-3'!L172+'11-3'!L172+'12-3'!L172+'13-3'!L172+'14-3'!L172+'15-3'!L172+'16-3'!L172+'17-3'!L172+'18-3'!L172+'19-3'!L172+'21-3'!L172+'22-3'!L172+'24-3'!L172+'25-3'!L172+'28-3'!L172+'29-3'!L172+'30-3'!L172+'32-3'!L172+'35-3'!L172+'37-3'!L172+'47-3'!L172+'62-3'!L172+'64-3'!L172+'74-3'!L172</f>
        <v>0</v>
      </c>
      <c r="M426" s="106">
        <f>'01-3'!M172+'02-3'!M172+'03-3'!M172+'04-3'!M172+'05-3'!M172+'08-3'!M172+'09-3'!M172+'10-3'!M172+'11-3'!M172+'12-3'!M172+'13-3'!M172+'14-3'!M172+'15-3'!M172+'16-3'!M172+'17-3'!M172+'18-3'!M172+'19-3'!M172+'21-3'!M172+'22-3'!M172+'24-3'!M172+'25-3'!M172+'28-3'!M172+'29-3'!M172+'30-3'!M172+'32-3'!M172+'35-3'!M172+'37-3'!M172+'47-3'!M172+'62-3'!M172+'64-3'!M172+'74-3'!M172</f>
        <v>0</v>
      </c>
      <c r="N426" s="106">
        <f>'01-3'!N172+'02-3'!N172+'03-3'!N172+'04-3'!N172+'05-3'!N172+'08-3'!N172+'09-3'!N172+'10-3'!N172+'11-3'!N172+'12-3'!N172+'13-3'!N172+'14-3'!N172+'15-3'!N172+'16-3'!N172+'17-3'!N172+'18-3'!N172+'19-3'!N172+'21-3'!N172+'22-3'!N172+'24-3'!N172+'25-3'!N172+'28-3'!N172+'29-3'!N172+'30-3'!N172+'32-3'!N172+'35-3'!N172+'37-3'!N172+'47-3'!N172+'62-3'!N172+'64-3'!N172+'74-3'!N172</f>
        <v>0</v>
      </c>
      <c r="O426" s="106">
        <f>'01-3'!O172+'02-3'!O172+'03-3'!O172+'04-3'!O172+'05-3'!O172+'08-3'!O172+'09-3'!O172+'10-3'!O172+'11-3'!O172+'12-3'!O172+'13-3'!O172+'14-3'!O172+'15-3'!O172+'16-3'!O172+'17-3'!O172+'18-3'!O172+'19-3'!O172+'21-3'!O172+'22-3'!O172+'24-3'!O172+'25-3'!O172+'28-3'!O172+'29-3'!O172+'30-3'!O172+'32-3'!O172+'35-3'!O172+'37-3'!O172+'47-3'!O172+'62-3'!O172+'64-3'!O172+'74-3'!O172</f>
        <v>0</v>
      </c>
      <c r="P426" s="106">
        <f>'01-3'!P172+'02-3'!P172+'03-3'!P172+'04-3'!P172+'05-3'!P172+'08-3'!P172+'09-3'!P172+'10-3'!P172+'11-3'!P172+'12-3'!P172+'13-3'!P172+'14-3'!P172+'15-3'!P172+'16-3'!P172+'17-3'!P172+'18-3'!P172+'19-3'!P172+'21-3'!P172+'22-3'!P172+'24-3'!P172+'25-3'!P172+'28-3'!P172+'29-3'!P172+'30-3'!P172+'32-3'!P172+'35-3'!P172+'37-3'!P172+'47-3'!P172+'62-3'!P172+'64-3'!P172+'74-3'!P172</f>
        <v>0</v>
      </c>
      <c r="Q426" s="106">
        <f>'01-3'!Q172+'02-3'!Q172+'03-3'!Q172+'04-3'!Q172+'05-3'!Q172+'08-3'!Q172+'09-3'!Q172+'10-3'!Q172+'11-3'!Q172+'12-3'!Q172+'13-3'!Q172+'14-3'!Q172+'15-3'!Q172+'16-3'!Q172+'17-3'!Q172+'18-3'!Q172+'19-3'!Q172+'21-3'!Q172+'22-3'!Q172+'24-3'!Q172+'25-3'!Q172+'28-3'!Q172+'29-3'!Q172+'30-3'!Q172+'32-3'!Q172+'35-3'!Q172+'37-3'!Q172+'47-3'!Q172+'62-3'!Q172+'64-3'!Q172+'74-3'!Q172</f>
        <v>0</v>
      </c>
      <c r="R426" s="106">
        <f>'01-3'!R172+'02-3'!R172+'03-3'!R172+'04-3'!R172+'05-3'!R172+'08-3'!R172+'09-3'!R172+'10-3'!R172+'11-3'!R172+'12-3'!R172+'13-3'!R172+'14-3'!R172+'15-3'!R172+'16-3'!R172+'17-3'!R172+'18-3'!R172+'19-3'!R172+'21-3'!R172+'22-3'!R172+'24-3'!R172+'25-3'!R172+'28-3'!R172+'29-3'!R172+'30-3'!R172+'32-3'!R172+'35-3'!R172+'37-3'!R172+'47-3'!R172+'62-3'!R172+'64-3'!R172+'74-3'!R172</f>
        <v>0</v>
      </c>
      <c r="S426" s="954"/>
      <c r="T426" s="954"/>
      <c r="U426" s="954"/>
      <c r="V426" s="954"/>
      <c r="W426" s="954"/>
    </row>
    <row r="427" spans="1:23" s="6" customFormat="1" ht="12">
      <c r="A427" s="144" t="s">
        <v>62</v>
      </c>
      <c r="B427" s="101" t="s">
        <v>63</v>
      </c>
      <c r="C427" s="106">
        <f>'01-3'!C173+'02-3'!C173+'03-3'!C173+'04-3'!C173+'05-3'!C173+'08-3'!C173+'09-3'!C173+'10-3'!C173+'11-3'!C173+'12-3'!C173+'13-3'!C173+'14-3'!C173+'15-3'!C173+'16-3'!C173+'17-3'!C173+'18-3'!C173+'19-3'!C173+'21-3'!C173+'22-3'!C173+'24-3'!C173+'25-3'!C173+'28-3'!C173+'29-3'!C173+'30-3'!C173+'32-3'!C173+'35-3'!C173+'37-3'!C173+'47-3'!C173+'62-3'!C173+'64-3'!C173+'74-3'!C173</f>
        <v>2254762</v>
      </c>
      <c r="D427" s="106">
        <f>'01-3'!D173+'02-3'!D173+'03-3'!D173+'04-3'!D173+'05-3'!D173+'08-3'!D173+'09-3'!D173+'10-3'!D173+'11-3'!D173+'12-3'!D173+'13-3'!D173+'14-3'!D173+'15-3'!D173+'16-3'!D173+'17-3'!D173+'18-3'!D173+'19-3'!D173+'21-3'!D173+'22-3'!D173+'24-3'!D173+'25-3'!D173+'28-3'!D173+'29-3'!D173+'30-3'!D173+'32-3'!D173+'35-3'!D173+'37-3'!D173+'47-3'!D173+'62-3'!D173+'64-3'!D173+'74-3'!D173</f>
        <v>1055751</v>
      </c>
      <c r="E427" s="106">
        <f>'01-3'!E173+'02-3'!E173+'03-3'!E173+'04-3'!E173+'05-3'!E173+'08-3'!E173+'09-3'!E173+'10-3'!E173+'11-3'!E173+'12-3'!E173+'13-3'!E173+'14-3'!E173+'15-3'!E173+'16-3'!E173+'17-3'!E173+'18-3'!E173+'19-3'!E173+'21-3'!E173+'22-3'!E173+'24-3'!E173+'25-3'!E173+'28-3'!E173+'29-3'!E173+'30-3'!E173+'32-3'!E173+'35-3'!E173+'37-3'!E173+'47-3'!E173+'62-3'!E173+'64-3'!E173+'74-3'!E173</f>
        <v>0</v>
      </c>
      <c r="F427" s="106">
        <f>'01-3'!F173+'02-3'!F173+'03-3'!F173+'04-3'!F173+'05-3'!F173+'08-3'!F173+'09-3'!F173+'10-3'!F173+'11-3'!F173+'12-3'!F173+'13-3'!F173+'14-3'!F173+'15-3'!F173+'16-3'!F173+'17-3'!F173+'18-3'!F173+'19-3'!F173+'21-3'!F173+'22-3'!F173+'24-3'!F173+'25-3'!F173+'28-3'!F173+'29-3'!F173+'30-3'!F173+'32-3'!F173+'35-3'!F173+'37-3'!F173+'47-3'!F173+'62-3'!F173+'64-3'!F173+'74-3'!F173</f>
        <v>-14355</v>
      </c>
      <c r="G427" s="106">
        <f>'01-3'!G173+'02-3'!G173+'03-3'!G173+'04-3'!G173+'05-3'!G173+'08-3'!G173+'09-3'!G173+'10-3'!G173+'11-3'!G173+'12-3'!G173+'13-3'!G173+'14-3'!G173+'15-3'!G173+'16-3'!G173+'17-3'!G173+'18-3'!G173+'19-3'!G173+'21-3'!G173+'22-3'!G173+'24-3'!G173+'25-3'!G173+'28-3'!G173+'29-3'!G173+'30-3'!G173+'32-3'!G173+'35-3'!G173+'37-3'!G173+'47-3'!G173+'62-3'!G173+'64-3'!G173+'74-3'!G173</f>
        <v>90000</v>
      </c>
      <c r="H427" s="106">
        <f>'01-3'!H173+'02-3'!H173+'03-3'!H173+'04-3'!H173+'05-3'!H173+'08-3'!H173+'09-3'!H173+'10-3'!H173+'11-3'!H173+'12-3'!H173+'13-3'!H173+'14-3'!H173+'15-3'!H173+'16-3'!H173+'17-3'!H173+'18-3'!H173+'19-3'!H173+'21-3'!H173+'22-3'!H173+'24-3'!H173+'25-3'!H173+'28-3'!H173+'29-3'!H173+'30-3'!H173+'32-3'!H173+'35-3'!H173+'37-3'!H173+'47-3'!H173+'62-3'!H173+'64-3'!H173+'74-3'!H173</f>
        <v>1131396</v>
      </c>
      <c r="I427" s="106">
        <f>'01-3'!I173+'02-3'!I173+'03-3'!I173+'04-3'!I173+'05-3'!I173+'08-3'!I173+'09-3'!I173+'10-3'!I173+'11-3'!I173+'12-3'!I173+'13-3'!I173+'14-3'!I173+'15-3'!I173+'16-3'!I173+'17-3'!I173+'18-3'!I173+'19-3'!I173+'21-3'!I173+'22-3'!I173+'24-3'!I173+'25-3'!I173+'28-3'!I173+'29-3'!I173+'30-3'!I173+'32-3'!I173+'35-3'!I173+'37-3'!I173+'47-3'!I173+'62-3'!I173+'64-3'!I173+'74-3'!I173</f>
        <v>482280</v>
      </c>
      <c r="J427" s="106">
        <f>'01-3'!J173+'02-3'!J173+'03-3'!J173+'04-3'!J173+'05-3'!J173+'08-3'!J173+'09-3'!J173+'10-3'!J173+'11-3'!J173+'12-3'!J173+'13-3'!J173+'14-3'!J173+'15-3'!J173+'16-3'!J173+'17-3'!J173+'18-3'!J173+'19-3'!J173+'21-3'!J173+'22-3'!J173+'24-3'!J173+'25-3'!J173+'28-3'!J173+'29-3'!J173+'30-3'!J173+'32-3'!J173+'35-3'!J173+'37-3'!J173+'47-3'!J173+'62-3'!J173+'64-3'!J173+'74-3'!J173</f>
        <v>0</v>
      </c>
      <c r="K427" s="106">
        <f>'01-3'!K173+'02-3'!K173+'03-3'!K173+'04-3'!K173+'05-3'!K173+'08-3'!K173+'09-3'!K173+'10-3'!K173+'11-3'!K173+'12-3'!K173+'13-3'!K173+'14-3'!K173+'15-3'!K173+'16-3'!K173+'17-3'!K173+'18-3'!K173+'19-3'!K173+'21-3'!K173+'22-3'!K173+'24-3'!K173+'25-3'!K173+'28-3'!K173+'29-3'!K173+'30-3'!K173+'32-3'!K173+'35-3'!K173+'37-3'!K173+'47-3'!K173+'62-3'!K173+'64-3'!K173+'74-3'!K173</f>
        <v>-14355</v>
      </c>
      <c r="L427" s="106">
        <f>'01-3'!L173+'02-3'!L173+'03-3'!L173+'04-3'!L173+'05-3'!L173+'08-3'!L173+'09-3'!L173+'10-3'!L173+'11-3'!L173+'12-3'!L173+'13-3'!L173+'14-3'!L173+'15-3'!L173+'16-3'!L173+'17-3'!L173+'18-3'!L173+'19-3'!L173+'21-3'!L173+'22-3'!L173+'24-3'!L173+'25-3'!L173+'28-3'!L173+'29-3'!L173+'30-3'!L173+'32-3'!L173+'35-3'!L173+'37-3'!L173+'47-3'!L173+'62-3'!L173+'64-3'!L173+'74-3'!L173</f>
        <v>7686</v>
      </c>
      <c r="M427" s="106">
        <f>'01-3'!M173+'02-3'!M173+'03-3'!M173+'04-3'!M173+'05-3'!M173+'08-3'!M173+'09-3'!M173+'10-3'!M173+'11-3'!M173+'12-3'!M173+'13-3'!M173+'14-3'!M173+'15-3'!M173+'16-3'!M173+'17-3'!M173+'18-3'!M173+'19-3'!M173+'21-3'!M173+'22-3'!M173+'24-3'!M173+'25-3'!M173+'28-3'!M173+'29-3'!M173+'30-3'!M173+'32-3'!M173+'35-3'!M173+'37-3'!M173+'47-3'!M173+'62-3'!M173+'64-3'!M173+'74-3'!M173</f>
        <v>475611</v>
      </c>
      <c r="N427" s="106">
        <f>'01-3'!N173+'02-3'!N173+'03-3'!N173+'04-3'!N173+'05-3'!N173+'08-3'!N173+'09-3'!N173+'10-3'!N173+'11-3'!N173+'12-3'!N173+'13-3'!N173+'14-3'!N173+'15-3'!N173+'16-3'!N173+'17-3'!N173+'18-3'!N173+'19-3'!N173+'21-3'!N173+'22-3'!N173+'24-3'!N173+'25-3'!N173+'28-3'!N173+'29-3'!N173+'30-3'!N173+'32-3'!N173+'35-3'!N173+'37-3'!N173+'47-3'!N173+'62-3'!N173+'64-3'!N173+'74-3'!N173</f>
        <v>482280</v>
      </c>
      <c r="O427" s="106">
        <f>'01-3'!O173+'02-3'!O173+'03-3'!O173+'04-3'!O173+'05-3'!O173+'08-3'!O173+'09-3'!O173+'10-3'!O173+'11-3'!O173+'12-3'!O173+'13-3'!O173+'14-3'!O173+'15-3'!O173+'16-3'!O173+'17-3'!O173+'18-3'!O173+'19-3'!O173+'21-3'!O173+'22-3'!O173+'24-3'!O173+'25-3'!O173+'28-3'!O173+'29-3'!O173+'30-3'!O173+'32-3'!O173+'35-3'!O173+'37-3'!O173+'47-3'!O173+'62-3'!O173+'64-3'!O173+'74-3'!O173</f>
        <v>0</v>
      </c>
      <c r="P427" s="106">
        <f>'01-3'!P173+'02-3'!P173+'03-3'!P173+'04-3'!P173+'05-3'!P173+'08-3'!P173+'09-3'!P173+'10-3'!P173+'11-3'!P173+'12-3'!P173+'13-3'!P173+'14-3'!P173+'15-3'!P173+'16-3'!P173+'17-3'!P173+'18-3'!P173+'19-3'!P173+'21-3'!P173+'22-3'!P173+'24-3'!P173+'25-3'!P173+'28-3'!P173+'29-3'!P173+'30-3'!P173+'32-3'!P173+'35-3'!P173+'37-3'!P173+'47-3'!P173+'62-3'!P173+'64-3'!P173+'74-3'!P173</f>
        <v>-14355</v>
      </c>
      <c r="Q427" s="106">
        <f>'01-3'!Q173+'02-3'!Q173+'03-3'!Q173+'04-3'!Q173+'05-3'!Q173+'08-3'!Q173+'09-3'!Q173+'10-3'!Q173+'11-3'!Q173+'12-3'!Q173+'13-3'!Q173+'14-3'!Q173+'15-3'!Q173+'16-3'!Q173+'17-3'!Q173+'18-3'!Q173+'19-3'!Q173+'21-3'!Q173+'22-3'!Q173+'24-3'!Q173+'25-3'!Q173+'28-3'!Q173+'29-3'!Q173+'30-3'!Q173+'32-3'!Q173+'35-3'!Q173+'37-3'!Q173+'47-3'!Q173+'62-3'!Q173+'64-3'!Q173+'74-3'!Q173</f>
        <v>0</v>
      </c>
      <c r="R427" s="106">
        <f>'01-3'!R173+'02-3'!R173+'03-3'!R173+'04-3'!R173+'05-3'!R173+'08-3'!R173+'09-3'!R173+'10-3'!R173+'11-3'!R173+'12-3'!R173+'13-3'!R173+'14-3'!R173+'15-3'!R173+'16-3'!R173+'17-3'!R173+'18-3'!R173+'19-3'!R173+'21-3'!R173+'22-3'!R173+'24-3'!R173+'25-3'!R173+'28-3'!R173+'29-3'!R173+'30-3'!R173+'32-3'!R173+'35-3'!R173+'37-3'!R173+'47-3'!R173+'62-3'!R173+'64-3'!R173+'74-3'!R173</f>
        <v>467925</v>
      </c>
      <c r="S427" s="954"/>
      <c r="T427" s="954"/>
      <c r="U427" s="954"/>
      <c r="V427" s="954"/>
      <c r="W427" s="954"/>
    </row>
    <row r="428" spans="1:23" s="6" customFormat="1" ht="36">
      <c r="A428" s="144" t="s">
        <v>64</v>
      </c>
      <c r="B428" s="112" t="s">
        <v>65</v>
      </c>
      <c r="C428" s="106">
        <f>'01-3'!C174+'02-3'!C174+'03-3'!C174+'04-3'!C174+'05-3'!C174+'08-3'!C174+'09-3'!C174+'10-3'!C174+'11-3'!C174+'12-3'!C174+'13-3'!C174+'14-3'!C174+'15-3'!C174+'16-3'!C174+'17-3'!C174+'18-3'!C174+'19-3'!C174+'21-3'!C174+'22-3'!C174+'24-3'!C174+'25-3'!C174+'28-3'!C174+'29-3'!C174+'30-3'!C174+'32-3'!C174+'35-3'!C174+'37-3'!C174+'47-3'!C174+'62-3'!C174+'64-3'!C174+'74-3'!C174</f>
        <v>2254762</v>
      </c>
      <c r="D428" s="106">
        <f>'01-3'!D174+'02-3'!D174+'03-3'!D174+'04-3'!D174+'05-3'!D174+'08-3'!D174+'09-3'!D174+'10-3'!D174+'11-3'!D174+'12-3'!D174+'13-3'!D174+'14-3'!D174+'15-3'!D174+'16-3'!D174+'17-3'!D174+'18-3'!D174+'19-3'!D174+'21-3'!D174+'22-3'!D174+'24-3'!D174+'25-3'!D174+'28-3'!D174+'29-3'!D174+'30-3'!D174+'32-3'!D174+'35-3'!D174+'37-3'!D174+'47-3'!D174+'62-3'!D174+'64-3'!D174+'74-3'!D174</f>
        <v>1055751</v>
      </c>
      <c r="E428" s="106">
        <f>'01-3'!E174+'02-3'!E174+'03-3'!E174+'04-3'!E174+'05-3'!E174+'08-3'!E174+'09-3'!E174+'10-3'!E174+'11-3'!E174+'12-3'!E174+'13-3'!E174+'14-3'!E174+'15-3'!E174+'16-3'!E174+'17-3'!E174+'18-3'!E174+'19-3'!E174+'21-3'!E174+'22-3'!E174+'24-3'!E174+'25-3'!E174+'28-3'!E174+'29-3'!E174+'30-3'!E174+'32-3'!E174+'35-3'!E174+'37-3'!E174+'47-3'!E174+'62-3'!E174+'64-3'!E174+'74-3'!E174</f>
        <v>0</v>
      </c>
      <c r="F428" s="106">
        <f>'01-3'!F174+'02-3'!F174+'03-3'!F174+'04-3'!F174+'05-3'!F174+'08-3'!F174+'09-3'!F174+'10-3'!F174+'11-3'!F174+'12-3'!F174+'13-3'!F174+'14-3'!F174+'15-3'!F174+'16-3'!F174+'17-3'!F174+'18-3'!F174+'19-3'!F174+'21-3'!F174+'22-3'!F174+'24-3'!F174+'25-3'!F174+'28-3'!F174+'29-3'!F174+'30-3'!F174+'32-3'!F174+'35-3'!F174+'37-3'!F174+'47-3'!F174+'62-3'!F174+'64-3'!F174+'74-3'!F174</f>
        <v>-14355</v>
      </c>
      <c r="G428" s="106">
        <f>'01-3'!G174+'02-3'!G174+'03-3'!G174+'04-3'!G174+'05-3'!G174+'08-3'!G174+'09-3'!G174+'10-3'!G174+'11-3'!G174+'12-3'!G174+'13-3'!G174+'14-3'!G174+'15-3'!G174+'16-3'!G174+'17-3'!G174+'18-3'!G174+'19-3'!G174+'21-3'!G174+'22-3'!G174+'24-3'!G174+'25-3'!G174+'28-3'!G174+'29-3'!G174+'30-3'!G174+'32-3'!G174+'35-3'!G174+'37-3'!G174+'47-3'!G174+'62-3'!G174+'64-3'!G174+'74-3'!G174</f>
        <v>90000</v>
      </c>
      <c r="H428" s="106">
        <f>'01-3'!H174+'02-3'!H174+'03-3'!H174+'04-3'!H174+'05-3'!H174+'08-3'!H174+'09-3'!H174+'10-3'!H174+'11-3'!H174+'12-3'!H174+'13-3'!H174+'14-3'!H174+'15-3'!H174+'16-3'!H174+'17-3'!H174+'18-3'!H174+'19-3'!H174+'21-3'!H174+'22-3'!H174+'24-3'!H174+'25-3'!H174+'28-3'!H174+'29-3'!H174+'30-3'!H174+'32-3'!H174+'35-3'!H174+'37-3'!H174+'47-3'!H174+'62-3'!H174+'64-3'!H174+'74-3'!H174</f>
        <v>1131396</v>
      </c>
      <c r="I428" s="106">
        <f>'01-3'!I174+'02-3'!I174+'03-3'!I174+'04-3'!I174+'05-3'!I174+'08-3'!I174+'09-3'!I174+'10-3'!I174+'11-3'!I174+'12-3'!I174+'13-3'!I174+'14-3'!I174+'15-3'!I174+'16-3'!I174+'17-3'!I174+'18-3'!I174+'19-3'!I174+'21-3'!I174+'22-3'!I174+'24-3'!I174+'25-3'!I174+'28-3'!I174+'29-3'!I174+'30-3'!I174+'32-3'!I174+'35-3'!I174+'37-3'!I174+'47-3'!I174+'62-3'!I174+'64-3'!I174+'74-3'!I174</f>
        <v>482280</v>
      </c>
      <c r="J428" s="106">
        <f>'01-3'!J174+'02-3'!J174+'03-3'!J174+'04-3'!J174+'05-3'!J174+'08-3'!J174+'09-3'!J174+'10-3'!J174+'11-3'!J174+'12-3'!J174+'13-3'!J174+'14-3'!J174+'15-3'!J174+'16-3'!J174+'17-3'!J174+'18-3'!J174+'19-3'!J174+'21-3'!J174+'22-3'!J174+'24-3'!J174+'25-3'!J174+'28-3'!J174+'29-3'!J174+'30-3'!J174+'32-3'!J174+'35-3'!J174+'37-3'!J174+'47-3'!J174+'62-3'!J174+'64-3'!J174+'74-3'!J174</f>
        <v>0</v>
      </c>
      <c r="K428" s="106">
        <f>'01-3'!K174+'02-3'!K174+'03-3'!K174+'04-3'!K174+'05-3'!K174+'08-3'!K174+'09-3'!K174+'10-3'!K174+'11-3'!K174+'12-3'!K174+'13-3'!K174+'14-3'!K174+'15-3'!K174+'16-3'!K174+'17-3'!K174+'18-3'!K174+'19-3'!K174+'21-3'!K174+'22-3'!K174+'24-3'!K174+'25-3'!K174+'28-3'!K174+'29-3'!K174+'30-3'!K174+'32-3'!K174+'35-3'!K174+'37-3'!K174+'47-3'!K174+'62-3'!K174+'64-3'!K174+'74-3'!K174</f>
        <v>-14355</v>
      </c>
      <c r="L428" s="106">
        <f>'01-3'!L174+'02-3'!L174+'03-3'!L174+'04-3'!L174+'05-3'!L174+'08-3'!L174+'09-3'!L174+'10-3'!L174+'11-3'!L174+'12-3'!L174+'13-3'!L174+'14-3'!L174+'15-3'!L174+'16-3'!L174+'17-3'!L174+'18-3'!L174+'19-3'!L174+'21-3'!L174+'22-3'!L174+'24-3'!L174+'25-3'!L174+'28-3'!L174+'29-3'!L174+'30-3'!L174+'32-3'!L174+'35-3'!L174+'37-3'!L174+'47-3'!L174+'62-3'!L174+'64-3'!L174+'74-3'!L174</f>
        <v>7686</v>
      </c>
      <c r="M428" s="106">
        <f>'01-3'!M174+'02-3'!M174+'03-3'!M174+'04-3'!M174+'05-3'!M174+'08-3'!M174+'09-3'!M174+'10-3'!M174+'11-3'!M174+'12-3'!M174+'13-3'!M174+'14-3'!M174+'15-3'!M174+'16-3'!M174+'17-3'!M174+'18-3'!M174+'19-3'!M174+'21-3'!M174+'22-3'!M174+'24-3'!M174+'25-3'!M174+'28-3'!M174+'29-3'!M174+'30-3'!M174+'32-3'!M174+'35-3'!M174+'37-3'!M174+'47-3'!M174+'62-3'!M174+'64-3'!M174+'74-3'!M174</f>
        <v>475611</v>
      </c>
      <c r="N428" s="106">
        <f>'01-3'!N174+'02-3'!N174+'03-3'!N174+'04-3'!N174+'05-3'!N174+'08-3'!N174+'09-3'!N174+'10-3'!N174+'11-3'!N174+'12-3'!N174+'13-3'!N174+'14-3'!N174+'15-3'!N174+'16-3'!N174+'17-3'!N174+'18-3'!N174+'19-3'!N174+'21-3'!N174+'22-3'!N174+'24-3'!N174+'25-3'!N174+'28-3'!N174+'29-3'!N174+'30-3'!N174+'32-3'!N174+'35-3'!N174+'37-3'!N174+'47-3'!N174+'62-3'!N174+'64-3'!N174+'74-3'!N174</f>
        <v>482280</v>
      </c>
      <c r="O428" s="106">
        <f>'01-3'!O174+'02-3'!O174+'03-3'!O174+'04-3'!O174+'05-3'!O174+'08-3'!O174+'09-3'!O174+'10-3'!O174+'11-3'!O174+'12-3'!O174+'13-3'!O174+'14-3'!O174+'15-3'!O174+'16-3'!O174+'17-3'!O174+'18-3'!O174+'19-3'!O174+'21-3'!O174+'22-3'!O174+'24-3'!O174+'25-3'!O174+'28-3'!O174+'29-3'!O174+'30-3'!O174+'32-3'!O174+'35-3'!O174+'37-3'!O174+'47-3'!O174+'62-3'!O174+'64-3'!O174+'74-3'!O174</f>
        <v>0</v>
      </c>
      <c r="P428" s="106">
        <f>'01-3'!P174+'02-3'!P174+'03-3'!P174+'04-3'!P174+'05-3'!P174+'08-3'!P174+'09-3'!P174+'10-3'!P174+'11-3'!P174+'12-3'!P174+'13-3'!P174+'14-3'!P174+'15-3'!P174+'16-3'!P174+'17-3'!P174+'18-3'!P174+'19-3'!P174+'21-3'!P174+'22-3'!P174+'24-3'!P174+'25-3'!P174+'28-3'!P174+'29-3'!P174+'30-3'!P174+'32-3'!P174+'35-3'!P174+'37-3'!P174+'47-3'!P174+'62-3'!P174+'64-3'!P174+'74-3'!P174</f>
        <v>-14355</v>
      </c>
      <c r="Q428" s="106">
        <f>'01-3'!Q174+'02-3'!Q174+'03-3'!Q174+'04-3'!Q174+'05-3'!Q174+'08-3'!Q174+'09-3'!Q174+'10-3'!Q174+'11-3'!Q174+'12-3'!Q174+'13-3'!Q174+'14-3'!Q174+'15-3'!Q174+'16-3'!Q174+'17-3'!Q174+'18-3'!Q174+'19-3'!Q174+'21-3'!Q174+'22-3'!Q174+'24-3'!Q174+'25-3'!Q174+'28-3'!Q174+'29-3'!Q174+'30-3'!Q174+'32-3'!Q174+'35-3'!Q174+'37-3'!Q174+'47-3'!Q174+'62-3'!Q174+'64-3'!Q174+'74-3'!Q174</f>
        <v>0</v>
      </c>
      <c r="R428" s="106">
        <f>'01-3'!R174+'02-3'!R174+'03-3'!R174+'04-3'!R174+'05-3'!R174+'08-3'!R174+'09-3'!R174+'10-3'!R174+'11-3'!R174+'12-3'!R174+'13-3'!R174+'14-3'!R174+'15-3'!R174+'16-3'!R174+'17-3'!R174+'18-3'!R174+'19-3'!R174+'21-3'!R174+'22-3'!R174+'24-3'!R174+'25-3'!R174+'28-3'!R174+'29-3'!R174+'30-3'!R174+'32-3'!R174+'35-3'!R174+'37-3'!R174+'47-3'!R174+'62-3'!R174+'64-3'!R174+'74-3'!R174</f>
        <v>467925</v>
      </c>
      <c r="S428" s="954"/>
      <c r="T428" s="954"/>
      <c r="U428" s="954"/>
      <c r="V428" s="954"/>
      <c r="W428" s="954"/>
    </row>
    <row r="429" spans="1:23" s="6" customFormat="1" ht="24" hidden="1">
      <c r="A429" s="144" t="s">
        <v>66</v>
      </c>
      <c r="B429" s="112" t="s">
        <v>67</v>
      </c>
      <c r="C429" s="106">
        <f>'01-3'!C175+'02-3'!C175+'03-3'!C175+'04-3'!C175+'05-3'!C175+'08-3'!C175+'09-3'!C175+'10-3'!C175+'11-3'!C175+'12-3'!C175+'13-3'!C175+'14-3'!C175+'15-3'!C175+'16-3'!C175+'17-3'!C175+'18-3'!C175+'19-3'!C175+'21-3'!C175+'22-3'!C175+'24-3'!C175+'25-3'!C175+'28-3'!C175+'29-3'!C175+'30-3'!C175+'32-3'!C175+'35-3'!C175+'37-3'!C175+'47-3'!C175+'62-3'!C175+'64-3'!C175+'74-3'!C175</f>
        <v>0</v>
      </c>
      <c r="D429" s="106">
        <f>'01-3'!D175+'02-3'!D175+'03-3'!D175+'04-3'!D175+'05-3'!D175+'08-3'!D175+'09-3'!D175+'10-3'!D175+'11-3'!D175+'12-3'!D175+'13-3'!D175+'14-3'!D175+'15-3'!D175+'16-3'!D175+'17-3'!D175+'18-3'!D175+'19-3'!D175+'21-3'!D175+'22-3'!D175+'24-3'!D175+'25-3'!D175+'28-3'!D175+'29-3'!D175+'30-3'!D175+'32-3'!D175+'35-3'!D175+'37-3'!D175+'47-3'!D175+'62-3'!D175+'64-3'!D175+'74-3'!D175</f>
        <v>0</v>
      </c>
      <c r="E429" s="106">
        <f>'01-3'!E175+'02-3'!E175+'03-3'!E175+'04-3'!E175+'05-3'!E175+'08-3'!E175+'09-3'!E175+'10-3'!E175+'11-3'!E175+'12-3'!E175+'13-3'!E175+'14-3'!E175+'15-3'!E175+'16-3'!E175+'17-3'!E175+'18-3'!E175+'19-3'!E175+'21-3'!E175+'22-3'!E175+'24-3'!E175+'25-3'!E175+'28-3'!E175+'29-3'!E175+'30-3'!E175+'32-3'!E175+'35-3'!E175+'37-3'!E175+'47-3'!E175+'62-3'!E175+'64-3'!E175+'74-3'!E175</f>
        <v>0</v>
      </c>
      <c r="F429" s="106">
        <f>'01-3'!F175+'02-3'!F175+'03-3'!F175+'04-3'!F175+'05-3'!F175+'08-3'!F175+'09-3'!F175+'10-3'!F175+'11-3'!F175+'12-3'!F175+'13-3'!F175+'14-3'!F175+'15-3'!F175+'16-3'!F175+'17-3'!F175+'18-3'!F175+'19-3'!F175+'21-3'!F175+'22-3'!F175+'24-3'!F175+'25-3'!F175+'28-3'!F175+'29-3'!F175+'30-3'!F175+'32-3'!F175+'35-3'!F175+'37-3'!F175+'47-3'!F175+'62-3'!F175+'64-3'!F175+'74-3'!F175</f>
        <v>0</v>
      </c>
      <c r="G429" s="106">
        <f>'01-3'!G175+'02-3'!G175+'03-3'!G175+'04-3'!G175+'05-3'!G175+'08-3'!G175+'09-3'!G175+'10-3'!G175+'11-3'!G175+'12-3'!G175+'13-3'!G175+'14-3'!G175+'15-3'!G175+'16-3'!G175+'17-3'!G175+'18-3'!G175+'19-3'!G175+'21-3'!G175+'22-3'!G175+'24-3'!G175+'25-3'!G175+'28-3'!G175+'29-3'!G175+'30-3'!G175+'32-3'!G175+'35-3'!G175+'37-3'!G175+'47-3'!G175+'62-3'!G175+'64-3'!G175+'74-3'!G175</f>
        <v>0</v>
      </c>
      <c r="H429" s="106">
        <f>'01-3'!H175+'02-3'!H175+'03-3'!H175+'04-3'!H175+'05-3'!H175+'08-3'!H175+'09-3'!H175+'10-3'!H175+'11-3'!H175+'12-3'!H175+'13-3'!H175+'14-3'!H175+'15-3'!H175+'16-3'!H175+'17-3'!H175+'18-3'!H175+'19-3'!H175+'21-3'!H175+'22-3'!H175+'24-3'!H175+'25-3'!H175+'28-3'!H175+'29-3'!H175+'30-3'!H175+'32-3'!H175+'35-3'!H175+'37-3'!H175+'47-3'!H175+'62-3'!H175+'64-3'!H175+'74-3'!H175</f>
        <v>0</v>
      </c>
      <c r="I429" s="106">
        <f>'01-3'!I175+'02-3'!I175+'03-3'!I175+'04-3'!I175+'05-3'!I175+'08-3'!I175+'09-3'!I175+'10-3'!I175+'11-3'!I175+'12-3'!I175+'13-3'!I175+'14-3'!I175+'15-3'!I175+'16-3'!I175+'17-3'!I175+'18-3'!I175+'19-3'!I175+'21-3'!I175+'22-3'!I175+'24-3'!I175+'25-3'!I175+'28-3'!I175+'29-3'!I175+'30-3'!I175+'32-3'!I175+'35-3'!I175+'37-3'!I175+'47-3'!I175+'62-3'!I175+'64-3'!I175+'74-3'!I175</f>
        <v>0</v>
      </c>
      <c r="J429" s="106">
        <f>'01-3'!J175+'02-3'!J175+'03-3'!J175+'04-3'!J175+'05-3'!J175+'08-3'!J175+'09-3'!J175+'10-3'!J175+'11-3'!J175+'12-3'!J175+'13-3'!J175+'14-3'!J175+'15-3'!J175+'16-3'!J175+'17-3'!J175+'18-3'!J175+'19-3'!J175+'21-3'!J175+'22-3'!J175+'24-3'!J175+'25-3'!J175+'28-3'!J175+'29-3'!J175+'30-3'!J175+'32-3'!J175+'35-3'!J175+'37-3'!J175+'47-3'!J175+'62-3'!J175+'64-3'!J175+'74-3'!J175</f>
        <v>0</v>
      </c>
      <c r="K429" s="106">
        <f>'01-3'!K175+'02-3'!K175+'03-3'!K175+'04-3'!K175+'05-3'!K175+'08-3'!K175+'09-3'!K175+'10-3'!K175+'11-3'!K175+'12-3'!K175+'13-3'!K175+'14-3'!K175+'15-3'!K175+'16-3'!K175+'17-3'!K175+'18-3'!K175+'19-3'!K175+'21-3'!K175+'22-3'!K175+'24-3'!K175+'25-3'!K175+'28-3'!K175+'29-3'!K175+'30-3'!K175+'32-3'!K175+'35-3'!K175+'37-3'!K175+'47-3'!K175+'62-3'!K175+'64-3'!K175+'74-3'!K175</f>
        <v>0</v>
      </c>
      <c r="L429" s="106">
        <f>'01-3'!L175+'02-3'!L175+'03-3'!L175+'04-3'!L175+'05-3'!L175+'08-3'!L175+'09-3'!L175+'10-3'!L175+'11-3'!L175+'12-3'!L175+'13-3'!L175+'14-3'!L175+'15-3'!L175+'16-3'!L175+'17-3'!L175+'18-3'!L175+'19-3'!L175+'21-3'!L175+'22-3'!L175+'24-3'!L175+'25-3'!L175+'28-3'!L175+'29-3'!L175+'30-3'!L175+'32-3'!L175+'35-3'!L175+'37-3'!L175+'47-3'!L175+'62-3'!L175+'64-3'!L175+'74-3'!L175</f>
        <v>0</v>
      </c>
      <c r="M429" s="106">
        <f>'01-3'!M175+'02-3'!M175+'03-3'!M175+'04-3'!M175+'05-3'!M175+'08-3'!M175+'09-3'!M175+'10-3'!M175+'11-3'!M175+'12-3'!M175+'13-3'!M175+'14-3'!M175+'15-3'!M175+'16-3'!M175+'17-3'!M175+'18-3'!M175+'19-3'!M175+'21-3'!M175+'22-3'!M175+'24-3'!M175+'25-3'!M175+'28-3'!M175+'29-3'!M175+'30-3'!M175+'32-3'!M175+'35-3'!M175+'37-3'!M175+'47-3'!M175+'62-3'!M175+'64-3'!M175+'74-3'!M175</f>
        <v>0</v>
      </c>
      <c r="N429" s="106">
        <f>'01-3'!N175+'02-3'!N175+'03-3'!N175+'04-3'!N175+'05-3'!N175+'08-3'!N175+'09-3'!N175+'10-3'!N175+'11-3'!N175+'12-3'!N175+'13-3'!N175+'14-3'!N175+'15-3'!N175+'16-3'!N175+'17-3'!N175+'18-3'!N175+'19-3'!N175+'21-3'!N175+'22-3'!N175+'24-3'!N175+'25-3'!N175+'28-3'!N175+'29-3'!N175+'30-3'!N175+'32-3'!N175+'35-3'!N175+'37-3'!N175+'47-3'!N175+'62-3'!N175+'64-3'!N175+'74-3'!N175</f>
        <v>0</v>
      </c>
      <c r="O429" s="106">
        <f>'01-3'!O175+'02-3'!O175+'03-3'!O175+'04-3'!O175+'05-3'!O175+'08-3'!O175+'09-3'!O175+'10-3'!O175+'11-3'!O175+'12-3'!O175+'13-3'!O175+'14-3'!O175+'15-3'!O175+'16-3'!O175+'17-3'!O175+'18-3'!O175+'19-3'!O175+'21-3'!O175+'22-3'!O175+'24-3'!O175+'25-3'!O175+'28-3'!O175+'29-3'!O175+'30-3'!O175+'32-3'!O175+'35-3'!O175+'37-3'!O175+'47-3'!O175+'62-3'!O175+'64-3'!O175+'74-3'!O175</f>
        <v>0</v>
      </c>
      <c r="P429" s="106">
        <f>'01-3'!P175+'02-3'!P175+'03-3'!P175+'04-3'!P175+'05-3'!P175+'08-3'!P175+'09-3'!P175+'10-3'!P175+'11-3'!P175+'12-3'!P175+'13-3'!P175+'14-3'!P175+'15-3'!P175+'16-3'!P175+'17-3'!P175+'18-3'!P175+'19-3'!P175+'21-3'!P175+'22-3'!P175+'24-3'!P175+'25-3'!P175+'28-3'!P175+'29-3'!P175+'30-3'!P175+'32-3'!P175+'35-3'!P175+'37-3'!P175+'47-3'!P175+'62-3'!P175+'64-3'!P175+'74-3'!P175</f>
        <v>0</v>
      </c>
      <c r="Q429" s="106">
        <f>'01-3'!Q175+'02-3'!Q175+'03-3'!Q175+'04-3'!Q175+'05-3'!Q175+'08-3'!Q175+'09-3'!Q175+'10-3'!Q175+'11-3'!Q175+'12-3'!Q175+'13-3'!Q175+'14-3'!Q175+'15-3'!Q175+'16-3'!Q175+'17-3'!Q175+'18-3'!Q175+'19-3'!Q175+'21-3'!Q175+'22-3'!Q175+'24-3'!Q175+'25-3'!Q175+'28-3'!Q175+'29-3'!Q175+'30-3'!Q175+'32-3'!Q175+'35-3'!Q175+'37-3'!Q175+'47-3'!Q175+'62-3'!Q175+'64-3'!Q175+'74-3'!Q175</f>
        <v>0</v>
      </c>
      <c r="R429" s="106">
        <f>'01-3'!R175+'02-3'!R175+'03-3'!R175+'04-3'!R175+'05-3'!R175+'08-3'!R175+'09-3'!R175+'10-3'!R175+'11-3'!R175+'12-3'!R175+'13-3'!R175+'14-3'!R175+'15-3'!R175+'16-3'!R175+'17-3'!R175+'18-3'!R175+'19-3'!R175+'21-3'!R175+'22-3'!R175+'24-3'!R175+'25-3'!R175+'28-3'!R175+'29-3'!R175+'30-3'!R175+'32-3'!R175+'35-3'!R175+'37-3'!R175+'47-3'!R175+'62-3'!R175+'64-3'!R175+'74-3'!R175</f>
        <v>0</v>
      </c>
      <c r="S429" s="954"/>
      <c r="T429" s="954"/>
      <c r="U429" s="954"/>
      <c r="V429" s="954"/>
      <c r="W429" s="954"/>
    </row>
    <row r="430" spans="1:23" s="6" customFormat="1" ht="24" hidden="1">
      <c r="A430" s="144" t="s">
        <v>68</v>
      </c>
      <c r="B430" s="101" t="s">
        <v>69</v>
      </c>
      <c r="C430" s="106">
        <f>'01-3'!C176+'02-3'!C176+'03-3'!C176+'04-3'!C176+'05-3'!C176+'08-3'!C176+'09-3'!C176+'10-3'!C176+'11-3'!C176+'12-3'!C176+'13-3'!C176+'14-3'!C176+'15-3'!C176+'16-3'!C176+'17-3'!C176+'18-3'!C176+'19-3'!C176+'21-3'!C176+'22-3'!C176+'24-3'!C176+'25-3'!C176+'28-3'!C176+'29-3'!C176+'30-3'!C176+'32-3'!C176+'35-3'!C176+'37-3'!C176+'47-3'!C176+'62-3'!C176+'64-3'!C176+'74-3'!C176</f>
        <v>0</v>
      </c>
      <c r="D430" s="106">
        <f>'01-3'!D176+'02-3'!D176+'03-3'!D176+'04-3'!D176+'05-3'!D176+'08-3'!D176+'09-3'!D176+'10-3'!D176+'11-3'!D176+'12-3'!D176+'13-3'!D176+'14-3'!D176+'15-3'!D176+'16-3'!D176+'17-3'!D176+'18-3'!D176+'19-3'!D176+'21-3'!D176+'22-3'!D176+'24-3'!D176+'25-3'!D176+'28-3'!D176+'29-3'!D176+'30-3'!D176+'32-3'!D176+'35-3'!D176+'37-3'!D176+'47-3'!D176+'62-3'!D176+'64-3'!D176+'74-3'!D176</f>
        <v>0</v>
      </c>
      <c r="E430" s="106">
        <f>'01-3'!E176+'02-3'!E176+'03-3'!E176+'04-3'!E176+'05-3'!E176+'08-3'!E176+'09-3'!E176+'10-3'!E176+'11-3'!E176+'12-3'!E176+'13-3'!E176+'14-3'!E176+'15-3'!E176+'16-3'!E176+'17-3'!E176+'18-3'!E176+'19-3'!E176+'21-3'!E176+'22-3'!E176+'24-3'!E176+'25-3'!E176+'28-3'!E176+'29-3'!E176+'30-3'!E176+'32-3'!E176+'35-3'!E176+'37-3'!E176+'47-3'!E176+'62-3'!E176+'64-3'!E176+'74-3'!E176</f>
        <v>0</v>
      </c>
      <c r="F430" s="106">
        <f>'01-3'!F176+'02-3'!F176+'03-3'!F176+'04-3'!F176+'05-3'!F176+'08-3'!F176+'09-3'!F176+'10-3'!F176+'11-3'!F176+'12-3'!F176+'13-3'!F176+'14-3'!F176+'15-3'!F176+'16-3'!F176+'17-3'!F176+'18-3'!F176+'19-3'!F176+'21-3'!F176+'22-3'!F176+'24-3'!F176+'25-3'!F176+'28-3'!F176+'29-3'!F176+'30-3'!F176+'32-3'!F176+'35-3'!F176+'37-3'!F176+'47-3'!F176+'62-3'!F176+'64-3'!F176+'74-3'!F176</f>
        <v>0</v>
      </c>
      <c r="G430" s="106">
        <f>'01-3'!G176+'02-3'!G176+'03-3'!G176+'04-3'!G176+'05-3'!G176+'08-3'!G176+'09-3'!G176+'10-3'!G176+'11-3'!G176+'12-3'!G176+'13-3'!G176+'14-3'!G176+'15-3'!G176+'16-3'!G176+'17-3'!G176+'18-3'!G176+'19-3'!G176+'21-3'!G176+'22-3'!G176+'24-3'!G176+'25-3'!G176+'28-3'!G176+'29-3'!G176+'30-3'!G176+'32-3'!G176+'35-3'!G176+'37-3'!G176+'47-3'!G176+'62-3'!G176+'64-3'!G176+'74-3'!G176</f>
        <v>0</v>
      </c>
      <c r="H430" s="106">
        <f>'01-3'!H176+'02-3'!H176+'03-3'!H176+'04-3'!H176+'05-3'!H176+'08-3'!H176+'09-3'!H176+'10-3'!H176+'11-3'!H176+'12-3'!H176+'13-3'!H176+'14-3'!H176+'15-3'!H176+'16-3'!H176+'17-3'!H176+'18-3'!H176+'19-3'!H176+'21-3'!H176+'22-3'!H176+'24-3'!H176+'25-3'!H176+'28-3'!H176+'29-3'!H176+'30-3'!H176+'32-3'!H176+'35-3'!H176+'37-3'!H176+'47-3'!H176+'62-3'!H176+'64-3'!H176+'74-3'!H176</f>
        <v>0</v>
      </c>
      <c r="I430" s="106">
        <f>'01-3'!I176+'02-3'!I176+'03-3'!I176+'04-3'!I176+'05-3'!I176+'08-3'!I176+'09-3'!I176+'10-3'!I176+'11-3'!I176+'12-3'!I176+'13-3'!I176+'14-3'!I176+'15-3'!I176+'16-3'!I176+'17-3'!I176+'18-3'!I176+'19-3'!I176+'21-3'!I176+'22-3'!I176+'24-3'!I176+'25-3'!I176+'28-3'!I176+'29-3'!I176+'30-3'!I176+'32-3'!I176+'35-3'!I176+'37-3'!I176+'47-3'!I176+'62-3'!I176+'64-3'!I176+'74-3'!I176</f>
        <v>0</v>
      </c>
      <c r="J430" s="106">
        <f>'01-3'!J176+'02-3'!J176+'03-3'!J176+'04-3'!J176+'05-3'!J176+'08-3'!J176+'09-3'!J176+'10-3'!J176+'11-3'!J176+'12-3'!J176+'13-3'!J176+'14-3'!J176+'15-3'!J176+'16-3'!J176+'17-3'!J176+'18-3'!J176+'19-3'!J176+'21-3'!J176+'22-3'!J176+'24-3'!J176+'25-3'!J176+'28-3'!J176+'29-3'!J176+'30-3'!J176+'32-3'!J176+'35-3'!J176+'37-3'!J176+'47-3'!J176+'62-3'!J176+'64-3'!J176+'74-3'!J176</f>
        <v>0</v>
      </c>
      <c r="K430" s="106">
        <f>'01-3'!K176+'02-3'!K176+'03-3'!K176+'04-3'!K176+'05-3'!K176+'08-3'!K176+'09-3'!K176+'10-3'!K176+'11-3'!K176+'12-3'!K176+'13-3'!K176+'14-3'!K176+'15-3'!K176+'16-3'!K176+'17-3'!K176+'18-3'!K176+'19-3'!K176+'21-3'!K176+'22-3'!K176+'24-3'!K176+'25-3'!K176+'28-3'!K176+'29-3'!K176+'30-3'!K176+'32-3'!K176+'35-3'!K176+'37-3'!K176+'47-3'!K176+'62-3'!K176+'64-3'!K176+'74-3'!K176</f>
        <v>0</v>
      </c>
      <c r="L430" s="106">
        <f>'01-3'!L176+'02-3'!L176+'03-3'!L176+'04-3'!L176+'05-3'!L176+'08-3'!L176+'09-3'!L176+'10-3'!L176+'11-3'!L176+'12-3'!L176+'13-3'!L176+'14-3'!L176+'15-3'!L176+'16-3'!L176+'17-3'!L176+'18-3'!L176+'19-3'!L176+'21-3'!L176+'22-3'!L176+'24-3'!L176+'25-3'!L176+'28-3'!L176+'29-3'!L176+'30-3'!L176+'32-3'!L176+'35-3'!L176+'37-3'!L176+'47-3'!L176+'62-3'!L176+'64-3'!L176+'74-3'!L176</f>
        <v>0</v>
      </c>
      <c r="M430" s="106">
        <f>'01-3'!M176+'02-3'!M176+'03-3'!M176+'04-3'!M176+'05-3'!M176+'08-3'!M176+'09-3'!M176+'10-3'!M176+'11-3'!M176+'12-3'!M176+'13-3'!M176+'14-3'!M176+'15-3'!M176+'16-3'!M176+'17-3'!M176+'18-3'!M176+'19-3'!M176+'21-3'!M176+'22-3'!M176+'24-3'!M176+'25-3'!M176+'28-3'!M176+'29-3'!M176+'30-3'!M176+'32-3'!M176+'35-3'!M176+'37-3'!M176+'47-3'!M176+'62-3'!M176+'64-3'!M176+'74-3'!M176</f>
        <v>0</v>
      </c>
      <c r="N430" s="106">
        <f>'01-3'!N176+'02-3'!N176+'03-3'!N176+'04-3'!N176+'05-3'!N176+'08-3'!N176+'09-3'!N176+'10-3'!N176+'11-3'!N176+'12-3'!N176+'13-3'!N176+'14-3'!N176+'15-3'!N176+'16-3'!N176+'17-3'!N176+'18-3'!N176+'19-3'!N176+'21-3'!N176+'22-3'!N176+'24-3'!N176+'25-3'!N176+'28-3'!N176+'29-3'!N176+'30-3'!N176+'32-3'!N176+'35-3'!N176+'37-3'!N176+'47-3'!N176+'62-3'!N176+'64-3'!N176+'74-3'!N176</f>
        <v>0</v>
      </c>
      <c r="O430" s="106">
        <f>'01-3'!O176+'02-3'!O176+'03-3'!O176+'04-3'!O176+'05-3'!O176+'08-3'!O176+'09-3'!O176+'10-3'!O176+'11-3'!O176+'12-3'!O176+'13-3'!O176+'14-3'!O176+'15-3'!O176+'16-3'!O176+'17-3'!O176+'18-3'!O176+'19-3'!O176+'21-3'!O176+'22-3'!O176+'24-3'!O176+'25-3'!O176+'28-3'!O176+'29-3'!O176+'30-3'!O176+'32-3'!O176+'35-3'!O176+'37-3'!O176+'47-3'!O176+'62-3'!O176+'64-3'!O176+'74-3'!O176</f>
        <v>0</v>
      </c>
      <c r="P430" s="106">
        <f>'01-3'!P176+'02-3'!P176+'03-3'!P176+'04-3'!P176+'05-3'!P176+'08-3'!P176+'09-3'!P176+'10-3'!P176+'11-3'!P176+'12-3'!P176+'13-3'!P176+'14-3'!P176+'15-3'!P176+'16-3'!P176+'17-3'!P176+'18-3'!P176+'19-3'!P176+'21-3'!P176+'22-3'!P176+'24-3'!P176+'25-3'!P176+'28-3'!P176+'29-3'!P176+'30-3'!P176+'32-3'!P176+'35-3'!P176+'37-3'!P176+'47-3'!P176+'62-3'!P176+'64-3'!P176+'74-3'!P176</f>
        <v>0</v>
      </c>
      <c r="Q430" s="106">
        <f>'01-3'!Q176+'02-3'!Q176+'03-3'!Q176+'04-3'!Q176+'05-3'!Q176+'08-3'!Q176+'09-3'!Q176+'10-3'!Q176+'11-3'!Q176+'12-3'!Q176+'13-3'!Q176+'14-3'!Q176+'15-3'!Q176+'16-3'!Q176+'17-3'!Q176+'18-3'!Q176+'19-3'!Q176+'21-3'!Q176+'22-3'!Q176+'24-3'!Q176+'25-3'!Q176+'28-3'!Q176+'29-3'!Q176+'30-3'!Q176+'32-3'!Q176+'35-3'!Q176+'37-3'!Q176+'47-3'!Q176+'62-3'!Q176+'64-3'!Q176+'74-3'!Q176</f>
        <v>0</v>
      </c>
      <c r="R430" s="106">
        <f>'01-3'!R176+'02-3'!R176+'03-3'!R176+'04-3'!R176+'05-3'!R176+'08-3'!R176+'09-3'!R176+'10-3'!R176+'11-3'!R176+'12-3'!R176+'13-3'!R176+'14-3'!R176+'15-3'!R176+'16-3'!R176+'17-3'!R176+'18-3'!R176+'19-3'!R176+'21-3'!R176+'22-3'!R176+'24-3'!R176+'25-3'!R176+'28-3'!R176+'29-3'!R176+'30-3'!R176+'32-3'!R176+'35-3'!R176+'37-3'!R176+'47-3'!R176+'62-3'!R176+'64-3'!R176+'74-3'!R176</f>
        <v>0</v>
      </c>
      <c r="S430" s="954"/>
      <c r="T430" s="954"/>
      <c r="U430" s="954"/>
      <c r="V430" s="954"/>
      <c r="W430" s="954"/>
    </row>
    <row r="431" spans="1:23" s="6" customFormat="1" ht="34.200000000000003">
      <c r="A431" s="145"/>
      <c r="B431" s="121" t="s">
        <v>200</v>
      </c>
      <c r="C431" s="122">
        <f>'01-3'!C177+'02-3'!C177+'03-3'!C177+'04-3'!C177+'05-3'!C177+'08-3'!C177+'09-3'!C177+'10-3'!C177+'11-3'!C177+'12-3'!C177+'13-3'!C177+'14-3'!C177+'15-3'!C177+'16-3'!C177+'17-3'!C177+'18-3'!C177+'19-3'!C177+'21-3'!C177+'22-3'!C177+'24-3'!C177+'25-3'!C177+'28-3'!C177+'29-3'!C177+'30-3'!C177+'32-3'!C177+'35-3'!C177+'37-3'!C177+'47-3'!C177+'62-3'!C177+'64-3'!C177+'74-3'!C177</f>
        <v>0</v>
      </c>
      <c r="D431" s="122">
        <f>'01-3'!D177+'02-3'!D177+'03-3'!D177+'04-3'!D177+'05-3'!D177+'08-3'!D177+'09-3'!D177+'10-3'!D177+'11-3'!D177+'12-3'!D177+'13-3'!D177+'14-3'!D177+'15-3'!D177+'16-3'!D177+'17-3'!D177+'18-3'!D177+'19-3'!D177+'21-3'!D177+'22-3'!D177+'24-3'!D177+'25-3'!D177+'28-3'!D177+'29-3'!D177+'30-3'!D177+'32-3'!D177+'35-3'!D177+'37-3'!D177+'47-3'!D177+'62-3'!D177+'64-3'!D177+'74-3'!D177</f>
        <v>0</v>
      </c>
      <c r="E431" s="122">
        <f>'01-3'!E177+'02-3'!E177+'03-3'!E177+'04-3'!E177+'05-3'!E177+'08-3'!E177+'09-3'!E177+'10-3'!E177+'11-3'!E177+'12-3'!E177+'13-3'!E177+'14-3'!E177+'15-3'!E177+'16-3'!E177+'17-3'!E177+'18-3'!E177+'19-3'!E177+'21-3'!E177+'22-3'!E177+'24-3'!E177+'25-3'!E177+'28-3'!E177+'29-3'!E177+'30-3'!E177+'32-3'!E177+'35-3'!E177+'37-3'!E177+'47-3'!E177+'62-3'!E177+'64-3'!E177+'74-3'!E177</f>
        <v>0</v>
      </c>
      <c r="F431" s="122">
        <f>'01-3'!F177+'02-3'!F177+'03-3'!F177+'04-3'!F177+'05-3'!F177+'08-3'!F177+'09-3'!F177+'10-3'!F177+'11-3'!F177+'12-3'!F177+'13-3'!F177+'14-3'!F177+'15-3'!F177+'16-3'!F177+'17-3'!F177+'18-3'!F177+'19-3'!F177+'21-3'!F177+'22-3'!F177+'24-3'!F177+'25-3'!F177+'28-3'!F177+'29-3'!F177+'30-3'!F177+'32-3'!F177+'35-3'!F177+'37-3'!F177+'47-3'!F177+'62-3'!F177+'64-3'!F177+'74-3'!F177</f>
        <v>0</v>
      </c>
      <c r="G431" s="122">
        <f>'01-3'!G177+'02-3'!G177+'03-3'!G177+'04-3'!G177+'05-3'!G177+'08-3'!G177+'09-3'!G177+'10-3'!G177+'11-3'!G177+'12-3'!G177+'13-3'!G177+'14-3'!G177+'15-3'!G177+'16-3'!G177+'17-3'!G177+'18-3'!G177+'19-3'!G177+'21-3'!G177+'22-3'!G177+'24-3'!G177+'25-3'!G177+'28-3'!G177+'29-3'!G177+'30-3'!G177+'32-3'!G177+'35-3'!G177+'37-3'!G177+'47-3'!G177+'62-3'!G177+'64-3'!G177+'74-3'!G177</f>
        <v>0</v>
      </c>
      <c r="H431" s="122">
        <f>'01-3'!H177+'02-3'!H177+'03-3'!H177+'04-3'!H177+'05-3'!H177+'08-3'!H177+'09-3'!H177+'10-3'!H177+'11-3'!H177+'12-3'!H177+'13-3'!H177+'14-3'!H177+'15-3'!H177+'16-3'!H177+'17-3'!H177+'18-3'!H177+'19-3'!H177+'21-3'!H177+'22-3'!H177+'24-3'!H177+'25-3'!H177+'28-3'!H177+'29-3'!H177+'30-3'!H177+'32-3'!H177+'35-3'!H177+'37-3'!H177+'47-3'!H177+'62-3'!H177+'64-3'!H177+'74-3'!H177</f>
        <v>0</v>
      </c>
      <c r="I431" s="122">
        <f>'01-3'!I177+'02-3'!I177+'03-3'!I177+'04-3'!I177+'05-3'!I177+'08-3'!I177+'09-3'!I177+'10-3'!I177+'11-3'!I177+'12-3'!I177+'13-3'!I177+'14-3'!I177+'15-3'!I177+'16-3'!I177+'17-3'!I177+'18-3'!I177+'19-3'!I177+'21-3'!I177+'22-3'!I177+'24-3'!I177+'25-3'!I177+'28-3'!I177+'29-3'!I177+'30-3'!I177+'32-3'!I177+'35-3'!I177+'37-3'!I177+'47-3'!I177+'62-3'!I177+'64-3'!I177+'74-3'!I177</f>
        <v>0</v>
      </c>
      <c r="J431" s="122">
        <f>'01-3'!J177+'02-3'!J177+'03-3'!J177+'04-3'!J177+'05-3'!J177+'08-3'!J177+'09-3'!J177+'10-3'!J177+'11-3'!J177+'12-3'!J177+'13-3'!J177+'14-3'!J177+'15-3'!J177+'16-3'!J177+'17-3'!J177+'18-3'!J177+'19-3'!J177+'21-3'!J177+'22-3'!J177+'24-3'!J177+'25-3'!J177+'28-3'!J177+'29-3'!J177+'30-3'!J177+'32-3'!J177+'35-3'!J177+'37-3'!J177+'47-3'!J177+'62-3'!J177+'64-3'!J177+'74-3'!J177</f>
        <v>0</v>
      </c>
      <c r="K431" s="122">
        <f>'01-3'!K177+'02-3'!K177+'03-3'!K177+'04-3'!K177+'05-3'!K177+'08-3'!K177+'09-3'!K177+'10-3'!K177+'11-3'!K177+'12-3'!K177+'13-3'!K177+'14-3'!K177+'15-3'!K177+'16-3'!K177+'17-3'!K177+'18-3'!K177+'19-3'!K177+'21-3'!K177+'22-3'!K177+'24-3'!K177+'25-3'!K177+'28-3'!K177+'29-3'!K177+'30-3'!K177+'32-3'!K177+'35-3'!K177+'37-3'!K177+'47-3'!K177+'62-3'!K177+'64-3'!K177+'74-3'!K177</f>
        <v>0</v>
      </c>
      <c r="L431" s="122">
        <f>'01-3'!L177+'02-3'!L177+'03-3'!L177+'04-3'!L177+'05-3'!L177+'08-3'!L177+'09-3'!L177+'10-3'!L177+'11-3'!L177+'12-3'!L177+'13-3'!L177+'14-3'!L177+'15-3'!L177+'16-3'!L177+'17-3'!L177+'18-3'!L177+'19-3'!L177+'21-3'!L177+'22-3'!L177+'24-3'!L177+'25-3'!L177+'28-3'!L177+'29-3'!L177+'30-3'!L177+'32-3'!L177+'35-3'!L177+'37-3'!L177+'47-3'!L177+'62-3'!L177+'64-3'!L177+'74-3'!L177</f>
        <v>0</v>
      </c>
      <c r="M431" s="122">
        <f>'01-3'!M177+'02-3'!M177+'03-3'!M177+'04-3'!M177+'05-3'!M177+'08-3'!M177+'09-3'!M177+'10-3'!M177+'11-3'!M177+'12-3'!M177+'13-3'!M177+'14-3'!M177+'15-3'!M177+'16-3'!M177+'17-3'!M177+'18-3'!M177+'19-3'!M177+'21-3'!M177+'22-3'!M177+'24-3'!M177+'25-3'!M177+'28-3'!M177+'29-3'!M177+'30-3'!M177+'32-3'!M177+'35-3'!M177+'37-3'!M177+'47-3'!M177+'62-3'!M177+'64-3'!M177+'74-3'!M177</f>
        <v>0</v>
      </c>
      <c r="N431" s="122">
        <f>'01-3'!N177+'02-3'!N177+'03-3'!N177+'04-3'!N177+'05-3'!N177+'08-3'!N177+'09-3'!N177+'10-3'!N177+'11-3'!N177+'12-3'!N177+'13-3'!N177+'14-3'!N177+'15-3'!N177+'16-3'!N177+'17-3'!N177+'18-3'!N177+'19-3'!N177+'21-3'!N177+'22-3'!N177+'24-3'!N177+'25-3'!N177+'28-3'!N177+'29-3'!N177+'30-3'!N177+'32-3'!N177+'35-3'!N177+'37-3'!N177+'47-3'!N177+'62-3'!N177+'64-3'!N177+'74-3'!N177</f>
        <v>0</v>
      </c>
      <c r="O431" s="122">
        <f>'01-3'!O177+'02-3'!O177+'03-3'!O177+'04-3'!O177+'05-3'!O177+'08-3'!O177+'09-3'!O177+'10-3'!O177+'11-3'!O177+'12-3'!O177+'13-3'!O177+'14-3'!O177+'15-3'!O177+'16-3'!O177+'17-3'!O177+'18-3'!O177+'19-3'!O177+'21-3'!O177+'22-3'!O177+'24-3'!O177+'25-3'!O177+'28-3'!O177+'29-3'!O177+'30-3'!O177+'32-3'!O177+'35-3'!O177+'37-3'!O177+'47-3'!O177+'62-3'!O177+'64-3'!O177+'74-3'!O177</f>
        <v>0</v>
      </c>
      <c r="P431" s="122">
        <f>'01-3'!P177+'02-3'!P177+'03-3'!P177+'04-3'!P177+'05-3'!P177+'08-3'!P177+'09-3'!P177+'10-3'!P177+'11-3'!P177+'12-3'!P177+'13-3'!P177+'14-3'!P177+'15-3'!P177+'16-3'!P177+'17-3'!P177+'18-3'!P177+'19-3'!P177+'21-3'!P177+'22-3'!P177+'24-3'!P177+'25-3'!P177+'28-3'!P177+'29-3'!P177+'30-3'!P177+'32-3'!P177+'35-3'!P177+'37-3'!P177+'47-3'!P177+'62-3'!P177+'64-3'!P177+'74-3'!P177</f>
        <v>0</v>
      </c>
      <c r="Q431" s="122">
        <f>'01-3'!Q177+'02-3'!Q177+'03-3'!Q177+'04-3'!Q177+'05-3'!Q177+'08-3'!Q177+'09-3'!Q177+'10-3'!Q177+'11-3'!Q177+'12-3'!Q177+'13-3'!Q177+'14-3'!Q177+'15-3'!Q177+'16-3'!Q177+'17-3'!Q177+'18-3'!Q177+'19-3'!Q177+'21-3'!Q177+'22-3'!Q177+'24-3'!Q177+'25-3'!Q177+'28-3'!Q177+'29-3'!Q177+'30-3'!Q177+'32-3'!Q177+'35-3'!Q177+'37-3'!Q177+'47-3'!Q177+'62-3'!Q177+'64-3'!Q177+'74-3'!Q177</f>
        <v>0</v>
      </c>
      <c r="R431" s="122">
        <f>'01-3'!R177+'02-3'!R177+'03-3'!R177+'04-3'!R177+'05-3'!R177+'08-3'!R177+'09-3'!R177+'10-3'!R177+'11-3'!R177+'12-3'!R177+'13-3'!R177+'14-3'!R177+'15-3'!R177+'16-3'!R177+'17-3'!R177+'18-3'!R177+'19-3'!R177+'21-3'!R177+'22-3'!R177+'24-3'!R177+'25-3'!R177+'28-3'!R177+'29-3'!R177+'30-3'!R177+'32-3'!R177+'35-3'!R177+'37-3'!R177+'47-3'!R177+'62-3'!R177+'64-3'!R177+'74-3'!R177</f>
        <v>0</v>
      </c>
      <c r="S431" s="954"/>
      <c r="T431" s="954"/>
      <c r="U431" s="954"/>
      <c r="V431" s="954"/>
      <c r="W431" s="954"/>
    </row>
    <row r="432" spans="1:23" s="6" customFormat="1" ht="20.399999999999999">
      <c r="A432" s="129" t="s">
        <v>201</v>
      </c>
      <c r="B432" s="99" t="s">
        <v>88</v>
      </c>
      <c r="C432" s="299">
        <f>'01-3'!C178+'02-3'!C178+'03-3'!C178+'04-3'!C178+'05-3'!C178+'08-3'!C178+'09-3'!C178+'10-3'!C178+'11-3'!C178+'12-3'!C178+'13-3'!C178+'14-3'!C178+'15-3'!C178+'16-3'!C178+'17-3'!C178+'18-3'!C178+'19-3'!C178+'21-3'!C178+'22-3'!C178+'24-3'!C178+'25-3'!C178+'28-3'!C178+'29-3'!C178+'30-3'!C178+'32-3'!C178+'35-3'!C178+'37-3'!C178+'47-3'!C178+'62-3'!C178+'64-3'!C178+'74-3'!C178</f>
        <v>1147151064</v>
      </c>
      <c r="D432" s="299">
        <f>'01-3'!D178+'02-3'!D178+'03-3'!D178+'04-3'!D178+'05-3'!D178+'08-3'!D178+'09-3'!D178+'10-3'!D178+'11-3'!D178+'12-3'!D178+'13-3'!D178+'14-3'!D178+'15-3'!D178+'16-3'!D178+'17-3'!D178+'18-3'!D178+'19-3'!D178+'21-3'!D178+'22-3'!D178+'24-3'!D178+'25-3'!D178+'28-3'!D178+'29-3'!D178+'30-3'!D178+'32-3'!D178+'35-3'!D178+'37-3'!D178+'47-3'!D178+'62-3'!D178+'64-3'!D178+'74-3'!D178</f>
        <v>1109063832</v>
      </c>
      <c r="E432" s="299">
        <f>'01-3'!E178+'02-3'!E178+'03-3'!E178+'04-3'!E178+'05-3'!E178+'08-3'!E178+'09-3'!E178+'10-3'!E178+'11-3'!E178+'12-3'!E178+'13-3'!E178+'14-3'!E178+'15-3'!E178+'16-3'!E178+'17-3'!E178+'18-3'!E178+'19-3'!E178+'21-3'!E178+'22-3'!E178+'24-3'!E178+'25-3'!E178+'28-3'!E178+'29-3'!E178+'30-3'!E178+'32-3'!E178+'35-3'!E178+'37-3'!E178+'47-3'!E178+'62-3'!E178+'64-3'!E178+'74-3'!E178</f>
        <v>16151571</v>
      </c>
      <c r="F432" s="299">
        <f>'01-3'!F178+'02-3'!F178+'03-3'!F178+'04-3'!F178+'05-3'!F178+'08-3'!F178+'09-3'!F178+'10-3'!F178+'11-3'!F178+'12-3'!F178+'13-3'!F178+'14-3'!F178+'15-3'!F178+'16-3'!F178+'17-3'!F178+'18-3'!F178+'19-3'!F178+'21-3'!F178+'22-3'!F178+'24-3'!F178+'25-3'!F178+'28-3'!F178+'29-3'!F178+'30-3'!F178+'32-3'!F178+'35-3'!F178+'37-3'!F178+'47-3'!F178+'62-3'!F178+'64-3'!F178+'74-3'!F178</f>
        <v>0</v>
      </c>
      <c r="G432" s="299">
        <f>'01-3'!G178+'02-3'!G178+'03-3'!G178+'04-3'!G178+'05-3'!G178+'08-3'!G178+'09-3'!G178+'10-3'!G178+'11-3'!G178+'12-3'!G178+'13-3'!G178+'14-3'!G178+'15-3'!G178+'16-3'!G178+'17-3'!G178+'18-3'!G178+'19-3'!G178+'21-3'!G178+'22-3'!G178+'24-3'!G178+'25-3'!G178+'28-3'!G178+'29-3'!G178+'30-3'!G178+'32-3'!G178+'35-3'!G178+'37-3'!G178+'47-3'!G178+'62-3'!G178+'64-3'!G178+'74-3'!G178</f>
        <v>-7331031</v>
      </c>
      <c r="H432" s="299">
        <f>'01-3'!H178+'02-3'!H178+'03-3'!H178+'04-3'!H178+'05-3'!H178+'08-3'!H178+'09-3'!H178+'10-3'!H178+'11-3'!H178+'12-3'!H178+'13-3'!H178+'14-3'!H178+'15-3'!H178+'16-3'!H178+'17-3'!H178+'18-3'!H178+'19-3'!H178+'21-3'!H178+'22-3'!H178+'24-3'!H178+'25-3'!H178+'28-3'!H178+'29-3'!H178+'30-3'!H178+'32-3'!H178+'35-3'!H178+'37-3'!H178+'47-3'!H178+'62-3'!H178+'64-3'!H178+'74-3'!H178</f>
        <v>1117884372</v>
      </c>
      <c r="I432" s="299">
        <f>'01-3'!I178+'02-3'!I178+'03-3'!I178+'04-3'!I178+'05-3'!I178+'08-3'!I178+'09-3'!I178+'10-3'!I178+'11-3'!I178+'12-3'!I178+'13-3'!I178+'14-3'!I178+'15-3'!I178+'16-3'!I178+'17-3'!I178+'18-3'!I178+'19-3'!I178+'21-3'!I178+'22-3'!I178+'24-3'!I178+'25-3'!I178+'28-3'!I178+'29-3'!I178+'30-3'!I178+'32-3'!I178+'35-3'!I178+'37-3'!I178+'47-3'!I178+'62-3'!I178+'64-3'!I178+'74-3'!I178</f>
        <v>1019308814</v>
      </c>
      <c r="J432" s="299">
        <f>'01-3'!J178+'02-3'!J178+'03-3'!J178+'04-3'!J178+'05-3'!J178+'08-3'!J178+'09-3'!J178+'10-3'!J178+'11-3'!J178+'12-3'!J178+'13-3'!J178+'14-3'!J178+'15-3'!J178+'16-3'!J178+'17-3'!J178+'18-3'!J178+'19-3'!J178+'21-3'!J178+'22-3'!J178+'24-3'!J178+'25-3'!J178+'28-3'!J178+'29-3'!J178+'30-3'!J178+'32-3'!J178+'35-3'!J178+'37-3'!J178+'47-3'!J178+'62-3'!J178+'64-3'!J178+'74-3'!J178</f>
        <v>2323313</v>
      </c>
      <c r="K432" s="299">
        <f>'01-3'!K178+'02-3'!K178+'03-3'!K178+'04-3'!K178+'05-3'!K178+'08-3'!K178+'09-3'!K178+'10-3'!K178+'11-3'!K178+'12-3'!K178+'13-3'!K178+'14-3'!K178+'15-3'!K178+'16-3'!K178+'17-3'!K178+'18-3'!K178+'19-3'!K178+'21-3'!K178+'22-3'!K178+'24-3'!K178+'25-3'!K178+'28-3'!K178+'29-3'!K178+'30-3'!K178+'32-3'!K178+'35-3'!K178+'37-3'!K178+'47-3'!K178+'62-3'!K178+'64-3'!K178+'74-3'!K178</f>
        <v>0</v>
      </c>
      <c r="L432" s="299">
        <f>'01-3'!L178+'02-3'!L178+'03-3'!L178+'04-3'!L178+'05-3'!L178+'08-3'!L178+'09-3'!L178+'10-3'!L178+'11-3'!L178+'12-3'!L178+'13-3'!L178+'14-3'!L178+'15-3'!L178+'16-3'!L178+'17-3'!L178+'18-3'!L178+'19-3'!L178+'21-3'!L178+'22-3'!L178+'24-3'!L178+'25-3'!L178+'28-3'!L178+'29-3'!L178+'30-3'!L178+'32-3'!L178+'35-3'!L178+'37-3'!L178+'47-3'!L178+'62-3'!L178+'64-3'!L178+'74-3'!L178</f>
        <v>-20383069</v>
      </c>
      <c r="M432" s="299">
        <f>'01-3'!M178+'02-3'!M178+'03-3'!M178+'04-3'!M178+'05-3'!M178+'08-3'!M178+'09-3'!M178+'10-3'!M178+'11-3'!M178+'12-3'!M178+'13-3'!M178+'14-3'!M178+'15-3'!M178+'16-3'!M178+'17-3'!M178+'18-3'!M178+'19-3'!M178+'21-3'!M178+'22-3'!M178+'24-3'!M178+'25-3'!M178+'28-3'!M178+'29-3'!M178+'30-3'!M178+'32-3'!M178+'35-3'!M178+'37-3'!M178+'47-3'!M178+'62-3'!M178+'64-3'!M178+'74-3'!M178</f>
        <v>1001249058</v>
      </c>
      <c r="N432" s="299">
        <f>'01-3'!N178+'02-3'!N178+'03-3'!N178+'04-3'!N178+'05-3'!N178+'08-3'!N178+'09-3'!N178+'10-3'!N178+'11-3'!N178+'12-3'!N178+'13-3'!N178+'14-3'!N178+'15-3'!N178+'16-3'!N178+'17-3'!N178+'18-3'!N178+'19-3'!N178+'21-3'!N178+'22-3'!N178+'24-3'!N178+'25-3'!N178+'28-3'!N178+'29-3'!N178+'30-3'!N178+'32-3'!N178+'35-3'!N178+'37-3'!N178+'47-3'!N178+'62-3'!N178+'64-3'!N178+'74-3'!N178</f>
        <v>804135771</v>
      </c>
      <c r="O432" s="299">
        <f>'01-3'!O178+'02-3'!O178+'03-3'!O178+'04-3'!O178+'05-3'!O178+'08-3'!O178+'09-3'!O178+'10-3'!O178+'11-3'!O178+'12-3'!O178+'13-3'!O178+'14-3'!O178+'15-3'!O178+'16-3'!O178+'17-3'!O178+'18-3'!O178+'19-3'!O178+'21-3'!O178+'22-3'!O178+'24-3'!O178+'25-3'!O178+'28-3'!O178+'29-3'!O178+'30-3'!O178+'32-3'!O178+'35-3'!O178+'37-3'!O178+'47-3'!O178+'62-3'!O178+'64-3'!O178+'74-3'!O178</f>
        <v>3492365</v>
      </c>
      <c r="P432" s="299">
        <f>'01-3'!P178+'02-3'!P178+'03-3'!P178+'04-3'!P178+'05-3'!P178+'08-3'!P178+'09-3'!P178+'10-3'!P178+'11-3'!P178+'12-3'!P178+'13-3'!P178+'14-3'!P178+'15-3'!P178+'16-3'!P178+'17-3'!P178+'18-3'!P178+'19-3'!P178+'21-3'!P178+'22-3'!P178+'24-3'!P178+'25-3'!P178+'28-3'!P178+'29-3'!P178+'30-3'!P178+'32-3'!P178+'35-3'!P178+'37-3'!P178+'47-3'!P178+'62-3'!P178+'64-3'!P178+'74-3'!P178</f>
        <v>0</v>
      </c>
      <c r="Q432" s="299">
        <f>'01-3'!Q178+'02-3'!Q178+'03-3'!Q178+'04-3'!Q178+'05-3'!Q178+'08-3'!Q178+'09-3'!Q178+'10-3'!Q178+'11-3'!Q178+'12-3'!Q178+'13-3'!Q178+'14-3'!Q178+'15-3'!Q178+'16-3'!Q178+'17-3'!Q178+'18-3'!Q178+'19-3'!Q178+'21-3'!Q178+'22-3'!Q178+'24-3'!Q178+'25-3'!Q178+'28-3'!Q178+'29-3'!Q178+'30-3'!Q178+'32-3'!Q178+'35-3'!Q178+'37-3'!Q178+'47-3'!Q178+'62-3'!Q178+'64-3'!Q178+'74-3'!Q178</f>
        <v>-39405634</v>
      </c>
      <c r="R432" s="299">
        <f>'01-3'!R178+'02-3'!R178+'03-3'!R178+'04-3'!R178+'05-3'!R178+'08-3'!R178+'09-3'!R178+'10-3'!R178+'11-3'!R178+'12-3'!R178+'13-3'!R178+'14-3'!R178+'15-3'!R178+'16-3'!R178+'17-3'!R178+'18-3'!R178+'19-3'!R178+'21-3'!R178+'22-3'!R178+'24-3'!R178+'25-3'!R178+'28-3'!R178+'29-3'!R178+'30-3'!R178+'32-3'!R178+'35-3'!R178+'37-3'!R178+'47-3'!R178+'62-3'!R178+'64-3'!R178+'74-3'!R178</f>
        <v>768222502</v>
      </c>
      <c r="S432" s="954"/>
      <c r="T432" s="954"/>
      <c r="U432" s="954"/>
      <c r="V432" s="954"/>
      <c r="W432" s="954"/>
    </row>
    <row r="433" spans="1:23" s="6" customFormat="1" ht="22.8">
      <c r="A433" s="130" t="s">
        <v>177</v>
      </c>
      <c r="B433" s="100" t="s">
        <v>90</v>
      </c>
      <c r="C433" s="106">
        <f>'01-3'!C179+'02-3'!C179+'03-3'!C179+'04-3'!C179+'05-3'!C179+'08-3'!C179+'09-3'!C179+'10-3'!C179+'11-3'!C179+'12-3'!C179+'13-3'!C179+'14-3'!C179+'15-3'!C179+'16-3'!C179+'17-3'!C179+'18-3'!C179+'19-3'!C179+'21-3'!C179+'22-3'!C179+'24-3'!C179+'25-3'!C179+'28-3'!C179+'29-3'!C179+'30-3'!C179+'32-3'!C179+'35-3'!C179+'37-3'!C179+'47-3'!C179+'62-3'!C179+'64-3'!C179+'74-3'!C179</f>
        <v>8968</v>
      </c>
      <c r="D433" s="106">
        <f>'01-3'!D179+'02-3'!D179+'03-3'!D179+'04-3'!D179+'05-3'!D179+'08-3'!D179+'09-3'!D179+'10-3'!D179+'11-3'!D179+'12-3'!D179+'13-3'!D179+'14-3'!D179+'15-3'!D179+'16-3'!D179+'17-3'!D179+'18-3'!D179+'19-3'!D179+'21-3'!D179+'22-3'!D179+'24-3'!D179+'25-3'!D179+'28-3'!D179+'29-3'!D179+'30-3'!D179+'32-3'!D179+'35-3'!D179+'37-3'!D179+'47-3'!D179+'62-3'!D179+'64-3'!D179+'74-3'!D179</f>
        <v>5000</v>
      </c>
      <c r="E433" s="106">
        <f>'01-3'!E179+'02-3'!E179+'03-3'!E179+'04-3'!E179+'05-3'!E179+'08-3'!E179+'09-3'!E179+'10-3'!E179+'11-3'!E179+'12-3'!E179+'13-3'!E179+'14-3'!E179+'15-3'!E179+'16-3'!E179+'17-3'!E179+'18-3'!E179+'19-3'!E179+'21-3'!E179+'22-3'!E179+'24-3'!E179+'25-3'!E179+'28-3'!E179+'29-3'!E179+'30-3'!E179+'32-3'!E179+'35-3'!E179+'37-3'!E179+'47-3'!E179+'62-3'!E179+'64-3'!E179+'74-3'!E179</f>
        <v>0</v>
      </c>
      <c r="F433" s="106">
        <f>'01-3'!F179+'02-3'!F179+'03-3'!F179+'04-3'!F179+'05-3'!F179+'08-3'!F179+'09-3'!F179+'10-3'!F179+'11-3'!F179+'12-3'!F179+'13-3'!F179+'14-3'!F179+'15-3'!F179+'16-3'!F179+'17-3'!F179+'18-3'!F179+'19-3'!F179+'21-3'!F179+'22-3'!F179+'24-3'!F179+'25-3'!F179+'28-3'!F179+'29-3'!F179+'30-3'!F179+'32-3'!F179+'35-3'!F179+'37-3'!F179+'47-3'!F179+'62-3'!F179+'64-3'!F179+'74-3'!F179</f>
        <v>0</v>
      </c>
      <c r="G433" s="106">
        <f>'01-3'!G179+'02-3'!G179+'03-3'!G179+'04-3'!G179+'05-3'!G179+'08-3'!G179+'09-3'!G179+'10-3'!G179+'11-3'!G179+'12-3'!G179+'13-3'!G179+'14-3'!G179+'15-3'!G179+'16-3'!G179+'17-3'!G179+'18-3'!G179+'19-3'!G179+'21-3'!G179+'22-3'!G179+'24-3'!G179+'25-3'!G179+'28-3'!G179+'29-3'!G179+'30-3'!G179+'32-3'!G179+'35-3'!G179+'37-3'!G179+'47-3'!G179+'62-3'!G179+'64-3'!G179+'74-3'!G179</f>
        <v>0</v>
      </c>
      <c r="H433" s="106">
        <f>'01-3'!H179+'02-3'!H179+'03-3'!H179+'04-3'!H179+'05-3'!H179+'08-3'!H179+'09-3'!H179+'10-3'!H179+'11-3'!H179+'12-3'!H179+'13-3'!H179+'14-3'!H179+'15-3'!H179+'16-3'!H179+'17-3'!H179+'18-3'!H179+'19-3'!H179+'21-3'!H179+'22-3'!H179+'24-3'!H179+'25-3'!H179+'28-3'!H179+'29-3'!H179+'30-3'!H179+'32-3'!H179+'35-3'!H179+'37-3'!H179+'47-3'!H179+'62-3'!H179+'64-3'!H179+'74-3'!H179</f>
        <v>5000</v>
      </c>
      <c r="I433" s="106">
        <f>'01-3'!I179+'02-3'!I179+'03-3'!I179+'04-3'!I179+'05-3'!I179+'08-3'!I179+'09-3'!I179+'10-3'!I179+'11-3'!I179+'12-3'!I179+'13-3'!I179+'14-3'!I179+'15-3'!I179+'16-3'!I179+'17-3'!I179+'18-3'!I179+'19-3'!I179+'21-3'!I179+'22-3'!I179+'24-3'!I179+'25-3'!I179+'28-3'!I179+'29-3'!I179+'30-3'!I179+'32-3'!I179+'35-3'!I179+'37-3'!I179+'47-3'!I179+'62-3'!I179+'64-3'!I179+'74-3'!I179</f>
        <v>0</v>
      </c>
      <c r="J433" s="106">
        <f>'01-3'!J179+'02-3'!J179+'03-3'!J179+'04-3'!J179+'05-3'!J179+'08-3'!J179+'09-3'!J179+'10-3'!J179+'11-3'!J179+'12-3'!J179+'13-3'!J179+'14-3'!J179+'15-3'!J179+'16-3'!J179+'17-3'!J179+'18-3'!J179+'19-3'!J179+'21-3'!J179+'22-3'!J179+'24-3'!J179+'25-3'!J179+'28-3'!J179+'29-3'!J179+'30-3'!J179+'32-3'!J179+'35-3'!J179+'37-3'!J179+'47-3'!J179+'62-3'!J179+'64-3'!J179+'74-3'!J179</f>
        <v>0</v>
      </c>
      <c r="K433" s="106">
        <f>'01-3'!K179+'02-3'!K179+'03-3'!K179+'04-3'!K179+'05-3'!K179+'08-3'!K179+'09-3'!K179+'10-3'!K179+'11-3'!K179+'12-3'!K179+'13-3'!K179+'14-3'!K179+'15-3'!K179+'16-3'!K179+'17-3'!K179+'18-3'!K179+'19-3'!K179+'21-3'!K179+'22-3'!K179+'24-3'!K179+'25-3'!K179+'28-3'!K179+'29-3'!K179+'30-3'!K179+'32-3'!K179+'35-3'!K179+'37-3'!K179+'47-3'!K179+'62-3'!K179+'64-3'!K179+'74-3'!K179</f>
        <v>0</v>
      </c>
      <c r="L433" s="106">
        <f>'01-3'!L179+'02-3'!L179+'03-3'!L179+'04-3'!L179+'05-3'!L179+'08-3'!L179+'09-3'!L179+'10-3'!L179+'11-3'!L179+'12-3'!L179+'13-3'!L179+'14-3'!L179+'15-3'!L179+'16-3'!L179+'17-3'!L179+'18-3'!L179+'19-3'!L179+'21-3'!L179+'22-3'!L179+'24-3'!L179+'25-3'!L179+'28-3'!L179+'29-3'!L179+'30-3'!L179+'32-3'!L179+'35-3'!L179+'37-3'!L179+'47-3'!L179+'62-3'!L179+'64-3'!L179+'74-3'!L179</f>
        <v>0</v>
      </c>
      <c r="M433" s="106">
        <f>'01-3'!M179+'02-3'!M179+'03-3'!M179+'04-3'!M179+'05-3'!M179+'08-3'!M179+'09-3'!M179+'10-3'!M179+'11-3'!M179+'12-3'!M179+'13-3'!M179+'14-3'!M179+'15-3'!M179+'16-3'!M179+'17-3'!M179+'18-3'!M179+'19-3'!M179+'21-3'!M179+'22-3'!M179+'24-3'!M179+'25-3'!M179+'28-3'!M179+'29-3'!M179+'30-3'!M179+'32-3'!M179+'35-3'!M179+'37-3'!M179+'47-3'!M179+'62-3'!M179+'64-3'!M179+'74-3'!M179</f>
        <v>0</v>
      </c>
      <c r="N433" s="106">
        <f>'01-3'!N179+'02-3'!N179+'03-3'!N179+'04-3'!N179+'05-3'!N179+'08-3'!N179+'09-3'!N179+'10-3'!N179+'11-3'!N179+'12-3'!N179+'13-3'!N179+'14-3'!N179+'15-3'!N179+'16-3'!N179+'17-3'!N179+'18-3'!N179+'19-3'!N179+'21-3'!N179+'22-3'!N179+'24-3'!N179+'25-3'!N179+'28-3'!N179+'29-3'!N179+'30-3'!N179+'32-3'!N179+'35-3'!N179+'37-3'!N179+'47-3'!N179+'62-3'!N179+'64-3'!N179+'74-3'!N179</f>
        <v>0</v>
      </c>
      <c r="O433" s="106">
        <f>'01-3'!O179+'02-3'!O179+'03-3'!O179+'04-3'!O179+'05-3'!O179+'08-3'!O179+'09-3'!O179+'10-3'!O179+'11-3'!O179+'12-3'!O179+'13-3'!O179+'14-3'!O179+'15-3'!O179+'16-3'!O179+'17-3'!O179+'18-3'!O179+'19-3'!O179+'21-3'!O179+'22-3'!O179+'24-3'!O179+'25-3'!O179+'28-3'!O179+'29-3'!O179+'30-3'!O179+'32-3'!O179+'35-3'!O179+'37-3'!O179+'47-3'!O179+'62-3'!O179+'64-3'!O179+'74-3'!O179</f>
        <v>0</v>
      </c>
      <c r="P433" s="106">
        <f>'01-3'!P179+'02-3'!P179+'03-3'!P179+'04-3'!P179+'05-3'!P179+'08-3'!P179+'09-3'!P179+'10-3'!P179+'11-3'!P179+'12-3'!P179+'13-3'!P179+'14-3'!P179+'15-3'!P179+'16-3'!P179+'17-3'!P179+'18-3'!P179+'19-3'!P179+'21-3'!P179+'22-3'!P179+'24-3'!P179+'25-3'!P179+'28-3'!P179+'29-3'!P179+'30-3'!P179+'32-3'!P179+'35-3'!P179+'37-3'!P179+'47-3'!P179+'62-3'!P179+'64-3'!P179+'74-3'!P179</f>
        <v>0</v>
      </c>
      <c r="Q433" s="106">
        <f>'01-3'!Q179+'02-3'!Q179+'03-3'!Q179+'04-3'!Q179+'05-3'!Q179+'08-3'!Q179+'09-3'!Q179+'10-3'!Q179+'11-3'!Q179+'12-3'!Q179+'13-3'!Q179+'14-3'!Q179+'15-3'!Q179+'16-3'!Q179+'17-3'!Q179+'18-3'!Q179+'19-3'!Q179+'21-3'!Q179+'22-3'!Q179+'24-3'!Q179+'25-3'!Q179+'28-3'!Q179+'29-3'!Q179+'30-3'!Q179+'32-3'!Q179+'35-3'!Q179+'37-3'!Q179+'47-3'!Q179+'62-3'!Q179+'64-3'!Q179+'74-3'!Q179</f>
        <v>0</v>
      </c>
      <c r="R433" s="106">
        <f>'01-3'!R179+'02-3'!R179+'03-3'!R179+'04-3'!R179+'05-3'!R179+'08-3'!R179+'09-3'!R179+'10-3'!R179+'11-3'!R179+'12-3'!R179+'13-3'!R179+'14-3'!R179+'15-3'!R179+'16-3'!R179+'17-3'!R179+'18-3'!R179+'19-3'!R179+'21-3'!R179+'22-3'!R179+'24-3'!R179+'25-3'!R179+'28-3'!R179+'29-3'!R179+'30-3'!R179+'32-3'!R179+'35-3'!R179+'37-3'!R179+'47-3'!R179+'62-3'!R179+'64-3'!R179+'74-3'!R179</f>
        <v>0</v>
      </c>
      <c r="S433" s="954"/>
      <c r="T433" s="954"/>
      <c r="U433" s="954"/>
      <c r="V433" s="954"/>
      <c r="W433" s="954"/>
    </row>
    <row r="434" spans="1:23" s="6" customFormat="1" ht="12">
      <c r="A434" s="130" t="s">
        <v>91</v>
      </c>
      <c r="B434" s="100" t="s">
        <v>92</v>
      </c>
      <c r="C434" s="106">
        <f>'01-3'!C180+'02-3'!C180+'03-3'!C180+'04-3'!C180+'05-3'!C180+'08-3'!C180+'09-3'!C180+'10-3'!C180+'11-3'!C180+'12-3'!C180+'13-3'!C180+'14-3'!C180+'15-3'!C180+'16-3'!C180+'17-3'!C180+'18-3'!C180+'19-3'!C180+'21-3'!C180+'22-3'!C180+'24-3'!C180+'25-3'!C180+'28-3'!C180+'29-3'!C180+'30-3'!C180+'32-3'!C180+'35-3'!C180+'37-3'!C180+'47-3'!C180+'62-3'!C180+'64-3'!C180+'74-3'!C180</f>
        <v>76645378</v>
      </c>
      <c r="D434" s="106">
        <f>'01-3'!D180+'02-3'!D180+'03-3'!D180+'04-3'!D180+'05-3'!D180+'08-3'!D180+'09-3'!D180+'10-3'!D180+'11-3'!D180+'12-3'!D180+'13-3'!D180+'14-3'!D180+'15-3'!D180+'16-3'!D180+'17-3'!D180+'18-3'!D180+'19-3'!D180+'21-3'!D180+'22-3'!D180+'24-3'!D180+'25-3'!D180+'28-3'!D180+'29-3'!D180+'30-3'!D180+'32-3'!D180+'35-3'!D180+'37-3'!D180+'47-3'!D180+'62-3'!D180+'64-3'!D180+'74-3'!D180</f>
        <v>53571756</v>
      </c>
      <c r="E434" s="106">
        <f>'01-3'!E180+'02-3'!E180+'03-3'!E180+'04-3'!E180+'05-3'!E180+'08-3'!E180+'09-3'!E180+'10-3'!E180+'11-3'!E180+'12-3'!E180+'13-3'!E180+'14-3'!E180+'15-3'!E180+'16-3'!E180+'17-3'!E180+'18-3'!E180+'19-3'!E180+'21-3'!E180+'22-3'!E180+'24-3'!E180+'25-3'!E180+'28-3'!E180+'29-3'!E180+'30-3'!E180+'32-3'!E180+'35-3'!E180+'37-3'!E180+'47-3'!E180+'62-3'!E180+'64-3'!E180+'74-3'!E180</f>
        <v>1277446</v>
      </c>
      <c r="F434" s="106">
        <f>'01-3'!F180+'02-3'!F180+'03-3'!F180+'04-3'!F180+'05-3'!F180+'08-3'!F180+'09-3'!F180+'10-3'!F180+'11-3'!F180+'12-3'!F180+'13-3'!F180+'14-3'!F180+'15-3'!F180+'16-3'!F180+'17-3'!F180+'18-3'!F180+'19-3'!F180+'21-3'!F180+'22-3'!F180+'24-3'!F180+'25-3'!F180+'28-3'!F180+'29-3'!F180+'30-3'!F180+'32-3'!F180+'35-3'!F180+'37-3'!F180+'47-3'!F180+'62-3'!F180+'64-3'!F180+'74-3'!F180</f>
        <v>0</v>
      </c>
      <c r="G434" s="106">
        <f>'01-3'!G180+'02-3'!G180+'03-3'!G180+'04-3'!G180+'05-3'!G180+'08-3'!G180+'09-3'!G180+'10-3'!G180+'11-3'!G180+'12-3'!G180+'13-3'!G180+'14-3'!G180+'15-3'!G180+'16-3'!G180+'17-3'!G180+'18-3'!G180+'19-3'!G180+'21-3'!G180+'22-3'!G180+'24-3'!G180+'25-3'!G180+'28-3'!G180+'29-3'!G180+'30-3'!G180+'32-3'!G180+'35-3'!G180+'37-3'!G180+'47-3'!G180+'62-3'!G180+'64-3'!G180+'74-3'!G180</f>
        <v>0</v>
      </c>
      <c r="H434" s="106">
        <f>'01-3'!H180+'02-3'!H180+'03-3'!H180+'04-3'!H180+'05-3'!H180+'08-3'!H180+'09-3'!H180+'10-3'!H180+'11-3'!H180+'12-3'!H180+'13-3'!H180+'14-3'!H180+'15-3'!H180+'16-3'!H180+'17-3'!H180+'18-3'!H180+'19-3'!H180+'21-3'!H180+'22-3'!H180+'24-3'!H180+'25-3'!H180+'28-3'!H180+'29-3'!H180+'30-3'!H180+'32-3'!H180+'35-3'!H180+'37-3'!H180+'47-3'!H180+'62-3'!H180+'64-3'!H180+'74-3'!H180</f>
        <v>54849202</v>
      </c>
      <c r="I434" s="106">
        <f>'01-3'!I180+'02-3'!I180+'03-3'!I180+'04-3'!I180+'05-3'!I180+'08-3'!I180+'09-3'!I180+'10-3'!I180+'11-3'!I180+'12-3'!I180+'13-3'!I180+'14-3'!I180+'15-3'!I180+'16-3'!I180+'17-3'!I180+'18-3'!I180+'19-3'!I180+'21-3'!I180+'22-3'!I180+'24-3'!I180+'25-3'!I180+'28-3'!I180+'29-3'!I180+'30-3'!I180+'32-3'!I180+'35-3'!I180+'37-3'!I180+'47-3'!I180+'62-3'!I180+'64-3'!I180+'74-3'!I180</f>
        <v>20878773</v>
      </c>
      <c r="J434" s="106">
        <f>'01-3'!J180+'02-3'!J180+'03-3'!J180+'04-3'!J180+'05-3'!J180+'08-3'!J180+'09-3'!J180+'10-3'!J180+'11-3'!J180+'12-3'!J180+'13-3'!J180+'14-3'!J180+'15-3'!J180+'16-3'!J180+'17-3'!J180+'18-3'!J180+'19-3'!J180+'21-3'!J180+'22-3'!J180+'24-3'!J180+'25-3'!J180+'28-3'!J180+'29-3'!J180+'30-3'!J180+'32-3'!J180+'35-3'!J180+'37-3'!J180+'47-3'!J180+'62-3'!J180+'64-3'!J180+'74-3'!J180</f>
        <v>76166</v>
      </c>
      <c r="K434" s="106">
        <f>'01-3'!K180+'02-3'!K180+'03-3'!K180+'04-3'!K180+'05-3'!K180+'08-3'!K180+'09-3'!K180+'10-3'!K180+'11-3'!K180+'12-3'!K180+'13-3'!K180+'14-3'!K180+'15-3'!K180+'16-3'!K180+'17-3'!K180+'18-3'!K180+'19-3'!K180+'21-3'!K180+'22-3'!K180+'24-3'!K180+'25-3'!K180+'28-3'!K180+'29-3'!K180+'30-3'!K180+'32-3'!K180+'35-3'!K180+'37-3'!K180+'47-3'!K180+'62-3'!K180+'64-3'!K180+'74-3'!K180</f>
        <v>0</v>
      </c>
      <c r="L434" s="106">
        <f>'01-3'!L180+'02-3'!L180+'03-3'!L180+'04-3'!L180+'05-3'!L180+'08-3'!L180+'09-3'!L180+'10-3'!L180+'11-3'!L180+'12-3'!L180+'13-3'!L180+'14-3'!L180+'15-3'!L180+'16-3'!L180+'17-3'!L180+'18-3'!L180+'19-3'!L180+'21-3'!L180+'22-3'!L180+'24-3'!L180+'25-3'!L180+'28-3'!L180+'29-3'!L180+'30-3'!L180+'32-3'!L180+'35-3'!L180+'37-3'!L180+'47-3'!L180+'62-3'!L180+'64-3'!L180+'74-3'!L180</f>
        <v>0</v>
      </c>
      <c r="M434" s="106">
        <f>'01-3'!M180+'02-3'!M180+'03-3'!M180+'04-3'!M180+'05-3'!M180+'08-3'!M180+'09-3'!M180+'10-3'!M180+'11-3'!M180+'12-3'!M180+'13-3'!M180+'14-3'!M180+'15-3'!M180+'16-3'!M180+'17-3'!M180+'18-3'!M180+'19-3'!M180+'21-3'!M180+'22-3'!M180+'24-3'!M180+'25-3'!M180+'28-3'!M180+'29-3'!M180+'30-3'!M180+'32-3'!M180+'35-3'!M180+'37-3'!M180+'47-3'!M180+'62-3'!M180+'64-3'!M180+'74-3'!M180</f>
        <v>20954939</v>
      </c>
      <c r="N434" s="106">
        <f>'01-3'!N180+'02-3'!N180+'03-3'!N180+'04-3'!N180+'05-3'!N180+'08-3'!N180+'09-3'!N180+'10-3'!N180+'11-3'!N180+'12-3'!N180+'13-3'!N180+'14-3'!N180+'15-3'!N180+'16-3'!N180+'17-3'!N180+'18-3'!N180+'19-3'!N180+'21-3'!N180+'22-3'!N180+'24-3'!N180+'25-3'!N180+'28-3'!N180+'29-3'!N180+'30-3'!N180+'32-3'!N180+'35-3'!N180+'37-3'!N180+'47-3'!N180+'62-3'!N180+'64-3'!N180+'74-3'!N180</f>
        <v>14563103</v>
      </c>
      <c r="O434" s="106">
        <f>'01-3'!O180+'02-3'!O180+'03-3'!O180+'04-3'!O180+'05-3'!O180+'08-3'!O180+'09-3'!O180+'10-3'!O180+'11-3'!O180+'12-3'!O180+'13-3'!O180+'14-3'!O180+'15-3'!O180+'16-3'!O180+'17-3'!O180+'18-3'!O180+'19-3'!O180+'21-3'!O180+'22-3'!O180+'24-3'!O180+'25-3'!O180+'28-3'!O180+'29-3'!O180+'30-3'!O180+'32-3'!O180+'35-3'!O180+'37-3'!O180+'47-3'!O180+'62-3'!O180+'64-3'!O180+'74-3'!O180</f>
        <v>8256</v>
      </c>
      <c r="P434" s="106">
        <f>'01-3'!P180+'02-3'!P180+'03-3'!P180+'04-3'!P180+'05-3'!P180+'08-3'!P180+'09-3'!P180+'10-3'!P180+'11-3'!P180+'12-3'!P180+'13-3'!P180+'14-3'!P180+'15-3'!P180+'16-3'!P180+'17-3'!P180+'18-3'!P180+'19-3'!P180+'21-3'!P180+'22-3'!P180+'24-3'!P180+'25-3'!P180+'28-3'!P180+'29-3'!P180+'30-3'!P180+'32-3'!P180+'35-3'!P180+'37-3'!P180+'47-3'!P180+'62-3'!P180+'64-3'!P180+'74-3'!P180</f>
        <v>0</v>
      </c>
      <c r="Q434" s="106">
        <f>'01-3'!Q180+'02-3'!Q180+'03-3'!Q180+'04-3'!Q180+'05-3'!Q180+'08-3'!Q180+'09-3'!Q180+'10-3'!Q180+'11-3'!Q180+'12-3'!Q180+'13-3'!Q180+'14-3'!Q180+'15-3'!Q180+'16-3'!Q180+'17-3'!Q180+'18-3'!Q180+'19-3'!Q180+'21-3'!Q180+'22-3'!Q180+'24-3'!Q180+'25-3'!Q180+'28-3'!Q180+'29-3'!Q180+'30-3'!Q180+'32-3'!Q180+'35-3'!Q180+'37-3'!Q180+'47-3'!Q180+'62-3'!Q180+'64-3'!Q180+'74-3'!Q180</f>
        <v>0</v>
      </c>
      <c r="R434" s="106">
        <f>'01-3'!R180+'02-3'!R180+'03-3'!R180+'04-3'!R180+'05-3'!R180+'08-3'!R180+'09-3'!R180+'10-3'!R180+'11-3'!R180+'12-3'!R180+'13-3'!R180+'14-3'!R180+'15-3'!R180+'16-3'!R180+'17-3'!R180+'18-3'!R180+'19-3'!R180+'21-3'!R180+'22-3'!R180+'24-3'!R180+'25-3'!R180+'28-3'!R180+'29-3'!R180+'30-3'!R180+'32-3'!R180+'35-3'!R180+'37-3'!R180+'47-3'!R180+'62-3'!R180+'64-3'!R180+'74-3'!R180</f>
        <v>14571359</v>
      </c>
      <c r="S434" s="954"/>
      <c r="T434" s="954"/>
      <c r="U434" s="954"/>
      <c r="V434" s="954"/>
      <c r="W434" s="954"/>
    </row>
    <row r="435" spans="1:23" s="29" customFormat="1" ht="24">
      <c r="A435" s="131">
        <v>21210</v>
      </c>
      <c r="B435" s="101" t="s">
        <v>93</v>
      </c>
      <c r="C435" s="106">
        <f>'01-3'!C181+'02-3'!C181+'03-3'!C181+'04-3'!C181+'05-3'!C181+'08-3'!C181+'09-3'!C181+'10-3'!C181+'11-3'!C181+'12-3'!C181+'13-3'!C181+'14-3'!C181+'15-3'!C181+'16-3'!C181+'17-3'!C181+'18-3'!C181+'19-3'!C181+'21-3'!C181+'22-3'!C181+'24-3'!C181+'25-3'!C181+'28-3'!C181+'29-3'!C181+'30-3'!C181+'32-3'!C181+'35-3'!C181+'37-3'!C181+'47-3'!C181+'62-3'!C181+'64-3'!C181+'74-3'!C181</f>
        <v>18112036</v>
      </c>
      <c r="D435" s="106">
        <f>'01-3'!D181+'02-3'!D181+'03-3'!D181+'04-3'!D181+'05-3'!D181+'08-3'!D181+'09-3'!D181+'10-3'!D181+'11-3'!D181+'12-3'!D181+'13-3'!D181+'14-3'!D181+'15-3'!D181+'16-3'!D181+'17-3'!D181+'18-3'!D181+'19-3'!D181+'21-3'!D181+'22-3'!D181+'24-3'!D181+'25-3'!D181+'28-3'!D181+'29-3'!D181+'30-3'!D181+'32-3'!D181+'35-3'!D181+'37-3'!D181+'47-3'!D181+'62-3'!D181+'64-3'!D181+'74-3'!D181</f>
        <v>6364052</v>
      </c>
      <c r="E435" s="106">
        <f>'01-3'!E181+'02-3'!E181+'03-3'!E181+'04-3'!E181+'05-3'!E181+'08-3'!E181+'09-3'!E181+'10-3'!E181+'11-3'!E181+'12-3'!E181+'13-3'!E181+'14-3'!E181+'15-3'!E181+'16-3'!E181+'17-3'!E181+'18-3'!E181+'19-3'!E181+'21-3'!E181+'22-3'!E181+'24-3'!E181+'25-3'!E181+'28-3'!E181+'29-3'!E181+'30-3'!E181+'32-3'!E181+'35-3'!E181+'37-3'!E181+'47-3'!E181+'62-3'!E181+'64-3'!E181+'74-3'!E181</f>
        <v>1033241</v>
      </c>
      <c r="F435" s="106">
        <f>'01-3'!F181+'02-3'!F181+'03-3'!F181+'04-3'!F181+'05-3'!F181+'08-3'!F181+'09-3'!F181+'10-3'!F181+'11-3'!F181+'12-3'!F181+'13-3'!F181+'14-3'!F181+'15-3'!F181+'16-3'!F181+'17-3'!F181+'18-3'!F181+'19-3'!F181+'21-3'!F181+'22-3'!F181+'24-3'!F181+'25-3'!F181+'28-3'!F181+'29-3'!F181+'30-3'!F181+'32-3'!F181+'35-3'!F181+'37-3'!F181+'47-3'!F181+'62-3'!F181+'64-3'!F181+'74-3'!F181</f>
        <v>0</v>
      </c>
      <c r="G435" s="106">
        <f>'01-3'!G181+'02-3'!G181+'03-3'!G181+'04-3'!G181+'05-3'!G181+'08-3'!G181+'09-3'!G181+'10-3'!G181+'11-3'!G181+'12-3'!G181+'13-3'!G181+'14-3'!G181+'15-3'!G181+'16-3'!G181+'17-3'!G181+'18-3'!G181+'19-3'!G181+'21-3'!G181+'22-3'!G181+'24-3'!G181+'25-3'!G181+'28-3'!G181+'29-3'!G181+'30-3'!G181+'32-3'!G181+'35-3'!G181+'37-3'!G181+'47-3'!G181+'62-3'!G181+'64-3'!G181+'74-3'!G181</f>
        <v>0</v>
      </c>
      <c r="H435" s="106">
        <f>'01-3'!H181+'02-3'!H181+'03-3'!H181+'04-3'!H181+'05-3'!H181+'08-3'!H181+'09-3'!H181+'10-3'!H181+'11-3'!H181+'12-3'!H181+'13-3'!H181+'14-3'!H181+'15-3'!H181+'16-3'!H181+'17-3'!H181+'18-3'!H181+'19-3'!H181+'21-3'!H181+'22-3'!H181+'24-3'!H181+'25-3'!H181+'28-3'!H181+'29-3'!H181+'30-3'!H181+'32-3'!H181+'35-3'!H181+'37-3'!H181+'47-3'!H181+'62-3'!H181+'64-3'!H181+'74-3'!H181</f>
        <v>7397293</v>
      </c>
      <c r="I435" s="106">
        <f>'01-3'!I181+'02-3'!I181+'03-3'!I181+'04-3'!I181+'05-3'!I181+'08-3'!I181+'09-3'!I181+'10-3'!I181+'11-3'!I181+'12-3'!I181+'13-3'!I181+'14-3'!I181+'15-3'!I181+'16-3'!I181+'17-3'!I181+'18-3'!I181+'19-3'!I181+'21-3'!I181+'22-3'!I181+'24-3'!I181+'25-3'!I181+'28-3'!I181+'29-3'!I181+'30-3'!I181+'32-3'!I181+'35-3'!I181+'37-3'!I181+'47-3'!I181+'62-3'!I181+'64-3'!I181+'74-3'!I181</f>
        <v>5751395</v>
      </c>
      <c r="J435" s="106">
        <f>'01-3'!J181+'02-3'!J181+'03-3'!J181+'04-3'!J181+'05-3'!J181+'08-3'!J181+'09-3'!J181+'10-3'!J181+'11-3'!J181+'12-3'!J181+'13-3'!J181+'14-3'!J181+'15-3'!J181+'16-3'!J181+'17-3'!J181+'18-3'!J181+'19-3'!J181+'21-3'!J181+'22-3'!J181+'24-3'!J181+'25-3'!J181+'28-3'!J181+'29-3'!J181+'30-3'!J181+'32-3'!J181+'35-3'!J181+'37-3'!J181+'47-3'!J181+'62-3'!J181+'64-3'!J181+'74-3'!J181</f>
        <v>31801</v>
      </c>
      <c r="K435" s="106">
        <f>'01-3'!K181+'02-3'!K181+'03-3'!K181+'04-3'!K181+'05-3'!K181+'08-3'!K181+'09-3'!K181+'10-3'!K181+'11-3'!K181+'12-3'!K181+'13-3'!K181+'14-3'!K181+'15-3'!K181+'16-3'!K181+'17-3'!K181+'18-3'!K181+'19-3'!K181+'21-3'!K181+'22-3'!K181+'24-3'!K181+'25-3'!K181+'28-3'!K181+'29-3'!K181+'30-3'!K181+'32-3'!K181+'35-3'!K181+'37-3'!K181+'47-3'!K181+'62-3'!K181+'64-3'!K181+'74-3'!K181</f>
        <v>0</v>
      </c>
      <c r="L435" s="106">
        <f>'01-3'!L181+'02-3'!L181+'03-3'!L181+'04-3'!L181+'05-3'!L181+'08-3'!L181+'09-3'!L181+'10-3'!L181+'11-3'!L181+'12-3'!L181+'13-3'!L181+'14-3'!L181+'15-3'!L181+'16-3'!L181+'17-3'!L181+'18-3'!L181+'19-3'!L181+'21-3'!L181+'22-3'!L181+'24-3'!L181+'25-3'!L181+'28-3'!L181+'29-3'!L181+'30-3'!L181+'32-3'!L181+'35-3'!L181+'37-3'!L181+'47-3'!L181+'62-3'!L181+'64-3'!L181+'74-3'!L181</f>
        <v>0</v>
      </c>
      <c r="M435" s="106">
        <f>'01-3'!M181+'02-3'!M181+'03-3'!M181+'04-3'!M181+'05-3'!M181+'08-3'!M181+'09-3'!M181+'10-3'!M181+'11-3'!M181+'12-3'!M181+'13-3'!M181+'14-3'!M181+'15-3'!M181+'16-3'!M181+'17-3'!M181+'18-3'!M181+'19-3'!M181+'21-3'!M181+'22-3'!M181+'24-3'!M181+'25-3'!M181+'28-3'!M181+'29-3'!M181+'30-3'!M181+'32-3'!M181+'35-3'!M181+'37-3'!M181+'47-3'!M181+'62-3'!M181+'64-3'!M181+'74-3'!M181</f>
        <v>5783196</v>
      </c>
      <c r="N435" s="106">
        <f>'01-3'!N181+'02-3'!N181+'03-3'!N181+'04-3'!N181+'05-3'!N181+'08-3'!N181+'09-3'!N181+'10-3'!N181+'11-3'!N181+'12-3'!N181+'13-3'!N181+'14-3'!N181+'15-3'!N181+'16-3'!N181+'17-3'!N181+'18-3'!N181+'19-3'!N181+'21-3'!N181+'22-3'!N181+'24-3'!N181+'25-3'!N181+'28-3'!N181+'29-3'!N181+'30-3'!N181+'32-3'!N181+'35-3'!N181+'37-3'!N181+'47-3'!N181+'62-3'!N181+'64-3'!N181+'74-3'!N181</f>
        <v>6958586</v>
      </c>
      <c r="O435" s="106">
        <f>'01-3'!O181+'02-3'!O181+'03-3'!O181+'04-3'!O181+'05-3'!O181+'08-3'!O181+'09-3'!O181+'10-3'!O181+'11-3'!O181+'12-3'!O181+'13-3'!O181+'14-3'!O181+'15-3'!O181+'16-3'!O181+'17-3'!O181+'18-3'!O181+'19-3'!O181+'21-3'!O181+'22-3'!O181+'24-3'!O181+'25-3'!O181+'28-3'!O181+'29-3'!O181+'30-3'!O181+'32-3'!O181+'35-3'!O181+'37-3'!O181+'47-3'!O181+'62-3'!O181+'64-3'!O181+'74-3'!O181</f>
        <v>0</v>
      </c>
      <c r="P435" s="106">
        <f>'01-3'!P181+'02-3'!P181+'03-3'!P181+'04-3'!P181+'05-3'!P181+'08-3'!P181+'09-3'!P181+'10-3'!P181+'11-3'!P181+'12-3'!P181+'13-3'!P181+'14-3'!P181+'15-3'!P181+'16-3'!P181+'17-3'!P181+'18-3'!P181+'19-3'!P181+'21-3'!P181+'22-3'!P181+'24-3'!P181+'25-3'!P181+'28-3'!P181+'29-3'!P181+'30-3'!P181+'32-3'!P181+'35-3'!P181+'37-3'!P181+'47-3'!P181+'62-3'!P181+'64-3'!P181+'74-3'!P181</f>
        <v>0</v>
      </c>
      <c r="Q435" s="106">
        <f>'01-3'!Q181+'02-3'!Q181+'03-3'!Q181+'04-3'!Q181+'05-3'!Q181+'08-3'!Q181+'09-3'!Q181+'10-3'!Q181+'11-3'!Q181+'12-3'!Q181+'13-3'!Q181+'14-3'!Q181+'15-3'!Q181+'16-3'!Q181+'17-3'!Q181+'18-3'!Q181+'19-3'!Q181+'21-3'!Q181+'22-3'!Q181+'24-3'!Q181+'25-3'!Q181+'28-3'!Q181+'29-3'!Q181+'30-3'!Q181+'32-3'!Q181+'35-3'!Q181+'37-3'!Q181+'47-3'!Q181+'62-3'!Q181+'64-3'!Q181+'74-3'!Q181</f>
        <v>0</v>
      </c>
      <c r="R435" s="106">
        <f>'01-3'!R181+'02-3'!R181+'03-3'!R181+'04-3'!R181+'05-3'!R181+'08-3'!R181+'09-3'!R181+'10-3'!R181+'11-3'!R181+'12-3'!R181+'13-3'!R181+'14-3'!R181+'15-3'!R181+'16-3'!R181+'17-3'!R181+'18-3'!R181+'19-3'!R181+'21-3'!R181+'22-3'!R181+'24-3'!R181+'25-3'!R181+'28-3'!R181+'29-3'!R181+'30-3'!R181+'32-3'!R181+'35-3'!R181+'37-3'!R181+'47-3'!R181+'62-3'!R181+'64-3'!R181+'74-3'!R181</f>
        <v>6958586</v>
      </c>
      <c r="S435" s="1324"/>
      <c r="T435" s="1324"/>
      <c r="U435" s="1324"/>
      <c r="V435" s="1324"/>
      <c r="W435" s="1324"/>
    </row>
    <row r="436" spans="1:23" s="89" customFormat="1" ht="20.399999999999999">
      <c r="A436" s="130" t="s">
        <v>178</v>
      </c>
      <c r="B436" s="100" t="s">
        <v>94</v>
      </c>
      <c r="C436" s="106">
        <f>'01-3'!C182+'02-3'!C182+'03-3'!C182+'04-3'!C182+'05-3'!C182+'08-3'!C182+'09-3'!C182+'10-3'!C182+'11-3'!C182+'12-3'!C182+'13-3'!C182+'14-3'!C182+'15-3'!C182+'16-3'!C182+'17-3'!C182+'18-3'!C182+'19-3'!C182+'21-3'!C182+'22-3'!C182+'24-3'!C182+'25-3'!C182+'28-3'!C182+'29-3'!C182+'30-3'!C182+'32-3'!C182+'35-3'!C182+'37-3'!C182+'47-3'!C182+'62-3'!C182+'64-3'!C182+'74-3'!C182</f>
        <v>511504</v>
      </c>
      <c r="D436" s="106">
        <f>'01-3'!D182+'02-3'!D182+'03-3'!D182+'04-3'!D182+'05-3'!D182+'08-3'!D182+'09-3'!D182+'10-3'!D182+'11-3'!D182+'12-3'!D182+'13-3'!D182+'14-3'!D182+'15-3'!D182+'16-3'!D182+'17-3'!D182+'18-3'!D182+'19-3'!D182+'21-3'!D182+'22-3'!D182+'24-3'!D182+'25-3'!D182+'28-3'!D182+'29-3'!D182+'30-3'!D182+'32-3'!D182+'35-3'!D182+'37-3'!D182+'47-3'!D182+'62-3'!D182+'64-3'!D182+'74-3'!D182</f>
        <v>2496722</v>
      </c>
      <c r="E436" s="106">
        <f>'01-3'!E182+'02-3'!E182+'03-3'!E182+'04-3'!E182+'05-3'!E182+'08-3'!E182+'09-3'!E182+'10-3'!E182+'11-3'!E182+'12-3'!E182+'13-3'!E182+'14-3'!E182+'15-3'!E182+'16-3'!E182+'17-3'!E182+'18-3'!E182+'19-3'!E182+'21-3'!E182+'22-3'!E182+'24-3'!E182+'25-3'!E182+'28-3'!E182+'29-3'!E182+'30-3'!E182+'32-3'!E182+'35-3'!E182+'37-3'!E182+'47-3'!E182+'62-3'!E182+'64-3'!E182+'74-3'!E182</f>
        <v>849535</v>
      </c>
      <c r="F436" s="106">
        <f>'01-3'!F182+'02-3'!F182+'03-3'!F182+'04-3'!F182+'05-3'!F182+'08-3'!F182+'09-3'!F182+'10-3'!F182+'11-3'!F182+'12-3'!F182+'13-3'!F182+'14-3'!F182+'15-3'!F182+'16-3'!F182+'17-3'!F182+'18-3'!F182+'19-3'!F182+'21-3'!F182+'22-3'!F182+'24-3'!F182+'25-3'!F182+'28-3'!F182+'29-3'!F182+'30-3'!F182+'32-3'!F182+'35-3'!F182+'37-3'!F182+'47-3'!F182+'62-3'!F182+'64-3'!F182+'74-3'!F182</f>
        <v>0</v>
      </c>
      <c r="G436" s="106">
        <f>'01-3'!G182+'02-3'!G182+'03-3'!G182+'04-3'!G182+'05-3'!G182+'08-3'!G182+'09-3'!G182+'10-3'!G182+'11-3'!G182+'12-3'!G182+'13-3'!G182+'14-3'!G182+'15-3'!G182+'16-3'!G182+'17-3'!G182+'18-3'!G182+'19-3'!G182+'21-3'!G182+'22-3'!G182+'24-3'!G182+'25-3'!G182+'28-3'!G182+'29-3'!G182+'30-3'!G182+'32-3'!G182+'35-3'!G182+'37-3'!G182+'47-3'!G182+'62-3'!G182+'64-3'!G182+'74-3'!G182</f>
        <v>0</v>
      </c>
      <c r="H436" s="106">
        <f>'01-3'!H182+'02-3'!H182+'03-3'!H182+'04-3'!H182+'05-3'!H182+'08-3'!H182+'09-3'!H182+'10-3'!H182+'11-3'!H182+'12-3'!H182+'13-3'!H182+'14-3'!H182+'15-3'!H182+'16-3'!H182+'17-3'!H182+'18-3'!H182+'19-3'!H182+'21-3'!H182+'22-3'!H182+'24-3'!H182+'25-3'!H182+'28-3'!H182+'29-3'!H182+'30-3'!H182+'32-3'!H182+'35-3'!H182+'37-3'!H182+'47-3'!H182+'62-3'!H182+'64-3'!H182+'74-3'!H182</f>
        <v>3346257</v>
      </c>
      <c r="I436" s="106">
        <f>'01-3'!I182+'02-3'!I182+'03-3'!I182+'04-3'!I182+'05-3'!I182+'08-3'!I182+'09-3'!I182+'10-3'!I182+'11-3'!I182+'12-3'!I182+'13-3'!I182+'14-3'!I182+'15-3'!I182+'16-3'!I182+'17-3'!I182+'18-3'!I182+'19-3'!I182+'21-3'!I182+'22-3'!I182+'24-3'!I182+'25-3'!I182+'28-3'!I182+'29-3'!I182+'30-3'!I182+'32-3'!I182+'35-3'!I182+'37-3'!I182+'47-3'!I182+'62-3'!I182+'64-3'!I182+'74-3'!I182</f>
        <v>1021528</v>
      </c>
      <c r="J436" s="106">
        <f>'01-3'!J182+'02-3'!J182+'03-3'!J182+'04-3'!J182+'05-3'!J182+'08-3'!J182+'09-3'!J182+'10-3'!J182+'11-3'!J182+'12-3'!J182+'13-3'!J182+'14-3'!J182+'15-3'!J182+'16-3'!J182+'17-3'!J182+'18-3'!J182+'19-3'!J182+'21-3'!J182+'22-3'!J182+'24-3'!J182+'25-3'!J182+'28-3'!J182+'29-3'!J182+'30-3'!J182+'32-3'!J182+'35-3'!J182+'37-3'!J182+'47-3'!J182+'62-3'!J182+'64-3'!J182+'74-3'!J182</f>
        <v>700472</v>
      </c>
      <c r="K436" s="106">
        <f>'01-3'!K182+'02-3'!K182+'03-3'!K182+'04-3'!K182+'05-3'!K182+'08-3'!K182+'09-3'!K182+'10-3'!K182+'11-3'!K182+'12-3'!K182+'13-3'!K182+'14-3'!K182+'15-3'!K182+'16-3'!K182+'17-3'!K182+'18-3'!K182+'19-3'!K182+'21-3'!K182+'22-3'!K182+'24-3'!K182+'25-3'!K182+'28-3'!K182+'29-3'!K182+'30-3'!K182+'32-3'!K182+'35-3'!K182+'37-3'!K182+'47-3'!K182+'62-3'!K182+'64-3'!K182+'74-3'!K182</f>
        <v>0</v>
      </c>
      <c r="L436" s="106">
        <f>'01-3'!L182+'02-3'!L182+'03-3'!L182+'04-3'!L182+'05-3'!L182+'08-3'!L182+'09-3'!L182+'10-3'!L182+'11-3'!L182+'12-3'!L182+'13-3'!L182+'14-3'!L182+'15-3'!L182+'16-3'!L182+'17-3'!L182+'18-3'!L182+'19-3'!L182+'21-3'!L182+'22-3'!L182+'24-3'!L182+'25-3'!L182+'28-3'!L182+'29-3'!L182+'30-3'!L182+'32-3'!L182+'35-3'!L182+'37-3'!L182+'47-3'!L182+'62-3'!L182+'64-3'!L182+'74-3'!L182</f>
        <v>0</v>
      </c>
      <c r="M436" s="106">
        <f>'01-3'!M182+'02-3'!M182+'03-3'!M182+'04-3'!M182+'05-3'!M182+'08-3'!M182+'09-3'!M182+'10-3'!M182+'11-3'!M182+'12-3'!M182+'13-3'!M182+'14-3'!M182+'15-3'!M182+'16-3'!M182+'17-3'!M182+'18-3'!M182+'19-3'!M182+'21-3'!M182+'22-3'!M182+'24-3'!M182+'25-3'!M182+'28-3'!M182+'29-3'!M182+'30-3'!M182+'32-3'!M182+'35-3'!M182+'37-3'!M182+'47-3'!M182+'62-3'!M182+'64-3'!M182+'74-3'!M182</f>
        <v>1722000</v>
      </c>
      <c r="N436" s="106">
        <f>'01-3'!N182+'02-3'!N182+'03-3'!N182+'04-3'!N182+'05-3'!N182+'08-3'!N182+'09-3'!N182+'10-3'!N182+'11-3'!N182+'12-3'!N182+'13-3'!N182+'14-3'!N182+'15-3'!N182+'16-3'!N182+'17-3'!N182+'18-3'!N182+'19-3'!N182+'21-3'!N182+'22-3'!N182+'24-3'!N182+'25-3'!N182+'28-3'!N182+'29-3'!N182+'30-3'!N182+'32-3'!N182+'35-3'!N182+'37-3'!N182+'47-3'!N182+'62-3'!N182+'64-3'!N182+'74-3'!N182</f>
        <v>162453</v>
      </c>
      <c r="O436" s="106">
        <f>'01-3'!O182+'02-3'!O182+'03-3'!O182+'04-3'!O182+'05-3'!O182+'08-3'!O182+'09-3'!O182+'10-3'!O182+'11-3'!O182+'12-3'!O182+'13-3'!O182+'14-3'!O182+'15-3'!O182+'16-3'!O182+'17-3'!O182+'18-3'!O182+'19-3'!O182+'21-3'!O182+'22-3'!O182+'24-3'!O182+'25-3'!O182+'28-3'!O182+'29-3'!O182+'30-3'!O182+'32-3'!O182+'35-3'!O182+'37-3'!O182+'47-3'!O182+'62-3'!O182+'64-3'!O182+'74-3'!O182</f>
        <v>255589</v>
      </c>
      <c r="P436" s="106">
        <f>'01-3'!P182+'02-3'!P182+'03-3'!P182+'04-3'!P182+'05-3'!P182+'08-3'!P182+'09-3'!P182+'10-3'!P182+'11-3'!P182+'12-3'!P182+'13-3'!P182+'14-3'!P182+'15-3'!P182+'16-3'!P182+'17-3'!P182+'18-3'!P182+'19-3'!P182+'21-3'!P182+'22-3'!P182+'24-3'!P182+'25-3'!P182+'28-3'!P182+'29-3'!P182+'30-3'!P182+'32-3'!P182+'35-3'!P182+'37-3'!P182+'47-3'!P182+'62-3'!P182+'64-3'!P182+'74-3'!P182</f>
        <v>0</v>
      </c>
      <c r="Q436" s="106">
        <f>'01-3'!Q182+'02-3'!Q182+'03-3'!Q182+'04-3'!Q182+'05-3'!Q182+'08-3'!Q182+'09-3'!Q182+'10-3'!Q182+'11-3'!Q182+'12-3'!Q182+'13-3'!Q182+'14-3'!Q182+'15-3'!Q182+'16-3'!Q182+'17-3'!Q182+'18-3'!Q182+'19-3'!Q182+'21-3'!Q182+'22-3'!Q182+'24-3'!Q182+'25-3'!Q182+'28-3'!Q182+'29-3'!Q182+'30-3'!Q182+'32-3'!Q182+'35-3'!Q182+'37-3'!Q182+'47-3'!Q182+'62-3'!Q182+'64-3'!Q182+'74-3'!Q182</f>
        <v>0</v>
      </c>
      <c r="R436" s="106">
        <f>'01-3'!R182+'02-3'!R182+'03-3'!R182+'04-3'!R182+'05-3'!R182+'08-3'!R182+'09-3'!R182+'10-3'!R182+'11-3'!R182+'12-3'!R182+'13-3'!R182+'14-3'!R182+'15-3'!R182+'16-3'!R182+'17-3'!R182+'18-3'!R182+'19-3'!R182+'21-3'!R182+'22-3'!R182+'24-3'!R182+'25-3'!R182+'28-3'!R182+'29-3'!R182+'30-3'!R182+'32-3'!R182+'35-3'!R182+'37-3'!R182+'47-3'!R182+'62-3'!R182+'64-3'!R182+'74-3'!R182</f>
        <v>418042</v>
      </c>
      <c r="S436" s="499"/>
      <c r="T436" s="499"/>
      <c r="U436" s="499"/>
      <c r="V436" s="499"/>
      <c r="W436" s="499"/>
    </row>
    <row r="437" spans="1:23" s="89" customFormat="1" ht="12">
      <c r="A437" s="132">
        <v>18000</v>
      </c>
      <c r="B437" s="101" t="s">
        <v>95</v>
      </c>
      <c r="C437" s="106">
        <f>'01-3'!C183+'02-3'!C183+'03-3'!C183+'04-3'!C183+'05-3'!C183+'08-3'!C183+'09-3'!C183+'10-3'!C183+'11-3'!C183+'12-3'!C183+'13-3'!C183+'14-3'!C183+'15-3'!C183+'16-3'!C183+'17-3'!C183+'18-3'!C183+'19-3'!C183+'21-3'!C183+'22-3'!C183+'24-3'!C183+'25-3'!C183+'28-3'!C183+'29-3'!C183+'30-3'!C183+'32-3'!C183+'35-3'!C183+'37-3'!C183+'47-3'!C183+'62-3'!C183+'64-3'!C183+'74-3'!C183</f>
        <v>397587</v>
      </c>
      <c r="D437" s="106">
        <f>'01-3'!D183+'02-3'!D183+'03-3'!D183+'04-3'!D183+'05-3'!D183+'08-3'!D183+'09-3'!D183+'10-3'!D183+'11-3'!D183+'12-3'!D183+'13-3'!D183+'14-3'!D183+'15-3'!D183+'16-3'!D183+'17-3'!D183+'18-3'!D183+'19-3'!D183+'21-3'!D183+'22-3'!D183+'24-3'!D183+'25-3'!D183+'28-3'!D183+'29-3'!D183+'30-3'!D183+'32-3'!D183+'35-3'!D183+'37-3'!D183+'47-3'!D183+'62-3'!D183+'64-3'!D183+'74-3'!D183</f>
        <v>228056</v>
      </c>
      <c r="E437" s="106">
        <f>'01-3'!E183+'02-3'!E183+'03-3'!E183+'04-3'!E183+'05-3'!E183+'08-3'!E183+'09-3'!E183+'10-3'!E183+'11-3'!E183+'12-3'!E183+'13-3'!E183+'14-3'!E183+'15-3'!E183+'16-3'!E183+'17-3'!E183+'18-3'!E183+'19-3'!E183+'21-3'!E183+'22-3'!E183+'24-3'!E183+'25-3'!E183+'28-3'!E183+'29-3'!E183+'30-3'!E183+'32-3'!E183+'35-3'!E183+'37-3'!E183+'47-3'!E183+'62-3'!E183+'64-3'!E183+'74-3'!E183</f>
        <v>-73</v>
      </c>
      <c r="F437" s="106">
        <f>'01-3'!F183+'02-3'!F183+'03-3'!F183+'04-3'!F183+'05-3'!F183+'08-3'!F183+'09-3'!F183+'10-3'!F183+'11-3'!F183+'12-3'!F183+'13-3'!F183+'14-3'!F183+'15-3'!F183+'16-3'!F183+'17-3'!F183+'18-3'!F183+'19-3'!F183+'21-3'!F183+'22-3'!F183+'24-3'!F183+'25-3'!F183+'28-3'!F183+'29-3'!F183+'30-3'!F183+'32-3'!F183+'35-3'!F183+'37-3'!F183+'47-3'!F183+'62-3'!F183+'64-3'!F183+'74-3'!F183</f>
        <v>0</v>
      </c>
      <c r="G437" s="106">
        <f>'01-3'!G183+'02-3'!G183+'03-3'!G183+'04-3'!G183+'05-3'!G183+'08-3'!G183+'09-3'!G183+'10-3'!G183+'11-3'!G183+'12-3'!G183+'13-3'!G183+'14-3'!G183+'15-3'!G183+'16-3'!G183+'17-3'!G183+'18-3'!G183+'19-3'!G183+'21-3'!G183+'22-3'!G183+'24-3'!G183+'25-3'!G183+'28-3'!G183+'29-3'!G183+'30-3'!G183+'32-3'!G183+'35-3'!G183+'37-3'!G183+'47-3'!G183+'62-3'!G183+'64-3'!G183+'74-3'!G183</f>
        <v>0</v>
      </c>
      <c r="H437" s="106">
        <f>'01-3'!H183+'02-3'!H183+'03-3'!H183+'04-3'!H183+'05-3'!H183+'08-3'!H183+'09-3'!H183+'10-3'!H183+'11-3'!H183+'12-3'!H183+'13-3'!H183+'14-3'!H183+'15-3'!H183+'16-3'!H183+'17-3'!H183+'18-3'!H183+'19-3'!H183+'21-3'!H183+'22-3'!H183+'24-3'!H183+'25-3'!H183+'28-3'!H183+'29-3'!H183+'30-3'!H183+'32-3'!H183+'35-3'!H183+'37-3'!H183+'47-3'!H183+'62-3'!H183+'64-3'!H183+'74-3'!H183</f>
        <v>227983</v>
      </c>
      <c r="I437" s="106">
        <f>'01-3'!I183+'02-3'!I183+'03-3'!I183+'04-3'!I183+'05-3'!I183+'08-3'!I183+'09-3'!I183+'10-3'!I183+'11-3'!I183+'12-3'!I183+'13-3'!I183+'14-3'!I183+'15-3'!I183+'16-3'!I183+'17-3'!I183+'18-3'!I183+'19-3'!I183+'21-3'!I183+'22-3'!I183+'24-3'!I183+'25-3'!I183+'28-3'!I183+'29-3'!I183+'30-3'!I183+'32-3'!I183+'35-3'!I183+'37-3'!I183+'47-3'!I183+'62-3'!I183+'64-3'!I183+'74-3'!I183</f>
        <v>0</v>
      </c>
      <c r="J437" s="106">
        <f>'01-3'!J183+'02-3'!J183+'03-3'!J183+'04-3'!J183+'05-3'!J183+'08-3'!J183+'09-3'!J183+'10-3'!J183+'11-3'!J183+'12-3'!J183+'13-3'!J183+'14-3'!J183+'15-3'!J183+'16-3'!J183+'17-3'!J183+'18-3'!J183+'19-3'!J183+'21-3'!J183+'22-3'!J183+'24-3'!J183+'25-3'!J183+'28-3'!J183+'29-3'!J183+'30-3'!J183+'32-3'!J183+'35-3'!J183+'37-3'!J183+'47-3'!J183+'62-3'!J183+'64-3'!J183+'74-3'!J183</f>
        <v>0</v>
      </c>
      <c r="K437" s="106">
        <f>'01-3'!K183+'02-3'!K183+'03-3'!K183+'04-3'!K183+'05-3'!K183+'08-3'!K183+'09-3'!K183+'10-3'!K183+'11-3'!K183+'12-3'!K183+'13-3'!K183+'14-3'!K183+'15-3'!K183+'16-3'!K183+'17-3'!K183+'18-3'!K183+'19-3'!K183+'21-3'!K183+'22-3'!K183+'24-3'!K183+'25-3'!K183+'28-3'!K183+'29-3'!K183+'30-3'!K183+'32-3'!K183+'35-3'!K183+'37-3'!K183+'47-3'!K183+'62-3'!K183+'64-3'!K183+'74-3'!K183</f>
        <v>0</v>
      </c>
      <c r="L437" s="106">
        <f>'01-3'!L183+'02-3'!L183+'03-3'!L183+'04-3'!L183+'05-3'!L183+'08-3'!L183+'09-3'!L183+'10-3'!L183+'11-3'!L183+'12-3'!L183+'13-3'!L183+'14-3'!L183+'15-3'!L183+'16-3'!L183+'17-3'!L183+'18-3'!L183+'19-3'!L183+'21-3'!L183+'22-3'!L183+'24-3'!L183+'25-3'!L183+'28-3'!L183+'29-3'!L183+'30-3'!L183+'32-3'!L183+'35-3'!L183+'37-3'!L183+'47-3'!L183+'62-3'!L183+'64-3'!L183+'74-3'!L183</f>
        <v>0</v>
      </c>
      <c r="M437" s="106">
        <f>'01-3'!M183+'02-3'!M183+'03-3'!M183+'04-3'!M183+'05-3'!M183+'08-3'!M183+'09-3'!M183+'10-3'!M183+'11-3'!M183+'12-3'!M183+'13-3'!M183+'14-3'!M183+'15-3'!M183+'16-3'!M183+'17-3'!M183+'18-3'!M183+'19-3'!M183+'21-3'!M183+'22-3'!M183+'24-3'!M183+'25-3'!M183+'28-3'!M183+'29-3'!M183+'30-3'!M183+'32-3'!M183+'35-3'!M183+'37-3'!M183+'47-3'!M183+'62-3'!M183+'64-3'!M183+'74-3'!M183</f>
        <v>0</v>
      </c>
      <c r="N437" s="106">
        <f>'01-3'!N183+'02-3'!N183+'03-3'!N183+'04-3'!N183+'05-3'!N183+'08-3'!N183+'09-3'!N183+'10-3'!N183+'11-3'!N183+'12-3'!N183+'13-3'!N183+'14-3'!N183+'15-3'!N183+'16-3'!N183+'17-3'!N183+'18-3'!N183+'19-3'!N183+'21-3'!N183+'22-3'!N183+'24-3'!N183+'25-3'!N183+'28-3'!N183+'29-3'!N183+'30-3'!N183+'32-3'!N183+'35-3'!N183+'37-3'!N183+'47-3'!N183+'62-3'!N183+'64-3'!N183+'74-3'!N183</f>
        <v>0</v>
      </c>
      <c r="O437" s="106">
        <f>'01-3'!O183+'02-3'!O183+'03-3'!O183+'04-3'!O183+'05-3'!O183+'08-3'!O183+'09-3'!O183+'10-3'!O183+'11-3'!O183+'12-3'!O183+'13-3'!O183+'14-3'!O183+'15-3'!O183+'16-3'!O183+'17-3'!O183+'18-3'!O183+'19-3'!O183+'21-3'!O183+'22-3'!O183+'24-3'!O183+'25-3'!O183+'28-3'!O183+'29-3'!O183+'30-3'!O183+'32-3'!O183+'35-3'!O183+'37-3'!O183+'47-3'!O183+'62-3'!O183+'64-3'!O183+'74-3'!O183</f>
        <v>0</v>
      </c>
      <c r="P437" s="106">
        <f>'01-3'!P183+'02-3'!P183+'03-3'!P183+'04-3'!P183+'05-3'!P183+'08-3'!P183+'09-3'!P183+'10-3'!P183+'11-3'!P183+'12-3'!P183+'13-3'!P183+'14-3'!P183+'15-3'!P183+'16-3'!P183+'17-3'!P183+'18-3'!P183+'19-3'!P183+'21-3'!P183+'22-3'!P183+'24-3'!P183+'25-3'!P183+'28-3'!P183+'29-3'!P183+'30-3'!P183+'32-3'!P183+'35-3'!P183+'37-3'!P183+'47-3'!P183+'62-3'!P183+'64-3'!P183+'74-3'!P183</f>
        <v>0</v>
      </c>
      <c r="Q437" s="106">
        <f>'01-3'!Q183+'02-3'!Q183+'03-3'!Q183+'04-3'!Q183+'05-3'!Q183+'08-3'!Q183+'09-3'!Q183+'10-3'!Q183+'11-3'!Q183+'12-3'!Q183+'13-3'!Q183+'14-3'!Q183+'15-3'!Q183+'16-3'!Q183+'17-3'!Q183+'18-3'!Q183+'19-3'!Q183+'21-3'!Q183+'22-3'!Q183+'24-3'!Q183+'25-3'!Q183+'28-3'!Q183+'29-3'!Q183+'30-3'!Q183+'32-3'!Q183+'35-3'!Q183+'37-3'!Q183+'47-3'!Q183+'62-3'!Q183+'64-3'!Q183+'74-3'!Q183</f>
        <v>0</v>
      </c>
      <c r="R437" s="106">
        <f>'01-3'!R183+'02-3'!R183+'03-3'!R183+'04-3'!R183+'05-3'!R183+'08-3'!R183+'09-3'!R183+'10-3'!R183+'11-3'!R183+'12-3'!R183+'13-3'!R183+'14-3'!R183+'15-3'!R183+'16-3'!R183+'17-3'!R183+'18-3'!R183+'19-3'!R183+'21-3'!R183+'22-3'!R183+'24-3'!R183+'25-3'!R183+'28-3'!R183+'29-3'!R183+'30-3'!R183+'32-3'!R183+'35-3'!R183+'37-3'!R183+'47-3'!R183+'62-3'!R183+'64-3'!R183+'74-3'!R183</f>
        <v>0</v>
      </c>
      <c r="S437" s="499"/>
      <c r="T437" s="499"/>
      <c r="U437" s="499"/>
      <c r="V437" s="499"/>
      <c r="W437" s="499"/>
    </row>
    <row r="438" spans="1:23" s="89" customFormat="1" ht="12">
      <c r="A438" s="132">
        <v>18100</v>
      </c>
      <c r="B438" s="101" t="s">
        <v>96</v>
      </c>
      <c r="C438" s="106">
        <f>'01-3'!C184+'02-3'!C184+'03-3'!C184+'04-3'!C184+'05-3'!C184+'08-3'!C184+'09-3'!C184+'10-3'!C184+'11-3'!C184+'12-3'!C184+'13-3'!C184+'14-3'!C184+'15-3'!C184+'16-3'!C184+'17-3'!C184+'18-3'!C184+'19-3'!C184+'21-3'!C184+'22-3'!C184+'24-3'!C184+'25-3'!C184+'28-3'!C184+'29-3'!C184+'30-3'!C184+'32-3'!C184+'35-3'!C184+'37-3'!C184+'47-3'!C184+'62-3'!C184+'64-3'!C184+'74-3'!C184</f>
        <v>397587</v>
      </c>
      <c r="D438" s="106">
        <f>'01-3'!D184+'02-3'!D184+'03-3'!D184+'04-3'!D184+'05-3'!D184+'08-3'!D184+'09-3'!D184+'10-3'!D184+'11-3'!D184+'12-3'!D184+'13-3'!D184+'14-3'!D184+'15-3'!D184+'16-3'!D184+'17-3'!D184+'18-3'!D184+'19-3'!D184+'21-3'!D184+'22-3'!D184+'24-3'!D184+'25-3'!D184+'28-3'!D184+'29-3'!D184+'30-3'!D184+'32-3'!D184+'35-3'!D184+'37-3'!D184+'47-3'!D184+'62-3'!D184+'64-3'!D184+'74-3'!D184</f>
        <v>228056</v>
      </c>
      <c r="E438" s="106">
        <f>'01-3'!E184+'02-3'!E184+'03-3'!E184+'04-3'!E184+'05-3'!E184+'08-3'!E184+'09-3'!E184+'10-3'!E184+'11-3'!E184+'12-3'!E184+'13-3'!E184+'14-3'!E184+'15-3'!E184+'16-3'!E184+'17-3'!E184+'18-3'!E184+'19-3'!E184+'21-3'!E184+'22-3'!E184+'24-3'!E184+'25-3'!E184+'28-3'!E184+'29-3'!E184+'30-3'!E184+'32-3'!E184+'35-3'!E184+'37-3'!E184+'47-3'!E184+'62-3'!E184+'64-3'!E184+'74-3'!E184</f>
        <v>-73</v>
      </c>
      <c r="F438" s="106">
        <f>'01-3'!F184+'02-3'!F184+'03-3'!F184+'04-3'!F184+'05-3'!F184+'08-3'!F184+'09-3'!F184+'10-3'!F184+'11-3'!F184+'12-3'!F184+'13-3'!F184+'14-3'!F184+'15-3'!F184+'16-3'!F184+'17-3'!F184+'18-3'!F184+'19-3'!F184+'21-3'!F184+'22-3'!F184+'24-3'!F184+'25-3'!F184+'28-3'!F184+'29-3'!F184+'30-3'!F184+'32-3'!F184+'35-3'!F184+'37-3'!F184+'47-3'!F184+'62-3'!F184+'64-3'!F184+'74-3'!F184</f>
        <v>0</v>
      </c>
      <c r="G438" s="106">
        <f>'01-3'!G184+'02-3'!G184+'03-3'!G184+'04-3'!G184+'05-3'!G184+'08-3'!G184+'09-3'!G184+'10-3'!G184+'11-3'!G184+'12-3'!G184+'13-3'!G184+'14-3'!G184+'15-3'!G184+'16-3'!G184+'17-3'!G184+'18-3'!G184+'19-3'!G184+'21-3'!G184+'22-3'!G184+'24-3'!G184+'25-3'!G184+'28-3'!G184+'29-3'!G184+'30-3'!G184+'32-3'!G184+'35-3'!G184+'37-3'!G184+'47-3'!G184+'62-3'!G184+'64-3'!G184+'74-3'!G184</f>
        <v>0</v>
      </c>
      <c r="H438" s="106">
        <f>'01-3'!H184+'02-3'!H184+'03-3'!H184+'04-3'!H184+'05-3'!H184+'08-3'!H184+'09-3'!H184+'10-3'!H184+'11-3'!H184+'12-3'!H184+'13-3'!H184+'14-3'!H184+'15-3'!H184+'16-3'!H184+'17-3'!H184+'18-3'!H184+'19-3'!H184+'21-3'!H184+'22-3'!H184+'24-3'!H184+'25-3'!H184+'28-3'!H184+'29-3'!H184+'30-3'!H184+'32-3'!H184+'35-3'!H184+'37-3'!H184+'47-3'!H184+'62-3'!H184+'64-3'!H184+'74-3'!H184</f>
        <v>227983</v>
      </c>
      <c r="I438" s="106">
        <f>'01-3'!I184+'02-3'!I184+'03-3'!I184+'04-3'!I184+'05-3'!I184+'08-3'!I184+'09-3'!I184+'10-3'!I184+'11-3'!I184+'12-3'!I184+'13-3'!I184+'14-3'!I184+'15-3'!I184+'16-3'!I184+'17-3'!I184+'18-3'!I184+'19-3'!I184+'21-3'!I184+'22-3'!I184+'24-3'!I184+'25-3'!I184+'28-3'!I184+'29-3'!I184+'30-3'!I184+'32-3'!I184+'35-3'!I184+'37-3'!I184+'47-3'!I184+'62-3'!I184+'64-3'!I184+'74-3'!I184</f>
        <v>0</v>
      </c>
      <c r="J438" s="106">
        <f>'01-3'!J184+'02-3'!J184+'03-3'!J184+'04-3'!J184+'05-3'!J184+'08-3'!J184+'09-3'!J184+'10-3'!J184+'11-3'!J184+'12-3'!J184+'13-3'!J184+'14-3'!J184+'15-3'!J184+'16-3'!J184+'17-3'!J184+'18-3'!J184+'19-3'!J184+'21-3'!J184+'22-3'!J184+'24-3'!J184+'25-3'!J184+'28-3'!J184+'29-3'!J184+'30-3'!J184+'32-3'!J184+'35-3'!J184+'37-3'!J184+'47-3'!J184+'62-3'!J184+'64-3'!J184+'74-3'!J184</f>
        <v>0</v>
      </c>
      <c r="K438" s="106">
        <f>'01-3'!K184+'02-3'!K184+'03-3'!K184+'04-3'!K184+'05-3'!K184+'08-3'!K184+'09-3'!K184+'10-3'!K184+'11-3'!K184+'12-3'!K184+'13-3'!K184+'14-3'!K184+'15-3'!K184+'16-3'!K184+'17-3'!K184+'18-3'!K184+'19-3'!K184+'21-3'!K184+'22-3'!K184+'24-3'!K184+'25-3'!K184+'28-3'!K184+'29-3'!K184+'30-3'!K184+'32-3'!K184+'35-3'!K184+'37-3'!K184+'47-3'!K184+'62-3'!K184+'64-3'!K184+'74-3'!K184</f>
        <v>0</v>
      </c>
      <c r="L438" s="106">
        <f>'01-3'!L184+'02-3'!L184+'03-3'!L184+'04-3'!L184+'05-3'!L184+'08-3'!L184+'09-3'!L184+'10-3'!L184+'11-3'!L184+'12-3'!L184+'13-3'!L184+'14-3'!L184+'15-3'!L184+'16-3'!L184+'17-3'!L184+'18-3'!L184+'19-3'!L184+'21-3'!L184+'22-3'!L184+'24-3'!L184+'25-3'!L184+'28-3'!L184+'29-3'!L184+'30-3'!L184+'32-3'!L184+'35-3'!L184+'37-3'!L184+'47-3'!L184+'62-3'!L184+'64-3'!L184+'74-3'!L184</f>
        <v>0</v>
      </c>
      <c r="M438" s="106">
        <f>'01-3'!M184+'02-3'!M184+'03-3'!M184+'04-3'!M184+'05-3'!M184+'08-3'!M184+'09-3'!M184+'10-3'!M184+'11-3'!M184+'12-3'!M184+'13-3'!M184+'14-3'!M184+'15-3'!M184+'16-3'!M184+'17-3'!M184+'18-3'!M184+'19-3'!M184+'21-3'!M184+'22-3'!M184+'24-3'!M184+'25-3'!M184+'28-3'!M184+'29-3'!M184+'30-3'!M184+'32-3'!M184+'35-3'!M184+'37-3'!M184+'47-3'!M184+'62-3'!M184+'64-3'!M184+'74-3'!M184</f>
        <v>0</v>
      </c>
      <c r="N438" s="106">
        <f>'01-3'!N184+'02-3'!N184+'03-3'!N184+'04-3'!N184+'05-3'!N184+'08-3'!N184+'09-3'!N184+'10-3'!N184+'11-3'!N184+'12-3'!N184+'13-3'!N184+'14-3'!N184+'15-3'!N184+'16-3'!N184+'17-3'!N184+'18-3'!N184+'19-3'!N184+'21-3'!N184+'22-3'!N184+'24-3'!N184+'25-3'!N184+'28-3'!N184+'29-3'!N184+'30-3'!N184+'32-3'!N184+'35-3'!N184+'37-3'!N184+'47-3'!N184+'62-3'!N184+'64-3'!N184+'74-3'!N184</f>
        <v>0</v>
      </c>
      <c r="O438" s="106">
        <f>'01-3'!O184+'02-3'!O184+'03-3'!O184+'04-3'!O184+'05-3'!O184+'08-3'!O184+'09-3'!O184+'10-3'!O184+'11-3'!O184+'12-3'!O184+'13-3'!O184+'14-3'!O184+'15-3'!O184+'16-3'!O184+'17-3'!O184+'18-3'!O184+'19-3'!O184+'21-3'!O184+'22-3'!O184+'24-3'!O184+'25-3'!O184+'28-3'!O184+'29-3'!O184+'30-3'!O184+'32-3'!O184+'35-3'!O184+'37-3'!O184+'47-3'!O184+'62-3'!O184+'64-3'!O184+'74-3'!O184</f>
        <v>0</v>
      </c>
      <c r="P438" s="106">
        <f>'01-3'!P184+'02-3'!P184+'03-3'!P184+'04-3'!P184+'05-3'!P184+'08-3'!P184+'09-3'!P184+'10-3'!P184+'11-3'!P184+'12-3'!P184+'13-3'!P184+'14-3'!P184+'15-3'!P184+'16-3'!P184+'17-3'!P184+'18-3'!P184+'19-3'!P184+'21-3'!P184+'22-3'!P184+'24-3'!P184+'25-3'!P184+'28-3'!P184+'29-3'!P184+'30-3'!P184+'32-3'!P184+'35-3'!P184+'37-3'!P184+'47-3'!P184+'62-3'!P184+'64-3'!P184+'74-3'!P184</f>
        <v>0</v>
      </c>
      <c r="Q438" s="106">
        <f>'01-3'!Q184+'02-3'!Q184+'03-3'!Q184+'04-3'!Q184+'05-3'!Q184+'08-3'!Q184+'09-3'!Q184+'10-3'!Q184+'11-3'!Q184+'12-3'!Q184+'13-3'!Q184+'14-3'!Q184+'15-3'!Q184+'16-3'!Q184+'17-3'!Q184+'18-3'!Q184+'19-3'!Q184+'21-3'!Q184+'22-3'!Q184+'24-3'!Q184+'25-3'!Q184+'28-3'!Q184+'29-3'!Q184+'30-3'!Q184+'32-3'!Q184+'35-3'!Q184+'37-3'!Q184+'47-3'!Q184+'62-3'!Q184+'64-3'!Q184+'74-3'!Q184</f>
        <v>0</v>
      </c>
      <c r="R438" s="106">
        <f>'01-3'!R184+'02-3'!R184+'03-3'!R184+'04-3'!R184+'05-3'!R184+'08-3'!R184+'09-3'!R184+'10-3'!R184+'11-3'!R184+'12-3'!R184+'13-3'!R184+'14-3'!R184+'15-3'!R184+'16-3'!R184+'17-3'!R184+'18-3'!R184+'19-3'!R184+'21-3'!R184+'22-3'!R184+'24-3'!R184+'25-3'!R184+'28-3'!R184+'29-3'!R184+'30-3'!R184+'32-3'!R184+'35-3'!R184+'37-3'!R184+'47-3'!R184+'62-3'!R184+'64-3'!R184+'74-3'!R184</f>
        <v>0</v>
      </c>
      <c r="S438" s="499"/>
      <c r="T438" s="499"/>
      <c r="U438" s="499"/>
      <c r="V438" s="499"/>
      <c r="W438" s="499"/>
    </row>
    <row r="439" spans="1:23" s="89" customFormat="1" ht="24">
      <c r="A439" s="133">
        <v>18130</v>
      </c>
      <c r="B439" s="108" t="s">
        <v>159</v>
      </c>
      <c r="C439" s="106">
        <f>'01-3'!C185+'02-3'!C185+'03-3'!C185+'04-3'!C185+'05-3'!C185+'08-3'!C185+'09-3'!C185+'10-3'!C185+'11-3'!C185+'12-3'!C185+'13-3'!C185+'14-3'!C185+'15-3'!C185+'16-3'!C185+'17-3'!C185+'18-3'!C185+'19-3'!C185+'21-3'!C185+'22-3'!C185+'24-3'!C185+'25-3'!C185+'28-3'!C185+'29-3'!C185+'30-3'!C185+'32-3'!C185+'35-3'!C185+'37-3'!C185+'47-3'!C185+'62-3'!C185+'64-3'!C185+'74-3'!C185</f>
        <v>397587</v>
      </c>
      <c r="D439" s="106">
        <f>'01-3'!D185+'02-3'!D185+'03-3'!D185+'04-3'!D185+'05-3'!D185+'08-3'!D185+'09-3'!D185+'10-3'!D185+'11-3'!D185+'12-3'!D185+'13-3'!D185+'14-3'!D185+'15-3'!D185+'16-3'!D185+'17-3'!D185+'18-3'!D185+'19-3'!D185+'21-3'!D185+'22-3'!D185+'24-3'!D185+'25-3'!D185+'28-3'!D185+'29-3'!D185+'30-3'!D185+'32-3'!D185+'35-3'!D185+'37-3'!D185+'47-3'!D185+'62-3'!D185+'64-3'!D185+'74-3'!D185</f>
        <v>228056</v>
      </c>
      <c r="E439" s="106">
        <f>'01-3'!E185+'02-3'!E185+'03-3'!E185+'04-3'!E185+'05-3'!E185+'08-3'!E185+'09-3'!E185+'10-3'!E185+'11-3'!E185+'12-3'!E185+'13-3'!E185+'14-3'!E185+'15-3'!E185+'16-3'!E185+'17-3'!E185+'18-3'!E185+'19-3'!E185+'21-3'!E185+'22-3'!E185+'24-3'!E185+'25-3'!E185+'28-3'!E185+'29-3'!E185+'30-3'!E185+'32-3'!E185+'35-3'!E185+'37-3'!E185+'47-3'!E185+'62-3'!E185+'64-3'!E185+'74-3'!E185</f>
        <v>-73</v>
      </c>
      <c r="F439" s="106">
        <f>'01-3'!F185+'02-3'!F185+'03-3'!F185+'04-3'!F185+'05-3'!F185+'08-3'!F185+'09-3'!F185+'10-3'!F185+'11-3'!F185+'12-3'!F185+'13-3'!F185+'14-3'!F185+'15-3'!F185+'16-3'!F185+'17-3'!F185+'18-3'!F185+'19-3'!F185+'21-3'!F185+'22-3'!F185+'24-3'!F185+'25-3'!F185+'28-3'!F185+'29-3'!F185+'30-3'!F185+'32-3'!F185+'35-3'!F185+'37-3'!F185+'47-3'!F185+'62-3'!F185+'64-3'!F185+'74-3'!F185</f>
        <v>0</v>
      </c>
      <c r="G439" s="106">
        <f>'01-3'!G185+'02-3'!G185+'03-3'!G185+'04-3'!G185+'05-3'!G185+'08-3'!G185+'09-3'!G185+'10-3'!G185+'11-3'!G185+'12-3'!G185+'13-3'!G185+'14-3'!G185+'15-3'!G185+'16-3'!G185+'17-3'!G185+'18-3'!G185+'19-3'!G185+'21-3'!G185+'22-3'!G185+'24-3'!G185+'25-3'!G185+'28-3'!G185+'29-3'!G185+'30-3'!G185+'32-3'!G185+'35-3'!G185+'37-3'!G185+'47-3'!G185+'62-3'!G185+'64-3'!G185+'74-3'!G185</f>
        <v>0</v>
      </c>
      <c r="H439" s="106">
        <f>'01-3'!H185+'02-3'!H185+'03-3'!H185+'04-3'!H185+'05-3'!H185+'08-3'!H185+'09-3'!H185+'10-3'!H185+'11-3'!H185+'12-3'!H185+'13-3'!H185+'14-3'!H185+'15-3'!H185+'16-3'!H185+'17-3'!H185+'18-3'!H185+'19-3'!H185+'21-3'!H185+'22-3'!H185+'24-3'!H185+'25-3'!H185+'28-3'!H185+'29-3'!H185+'30-3'!H185+'32-3'!H185+'35-3'!H185+'37-3'!H185+'47-3'!H185+'62-3'!H185+'64-3'!H185+'74-3'!H185</f>
        <v>227983</v>
      </c>
      <c r="I439" s="106">
        <f>'01-3'!I185+'02-3'!I185+'03-3'!I185+'04-3'!I185+'05-3'!I185+'08-3'!I185+'09-3'!I185+'10-3'!I185+'11-3'!I185+'12-3'!I185+'13-3'!I185+'14-3'!I185+'15-3'!I185+'16-3'!I185+'17-3'!I185+'18-3'!I185+'19-3'!I185+'21-3'!I185+'22-3'!I185+'24-3'!I185+'25-3'!I185+'28-3'!I185+'29-3'!I185+'30-3'!I185+'32-3'!I185+'35-3'!I185+'37-3'!I185+'47-3'!I185+'62-3'!I185+'64-3'!I185+'74-3'!I185</f>
        <v>0</v>
      </c>
      <c r="J439" s="106">
        <f>'01-3'!J185+'02-3'!J185+'03-3'!J185+'04-3'!J185+'05-3'!J185+'08-3'!J185+'09-3'!J185+'10-3'!J185+'11-3'!J185+'12-3'!J185+'13-3'!J185+'14-3'!J185+'15-3'!J185+'16-3'!J185+'17-3'!J185+'18-3'!J185+'19-3'!J185+'21-3'!J185+'22-3'!J185+'24-3'!J185+'25-3'!J185+'28-3'!J185+'29-3'!J185+'30-3'!J185+'32-3'!J185+'35-3'!J185+'37-3'!J185+'47-3'!J185+'62-3'!J185+'64-3'!J185+'74-3'!J185</f>
        <v>0</v>
      </c>
      <c r="K439" s="106">
        <f>'01-3'!K185+'02-3'!K185+'03-3'!K185+'04-3'!K185+'05-3'!K185+'08-3'!K185+'09-3'!K185+'10-3'!K185+'11-3'!K185+'12-3'!K185+'13-3'!K185+'14-3'!K185+'15-3'!K185+'16-3'!K185+'17-3'!K185+'18-3'!K185+'19-3'!K185+'21-3'!K185+'22-3'!K185+'24-3'!K185+'25-3'!K185+'28-3'!K185+'29-3'!K185+'30-3'!K185+'32-3'!K185+'35-3'!K185+'37-3'!K185+'47-3'!K185+'62-3'!K185+'64-3'!K185+'74-3'!K185</f>
        <v>0</v>
      </c>
      <c r="L439" s="106">
        <f>'01-3'!L185+'02-3'!L185+'03-3'!L185+'04-3'!L185+'05-3'!L185+'08-3'!L185+'09-3'!L185+'10-3'!L185+'11-3'!L185+'12-3'!L185+'13-3'!L185+'14-3'!L185+'15-3'!L185+'16-3'!L185+'17-3'!L185+'18-3'!L185+'19-3'!L185+'21-3'!L185+'22-3'!L185+'24-3'!L185+'25-3'!L185+'28-3'!L185+'29-3'!L185+'30-3'!L185+'32-3'!L185+'35-3'!L185+'37-3'!L185+'47-3'!L185+'62-3'!L185+'64-3'!L185+'74-3'!L185</f>
        <v>0</v>
      </c>
      <c r="M439" s="106">
        <f>'01-3'!M185+'02-3'!M185+'03-3'!M185+'04-3'!M185+'05-3'!M185+'08-3'!M185+'09-3'!M185+'10-3'!M185+'11-3'!M185+'12-3'!M185+'13-3'!M185+'14-3'!M185+'15-3'!M185+'16-3'!M185+'17-3'!M185+'18-3'!M185+'19-3'!M185+'21-3'!M185+'22-3'!M185+'24-3'!M185+'25-3'!M185+'28-3'!M185+'29-3'!M185+'30-3'!M185+'32-3'!M185+'35-3'!M185+'37-3'!M185+'47-3'!M185+'62-3'!M185+'64-3'!M185+'74-3'!M185</f>
        <v>0</v>
      </c>
      <c r="N439" s="106">
        <f>'01-3'!N185+'02-3'!N185+'03-3'!N185+'04-3'!N185+'05-3'!N185+'08-3'!N185+'09-3'!N185+'10-3'!N185+'11-3'!N185+'12-3'!N185+'13-3'!N185+'14-3'!N185+'15-3'!N185+'16-3'!N185+'17-3'!N185+'18-3'!N185+'19-3'!N185+'21-3'!N185+'22-3'!N185+'24-3'!N185+'25-3'!N185+'28-3'!N185+'29-3'!N185+'30-3'!N185+'32-3'!N185+'35-3'!N185+'37-3'!N185+'47-3'!N185+'62-3'!N185+'64-3'!N185+'74-3'!N185</f>
        <v>0</v>
      </c>
      <c r="O439" s="106">
        <f>'01-3'!O185+'02-3'!O185+'03-3'!O185+'04-3'!O185+'05-3'!O185+'08-3'!O185+'09-3'!O185+'10-3'!O185+'11-3'!O185+'12-3'!O185+'13-3'!O185+'14-3'!O185+'15-3'!O185+'16-3'!O185+'17-3'!O185+'18-3'!O185+'19-3'!O185+'21-3'!O185+'22-3'!O185+'24-3'!O185+'25-3'!O185+'28-3'!O185+'29-3'!O185+'30-3'!O185+'32-3'!O185+'35-3'!O185+'37-3'!O185+'47-3'!O185+'62-3'!O185+'64-3'!O185+'74-3'!O185</f>
        <v>0</v>
      </c>
      <c r="P439" s="106">
        <f>'01-3'!P185+'02-3'!P185+'03-3'!P185+'04-3'!P185+'05-3'!P185+'08-3'!P185+'09-3'!P185+'10-3'!P185+'11-3'!P185+'12-3'!P185+'13-3'!P185+'14-3'!P185+'15-3'!P185+'16-3'!P185+'17-3'!P185+'18-3'!P185+'19-3'!P185+'21-3'!P185+'22-3'!P185+'24-3'!P185+'25-3'!P185+'28-3'!P185+'29-3'!P185+'30-3'!P185+'32-3'!P185+'35-3'!P185+'37-3'!P185+'47-3'!P185+'62-3'!P185+'64-3'!P185+'74-3'!P185</f>
        <v>0</v>
      </c>
      <c r="Q439" s="106">
        <f>'01-3'!Q185+'02-3'!Q185+'03-3'!Q185+'04-3'!Q185+'05-3'!Q185+'08-3'!Q185+'09-3'!Q185+'10-3'!Q185+'11-3'!Q185+'12-3'!Q185+'13-3'!Q185+'14-3'!Q185+'15-3'!Q185+'16-3'!Q185+'17-3'!Q185+'18-3'!Q185+'19-3'!Q185+'21-3'!Q185+'22-3'!Q185+'24-3'!Q185+'25-3'!Q185+'28-3'!Q185+'29-3'!Q185+'30-3'!Q185+'32-3'!Q185+'35-3'!Q185+'37-3'!Q185+'47-3'!Q185+'62-3'!Q185+'64-3'!Q185+'74-3'!Q185</f>
        <v>0</v>
      </c>
      <c r="R439" s="106">
        <f>'01-3'!R185+'02-3'!R185+'03-3'!R185+'04-3'!R185+'05-3'!R185+'08-3'!R185+'09-3'!R185+'10-3'!R185+'11-3'!R185+'12-3'!R185+'13-3'!R185+'14-3'!R185+'15-3'!R185+'16-3'!R185+'17-3'!R185+'18-3'!R185+'19-3'!R185+'21-3'!R185+'22-3'!R185+'24-3'!R185+'25-3'!R185+'28-3'!R185+'29-3'!R185+'30-3'!R185+'32-3'!R185+'35-3'!R185+'37-3'!R185+'47-3'!R185+'62-3'!R185+'64-3'!R185+'74-3'!R185</f>
        <v>0</v>
      </c>
      <c r="S439" s="499"/>
      <c r="T439" s="499"/>
      <c r="U439" s="499"/>
      <c r="V439" s="499"/>
      <c r="W439" s="499"/>
    </row>
    <row r="440" spans="1:23" s="89" customFormat="1" ht="36">
      <c r="A440" s="134">
        <v>18131</v>
      </c>
      <c r="B440" s="108" t="s">
        <v>160</v>
      </c>
      <c r="C440" s="106">
        <f>'01-3'!C186+'02-3'!C186+'03-3'!C186+'04-3'!C186+'05-3'!C186+'08-3'!C186+'09-3'!C186+'10-3'!C186+'11-3'!C186+'12-3'!C186+'13-3'!C186+'14-3'!C186+'15-3'!C186+'16-3'!C186+'17-3'!C186+'18-3'!C186+'19-3'!C186+'21-3'!C186+'22-3'!C186+'24-3'!C186+'25-3'!C186+'28-3'!C186+'29-3'!C186+'30-3'!C186+'32-3'!C186+'35-3'!C186+'37-3'!C186+'47-3'!C186+'62-3'!C186+'64-3'!C186+'74-3'!C186</f>
        <v>355831</v>
      </c>
      <c r="D440" s="106">
        <f>'01-3'!D186+'02-3'!D186+'03-3'!D186+'04-3'!D186+'05-3'!D186+'08-3'!D186+'09-3'!D186+'10-3'!D186+'11-3'!D186+'12-3'!D186+'13-3'!D186+'14-3'!D186+'15-3'!D186+'16-3'!D186+'17-3'!D186+'18-3'!D186+'19-3'!D186+'21-3'!D186+'22-3'!D186+'24-3'!D186+'25-3'!D186+'28-3'!D186+'29-3'!D186+'30-3'!D186+'32-3'!D186+'35-3'!D186+'37-3'!D186+'47-3'!D186+'62-3'!D186+'64-3'!D186+'74-3'!D186</f>
        <v>228056</v>
      </c>
      <c r="E440" s="106">
        <f>'01-3'!E186+'02-3'!E186+'03-3'!E186+'04-3'!E186+'05-3'!E186+'08-3'!E186+'09-3'!E186+'10-3'!E186+'11-3'!E186+'12-3'!E186+'13-3'!E186+'14-3'!E186+'15-3'!E186+'16-3'!E186+'17-3'!E186+'18-3'!E186+'19-3'!E186+'21-3'!E186+'22-3'!E186+'24-3'!E186+'25-3'!E186+'28-3'!E186+'29-3'!E186+'30-3'!E186+'32-3'!E186+'35-3'!E186+'37-3'!E186+'47-3'!E186+'62-3'!E186+'64-3'!E186+'74-3'!E186</f>
        <v>-73</v>
      </c>
      <c r="F440" s="106">
        <f>'01-3'!F186+'02-3'!F186+'03-3'!F186+'04-3'!F186+'05-3'!F186+'08-3'!F186+'09-3'!F186+'10-3'!F186+'11-3'!F186+'12-3'!F186+'13-3'!F186+'14-3'!F186+'15-3'!F186+'16-3'!F186+'17-3'!F186+'18-3'!F186+'19-3'!F186+'21-3'!F186+'22-3'!F186+'24-3'!F186+'25-3'!F186+'28-3'!F186+'29-3'!F186+'30-3'!F186+'32-3'!F186+'35-3'!F186+'37-3'!F186+'47-3'!F186+'62-3'!F186+'64-3'!F186+'74-3'!F186</f>
        <v>0</v>
      </c>
      <c r="G440" s="106">
        <f>'01-3'!G186+'02-3'!G186+'03-3'!G186+'04-3'!G186+'05-3'!G186+'08-3'!G186+'09-3'!G186+'10-3'!G186+'11-3'!G186+'12-3'!G186+'13-3'!G186+'14-3'!G186+'15-3'!G186+'16-3'!G186+'17-3'!G186+'18-3'!G186+'19-3'!G186+'21-3'!G186+'22-3'!G186+'24-3'!G186+'25-3'!G186+'28-3'!G186+'29-3'!G186+'30-3'!G186+'32-3'!G186+'35-3'!G186+'37-3'!G186+'47-3'!G186+'62-3'!G186+'64-3'!G186+'74-3'!G186</f>
        <v>0</v>
      </c>
      <c r="H440" s="106">
        <f>'01-3'!H186+'02-3'!H186+'03-3'!H186+'04-3'!H186+'05-3'!H186+'08-3'!H186+'09-3'!H186+'10-3'!H186+'11-3'!H186+'12-3'!H186+'13-3'!H186+'14-3'!H186+'15-3'!H186+'16-3'!H186+'17-3'!H186+'18-3'!H186+'19-3'!H186+'21-3'!H186+'22-3'!H186+'24-3'!H186+'25-3'!H186+'28-3'!H186+'29-3'!H186+'30-3'!H186+'32-3'!H186+'35-3'!H186+'37-3'!H186+'47-3'!H186+'62-3'!H186+'64-3'!H186+'74-3'!H186</f>
        <v>227983</v>
      </c>
      <c r="I440" s="106">
        <f>'01-3'!I186+'02-3'!I186+'03-3'!I186+'04-3'!I186+'05-3'!I186+'08-3'!I186+'09-3'!I186+'10-3'!I186+'11-3'!I186+'12-3'!I186+'13-3'!I186+'14-3'!I186+'15-3'!I186+'16-3'!I186+'17-3'!I186+'18-3'!I186+'19-3'!I186+'21-3'!I186+'22-3'!I186+'24-3'!I186+'25-3'!I186+'28-3'!I186+'29-3'!I186+'30-3'!I186+'32-3'!I186+'35-3'!I186+'37-3'!I186+'47-3'!I186+'62-3'!I186+'64-3'!I186+'74-3'!I186</f>
        <v>0</v>
      </c>
      <c r="J440" s="106">
        <f>'01-3'!J186+'02-3'!J186+'03-3'!J186+'04-3'!J186+'05-3'!J186+'08-3'!J186+'09-3'!J186+'10-3'!J186+'11-3'!J186+'12-3'!J186+'13-3'!J186+'14-3'!J186+'15-3'!J186+'16-3'!J186+'17-3'!J186+'18-3'!J186+'19-3'!J186+'21-3'!J186+'22-3'!J186+'24-3'!J186+'25-3'!J186+'28-3'!J186+'29-3'!J186+'30-3'!J186+'32-3'!J186+'35-3'!J186+'37-3'!J186+'47-3'!J186+'62-3'!J186+'64-3'!J186+'74-3'!J186</f>
        <v>0</v>
      </c>
      <c r="K440" s="106">
        <f>'01-3'!K186+'02-3'!K186+'03-3'!K186+'04-3'!K186+'05-3'!K186+'08-3'!K186+'09-3'!K186+'10-3'!K186+'11-3'!K186+'12-3'!K186+'13-3'!K186+'14-3'!K186+'15-3'!K186+'16-3'!K186+'17-3'!K186+'18-3'!K186+'19-3'!K186+'21-3'!K186+'22-3'!K186+'24-3'!K186+'25-3'!K186+'28-3'!K186+'29-3'!K186+'30-3'!K186+'32-3'!K186+'35-3'!K186+'37-3'!K186+'47-3'!K186+'62-3'!K186+'64-3'!K186+'74-3'!K186</f>
        <v>0</v>
      </c>
      <c r="L440" s="106">
        <f>'01-3'!L186+'02-3'!L186+'03-3'!L186+'04-3'!L186+'05-3'!L186+'08-3'!L186+'09-3'!L186+'10-3'!L186+'11-3'!L186+'12-3'!L186+'13-3'!L186+'14-3'!L186+'15-3'!L186+'16-3'!L186+'17-3'!L186+'18-3'!L186+'19-3'!L186+'21-3'!L186+'22-3'!L186+'24-3'!L186+'25-3'!L186+'28-3'!L186+'29-3'!L186+'30-3'!L186+'32-3'!L186+'35-3'!L186+'37-3'!L186+'47-3'!L186+'62-3'!L186+'64-3'!L186+'74-3'!L186</f>
        <v>0</v>
      </c>
      <c r="M440" s="106">
        <f>'01-3'!M186+'02-3'!M186+'03-3'!M186+'04-3'!M186+'05-3'!M186+'08-3'!M186+'09-3'!M186+'10-3'!M186+'11-3'!M186+'12-3'!M186+'13-3'!M186+'14-3'!M186+'15-3'!M186+'16-3'!M186+'17-3'!M186+'18-3'!M186+'19-3'!M186+'21-3'!M186+'22-3'!M186+'24-3'!M186+'25-3'!M186+'28-3'!M186+'29-3'!M186+'30-3'!M186+'32-3'!M186+'35-3'!M186+'37-3'!M186+'47-3'!M186+'62-3'!M186+'64-3'!M186+'74-3'!M186</f>
        <v>0</v>
      </c>
      <c r="N440" s="106">
        <f>'01-3'!N186+'02-3'!N186+'03-3'!N186+'04-3'!N186+'05-3'!N186+'08-3'!N186+'09-3'!N186+'10-3'!N186+'11-3'!N186+'12-3'!N186+'13-3'!N186+'14-3'!N186+'15-3'!N186+'16-3'!N186+'17-3'!N186+'18-3'!N186+'19-3'!N186+'21-3'!N186+'22-3'!N186+'24-3'!N186+'25-3'!N186+'28-3'!N186+'29-3'!N186+'30-3'!N186+'32-3'!N186+'35-3'!N186+'37-3'!N186+'47-3'!N186+'62-3'!N186+'64-3'!N186+'74-3'!N186</f>
        <v>0</v>
      </c>
      <c r="O440" s="106">
        <f>'01-3'!O186+'02-3'!O186+'03-3'!O186+'04-3'!O186+'05-3'!O186+'08-3'!O186+'09-3'!O186+'10-3'!O186+'11-3'!O186+'12-3'!O186+'13-3'!O186+'14-3'!O186+'15-3'!O186+'16-3'!O186+'17-3'!O186+'18-3'!O186+'19-3'!O186+'21-3'!O186+'22-3'!O186+'24-3'!O186+'25-3'!O186+'28-3'!O186+'29-3'!O186+'30-3'!O186+'32-3'!O186+'35-3'!O186+'37-3'!O186+'47-3'!O186+'62-3'!O186+'64-3'!O186+'74-3'!O186</f>
        <v>0</v>
      </c>
      <c r="P440" s="106">
        <f>'01-3'!P186+'02-3'!P186+'03-3'!P186+'04-3'!P186+'05-3'!P186+'08-3'!P186+'09-3'!P186+'10-3'!P186+'11-3'!P186+'12-3'!P186+'13-3'!P186+'14-3'!P186+'15-3'!P186+'16-3'!P186+'17-3'!P186+'18-3'!P186+'19-3'!P186+'21-3'!P186+'22-3'!P186+'24-3'!P186+'25-3'!P186+'28-3'!P186+'29-3'!P186+'30-3'!P186+'32-3'!P186+'35-3'!P186+'37-3'!P186+'47-3'!P186+'62-3'!P186+'64-3'!P186+'74-3'!P186</f>
        <v>0</v>
      </c>
      <c r="Q440" s="106">
        <f>'01-3'!Q186+'02-3'!Q186+'03-3'!Q186+'04-3'!Q186+'05-3'!Q186+'08-3'!Q186+'09-3'!Q186+'10-3'!Q186+'11-3'!Q186+'12-3'!Q186+'13-3'!Q186+'14-3'!Q186+'15-3'!Q186+'16-3'!Q186+'17-3'!Q186+'18-3'!Q186+'19-3'!Q186+'21-3'!Q186+'22-3'!Q186+'24-3'!Q186+'25-3'!Q186+'28-3'!Q186+'29-3'!Q186+'30-3'!Q186+'32-3'!Q186+'35-3'!Q186+'37-3'!Q186+'47-3'!Q186+'62-3'!Q186+'64-3'!Q186+'74-3'!Q186</f>
        <v>0</v>
      </c>
      <c r="R440" s="106">
        <f>'01-3'!R186+'02-3'!R186+'03-3'!R186+'04-3'!R186+'05-3'!R186+'08-3'!R186+'09-3'!R186+'10-3'!R186+'11-3'!R186+'12-3'!R186+'13-3'!R186+'14-3'!R186+'15-3'!R186+'16-3'!R186+'17-3'!R186+'18-3'!R186+'19-3'!R186+'21-3'!R186+'22-3'!R186+'24-3'!R186+'25-3'!R186+'28-3'!R186+'29-3'!R186+'30-3'!R186+'32-3'!R186+'35-3'!R186+'37-3'!R186+'47-3'!R186+'62-3'!R186+'64-3'!R186+'74-3'!R186</f>
        <v>0</v>
      </c>
      <c r="S440" s="499"/>
      <c r="T440" s="499"/>
      <c r="U440" s="499"/>
      <c r="V440" s="499"/>
      <c r="W440" s="499"/>
    </row>
    <row r="441" spans="1:23" s="89" customFormat="1" ht="24">
      <c r="A441" s="134">
        <v>18132</v>
      </c>
      <c r="B441" s="108" t="s">
        <v>169</v>
      </c>
      <c r="C441" s="106">
        <f>'01-3'!C187+'02-3'!C187+'03-3'!C187+'04-3'!C187+'05-3'!C187+'08-3'!C187+'09-3'!C187+'10-3'!C187+'11-3'!C187+'12-3'!C187+'13-3'!C187+'14-3'!C187+'15-3'!C187+'16-3'!C187+'17-3'!C187+'18-3'!C187+'19-3'!C187+'21-3'!C187+'22-3'!C187+'24-3'!C187+'25-3'!C187+'28-3'!C187+'29-3'!C187+'30-3'!C187+'32-3'!C187+'35-3'!C187+'37-3'!C187+'47-3'!C187+'62-3'!C187+'64-3'!C187+'74-3'!C187</f>
        <v>41756</v>
      </c>
      <c r="D441" s="106">
        <f>'01-3'!D187+'02-3'!D187+'03-3'!D187+'04-3'!D187+'05-3'!D187+'08-3'!D187+'09-3'!D187+'10-3'!D187+'11-3'!D187+'12-3'!D187+'13-3'!D187+'14-3'!D187+'15-3'!D187+'16-3'!D187+'17-3'!D187+'18-3'!D187+'19-3'!D187+'21-3'!D187+'22-3'!D187+'24-3'!D187+'25-3'!D187+'28-3'!D187+'29-3'!D187+'30-3'!D187+'32-3'!D187+'35-3'!D187+'37-3'!D187+'47-3'!D187+'62-3'!D187+'64-3'!D187+'74-3'!D187</f>
        <v>0</v>
      </c>
      <c r="E441" s="106">
        <f>'01-3'!E187+'02-3'!E187+'03-3'!E187+'04-3'!E187+'05-3'!E187+'08-3'!E187+'09-3'!E187+'10-3'!E187+'11-3'!E187+'12-3'!E187+'13-3'!E187+'14-3'!E187+'15-3'!E187+'16-3'!E187+'17-3'!E187+'18-3'!E187+'19-3'!E187+'21-3'!E187+'22-3'!E187+'24-3'!E187+'25-3'!E187+'28-3'!E187+'29-3'!E187+'30-3'!E187+'32-3'!E187+'35-3'!E187+'37-3'!E187+'47-3'!E187+'62-3'!E187+'64-3'!E187+'74-3'!E187</f>
        <v>0</v>
      </c>
      <c r="F441" s="106">
        <f>'01-3'!F187+'02-3'!F187+'03-3'!F187+'04-3'!F187+'05-3'!F187+'08-3'!F187+'09-3'!F187+'10-3'!F187+'11-3'!F187+'12-3'!F187+'13-3'!F187+'14-3'!F187+'15-3'!F187+'16-3'!F187+'17-3'!F187+'18-3'!F187+'19-3'!F187+'21-3'!F187+'22-3'!F187+'24-3'!F187+'25-3'!F187+'28-3'!F187+'29-3'!F187+'30-3'!F187+'32-3'!F187+'35-3'!F187+'37-3'!F187+'47-3'!F187+'62-3'!F187+'64-3'!F187+'74-3'!F187</f>
        <v>0</v>
      </c>
      <c r="G441" s="106">
        <f>'01-3'!G187+'02-3'!G187+'03-3'!G187+'04-3'!G187+'05-3'!G187+'08-3'!G187+'09-3'!G187+'10-3'!G187+'11-3'!G187+'12-3'!G187+'13-3'!G187+'14-3'!G187+'15-3'!G187+'16-3'!G187+'17-3'!G187+'18-3'!G187+'19-3'!G187+'21-3'!G187+'22-3'!G187+'24-3'!G187+'25-3'!G187+'28-3'!G187+'29-3'!G187+'30-3'!G187+'32-3'!G187+'35-3'!G187+'37-3'!G187+'47-3'!G187+'62-3'!G187+'64-3'!G187+'74-3'!G187</f>
        <v>0</v>
      </c>
      <c r="H441" s="106">
        <f>'01-3'!H187+'02-3'!H187+'03-3'!H187+'04-3'!H187+'05-3'!H187+'08-3'!H187+'09-3'!H187+'10-3'!H187+'11-3'!H187+'12-3'!H187+'13-3'!H187+'14-3'!H187+'15-3'!H187+'16-3'!H187+'17-3'!H187+'18-3'!H187+'19-3'!H187+'21-3'!H187+'22-3'!H187+'24-3'!H187+'25-3'!H187+'28-3'!H187+'29-3'!H187+'30-3'!H187+'32-3'!H187+'35-3'!H187+'37-3'!H187+'47-3'!H187+'62-3'!H187+'64-3'!H187+'74-3'!H187</f>
        <v>0</v>
      </c>
      <c r="I441" s="106">
        <f>'01-3'!I187+'02-3'!I187+'03-3'!I187+'04-3'!I187+'05-3'!I187+'08-3'!I187+'09-3'!I187+'10-3'!I187+'11-3'!I187+'12-3'!I187+'13-3'!I187+'14-3'!I187+'15-3'!I187+'16-3'!I187+'17-3'!I187+'18-3'!I187+'19-3'!I187+'21-3'!I187+'22-3'!I187+'24-3'!I187+'25-3'!I187+'28-3'!I187+'29-3'!I187+'30-3'!I187+'32-3'!I187+'35-3'!I187+'37-3'!I187+'47-3'!I187+'62-3'!I187+'64-3'!I187+'74-3'!I187</f>
        <v>0</v>
      </c>
      <c r="J441" s="106">
        <f>'01-3'!J187+'02-3'!J187+'03-3'!J187+'04-3'!J187+'05-3'!J187+'08-3'!J187+'09-3'!J187+'10-3'!J187+'11-3'!J187+'12-3'!J187+'13-3'!J187+'14-3'!J187+'15-3'!J187+'16-3'!J187+'17-3'!J187+'18-3'!J187+'19-3'!J187+'21-3'!J187+'22-3'!J187+'24-3'!J187+'25-3'!J187+'28-3'!J187+'29-3'!J187+'30-3'!J187+'32-3'!J187+'35-3'!J187+'37-3'!J187+'47-3'!J187+'62-3'!J187+'64-3'!J187+'74-3'!J187</f>
        <v>0</v>
      </c>
      <c r="K441" s="106">
        <f>'01-3'!K187+'02-3'!K187+'03-3'!K187+'04-3'!K187+'05-3'!K187+'08-3'!K187+'09-3'!K187+'10-3'!K187+'11-3'!K187+'12-3'!K187+'13-3'!K187+'14-3'!K187+'15-3'!K187+'16-3'!K187+'17-3'!K187+'18-3'!K187+'19-3'!K187+'21-3'!K187+'22-3'!K187+'24-3'!K187+'25-3'!K187+'28-3'!K187+'29-3'!K187+'30-3'!K187+'32-3'!K187+'35-3'!K187+'37-3'!K187+'47-3'!K187+'62-3'!K187+'64-3'!K187+'74-3'!K187</f>
        <v>0</v>
      </c>
      <c r="L441" s="106">
        <f>'01-3'!L187+'02-3'!L187+'03-3'!L187+'04-3'!L187+'05-3'!L187+'08-3'!L187+'09-3'!L187+'10-3'!L187+'11-3'!L187+'12-3'!L187+'13-3'!L187+'14-3'!L187+'15-3'!L187+'16-3'!L187+'17-3'!L187+'18-3'!L187+'19-3'!L187+'21-3'!L187+'22-3'!L187+'24-3'!L187+'25-3'!L187+'28-3'!L187+'29-3'!L187+'30-3'!L187+'32-3'!L187+'35-3'!L187+'37-3'!L187+'47-3'!L187+'62-3'!L187+'64-3'!L187+'74-3'!L187</f>
        <v>0</v>
      </c>
      <c r="M441" s="106">
        <f>'01-3'!M187+'02-3'!M187+'03-3'!M187+'04-3'!M187+'05-3'!M187+'08-3'!M187+'09-3'!M187+'10-3'!M187+'11-3'!M187+'12-3'!M187+'13-3'!M187+'14-3'!M187+'15-3'!M187+'16-3'!M187+'17-3'!M187+'18-3'!M187+'19-3'!M187+'21-3'!M187+'22-3'!M187+'24-3'!M187+'25-3'!M187+'28-3'!M187+'29-3'!M187+'30-3'!M187+'32-3'!M187+'35-3'!M187+'37-3'!M187+'47-3'!M187+'62-3'!M187+'64-3'!M187+'74-3'!M187</f>
        <v>0</v>
      </c>
      <c r="N441" s="106">
        <f>'01-3'!N187+'02-3'!N187+'03-3'!N187+'04-3'!N187+'05-3'!N187+'08-3'!N187+'09-3'!N187+'10-3'!N187+'11-3'!N187+'12-3'!N187+'13-3'!N187+'14-3'!N187+'15-3'!N187+'16-3'!N187+'17-3'!N187+'18-3'!N187+'19-3'!N187+'21-3'!N187+'22-3'!N187+'24-3'!N187+'25-3'!N187+'28-3'!N187+'29-3'!N187+'30-3'!N187+'32-3'!N187+'35-3'!N187+'37-3'!N187+'47-3'!N187+'62-3'!N187+'64-3'!N187+'74-3'!N187</f>
        <v>0</v>
      </c>
      <c r="O441" s="106">
        <f>'01-3'!O187+'02-3'!O187+'03-3'!O187+'04-3'!O187+'05-3'!O187+'08-3'!O187+'09-3'!O187+'10-3'!O187+'11-3'!O187+'12-3'!O187+'13-3'!O187+'14-3'!O187+'15-3'!O187+'16-3'!O187+'17-3'!O187+'18-3'!O187+'19-3'!O187+'21-3'!O187+'22-3'!O187+'24-3'!O187+'25-3'!O187+'28-3'!O187+'29-3'!O187+'30-3'!O187+'32-3'!O187+'35-3'!O187+'37-3'!O187+'47-3'!O187+'62-3'!O187+'64-3'!O187+'74-3'!O187</f>
        <v>0</v>
      </c>
      <c r="P441" s="106">
        <f>'01-3'!P187+'02-3'!P187+'03-3'!P187+'04-3'!P187+'05-3'!P187+'08-3'!P187+'09-3'!P187+'10-3'!P187+'11-3'!P187+'12-3'!P187+'13-3'!P187+'14-3'!P187+'15-3'!P187+'16-3'!P187+'17-3'!P187+'18-3'!P187+'19-3'!P187+'21-3'!P187+'22-3'!P187+'24-3'!P187+'25-3'!P187+'28-3'!P187+'29-3'!P187+'30-3'!P187+'32-3'!P187+'35-3'!P187+'37-3'!P187+'47-3'!P187+'62-3'!P187+'64-3'!P187+'74-3'!P187</f>
        <v>0</v>
      </c>
      <c r="Q441" s="106">
        <f>'01-3'!Q187+'02-3'!Q187+'03-3'!Q187+'04-3'!Q187+'05-3'!Q187+'08-3'!Q187+'09-3'!Q187+'10-3'!Q187+'11-3'!Q187+'12-3'!Q187+'13-3'!Q187+'14-3'!Q187+'15-3'!Q187+'16-3'!Q187+'17-3'!Q187+'18-3'!Q187+'19-3'!Q187+'21-3'!Q187+'22-3'!Q187+'24-3'!Q187+'25-3'!Q187+'28-3'!Q187+'29-3'!Q187+'30-3'!Q187+'32-3'!Q187+'35-3'!Q187+'37-3'!Q187+'47-3'!Q187+'62-3'!Q187+'64-3'!Q187+'74-3'!Q187</f>
        <v>0</v>
      </c>
      <c r="R441" s="106">
        <f>'01-3'!R187+'02-3'!R187+'03-3'!R187+'04-3'!R187+'05-3'!R187+'08-3'!R187+'09-3'!R187+'10-3'!R187+'11-3'!R187+'12-3'!R187+'13-3'!R187+'14-3'!R187+'15-3'!R187+'16-3'!R187+'17-3'!R187+'18-3'!R187+'19-3'!R187+'21-3'!R187+'22-3'!R187+'24-3'!R187+'25-3'!R187+'28-3'!R187+'29-3'!R187+'30-3'!R187+'32-3'!R187+'35-3'!R187+'37-3'!R187+'47-3'!R187+'62-3'!R187+'64-3'!R187+'74-3'!R187</f>
        <v>0</v>
      </c>
      <c r="S441" s="499"/>
      <c r="T441" s="499"/>
      <c r="U441" s="499"/>
      <c r="V441" s="499"/>
      <c r="W441" s="499"/>
    </row>
    <row r="442" spans="1:23" s="89" customFormat="1" ht="24">
      <c r="A442" s="134">
        <v>18139</v>
      </c>
      <c r="B442" s="108" t="s">
        <v>179</v>
      </c>
      <c r="C442" s="106">
        <f>'01-3'!C188+'02-3'!C188+'03-3'!C188+'04-3'!C188+'05-3'!C188+'08-3'!C188+'09-3'!C188+'10-3'!C188+'11-3'!C188+'12-3'!C188+'13-3'!C188+'14-3'!C188+'15-3'!C188+'16-3'!C188+'17-3'!C188+'18-3'!C188+'19-3'!C188+'21-3'!C188+'22-3'!C188+'24-3'!C188+'25-3'!C188+'28-3'!C188+'29-3'!C188+'30-3'!C188+'32-3'!C188+'35-3'!C188+'37-3'!C188+'47-3'!C188+'62-3'!C188+'64-3'!C188+'74-3'!C188</f>
        <v>0</v>
      </c>
      <c r="D442" s="106">
        <f>'01-3'!D188+'02-3'!D188+'03-3'!D188+'04-3'!D188+'05-3'!D188+'08-3'!D188+'09-3'!D188+'10-3'!D188+'11-3'!D188+'12-3'!D188+'13-3'!D188+'14-3'!D188+'15-3'!D188+'16-3'!D188+'17-3'!D188+'18-3'!D188+'19-3'!D188+'21-3'!D188+'22-3'!D188+'24-3'!D188+'25-3'!D188+'28-3'!D188+'29-3'!D188+'30-3'!D188+'32-3'!D188+'35-3'!D188+'37-3'!D188+'47-3'!D188+'62-3'!D188+'64-3'!D188+'74-3'!D188</f>
        <v>0</v>
      </c>
      <c r="E442" s="106">
        <f>'01-3'!E188+'02-3'!E188+'03-3'!E188+'04-3'!E188+'05-3'!E188+'08-3'!E188+'09-3'!E188+'10-3'!E188+'11-3'!E188+'12-3'!E188+'13-3'!E188+'14-3'!E188+'15-3'!E188+'16-3'!E188+'17-3'!E188+'18-3'!E188+'19-3'!E188+'21-3'!E188+'22-3'!E188+'24-3'!E188+'25-3'!E188+'28-3'!E188+'29-3'!E188+'30-3'!E188+'32-3'!E188+'35-3'!E188+'37-3'!E188+'47-3'!E188+'62-3'!E188+'64-3'!E188+'74-3'!E188</f>
        <v>0</v>
      </c>
      <c r="F442" s="106">
        <f>'01-3'!F188+'02-3'!F188+'03-3'!F188+'04-3'!F188+'05-3'!F188+'08-3'!F188+'09-3'!F188+'10-3'!F188+'11-3'!F188+'12-3'!F188+'13-3'!F188+'14-3'!F188+'15-3'!F188+'16-3'!F188+'17-3'!F188+'18-3'!F188+'19-3'!F188+'21-3'!F188+'22-3'!F188+'24-3'!F188+'25-3'!F188+'28-3'!F188+'29-3'!F188+'30-3'!F188+'32-3'!F188+'35-3'!F188+'37-3'!F188+'47-3'!F188+'62-3'!F188+'64-3'!F188+'74-3'!F188</f>
        <v>0</v>
      </c>
      <c r="G442" s="106">
        <f>'01-3'!G188+'02-3'!G188+'03-3'!G188+'04-3'!G188+'05-3'!G188+'08-3'!G188+'09-3'!G188+'10-3'!G188+'11-3'!G188+'12-3'!G188+'13-3'!G188+'14-3'!G188+'15-3'!G188+'16-3'!G188+'17-3'!G188+'18-3'!G188+'19-3'!G188+'21-3'!G188+'22-3'!G188+'24-3'!G188+'25-3'!G188+'28-3'!G188+'29-3'!G188+'30-3'!G188+'32-3'!G188+'35-3'!G188+'37-3'!G188+'47-3'!G188+'62-3'!G188+'64-3'!G188+'74-3'!G188</f>
        <v>0</v>
      </c>
      <c r="H442" s="106">
        <f>'01-3'!H188+'02-3'!H188+'03-3'!H188+'04-3'!H188+'05-3'!H188+'08-3'!H188+'09-3'!H188+'10-3'!H188+'11-3'!H188+'12-3'!H188+'13-3'!H188+'14-3'!H188+'15-3'!H188+'16-3'!H188+'17-3'!H188+'18-3'!H188+'19-3'!H188+'21-3'!H188+'22-3'!H188+'24-3'!H188+'25-3'!H188+'28-3'!H188+'29-3'!H188+'30-3'!H188+'32-3'!H188+'35-3'!H188+'37-3'!H188+'47-3'!H188+'62-3'!H188+'64-3'!H188+'74-3'!H188</f>
        <v>0</v>
      </c>
      <c r="I442" s="106">
        <f>'01-3'!I188+'02-3'!I188+'03-3'!I188+'04-3'!I188+'05-3'!I188+'08-3'!I188+'09-3'!I188+'10-3'!I188+'11-3'!I188+'12-3'!I188+'13-3'!I188+'14-3'!I188+'15-3'!I188+'16-3'!I188+'17-3'!I188+'18-3'!I188+'19-3'!I188+'21-3'!I188+'22-3'!I188+'24-3'!I188+'25-3'!I188+'28-3'!I188+'29-3'!I188+'30-3'!I188+'32-3'!I188+'35-3'!I188+'37-3'!I188+'47-3'!I188+'62-3'!I188+'64-3'!I188+'74-3'!I188</f>
        <v>0</v>
      </c>
      <c r="J442" s="106">
        <f>'01-3'!J188+'02-3'!J188+'03-3'!J188+'04-3'!J188+'05-3'!J188+'08-3'!J188+'09-3'!J188+'10-3'!J188+'11-3'!J188+'12-3'!J188+'13-3'!J188+'14-3'!J188+'15-3'!J188+'16-3'!J188+'17-3'!J188+'18-3'!J188+'19-3'!J188+'21-3'!J188+'22-3'!J188+'24-3'!J188+'25-3'!J188+'28-3'!J188+'29-3'!J188+'30-3'!J188+'32-3'!J188+'35-3'!J188+'37-3'!J188+'47-3'!J188+'62-3'!J188+'64-3'!J188+'74-3'!J188</f>
        <v>0</v>
      </c>
      <c r="K442" s="106">
        <f>'01-3'!K188+'02-3'!K188+'03-3'!K188+'04-3'!K188+'05-3'!K188+'08-3'!K188+'09-3'!K188+'10-3'!K188+'11-3'!K188+'12-3'!K188+'13-3'!K188+'14-3'!K188+'15-3'!K188+'16-3'!K188+'17-3'!K188+'18-3'!K188+'19-3'!K188+'21-3'!K188+'22-3'!K188+'24-3'!K188+'25-3'!K188+'28-3'!K188+'29-3'!K188+'30-3'!K188+'32-3'!K188+'35-3'!K188+'37-3'!K188+'47-3'!K188+'62-3'!K188+'64-3'!K188+'74-3'!K188</f>
        <v>0</v>
      </c>
      <c r="L442" s="106">
        <f>'01-3'!L188+'02-3'!L188+'03-3'!L188+'04-3'!L188+'05-3'!L188+'08-3'!L188+'09-3'!L188+'10-3'!L188+'11-3'!L188+'12-3'!L188+'13-3'!L188+'14-3'!L188+'15-3'!L188+'16-3'!L188+'17-3'!L188+'18-3'!L188+'19-3'!L188+'21-3'!L188+'22-3'!L188+'24-3'!L188+'25-3'!L188+'28-3'!L188+'29-3'!L188+'30-3'!L188+'32-3'!L188+'35-3'!L188+'37-3'!L188+'47-3'!L188+'62-3'!L188+'64-3'!L188+'74-3'!L188</f>
        <v>0</v>
      </c>
      <c r="M442" s="106">
        <f>'01-3'!M188+'02-3'!M188+'03-3'!M188+'04-3'!M188+'05-3'!M188+'08-3'!M188+'09-3'!M188+'10-3'!M188+'11-3'!M188+'12-3'!M188+'13-3'!M188+'14-3'!M188+'15-3'!M188+'16-3'!M188+'17-3'!M188+'18-3'!M188+'19-3'!M188+'21-3'!M188+'22-3'!M188+'24-3'!M188+'25-3'!M188+'28-3'!M188+'29-3'!M188+'30-3'!M188+'32-3'!M188+'35-3'!M188+'37-3'!M188+'47-3'!M188+'62-3'!M188+'64-3'!M188+'74-3'!M188</f>
        <v>0</v>
      </c>
      <c r="N442" s="106">
        <f>'01-3'!N188+'02-3'!N188+'03-3'!N188+'04-3'!N188+'05-3'!N188+'08-3'!N188+'09-3'!N188+'10-3'!N188+'11-3'!N188+'12-3'!N188+'13-3'!N188+'14-3'!N188+'15-3'!N188+'16-3'!N188+'17-3'!N188+'18-3'!N188+'19-3'!N188+'21-3'!N188+'22-3'!N188+'24-3'!N188+'25-3'!N188+'28-3'!N188+'29-3'!N188+'30-3'!N188+'32-3'!N188+'35-3'!N188+'37-3'!N188+'47-3'!N188+'62-3'!N188+'64-3'!N188+'74-3'!N188</f>
        <v>0</v>
      </c>
      <c r="O442" s="106">
        <f>'01-3'!O188+'02-3'!O188+'03-3'!O188+'04-3'!O188+'05-3'!O188+'08-3'!O188+'09-3'!O188+'10-3'!O188+'11-3'!O188+'12-3'!O188+'13-3'!O188+'14-3'!O188+'15-3'!O188+'16-3'!O188+'17-3'!O188+'18-3'!O188+'19-3'!O188+'21-3'!O188+'22-3'!O188+'24-3'!O188+'25-3'!O188+'28-3'!O188+'29-3'!O188+'30-3'!O188+'32-3'!O188+'35-3'!O188+'37-3'!O188+'47-3'!O188+'62-3'!O188+'64-3'!O188+'74-3'!O188</f>
        <v>0</v>
      </c>
      <c r="P442" s="106">
        <f>'01-3'!P188+'02-3'!P188+'03-3'!P188+'04-3'!P188+'05-3'!P188+'08-3'!P188+'09-3'!P188+'10-3'!P188+'11-3'!P188+'12-3'!P188+'13-3'!P188+'14-3'!P188+'15-3'!P188+'16-3'!P188+'17-3'!P188+'18-3'!P188+'19-3'!P188+'21-3'!P188+'22-3'!P188+'24-3'!P188+'25-3'!P188+'28-3'!P188+'29-3'!P188+'30-3'!P188+'32-3'!P188+'35-3'!P188+'37-3'!P188+'47-3'!P188+'62-3'!P188+'64-3'!P188+'74-3'!P188</f>
        <v>0</v>
      </c>
      <c r="Q442" s="106">
        <f>'01-3'!Q188+'02-3'!Q188+'03-3'!Q188+'04-3'!Q188+'05-3'!Q188+'08-3'!Q188+'09-3'!Q188+'10-3'!Q188+'11-3'!Q188+'12-3'!Q188+'13-3'!Q188+'14-3'!Q188+'15-3'!Q188+'16-3'!Q188+'17-3'!Q188+'18-3'!Q188+'19-3'!Q188+'21-3'!Q188+'22-3'!Q188+'24-3'!Q188+'25-3'!Q188+'28-3'!Q188+'29-3'!Q188+'30-3'!Q188+'32-3'!Q188+'35-3'!Q188+'37-3'!Q188+'47-3'!Q188+'62-3'!Q188+'64-3'!Q188+'74-3'!Q188</f>
        <v>0</v>
      </c>
      <c r="R442" s="106">
        <f>'01-3'!R188+'02-3'!R188+'03-3'!R188+'04-3'!R188+'05-3'!R188+'08-3'!R188+'09-3'!R188+'10-3'!R188+'11-3'!R188+'12-3'!R188+'13-3'!R188+'14-3'!R188+'15-3'!R188+'16-3'!R188+'17-3'!R188+'18-3'!R188+'19-3'!R188+'21-3'!R188+'22-3'!R188+'24-3'!R188+'25-3'!R188+'28-3'!R188+'29-3'!R188+'30-3'!R188+'32-3'!R188+'35-3'!R188+'37-3'!R188+'47-3'!R188+'62-3'!R188+'64-3'!R188+'74-3'!R188</f>
        <v>0</v>
      </c>
      <c r="S442" s="499"/>
      <c r="T442" s="499"/>
      <c r="U442" s="499"/>
      <c r="V442" s="499"/>
      <c r="W442" s="499"/>
    </row>
    <row r="443" spans="1:23" s="89" customFormat="1" ht="12">
      <c r="A443" s="135" t="s">
        <v>180</v>
      </c>
      <c r="B443" s="109" t="s">
        <v>173</v>
      </c>
      <c r="C443" s="106">
        <f>'01-3'!C189+'02-3'!C189+'03-3'!C189+'04-3'!C189+'05-3'!C189+'08-3'!C189+'09-3'!C189+'10-3'!C189+'11-3'!C189+'12-3'!C189+'13-3'!C189+'14-3'!C189+'15-3'!C189+'16-3'!C189+'17-3'!C189+'18-3'!C189+'19-3'!C189+'21-3'!C189+'22-3'!C189+'24-3'!C189+'25-3'!C189+'28-3'!C189+'29-3'!C189+'30-3'!C189+'32-3'!C189+'35-3'!C189+'37-3'!C189+'47-3'!C189+'62-3'!C189+'64-3'!C189+'74-3'!C189</f>
        <v>113917</v>
      </c>
      <c r="D443" s="106">
        <f>'01-3'!D189+'02-3'!D189+'03-3'!D189+'04-3'!D189+'05-3'!D189+'08-3'!D189+'09-3'!D189+'10-3'!D189+'11-3'!D189+'12-3'!D189+'13-3'!D189+'14-3'!D189+'15-3'!D189+'16-3'!D189+'17-3'!D189+'18-3'!D189+'19-3'!D189+'21-3'!D189+'22-3'!D189+'24-3'!D189+'25-3'!D189+'28-3'!D189+'29-3'!D189+'30-3'!D189+'32-3'!D189+'35-3'!D189+'37-3'!D189+'47-3'!D189+'62-3'!D189+'64-3'!D189+'74-3'!D189</f>
        <v>342453</v>
      </c>
      <c r="E443" s="106">
        <f>'01-3'!E189+'02-3'!E189+'03-3'!E189+'04-3'!E189+'05-3'!E189+'08-3'!E189+'09-3'!E189+'10-3'!E189+'11-3'!E189+'12-3'!E189+'13-3'!E189+'14-3'!E189+'15-3'!E189+'16-3'!E189+'17-3'!E189+'18-3'!E189+'19-3'!E189+'21-3'!E189+'22-3'!E189+'24-3'!E189+'25-3'!E189+'28-3'!E189+'29-3'!E189+'30-3'!E189+'32-3'!E189+'35-3'!E189+'37-3'!E189+'47-3'!E189+'62-3'!E189+'64-3'!E189+'74-3'!E189</f>
        <v>0</v>
      </c>
      <c r="F443" s="106">
        <f>'01-3'!F189+'02-3'!F189+'03-3'!F189+'04-3'!F189+'05-3'!F189+'08-3'!F189+'09-3'!F189+'10-3'!F189+'11-3'!F189+'12-3'!F189+'13-3'!F189+'14-3'!F189+'15-3'!F189+'16-3'!F189+'17-3'!F189+'18-3'!F189+'19-3'!F189+'21-3'!F189+'22-3'!F189+'24-3'!F189+'25-3'!F189+'28-3'!F189+'29-3'!F189+'30-3'!F189+'32-3'!F189+'35-3'!F189+'37-3'!F189+'47-3'!F189+'62-3'!F189+'64-3'!F189+'74-3'!F189</f>
        <v>0</v>
      </c>
      <c r="G443" s="106">
        <f>'01-3'!G189+'02-3'!G189+'03-3'!G189+'04-3'!G189+'05-3'!G189+'08-3'!G189+'09-3'!G189+'10-3'!G189+'11-3'!G189+'12-3'!G189+'13-3'!G189+'14-3'!G189+'15-3'!G189+'16-3'!G189+'17-3'!G189+'18-3'!G189+'19-3'!G189+'21-3'!G189+'22-3'!G189+'24-3'!G189+'25-3'!G189+'28-3'!G189+'29-3'!G189+'30-3'!G189+'32-3'!G189+'35-3'!G189+'37-3'!G189+'47-3'!G189+'62-3'!G189+'64-3'!G189+'74-3'!G189</f>
        <v>0</v>
      </c>
      <c r="H443" s="106">
        <f>'01-3'!H189+'02-3'!H189+'03-3'!H189+'04-3'!H189+'05-3'!H189+'08-3'!H189+'09-3'!H189+'10-3'!H189+'11-3'!H189+'12-3'!H189+'13-3'!H189+'14-3'!H189+'15-3'!H189+'16-3'!H189+'17-3'!H189+'18-3'!H189+'19-3'!H189+'21-3'!H189+'22-3'!H189+'24-3'!H189+'25-3'!H189+'28-3'!H189+'29-3'!H189+'30-3'!H189+'32-3'!H189+'35-3'!H189+'37-3'!H189+'47-3'!H189+'62-3'!H189+'64-3'!H189+'74-3'!H189</f>
        <v>342453</v>
      </c>
      <c r="I443" s="106">
        <f>'01-3'!I189+'02-3'!I189+'03-3'!I189+'04-3'!I189+'05-3'!I189+'08-3'!I189+'09-3'!I189+'10-3'!I189+'11-3'!I189+'12-3'!I189+'13-3'!I189+'14-3'!I189+'15-3'!I189+'16-3'!I189+'17-3'!I189+'18-3'!I189+'19-3'!I189+'21-3'!I189+'22-3'!I189+'24-3'!I189+'25-3'!I189+'28-3'!I189+'29-3'!I189+'30-3'!I189+'32-3'!I189+'35-3'!I189+'37-3'!I189+'47-3'!I189+'62-3'!I189+'64-3'!I189+'74-3'!I189</f>
        <v>262933</v>
      </c>
      <c r="J443" s="106">
        <f>'01-3'!J189+'02-3'!J189+'03-3'!J189+'04-3'!J189+'05-3'!J189+'08-3'!J189+'09-3'!J189+'10-3'!J189+'11-3'!J189+'12-3'!J189+'13-3'!J189+'14-3'!J189+'15-3'!J189+'16-3'!J189+'17-3'!J189+'18-3'!J189+'19-3'!J189+'21-3'!J189+'22-3'!J189+'24-3'!J189+'25-3'!J189+'28-3'!J189+'29-3'!J189+'30-3'!J189+'32-3'!J189+'35-3'!J189+'37-3'!J189+'47-3'!J189+'62-3'!J189+'64-3'!J189+'74-3'!J189</f>
        <v>0</v>
      </c>
      <c r="K443" s="106">
        <f>'01-3'!K189+'02-3'!K189+'03-3'!K189+'04-3'!K189+'05-3'!K189+'08-3'!K189+'09-3'!K189+'10-3'!K189+'11-3'!K189+'12-3'!K189+'13-3'!K189+'14-3'!K189+'15-3'!K189+'16-3'!K189+'17-3'!K189+'18-3'!K189+'19-3'!K189+'21-3'!K189+'22-3'!K189+'24-3'!K189+'25-3'!K189+'28-3'!K189+'29-3'!K189+'30-3'!K189+'32-3'!K189+'35-3'!K189+'37-3'!K189+'47-3'!K189+'62-3'!K189+'64-3'!K189+'74-3'!K189</f>
        <v>0</v>
      </c>
      <c r="L443" s="106">
        <f>'01-3'!L189+'02-3'!L189+'03-3'!L189+'04-3'!L189+'05-3'!L189+'08-3'!L189+'09-3'!L189+'10-3'!L189+'11-3'!L189+'12-3'!L189+'13-3'!L189+'14-3'!L189+'15-3'!L189+'16-3'!L189+'17-3'!L189+'18-3'!L189+'19-3'!L189+'21-3'!L189+'22-3'!L189+'24-3'!L189+'25-3'!L189+'28-3'!L189+'29-3'!L189+'30-3'!L189+'32-3'!L189+'35-3'!L189+'37-3'!L189+'47-3'!L189+'62-3'!L189+'64-3'!L189+'74-3'!L189</f>
        <v>0</v>
      </c>
      <c r="M443" s="106">
        <f>'01-3'!M189+'02-3'!M189+'03-3'!M189+'04-3'!M189+'05-3'!M189+'08-3'!M189+'09-3'!M189+'10-3'!M189+'11-3'!M189+'12-3'!M189+'13-3'!M189+'14-3'!M189+'15-3'!M189+'16-3'!M189+'17-3'!M189+'18-3'!M189+'19-3'!M189+'21-3'!M189+'22-3'!M189+'24-3'!M189+'25-3'!M189+'28-3'!M189+'29-3'!M189+'30-3'!M189+'32-3'!M189+'35-3'!M189+'37-3'!M189+'47-3'!M189+'62-3'!M189+'64-3'!M189+'74-3'!M189</f>
        <v>262933</v>
      </c>
      <c r="N443" s="106">
        <f>'01-3'!N189+'02-3'!N189+'03-3'!N189+'04-3'!N189+'05-3'!N189+'08-3'!N189+'09-3'!N189+'10-3'!N189+'11-3'!N189+'12-3'!N189+'13-3'!N189+'14-3'!N189+'15-3'!N189+'16-3'!N189+'17-3'!N189+'18-3'!N189+'19-3'!N189+'21-3'!N189+'22-3'!N189+'24-3'!N189+'25-3'!N189+'28-3'!N189+'29-3'!N189+'30-3'!N189+'32-3'!N189+'35-3'!N189+'37-3'!N189+'47-3'!N189+'62-3'!N189+'64-3'!N189+'74-3'!N189</f>
        <v>162453</v>
      </c>
      <c r="O443" s="106">
        <f>'01-3'!O189+'02-3'!O189+'03-3'!O189+'04-3'!O189+'05-3'!O189+'08-3'!O189+'09-3'!O189+'10-3'!O189+'11-3'!O189+'12-3'!O189+'13-3'!O189+'14-3'!O189+'15-3'!O189+'16-3'!O189+'17-3'!O189+'18-3'!O189+'19-3'!O189+'21-3'!O189+'22-3'!O189+'24-3'!O189+'25-3'!O189+'28-3'!O189+'29-3'!O189+'30-3'!O189+'32-3'!O189+'35-3'!O189+'37-3'!O189+'47-3'!O189+'62-3'!O189+'64-3'!O189+'74-3'!O189</f>
        <v>0</v>
      </c>
      <c r="P443" s="106">
        <f>'01-3'!P189+'02-3'!P189+'03-3'!P189+'04-3'!P189+'05-3'!P189+'08-3'!P189+'09-3'!P189+'10-3'!P189+'11-3'!P189+'12-3'!P189+'13-3'!P189+'14-3'!P189+'15-3'!P189+'16-3'!P189+'17-3'!P189+'18-3'!P189+'19-3'!P189+'21-3'!P189+'22-3'!P189+'24-3'!P189+'25-3'!P189+'28-3'!P189+'29-3'!P189+'30-3'!P189+'32-3'!P189+'35-3'!P189+'37-3'!P189+'47-3'!P189+'62-3'!P189+'64-3'!P189+'74-3'!P189</f>
        <v>0</v>
      </c>
      <c r="Q443" s="106">
        <f>'01-3'!Q189+'02-3'!Q189+'03-3'!Q189+'04-3'!Q189+'05-3'!Q189+'08-3'!Q189+'09-3'!Q189+'10-3'!Q189+'11-3'!Q189+'12-3'!Q189+'13-3'!Q189+'14-3'!Q189+'15-3'!Q189+'16-3'!Q189+'17-3'!Q189+'18-3'!Q189+'19-3'!Q189+'21-3'!Q189+'22-3'!Q189+'24-3'!Q189+'25-3'!Q189+'28-3'!Q189+'29-3'!Q189+'30-3'!Q189+'32-3'!Q189+'35-3'!Q189+'37-3'!Q189+'47-3'!Q189+'62-3'!Q189+'64-3'!Q189+'74-3'!Q189</f>
        <v>0</v>
      </c>
      <c r="R443" s="106">
        <f>'01-3'!R189+'02-3'!R189+'03-3'!R189+'04-3'!R189+'05-3'!R189+'08-3'!R189+'09-3'!R189+'10-3'!R189+'11-3'!R189+'12-3'!R189+'13-3'!R189+'14-3'!R189+'15-3'!R189+'16-3'!R189+'17-3'!R189+'18-3'!R189+'19-3'!R189+'21-3'!R189+'22-3'!R189+'24-3'!R189+'25-3'!R189+'28-3'!R189+'29-3'!R189+'30-3'!R189+'32-3'!R189+'35-3'!R189+'37-3'!R189+'47-3'!R189+'62-3'!R189+'64-3'!R189+'74-3'!R189</f>
        <v>162453</v>
      </c>
      <c r="S443" s="499"/>
      <c r="T443" s="499"/>
      <c r="U443" s="499"/>
      <c r="V443" s="499"/>
      <c r="W443" s="499"/>
    </row>
    <row r="444" spans="1:23" s="89" customFormat="1" ht="24">
      <c r="A444" s="135">
        <v>19500</v>
      </c>
      <c r="B444" s="108" t="s">
        <v>174</v>
      </c>
      <c r="C444" s="106">
        <f>'01-3'!C190+'02-3'!C190+'03-3'!C190+'04-3'!C190+'05-3'!C190+'08-3'!C190+'09-3'!C190+'10-3'!C190+'11-3'!C190+'12-3'!C190+'13-3'!C190+'14-3'!C190+'15-3'!C190+'16-3'!C190+'17-3'!C190+'18-3'!C190+'19-3'!C190+'21-3'!C190+'22-3'!C190+'24-3'!C190+'25-3'!C190+'28-3'!C190+'29-3'!C190+'30-3'!C190+'32-3'!C190+'35-3'!C190+'37-3'!C190+'47-3'!C190+'62-3'!C190+'64-3'!C190+'74-3'!C190</f>
        <v>113917</v>
      </c>
      <c r="D444" s="106">
        <f>'01-3'!D190+'02-3'!D190+'03-3'!D190+'04-3'!D190+'05-3'!D190+'08-3'!D190+'09-3'!D190+'10-3'!D190+'11-3'!D190+'12-3'!D190+'13-3'!D190+'14-3'!D190+'15-3'!D190+'16-3'!D190+'17-3'!D190+'18-3'!D190+'19-3'!D190+'21-3'!D190+'22-3'!D190+'24-3'!D190+'25-3'!D190+'28-3'!D190+'29-3'!D190+'30-3'!D190+'32-3'!D190+'35-3'!D190+'37-3'!D190+'47-3'!D190+'62-3'!D190+'64-3'!D190+'74-3'!D190</f>
        <v>342453</v>
      </c>
      <c r="E444" s="106">
        <f>'01-3'!E190+'02-3'!E190+'03-3'!E190+'04-3'!E190+'05-3'!E190+'08-3'!E190+'09-3'!E190+'10-3'!E190+'11-3'!E190+'12-3'!E190+'13-3'!E190+'14-3'!E190+'15-3'!E190+'16-3'!E190+'17-3'!E190+'18-3'!E190+'19-3'!E190+'21-3'!E190+'22-3'!E190+'24-3'!E190+'25-3'!E190+'28-3'!E190+'29-3'!E190+'30-3'!E190+'32-3'!E190+'35-3'!E190+'37-3'!E190+'47-3'!E190+'62-3'!E190+'64-3'!E190+'74-3'!E190</f>
        <v>0</v>
      </c>
      <c r="F444" s="106">
        <f>'01-3'!F190+'02-3'!F190+'03-3'!F190+'04-3'!F190+'05-3'!F190+'08-3'!F190+'09-3'!F190+'10-3'!F190+'11-3'!F190+'12-3'!F190+'13-3'!F190+'14-3'!F190+'15-3'!F190+'16-3'!F190+'17-3'!F190+'18-3'!F190+'19-3'!F190+'21-3'!F190+'22-3'!F190+'24-3'!F190+'25-3'!F190+'28-3'!F190+'29-3'!F190+'30-3'!F190+'32-3'!F190+'35-3'!F190+'37-3'!F190+'47-3'!F190+'62-3'!F190+'64-3'!F190+'74-3'!F190</f>
        <v>0</v>
      </c>
      <c r="G444" s="106">
        <f>'01-3'!G190+'02-3'!G190+'03-3'!G190+'04-3'!G190+'05-3'!G190+'08-3'!G190+'09-3'!G190+'10-3'!G190+'11-3'!G190+'12-3'!G190+'13-3'!G190+'14-3'!G190+'15-3'!G190+'16-3'!G190+'17-3'!G190+'18-3'!G190+'19-3'!G190+'21-3'!G190+'22-3'!G190+'24-3'!G190+'25-3'!G190+'28-3'!G190+'29-3'!G190+'30-3'!G190+'32-3'!G190+'35-3'!G190+'37-3'!G190+'47-3'!G190+'62-3'!G190+'64-3'!G190+'74-3'!G190</f>
        <v>0</v>
      </c>
      <c r="H444" s="106">
        <f>'01-3'!H190+'02-3'!H190+'03-3'!H190+'04-3'!H190+'05-3'!H190+'08-3'!H190+'09-3'!H190+'10-3'!H190+'11-3'!H190+'12-3'!H190+'13-3'!H190+'14-3'!H190+'15-3'!H190+'16-3'!H190+'17-3'!H190+'18-3'!H190+'19-3'!H190+'21-3'!H190+'22-3'!H190+'24-3'!H190+'25-3'!H190+'28-3'!H190+'29-3'!H190+'30-3'!H190+'32-3'!H190+'35-3'!H190+'37-3'!H190+'47-3'!H190+'62-3'!H190+'64-3'!H190+'74-3'!H190</f>
        <v>342453</v>
      </c>
      <c r="I444" s="106">
        <f>'01-3'!I190+'02-3'!I190+'03-3'!I190+'04-3'!I190+'05-3'!I190+'08-3'!I190+'09-3'!I190+'10-3'!I190+'11-3'!I190+'12-3'!I190+'13-3'!I190+'14-3'!I190+'15-3'!I190+'16-3'!I190+'17-3'!I190+'18-3'!I190+'19-3'!I190+'21-3'!I190+'22-3'!I190+'24-3'!I190+'25-3'!I190+'28-3'!I190+'29-3'!I190+'30-3'!I190+'32-3'!I190+'35-3'!I190+'37-3'!I190+'47-3'!I190+'62-3'!I190+'64-3'!I190+'74-3'!I190</f>
        <v>262933</v>
      </c>
      <c r="J444" s="106">
        <f>'01-3'!J190+'02-3'!J190+'03-3'!J190+'04-3'!J190+'05-3'!J190+'08-3'!J190+'09-3'!J190+'10-3'!J190+'11-3'!J190+'12-3'!J190+'13-3'!J190+'14-3'!J190+'15-3'!J190+'16-3'!J190+'17-3'!J190+'18-3'!J190+'19-3'!J190+'21-3'!J190+'22-3'!J190+'24-3'!J190+'25-3'!J190+'28-3'!J190+'29-3'!J190+'30-3'!J190+'32-3'!J190+'35-3'!J190+'37-3'!J190+'47-3'!J190+'62-3'!J190+'64-3'!J190+'74-3'!J190</f>
        <v>0</v>
      </c>
      <c r="K444" s="106">
        <f>'01-3'!K190+'02-3'!K190+'03-3'!K190+'04-3'!K190+'05-3'!K190+'08-3'!K190+'09-3'!K190+'10-3'!K190+'11-3'!K190+'12-3'!K190+'13-3'!K190+'14-3'!K190+'15-3'!K190+'16-3'!K190+'17-3'!K190+'18-3'!K190+'19-3'!K190+'21-3'!K190+'22-3'!K190+'24-3'!K190+'25-3'!K190+'28-3'!K190+'29-3'!K190+'30-3'!K190+'32-3'!K190+'35-3'!K190+'37-3'!K190+'47-3'!K190+'62-3'!K190+'64-3'!K190+'74-3'!K190</f>
        <v>0</v>
      </c>
      <c r="L444" s="106">
        <f>'01-3'!L190+'02-3'!L190+'03-3'!L190+'04-3'!L190+'05-3'!L190+'08-3'!L190+'09-3'!L190+'10-3'!L190+'11-3'!L190+'12-3'!L190+'13-3'!L190+'14-3'!L190+'15-3'!L190+'16-3'!L190+'17-3'!L190+'18-3'!L190+'19-3'!L190+'21-3'!L190+'22-3'!L190+'24-3'!L190+'25-3'!L190+'28-3'!L190+'29-3'!L190+'30-3'!L190+'32-3'!L190+'35-3'!L190+'37-3'!L190+'47-3'!L190+'62-3'!L190+'64-3'!L190+'74-3'!L190</f>
        <v>0</v>
      </c>
      <c r="M444" s="106">
        <f>'01-3'!M190+'02-3'!M190+'03-3'!M190+'04-3'!M190+'05-3'!M190+'08-3'!M190+'09-3'!M190+'10-3'!M190+'11-3'!M190+'12-3'!M190+'13-3'!M190+'14-3'!M190+'15-3'!M190+'16-3'!M190+'17-3'!M190+'18-3'!M190+'19-3'!M190+'21-3'!M190+'22-3'!M190+'24-3'!M190+'25-3'!M190+'28-3'!M190+'29-3'!M190+'30-3'!M190+'32-3'!M190+'35-3'!M190+'37-3'!M190+'47-3'!M190+'62-3'!M190+'64-3'!M190+'74-3'!M190</f>
        <v>262933</v>
      </c>
      <c r="N444" s="106">
        <f>'01-3'!N190+'02-3'!N190+'03-3'!N190+'04-3'!N190+'05-3'!N190+'08-3'!N190+'09-3'!N190+'10-3'!N190+'11-3'!N190+'12-3'!N190+'13-3'!N190+'14-3'!N190+'15-3'!N190+'16-3'!N190+'17-3'!N190+'18-3'!N190+'19-3'!N190+'21-3'!N190+'22-3'!N190+'24-3'!N190+'25-3'!N190+'28-3'!N190+'29-3'!N190+'30-3'!N190+'32-3'!N190+'35-3'!N190+'37-3'!N190+'47-3'!N190+'62-3'!N190+'64-3'!N190+'74-3'!N190</f>
        <v>162453</v>
      </c>
      <c r="O444" s="106">
        <f>'01-3'!O190+'02-3'!O190+'03-3'!O190+'04-3'!O190+'05-3'!O190+'08-3'!O190+'09-3'!O190+'10-3'!O190+'11-3'!O190+'12-3'!O190+'13-3'!O190+'14-3'!O190+'15-3'!O190+'16-3'!O190+'17-3'!O190+'18-3'!O190+'19-3'!O190+'21-3'!O190+'22-3'!O190+'24-3'!O190+'25-3'!O190+'28-3'!O190+'29-3'!O190+'30-3'!O190+'32-3'!O190+'35-3'!O190+'37-3'!O190+'47-3'!O190+'62-3'!O190+'64-3'!O190+'74-3'!O190</f>
        <v>0</v>
      </c>
      <c r="P444" s="106">
        <f>'01-3'!P190+'02-3'!P190+'03-3'!P190+'04-3'!P190+'05-3'!P190+'08-3'!P190+'09-3'!P190+'10-3'!P190+'11-3'!P190+'12-3'!P190+'13-3'!P190+'14-3'!P190+'15-3'!P190+'16-3'!P190+'17-3'!P190+'18-3'!P190+'19-3'!P190+'21-3'!P190+'22-3'!P190+'24-3'!P190+'25-3'!P190+'28-3'!P190+'29-3'!P190+'30-3'!P190+'32-3'!P190+'35-3'!P190+'37-3'!P190+'47-3'!P190+'62-3'!P190+'64-3'!P190+'74-3'!P190</f>
        <v>0</v>
      </c>
      <c r="Q444" s="106">
        <f>'01-3'!Q190+'02-3'!Q190+'03-3'!Q190+'04-3'!Q190+'05-3'!Q190+'08-3'!Q190+'09-3'!Q190+'10-3'!Q190+'11-3'!Q190+'12-3'!Q190+'13-3'!Q190+'14-3'!Q190+'15-3'!Q190+'16-3'!Q190+'17-3'!Q190+'18-3'!Q190+'19-3'!Q190+'21-3'!Q190+'22-3'!Q190+'24-3'!Q190+'25-3'!Q190+'28-3'!Q190+'29-3'!Q190+'30-3'!Q190+'32-3'!Q190+'35-3'!Q190+'37-3'!Q190+'47-3'!Q190+'62-3'!Q190+'64-3'!Q190+'74-3'!Q190</f>
        <v>0</v>
      </c>
      <c r="R444" s="106">
        <f>'01-3'!R190+'02-3'!R190+'03-3'!R190+'04-3'!R190+'05-3'!R190+'08-3'!R190+'09-3'!R190+'10-3'!R190+'11-3'!R190+'12-3'!R190+'13-3'!R190+'14-3'!R190+'15-3'!R190+'16-3'!R190+'17-3'!R190+'18-3'!R190+'19-3'!R190+'21-3'!R190+'22-3'!R190+'24-3'!R190+'25-3'!R190+'28-3'!R190+'29-3'!R190+'30-3'!R190+'32-3'!R190+'35-3'!R190+'37-3'!R190+'47-3'!R190+'62-3'!R190+'64-3'!R190+'74-3'!R190</f>
        <v>162453</v>
      </c>
      <c r="S444" s="499"/>
      <c r="T444" s="499"/>
      <c r="U444" s="499"/>
      <c r="V444" s="499"/>
      <c r="W444" s="499"/>
    </row>
    <row r="445" spans="1:23" s="89" customFormat="1" ht="24">
      <c r="A445" s="136">
        <v>19550</v>
      </c>
      <c r="B445" s="108" t="s">
        <v>175</v>
      </c>
      <c r="C445" s="106">
        <f>'01-3'!C191+'02-3'!C191+'03-3'!C191+'04-3'!C191+'05-3'!C191+'08-3'!C191+'09-3'!C191+'10-3'!C191+'11-3'!C191+'12-3'!C191+'13-3'!C191+'14-3'!C191+'15-3'!C191+'16-3'!C191+'17-3'!C191+'18-3'!C191+'19-3'!C191+'21-3'!C191+'22-3'!C191+'24-3'!C191+'25-3'!C191+'28-3'!C191+'29-3'!C191+'30-3'!C191+'32-3'!C191+'35-3'!C191+'37-3'!C191+'47-3'!C191+'62-3'!C191+'64-3'!C191+'74-3'!C191</f>
        <v>113917</v>
      </c>
      <c r="D445" s="106">
        <f>'01-3'!D191+'02-3'!D191+'03-3'!D191+'04-3'!D191+'05-3'!D191+'08-3'!D191+'09-3'!D191+'10-3'!D191+'11-3'!D191+'12-3'!D191+'13-3'!D191+'14-3'!D191+'15-3'!D191+'16-3'!D191+'17-3'!D191+'18-3'!D191+'19-3'!D191+'21-3'!D191+'22-3'!D191+'24-3'!D191+'25-3'!D191+'28-3'!D191+'29-3'!D191+'30-3'!D191+'32-3'!D191+'35-3'!D191+'37-3'!D191+'47-3'!D191+'62-3'!D191+'64-3'!D191+'74-3'!D191</f>
        <v>342453</v>
      </c>
      <c r="E445" s="106">
        <f>'01-3'!E191+'02-3'!E191+'03-3'!E191+'04-3'!E191+'05-3'!E191+'08-3'!E191+'09-3'!E191+'10-3'!E191+'11-3'!E191+'12-3'!E191+'13-3'!E191+'14-3'!E191+'15-3'!E191+'16-3'!E191+'17-3'!E191+'18-3'!E191+'19-3'!E191+'21-3'!E191+'22-3'!E191+'24-3'!E191+'25-3'!E191+'28-3'!E191+'29-3'!E191+'30-3'!E191+'32-3'!E191+'35-3'!E191+'37-3'!E191+'47-3'!E191+'62-3'!E191+'64-3'!E191+'74-3'!E191</f>
        <v>0</v>
      </c>
      <c r="F445" s="106">
        <f>'01-3'!F191+'02-3'!F191+'03-3'!F191+'04-3'!F191+'05-3'!F191+'08-3'!F191+'09-3'!F191+'10-3'!F191+'11-3'!F191+'12-3'!F191+'13-3'!F191+'14-3'!F191+'15-3'!F191+'16-3'!F191+'17-3'!F191+'18-3'!F191+'19-3'!F191+'21-3'!F191+'22-3'!F191+'24-3'!F191+'25-3'!F191+'28-3'!F191+'29-3'!F191+'30-3'!F191+'32-3'!F191+'35-3'!F191+'37-3'!F191+'47-3'!F191+'62-3'!F191+'64-3'!F191+'74-3'!F191</f>
        <v>0</v>
      </c>
      <c r="G445" s="106">
        <f>'01-3'!G191+'02-3'!G191+'03-3'!G191+'04-3'!G191+'05-3'!G191+'08-3'!G191+'09-3'!G191+'10-3'!G191+'11-3'!G191+'12-3'!G191+'13-3'!G191+'14-3'!G191+'15-3'!G191+'16-3'!G191+'17-3'!G191+'18-3'!G191+'19-3'!G191+'21-3'!G191+'22-3'!G191+'24-3'!G191+'25-3'!G191+'28-3'!G191+'29-3'!G191+'30-3'!G191+'32-3'!G191+'35-3'!G191+'37-3'!G191+'47-3'!G191+'62-3'!G191+'64-3'!G191+'74-3'!G191</f>
        <v>0</v>
      </c>
      <c r="H445" s="106">
        <f>'01-3'!H191+'02-3'!H191+'03-3'!H191+'04-3'!H191+'05-3'!H191+'08-3'!H191+'09-3'!H191+'10-3'!H191+'11-3'!H191+'12-3'!H191+'13-3'!H191+'14-3'!H191+'15-3'!H191+'16-3'!H191+'17-3'!H191+'18-3'!H191+'19-3'!H191+'21-3'!H191+'22-3'!H191+'24-3'!H191+'25-3'!H191+'28-3'!H191+'29-3'!H191+'30-3'!H191+'32-3'!H191+'35-3'!H191+'37-3'!H191+'47-3'!H191+'62-3'!H191+'64-3'!H191+'74-3'!H191</f>
        <v>342453</v>
      </c>
      <c r="I445" s="106">
        <f>'01-3'!I191+'02-3'!I191+'03-3'!I191+'04-3'!I191+'05-3'!I191+'08-3'!I191+'09-3'!I191+'10-3'!I191+'11-3'!I191+'12-3'!I191+'13-3'!I191+'14-3'!I191+'15-3'!I191+'16-3'!I191+'17-3'!I191+'18-3'!I191+'19-3'!I191+'21-3'!I191+'22-3'!I191+'24-3'!I191+'25-3'!I191+'28-3'!I191+'29-3'!I191+'30-3'!I191+'32-3'!I191+'35-3'!I191+'37-3'!I191+'47-3'!I191+'62-3'!I191+'64-3'!I191+'74-3'!I191</f>
        <v>262933</v>
      </c>
      <c r="J445" s="106">
        <f>'01-3'!J191+'02-3'!J191+'03-3'!J191+'04-3'!J191+'05-3'!J191+'08-3'!J191+'09-3'!J191+'10-3'!J191+'11-3'!J191+'12-3'!J191+'13-3'!J191+'14-3'!J191+'15-3'!J191+'16-3'!J191+'17-3'!J191+'18-3'!J191+'19-3'!J191+'21-3'!J191+'22-3'!J191+'24-3'!J191+'25-3'!J191+'28-3'!J191+'29-3'!J191+'30-3'!J191+'32-3'!J191+'35-3'!J191+'37-3'!J191+'47-3'!J191+'62-3'!J191+'64-3'!J191+'74-3'!J191</f>
        <v>0</v>
      </c>
      <c r="K445" s="106">
        <f>'01-3'!K191+'02-3'!K191+'03-3'!K191+'04-3'!K191+'05-3'!K191+'08-3'!K191+'09-3'!K191+'10-3'!K191+'11-3'!K191+'12-3'!K191+'13-3'!K191+'14-3'!K191+'15-3'!K191+'16-3'!K191+'17-3'!K191+'18-3'!K191+'19-3'!K191+'21-3'!K191+'22-3'!K191+'24-3'!K191+'25-3'!K191+'28-3'!K191+'29-3'!K191+'30-3'!K191+'32-3'!K191+'35-3'!K191+'37-3'!K191+'47-3'!K191+'62-3'!K191+'64-3'!K191+'74-3'!K191</f>
        <v>0</v>
      </c>
      <c r="L445" s="106">
        <f>'01-3'!L191+'02-3'!L191+'03-3'!L191+'04-3'!L191+'05-3'!L191+'08-3'!L191+'09-3'!L191+'10-3'!L191+'11-3'!L191+'12-3'!L191+'13-3'!L191+'14-3'!L191+'15-3'!L191+'16-3'!L191+'17-3'!L191+'18-3'!L191+'19-3'!L191+'21-3'!L191+'22-3'!L191+'24-3'!L191+'25-3'!L191+'28-3'!L191+'29-3'!L191+'30-3'!L191+'32-3'!L191+'35-3'!L191+'37-3'!L191+'47-3'!L191+'62-3'!L191+'64-3'!L191+'74-3'!L191</f>
        <v>0</v>
      </c>
      <c r="M445" s="106">
        <f>'01-3'!M191+'02-3'!M191+'03-3'!M191+'04-3'!M191+'05-3'!M191+'08-3'!M191+'09-3'!M191+'10-3'!M191+'11-3'!M191+'12-3'!M191+'13-3'!M191+'14-3'!M191+'15-3'!M191+'16-3'!M191+'17-3'!M191+'18-3'!M191+'19-3'!M191+'21-3'!M191+'22-3'!M191+'24-3'!M191+'25-3'!M191+'28-3'!M191+'29-3'!M191+'30-3'!M191+'32-3'!M191+'35-3'!M191+'37-3'!M191+'47-3'!M191+'62-3'!M191+'64-3'!M191+'74-3'!M191</f>
        <v>262933</v>
      </c>
      <c r="N445" s="106">
        <f>'01-3'!N191+'02-3'!N191+'03-3'!N191+'04-3'!N191+'05-3'!N191+'08-3'!N191+'09-3'!N191+'10-3'!N191+'11-3'!N191+'12-3'!N191+'13-3'!N191+'14-3'!N191+'15-3'!N191+'16-3'!N191+'17-3'!N191+'18-3'!N191+'19-3'!N191+'21-3'!N191+'22-3'!N191+'24-3'!N191+'25-3'!N191+'28-3'!N191+'29-3'!N191+'30-3'!N191+'32-3'!N191+'35-3'!N191+'37-3'!N191+'47-3'!N191+'62-3'!N191+'64-3'!N191+'74-3'!N191</f>
        <v>162453</v>
      </c>
      <c r="O445" s="106">
        <f>'01-3'!O191+'02-3'!O191+'03-3'!O191+'04-3'!O191+'05-3'!O191+'08-3'!O191+'09-3'!O191+'10-3'!O191+'11-3'!O191+'12-3'!O191+'13-3'!O191+'14-3'!O191+'15-3'!O191+'16-3'!O191+'17-3'!O191+'18-3'!O191+'19-3'!O191+'21-3'!O191+'22-3'!O191+'24-3'!O191+'25-3'!O191+'28-3'!O191+'29-3'!O191+'30-3'!O191+'32-3'!O191+'35-3'!O191+'37-3'!O191+'47-3'!O191+'62-3'!O191+'64-3'!O191+'74-3'!O191</f>
        <v>0</v>
      </c>
      <c r="P445" s="106">
        <f>'01-3'!P191+'02-3'!P191+'03-3'!P191+'04-3'!P191+'05-3'!P191+'08-3'!P191+'09-3'!P191+'10-3'!P191+'11-3'!P191+'12-3'!P191+'13-3'!P191+'14-3'!P191+'15-3'!P191+'16-3'!P191+'17-3'!P191+'18-3'!P191+'19-3'!P191+'21-3'!P191+'22-3'!P191+'24-3'!P191+'25-3'!P191+'28-3'!P191+'29-3'!P191+'30-3'!P191+'32-3'!P191+'35-3'!P191+'37-3'!P191+'47-3'!P191+'62-3'!P191+'64-3'!P191+'74-3'!P191</f>
        <v>0</v>
      </c>
      <c r="Q445" s="106">
        <f>'01-3'!Q191+'02-3'!Q191+'03-3'!Q191+'04-3'!Q191+'05-3'!Q191+'08-3'!Q191+'09-3'!Q191+'10-3'!Q191+'11-3'!Q191+'12-3'!Q191+'13-3'!Q191+'14-3'!Q191+'15-3'!Q191+'16-3'!Q191+'17-3'!Q191+'18-3'!Q191+'19-3'!Q191+'21-3'!Q191+'22-3'!Q191+'24-3'!Q191+'25-3'!Q191+'28-3'!Q191+'29-3'!Q191+'30-3'!Q191+'32-3'!Q191+'35-3'!Q191+'37-3'!Q191+'47-3'!Q191+'62-3'!Q191+'64-3'!Q191+'74-3'!Q191</f>
        <v>0</v>
      </c>
      <c r="R445" s="106">
        <f>'01-3'!R191+'02-3'!R191+'03-3'!R191+'04-3'!R191+'05-3'!R191+'08-3'!R191+'09-3'!R191+'10-3'!R191+'11-3'!R191+'12-3'!R191+'13-3'!R191+'14-3'!R191+'15-3'!R191+'16-3'!R191+'17-3'!R191+'18-3'!R191+'19-3'!R191+'21-3'!R191+'22-3'!R191+'24-3'!R191+'25-3'!R191+'28-3'!R191+'29-3'!R191+'30-3'!R191+'32-3'!R191+'35-3'!R191+'37-3'!R191+'47-3'!R191+'62-3'!R191+'64-3'!R191+'74-3'!R191</f>
        <v>162453</v>
      </c>
      <c r="S445" s="499"/>
      <c r="T445" s="499"/>
      <c r="U445" s="499"/>
      <c r="V445" s="499"/>
      <c r="W445" s="499"/>
    </row>
    <row r="446" spans="1:23" s="89" customFormat="1" ht="36" hidden="1">
      <c r="A446" s="136">
        <v>19560</v>
      </c>
      <c r="B446" s="108" t="s">
        <v>181</v>
      </c>
      <c r="C446" s="106">
        <f>'01-3'!C192+'02-3'!C192+'03-3'!C192+'04-3'!C192+'05-3'!C192+'08-3'!C192+'09-3'!C192+'10-3'!C192+'11-3'!C192+'12-3'!C192+'13-3'!C192+'14-3'!C192+'15-3'!C192+'16-3'!C192+'17-3'!C192+'18-3'!C192+'19-3'!C192+'21-3'!C192+'22-3'!C192+'24-3'!C192+'25-3'!C192+'28-3'!C192+'29-3'!C192+'30-3'!C192+'32-3'!C192+'35-3'!C192+'37-3'!C192+'47-3'!C192+'62-3'!C192+'64-3'!C192+'74-3'!C192</f>
        <v>0</v>
      </c>
      <c r="D446" s="106">
        <f>'01-3'!D192+'02-3'!D192+'03-3'!D192+'04-3'!D192+'05-3'!D192+'08-3'!D192+'09-3'!D192+'10-3'!D192+'11-3'!D192+'12-3'!D192+'13-3'!D192+'14-3'!D192+'15-3'!D192+'16-3'!D192+'17-3'!D192+'18-3'!D192+'19-3'!D192+'21-3'!D192+'22-3'!D192+'24-3'!D192+'25-3'!D192+'28-3'!D192+'29-3'!D192+'30-3'!D192+'32-3'!D192+'35-3'!D192+'37-3'!D192+'47-3'!D192+'62-3'!D192+'64-3'!D192+'74-3'!D192</f>
        <v>0</v>
      </c>
      <c r="E446" s="106">
        <f>'01-3'!E192+'02-3'!E192+'03-3'!E192+'04-3'!E192+'05-3'!E192+'08-3'!E192+'09-3'!E192+'10-3'!E192+'11-3'!E192+'12-3'!E192+'13-3'!E192+'14-3'!E192+'15-3'!E192+'16-3'!E192+'17-3'!E192+'18-3'!E192+'19-3'!E192+'21-3'!E192+'22-3'!E192+'24-3'!E192+'25-3'!E192+'28-3'!E192+'29-3'!E192+'30-3'!E192+'32-3'!E192+'35-3'!E192+'37-3'!E192+'47-3'!E192+'62-3'!E192+'64-3'!E192+'74-3'!E192</f>
        <v>0</v>
      </c>
      <c r="F446" s="106">
        <f>'01-3'!F192+'02-3'!F192+'03-3'!F192+'04-3'!F192+'05-3'!F192+'08-3'!F192+'09-3'!F192+'10-3'!F192+'11-3'!F192+'12-3'!F192+'13-3'!F192+'14-3'!F192+'15-3'!F192+'16-3'!F192+'17-3'!F192+'18-3'!F192+'19-3'!F192+'21-3'!F192+'22-3'!F192+'24-3'!F192+'25-3'!F192+'28-3'!F192+'29-3'!F192+'30-3'!F192+'32-3'!F192+'35-3'!F192+'37-3'!F192+'47-3'!F192+'62-3'!F192+'64-3'!F192+'74-3'!F192</f>
        <v>0</v>
      </c>
      <c r="G446" s="106">
        <f>'01-3'!G192+'02-3'!G192+'03-3'!G192+'04-3'!G192+'05-3'!G192+'08-3'!G192+'09-3'!G192+'10-3'!G192+'11-3'!G192+'12-3'!G192+'13-3'!G192+'14-3'!G192+'15-3'!G192+'16-3'!G192+'17-3'!G192+'18-3'!G192+'19-3'!G192+'21-3'!G192+'22-3'!G192+'24-3'!G192+'25-3'!G192+'28-3'!G192+'29-3'!G192+'30-3'!G192+'32-3'!G192+'35-3'!G192+'37-3'!G192+'47-3'!G192+'62-3'!G192+'64-3'!G192+'74-3'!G192</f>
        <v>0</v>
      </c>
      <c r="H446" s="106">
        <f>'01-3'!H192+'02-3'!H192+'03-3'!H192+'04-3'!H192+'05-3'!H192+'08-3'!H192+'09-3'!H192+'10-3'!H192+'11-3'!H192+'12-3'!H192+'13-3'!H192+'14-3'!H192+'15-3'!H192+'16-3'!H192+'17-3'!H192+'18-3'!H192+'19-3'!H192+'21-3'!H192+'22-3'!H192+'24-3'!H192+'25-3'!H192+'28-3'!H192+'29-3'!H192+'30-3'!H192+'32-3'!H192+'35-3'!H192+'37-3'!H192+'47-3'!H192+'62-3'!H192+'64-3'!H192+'74-3'!H192</f>
        <v>0</v>
      </c>
      <c r="I446" s="106">
        <f>'01-3'!I192+'02-3'!I192+'03-3'!I192+'04-3'!I192+'05-3'!I192+'08-3'!I192+'09-3'!I192+'10-3'!I192+'11-3'!I192+'12-3'!I192+'13-3'!I192+'14-3'!I192+'15-3'!I192+'16-3'!I192+'17-3'!I192+'18-3'!I192+'19-3'!I192+'21-3'!I192+'22-3'!I192+'24-3'!I192+'25-3'!I192+'28-3'!I192+'29-3'!I192+'30-3'!I192+'32-3'!I192+'35-3'!I192+'37-3'!I192+'47-3'!I192+'62-3'!I192+'64-3'!I192+'74-3'!I192</f>
        <v>0</v>
      </c>
      <c r="J446" s="106">
        <f>'01-3'!J192+'02-3'!J192+'03-3'!J192+'04-3'!J192+'05-3'!J192+'08-3'!J192+'09-3'!J192+'10-3'!J192+'11-3'!J192+'12-3'!J192+'13-3'!J192+'14-3'!J192+'15-3'!J192+'16-3'!J192+'17-3'!J192+'18-3'!J192+'19-3'!J192+'21-3'!J192+'22-3'!J192+'24-3'!J192+'25-3'!J192+'28-3'!J192+'29-3'!J192+'30-3'!J192+'32-3'!J192+'35-3'!J192+'37-3'!J192+'47-3'!J192+'62-3'!J192+'64-3'!J192+'74-3'!J192</f>
        <v>0</v>
      </c>
      <c r="K446" s="106">
        <f>'01-3'!K192+'02-3'!K192+'03-3'!K192+'04-3'!K192+'05-3'!K192+'08-3'!K192+'09-3'!K192+'10-3'!K192+'11-3'!K192+'12-3'!K192+'13-3'!K192+'14-3'!K192+'15-3'!K192+'16-3'!K192+'17-3'!K192+'18-3'!K192+'19-3'!K192+'21-3'!K192+'22-3'!K192+'24-3'!K192+'25-3'!K192+'28-3'!K192+'29-3'!K192+'30-3'!K192+'32-3'!K192+'35-3'!K192+'37-3'!K192+'47-3'!K192+'62-3'!K192+'64-3'!K192+'74-3'!K192</f>
        <v>0</v>
      </c>
      <c r="L446" s="106">
        <f>'01-3'!L192+'02-3'!L192+'03-3'!L192+'04-3'!L192+'05-3'!L192+'08-3'!L192+'09-3'!L192+'10-3'!L192+'11-3'!L192+'12-3'!L192+'13-3'!L192+'14-3'!L192+'15-3'!L192+'16-3'!L192+'17-3'!L192+'18-3'!L192+'19-3'!L192+'21-3'!L192+'22-3'!L192+'24-3'!L192+'25-3'!L192+'28-3'!L192+'29-3'!L192+'30-3'!L192+'32-3'!L192+'35-3'!L192+'37-3'!L192+'47-3'!L192+'62-3'!L192+'64-3'!L192+'74-3'!L192</f>
        <v>0</v>
      </c>
      <c r="M446" s="106">
        <f>'01-3'!M192+'02-3'!M192+'03-3'!M192+'04-3'!M192+'05-3'!M192+'08-3'!M192+'09-3'!M192+'10-3'!M192+'11-3'!M192+'12-3'!M192+'13-3'!M192+'14-3'!M192+'15-3'!M192+'16-3'!M192+'17-3'!M192+'18-3'!M192+'19-3'!M192+'21-3'!M192+'22-3'!M192+'24-3'!M192+'25-3'!M192+'28-3'!M192+'29-3'!M192+'30-3'!M192+'32-3'!M192+'35-3'!M192+'37-3'!M192+'47-3'!M192+'62-3'!M192+'64-3'!M192+'74-3'!M192</f>
        <v>0</v>
      </c>
      <c r="N446" s="106">
        <f>'01-3'!N192+'02-3'!N192+'03-3'!N192+'04-3'!N192+'05-3'!N192+'08-3'!N192+'09-3'!N192+'10-3'!N192+'11-3'!N192+'12-3'!N192+'13-3'!N192+'14-3'!N192+'15-3'!N192+'16-3'!N192+'17-3'!N192+'18-3'!N192+'19-3'!N192+'21-3'!N192+'22-3'!N192+'24-3'!N192+'25-3'!N192+'28-3'!N192+'29-3'!N192+'30-3'!N192+'32-3'!N192+'35-3'!N192+'37-3'!N192+'47-3'!N192+'62-3'!N192+'64-3'!N192+'74-3'!N192</f>
        <v>0</v>
      </c>
      <c r="O446" s="106">
        <f>'01-3'!O192+'02-3'!O192+'03-3'!O192+'04-3'!O192+'05-3'!O192+'08-3'!O192+'09-3'!O192+'10-3'!O192+'11-3'!O192+'12-3'!O192+'13-3'!O192+'14-3'!O192+'15-3'!O192+'16-3'!O192+'17-3'!O192+'18-3'!O192+'19-3'!O192+'21-3'!O192+'22-3'!O192+'24-3'!O192+'25-3'!O192+'28-3'!O192+'29-3'!O192+'30-3'!O192+'32-3'!O192+'35-3'!O192+'37-3'!O192+'47-3'!O192+'62-3'!O192+'64-3'!O192+'74-3'!O192</f>
        <v>0</v>
      </c>
      <c r="P446" s="106">
        <f>'01-3'!P192+'02-3'!P192+'03-3'!P192+'04-3'!P192+'05-3'!P192+'08-3'!P192+'09-3'!P192+'10-3'!P192+'11-3'!P192+'12-3'!P192+'13-3'!P192+'14-3'!P192+'15-3'!P192+'16-3'!P192+'17-3'!P192+'18-3'!P192+'19-3'!P192+'21-3'!P192+'22-3'!P192+'24-3'!P192+'25-3'!P192+'28-3'!P192+'29-3'!P192+'30-3'!P192+'32-3'!P192+'35-3'!P192+'37-3'!P192+'47-3'!P192+'62-3'!P192+'64-3'!P192+'74-3'!P192</f>
        <v>0</v>
      </c>
      <c r="Q446" s="106">
        <f>'01-3'!Q192+'02-3'!Q192+'03-3'!Q192+'04-3'!Q192+'05-3'!Q192+'08-3'!Q192+'09-3'!Q192+'10-3'!Q192+'11-3'!Q192+'12-3'!Q192+'13-3'!Q192+'14-3'!Q192+'15-3'!Q192+'16-3'!Q192+'17-3'!Q192+'18-3'!Q192+'19-3'!Q192+'21-3'!Q192+'22-3'!Q192+'24-3'!Q192+'25-3'!Q192+'28-3'!Q192+'29-3'!Q192+'30-3'!Q192+'32-3'!Q192+'35-3'!Q192+'37-3'!Q192+'47-3'!Q192+'62-3'!Q192+'64-3'!Q192+'74-3'!Q192</f>
        <v>0</v>
      </c>
      <c r="R446" s="106">
        <f>'01-3'!R192+'02-3'!R192+'03-3'!R192+'04-3'!R192+'05-3'!R192+'08-3'!R192+'09-3'!R192+'10-3'!R192+'11-3'!R192+'12-3'!R192+'13-3'!R192+'14-3'!R192+'15-3'!R192+'16-3'!R192+'17-3'!R192+'18-3'!R192+'19-3'!R192+'21-3'!R192+'22-3'!R192+'24-3'!R192+'25-3'!R192+'28-3'!R192+'29-3'!R192+'30-3'!R192+'32-3'!R192+'35-3'!R192+'37-3'!R192+'47-3'!R192+'62-3'!R192+'64-3'!R192+'74-3'!R192</f>
        <v>0</v>
      </c>
      <c r="S446" s="499"/>
      <c r="T446" s="499"/>
      <c r="U446" s="499"/>
      <c r="V446" s="499"/>
      <c r="W446" s="499"/>
    </row>
    <row r="447" spans="1:23" s="89" customFormat="1" ht="72" hidden="1">
      <c r="A447" s="136">
        <v>19570</v>
      </c>
      <c r="B447" s="108" t="s">
        <v>182</v>
      </c>
      <c r="C447" s="106">
        <f>'01-3'!C193+'02-3'!C193+'03-3'!C193+'04-3'!C193+'05-3'!C193+'08-3'!C193+'09-3'!C193+'10-3'!C193+'11-3'!C193+'12-3'!C193+'13-3'!C193+'14-3'!C193+'15-3'!C193+'16-3'!C193+'17-3'!C193+'18-3'!C193+'19-3'!C193+'21-3'!C193+'22-3'!C193+'24-3'!C193+'25-3'!C193+'28-3'!C193+'29-3'!C193+'30-3'!C193+'32-3'!C193+'35-3'!C193+'37-3'!C193+'47-3'!C193+'62-3'!C193+'64-3'!C193+'74-3'!C193</f>
        <v>0</v>
      </c>
      <c r="D447" s="106">
        <f>'01-3'!D193+'02-3'!D193+'03-3'!D193+'04-3'!D193+'05-3'!D193+'08-3'!D193+'09-3'!D193+'10-3'!D193+'11-3'!D193+'12-3'!D193+'13-3'!D193+'14-3'!D193+'15-3'!D193+'16-3'!D193+'17-3'!D193+'18-3'!D193+'19-3'!D193+'21-3'!D193+'22-3'!D193+'24-3'!D193+'25-3'!D193+'28-3'!D193+'29-3'!D193+'30-3'!D193+'32-3'!D193+'35-3'!D193+'37-3'!D193+'47-3'!D193+'62-3'!D193+'64-3'!D193+'74-3'!D193</f>
        <v>0</v>
      </c>
      <c r="E447" s="106">
        <f>'01-3'!E193+'02-3'!E193+'03-3'!E193+'04-3'!E193+'05-3'!E193+'08-3'!E193+'09-3'!E193+'10-3'!E193+'11-3'!E193+'12-3'!E193+'13-3'!E193+'14-3'!E193+'15-3'!E193+'16-3'!E193+'17-3'!E193+'18-3'!E193+'19-3'!E193+'21-3'!E193+'22-3'!E193+'24-3'!E193+'25-3'!E193+'28-3'!E193+'29-3'!E193+'30-3'!E193+'32-3'!E193+'35-3'!E193+'37-3'!E193+'47-3'!E193+'62-3'!E193+'64-3'!E193+'74-3'!E193</f>
        <v>0</v>
      </c>
      <c r="F447" s="106">
        <f>'01-3'!F193+'02-3'!F193+'03-3'!F193+'04-3'!F193+'05-3'!F193+'08-3'!F193+'09-3'!F193+'10-3'!F193+'11-3'!F193+'12-3'!F193+'13-3'!F193+'14-3'!F193+'15-3'!F193+'16-3'!F193+'17-3'!F193+'18-3'!F193+'19-3'!F193+'21-3'!F193+'22-3'!F193+'24-3'!F193+'25-3'!F193+'28-3'!F193+'29-3'!F193+'30-3'!F193+'32-3'!F193+'35-3'!F193+'37-3'!F193+'47-3'!F193+'62-3'!F193+'64-3'!F193+'74-3'!F193</f>
        <v>0</v>
      </c>
      <c r="G447" s="106">
        <f>'01-3'!G193+'02-3'!G193+'03-3'!G193+'04-3'!G193+'05-3'!G193+'08-3'!G193+'09-3'!G193+'10-3'!G193+'11-3'!G193+'12-3'!G193+'13-3'!G193+'14-3'!G193+'15-3'!G193+'16-3'!G193+'17-3'!G193+'18-3'!G193+'19-3'!G193+'21-3'!G193+'22-3'!G193+'24-3'!G193+'25-3'!G193+'28-3'!G193+'29-3'!G193+'30-3'!G193+'32-3'!G193+'35-3'!G193+'37-3'!G193+'47-3'!G193+'62-3'!G193+'64-3'!G193+'74-3'!G193</f>
        <v>0</v>
      </c>
      <c r="H447" s="106">
        <f>'01-3'!H193+'02-3'!H193+'03-3'!H193+'04-3'!H193+'05-3'!H193+'08-3'!H193+'09-3'!H193+'10-3'!H193+'11-3'!H193+'12-3'!H193+'13-3'!H193+'14-3'!H193+'15-3'!H193+'16-3'!H193+'17-3'!H193+'18-3'!H193+'19-3'!H193+'21-3'!H193+'22-3'!H193+'24-3'!H193+'25-3'!H193+'28-3'!H193+'29-3'!H193+'30-3'!H193+'32-3'!H193+'35-3'!H193+'37-3'!H193+'47-3'!H193+'62-3'!H193+'64-3'!H193+'74-3'!H193</f>
        <v>0</v>
      </c>
      <c r="I447" s="106">
        <f>'01-3'!I193+'02-3'!I193+'03-3'!I193+'04-3'!I193+'05-3'!I193+'08-3'!I193+'09-3'!I193+'10-3'!I193+'11-3'!I193+'12-3'!I193+'13-3'!I193+'14-3'!I193+'15-3'!I193+'16-3'!I193+'17-3'!I193+'18-3'!I193+'19-3'!I193+'21-3'!I193+'22-3'!I193+'24-3'!I193+'25-3'!I193+'28-3'!I193+'29-3'!I193+'30-3'!I193+'32-3'!I193+'35-3'!I193+'37-3'!I193+'47-3'!I193+'62-3'!I193+'64-3'!I193+'74-3'!I193</f>
        <v>0</v>
      </c>
      <c r="J447" s="106">
        <f>'01-3'!J193+'02-3'!J193+'03-3'!J193+'04-3'!J193+'05-3'!J193+'08-3'!J193+'09-3'!J193+'10-3'!J193+'11-3'!J193+'12-3'!J193+'13-3'!J193+'14-3'!J193+'15-3'!J193+'16-3'!J193+'17-3'!J193+'18-3'!J193+'19-3'!J193+'21-3'!J193+'22-3'!J193+'24-3'!J193+'25-3'!J193+'28-3'!J193+'29-3'!J193+'30-3'!J193+'32-3'!J193+'35-3'!J193+'37-3'!J193+'47-3'!J193+'62-3'!J193+'64-3'!J193+'74-3'!J193</f>
        <v>0</v>
      </c>
      <c r="K447" s="106">
        <f>'01-3'!K193+'02-3'!K193+'03-3'!K193+'04-3'!K193+'05-3'!K193+'08-3'!K193+'09-3'!K193+'10-3'!K193+'11-3'!K193+'12-3'!K193+'13-3'!K193+'14-3'!K193+'15-3'!K193+'16-3'!K193+'17-3'!K193+'18-3'!K193+'19-3'!K193+'21-3'!K193+'22-3'!K193+'24-3'!K193+'25-3'!K193+'28-3'!K193+'29-3'!K193+'30-3'!K193+'32-3'!K193+'35-3'!K193+'37-3'!K193+'47-3'!K193+'62-3'!K193+'64-3'!K193+'74-3'!K193</f>
        <v>0</v>
      </c>
      <c r="L447" s="106">
        <f>'01-3'!L193+'02-3'!L193+'03-3'!L193+'04-3'!L193+'05-3'!L193+'08-3'!L193+'09-3'!L193+'10-3'!L193+'11-3'!L193+'12-3'!L193+'13-3'!L193+'14-3'!L193+'15-3'!L193+'16-3'!L193+'17-3'!L193+'18-3'!L193+'19-3'!L193+'21-3'!L193+'22-3'!L193+'24-3'!L193+'25-3'!L193+'28-3'!L193+'29-3'!L193+'30-3'!L193+'32-3'!L193+'35-3'!L193+'37-3'!L193+'47-3'!L193+'62-3'!L193+'64-3'!L193+'74-3'!L193</f>
        <v>0</v>
      </c>
      <c r="M447" s="106">
        <f>'01-3'!M193+'02-3'!M193+'03-3'!M193+'04-3'!M193+'05-3'!M193+'08-3'!M193+'09-3'!M193+'10-3'!M193+'11-3'!M193+'12-3'!M193+'13-3'!M193+'14-3'!M193+'15-3'!M193+'16-3'!M193+'17-3'!M193+'18-3'!M193+'19-3'!M193+'21-3'!M193+'22-3'!M193+'24-3'!M193+'25-3'!M193+'28-3'!M193+'29-3'!M193+'30-3'!M193+'32-3'!M193+'35-3'!M193+'37-3'!M193+'47-3'!M193+'62-3'!M193+'64-3'!M193+'74-3'!M193</f>
        <v>0</v>
      </c>
      <c r="N447" s="106">
        <f>'01-3'!N193+'02-3'!N193+'03-3'!N193+'04-3'!N193+'05-3'!N193+'08-3'!N193+'09-3'!N193+'10-3'!N193+'11-3'!N193+'12-3'!N193+'13-3'!N193+'14-3'!N193+'15-3'!N193+'16-3'!N193+'17-3'!N193+'18-3'!N193+'19-3'!N193+'21-3'!N193+'22-3'!N193+'24-3'!N193+'25-3'!N193+'28-3'!N193+'29-3'!N193+'30-3'!N193+'32-3'!N193+'35-3'!N193+'37-3'!N193+'47-3'!N193+'62-3'!N193+'64-3'!N193+'74-3'!N193</f>
        <v>0</v>
      </c>
      <c r="O447" s="106">
        <f>'01-3'!O193+'02-3'!O193+'03-3'!O193+'04-3'!O193+'05-3'!O193+'08-3'!O193+'09-3'!O193+'10-3'!O193+'11-3'!O193+'12-3'!O193+'13-3'!O193+'14-3'!O193+'15-3'!O193+'16-3'!O193+'17-3'!O193+'18-3'!O193+'19-3'!O193+'21-3'!O193+'22-3'!O193+'24-3'!O193+'25-3'!O193+'28-3'!O193+'29-3'!O193+'30-3'!O193+'32-3'!O193+'35-3'!O193+'37-3'!O193+'47-3'!O193+'62-3'!O193+'64-3'!O193+'74-3'!O193</f>
        <v>0</v>
      </c>
      <c r="P447" s="106">
        <f>'01-3'!P193+'02-3'!P193+'03-3'!P193+'04-3'!P193+'05-3'!P193+'08-3'!P193+'09-3'!P193+'10-3'!P193+'11-3'!P193+'12-3'!P193+'13-3'!P193+'14-3'!P193+'15-3'!P193+'16-3'!P193+'17-3'!P193+'18-3'!P193+'19-3'!P193+'21-3'!P193+'22-3'!P193+'24-3'!P193+'25-3'!P193+'28-3'!P193+'29-3'!P193+'30-3'!P193+'32-3'!P193+'35-3'!P193+'37-3'!P193+'47-3'!P193+'62-3'!P193+'64-3'!P193+'74-3'!P193</f>
        <v>0</v>
      </c>
      <c r="Q447" s="106">
        <f>'01-3'!Q193+'02-3'!Q193+'03-3'!Q193+'04-3'!Q193+'05-3'!Q193+'08-3'!Q193+'09-3'!Q193+'10-3'!Q193+'11-3'!Q193+'12-3'!Q193+'13-3'!Q193+'14-3'!Q193+'15-3'!Q193+'16-3'!Q193+'17-3'!Q193+'18-3'!Q193+'19-3'!Q193+'21-3'!Q193+'22-3'!Q193+'24-3'!Q193+'25-3'!Q193+'28-3'!Q193+'29-3'!Q193+'30-3'!Q193+'32-3'!Q193+'35-3'!Q193+'37-3'!Q193+'47-3'!Q193+'62-3'!Q193+'64-3'!Q193+'74-3'!Q193</f>
        <v>0</v>
      </c>
      <c r="R447" s="106">
        <f>'01-3'!R193+'02-3'!R193+'03-3'!R193+'04-3'!R193+'05-3'!R193+'08-3'!R193+'09-3'!R193+'10-3'!R193+'11-3'!R193+'12-3'!R193+'13-3'!R193+'14-3'!R193+'15-3'!R193+'16-3'!R193+'17-3'!R193+'18-3'!R193+'19-3'!R193+'21-3'!R193+'22-3'!R193+'24-3'!R193+'25-3'!R193+'28-3'!R193+'29-3'!R193+'30-3'!R193+'32-3'!R193+'35-3'!R193+'37-3'!R193+'47-3'!R193+'62-3'!R193+'64-3'!R193+'74-3'!R193</f>
        <v>0</v>
      </c>
      <c r="S447" s="499"/>
      <c r="T447" s="499"/>
      <c r="U447" s="499"/>
      <c r="V447" s="499"/>
      <c r="W447" s="499"/>
    </row>
    <row r="448" spans="1:23" s="6" customFormat="1" ht="24">
      <c r="A448" s="209" t="s">
        <v>222</v>
      </c>
      <c r="B448" s="208" t="s">
        <v>216</v>
      </c>
      <c r="C448" s="106">
        <f>'01-3'!C194+'02-3'!C194+'03-3'!C194+'04-3'!C194+'05-3'!C194+'08-3'!C194+'09-3'!C194+'10-3'!C194+'11-3'!C194+'12-3'!C194+'13-3'!C194+'14-3'!C194+'15-3'!C194+'16-3'!C194+'17-3'!C194+'18-3'!C194+'19-3'!C194+'21-3'!C194+'22-3'!C194+'24-3'!C194+'25-3'!C194+'28-3'!C194+'29-3'!C194+'30-3'!C194+'32-3'!C194+'35-3'!C194+'37-3'!C194+'47-3'!C194+'62-3'!C194+'64-3'!C194+'74-3'!C194</f>
        <v>0</v>
      </c>
      <c r="D448" s="106">
        <f>'01-3'!D194+'02-3'!D194+'03-3'!D194+'04-3'!D194+'05-3'!D194+'08-3'!D194+'09-3'!D194+'10-3'!D194+'11-3'!D194+'12-3'!D194+'13-3'!D194+'14-3'!D194+'15-3'!D194+'16-3'!D194+'17-3'!D194+'18-3'!D194+'19-3'!D194+'21-3'!D194+'22-3'!D194+'24-3'!D194+'25-3'!D194+'28-3'!D194+'29-3'!D194+'30-3'!D194+'32-3'!D194+'35-3'!D194+'37-3'!D194+'47-3'!D194+'62-3'!D194+'64-3'!D194+'74-3'!D194</f>
        <v>1926213</v>
      </c>
      <c r="E448" s="106">
        <f>'01-3'!E194+'02-3'!E194+'03-3'!E194+'04-3'!E194+'05-3'!E194+'08-3'!E194+'09-3'!E194+'10-3'!E194+'11-3'!E194+'12-3'!E194+'13-3'!E194+'14-3'!E194+'15-3'!E194+'16-3'!E194+'17-3'!E194+'18-3'!E194+'19-3'!E194+'21-3'!E194+'22-3'!E194+'24-3'!E194+'25-3'!E194+'28-3'!E194+'29-3'!E194+'30-3'!E194+'32-3'!E194+'35-3'!E194+'37-3'!E194+'47-3'!E194+'62-3'!E194+'64-3'!E194+'74-3'!E194</f>
        <v>849608</v>
      </c>
      <c r="F448" s="106">
        <f>'01-3'!F194+'02-3'!F194+'03-3'!F194+'04-3'!F194+'05-3'!F194+'08-3'!F194+'09-3'!F194+'10-3'!F194+'11-3'!F194+'12-3'!F194+'13-3'!F194+'14-3'!F194+'15-3'!F194+'16-3'!F194+'17-3'!F194+'18-3'!F194+'19-3'!F194+'21-3'!F194+'22-3'!F194+'24-3'!F194+'25-3'!F194+'28-3'!F194+'29-3'!F194+'30-3'!F194+'32-3'!F194+'35-3'!F194+'37-3'!F194+'47-3'!F194+'62-3'!F194+'64-3'!F194+'74-3'!F194</f>
        <v>0</v>
      </c>
      <c r="G448" s="106">
        <f>'01-3'!G194+'02-3'!G194+'03-3'!G194+'04-3'!G194+'05-3'!G194+'08-3'!G194+'09-3'!G194+'10-3'!G194+'11-3'!G194+'12-3'!G194+'13-3'!G194+'14-3'!G194+'15-3'!G194+'16-3'!G194+'17-3'!G194+'18-3'!G194+'19-3'!G194+'21-3'!G194+'22-3'!G194+'24-3'!G194+'25-3'!G194+'28-3'!G194+'29-3'!G194+'30-3'!G194+'32-3'!G194+'35-3'!G194+'37-3'!G194+'47-3'!G194+'62-3'!G194+'64-3'!G194+'74-3'!G194</f>
        <v>0</v>
      </c>
      <c r="H448" s="106">
        <f>'01-3'!H194+'02-3'!H194+'03-3'!H194+'04-3'!H194+'05-3'!H194+'08-3'!H194+'09-3'!H194+'10-3'!H194+'11-3'!H194+'12-3'!H194+'13-3'!H194+'14-3'!H194+'15-3'!H194+'16-3'!H194+'17-3'!H194+'18-3'!H194+'19-3'!H194+'21-3'!H194+'22-3'!H194+'24-3'!H194+'25-3'!H194+'28-3'!H194+'29-3'!H194+'30-3'!H194+'32-3'!H194+'35-3'!H194+'37-3'!H194+'47-3'!H194+'62-3'!H194+'64-3'!H194+'74-3'!H194</f>
        <v>2775821</v>
      </c>
      <c r="I448" s="106">
        <f>'01-3'!I194+'02-3'!I194+'03-3'!I194+'04-3'!I194+'05-3'!I194+'08-3'!I194+'09-3'!I194+'10-3'!I194+'11-3'!I194+'12-3'!I194+'13-3'!I194+'14-3'!I194+'15-3'!I194+'16-3'!I194+'17-3'!I194+'18-3'!I194+'19-3'!I194+'21-3'!I194+'22-3'!I194+'24-3'!I194+'25-3'!I194+'28-3'!I194+'29-3'!I194+'30-3'!I194+'32-3'!I194+'35-3'!I194+'37-3'!I194+'47-3'!I194+'62-3'!I194+'64-3'!I194+'74-3'!I194</f>
        <v>758595</v>
      </c>
      <c r="J448" s="106">
        <f>'01-3'!J194+'02-3'!J194+'03-3'!J194+'04-3'!J194+'05-3'!J194+'08-3'!J194+'09-3'!J194+'10-3'!J194+'11-3'!J194+'12-3'!J194+'13-3'!J194+'14-3'!J194+'15-3'!J194+'16-3'!J194+'17-3'!J194+'18-3'!J194+'19-3'!J194+'21-3'!J194+'22-3'!J194+'24-3'!J194+'25-3'!J194+'28-3'!J194+'29-3'!J194+'30-3'!J194+'32-3'!J194+'35-3'!J194+'37-3'!J194+'47-3'!J194+'62-3'!J194+'64-3'!J194+'74-3'!J194</f>
        <v>700472</v>
      </c>
      <c r="K448" s="106">
        <f>'01-3'!K194+'02-3'!K194+'03-3'!K194+'04-3'!K194+'05-3'!K194+'08-3'!K194+'09-3'!K194+'10-3'!K194+'11-3'!K194+'12-3'!K194+'13-3'!K194+'14-3'!K194+'15-3'!K194+'16-3'!K194+'17-3'!K194+'18-3'!K194+'19-3'!K194+'21-3'!K194+'22-3'!K194+'24-3'!K194+'25-3'!K194+'28-3'!K194+'29-3'!K194+'30-3'!K194+'32-3'!K194+'35-3'!K194+'37-3'!K194+'47-3'!K194+'62-3'!K194+'64-3'!K194+'74-3'!K194</f>
        <v>0</v>
      </c>
      <c r="L448" s="106">
        <f>'01-3'!L194+'02-3'!L194+'03-3'!L194+'04-3'!L194+'05-3'!L194+'08-3'!L194+'09-3'!L194+'10-3'!L194+'11-3'!L194+'12-3'!L194+'13-3'!L194+'14-3'!L194+'15-3'!L194+'16-3'!L194+'17-3'!L194+'18-3'!L194+'19-3'!L194+'21-3'!L194+'22-3'!L194+'24-3'!L194+'25-3'!L194+'28-3'!L194+'29-3'!L194+'30-3'!L194+'32-3'!L194+'35-3'!L194+'37-3'!L194+'47-3'!L194+'62-3'!L194+'64-3'!L194+'74-3'!L194</f>
        <v>0</v>
      </c>
      <c r="M448" s="106">
        <f>'01-3'!M194+'02-3'!M194+'03-3'!M194+'04-3'!M194+'05-3'!M194+'08-3'!M194+'09-3'!M194+'10-3'!M194+'11-3'!M194+'12-3'!M194+'13-3'!M194+'14-3'!M194+'15-3'!M194+'16-3'!M194+'17-3'!M194+'18-3'!M194+'19-3'!M194+'21-3'!M194+'22-3'!M194+'24-3'!M194+'25-3'!M194+'28-3'!M194+'29-3'!M194+'30-3'!M194+'32-3'!M194+'35-3'!M194+'37-3'!M194+'47-3'!M194+'62-3'!M194+'64-3'!M194+'74-3'!M194</f>
        <v>1459067</v>
      </c>
      <c r="N448" s="106">
        <f>'01-3'!N194+'02-3'!N194+'03-3'!N194+'04-3'!N194+'05-3'!N194+'08-3'!N194+'09-3'!N194+'10-3'!N194+'11-3'!N194+'12-3'!N194+'13-3'!N194+'14-3'!N194+'15-3'!N194+'16-3'!N194+'17-3'!N194+'18-3'!N194+'19-3'!N194+'21-3'!N194+'22-3'!N194+'24-3'!N194+'25-3'!N194+'28-3'!N194+'29-3'!N194+'30-3'!N194+'32-3'!N194+'35-3'!N194+'37-3'!N194+'47-3'!N194+'62-3'!N194+'64-3'!N194+'74-3'!N194</f>
        <v>0</v>
      </c>
      <c r="O448" s="106">
        <f>'01-3'!O194+'02-3'!O194+'03-3'!O194+'04-3'!O194+'05-3'!O194+'08-3'!O194+'09-3'!O194+'10-3'!O194+'11-3'!O194+'12-3'!O194+'13-3'!O194+'14-3'!O194+'15-3'!O194+'16-3'!O194+'17-3'!O194+'18-3'!O194+'19-3'!O194+'21-3'!O194+'22-3'!O194+'24-3'!O194+'25-3'!O194+'28-3'!O194+'29-3'!O194+'30-3'!O194+'32-3'!O194+'35-3'!O194+'37-3'!O194+'47-3'!O194+'62-3'!O194+'64-3'!O194+'74-3'!O194</f>
        <v>255589</v>
      </c>
      <c r="P448" s="106">
        <f>'01-3'!P194+'02-3'!P194+'03-3'!P194+'04-3'!P194+'05-3'!P194+'08-3'!P194+'09-3'!P194+'10-3'!P194+'11-3'!P194+'12-3'!P194+'13-3'!P194+'14-3'!P194+'15-3'!P194+'16-3'!P194+'17-3'!P194+'18-3'!P194+'19-3'!P194+'21-3'!P194+'22-3'!P194+'24-3'!P194+'25-3'!P194+'28-3'!P194+'29-3'!P194+'30-3'!P194+'32-3'!P194+'35-3'!P194+'37-3'!P194+'47-3'!P194+'62-3'!P194+'64-3'!P194+'74-3'!P194</f>
        <v>0</v>
      </c>
      <c r="Q448" s="106">
        <f>'01-3'!Q194+'02-3'!Q194+'03-3'!Q194+'04-3'!Q194+'05-3'!Q194+'08-3'!Q194+'09-3'!Q194+'10-3'!Q194+'11-3'!Q194+'12-3'!Q194+'13-3'!Q194+'14-3'!Q194+'15-3'!Q194+'16-3'!Q194+'17-3'!Q194+'18-3'!Q194+'19-3'!Q194+'21-3'!Q194+'22-3'!Q194+'24-3'!Q194+'25-3'!Q194+'28-3'!Q194+'29-3'!Q194+'30-3'!Q194+'32-3'!Q194+'35-3'!Q194+'37-3'!Q194+'47-3'!Q194+'62-3'!Q194+'64-3'!Q194+'74-3'!Q194</f>
        <v>0</v>
      </c>
      <c r="R448" s="106">
        <f>'01-3'!R194+'02-3'!R194+'03-3'!R194+'04-3'!R194+'05-3'!R194+'08-3'!R194+'09-3'!R194+'10-3'!R194+'11-3'!R194+'12-3'!R194+'13-3'!R194+'14-3'!R194+'15-3'!R194+'16-3'!R194+'17-3'!R194+'18-3'!R194+'19-3'!R194+'21-3'!R194+'22-3'!R194+'24-3'!R194+'25-3'!R194+'28-3'!R194+'29-3'!R194+'30-3'!R194+'32-3'!R194+'35-3'!R194+'37-3'!R194+'47-3'!R194+'62-3'!R194+'64-3'!R194+'74-3'!R194</f>
        <v>255589</v>
      </c>
      <c r="S448" s="954"/>
      <c r="T448" s="954"/>
      <c r="U448" s="954"/>
      <c r="V448" s="954"/>
      <c r="W448" s="954"/>
    </row>
    <row r="449" spans="1:23" s="6" customFormat="1" ht="36">
      <c r="A449" s="209">
        <v>17100</v>
      </c>
      <c r="B449" s="208" t="s">
        <v>217</v>
      </c>
      <c r="C449" s="106">
        <f>'01-3'!C195+'02-3'!C195+'03-3'!C195+'04-3'!C195+'05-3'!C195+'08-3'!C195+'09-3'!C195+'10-3'!C195+'11-3'!C195+'12-3'!C195+'13-3'!C195+'14-3'!C195+'15-3'!C195+'16-3'!C195+'17-3'!C195+'18-3'!C195+'19-3'!C195+'21-3'!C195+'22-3'!C195+'24-3'!C195+'25-3'!C195+'28-3'!C195+'29-3'!C195+'30-3'!C195+'32-3'!C195+'35-3'!C195+'37-3'!C195+'47-3'!C195+'62-3'!C195+'64-3'!C195+'74-3'!C195</f>
        <v>0</v>
      </c>
      <c r="D449" s="106">
        <f>'01-3'!D195+'02-3'!D195+'03-3'!D195+'04-3'!D195+'05-3'!D195+'08-3'!D195+'09-3'!D195+'10-3'!D195+'11-3'!D195+'12-3'!D195+'13-3'!D195+'14-3'!D195+'15-3'!D195+'16-3'!D195+'17-3'!D195+'18-3'!D195+'19-3'!D195+'21-3'!D195+'22-3'!D195+'24-3'!D195+'25-3'!D195+'28-3'!D195+'29-3'!D195+'30-3'!D195+'32-3'!D195+'35-3'!D195+'37-3'!D195+'47-3'!D195+'62-3'!D195+'64-3'!D195+'74-3'!D195</f>
        <v>1926213</v>
      </c>
      <c r="E449" s="106">
        <f>'01-3'!E195+'02-3'!E195+'03-3'!E195+'04-3'!E195+'05-3'!E195+'08-3'!E195+'09-3'!E195+'10-3'!E195+'11-3'!E195+'12-3'!E195+'13-3'!E195+'14-3'!E195+'15-3'!E195+'16-3'!E195+'17-3'!E195+'18-3'!E195+'19-3'!E195+'21-3'!E195+'22-3'!E195+'24-3'!E195+'25-3'!E195+'28-3'!E195+'29-3'!E195+'30-3'!E195+'32-3'!E195+'35-3'!E195+'37-3'!E195+'47-3'!E195+'62-3'!E195+'64-3'!E195+'74-3'!E195</f>
        <v>849608</v>
      </c>
      <c r="F449" s="106">
        <f>'01-3'!F195+'02-3'!F195+'03-3'!F195+'04-3'!F195+'05-3'!F195+'08-3'!F195+'09-3'!F195+'10-3'!F195+'11-3'!F195+'12-3'!F195+'13-3'!F195+'14-3'!F195+'15-3'!F195+'16-3'!F195+'17-3'!F195+'18-3'!F195+'19-3'!F195+'21-3'!F195+'22-3'!F195+'24-3'!F195+'25-3'!F195+'28-3'!F195+'29-3'!F195+'30-3'!F195+'32-3'!F195+'35-3'!F195+'37-3'!F195+'47-3'!F195+'62-3'!F195+'64-3'!F195+'74-3'!F195</f>
        <v>0</v>
      </c>
      <c r="G449" s="106">
        <f>'01-3'!G195+'02-3'!G195+'03-3'!G195+'04-3'!G195+'05-3'!G195+'08-3'!G195+'09-3'!G195+'10-3'!G195+'11-3'!G195+'12-3'!G195+'13-3'!G195+'14-3'!G195+'15-3'!G195+'16-3'!G195+'17-3'!G195+'18-3'!G195+'19-3'!G195+'21-3'!G195+'22-3'!G195+'24-3'!G195+'25-3'!G195+'28-3'!G195+'29-3'!G195+'30-3'!G195+'32-3'!G195+'35-3'!G195+'37-3'!G195+'47-3'!G195+'62-3'!G195+'64-3'!G195+'74-3'!G195</f>
        <v>0</v>
      </c>
      <c r="H449" s="106">
        <f>'01-3'!H195+'02-3'!H195+'03-3'!H195+'04-3'!H195+'05-3'!H195+'08-3'!H195+'09-3'!H195+'10-3'!H195+'11-3'!H195+'12-3'!H195+'13-3'!H195+'14-3'!H195+'15-3'!H195+'16-3'!H195+'17-3'!H195+'18-3'!H195+'19-3'!H195+'21-3'!H195+'22-3'!H195+'24-3'!H195+'25-3'!H195+'28-3'!H195+'29-3'!H195+'30-3'!H195+'32-3'!H195+'35-3'!H195+'37-3'!H195+'47-3'!H195+'62-3'!H195+'64-3'!H195+'74-3'!H195</f>
        <v>2775821</v>
      </c>
      <c r="I449" s="106">
        <f>'01-3'!I195+'02-3'!I195+'03-3'!I195+'04-3'!I195+'05-3'!I195+'08-3'!I195+'09-3'!I195+'10-3'!I195+'11-3'!I195+'12-3'!I195+'13-3'!I195+'14-3'!I195+'15-3'!I195+'16-3'!I195+'17-3'!I195+'18-3'!I195+'19-3'!I195+'21-3'!I195+'22-3'!I195+'24-3'!I195+'25-3'!I195+'28-3'!I195+'29-3'!I195+'30-3'!I195+'32-3'!I195+'35-3'!I195+'37-3'!I195+'47-3'!I195+'62-3'!I195+'64-3'!I195+'74-3'!I195</f>
        <v>758595</v>
      </c>
      <c r="J449" s="106">
        <f>'01-3'!J195+'02-3'!J195+'03-3'!J195+'04-3'!J195+'05-3'!J195+'08-3'!J195+'09-3'!J195+'10-3'!J195+'11-3'!J195+'12-3'!J195+'13-3'!J195+'14-3'!J195+'15-3'!J195+'16-3'!J195+'17-3'!J195+'18-3'!J195+'19-3'!J195+'21-3'!J195+'22-3'!J195+'24-3'!J195+'25-3'!J195+'28-3'!J195+'29-3'!J195+'30-3'!J195+'32-3'!J195+'35-3'!J195+'37-3'!J195+'47-3'!J195+'62-3'!J195+'64-3'!J195+'74-3'!J195</f>
        <v>700472</v>
      </c>
      <c r="K449" s="106">
        <f>'01-3'!K195+'02-3'!K195+'03-3'!K195+'04-3'!K195+'05-3'!K195+'08-3'!K195+'09-3'!K195+'10-3'!K195+'11-3'!K195+'12-3'!K195+'13-3'!K195+'14-3'!K195+'15-3'!K195+'16-3'!K195+'17-3'!K195+'18-3'!K195+'19-3'!K195+'21-3'!K195+'22-3'!K195+'24-3'!K195+'25-3'!K195+'28-3'!K195+'29-3'!K195+'30-3'!K195+'32-3'!K195+'35-3'!K195+'37-3'!K195+'47-3'!K195+'62-3'!K195+'64-3'!K195+'74-3'!K195</f>
        <v>0</v>
      </c>
      <c r="L449" s="106">
        <f>'01-3'!L195+'02-3'!L195+'03-3'!L195+'04-3'!L195+'05-3'!L195+'08-3'!L195+'09-3'!L195+'10-3'!L195+'11-3'!L195+'12-3'!L195+'13-3'!L195+'14-3'!L195+'15-3'!L195+'16-3'!L195+'17-3'!L195+'18-3'!L195+'19-3'!L195+'21-3'!L195+'22-3'!L195+'24-3'!L195+'25-3'!L195+'28-3'!L195+'29-3'!L195+'30-3'!L195+'32-3'!L195+'35-3'!L195+'37-3'!L195+'47-3'!L195+'62-3'!L195+'64-3'!L195+'74-3'!L195</f>
        <v>0</v>
      </c>
      <c r="M449" s="106">
        <f>'01-3'!M195+'02-3'!M195+'03-3'!M195+'04-3'!M195+'05-3'!M195+'08-3'!M195+'09-3'!M195+'10-3'!M195+'11-3'!M195+'12-3'!M195+'13-3'!M195+'14-3'!M195+'15-3'!M195+'16-3'!M195+'17-3'!M195+'18-3'!M195+'19-3'!M195+'21-3'!M195+'22-3'!M195+'24-3'!M195+'25-3'!M195+'28-3'!M195+'29-3'!M195+'30-3'!M195+'32-3'!M195+'35-3'!M195+'37-3'!M195+'47-3'!M195+'62-3'!M195+'64-3'!M195+'74-3'!M195</f>
        <v>1459067</v>
      </c>
      <c r="N449" s="106">
        <f>'01-3'!N195+'02-3'!N195+'03-3'!N195+'04-3'!N195+'05-3'!N195+'08-3'!N195+'09-3'!N195+'10-3'!N195+'11-3'!N195+'12-3'!N195+'13-3'!N195+'14-3'!N195+'15-3'!N195+'16-3'!N195+'17-3'!N195+'18-3'!N195+'19-3'!N195+'21-3'!N195+'22-3'!N195+'24-3'!N195+'25-3'!N195+'28-3'!N195+'29-3'!N195+'30-3'!N195+'32-3'!N195+'35-3'!N195+'37-3'!N195+'47-3'!N195+'62-3'!N195+'64-3'!N195+'74-3'!N195</f>
        <v>0</v>
      </c>
      <c r="O449" s="106">
        <f>'01-3'!O195+'02-3'!O195+'03-3'!O195+'04-3'!O195+'05-3'!O195+'08-3'!O195+'09-3'!O195+'10-3'!O195+'11-3'!O195+'12-3'!O195+'13-3'!O195+'14-3'!O195+'15-3'!O195+'16-3'!O195+'17-3'!O195+'18-3'!O195+'19-3'!O195+'21-3'!O195+'22-3'!O195+'24-3'!O195+'25-3'!O195+'28-3'!O195+'29-3'!O195+'30-3'!O195+'32-3'!O195+'35-3'!O195+'37-3'!O195+'47-3'!O195+'62-3'!O195+'64-3'!O195+'74-3'!O195</f>
        <v>255589</v>
      </c>
      <c r="P449" s="106">
        <f>'01-3'!P195+'02-3'!P195+'03-3'!P195+'04-3'!P195+'05-3'!P195+'08-3'!P195+'09-3'!P195+'10-3'!P195+'11-3'!P195+'12-3'!P195+'13-3'!P195+'14-3'!P195+'15-3'!P195+'16-3'!P195+'17-3'!P195+'18-3'!P195+'19-3'!P195+'21-3'!P195+'22-3'!P195+'24-3'!P195+'25-3'!P195+'28-3'!P195+'29-3'!P195+'30-3'!P195+'32-3'!P195+'35-3'!P195+'37-3'!P195+'47-3'!P195+'62-3'!P195+'64-3'!P195+'74-3'!P195</f>
        <v>0</v>
      </c>
      <c r="Q449" s="106">
        <f>'01-3'!Q195+'02-3'!Q195+'03-3'!Q195+'04-3'!Q195+'05-3'!Q195+'08-3'!Q195+'09-3'!Q195+'10-3'!Q195+'11-3'!Q195+'12-3'!Q195+'13-3'!Q195+'14-3'!Q195+'15-3'!Q195+'16-3'!Q195+'17-3'!Q195+'18-3'!Q195+'19-3'!Q195+'21-3'!Q195+'22-3'!Q195+'24-3'!Q195+'25-3'!Q195+'28-3'!Q195+'29-3'!Q195+'30-3'!Q195+'32-3'!Q195+'35-3'!Q195+'37-3'!Q195+'47-3'!Q195+'62-3'!Q195+'64-3'!Q195+'74-3'!Q195</f>
        <v>0</v>
      </c>
      <c r="R449" s="106">
        <f>'01-3'!R195+'02-3'!R195+'03-3'!R195+'04-3'!R195+'05-3'!R195+'08-3'!R195+'09-3'!R195+'10-3'!R195+'11-3'!R195+'12-3'!R195+'13-3'!R195+'14-3'!R195+'15-3'!R195+'16-3'!R195+'17-3'!R195+'18-3'!R195+'19-3'!R195+'21-3'!R195+'22-3'!R195+'24-3'!R195+'25-3'!R195+'28-3'!R195+'29-3'!R195+'30-3'!R195+'32-3'!R195+'35-3'!R195+'37-3'!R195+'47-3'!R195+'62-3'!R195+'64-3'!R195+'74-3'!R195</f>
        <v>255589</v>
      </c>
      <c r="S449" s="954"/>
      <c r="T449" s="954"/>
      <c r="U449" s="954"/>
      <c r="V449" s="954"/>
      <c r="W449" s="954"/>
    </row>
    <row r="450" spans="1:23" s="6" customFormat="1" ht="60">
      <c r="A450" s="149">
        <v>17110</v>
      </c>
      <c r="B450" s="208" t="s">
        <v>218</v>
      </c>
      <c r="C450" s="106">
        <f>'01-3'!C196+'02-3'!C196+'03-3'!C196+'04-3'!C196+'05-3'!C196+'08-3'!C196+'09-3'!C196+'10-3'!C196+'11-3'!C196+'12-3'!C196+'13-3'!C196+'14-3'!C196+'15-3'!C196+'16-3'!C196+'17-3'!C196+'18-3'!C196+'19-3'!C196+'21-3'!C196+'22-3'!C196+'24-3'!C196+'25-3'!C196+'28-3'!C196+'29-3'!C196+'30-3'!C196+'32-3'!C196+'35-3'!C196+'37-3'!C196+'47-3'!C196+'62-3'!C196+'64-3'!C196+'74-3'!C196</f>
        <v>0</v>
      </c>
      <c r="D450" s="106">
        <f>'01-3'!D196+'02-3'!D196+'03-3'!D196+'04-3'!D196+'05-3'!D196+'08-3'!D196+'09-3'!D196+'10-3'!D196+'11-3'!D196+'12-3'!D196+'13-3'!D196+'14-3'!D196+'15-3'!D196+'16-3'!D196+'17-3'!D196+'18-3'!D196+'19-3'!D196+'21-3'!D196+'22-3'!D196+'24-3'!D196+'25-3'!D196+'28-3'!D196+'29-3'!D196+'30-3'!D196+'32-3'!D196+'35-3'!D196+'37-3'!D196+'47-3'!D196+'62-3'!D196+'64-3'!D196+'74-3'!D196</f>
        <v>1926213</v>
      </c>
      <c r="E450" s="106">
        <f>'01-3'!E196+'02-3'!E196+'03-3'!E196+'04-3'!E196+'05-3'!E196+'08-3'!E196+'09-3'!E196+'10-3'!E196+'11-3'!E196+'12-3'!E196+'13-3'!E196+'14-3'!E196+'15-3'!E196+'16-3'!E196+'17-3'!E196+'18-3'!E196+'19-3'!E196+'21-3'!E196+'22-3'!E196+'24-3'!E196+'25-3'!E196+'28-3'!E196+'29-3'!E196+'30-3'!E196+'32-3'!E196+'35-3'!E196+'37-3'!E196+'47-3'!E196+'62-3'!E196+'64-3'!E196+'74-3'!E196</f>
        <v>849608</v>
      </c>
      <c r="F450" s="106">
        <f>'01-3'!F196+'02-3'!F196+'03-3'!F196+'04-3'!F196+'05-3'!F196+'08-3'!F196+'09-3'!F196+'10-3'!F196+'11-3'!F196+'12-3'!F196+'13-3'!F196+'14-3'!F196+'15-3'!F196+'16-3'!F196+'17-3'!F196+'18-3'!F196+'19-3'!F196+'21-3'!F196+'22-3'!F196+'24-3'!F196+'25-3'!F196+'28-3'!F196+'29-3'!F196+'30-3'!F196+'32-3'!F196+'35-3'!F196+'37-3'!F196+'47-3'!F196+'62-3'!F196+'64-3'!F196+'74-3'!F196</f>
        <v>0</v>
      </c>
      <c r="G450" s="106">
        <f>'01-3'!G196+'02-3'!G196+'03-3'!G196+'04-3'!G196+'05-3'!G196+'08-3'!G196+'09-3'!G196+'10-3'!G196+'11-3'!G196+'12-3'!G196+'13-3'!G196+'14-3'!G196+'15-3'!G196+'16-3'!G196+'17-3'!G196+'18-3'!G196+'19-3'!G196+'21-3'!G196+'22-3'!G196+'24-3'!G196+'25-3'!G196+'28-3'!G196+'29-3'!G196+'30-3'!G196+'32-3'!G196+'35-3'!G196+'37-3'!G196+'47-3'!G196+'62-3'!G196+'64-3'!G196+'74-3'!G196</f>
        <v>0</v>
      </c>
      <c r="H450" s="106">
        <f>'01-3'!H196+'02-3'!H196+'03-3'!H196+'04-3'!H196+'05-3'!H196+'08-3'!H196+'09-3'!H196+'10-3'!H196+'11-3'!H196+'12-3'!H196+'13-3'!H196+'14-3'!H196+'15-3'!H196+'16-3'!H196+'17-3'!H196+'18-3'!H196+'19-3'!H196+'21-3'!H196+'22-3'!H196+'24-3'!H196+'25-3'!H196+'28-3'!H196+'29-3'!H196+'30-3'!H196+'32-3'!H196+'35-3'!H196+'37-3'!H196+'47-3'!H196+'62-3'!H196+'64-3'!H196+'74-3'!H196</f>
        <v>2775821</v>
      </c>
      <c r="I450" s="106">
        <f>'01-3'!I196+'02-3'!I196+'03-3'!I196+'04-3'!I196+'05-3'!I196+'08-3'!I196+'09-3'!I196+'10-3'!I196+'11-3'!I196+'12-3'!I196+'13-3'!I196+'14-3'!I196+'15-3'!I196+'16-3'!I196+'17-3'!I196+'18-3'!I196+'19-3'!I196+'21-3'!I196+'22-3'!I196+'24-3'!I196+'25-3'!I196+'28-3'!I196+'29-3'!I196+'30-3'!I196+'32-3'!I196+'35-3'!I196+'37-3'!I196+'47-3'!I196+'62-3'!I196+'64-3'!I196+'74-3'!I196</f>
        <v>758595</v>
      </c>
      <c r="J450" s="106">
        <f>'01-3'!J196+'02-3'!J196+'03-3'!J196+'04-3'!J196+'05-3'!J196+'08-3'!J196+'09-3'!J196+'10-3'!J196+'11-3'!J196+'12-3'!J196+'13-3'!J196+'14-3'!J196+'15-3'!J196+'16-3'!J196+'17-3'!J196+'18-3'!J196+'19-3'!J196+'21-3'!J196+'22-3'!J196+'24-3'!J196+'25-3'!J196+'28-3'!J196+'29-3'!J196+'30-3'!J196+'32-3'!J196+'35-3'!J196+'37-3'!J196+'47-3'!J196+'62-3'!J196+'64-3'!J196+'74-3'!J196</f>
        <v>700472</v>
      </c>
      <c r="K450" s="106">
        <f>'01-3'!K196+'02-3'!K196+'03-3'!K196+'04-3'!K196+'05-3'!K196+'08-3'!K196+'09-3'!K196+'10-3'!K196+'11-3'!K196+'12-3'!K196+'13-3'!K196+'14-3'!K196+'15-3'!K196+'16-3'!K196+'17-3'!K196+'18-3'!K196+'19-3'!K196+'21-3'!K196+'22-3'!K196+'24-3'!K196+'25-3'!K196+'28-3'!K196+'29-3'!K196+'30-3'!K196+'32-3'!K196+'35-3'!K196+'37-3'!K196+'47-3'!K196+'62-3'!K196+'64-3'!K196+'74-3'!K196</f>
        <v>0</v>
      </c>
      <c r="L450" s="106">
        <f>'01-3'!L196+'02-3'!L196+'03-3'!L196+'04-3'!L196+'05-3'!L196+'08-3'!L196+'09-3'!L196+'10-3'!L196+'11-3'!L196+'12-3'!L196+'13-3'!L196+'14-3'!L196+'15-3'!L196+'16-3'!L196+'17-3'!L196+'18-3'!L196+'19-3'!L196+'21-3'!L196+'22-3'!L196+'24-3'!L196+'25-3'!L196+'28-3'!L196+'29-3'!L196+'30-3'!L196+'32-3'!L196+'35-3'!L196+'37-3'!L196+'47-3'!L196+'62-3'!L196+'64-3'!L196+'74-3'!L196</f>
        <v>0</v>
      </c>
      <c r="M450" s="106">
        <f>'01-3'!M196+'02-3'!M196+'03-3'!M196+'04-3'!M196+'05-3'!M196+'08-3'!M196+'09-3'!M196+'10-3'!M196+'11-3'!M196+'12-3'!M196+'13-3'!M196+'14-3'!M196+'15-3'!M196+'16-3'!M196+'17-3'!M196+'18-3'!M196+'19-3'!M196+'21-3'!M196+'22-3'!M196+'24-3'!M196+'25-3'!M196+'28-3'!M196+'29-3'!M196+'30-3'!M196+'32-3'!M196+'35-3'!M196+'37-3'!M196+'47-3'!M196+'62-3'!M196+'64-3'!M196+'74-3'!M196</f>
        <v>1459067</v>
      </c>
      <c r="N450" s="106">
        <f>'01-3'!N196+'02-3'!N196+'03-3'!N196+'04-3'!N196+'05-3'!N196+'08-3'!N196+'09-3'!N196+'10-3'!N196+'11-3'!N196+'12-3'!N196+'13-3'!N196+'14-3'!N196+'15-3'!N196+'16-3'!N196+'17-3'!N196+'18-3'!N196+'19-3'!N196+'21-3'!N196+'22-3'!N196+'24-3'!N196+'25-3'!N196+'28-3'!N196+'29-3'!N196+'30-3'!N196+'32-3'!N196+'35-3'!N196+'37-3'!N196+'47-3'!N196+'62-3'!N196+'64-3'!N196+'74-3'!N196</f>
        <v>0</v>
      </c>
      <c r="O450" s="106">
        <f>'01-3'!O196+'02-3'!O196+'03-3'!O196+'04-3'!O196+'05-3'!O196+'08-3'!O196+'09-3'!O196+'10-3'!O196+'11-3'!O196+'12-3'!O196+'13-3'!O196+'14-3'!O196+'15-3'!O196+'16-3'!O196+'17-3'!O196+'18-3'!O196+'19-3'!O196+'21-3'!O196+'22-3'!O196+'24-3'!O196+'25-3'!O196+'28-3'!O196+'29-3'!O196+'30-3'!O196+'32-3'!O196+'35-3'!O196+'37-3'!O196+'47-3'!O196+'62-3'!O196+'64-3'!O196+'74-3'!O196</f>
        <v>255589</v>
      </c>
      <c r="P450" s="106">
        <f>'01-3'!P196+'02-3'!P196+'03-3'!P196+'04-3'!P196+'05-3'!P196+'08-3'!P196+'09-3'!P196+'10-3'!P196+'11-3'!P196+'12-3'!P196+'13-3'!P196+'14-3'!P196+'15-3'!P196+'16-3'!P196+'17-3'!P196+'18-3'!P196+'19-3'!P196+'21-3'!P196+'22-3'!P196+'24-3'!P196+'25-3'!P196+'28-3'!P196+'29-3'!P196+'30-3'!P196+'32-3'!P196+'35-3'!P196+'37-3'!P196+'47-3'!P196+'62-3'!P196+'64-3'!P196+'74-3'!P196</f>
        <v>0</v>
      </c>
      <c r="Q450" s="106">
        <f>'01-3'!Q196+'02-3'!Q196+'03-3'!Q196+'04-3'!Q196+'05-3'!Q196+'08-3'!Q196+'09-3'!Q196+'10-3'!Q196+'11-3'!Q196+'12-3'!Q196+'13-3'!Q196+'14-3'!Q196+'15-3'!Q196+'16-3'!Q196+'17-3'!Q196+'18-3'!Q196+'19-3'!Q196+'21-3'!Q196+'22-3'!Q196+'24-3'!Q196+'25-3'!Q196+'28-3'!Q196+'29-3'!Q196+'30-3'!Q196+'32-3'!Q196+'35-3'!Q196+'37-3'!Q196+'47-3'!Q196+'62-3'!Q196+'64-3'!Q196+'74-3'!Q196</f>
        <v>0</v>
      </c>
      <c r="R450" s="106">
        <f>'01-3'!R196+'02-3'!R196+'03-3'!R196+'04-3'!R196+'05-3'!R196+'08-3'!R196+'09-3'!R196+'10-3'!R196+'11-3'!R196+'12-3'!R196+'13-3'!R196+'14-3'!R196+'15-3'!R196+'16-3'!R196+'17-3'!R196+'18-3'!R196+'19-3'!R196+'21-3'!R196+'22-3'!R196+'24-3'!R196+'25-3'!R196+'28-3'!R196+'29-3'!R196+'30-3'!R196+'32-3'!R196+'35-3'!R196+'37-3'!R196+'47-3'!R196+'62-3'!R196+'64-3'!R196+'74-3'!R196</f>
        <v>255589</v>
      </c>
      <c r="S450" s="954"/>
      <c r="T450" s="954"/>
      <c r="U450" s="954"/>
      <c r="V450" s="954"/>
      <c r="W450" s="954"/>
    </row>
    <row r="451" spans="1:23" s="6" customFormat="1" ht="60" hidden="1">
      <c r="A451" s="149">
        <v>17120</v>
      </c>
      <c r="B451" s="208" t="s">
        <v>219</v>
      </c>
      <c r="C451" s="106">
        <f>'01-3'!C197+'02-3'!C197+'03-3'!C197+'04-3'!C197+'05-3'!C197+'08-3'!C197+'09-3'!C197+'10-3'!C197+'11-3'!C197+'12-3'!C197+'13-3'!C197+'14-3'!C197+'15-3'!C197+'16-3'!C197+'17-3'!C197+'18-3'!C197+'19-3'!C197+'21-3'!C197+'22-3'!C197+'24-3'!C197+'25-3'!C197+'28-3'!C197+'29-3'!C197+'30-3'!C197+'32-3'!C197+'35-3'!C197+'37-3'!C197+'47-3'!C197+'62-3'!C197+'64-3'!C197+'74-3'!C197</f>
        <v>0</v>
      </c>
      <c r="D451" s="106">
        <f>'01-3'!D197+'02-3'!D197+'03-3'!D197+'04-3'!D197+'05-3'!D197+'08-3'!D197+'09-3'!D197+'10-3'!D197+'11-3'!D197+'12-3'!D197+'13-3'!D197+'14-3'!D197+'15-3'!D197+'16-3'!D197+'17-3'!D197+'18-3'!D197+'19-3'!D197+'21-3'!D197+'22-3'!D197+'24-3'!D197+'25-3'!D197+'28-3'!D197+'29-3'!D197+'30-3'!D197+'32-3'!D197+'35-3'!D197+'37-3'!D197+'47-3'!D197+'62-3'!D197+'64-3'!D197+'74-3'!D197</f>
        <v>0</v>
      </c>
      <c r="E451" s="106">
        <f>'01-3'!E197+'02-3'!E197+'03-3'!E197+'04-3'!E197+'05-3'!E197+'08-3'!E197+'09-3'!E197+'10-3'!E197+'11-3'!E197+'12-3'!E197+'13-3'!E197+'14-3'!E197+'15-3'!E197+'16-3'!E197+'17-3'!E197+'18-3'!E197+'19-3'!E197+'21-3'!E197+'22-3'!E197+'24-3'!E197+'25-3'!E197+'28-3'!E197+'29-3'!E197+'30-3'!E197+'32-3'!E197+'35-3'!E197+'37-3'!E197+'47-3'!E197+'62-3'!E197+'64-3'!E197+'74-3'!E197</f>
        <v>0</v>
      </c>
      <c r="F451" s="106">
        <f>'01-3'!F197+'02-3'!F197+'03-3'!F197+'04-3'!F197+'05-3'!F197+'08-3'!F197+'09-3'!F197+'10-3'!F197+'11-3'!F197+'12-3'!F197+'13-3'!F197+'14-3'!F197+'15-3'!F197+'16-3'!F197+'17-3'!F197+'18-3'!F197+'19-3'!F197+'21-3'!F197+'22-3'!F197+'24-3'!F197+'25-3'!F197+'28-3'!F197+'29-3'!F197+'30-3'!F197+'32-3'!F197+'35-3'!F197+'37-3'!F197+'47-3'!F197+'62-3'!F197+'64-3'!F197+'74-3'!F197</f>
        <v>0</v>
      </c>
      <c r="G451" s="106">
        <f>'01-3'!G197+'02-3'!G197+'03-3'!G197+'04-3'!G197+'05-3'!G197+'08-3'!G197+'09-3'!G197+'10-3'!G197+'11-3'!G197+'12-3'!G197+'13-3'!G197+'14-3'!G197+'15-3'!G197+'16-3'!G197+'17-3'!G197+'18-3'!G197+'19-3'!G197+'21-3'!G197+'22-3'!G197+'24-3'!G197+'25-3'!G197+'28-3'!G197+'29-3'!G197+'30-3'!G197+'32-3'!G197+'35-3'!G197+'37-3'!G197+'47-3'!G197+'62-3'!G197+'64-3'!G197+'74-3'!G197</f>
        <v>0</v>
      </c>
      <c r="H451" s="106">
        <f>'01-3'!H197+'02-3'!H197+'03-3'!H197+'04-3'!H197+'05-3'!H197+'08-3'!H197+'09-3'!H197+'10-3'!H197+'11-3'!H197+'12-3'!H197+'13-3'!H197+'14-3'!H197+'15-3'!H197+'16-3'!H197+'17-3'!H197+'18-3'!H197+'19-3'!H197+'21-3'!H197+'22-3'!H197+'24-3'!H197+'25-3'!H197+'28-3'!H197+'29-3'!H197+'30-3'!H197+'32-3'!H197+'35-3'!H197+'37-3'!H197+'47-3'!H197+'62-3'!H197+'64-3'!H197+'74-3'!H197</f>
        <v>0</v>
      </c>
      <c r="I451" s="106">
        <f>'01-3'!I197+'02-3'!I197+'03-3'!I197+'04-3'!I197+'05-3'!I197+'08-3'!I197+'09-3'!I197+'10-3'!I197+'11-3'!I197+'12-3'!I197+'13-3'!I197+'14-3'!I197+'15-3'!I197+'16-3'!I197+'17-3'!I197+'18-3'!I197+'19-3'!I197+'21-3'!I197+'22-3'!I197+'24-3'!I197+'25-3'!I197+'28-3'!I197+'29-3'!I197+'30-3'!I197+'32-3'!I197+'35-3'!I197+'37-3'!I197+'47-3'!I197+'62-3'!I197+'64-3'!I197+'74-3'!I197</f>
        <v>0</v>
      </c>
      <c r="J451" s="106">
        <f>'01-3'!J197+'02-3'!J197+'03-3'!J197+'04-3'!J197+'05-3'!J197+'08-3'!J197+'09-3'!J197+'10-3'!J197+'11-3'!J197+'12-3'!J197+'13-3'!J197+'14-3'!J197+'15-3'!J197+'16-3'!J197+'17-3'!J197+'18-3'!J197+'19-3'!J197+'21-3'!J197+'22-3'!J197+'24-3'!J197+'25-3'!J197+'28-3'!J197+'29-3'!J197+'30-3'!J197+'32-3'!J197+'35-3'!J197+'37-3'!J197+'47-3'!J197+'62-3'!J197+'64-3'!J197+'74-3'!J197</f>
        <v>0</v>
      </c>
      <c r="K451" s="106">
        <f>'01-3'!K197+'02-3'!K197+'03-3'!K197+'04-3'!K197+'05-3'!K197+'08-3'!K197+'09-3'!K197+'10-3'!K197+'11-3'!K197+'12-3'!K197+'13-3'!K197+'14-3'!K197+'15-3'!K197+'16-3'!K197+'17-3'!K197+'18-3'!K197+'19-3'!K197+'21-3'!K197+'22-3'!K197+'24-3'!K197+'25-3'!K197+'28-3'!K197+'29-3'!K197+'30-3'!K197+'32-3'!K197+'35-3'!K197+'37-3'!K197+'47-3'!K197+'62-3'!K197+'64-3'!K197+'74-3'!K197</f>
        <v>0</v>
      </c>
      <c r="L451" s="106">
        <f>'01-3'!L197+'02-3'!L197+'03-3'!L197+'04-3'!L197+'05-3'!L197+'08-3'!L197+'09-3'!L197+'10-3'!L197+'11-3'!L197+'12-3'!L197+'13-3'!L197+'14-3'!L197+'15-3'!L197+'16-3'!L197+'17-3'!L197+'18-3'!L197+'19-3'!L197+'21-3'!L197+'22-3'!L197+'24-3'!L197+'25-3'!L197+'28-3'!L197+'29-3'!L197+'30-3'!L197+'32-3'!L197+'35-3'!L197+'37-3'!L197+'47-3'!L197+'62-3'!L197+'64-3'!L197+'74-3'!L197</f>
        <v>0</v>
      </c>
      <c r="M451" s="106">
        <f>'01-3'!M197+'02-3'!M197+'03-3'!M197+'04-3'!M197+'05-3'!M197+'08-3'!M197+'09-3'!M197+'10-3'!M197+'11-3'!M197+'12-3'!M197+'13-3'!M197+'14-3'!M197+'15-3'!M197+'16-3'!M197+'17-3'!M197+'18-3'!M197+'19-3'!M197+'21-3'!M197+'22-3'!M197+'24-3'!M197+'25-3'!M197+'28-3'!M197+'29-3'!M197+'30-3'!M197+'32-3'!M197+'35-3'!M197+'37-3'!M197+'47-3'!M197+'62-3'!M197+'64-3'!M197+'74-3'!M197</f>
        <v>0</v>
      </c>
      <c r="N451" s="106">
        <f>'01-3'!N197+'02-3'!N197+'03-3'!N197+'04-3'!N197+'05-3'!N197+'08-3'!N197+'09-3'!N197+'10-3'!N197+'11-3'!N197+'12-3'!N197+'13-3'!N197+'14-3'!N197+'15-3'!N197+'16-3'!N197+'17-3'!N197+'18-3'!N197+'19-3'!N197+'21-3'!N197+'22-3'!N197+'24-3'!N197+'25-3'!N197+'28-3'!N197+'29-3'!N197+'30-3'!N197+'32-3'!N197+'35-3'!N197+'37-3'!N197+'47-3'!N197+'62-3'!N197+'64-3'!N197+'74-3'!N197</f>
        <v>0</v>
      </c>
      <c r="O451" s="106">
        <f>'01-3'!O197+'02-3'!O197+'03-3'!O197+'04-3'!O197+'05-3'!O197+'08-3'!O197+'09-3'!O197+'10-3'!O197+'11-3'!O197+'12-3'!O197+'13-3'!O197+'14-3'!O197+'15-3'!O197+'16-3'!O197+'17-3'!O197+'18-3'!O197+'19-3'!O197+'21-3'!O197+'22-3'!O197+'24-3'!O197+'25-3'!O197+'28-3'!O197+'29-3'!O197+'30-3'!O197+'32-3'!O197+'35-3'!O197+'37-3'!O197+'47-3'!O197+'62-3'!O197+'64-3'!O197+'74-3'!O197</f>
        <v>0</v>
      </c>
      <c r="P451" s="106">
        <f>'01-3'!P197+'02-3'!P197+'03-3'!P197+'04-3'!P197+'05-3'!P197+'08-3'!P197+'09-3'!P197+'10-3'!P197+'11-3'!P197+'12-3'!P197+'13-3'!P197+'14-3'!P197+'15-3'!P197+'16-3'!P197+'17-3'!P197+'18-3'!P197+'19-3'!P197+'21-3'!P197+'22-3'!P197+'24-3'!P197+'25-3'!P197+'28-3'!P197+'29-3'!P197+'30-3'!P197+'32-3'!P197+'35-3'!P197+'37-3'!P197+'47-3'!P197+'62-3'!P197+'64-3'!P197+'74-3'!P197</f>
        <v>0</v>
      </c>
      <c r="Q451" s="106">
        <f>'01-3'!Q197+'02-3'!Q197+'03-3'!Q197+'04-3'!Q197+'05-3'!Q197+'08-3'!Q197+'09-3'!Q197+'10-3'!Q197+'11-3'!Q197+'12-3'!Q197+'13-3'!Q197+'14-3'!Q197+'15-3'!Q197+'16-3'!Q197+'17-3'!Q197+'18-3'!Q197+'19-3'!Q197+'21-3'!Q197+'22-3'!Q197+'24-3'!Q197+'25-3'!Q197+'28-3'!Q197+'29-3'!Q197+'30-3'!Q197+'32-3'!Q197+'35-3'!Q197+'37-3'!Q197+'47-3'!Q197+'62-3'!Q197+'64-3'!Q197+'74-3'!Q197</f>
        <v>0</v>
      </c>
      <c r="R451" s="106">
        <f>'01-3'!R197+'02-3'!R197+'03-3'!R197+'04-3'!R197+'05-3'!R197+'08-3'!R197+'09-3'!R197+'10-3'!R197+'11-3'!R197+'12-3'!R197+'13-3'!R197+'14-3'!R197+'15-3'!R197+'16-3'!R197+'17-3'!R197+'18-3'!R197+'19-3'!R197+'21-3'!R197+'22-3'!R197+'24-3'!R197+'25-3'!R197+'28-3'!R197+'29-3'!R197+'30-3'!R197+'32-3'!R197+'35-3'!R197+'37-3'!R197+'47-3'!R197+'62-3'!R197+'64-3'!R197+'74-3'!R197</f>
        <v>0</v>
      </c>
      <c r="S451" s="954"/>
      <c r="T451" s="954"/>
      <c r="U451" s="954"/>
      <c r="V451" s="954"/>
      <c r="W451" s="954"/>
    </row>
    <row r="452" spans="1:23" s="6" customFormat="1" ht="108" hidden="1">
      <c r="A452" s="149">
        <v>17130</v>
      </c>
      <c r="B452" s="208" t="s">
        <v>220</v>
      </c>
      <c r="C452" s="106">
        <f>'01-3'!C198+'02-3'!C198+'03-3'!C198+'04-3'!C198+'05-3'!C198+'08-3'!C198+'09-3'!C198+'10-3'!C198+'11-3'!C198+'12-3'!C198+'13-3'!C198+'14-3'!C198+'15-3'!C198+'16-3'!C198+'17-3'!C198+'18-3'!C198+'19-3'!C198+'21-3'!C198+'22-3'!C198+'24-3'!C198+'25-3'!C198+'28-3'!C198+'29-3'!C198+'30-3'!C198+'32-3'!C198+'35-3'!C198+'37-3'!C198+'47-3'!C198+'62-3'!C198+'64-3'!C198+'74-3'!C198</f>
        <v>0</v>
      </c>
      <c r="D452" s="106">
        <f>'01-3'!D198+'02-3'!D198+'03-3'!D198+'04-3'!D198+'05-3'!D198+'08-3'!D198+'09-3'!D198+'10-3'!D198+'11-3'!D198+'12-3'!D198+'13-3'!D198+'14-3'!D198+'15-3'!D198+'16-3'!D198+'17-3'!D198+'18-3'!D198+'19-3'!D198+'21-3'!D198+'22-3'!D198+'24-3'!D198+'25-3'!D198+'28-3'!D198+'29-3'!D198+'30-3'!D198+'32-3'!D198+'35-3'!D198+'37-3'!D198+'47-3'!D198+'62-3'!D198+'64-3'!D198+'74-3'!D198</f>
        <v>0</v>
      </c>
      <c r="E452" s="106">
        <f>'01-3'!E198+'02-3'!E198+'03-3'!E198+'04-3'!E198+'05-3'!E198+'08-3'!E198+'09-3'!E198+'10-3'!E198+'11-3'!E198+'12-3'!E198+'13-3'!E198+'14-3'!E198+'15-3'!E198+'16-3'!E198+'17-3'!E198+'18-3'!E198+'19-3'!E198+'21-3'!E198+'22-3'!E198+'24-3'!E198+'25-3'!E198+'28-3'!E198+'29-3'!E198+'30-3'!E198+'32-3'!E198+'35-3'!E198+'37-3'!E198+'47-3'!E198+'62-3'!E198+'64-3'!E198+'74-3'!E198</f>
        <v>0</v>
      </c>
      <c r="F452" s="106">
        <f>'01-3'!F198+'02-3'!F198+'03-3'!F198+'04-3'!F198+'05-3'!F198+'08-3'!F198+'09-3'!F198+'10-3'!F198+'11-3'!F198+'12-3'!F198+'13-3'!F198+'14-3'!F198+'15-3'!F198+'16-3'!F198+'17-3'!F198+'18-3'!F198+'19-3'!F198+'21-3'!F198+'22-3'!F198+'24-3'!F198+'25-3'!F198+'28-3'!F198+'29-3'!F198+'30-3'!F198+'32-3'!F198+'35-3'!F198+'37-3'!F198+'47-3'!F198+'62-3'!F198+'64-3'!F198+'74-3'!F198</f>
        <v>0</v>
      </c>
      <c r="G452" s="106">
        <f>'01-3'!G198+'02-3'!G198+'03-3'!G198+'04-3'!G198+'05-3'!G198+'08-3'!G198+'09-3'!G198+'10-3'!G198+'11-3'!G198+'12-3'!G198+'13-3'!G198+'14-3'!G198+'15-3'!G198+'16-3'!G198+'17-3'!G198+'18-3'!G198+'19-3'!G198+'21-3'!G198+'22-3'!G198+'24-3'!G198+'25-3'!G198+'28-3'!G198+'29-3'!G198+'30-3'!G198+'32-3'!G198+'35-3'!G198+'37-3'!G198+'47-3'!G198+'62-3'!G198+'64-3'!G198+'74-3'!G198</f>
        <v>0</v>
      </c>
      <c r="H452" s="106">
        <f>'01-3'!H198+'02-3'!H198+'03-3'!H198+'04-3'!H198+'05-3'!H198+'08-3'!H198+'09-3'!H198+'10-3'!H198+'11-3'!H198+'12-3'!H198+'13-3'!H198+'14-3'!H198+'15-3'!H198+'16-3'!H198+'17-3'!H198+'18-3'!H198+'19-3'!H198+'21-3'!H198+'22-3'!H198+'24-3'!H198+'25-3'!H198+'28-3'!H198+'29-3'!H198+'30-3'!H198+'32-3'!H198+'35-3'!H198+'37-3'!H198+'47-3'!H198+'62-3'!H198+'64-3'!H198+'74-3'!H198</f>
        <v>0</v>
      </c>
      <c r="I452" s="106">
        <f>'01-3'!I198+'02-3'!I198+'03-3'!I198+'04-3'!I198+'05-3'!I198+'08-3'!I198+'09-3'!I198+'10-3'!I198+'11-3'!I198+'12-3'!I198+'13-3'!I198+'14-3'!I198+'15-3'!I198+'16-3'!I198+'17-3'!I198+'18-3'!I198+'19-3'!I198+'21-3'!I198+'22-3'!I198+'24-3'!I198+'25-3'!I198+'28-3'!I198+'29-3'!I198+'30-3'!I198+'32-3'!I198+'35-3'!I198+'37-3'!I198+'47-3'!I198+'62-3'!I198+'64-3'!I198+'74-3'!I198</f>
        <v>0</v>
      </c>
      <c r="J452" s="106">
        <f>'01-3'!J198+'02-3'!J198+'03-3'!J198+'04-3'!J198+'05-3'!J198+'08-3'!J198+'09-3'!J198+'10-3'!J198+'11-3'!J198+'12-3'!J198+'13-3'!J198+'14-3'!J198+'15-3'!J198+'16-3'!J198+'17-3'!J198+'18-3'!J198+'19-3'!J198+'21-3'!J198+'22-3'!J198+'24-3'!J198+'25-3'!J198+'28-3'!J198+'29-3'!J198+'30-3'!J198+'32-3'!J198+'35-3'!J198+'37-3'!J198+'47-3'!J198+'62-3'!J198+'64-3'!J198+'74-3'!J198</f>
        <v>0</v>
      </c>
      <c r="K452" s="106">
        <f>'01-3'!K198+'02-3'!K198+'03-3'!K198+'04-3'!K198+'05-3'!K198+'08-3'!K198+'09-3'!K198+'10-3'!K198+'11-3'!K198+'12-3'!K198+'13-3'!K198+'14-3'!K198+'15-3'!K198+'16-3'!K198+'17-3'!K198+'18-3'!K198+'19-3'!K198+'21-3'!K198+'22-3'!K198+'24-3'!K198+'25-3'!K198+'28-3'!K198+'29-3'!K198+'30-3'!K198+'32-3'!K198+'35-3'!K198+'37-3'!K198+'47-3'!K198+'62-3'!K198+'64-3'!K198+'74-3'!K198</f>
        <v>0</v>
      </c>
      <c r="L452" s="106">
        <f>'01-3'!L198+'02-3'!L198+'03-3'!L198+'04-3'!L198+'05-3'!L198+'08-3'!L198+'09-3'!L198+'10-3'!L198+'11-3'!L198+'12-3'!L198+'13-3'!L198+'14-3'!L198+'15-3'!L198+'16-3'!L198+'17-3'!L198+'18-3'!L198+'19-3'!L198+'21-3'!L198+'22-3'!L198+'24-3'!L198+'25-3'!L198+'28-3'!L198+'29-3'!L198+'30-3'!L198+'32-3'!L198+'35-3'!L198+'37-3'!L198+'47-3'!L198+'62-3'!L198+'64-3'!L198+'74-3'!L198</f>
        <v>0</v>
      </c>
      <c r="M452" s="106">
        <f>'01-3'!M198+'02-3'!M198+'03-3'!M198+'04-3'!M198+'05-3'!M198+'08-3'!M198+'09-3'!M198+'10-3'!M198+'11-3'!M198+'12-3'!M198+'13-3'!M198+'14-3'!M198+'15-3'!M198+'16-3'!M198+'17-3'!M198+'18-3'!M198+'19-3'!M198+'21-3'!M198+'22-3'!M198+'24-3'!M198+'25-3'!M198+'28-3'!M198+'29-3'!M198+'30-3'!M198+'32-3'!M198+'35-3'!M198+'37-3'!M198+'47-3'!M198+'62-3'!M198+'64-3'!M198+'74-3'!M198</f>
        <v>0</v>
      </c>
      <c r="N452" s="106">
        <f>'01-3'!N198+'02-3'!N198+'03-3'!N198+'04-3'!N198+'05-3'!N198+'08-3'!N198+'09-3'!N198+'10-3'!N198+'11-3'!N198+'12-3'!N198+'13-3'!N198+'14-3'!N198+'15-3'!N198+'16-3'!N198+'17-3'!N198+'18-3'!N198+'19-3'!N198+'21-3'!N198+'22-3'!N198+'24-3'!N198+'25-3'!N198+'28-3'!N198+'29-3'!N198+'30-3'!N198+'32-3'!N198+'35-3'!N198+'37-3'!N198+'47-3'!N198+'62-3'!N198+'64-3'!N198+'74-3'!N198</f>
        <v>0</v>
      </c>
      <c r="O452" s="106">
        <f>'01-3'!O198+'02-3'!O198+'03-3'!O198+'04-3'!O198+'05-3'!O198+'08-3'!O198+'09-3'!O198+'10-3'!O198+'11-3'!O198+'12-3'!O198+'13-3'!O198+'14-3'!O198+'15-3'!O198+'16-3'!O198+'17-3'!O198+'18-3'!O198+'19-3'!O198+'21-3'!O198+'22-3'!O198+'24-3'!O198+'25-3'!O198+'28-3'!O198+'29-3'!O198+'30-3'!O198+'32-3'!O198+'35-3'!O198+'37-3'!O198+'47-3'!O198+'62-3'!O198+'64-3'!O198+'74-3'!O198</f>
        <v>0</v>
      </c>
      <c r="P452" s="106">
        <f>'01-3'!P198+'02-3'!P198+'03-3'!P198+'04-3'!P198+'05-3'!P198+'08-3'!P198+'09-3'!P198+'10-3'!P198+'11-3'!P198+'12-3'!P198+'13-3'!P198+'14-3'!P198+'15-3'!P198+'16-3'!P198+'17-3'!P198+'18-3'!P198+'19-3'!P198+'21-3'!P198+'22-3'!P198+'24-3'!P198+'25-3'!P198+'28-3'!P198+'29-3'!P198+'30-3'!P198+'32-3'!P198+'35-3'!P198+'37-3'!P198+'47-3'!P198+'62-3'!P198+'64-3'!P198+'74-3'!P198</f>
        <v>0</v>
      </c>
      <c r="Q452" s="106">
        <f>'01-3'!Q198+'02-3'!Q198+'03-3'!Q198+'04-3'!Q198+'05-3'!Q198+'08-3'!Q198+'09-3'!Q198+'10-3'!Q198+'11-3'!Q198+'12-3'!Q198+'13-3'!Q198+'14-3'!Q198+'15-3'!Q198+'16-3'!Q198+'17-3'!Q198+'18-3'!Q198+'19-3'!Q198+'21-3'!Q198+'22-3'!Q198+'24-3'!Q198+'25-3'!Q198+'28-3'!Q198+'29-3'!Q198+'30-3'!Q198+'32-3'!Q198+'35-3'!Q198+'37-3'!Q198+'47-3'!Q198+'62-3'!Q198+'64-3'!Q198+'74-3'!Q198</f>
        <v>0</v>
      </c>
      <c r="R452" s="106">
        <f>'01-3'!R198+'02-3'!R198+'03-3'!R198+'04-3'!R198+'05-3'!R198+'08-3'!R198+'09-3'!R198+'10-3'!R198+'11-3'!R198+'12-3'!R198+'13-3'!R198+'14-3'!R198+'15-3'!R198+'16-3'!R198+'17-3'!R198+'18-3'!R198+'19-3'!R198+'21-3'!R198+'22-3'!R198+'24-3'!R198+'25-3'!R198+'28-3'!R198+'29-3'!R198+'30-3'!R198+'32-3'!R198+'35-3'!R198+'37-3'!R198+'47-3'!R198+'62-3'!R198+'64-3'!R198+'74-3'!R198</f>
        <v>0</v>
      </c>
      <c r="S452" s="954"/>
      <c r="T452" s="954"/>
      <c r="U452" s="954"/>
      <c r="V452" s="954"/>
      <c r="W452" s="954"/>
    </row>
    <row r="453" spans="1:23" s="6" customFormat="1" ht="108" hidden="1">
      <c r="A453" s="149">
        <v>17140</v>
      </c>
      <c r="B453" s="208" t="s">
        <v>221</v>
      </c>
      <c r="C453" s="106">
        <f>'01-3'!C199+'02-3'!C199+'03-3'!C199+'04-3'!C199+'05-3'!C199+'08-3'!C199+'09-3'!C199+'10-3'!C199+'11-3'!C199+'12-3'!C199+'13-3'!C199+'14-3'!C199+'15-3'!C199+'16-3'!C199+'17-3'!C199+'18-3'!C199+'19-3'!C199+'21-3'!C199+'22-3'!C199+'24-3'!C199+'25-3'!C199+'28-3'!C199+'29-3'!C199+'30-3'!C199+'32-3'!C199+'35-3'!C199+'37-3'!C199+'47-3'!C199+'62-3'!C199+'64-3'!C199+'74-3'!C199</f>
        <v>0</v>
      </c>
      <c r="D453" s="106">
        <f>'01-3'!D199+'02-3'!D199+'03-3'!D199+'04-3'!D199+'05-3'!D199+'08-3'!D199+'09-3'!D199+'10-3'!D199+'11-3'!D199+'12-3'!D199+'13-3'!D199+'14-3'!D199+'15-3'!D199+'16-3'!D199+'17-3'!D199+'18-3'!D199+'19-3'!D199+'21-3'!D199+'22-3'!D199+'24-3'!D199+'25-3'!D199+'28-3'!D199+'29-3'!D199+'30-3'!D199+'32-3'!D199+'35-3'!D199+'37-3'!D199+'47-3'!D199+'62-3'!D199+'64-3'!D199+'74-3'!D199</f>
        <v>0</v>
      </c>
      <c r="E453" s="106">
        <f>'01-3'!E199+'02-3'!E199+'03-3'!E199+'04-3'!E199+'05-3'!E199+'08-3'!E199+'09-3'!E199+'10-3'!E199+'11-3'!E199+'12-3'!E199+'13-3'!E199+'14-3'!E199+'15-3'!E199+'16-3'!E199+'17-3'!E199+'18-3'!E199+'19-3'!E199+'21-3'!E199+'22-3'!E199+'24-3'!E199+'25-3'!E199+'28-3'!E199+'29-3'!E199+'30-3'!E199+'32-3'!E199+'35-3'!E199+'37-3'!E199+'47-3'!E199+'62-3'!E199+'64-3'!E199+'74-3'!E199</f>
        <v>0</v>
      </c>
      <c r="F453" s="106">
        <f>'01-3'!F199+'02-3'!F199+'03-3'!F199+'04-3'!F199+'05-3'!F199+'08-3'!F199+'09-3'!F199+'10-3'!F199+'11-3'!F199+'12-3'!F199+'13-3'!F199+'14-3'!F199+'15-3'!F199+'16-3'!F199+'17-3'!F199+'18-3'!F199+'19-3'!F199+'21-3'!F199+'22-3'!F199+'24-3'!F199+'25-3'!F199+'28-3'!F199+'29-3'!F199+'30-3'!F199+'32-3'!F199+'35-3'!F199+'37-3'!F199+'47-3'!F199+'62-3'!F199+'64-3'!F199+'74-3'!F199</f>
        <v>0</v>
      </c>
      <c r="G453" s="106">
        <f>'01-3'!G199+'02-3'!G199+'03-3'!G199+'04-3'!G199+'05-3'!G199+'08-3'!G199+'09-3'!G199+'10-3'!G199+'11-3'!G199+'12-3'!G199+'13-3'!G199+'14-3'!G199+'15-3'!G199+'16-3'!G199+'17-3'!G199+'18-3'!G199+'19-3'!G199+'21-3'!G199+'22-3'!G199+'24-3'!G199+'25-3'!G199+'28-3'!G199+'29-3'!G199+'30-3'!G199+'32-3'!G199+'35-3'!G199+'37-3'!G199+'47-3'!G199+'62-3'!G199+'64-3'!G199+'74-3'!G199</f>
        <v>0</v>
      </c>
      <c r="H453" s="106">
        <f>'01-3'!H199+'02-3'!H199+'03-3'!H199+'04-3'!H199+'05-3'!H199+'08-3'!H199+'09-3'!H199+'10-3'!H199+'11-3'!H199+'12-3'!H199+'13-3'!H199+'14-3'!H199+'15-3'!H199+'16-3'!H199+'17-3'!H199+'18-3'!H199+'19-3'!H199+'21-3'!H199+'22-3'!H199+'24-3'!H199+'25-3'!H199+'28-3'!H199+'29-3'!H199+'30-3'!H199+'32-3'!H199+'35-3'!H199+'37-3'!H199+'47-3'!H199+'62-3'!H199+'64-3'!H199+'74-3'!H199</f>
        <v>0</v>
      </c>
      <c r="I453" s="106">
        <f>'01-3'!I199+'02-3'!I199+'03-3'!I199+'04-3'!I199+'05-3'!I199+'08-3'!I199+'09-3'!I199+'10-3'!I199+'11-3'!I199+'12-3'!I199+'13-3'!I199+'14-3'!I199+'15-3'!I199+'16-3'!I199+'17-3'!I199+'18-3'!I199+'19-3'!I199+'21-3'!I199+'22-3'!I199+'24-3'!I199+'25-3'!I199+'28-3'!I199+'29-3'!I199+'30-3'!I199+'32-3'!I199+'35-3'!I199+'37-3'!I199+'47-3'!I199+'62-3'!I199+'64-3'!I199+'74-3'!I199</f>
        <v>0</v>
      </c>
      <c r="J453" s="106">
        <f>'01-3'!J199+'02-3'!J199+'03-3'!J199+'04-3'!J199+'05-3'!J199+'08-3'!J199+'09-3'!J199+'10-3'!J199+'11-3'!J199+'12-3'!J199+'13-3'!J199+'14-3'!J199+'15-3'!J199+'16-3'!J199+'17-3'!J199+'18-3'!J199+'19-3'!J199+'21-3'!J199+'22-3'!J199+'24-3'!J199+'25-3'!J199+'28-3'!J199+'29-3'!J199+'30-3'!J199+'32-3'!J199+'35-3'!J199+'37-3'!J199+'47-3'!J199+'62-3'!J199+'64-3'!J199+'74-3'!J199</f>
        <v>0</v>
      </c>
      <c r="K453" s="106">
        <f>'01-3'!K199+'02-3'!K199+'03-3'!K199+'04-3'!K199+'05-3'!K199+'08-3'!K199+'09-3'!K199+'10-3'!K199+'11-3'!K199+'12-3'!K199+'13-3'!K199+'14-3'!K199+'15-3'!K199+'16-3'!K199+'17-3'!K199+'18-3'!K199+'19-3'!K199+'21-3'!K199+'22-3'!K199+'24-3'!K199+'25-3'!K199+'28-3'!K199+'29-3'!K199+'30-3'!K199+'32-3'!K199+'35-3'!K199+'37-3'!K199+'47-3'!K199+'62-3'!K199+'64-3'!K199+'74-3'!K199</f>
        <v>0</v>
      </c>
      <c r="L453" s="106">
        <f>'01-3'!L199+'02-3'!L199+'03-3'!L199+'04-3'!L199+'05-3'!L199+'08-3'!L199+'09-3'!L199+'10-3'!L199+'11-3'!L199+'12-3'!L199+'13-3'!L199+'14-3'!L199+'15-3'!L199+'16-3'!L199+'17-3'!L199+'18-3'!L199+'19-3'!L199+'21-3'!L199+'22-3'!L199+'24-3'!L199+'25-3'!L199+'28-3'!L199+'29-3'!L199+'30-3'!L199+'32-3'!L199+'35-3'!L199+'37-3'!L199+'47-3'!L199+'62-3'!L199+'64-3'!L199+'74-3'!L199</f>
        <v>0</v>
      </c>
      <c r="M453" s="106">
        <f>'01-3'!M199+'02-3'!M199+'03-3'!M199+'04-3'!M199+'05-3'!M199+'08-3'!M199+'09-3'!M199+'10-3'!M199+'11-3'!M199+'12-3'!M199+'13-3'!M199+'14-3'!M199+'15-3'!M199+'16-3'!M199+'17-3'!M199+'18-3'!M199+'19-3'!M199+'21-3'!M199+'22-3'!M199+'24-3'!M199+'25-3'!M199+'28-3'!M199+'29-3'!M199+'30-3'!M199+'32-3'!M199+'35-3'!M199+'37-3'!M199+'47-3'!M199+'62-3'!M199+'64-3'!M199+'74-3'!M199</f>
        <v>0</v>
      </c>
      <c r="N453" s="106">
        <f>'01-3'!N199+'02-3'!N199+'03-3'!N199+'04-3'!N199+'05-3'!N199+'08-3'!N199+'09-3'!N199+'10-3'!N199+'11-3'!N199+'12-3'!N199+'13-3'!N199+'14-3'!N199+'15-3'!N199+'16-3'!N199+'17-3'!N199+'18-3'!N199+'19-3'!N199+'21-3'!N199+'22-3'!N199+'24-3'!N199+'25-3'!N199+'28-3'!N199+'29-3'!N199+'30-3'!N199+'32-3'!N199+'35-3'!N199+'37-3'!N199+'47-3'!N199+'62-3'!N199+'64-3'!N199+'74-3'!N199</f>
        <v>0</v>
      </c>
      <c r="O453" s="106">
        <f>'01-3'!O199+'02-3'!O199+'03-3'!O199+'04-3'!O199+'05-3'!O199+'08-3'!O199+'09-3'!O199+'10-3'!O199+'11-3'!O199+'12-3'!O199+'13-3'!O199+'14-3'!O199+'15-3'!O199+'16-3'!O199+'17-3'!O199+'18-3'!O199+'19-3'!O199+'21-3'!O199+'22-3'!O199+'24-3'!O199+'25-3'!O199+'28-3'!O199+'29-3'!O199+'30-3'!O199+'32-3'!O199+'35-3'!O199+'37-3'!O199+'47-3'!O199+'62-3'!O199+'64-3'!O199+'74-3'!O199</f>
        <v>0</v>
      </c>
      <c r="P453" s="106">
        <f>'01-3'!P199+'02-3'!P199+'03-3'!P199+'04-3'!P199+'05-3'!P199+'08-3'!P199+'09-3'!P199+'10-3'!P199+'11-3'!P199+'12-3'!P199+'13-3'!P199+'14-3'!P199+'15-3'!P199+'16-3'!P199+'17-3'!P199+'18-3'!P199+'19-3'!P199+'21-3'!P199+'22-3'!P199+'24-3'!P199+'25-3'!P199+'28-3'!P199+'29-3'!P199+'30-3'!P199+'32-3'!P199+'35-3'!P199+'37-3'!P199+'47-3'!P199+'62-3'!P199+'64-3'!P199+'74-3'!P199</f>
        <v>0</v>
      </c>
      <c r="Q453" s="106">
        <f>'01-3'!Q199+'02-3'!Q199+'03-3'!Q199+'04-3'!Q199+'05-3'!Q199+'08-3'!Q199+'09-3'!Q199+'10-3'!Q199+'11-3'!Q199+'12-3'!Q199+'13-3'!Q199+'14-3'!Q199+'15-3'!Q199+'16-3'!Q199+'17-3'!Q199+'18-3'!Q199+'19-3'!Q199+'21-3'!Q199+'22-3'!Q199+'24-3'!Q199+'25-3'!Q199+'28-3'!Q199+'29-3'!Q199+'30-3'!Q199+'32-3'!Q199+'35-3'!Q199+'37-3'!Q199+'47-3'!Q199+'62-3'!Q199+'64-3'!Q199+'74-3'!Q199</f>
        <v>0</v>
      </c>
      <c r="R453" s="106">
        <f>'01-3'!R199+'02-3'!R199+'03-3'!R199+'04-3'!R199+'05-3'!R199+'08-3'!R199+'09-3'!R199+'10-3'!R199+'11-3'!R199+'12-3'!R199+'13-3'!R199+'14-3'!R199+'15-3'!R199+'16-3'!R199+'17-3'!R199+'18-3'!R199+'19-3'!R199+'21-3'!R199+'22-3'!R199+'24-3'!R199+'25-3'!R199+'28-3'!R199+'29-3'!R199+'30-3'!R199+'32-3'!R199+'35-3'!R199+'37-3'!R199+'47-3'!R199+'62-3'!R199+'64-3'!R199+'74-3'!R199</f>
        <v>0</v>
      </c>
      <c r="S453" s="954"/>
      <c r="T453" s="954"/>
      <c r="U453" s="954"/>
      <c r="V453" s="954"/>
      <c r="W453" s="954"/>
    </row>
    <row r="454" spans="1:23" s="89" customFormat="1" ht="12">
      <c r="A454" s="137">
        <v>21700</v>
      </c>
      <c r="B454" s="100" t="s">
        <v>97</v>
      </c>
      <c r="C454" s="106">
        <f>'01-3'!C200+'02-3'!C200+'03-3'!C200+'04-3'!C200+'05-3'!C200+'08-3'!C200+'09-3'!C200+'10-3'!C200+'11-3'!C200+'12-3'!C200+'13-3'!C200+'14-3'!C200+'15-3'!C200+'16-3'!C200+'17-3'!C200+'18-3'!C200+'19-3'!C200+'21-3'!C200+'22-3'!C200+'24-3'!C200+'25-3'!C200+'28-3'!C200+'29-3'!C200+'30-3'!C200+'32-3'!C200+'35-3'!C200+'37-3'!C200+'47-3'!C200+'62-3'!C200+'64-3'!C200+'74-3'!C200</f>
        <v>1069985214</v>
      </c>
      <c r="D454" s="106">
        <f>'01-3'!D200+'02-3'!D200+'03-3'!D200+'04-3'!D200+'05-3'!D200+'08-3'!D200+'09-3'!D200+'10-3'!D200+'11-3'!D200+'12-3'!D200+'13-3'!D200+'14-3'!D200+'15-3'!D200+'16-3'!D200+'17-3'!D200+'18-3'!D200+'19-3'!D200+'21-3'!D200+'22-3'!D200+'24-3'!D200+'25-3'!D200+'28-3'!D200+'29-3'!D200+'30-3'!D200+'32-3'!D200+'35-3'!D200+'37-3'!D200+'47-3'!D200+'62-3'!D200+'64-3'!D200+'74-3'!D200</f>
        <v>1052990354</v>
      </c>
      <c r="E454" s="106">
        <f>'01-3'!E200+'02-3'!E200+'03-3'!E200+'04-3'!E200+'05-3'!E200+'08-3'!E200+'09-3'!E200+'10-3'!E200+'11-3'!E200+'12-3'!E200+'13-3'!E200+'14-3'!E200+'15-3'!E200+'16-3'!E200+'17-3'!E200+'18-3'!E200+'19-3'!E200+'21-3'!E200+'22-3'!E200+'24-3'!E200+'25-3'!E200+'28-3'!E200+'29-3'!E200+'30-3'!E200+'32-3'!E200+'35-3'!E200+'37-3'!E200+'47-3'!E200+'62-3'!E200+'64-3'!E200+'74-3'!E200</f>
        <v>14024590</v>
      </c>
      <c r="F454" s="106">
        <f>'01-3'!F200+'02-3'!F200+'03-3'!F200+'04-3'!F200+'05-3'!F200+'08-3'!F200+'09-3'!F200+'10-3'!F200+'11-3'!F200+'12-3'!F200+'13-3'!F200+'14-3'!F200+'15-3'!F200+'16-3'!F200+'17-3'!F200+'18-3'!F200+'19-3'!F200+'21-3'!F200+'22-3'!F200+'24-3'!F200+'25-3'!F200+'28-3'!F200+'29-3'!F200+'30-3'!F200+'32-3'!F200+'35-3'!F200+'37-3'!F200+'47-3'!F200+'62-3'!F200+'64-3'!F200+'74-3'!F200</f>
        <v>0</v>
      </c>
      <c r="G454" s="106">
        <f>'01-3'!G200+'02-3'!G200+'03-3'!G200+'04-3'!G200+'05-3'!G200+'08-3'!G200+'09-3'!G200+'10-3'!G200+'11-3'!G200+'12-3'!G200+'13-3'!G200+'14-3'!G200+'15-3'!G200+'16-3'!G200+'17-3'!G200+'18-3'!G200+'19-3'!G200+'21-3'!G200+'22-3'!G200+'24-3'!G200+'25-3'!G200+'28-3'!G200+'29-3'!G200+'30-3'!G200+'32-3'!G200+'35-3'!G200+'37-3'!G200+'47-3'!G200+'62-3'!G200+'64-3'!G200+'74-3'!G200</f>
        <v>-7331031</v>
      </c>
      <c r="H454" s="106">
        <f>'01-3'!H200+'02-3'!H200+'03-3'!H200+'04-3'!H200+'05-3'!H200+'08-3'!H200+'09-3'!H200+'10-3'!H200+'11-3'!H200+'12-3'!H200+'13-3'!H200+'14-3'!H200+'15-3'!H200+'16-3'!H200+'17-3'!H200+'18-3'!H200+'19-3'!H200+'21-3'!H200+'22-3'!H200+'24-3'!H200+'25-3'!H200+'28-3'!H200+'29-3'!H200+'30-3'!H200+'32-3'!H200+'35-3'!H200+'37-3'!H200+'47-3'!H200+'62-3'!H200+'64-3'!H200+'74-3'!H200</f>
        <v>1059683913</v>
      </c>
      <c r="I454" s="106">
        <f>'01-3'!I200+'02-3'!I200+'03-3'!I200+'04-3'!I200+'05-3'!I200+'08-3'!I200+'09-3'!I200+'10-3'!I200+'11-3'!I200+'12-3'!I200+'13-3'!I200+'14-3'!I200+'15-3'!I200+'16-3'!I200+'17-3'!I200+'18-3'!I200+'19-3'!I200+'21-3'!I200+'22-3'!I200+'24-3'!I200+'25-3'!I200+'28-3'!I200+'29-3'!I200+'30-3'!I200+'32-3'!I200+'35-3'!I200+'37-3'!I200+'47-3'!I200+'62-3'!I200+'64-3'!I200+'74-3'!I200</f>
        <v>997408513</v>
      </c>
      <c r="J454" s="106">
        <f>'01-3'!J200+'02-3'!J200+'03-3'!J200+'04-3'!J200+'05-3'!J200+'08-3'!J200+'09-3'!J200+'10-3'!J200+'11-3'!J200+'12-3'!J200+'13-3'!J200+'14-3'!J200+'15-3'!J200+'16-3'!J200+'17-3'!J200+'18-3'!J200+'19-3'!J200+'21-3'!J200+'22-3'!J200+'24-3'!J200+'25-3'!J200+'28-3'!J200+'29-3'!J200+'30-3'!J200+'32-3'!J200+'35-3'!J200+'37-3'!J200+'47-3'!J200+'62-3'!J200+'64-3'!J200+'74-3'!J200</f>
        <v>1546675</v>
      </c>
      <c r="K454" s="106">
        <f>'01-3'!K200+'02-3'!K200+'03-3'!K200+'04-3'!K200+'05-3'!K200+'08-3'!K200+'09-3'!K200+'10-3'!K200+'11-3'!K200+'12-3'!K200+'13-3'!K200+'14-3'!K200+'15-3'!K200+'16-3'!K200+'17-3'!K200+'18-3'!K200+'19-3'!K200+'21-3'!K200+'22-3'!K200+'24-3'!K200+'25-3'!K200+'28-3'!K200+'29-3'!K200+'30-3'!K200+'32-3'!K200+'35-3'!K200+'37-3'!K200+'47-3'!K200+'62-3'!K200+'64-3'!K200+'74-3'!K200</f>
        <v>0</v>
      </c>
      <c r="L454" s="106">
        <f>'01-3'!L200+'02-3'!L200+'03-3'!L200+'04-3'!L200+'05-3'!L200+'08-3'!L200+'09-3'!L200+'10-3'!L200+'11-3'!L200+'12-3'!L200+'13-3'!L200+'14-3'!L200+'15-3'!L200+'16-3'!L200+'17-3'!L200+'18-3'!L200+'19-3'!L200+'21-3'!L200+'22-3'!L200+'24-3'!L200+'25-3'!L200+'28-3'!L200+'29-3'!L200+'30-3'!L200+'32-3'!L200+'35-3'!L200+'37-3'!L200+'47-3'!L200+'62-3'!L200+'64-3'!L200+'74-3'!L200</f>
        <v>-20383069</v>
      </c>
      <c r="M454" s="106">
        <f>'01-3'!M200+'02-3'!M200+'03-3'!M200+'04-3'!M200+'05-3'!M200+'08-3'!M200+'09-3'!M200+'10-3'!M200+'11-3'!M200+'12-3'!M200+'13-3'!M200+'14-3'!M200+'15-3'!M200+'16-3'!M200+'17-3'!M200+'18-3'!M200+'19-3'!M200+'21-3'!M200+'22-3'!M200+'24-3'!M200+'25-3'!M200+'28-3'!M200+'29-3'!M200+'30-3'!M200+'32-3'!M200+'35-3'!M200+'37-3'!M200+'47-3'!M200+'62-3'!M200+'64-3'!M200+'74-3'!M200</f>
        <v>978572119</v>
      </c>
      <c r="N454" s="106">
        <f>'01-3'!N200+'02-3'!N200+'03-3'!N200+'04-3'!N200+'05-3'!N200+'08-3'!N200+'09-3'!N200+'10-3'!N200+'11-3'!N200+'12-3'!N200+'13-3'!N200+'14-3'!N200+'15-3'!N200+'16-3'!N200+'17-3'!N200+'18-3'!N200+'19-3'!N200+'21-3'!N200+'22-3'!N200+'24-3'!N200+'25-3'!N200+'28-3'!N200+'29-3'!N200+'30-3'!N200+'32-3'!N200+'35-3'!N200+'37-3'!N200+'47-3'!N200+'62-3'!N200+'64-3'!N200+'74-3'!N200</f>
        <v>789410215</v>
      </c>
      <c r="O454" s="106">
        <f>'01-3'!O200+'02-3'!O200+'03-3'!O200+'04-3'!O200+'05-3'!O200+'08-3'!O200+'09-3'!O200+'10-3'!O200+'11-3'!O200+'12-3'!O200+'13-3'!O200+'14-3'!O200+'15-3'!O200+'16-3'!O200+'17-3'!O200+'18-3'!O200+'19-3'!O200+'21-3'!O200+'22-3'!O200+'24-3'!O200+'25-3'!O200+'28-3'!O200+'29-3'!O200+'30-3'!O200+'32-3'!O200+'35-3'!O200+'37-3'!O200+'47-3'!O200+'62-3'!O200+'64-3'!O200+'74-3'!O200</f>
        <v>3228520</v>
      </c>
      <c r="P454" s="106">
        <f>'01-3'!P200+'02-3'!P200+'03-3'!P200+'04-3'!P200+'05-3'!P200+'08-3'!P200+'09-3'!P200+'10-3'!P200+'11-3'!P200+'12-3'!P200+'13-3'!P200+'14-3'!P200+'15-3'!P200+'16-3'!P200+'17-3'!P200+'18-3'!P200+'19-3'!P200+'21-3'!P200+'22-3'!P200+'24-3'!P200+'25-3'!P200+'28-3'!P200+'29-3'!P200+'30-3'!P200+'32-3'!P200+'35-3'!P200+'37-3'!P200+'47-3'!P200+'62-3'!P200+'64-3'!P200+'74-3'!P200</f>
        <v>0</v>
      </c>
      <c r="Q454" s="106">
        <f>'01-3'!Q200+'02-3'!Q200+'03-3'!Q200+'04-3'!Q200+'05-3'!Q200+'08-3'!Q200+'09-3'!Q200+'10-3'!Q200+'11-3'!Q200+'12-3'!Q200+'13-3'!Q200+'14-3'!Q200+'15-3'!Q200+'16-3'!Q200+'17-3'!Q200+'18-3'!Q200+'19-3'!Q200+'21-3'!Q200+'22-3'!Q200+'24-3'!Q200+'25-3'!Q200+'28-3'!Q200+'29-3'!Q200+'30-3'!Q200+'32-3'!Q200+'35-3'!Q200+'37-3'!Q200+'47-3'!Q200+'62-3'!Q200+'64-3'!Q200+'74-3'!Q200</f>
        <v>-39405634</v>
      </c>
      <c r="R454" s="106">
        <f>'01-3'!R200+'02-3'!R200+'03-3'!R200+'04-3'!R200+'05-3'!R200+'08-3'!R200+'09-3'!R200+'10-3'!R200+'11-3'!R200+'12-3'!R200+'13-3'!R200+'14-3'!R200+'15-3'!R200+'16-3'!R200+'17-3'!R200+'18-3'!R200+'19-3'!R200+'21-3'!R200+'22-3'!R200+'24-3'!R200+'25-3'!R200+'28-3'!R200+'29-3'!R200+'30-3'!R200+'32-3'!R200+'35-3'!R200+'37-3'!R200+'47-3'!R200+'62-3'!R200+'64-3'!R200+'74-3'!R200</f>
        <v>753233101</v>
      </c>
      <c r="S454" s="499"/>
      <c r="T454" s="499"/>
      <c r="U454" s="499"/>
      <c r="V454" s="499"/>
      <c r="W454" s="499"/>
    </row>
    <row r="455" spans="1:23" s="89" customFormat="1" ht="24">
      <c r="A455" s="138">
        <v>21710</v>
      </c>
      <c r="B455" s="101" t="s">
        <v>98</v>
      </c>
      <c r="C455" s="106">
        <f>'01-3'!C201+'02-3'!C201+'03-3'!C201+'04-3'!C201+'05-3'!C201+'08-3'!C201+'09-3'!C201+'10-3'!C201+'11-3'!C201+'12-3'!C201+'13-3'!C201+'14-3'!C201+'15-3'!C201+'16-3'!C201+'17-3'!C201+'18-3'!C201+'19-3'!C201+'21-3'!C201+'22-3'!C201+'24-3'!C201+'25-3'!C201+'28-3'!C201+'29-3'!C201+'30-3'!C201+'32-3'!C201+'35-3'!C201+'37-3'!C201+'47-3'!C201+'62-3'!C201+'64-3'!C201+'74-3'!C201</f>
        <v>923313301</v>
      </c>
      <c r="D455" s="106">
        <f>'01-3'!D201+'02-3'!D201+'03-3'!D201+'04-3'!D201+'05-3'!D201+'08-3'!D201+'09-3'!D201+'10-3'!D201+'11-3'!D201+'12-3'!D201+'13-3'!D201+'14-3'!D201+'15-3'!D201+'16-3'!D201+'17-3'!D201+'18-3'!D201+'19-3'!D201+'21-3'!D201+'22-3'!D201+'24-3'!D201+'25-3'!D201+'28-3'!D201+'29-3'!D201+'30-3'!D201+'32-3'!D201+'35-3'!D201+'37-3'!D201+'47-3'!D201+'62-3'!D201+'64-3'!D201+'74-3'!D201</f>
        <v>881212190</v>
      </c>
      <c r="E455" s="106">
        <f>'01-3'!E201+'02-3'!E201+'03-3'!E201+'04-3'!E201+'05-3'!E201+'08-3'!E201+'09-3'!E201+'10-3'!E201+'11-3'!E201+'12-3'!E201+'13-3'!E201+'14-3'!E201+'15-3'!E201+'16-3'!E201+'17-3'!E201+'18-3'!E201+'19-3'!E201+'21-3'!E201+'22-3'!E201+'24-3'!E201+'25-3'!E201+'28-3'!E201+'29-3'!E201+'30-3'!E201+'32-3'!E201+'35-3'!E201+'37-3'!E201+'47-3'!E201+'62-3'!E201+'64-3'!E201+'74-3'!E201</f>
        <v>3004472</v>
      </c>
      <c r="F455" s="106">
        <f>'01-3'!F201+'02-3'!F201+'03-3'!F201+'04-3'!F201+'05-3'!F201+'08-3'!F201+'09-3'!F201+'10-3'!F201+'11-3'!F201+'12-3'!F201+'13-3'!F201+'14-3'!F201+'15-3'!F201+'16-3'!F201+'17-3'!F201+'18-3'!F201+'19-3'!F201+'21-3'!F201+'22-3'!F201+'24-3'!F201+'25-3'!F201+'28-3'!F201+'29-3'!F201+'30-3'!F201+'32-3'!F201+'35-3'!F201+'37-3'!F201+'47-3'!F201+'62-3'!F201+'64-3'!F201+'74-3'!F201</f>
        <v>0</v>
      </c>
      <c r="G455" s="106">
        <f>'01-3'!G201+'02-3'!G201+'03-3'!G201+'04-3'!G201+'05-3'!G201+'08-3'!G201+'09-3'!G201+'10-3'!G201+'11-3'!G201+'12-3'!G201+'13-3'!G201+'14-3'!G201+'15-3'!G201+'16-3'!G201+'17-3'!G201+'18-3'!G201+'19-3'!G201+'21-3'!G201+'22-3'!G201+'24-3'!G201+'25-3'!G201+'28-3'!G201+'29-3'!G201+'30-3'!G201+'32-3'!G201+'35-3'!G201+'37-3'!G201+'47-3'!G201+'62-3'!G201+'64-3'!G201+'74-3'!G201</f>
        <v>-7331031</v>
      </c>
      <c r="H455" s="106">
        <f>'01-3'!H201+'02-3'!H201+'03-3'!H201+'04-3'!H201+'05-3'!H201+'08-3'!H201+'09-3'!H201+'10-3'!H201+'11-3'!H201+'12-3'!H201+'13-3'!H201+'14-3'!H201+'15-3'!H201+'16-3'!H201+'17-3'!H201+'18-3'!H201+'19-3'!H201+'21-3'!H201+'22-3'!H201+'24-3'!H201+'25-3'!H201+'28-3'!H201+'29-3'!H201+'30-3'!H201+'32-3'!H201+'35-3'!H201+'37-3'!H201+'47-3'!H201+'62-3'!H201+'64-3'!H201+'74-3'!H201</f>
        <v>876885631</v>
      </c>
      <c r="I455" s="106">
        <f>'01-3'!I201+'02-3'!I201+'03-3'!I201+'04-3'!I201+'05-3'!I201+'08-3'!I201+'09-3'!I201+'10-3'!I201+'11-3'!I201+'12-3'!I201+'13-3'!I201+'14-3'!I201+'15-3'!I201+'16-3'!I201+'17-3'!I201+'18-3'!I201+'19-3'!I201+'21-3'!I201+'22-3'!I201+'24-3'!I201+'25-3'!I201+'28-3'!I201+'29-3'!I201+'30-3'!I201+'32-3'!I201+'35-3'!I201+'37-3'!I201+'47-3'!I201+'62-3'!I201+'64-3'!I201+'74-3'!I201</f>
        <v>956316073</v>
      </c>
      <c r="J455" s="106">
        <f>'01-3'!J201+'02-3'!J201+'03-3'!J201+'04-3'!J201+'05-3'!J201+'08-3'!J201+'09-3'!J201+'10-3'!J201+'11-3'!J201+'12-3'!J201+'13-3'!J201+'14-3'!J201+'15-3'!J201+'16-3'!J201+'17-3'!J201+'18-3'!J201+'19-3'!J201+'21-3'!J201+'22-3'!J201+'24-3'!J201+'25-3'!J201+'28-3'!J201+'29-3'!J201+'30-3'!J201+'32-3'!J201+'35-3'!J201+'37-3'!J201+'47-3'!J201+'62-3'!J201+'64-3'!J201+'74-3'!J201</f>
        <v>-7994930</v>
      </c>
      <c r="K455" s="106">
        <f>'01-3'!K201+'02-3'!K201+'03-3'!K201+'04-3'!K201+'05-3'!K201+'08-3'!K201+'09-3'!K201+'10-3'!K201+'11-3'!K201+'12-3'!K201+'13-3'!K201+'14-3'!K201+'15-3'!K201+'16-3'!K201+'17-3'!K201+'18-3'!K201+'19-3'!K201+'21-3'!K201+'22-3'!K201+'24-3'!K201+'25-3'!K201+'28-3'!K201+'29-3'!K201+'30-3'!K201+'32-3'!K201+'35-3'!K201+'37-3'!K201+'47-3'!K201+'62-3'!K201+'64-3'!K201+'74-3'!K201</f>
        <v>0</v>
      </c>
      <c r="L455" s="106">
        <f>'01-3'!L201+'02-3'!L201+'03-3'!L201+'04-3'!L201+'05-3'!L201+'08-3'!L201+'09-3'!L201+'10-3'!L201+'11-3'!L201+'12-3'!L201+'13-3'!L201+'14-3'!L201+'15-3'!L201+'16-3'!L201+'17-3'!L201+'18-3'!L201+'19-3'!L201+'21-3'!L201+'22-3'!L201+'24-3'!L201+'25-3'!L201+'28-3'!L201+'29-3'!L201+'30-3'!L201+'32-3'!L201+'35-3'!L201+'37-3'!L201+'47-3'!L201+'62-3'!L201+'64-3'!L201+'74-3'!L201</f>
        <v>-20383069</v>
      </c>
      <c r="M455" s="106">
        <f>'01-3'!M201+'02-3'!M201+'03-3'!M201+'04-3'!M201+'05-3'!M201+'08-3'!M201+'09-3'!M201+'10-3'!M201+'11-3'!M201+'12-3'!M201+'13-3'!M201+'14-3'!M201+'15-3'!M201+'16-3'!M201+'17-3'!M201+'18-3'!M201+'19-3'!M201+'21-3'!M201+'22-3'!M201+'24-3'!M201+'25-3'!M201+'28-3'!M201+'29-3'!M201+'30-3'!M201+'32-3'!M201+'35-3'!M201+'37-3'!M201+'47-3'!M201+'62-3'!M201+'64-3'!M201+'74-3'!M201</f>
        <v>927938074</v>
      </c>
      <c r="N455" s="106">
        <f>'01-3'!N201+'02-3'!N201+'03-3'!N201+'04-3'!N201+'05-3'!N201+'08-3'!N201+'09-3'!N201+'10-3'!N201+'11-3'!N201+'12-3'!N201+'13-3'!N201+'14-3'!N201+'15-3'!N201+'16-3'!N201+'17-3'!N201+'18-3'!N201+'19-3'!N201+'21-3'!N201+'22-3'!N201+'24-3'!N201+'25-3'!N201+'28-3'!N201+'29-3'!N201+'30-3'!N201+'32-3'!N201+'35-3'!N201+'37-3'!N201+'47-3'!N201+'62-3'!N201+'64-3'!N201+'74-3'!N201</f>
        <v>779796979</v>
      </c>
      <c r="O455" s="106">
        <f>'01-3'!O201+'02-3'!O201+'03-3'!O201+'04-3'!O201+'05-3'!O201+'08-3'!O201+'09-3'!O201+'10-3'!O201+'11-3'!O201+'12-3'!O201+'13-3'!O201+'14-3'!O201+'15-3'!O201+'16-3'!O201+'17-3'!O201+'18-3'!O201+'19-3'!O201+'21-3'!O201+'22-3'!O201+'24-3'!O201+'25-3'!O201+'28-3'!O201+'29-3'!O201+'30-3'!O201+'32-3'!O201+'35-3'!O201+'37-3'!O201+'47-3'!O201+'62-3'!O201+'64-3'!O201+'74-3'!O201</f>
        <v>568590</v>
      </c>
      <c r="P455" s="106">
        <f>'01-3'!P201+'02-3'!P201+'03-3'!P201+'04-3'!P201+'05-3'!P201+'08-3'!P201+'09-3'!P201+'10-3'!P201+'11-3'!P201+'12-3'!P201+'13-3'!P201+'14-3'!P201+'15-3'!P201+'16-3'!P201+'17-3'!P201+'18-3'!P201+'19-3'!P201+'21-3'!P201+'22-3'!P201+'24-3'!P201+'25-3'!P201+'28-3'!P201+'29-3'!P201+'30-3'!P201+'32-3'!P201+'35-3'!P201+'37-3'!P201+'47-3'!P201+'62-3'!P201+'64-3'!P201+'74-3'!P201</f>
        <v>0</v>
      </c>
      <c r="Q455" s="106">
        <f>'01-3'!Q201+'02-3'!Q201+'03-3'!Q201+'04-3'!Q201+'05-3'!Q201+'08-3'!Q201+'09-3'!Q201+'10-3'!Q201+'11-3'!Q201+'12-3'!Q201+'13-3'!Q201+'14-3'!Q201+'15-3'!Q201+'16-3'!Q201+'17-3'!Q201+'18-3'!Q201+'19-3'!Q201+'21-3'!Q201+'22-3'!Q201+'24-3'!Q201+'25-3'!Q201+'28-3'!Q201+'29-3'!Q201+'30-3'!Q201+'32-3'!Q201+'35-3'!Q201+'37-3'!Q201+'47-3'!Q201+'62-3'!Q201+'64-3'!Q201+'74-3'!Q201</f>
        <v>-39405634</v>
      </c>
      <c r="R455" s="106">
        <f>'01-3'!R201+'02-3'!R201+'03-3'!R201+'04-3'!R201+'05-3'!R201+'08-3'!R201+'09-3'!R201+'10-3'!R201+'11-3'!R201+'12-3'!R201+'13-3'!R201+'14-3'!R201+'15-3'!R201+'16-3'!R201+'17-3'!R201+'18-3'!R201+'19-3'!R201+'21-3'!R201+'22-3'!R201+'24-3'!R201+'25-3'!R201+'28-3'!R201+'29-3'!R201+'30-3'!R201+'32-3'!R201+'35-3'!R201+'37-3'!R201+'47-3'!R201+'62-3'!R201+'64-3'!R201+'74-3'!R201</f>
        <v>740959935</v>
      </c>
      <c r="S455" s="499"/>
      <c r="T455" s="499"/>
      <c r="U455" s="499"/>
      <c r="V455" s="499"/>
      <c r="W455" s="499"/>
    </row>
    <row r="456" spans="1:23" s="29" customFormat="1" ht="24">
      <c r="A456" s="138">
        <v>21720</v>
      </c>
      <c r="B456" s="101" t="s">
        <v>99</v>
      </c>
      <c r="C456" s="106">
        <f>'01-3'!C202+'02-3'!C202+'03-3'!C202+'04-3'!C202+'05-3'!C202+'08-3'!C202+'09-3'!C202+'10-3'!C202+'11-3'!C202+'12-3'!C202+'13-3'!C202+'14-3'!C202+'15-3'!C202+'16-3'!C202+'17-3'!C202+'18-3'!C202+'19-3'!C202+'21-3'!C202+'22-3'!C202+'24-3'!C202+'25-3'!C202+'28-3'!C202+'29-3'!C202+'30-3'!C202+'32-3'!C202+'35-3'!C202+'37-3'!C202+'47-3'!C202+'62-3'!C202+'64-3'!C202+'74-3'!C202</f>
        <v>146671913</v>
      </c>
      <c r="D456" s="106">
        <f>'01-3'!D202+'02-3'!D202+'03-3'!D202+'04-3'!D202+'05-3'!D202+'08-3'!D202+'09-3'!D202+'10-3'!D202+'11-3'!D202+'12-3'!D202+'13-3'!D202+'14-3'!D202+'15-3'!D202+'16-3'!D202+'17-3'!D202+'18-3'!D202+'19-3'!D202+'21-3'!D202+'22-3'!D202+'24-3'!D202+'25-3'!D202+'28-3'!D202+'29-3'!D202+'30-3'!D202+'32-3'!D202+'35-3'!D202+'37-3'!D202+'47-3'!D202+'62-3'!D202+'64-3'!D202+'74-3'!D202</f>
        <v>171778164</v>
      </c>
      <c r="E456" s="106">
        <f>'01-3'!E202+'02-3'!E202+'03-3'!E202+'04-3'!E202+'05-3'!E202+'08-3'!E202+'09-3'!E202+'10-3'!E202+'11-3'!E202+'12-3'!E202+'13-3'!E202+'14-3'!E202+'15-3'!E202+'16-3'!E202+'17-3'!E202+'18-3'!E202+'19-3'!E202+'21-3'!E202+'22-3'!E202+'24-3'!E202+'25-3'!E202+'28-3'!E202+'29-3'!E202+'30-3'!E202+'32-3'!E202+'35-3'!E202+'37-3'!E202+'47-3'!E202+'62-3'!E202+'64-3'!E202+'74-3'!E202</f>
        <v>11020118</v>
      </c>
      <c r="F456" s="106">
        <f>'01-3'!F202+'02-3'!F202+'03-3'!F202+'04-3'!F202+'05-3'!F202+'08-3'!F202+'09-3'!F202+'10-3'!F202+'11-3'!F202+'12-3'!F202+'13-3'!F202+'14-3'!F202+'15-3'!F202+'16-3'!F202+'17-3'!F202+'18-3'!F202+'19-3'!F202+'21-3'!F202+'22-3'!F202+'24-3'!F202+'25-3'!F202+'28-3'!F202+'29-3'!F202+'30-3'!F202+'32-3'!F202+'35-3'!F202+'37-3'!F202+'47-3'!F202+'62-3'!F202+'64-3'!F202+'74-3'!F202</f>
        <v>0</v>
      </c>
      <c r="G456" s="106">
        <f>'01-3'!G202+'02-3'!G202+'03-3'!G202+'04-3'!G202+'05-3'!G202+'08-3'!G202+'09-3'!G202+'10-3'!G202+'11-3'!G202+'12-3'!G202+'13-3'!G202+'14-3'!G202+'15-3'!G202+'16-3'!G202+'17-3'!G202+'18-3'!G202+'19-3'!G202+'21-3'!G202+'22-3'!G202+'24-3'!G202+'25-3'!G202+'28-3'!G202+'29-3'!G202+'30-3'!G202+'32-3'!G202+'35-3'!G202+'37-3'!G202+'47-3'!G202+'62-3'!G202+'64-3'!G202+'74-3'!G202</f>
        <v>0</v>
      </c>
      <c r="H456" s="106">
        <f>'01-3'!H202+'02-3'!H202+'03-3'!H202+'04-3'!H202+'05-3'!H202+'08-3'!H202+'09-3'!H202+'10-3'!H202+'11-3'!H202+'12-3'!H202+'13-3'!H202+'14-3'!H202+'15-3'!H202+'16-3'!H202+'17-3'!H202+'18-3'!H202+'19-3'!H202+'21-3'!H202+'22-3'!H202+'24-3'!H202+'25-3'!H202+'28-3'!H202+'29-3'!H202+'30-3'!H202+'32-3'!H202+'35-3'!H202+'37-3'!H202+'47-3'!H202+'62-3'!H202+'64-3'!H202+'74-3'!H202</f>
        <v>182798282</v>
      </c>
      <c r="I456" s="106">
        <f>'01-3'!I202+'02-3'!I202+'03-3'!I202+'04-3'!I202+'05-3'!I202+'08-3'!I202+'09-3'!I202+'10-3'!I202+'11-3'!I202+'12-3'!I202+'13-3'!I202+'14-3'!I202+'15-3'!I202+'16-3'!I202+'17-3'!I202+'18-3'!I202+'19-3'!I202+'21-3'!I202+'22-3'!I202+'24-3'!I202+'25-3'!I202+'28-3'!I202+'29-3'!I202+'30-3'!I202+'32-3'!I202+'35-3'!I202+'37-3'!I202+'47-3'!I202+'62-3'!I202+'64-3'!I202+'74-3'!I202</f>
        <v>41092440</v>
      </c>
      <c r="J456" s="106">
        <f>'01-3'!J202+'02-3'!J202+'03-3'!J202+'04-3'!J202+'05-3'!J202+'08-3'!J202+'09-3'!J202+'10-3'!J202+'11-3'!J202+'12-3'!J202+'13-3'!J202+'14-3'!J202+'15-3'!J202+'16-3'!J202+'17-3'!J202+'18-3'!J202+'19-3'!J202+'21-3'!J202+'22-3'!J202+'24-3'!J202+'25-3'!J202+'28-3'!J202+'29-3'!J202+'30-3'!J202+'32-3'!J202+'35-3'!J202+'37-3'!J202+'47-3'!J202+'62-3'!J202+'64-3'!J202+'74-3'!J202</f>
        <v>9541605</v>
      </c>
      <c r="K456" s="106">
        <f>'01-3'!K202+'02-3'!K202+'03-3'!K202+'04-3'!K202+'05-3'!K202+'08-3'!K202+'09-3'!K202+'10-3'!K202+'11-3'!K202+'12-3'!K202+'13-3'!K202+'14-3'!K202+'15-3'!K202+'16-3'!K202+'17-3'!K202+'18-3'!K202+'19-3'!K202+'21-3'!K202+'22-3'!K202+'24-3'!K202+'25-3'!K202+'28-3'!K202+'29-3'!K202+'30-3'!K202+'32-3'!K202+'35-3'!K202+'37-3'!K202+'47-3'!K202+'62-3'!K202+'64-3'!K202+'74-3'!K202</f>
        <v>0</v>
      </c>
      <c r="L456" s="106">
        <f>'01-3'!L202+'02-3'!L202+'03-3'!L202+'04-3'!L202+'05-3'!L202+'08-3'!L202+'09-3'!L202+'10-3'!L202+'11-3'!L202+'12-3'!L202+'13-3'!L202+'14-3'!L202+'15-3'!L202+'16-3'!L202+'17-3'!L202+'18-3'!L202+'19-3'!L202+'21-3'!L202+'22-3'!L202+'24-3'!L202+'25-3'!L202+'28-3'!L202+'29-3'!L202+'30-3'!L202+'32-3'!L202+'35-3'!L202+'37-3'!L202+'47-3'!L202+'62-3'!L202+'64-3'!L202+'74-3'!L202</f>
        <v>0</v>
      </c>
      <c r="M456" s="106">
        <f>'01-3'!M202+'02-3'!M202+'03-3'!M202+'04-3'!M202+'05-3'!M202+'08-3'!M202+'09-3'!M202+'10-3'!M202+'11-3'!M202+'12-3'!M202+'13-3'!M202+'14-3'!M202+'15-3'!M202+'16-3'!M202+'17-3'!M202+'18-3'!M202+'19-3'!M202+'21-3'!M202+'22-3'!M202+'24-3'!M202+'25-3'!M202+'28-3'!M202+'29-3'!M202+'30-3'!M202+'32-3'!M202+'35-3'!M202+'37-3'!M202+'47-3'!M202+'62-3'!M202+'64-3'!M202+'74-3'!M202</f>
        <v>50634045</v>
      </c>
      <c r="N456" s="106">
        <f>'01-3'!N202+'02-3'!N202+'03-3'!N202+'04-3'!N202+'05-3'!N202+'08-3'!N202+'09-3'!N202+'10-3'!N202+'11-3'!N202+'12-3'!N202+'13-3'!N202+'14-3'!N202+'15-3'!N202+'16-3'!N202+'17-3'!N202+'18-3'!N202+'19-3'!N202+'21-3'!N202+'22-3'!N202+'24-3'!N202+'25-3'!N202+'28-3'!N202+'29-3'!N202+'30-3'!N202+'32-3'!N202+'35-3'!N202+'37-3'!N202+'47-3'!N202+'62-3'!N202+'64-3'!N202+'74-3'!N202</f>
        <v>9613236</v>
      </c>
      <c r="O456" s="106">
        <f>'01-3'!O202+'02-3'!O202+'03-3'!O202+'04-3'!O202+'05-3'!O202+'08-3'!O202+'09-3'!O202+'10-3'!O202+'11-3'!O202+'12-3'!O202+'13-3'!O202+'14-3'!O202+'15-3'!O202+'16-3'!O202+'17-3'!O202+'18-3'!O202+'19-3'!O202+'21-3'!O202+'22-3'!O202+'24-3'!O202+'25-3'!O202+'28-3'!O202+'29-3'!O202+'30-3'!O202+'32-3'!O202+'35-3'!O202+'37-3'!O202+'47-3'!O202+'62-3'!O202+'64-3'!O202+'74-3'!O202</f>
        <v>2659930</v>
      </c>
      <c r="P456" s="106">
        <f>'01-3'!P202+'02-3'!P202+'03-3'!P202+'04-3'!P202+'05-3'!P202+'08-3'!P202+'09-3'!P202+'10-3'!P202+'11-3'!P202+'12-3'!P202+'13-3'!P202+'14-3'!P202+'15-3'!P202+'16-3'!P202+'17-3'!P202+'18-3'!P202+'19-3'!P202+'21-3'!P202+'22-3'!P202+'24-3'!P202+'25-3'!P202+'28-3'!P202+'29-3'!P202+'30-3'!P202+'32-3'!P202+'35-3'!P202+'37-3'!P202+'47-3'!P202+'62-3'!P202+'64-3'!P202+'74-3'!P202</f>
        <v>0</v>
      </c>
      <c r="Q456" s="106">
        <f>'01-3'!Q202+'02-3'!Q202+'03-3'!Q202+'04-3'!Q202+'05-3'!Q202+'08-3'!Q202+'09-3'!Q202+'10-3'!Q202+'11-3'!Q202+'12-3'!Q202+'13-3'!Q202+'14-3'!Q202+'15-3'!Q202+'16-3'!Q202+'17-3'!Q202+'18-3'!Q202+'19-3'!Q202+'21-3'!Q202+'22-3'!Q202+'24-3'!Q202+'25-3'!Q202+'28-3'!Q202+'29-3'!Q202+'30-3'!Q202+'32-3'!Q202+'35-3'!Q202+'37-3'!Q202+'47-3'!Q202+'62-3'!Q202+'64-3'!Q202+'74-3'!Q202</f>
        <v>0</v>
      </c>
      <c r="R456" s="106">
        <f>'01-3'!R202+'02-3'!R202+'03-3'!R202+'04-3'!R202+'05-3'!R202+'08-3'!R202+'09-3'!R202+'10-3'!R202+'11-3'!R202+'12-3'!R202+'13-3'!R202+'14-3'!R202+'15-3'!R202+'16-3'!R202+'17-3'!R202+'18-3'!R202+'19-3'!R202+'21-3'!R202+'22-3'!R202+'24-3'!R202+'25-3'!R202+'28-3'!R202+'29-3'!R202+'30-3'!R202+'32-3'!R202+'35-3'!R202+'37-3'!R202+'47-3'!R202+'62-3'!R202+'64-3'!R202+'74-3'!R202</f>
        <v>12273166</v>
      </c>
      <c r="S456" s="1324"/>
      <c r="T456" s="1324"/>
      <c r="U456" s="1324"/>
      <c r="V456" s="1324"/>
      <c r="W456" s="1324"/>
    </row>
    <row r="457" spans="1:23" s="29" customFormat="1" ht="11.4">
      <c r="A457" s="129" t="s">
        <v>100</v>
      </c>
      <c r="B457" s="99" t="s">
        <v>101</v>
      </c>
      <c r="C457" s="299">
        <f>'01-3'!C203+'02-3'!C203+'03-3'!C203+'04-3'!C203+'05-3'!C203+'08-3'!C203+'09-3'!C203+'10-3'!C203+'11-3'!C203+'12-3'!C203+'13-3'!C203+'14-3'!C203+'15-3'!C203+'16-3'!C203+'17-3'!C203+'18-3'!C203+'19-3'!C203+'21-3'!C203+'22-3'!C203+'24-3'!C203+'25-3'!C203+'28-3'!C203+'29-3'!C203+'30-3'!C203+'32-3'!C203+'35-3'!C203+'37-3'!C203+'47-3'!C203+'62-3'!C203+'64-3'!C203+'74-3'!C203</f>
        <v>1159241168</v>
      </c>
      <c r="D457" s="299">
        <f>'01-3'!D203+'02-3'!D203+'03-3'!D203+'04-3'!D203+'05-3'!D203+'08-3'!D203+'09-3'!D203+'10-3'!D203+'11-3'!D203+'12-3'!D203+'13-3'!D203+'14-3'!D203+'15-3'!D203+'16-3'!D203+'17-3'!D203+'18-3'!D203+'19-3'!D203+'21-3'!D203+'22-3'!D203+'24-3'!D203+'25-3'!D203+'28-3'!D203+'29-3'!D203+'30-3'!D203+'32-3'!D203+'35-3'!D203+'37-3'!D203+'47-3'!D203+'62-3'!D203+'64-3'!D203+'74-3'!D203</f>
        <v>1111280332</v>
      </c>
      <c r="E457" s="299">
        <f>'01-3'!E203+'02-3'!E203+'03-3'!E203+'04-3'!E203+'05-3'!E203+'08-3'!E203+'09-3'!E203+'10-3'!E203+'11-3'!E203+'12-3'!E203+'13-3'!E203+'14-3'!E203+'15-3'!E203+'16-3'!E203+'17-3'!E203+'18-3'!E203+'19-3'!E203+'21-3'!E203+'22-3'!E203+'24-3'!E203+'25-3'!E203+'28-3'!E203+'29-3'!E203+'30-3'!E203+'32-3'!E203+'35-3'!E203+'37-3'!E203+'47-3'!E203+'62-3'!E203+'64-3'!E203+'74-3'!E203</f>
        <v>16151571</v>
      </c>
      <c r="F457" s="299">
        <f>'01-3'!F203+'02-3'!F203+'03-3'!F203+'04-3'!F203+'05-3'!F203+'08-3'!F203+'09-3'!F203+'10-3'!F203+'11-3'!F203+'12-3'!F203+'13-3'!F203+'14-3'!F203+'15-3'!F203+'16-3'!F203+'17-3'!F203+'18-3'!F203+'19-3'!F203+'21-3'!F203+'22-3'!F203+'24-3'!F203+'25-3'!F203+'28-3'!F203+'29-3'!F203+'30-3'!F203+'32-3'!F203+'35-3'!F203+'37-3'!F203+'47-3'!F203+'62-3'!F203+'64-3'!F203+'74-3'!F203</f>
        <v>0</v>
      </c>
      <c r="G457" s="299">
        <f>'01-3'!G203+'02-3'!G203+'03-3'!G203+'04-3'!G203+'05-3'!G203+'08-3'!G203+'09-3'!G203+'10-3'!G203+'11-3'!G203+'12-3'!G203+'13-3'!G203+'14-3'!G203+'15-3'!G203+'16-3'!G203+'17-3'!G203+'18-3'!G203+'19-3'!G203+'21-3'!G203+'22-3'!G203+'24-3'!G203+'25-3'!G203+'28-3'!G203+'29-3'!G203+'30-3'!G203+'32-3'!G203+'35-3'!G203+'37-3'!G203+'47-3'!G203+'62-3'!G203+'64-3'!G203+'74-3'!G203</f>
        <v>-7331031</v>
      </c>
      <c r="H457" s="299">
        <f>'01-3'!H203+'02-3'!H203+'03-3'!H203+'04-3'!H203+'05-3'!H203+'08-3'!H203+'09-3'!H203+'10-3'!H203+'11-3'!H203+'12-3'!H203+'13-3'!H203+'14-3'!H203+'15-3'!H203+'16-3'!H203+'17-3'!H203+'18-3'!H203+'19-3'!H203+'21-3'!H203+'22-3'!H203+'24-3'!H203+'25-3'!H203+'28-3'!H203+'29-3'!H203+'30-3'!H203+'32-3'!H203+'35-3'!H203+'37-3'!H203+'47-3'!H203+'62-3'!H203+'64-3'!H203+'74-3'!H203</f>
        <v>1120100872</v>
      </c>
      <c r="I457" s="299">
        <f>'01-3'!I203+'02-3'!I203+'03-3'!I203+'04-3'!I203+'05-3'!I203+'08-3'!I203+'09-3'!I203+'10-3'!I203+'11-3'!I203+'12-3'!I203+'13-3'!I203+'14-3'!I203+'15-3'!I203+'16-3'!I203+'17-3'!I203+'18-3'!I203+'19-3'!I203+'21-3'!I203+'22-3'!I203+'24-3'!I203+'25-3'!I203+'28-3'!I203+'29-3'!I203+'30-3'!I203+'32-3'!I203+'35-3'!I203+'37-3'!I203+'47-3'!I203+'62-3'!I203+'64-3'!I203+'74-3'!I203</f>
        <v>1019314314</v>
      </c>
      <c r="J457" s="299">
        <f>'01-3'!J203+'02-3'!J203+'03-3'!J203+'04-3'!J203+'05-3'!J203+'08-3'!J203+'09-3'!J203+'10-3'!J203+'11-3'!J203+'12-3'!J203+'13-3'!J203+'14-3'!J203+'15-3'!J203+'16-3'!J203+'17-3'!J203+'18-3'!J203+'19-3'!J203+'21-3'!J203+'22-3'!J203+'24-3'!J203+'25-3'!J203+'28-3'!J203+'29-3'!J203+'30-3'!J203+'32-3'!J203+'35-3'!J203+'37-3'!J203+'47-3'!J203+'62-3'!J203+'64-3'!J203+'74-3'!J203</f>
        <v>2323313</v>
      </c>
      <c r="K457" s="299">
        <f>'01-3'!K203+'02-3'!K203+'03-3'!K203+'04-3'!K203+'05-3'!K203+'08-3'!K203+'09-3'!K203+'10-3'!K203+'11-3'!K203+'12-3'!K203+'13-3'!K203+'14-3'!K203+'15-3'!K203+'16-3'!K203+'17-3'!K203+'18-3'!K203+'19-3'!K203+'21-3'!K203+'22-3'!K203+'24-3'!K203+'25-3'!K203+'28-3'!K203+'29-3'!K203+'30-3'!K203+'32-3'!K203+'35-3'!K203+'37-3'!K203+'47-3'!K203+'62-3'!K203+'64-3'!K203+'74-3'!K203</f>
        <v>0</v>
      </c>
      <c r="L457" s="299">
        <f>'01-3'!L203+'02-3'!L203+'03-3'!L203+'04-3'!L203+'05-3'!L203+'08-3'!L203+'09-3'!L203+'10-3'!L203+'11-3'!L203+'12-3'!L203+'13-3'!L203+'14-3'!L203+'15-3'!L203+'16-3'!L203+'17-3'!L203+'18-3'!L203+'19-3'!L203+'21-3'!L203+'22-3'!L203+'24-3'!L203+'25-3'!L203+'28-3'!L203+'29-3'!L203+'30-3'!L203+'32-3'!L203+'35-3'!L203+'37-3'!L203+'47-3'!L203+'62-3'!L203+'64-3'!L203+'74-3'!L203</f>
        <v>-20383069</v>
      </c>
      <c r="M457" s="299">
        <f>'01-3'!M203+'02-3'!M203+'03-3'!M203+'04-3'!M203+'05-3'!M203+'08-3'!M203+'09-3'!M203+'10-3'!M203+'11-3'!M203+'12-3'!M203+'13-3'!M203+'14-3'!M203+'15-3'!M203+'16-3'!M203+'17-3'!M203+'18-3'!M203+'19-3'!M203+'21-3'!M203+'22-3'!M203+'24-3'!M203+'25-3'!M203+'28-3'!M203+'29-3'!M203+'30-3'!M203+'32-3'!M203+'35-3'!M203+'37-3'!M203+'47-3'!M203+'62-3'!M203+'64-3'!M203+'74-3'!M203</f>
        <v>1001254558</v>
      </c>
      <c r="N457" s="299">
        <f>'01-3'!N203+'02-3'!N203+'03-3'!N203+'04-3'!N203+'05-3'!N203+'08-3'!N203+'09-3'!N203+'10-3'!N203+'11-3'!N203+'12-3'!N203+'13-3'!N203+'14-3'!N203+'15-3'!N203+'16-3'!N203+'17-3'!N203+'18-3'!N203+'19-3'!N203+'21-3'!N203+'22-3'!N203+'24-3'!N203+'25-3'!N203+'28-3'!N203+'29-3'!N203+'30-3'!N203+'32-3'!N203+'35-3'!N203+'37-3'!N203+'47-3'!N203+'62-3'!N203+'64-3'!N203+'74-3'!N203</f>
        <v>804135771</v>
      </c>
      <c r="O457" s="299">
        <f>'01-3'!O203+'02-3'!O203+'03-3'!O203+'04-3'!O203+'05-3'!O203+'08-3'!O203+'09-3'!O203+'10-3'!O203+'11-3'!O203+'12-3'!O203+'13-3'!O203+'14-3'!O203+'15-3'!O203+'16-3'!O203+'17-3'!O203+'18-3'!O203+'19-3'!O203+'21-3'!O203+'22-3'!O203+'24-3'!O203+'25-3'!O203+'28-3'!O203+'29-3'!O203+'30-3'!O203+'32-3'!O203+'35-3'!O203+'37-3'!O203+'47-3'!O203+'62-3'!O203+'64-3'!O203+'74-3'!O203</f>
        <v>3492365</v>
      </c>
      <c r="P457" s="299">
        <f>'01-3'!P203+'02-3'!P203+'03-3'!P203+'04-3'!P203+'05-3'!P203+'08-3'!P203+'09-3'!P203+'10-3'!P203+'11-3'!P203+'12-3'!P203+'13-3'!P203+'14-3'!P203+'15-3'!P203+'16-3'!P203+'17-3'!P203+'18-3'!P203+'19-3'!P203+'21-3'!P203+'22-3'!P203+'24-3'!P203+'25-3'!P203+'28-3'!P203+'29-3'!P203+'30-3'!P203+'32-3'!P203+'35-3'!P203+'37-3'!P203+'47-3'!P203+'62-3'!P203+'64-3'!P203+'74-3'!P203</f>
        <v>0</v>
      </c>
      <c r="Q457" s="299">
        <f>'01-3'!Q203+'02-3'!Q203+'03-3'!Q203+'04-3'!Q203+'05-3'!Q203+'08-3'!Q203+'09-3'!Q203+'10-3'!Q203+'11-3'!Q203+'12-3'!Q203+'13-3'!Q203+'14-3'!Q203+'15-3'!Q203+'16-3'!Q203+'17-3'!Q203+'18-3'!Q203+'19-3'!Q203+'21-3'!Q203+'22-3'!Q203+'24-3'!Q203+'25-3'!Q203+'28-3'!Q203+'29-3'!Q203+'30-3'!Q203+'32-3'!Q203+'35-3'!Q203+'37-3'!Q203+'47-3'!Q203+'62-3'!Q203+'64-3'!Q203+'74-3'!Q203</f>
        <v>-39405634</v>
      </c>
      <c r="R457" s="299">
        <f>'01-3'!R203+'02-3'!R203+'03-3'!R203+'04-3'!R203+'05-3'!R203+'08-3'!R203+'09-3'!R203+'10-3'!R203+'11-3'!R203+'12-3'!R203+'13-3'!R203+'14-3'!R203+'15-3'!R203+'16-3'!R203+'17-3'!R203+'18-3'!R203+'19-3'!R203+'21-3'!R203+'22-3'!R203+'24-3'!R203+'25-3'!R203+'28-3'!R203+'29-3'!R203+'30-3'!R203+'32-3'!R203+'35-3'!R203+'37-3'!R203+'47-3'!R203+'62-3'!R203+'64-3'!R203+'74-3'!R203</f>
        <v>768222502</v>
      </c>
      <c r="S457" s="1324"/>
      <c r="T457" s="1324"/>
      <c r="U457" s="1324"/>
      <c r="V457" s="1324"/>
      <c r="W457" s="1324"/>
    </row>
    <row r="458" spans="1:23" s="29" customFormat="1" ht="20.399999999999999">
      <c r="A458" s="130" t="s">
        <v>102</v>
      </c>
      <c r="B458" s="100" t="s">
        <v>103</v>
      </c>
      <c r="C458" s="106">
        <f>'01-3'!C204+'02-3'!C204+'03-3'!C204+'04-3'!C204+'05-3'!C204+'08-3'!C204+'09-3'!C204+'10-3'!C204+'11-3'!C204+'12-3'!C204+'13-3'!C204+'14-3'!C204+'15-3'!C204+'16-3'!C204+'17-3'!C204+'18-3'!C204+'19-3'!C204+'21-3'!C204+'22-3'!C204+'24-3'!C204+'25-3'!C204+'28-3'!C204+'29-3'!C204+'30-3'!C204+'32-3'!C204+'35-3'!C204+'37-3'!C204+'47-3'!C204+'62-3'!C204+'64-3'!C204+'74-3'!C204</f>
        <v>769696712</v>
      </c>
      <c r="D458" s="106">
        <f>'01-3'!D204+'02-3'!D204+'03-3'!D204+'04-3'!D204+'05-3'!D204+'08-3'!D204+'09-3'!D204+'10-3'!D204+'11-3'!D204+'12-3'!D204+'13-3'!D204+'14-3'!D204+'15-3'!D204+'16-3'!D204+'17-3'!D204+'18-3'!D204+'19-3'!D204+'21-3'!D204+'22-3'!D204+'24-3'!D204+'25-3'!D204+'28-3'!D204+'29-3'!D204+'30-3'!D204+'32-3'!D204+'35-3'!D204+'37-3'!D204+'47-3'!D204+'62-3'!D204+'64-3'!D204+'74-3'!D204</f>
        <v>807935377</v>
      </c>
      <c r="E458" s="106">
        <f>'01-3'!E204+'02-3'!E204+'03-3'!E204+'04-3'!E204+'05-3'!E204+'08-3'!E204+'09-3'!E204+'10-3'!E204+'11-3'!E204+'12-3'!E204+'13-3'!E204+'14-3'!E204+'15-3'!E204+'16-3'!E204+'17-3'!E204+'18-3'!E204+'19-3'!E204+'21-3'!E204+'22-3'!E204+'24-3'!E204+'25-3'!E204+'28-3'!E204+'29-3'!E204+'30-3'!E204+'32-3'!E204+'35-3'!E204+'37-3'!E204+'47-3'!E204+'62-3'!E204+'64-3'!E204+'74-3'!E204</f>
        <v>11635571</v>
      </c>
      <c r="F458" s="106">
        <f>'01-3'!F204+'02-3'!F204+'03-3'!F204+'04-3'!F204+'05-3'!F204+'08-3'!F204+'09-3'!F204+'10-3'!F204+'11-3'!F204+'12-3'!F204+'13-3'!F204+'14-3'!F204+'15-3'!F204+'16-3'!F204+'17-3'!F204+'18-3'!F204+'19-3'!F204+'21-3'!F204+'22-3'!F204+'24-3'!F204+'25-3'!F204+'28-3'!F204+'29-3'!F204+'30-3'!F204+'32-3'!F204+'35-3'!F204+'37-3'!F204+'47-3'!F204+'62-3'!F204+'64-3'!F204+'74-3'!F204</f>
        <v>0</v>
      </c>
      <c r="G458" s="106">
        <f>'01-3'!G204+'02-3'!G204+'03-3'!G204+'04-3'!G204+'05-3'!G204+'08-3'!G204+'09-3'!G204+'10-3'!G204+'11-3'!G204+'12-3'!G204+'13-3'!G204+'14-3'!G204+'15-3'!G204+'16-3'!G204+'17-3'!G204+'18-3'!G204+'19-3'!G204+'21-3'!G204+'22-3'!G204+'24-3'!G204+'25-3'!G204+'28-3'!G204+'29-3'!G204+'30-3'!G204+'32-3'!G204+'35-3'!G204+'37-3'!G204+'47-3'!G204+'62-3'!G204+'64-3'!G204+'74-3'!G204</f>
        <v>-7331031</v>
      </c>
      <c r="H458" s="106">
        <f>'01-3'!H204+'02-3'!H204+'03-3'!H204+'04-3'!H204+'05-3'!H204+'08-3'!H204+'09-3'!H204+'10-3'!H204+'11-3'!H204+'12-3'!H204+'13-3'!H204+'14-3'!H204+'15-3'!H204+'16-3'!H204+'17-3'!H204+'18-3'!H204+'19-3'!H204+'21-3'!H204+'22-3'!H204+'24-3'!H204+'25-3'!H204+'28-3'!H204+'29-3'!H204+'30-3'!H204+'32-3'!H204+'35-3'!H204+'37-3'!H204+'47-3'!H204+'62-3'!H204+'64-3'!H204+'74-3'!H204</f>
        <v>812239917</v>
      </c>
      <c r="I458" s="106">
        <f>'01-3'!I204+'02-3'!I204+'03-3'!I204+'04-3'!I204+'05-3'!I204+'08-3'!I204+'09-3'!I204+'10-3'!I204+'11-3'!I204+'12-3'!I204+'13-3'!I204+'14-3'!I204+'15-3'!I204+'16-3'!I204+'17-3'!I204+'18-3'!I204+'19-3'!I204+'21-3'!I204+'22-3'!I204+'24-3'!I204+'25-3'!I204+'28-3'!I204+'29-3'!I204+'30-3'!I204+'32-3'!I204+'35-3'!I204+'37-3'!I204+'47-3'!I204+'62-3'!I204+'64-3'!I204+'74-3'!I204</f>
        <v>950972921</v>
      </c>
      <c r="J458" s="106">
        <f>'01-3'!J204+'02-3'!J204+'03-3'!J204+'04-3'!J204+'05-3'!J204+'08-3'!J204+'09-3'!J204+'10-3'!J204+'11-3'!J204+'12-3'!J204+'13-3'!J204+'14-3'!J204+'15-3'!J204+'16-3'!J204+'17-3'!J204+'18-3'!J204+'19-3'!J204+'21-3'!J204+'22-3'!J204+'24-3'!J204+'25-3'!J204+'28-3'!J204+'29-3'!J204+'30-3'!J204+'32-3'!J204+'35-3'!J204+'37-3'!J204+'47-3'!J204+'62-3'!J204+'64-3'!J204+'74-3'!J204</f>
        <v>963313</v>
      </c>
      <c r="K458" s="106">
        <f>'01-3'!K204+'02-3'!K204+'03-3'!K204+'04-3'!K204+'05-3'!K204+'08-3'!K204+'09-3'!K204+'10-3'!K204+'11-3'!K204+'12-3'!K204+'13-3'!K204+'14-3'!K204+'15-3'!K204+'16-3'!K204+'17-3'!K204+'18-3'!K204+'19-3'!K204+'21-3'!K204+'22-3'!K204+'24-3'!K204+'25-3'!K204+'28-3'!K204+'29-3'!K204+'30-3'!K204+'32-3'!K204+'35-3'!K204+'37-3'!K204+'47-3'!K204+'62-3'!K204+'64-3'!K204+'74-3'!K204</f>
        <v>0</v>
      </c>
      <c r="L458" s="106">
        <f>'01-3'!L204+'02-3'!L204+'03-3'!L204+'04-3'!L204+'05-3'!L204+'08-3'!L204+'09-3'!L204+'10-3'!L204+'11-3'!L204+'12-3'!L204+'13-3'!L204+'14-3'!L204+'15-3'!L204+'16-3'!L204+'17-3'!L204+'18-3'!L204+'19-3'!L204+'21-3'!L204+'22-3'!L204+'24-3'!L204+'25-3'!L204+'28-3'!L204+'29-3'!L204+'30-3'!L204+'32-3'!L204+'35-3'!L204+'37-3'!L204+'47-3'!L204+'62-3'!L204+'64-3'!L204+'74-3'!L204</f>
        <v>-20383069</v>
      </c>
      <c r="M458" s="106">
        <f>'01-3'!M204+'02-3'!M204+'03-3'!M204+'04-3'!M204+'05-3'!M204+'08-3'!M204+'09-3'!M204+'10-3'!M204+'11-3'!M204+'12-3'!M204+'13-3'!M204+'14-3'!M204+'15-3'!M204+'16-3'!M204+'17-3'!M204+'18-3'!M204+'19-3'!M204+'21-3'!M204+'22-3'!M204+'24-3'!M204+'25-3'!M204+'28-3'!M204+'29-3'!M204+'30-3'!M204+'32-3'!M204+'35-3'!M204+'37-3'!M204+'47-3'!M204+'62-3'!M204+'64-3'!M204+'74-3'!M204</f>
        <v>931553165</v>
      </c>
      <c r="N458" s="106">
        <f>'01-3'!N204+'02-3'!N204+'03-3'!N204+'04-3'!N204+'05-3'!N204+'08-3'!N204+'09-3'!N204+'10-3'!N204+'11-3'!N204+'12-3'!N204+'13-3'!N204+'14-3'!N204+'15-3'!N204+'16-3'!N204+'17-3'!N204+'18-3'!N204+'19-3'!N204+'21-3'!N204+'22-3'!N204+'24-3'!N204+'25-3'!N204+'28-3'!N204+'29-3'!N204+'30-3'!N204+'32-3'!N204+'35-3'!N204+'37-3'!N204+'47-3'!N204+'62-3'!N204+'64-3'!N204+'74-3'!N204</f>
        <v>783879939</v>
      </c>
      <c r="O458" s="106">
        <f>'01-3'!O204+'02-3'!O204+'03-3'!O204+'04-3'!O204+'05-3'!O204+'08-3'!O204+'09-3'!O204+'10-3'!O204+'11-3'!O204+'12-3'!O204+'13-3'!O204+'14-3'!O204+'15-3'!O204+'16-3'!O204+'17-3'!O204+'18-3'!O204+'19-3'!O204+'21-3'!O204+'22-3'!O204+'24-3'!O204+'25-3'!O204+'28-3'!O204+'29-3'!O204+'30-3'!O204+'32-3'!O204+'35-3'!O204+'37-3'!O204+'47-3'!O204+'62-3'!O204+'64-3'!O204+'74-3'!O204</f>
        <v>3273837</v>
      </c>
      <c r="P458" s="106">
        <f>'01-3'!P204+'02-3'!P204+'03-3'!P204+'04-3'!P204+'05-3'!P204+'08-3'!P204+'09-3'!P204+'10-3'!P204+'11-3'!P204+'12-3'!P204+'13-3'!P204+'14-3'!P204+'15-3'!P204+'16-3'!P204+'17-3'!P204+'18-3'!P204+'19-3'!P204+'21-3'!P204+'22-3'!P204+'24-3'!P204+'25-3'!P204+'28-3'!P204+'29-3'!P204+'30-3'!P204+'32-3'!P204+'35-3'!P204+'37-3'!P204+'47-3'!P204+'62-3'!P204+'64-3'!P204+'74-3'!P204</f>
        <v>0</v>
      </c>
      <c r="Q458" s="106">
        <f>'01-3'!Q204+'02-3'!Q204+'03-3'!Q204+'04-3'!Q204+'05-3'!Q204+'08-3'!Q204+'09-3'!Q204+'10-3'!Q204+'11-3'!Q204+'12-3'!Q204+'13-3'!Q204+'14-3'!Q204+'15-3'!Q204+'16-3'!Q204+'17-3'!Q204+'18-3'!Q204+'19-3'!Q204+'21-3'!Q204+'22-3'!Q204+'24-3'!Q204+'25-3'!Q204+'28-3'!Q204+'29-3'!Q204+'30-3'!Q204+'32-3'!Q204+'35-3'!Q204+'37-3'!Q204+'47-3'!Q204+'62-3'!Q204+'64-3'!Q204+'74-3'!Q204</f>
        <v>-39405634</v>
      </c>
      <c r="R458" s="106">
        <f>'01-3'!R204+'02-3'!R204+'03-3'!R204+'04-3'!R204+'05-3'!R204+'08-3'!R204+'09-3'!R204+'10-3'!R204+'11-3'!R204+'12-3'!R204+'13-3'!R204+'14-3'!R204+'15-3'!R204+'16-3'!R204+'17-3'!R204+'18-3'!R204+'19-3'!R204+'21-3'!R204+'22-3'!R204+'24-3'!R204+'25-3'!R204+'28-3'!R204+'29-3'!R204+'30-3'!R204+'32-3'!R204+'35-3'!R204+'37-3'!R204+'47-3'!R204+'62-3'!R204+'64-3'!R204+'74-3'!R204</f>
        <v>747748142</v>
      </c>
      <c r="S458" s="1324"/>
      <c r="T458" s="1324"/>
      <c r="U458" s="1324"/>
      <c r="V458" s="1324"/>
      <c r="W458" s="1324"/>
    </row>
    <row r="459" spans="1:23" s="29" customFormat="1" ht="12">
      <c r="A459" s="130" t="s">
        <v>104</v>
      </c>
      <c r="B459" s="100" t="s">
        <v>105</v>
      </c>
      <c r="C459" s="106">
        <f>'01-3'!C205+'02-3'!C205+'03-3'!C205+'04-3'!C205+'05-3'!C205+'08-3'!C205+'09-3'!C205+'10-3'!C205+'11-3'!C205+'12-3'!C205+'13-3'!C205+'14-3'!C205+'15-3'!C205+'16-3'!C205+'17-3'!C205+'18-3'!C205+'19-3'!C205+'21-3'!C205+'22-3'!C205+'24-3'!C205+'25-3'!C205+'28-3'!C205+'29-3'!C205+'30-3'!C205+'32-3'!C205+'35-3'!C205+'37-3'!C205+'47-3'!C205+'62-3'!C205+'64-3'!C205+'74-3'!C205</f>
        <v>66948169</v>
      </c>
      <c r="D459" s="106">
        <f>'01-3'!D205+'02-3'!D205+'03-3'!D205+'04-3'!D205+'05-3'!D205+'08-3'!D205+'09-3'!D205+'10-3'!D205+'11-3'!D205+'12-3'!D205+'13-3'!D205+'14-3'!D205+'15-3'!D205+'16-3'!D205+'17-3'!D205+'18-3'!D205+'19-3'!D205+'21-3'!D205+'22-3'!D205+'24-3'!D205+'25-3'!D205+'28-3'!D205+'29-3'!D205+'30-3'!D205+'32-3'!D205+'35-3'!D205+'37-3'!D205+'47-3'!D205+'62-3'!D205+'64-3'!D205+'74-3'!D205</f>
        <v>49704114</v>
      </c>
      <c r="E459" s="106">
        <f>'01-3'!E205+'02-3'!E205+'03-3'!E205+'04-3'!E205+'05-3'!E205+'08-3'!E205+'09-3'!E205+'10-3'!E205+'11-3'!E205+'12-3'!E205+'13-3'!E205+'14-3'!E205+'15-3'!E205+'16-3'!E205+'17-3'!E205+'18-3'!E205+'19-3'!E205+'21-3'!E205+'22-3'!E205+'24-3'!E205+'25-3'!E205+'28-3'!E205+'29-3'!E205+'30-3'!E205+'32-3'!E205+'35-3'!E205+'37-3'!E205+'47-3'!E205+'62-3'!E205+'64-3'!E205+'74-3'!E205</f>
        <v>1212682</v>
      </c>
      <c r="F459" s="106">
        <f>'01-3'!F205+'02-3'!F205+'03-3'!F205+'04-3'!F205+'05-3'!F205+'08-3'!F205+'09-3'!F205+'10-3'!F205+'11-3'!F205+'12-3'!F205+'13-3'!F205+'14-3'!F205+'15-3'!F205+'16-3'!F205+'17-3'!F205+'18-3'!F205+'19-3'!F205+'21-3'!F205+'22-3'!F205+'24-3'!F205+'25-3'!F205+'28-3'!F205+'29-3'!F205+'30-3'!F205+'32-3'!F205+'35-3'!F205+'37-3'!F205+'47-3'!F205+'62-3'!F205+'64-3'!F205+'74-3'!F205</f>
        <v>0</v>
      </c>
      <c r="G459" s="106">
        <f>'01-3'!G205+'02-3'!G205+'03-3'!G205+'04-3'!G205+'05-3'!G205+'08-3'!G205+'09-3'!G205+'10-3'!G205+'11-3'!G205+'12-3'!G205+'13-3'!G205+'14-3'!G205+'15-3'!G205+'16-3'!G205+'17-3'!G205+'18-3'!G205+'19-3'!G205+'21-3'!G205+'22-3'!G205+'24-3'!G205+'25-3'!G205+'28-3'!G205+'29-3'!G205+'30-3'!G205+'32-3'!G205+'35-3'!G205+'37-3'!G205+'47-3'!G205+'62-3'!G205+'64-3'!G205+'74-3'!G205</f>
        <v>0</v>
      </c>
      <c r="H459" s="106">
        <f>'01-3'!H205+'02-3'!H205+'03-3'!H205+'04-3'!H205+'05-3'!H205+'08-3'!H205+'09-3'!H205+'10-3'!H205+'11-3'!H205+'12-3'!H205+'13-3'!H205+'14-3'!H205+'15-3'!H205+'16-3'!H205+'17-3'!H205+'18-3'!H205+'19-3'!H205+'21-3'!H205+'22-3'!H205+'24-3'!H205+'25-3'!H205+'28-3'!H205+'29-3'!H205+'30-3'!H205+'32-3'!H205+'35-3'!H205+'37-3'!H205+'47-3'!H205+'62-3'!H205+'64-3'!H205+'74-3'!H205</f>
        <v>50916796</v>
      </c>
      <c r="I459" s="106">
        <f>'01-3'!I205+'02-3'!I205+'03-3'!I205+'04-3'!I205+'05-3'!I205+'08-3'!I205+'09-3'!I205+'10-3'!I205+'11-3'!I205+'12-3'!I205+'13-3'!I205+'14-3'!I205+'15-3'!I205+'16-3'!I205+'17-3'!I205+'18-3'!I205+'19-3'!I205+'21-3'!I205+'22-3'!I205+'24-3'!I205+'25-3'!I205+'28-3'!I205+'29-3'!I205+'30-3'!I205+'32-3'!I205+'35-3'!I205+'37-3'!I205+'47-3'!I205+'62-3'!I205+'64-3'!I205+'74-3'!I205</f>
        <v>26203732</v>
      </c>
      <c r="J459" s="106">
        <f>'01-3'!J205+'02-3'!J205+'03-3'!J205+'04-3'!J205+'05-3'!J205+'08-3'!J205+'09-3'!J205+'10-3'!J205+'11-3'!J205+'12-3'!J205+'13-3'!J205+'14-3'!J205+'15-3'!J205+'16-3'!J205+'17-3'!J205+'18-3'!J205+'19-3'!J205+'21-3'!J205+'22-3'!J205+'24-3'!J205+'25-3'!J205+'28-3'!J205+'29-3'!J205+'30-3'!J205+'32-3'!J205+'35-3'!J205+'37-3'!J205+'47-3'!J205+'62-3'!J205+'64-3'!J205+'74-3'!J205</f>
        <v>1585891</v>
      </c>
      <c r="K459" s="106">
        <f>'01-3'!K205+'02-3'!K205+'03-3'!K205+'04-3'!K205+'05-3'!K205+'08-3'!K205+'09-3'!K205+'10-3'!K205+'11-3'!K205+'12-3'!K205+'13-3'!K205+'14-3'!K205+'15-3'!K205+'16-3'!K205+'17-3'!K205+'18-3'!K205+'19-3'!K205+'21-3'!K205+'22-3'!K205+'24-3'!K205+'25-3'!K205+'28-3'!K205+'29-3'!K205+'30-3'!K205+'32-3'!K205+'35-3'!K205+'37-3'!K205+'47-3'!K205+'62-3'!K205+'64-3'!K205+'74-3'!K205</f>
        <v>0</v>
      </c>
      <c r="L459" s="106">
        <f>'01-3'!L205+'02-3'!L205+'03-3'!L205+'04-3'!L205+'05-3'!L205+'08-3'!L205+'09-3'!L205+'10-3'!L205+'11-3'!L205+'12-3'!L205+'13-3'!L205+'14-3'!L205+'15-3'!L205+'16-3'!L205+'17-3'!L205+'18-3'!L205+'19-3'!L205+'21-3'!L205+'22-3'!L205+'24-3'!L205+'25-3'!L205+'28-3'!L205+'29-3'!L205+'30-3'!L205+'32-3'!L205+'35-3'!L205+'37-3'!L205+'47-3'!L205+'62-3'!L205+'64-3'!L205+'74-3'!L205</f>
        <v>0</v>
      </c>
      <c r="M459" s="106">
        <f>'01-3'!M205+'02-3'!M205+'03-3'!M205+'04-3'!M205+'05-3'!M205+'08-3'!M205+'09-3'!M205+'10-3'!M205+'11-3'!M205+'12-3'!M205+'13-3'!M205+'14-3'!M205+'15-3'!M205+'16-3'!M205+'17-3'!M205+'18-3'!M205+'19-3'!M205+'21-3'!M205+'22-3'!M205+'24-3'!M205+'25-3'!M205+'28-3'!M205+'29-3'!M205+'30-3'!M205+'32-3'!M205+'35-3'!M205+'37-3'!M205+'47-3'!M205+'62-3'!M205+'64-3'!M205+'74-3'!M205</f>
        <v>27789623</v>
      </c>
      <c r="N459" s="106">
        <f>'01-3'!N205+'02-3'!N205+'03-3'!N205+'04-3'!N205+'05-3'!N205+'08-3'!N205+'09-3'!N205+'10-3'!N205+'11-3'!N205+'12-3'!N205+'13-3'!N205+'14-3'!N205+'15-3'!N205+'16-3'!N205+'17-3'!N205+'18-3'!N205+'19-3'!N205+'21-3'!N205+'22-3'!N205+'24-3'!N205+'25-3'!N205+'28-3'!N205+'29-3'!N205+'30-3'!N205+'32-3'!N205+'35-3'!N205+'37-3'!N205+'47-3'!N205+'62-3'!N205+'64-3'!N205+'74-3'!N205</f>
        <v>11889898</v>
      </c>
      <c r="O459" s="106">
        <f>'01-3'!O205+'02-3'!O205+'03-3'!O205+'04-3'!O205+'05-3'!O205+'08-3'!O205+'09-3'!O205+'10-3'!O205+'11-3'!O205+'12-3'!O205+'13-3'!O205+'14-3'!O205+'15-3'!O205+'16-3'!O205+'17-3'!O205+'18-3'!O205+'19-3'!O205+'21-3'!O205+'22-3'!O205+'24-3'!O205+'25-3'!O205+'28-3'!O205+'29-3'!O205+'30-3'!O205+'32-3'!O205+'35-3'!O205+'37-3'!O205+'47-3'!O205+'62-3'!O205+'64-3'!O205+'74-3'!O205</f>
        <v>768036</v>
      </c>
      <c r="P459" s="106">
        <f>'01-3'!P205+'02-3'!P205+'03-3'!P205+'04-3'!P205+'05-3'!P205+'08-3'!P205+'09-3'!P205+'10-3'!P205+'11-3'!P205+'12-3'!P205+'13-3'!P205+'14-3'!P205+'15-3'!P205+'16-3'!P205+'17-3'!P205+'18-3'!P205+'19-3'!P205+'21-3'!P205+'22-3'!P205+'24-3'!P205+'25-3'!P205+'28-3'!P205+'29-3'!P205+'30-3'!P205+'32-3'!P205+'35-3'!P205+'37-3'!P205+'47-3'!P205+'62-3'!P205+'64-3'!P205+'74-3'!P205</f>
        <v>0</v>
      </c>
      <c r="Q459" s="106">
        <f>'01-3'!Q205+'02-3'!Q205+'03-3'!Q205+'04-3'!Q205+'05-3'!Q205+'08-3'!Q205+'09-3'!Q205+'10-3'!Q205+'11-3'!Q205+'12-3'!Q205+'13-3'!Q205+'14-3'!Q205+'15-3'!Q205+'16-3'!Q205+'17-3'!Q205+'18-3'!Q205+'19-3'!Q205+'21-3'!Q205+'22-3'!Q205+'24-3'!Q205+'25-3'!Q205+'28-3'!Q205+'29-3'!Q205+'30-3'!Q205+'32-3'!Q205+'35-3'!Q205+'37-3'!Q205+'47-3'!Q205+'62-3'!Q205+'64-3'!Q205+'74-3'!Q205</f>
        <v>0</v>
      </c>
      <c r="R459" s="106">
        <f>'01-3'!R205+'02-3'!R205+'03-3'!R205+'04-3'!R205+'05-3'!R205+'08-3'!R205+'09-3'!R205+'10-3'!R205+'11-3'!R205+'12-3'!R205+'13-3'!R205+'14-3'!R205+'15-3'!R205+'16-3'!R205+'17-3'!R205+'18-3'!R205+'19-3'!R205+'21-3'!R205+'22-3'!R205+'24-3'!R205+'25-3'!R205+'28-3'!R205+'29-3'!R205+'30-3'!R205+'32-3'!R205+'35-3'!R205+'37-3'!R205+'47-3'!R205+'62-3'!R205+'64-3'!R205+'74-3'!R205</f>
        <v>12657934</v>
      </c>
      <c r="S459" s="1324"/>
      <c r="T459" s="1324"/>
      <c r="U459" s="1324"/>
      <c r="V459" s="1324"/>
      <c r="W459" s="1324"/>
    </row>
    <row r="460" spans="1:23" s="29" customFormat="1" ht="12">
      <c r="A460" s="132">
        <v>1000</v>
      </c>
      <c r="B460" s="101" t="s">
        <v>106</v>
      </c>
      <c r="C460" s="106">
        <f>'01-3'!C206+'02-3'!C206+'03-3'!C206+'04-3'!C206+'05-3'!C206+'08-3'!C206+'09-3'!C206+'10-3'!C206+'11-3'!C206+'12-3'!C206+'13-3'!C206+'14-3'!C206+'15-3'!C206+'16-3'!C206+'17-3'!C206+'18-3'!C206+'19-3'!C206+'21-3'!C206+'22-3'!C206+'24-3'!C206+'25-3'!C206+'28-3'!C206+'29-3'!C206+'30-3'!C206+'32-3'!C206+'35-3'!C206+'37-3'!C206+'47-3'!C206+'62-3'!C206+'64-3'!C206+'74-3'!C206</f>
        <v>23264050</v>
      </c>
      <c r="D460" s="106">
        <f>'01-3'!D206+'02-3'!D206+'03-3'!D206+'04-3'!D206+'05-3'!D206+'08-3'!D206+'09-3'!D206+'10-3'!D206+'11-3'!D206+'12-3'!D206+'13-3'!D206+'14-3'!D206+'15-3'!D206+'16-3'!D206+'17-3'!D206+'18-3'!D206+'19-3'!D206+'21-3'!D206+'22-3'!D206+'24-3'!D206+'25-3'!D206+'28-3'!D206+'29-3'!D206+'30-3'!D206+'32-3'!D206+'35-3'!D206+'37-3'!D206+'47-3'!D206+'62-3'!D206+'64-3'!D206+'74-3'!D206</f>
        <v>20793688</v>
      </c>
      <c r="E460" s="106">
        <f>'01-3'!E206+'02-3'!E206+'03-3'!E206+'04-3'!E206+'05-3'!E206+'08-3'!E206+'09-3'!E206+'10-3'!E206+'11-3'!E206+'12-3'!E206+'13-3'!E206+'14-3'!E206+'15-3'!E206+'16-3'!E206+'17-3'!E206+'18-3'!E206+'19-3'!E206+'21-3'!E206+'22-3'!E206+'24-3'!E206+'25-3'!E206+'28-3'!E206+'29-3'!E206+'30-3'!E206+'32-3'!E206+'35-3'!E206+'37-3'!E206+'47-3'!E206+'62-3'!E206+'64-3'!E206+'74-3'!E206</f>
        <v>84728</v>
      </c>
      <c r="F460" s="106">
        <f>'01-3'!F206+'02-3'!F206+'03-3'!F206+'04-3'!F206+'05-3'!F206+'08-3'!F206+'09-3'!F206+'10-3'!F206+'11-3'!F206+'12-3'!F206+'13-3'!F206+'14-3'!F206+'15-3'!F206+'16-3'!F206+'17-3'!F206+'18-3'!F206+'19-3'!F206+'21-3'!F206+'22-3'!F206+'24-3'!F206+'25-3'!F206+'28-3'!F206+'29-3'!F206+'30-3'!F206+'32-3'!F206+'35-3'!F206+'37-3'!F206+'47-3'!F206+'62-3'!F206+'64-3'!F206+'74-3'!F206</f>
        <v>0</v>
      </c>
      <c r="G460" s="106">
        <f>'01-3'!G206+'02-3'!G206+'03-3'!G206+'04-3'!G206+'05-3'!G206+'08-3'!G206+'09-3'!G206+'10-3'!G206+'11-3'!G206+'12-3'!G206+'13-3'!G206+'14-3'!G206+'15-3'!G206+'16-3'!G206+'17-3'!G206+'18-3'!G206+'19-3'!G206+'21-3'!G206+'22-3'!G206+'24-3'!G206+'25-3'!G206+'28-3'!G206+'29-3'!G206+'30-3'!G206+'32-3'!G206+'35-3'!G206+'37-3'!G206+'47-3'!G206+'62-3'!G206+'64-3'!G206+'74-3'!G206</f>
        <v>0</v>
      </c>
      <c r="H460" s="106">
        <f>'01-3'!H206+'02-3'!H206+'03-3'!H206+'04-3'!H206+'05-3'!H206+'08-3'!H206+'09-3'!H206+'10-3'!H206+'11-3'!H206+'12-3'!H206+'13-3'!H206+'14-3'!H206+'15-3'!H206+'16-3'!H206+'17-3'!H206+'18-3'!H206+'19-3'!H206+'21-3'!H206+'22-3'!H206+'24-3'!H206+'25-3'!H206+'28-3'!H206+'29-3'!H206+'30-3'!H206+'32-3'!H206+'35-3'!H206+'37-3'!H206+'47-3'!H206+'62-3'!H206+'64-3'!H206+'74-3'!H206</f>
        <v>20878416</v>
      </c>
      <c r="I460" s="106">
        <f>'01-3'!I206+'02-3'!I206+'03-3'!I206+'04-3'!I206+'05-3'!I206+'08-3'!I206+'09-3'!I206+'10-3'!I206+'11-3'!I206+'12-3'!I206+'13-3'!I206+'14-3'!I206+'15-3'!I206+'16-3'!I206+'17-3'!I206+'18-3'!I206+'19-3'!I206+'21-3'!I206+'22-3'!I206+'24-3'!I206+'25-3'!I206+'28-3'!I206+'29-3'!I206+'30-3'!I206+'32-3'!I206+'35-3'!I206+'37-3'!I206+'47-3'!I206+'62-3'!I206+'64-3'!I206+'74-3'!I206</f>
        <v>11078214</v>
      </c>
      <c r="J460" s="106">
        <f>'01-3'!J206+'02-3'!J206+'03-3'!J206+'04-3'!J206+'05-3'!J206+'08-3'!J206+'09-3'!J206+'10-3'!J206+'11-3'!J206+'12-3'!J206+'13-3'!J206+'14-3'!J206+'15-3'!J206+'16-3'!J206+'17-3'!J206+'18-3'!J206+'19-3'!J206+'21-3'!J206+'22-3'!J206+'24-3'!J206+'25-3'!J206+'28-3'!J206+'29-3'!J206+'30-3'!J206+'32-3'!J206+'35-3'!J206+'37-3'!J206+'47-3'!J206+'62-3'!J206+'64-3'!J206+'74-3'!J206</f>
        <v>1022041</v>
      </c>
      <c r="K460" s="106">
        <f>'01-3'!K206+'02-3'!K206+'03-3'!K206+'04-3'!K206+'05-3'!K206+'08-3'!K206+'09-3'!K206+'10-3'!K206+'11-3'!K206+'12-3'!K206+'13-3'!K206+'14-3'!K206+'15-3'!K206+'16-3'!K206+'17-3'!K206+'18-3'!K206+'19-3'!K206+'21-3'!K206+'22-3'!K206+'24-3'!K206+'25-3'!K206+'28-3'!K206+'29-3'!K206+'30-3'!K206+'32-3'!K206+'35-3'!K206+'37-3'!K206+'47-3'!K206+'62-3'!K206+'64-3'!K206+'74-3'!K206</f>
        <v>0</v>
      </c>
      <c r="L460" s="106">
        <f>'01-3'!L206+'02-3'!L206+'03-3'!L206+'04-3'!L206+'05-3'!L206+'08-3'!L206+'09-3'!L206+'10-3'!L206+'11-3'!L206+'12-3'!L206+'13-3'!L206+'14-3'!L206+'15-3'!L206+'16-3'!L206+'17-3'!L206+'18-3'!L206+'19-3'!L206+'21-3'!L206+'22-3'!L206+'24-3'!L206+'25-3'!L206+'28-3'!L206+'29-3'!L206+'30-3'!L206+'32-3'!L206+'35-3'!L206+'37-3'!L206+'47-3'!L206+'62-3'!L206+'64-3'!L206+'74-3'!L206</f>
        <v>0</v>
      </c>
      <c r="M460" s="106">
        <f>'01-3'!M206+'02-3'!M206+'03-3'!M206+'04-3'!M206+'05-3'!M206+'08-3'!M206+'09-3'!M206+'10-3'!M206+'11-3'!M206+'12-3'!M206+'13-3'!M206+'14-3'!M206+'15-3'!M206+'16-3'!M206+'17-3'!M206+'18-3'!M206+'19-3'!M206+'21-3'!M206+'22-3'!M206+'24-3'!M206+'25-3'!M206+'28-3'!M206+'29-3'!M206+'30-3'!M206+'32-3'!M206+'35-3'!M206+'37-3'!M206+'47-3'!M206+'62-3'!M206+'64-3'!M206+'74-3'!M206</f>
        <v>12100255</v>
      </c>
      <c r="N460" s="106">
        <f>'01-3'!N206+'02-3'!N206+'03-3'!N206+'04-3'!N206+'05-3'!N206+'08-3'!N206+'09-3'!N206+'10-3'!N206+'11-3'!N206+'12-3'!N206+'13-3'!N206+'14-3'!N206+'15-3'!N206+'16-3'!N206+'17-3'!N206+'18-3'!N206+'19-3'!N206+'21-3'!N206+'22-3'!N206+'24-3'!N206+'25-3'!N206+'28-3'!N206+'29-3'!N206+'30-3'!N206+'32-3'!N206+'35-3'!N206+'37-3'!N206+'47-3'!N206+'62-3'!N206+'64-3'!N206+'74-3'!N206</f>
        <v>4797560</v>
      </c>
      <c r="O460" s="106">
        <f>'01-3'!O206+'02-3'!O206+'03-3'!O206+'04-3'!O206+'05-3'!O206+'08-3'!O206+'09-3'!O206+'10-3'!O206+'11-3'!O206+'12-3'!O206+'13-3'!O206+'14-3'!O206+'15-3'!O206+'16-3'!O206+'17-3'!O206+'18-3'!O206+'19-3'!O206+'21-3'!O206+'22-3'!O206+'24-3'!O206+'25-3'!O206+'28-3'!O206+'29-3'!O206+'30-3'!O206+'32-3'!O206+'35-3'!O206+'37-3'!O206+'47-3'!O206+'62-3'!O206+'64-3'!O206+'74-3'!O206</f>
        <v>579742</v>
      </c>
      <c r="P460" s="106">
        <f>'01-3'!P206+'02-3'!P206+'03-3'!P206+'04-3'!P206+'05-3'!P206+'08-3'!P206+'09-3'!P206+'10-3'!P206+'11-3'!P206+'12-3'!P206+'13-3'!P206+'14-3'!P206+'15-3'!P206+'16-3'!P206+'17-3'!P206+'18-3'!P206+'19-3'!P206+'21-3'!P206+'22-3'!P206+'24-3'!P206+'25-3'!P206+'28-3'!P206+'29-3'!P206+'30-3'!P206+'32-3'!P206+'35-3'!P206+'37-3'!P206+'47-3'!P206+'62-3'!P206+'64-3'!P206+'74-3'!P206</f>
        <v>0</v>
      </c>
      <c r="Q460" s="106">
        <f>'01-3'!Q206+'02-3'!Q206+'03-3'!Q206+'04-3'!Q206+'05-3'!Q206+'08-3'!Q206+'09-3'!Q206+'10-3'!Q206+'11-3'!Q206+'12-3'!Q206+'13-3'!Q206+'14-3'!Q206+'15-3'!Q206+'16-3'!Q206+'17-3'!Q206+'18-3'!Q206+'19-3'!Q206+'21-3'!Q206+'22-3'!Q206+'24-3'!Q206+'25-3'!Q206+'28-3'!Q206+'29-3'!Q206+'30-3'!Q206+'32-3'!Q206+'35-3'!Q206+'37-3'!Q206+'47-3'!Q206+'62-3'!Q206+'64-3'!Q206+'74-3'!Q206</f>
        <v>0</v>
      </c>
      <c r="R460" s="106">
        <f>'01-3'!R206+'02-3'!R206+'03-3'!R206+'04-3'!R206+'05-3'!R206+'08-3'!R206+'09-3'!R206+'10-3'!R206+'11-3'!R206+'12-3'!R206+'13-3'!R206+'14-3'!R206+'15-3'!R206+'16-3'!R206+'17-3'!R206+'18-3'!R206+'19-3'!R206+'21-3'!R206+'22-3'!R206+'24-3'!R206+'25-3'!R206+'28-3'!R206+'29-3'!R206+'30-3'!R206+'32-3'!R206+'35-3'!R206+'37-3'!R206+'47-3'!R206+'62-3'!R206+'64-3'!R206+'74-3'!R206</f>
        <v>5377302</v>
      </c>
      <c r="S460" s="1324"/>
      <c r="T460" s="1324"/>
      <c r="U460" s="1324"/>
      <c r="V460" s="1324"/>
      <c r="W460" s="1324"/>
    </row>
    <row r="461" spans="1:23" s="29" customFormat="1" ht="12">
      <c r="A461" s="139">
        <v>1100</v>
      </c>
      <c r="B461" s="101" t="s">
        <v>107</v>
      </c>
      <c r="C461" s="106">
        <f>'01-3'!C207+'02-3'!C207+'03-3'!C207+'04-3'!C207+'05-3'!C207+'08-3'!C207+'09-3'!C207+'10-3'!C207+'11-3'!C207+'12-3'!C207+'13-3'!C207+'14-3'!C207+'15-3'!C207+'16-3'!C207+'17-3'!C207+'18-3'!C207+'19-3'!C207+'21-3'!C207+'22-3'!C207+'24-3'!C207+'25-3'!C207+'28-3'!C207+'29-3'!C207+'30-3'!C207+'32-3'!C207+'35-3'!C207+'37-3'!C207+'47-3'!C207+'62-3'!C207+'64-3'!C207+'74-3'!C207</f>
        <v>18433106</v>
      </c>
      <c r="D461" s="106">
        <f>'01-3'!D207+'02-3'!D207+'03-3'!D207+'04-3'!D207+'05-3'!D207+'08-3'!D207+'09-3'!D207+'10-3'!D207+'11-3'!D207+'12-3'!D207+'13-3'!D207+'14-3'!D207+'15-3'!D207+'16-3'!D207+'17-3'!D207+'18-3'!D207+'19-3'!D207+'21-3'!D207+'22-3'!D207+'24-3'!D207+'25-3'!D207+'28-3'!D207+'29-3'!D207+'30-3'!D207+'32-3'!D207+'35-3'!D207+'37-3'!D207+'47-3'!D207+'62-3'!D207+'64-3'!D207+'74-3'!D207</f>
        <v>16515214</v>
      </c>
      <c r="E461" s="106">
        <f>'01-3'!E207+'02-3'!E207+'03-3'!E207+'04-3'!E207+'05-3'!E207+'08-3'!E207+'09-3'!E207+'10-3'!E207+'11-3'!E207+'12-3'!E207+'13-3'!E207+'14-3'!E207+'15-3'!E207+'16-3'!E207+'17-3'!E207+'18-3'!E207+'19-3'!E207+'21-3'!E207+'22-3'!E207+'24-3'!E207+'25-3'!E207+'28-3'!E207+'29-3'!E207+'30-3'!E207+'32-3'!E207+'35-3'!E207+'37-3'!E207+'47-3'!E207+'62-3'!E207+'64-3'!E207+'74-3'!E207</f>
        <v>54006</v>
      </c>
      <c r="F461" s="106">
        <f>'01-3'!F207+'02-3'!F207+'03-3'!F207+'04-3'!F207+'05-3'!F207+'08-3'!F207+'09-3'!F207+'10-3'!F207+'11-3'!F207+'12-3'!F207+'13-3'!F207+'14-3'!F207+'15-3'!F207+'16-3'!F207+'17-3'!F207+'18-3'!F207+'19-3'!F207+'21-3'!F207+'22-3'!F207+'24-3'!F207+'25-3'!F207+'28-3'!F207+'29-3'!F207+'30-3'!F207+'32-3'!F207+'35-3'!F207+'37-3'!F207+'47-3'!F207+'62-3'!F207+'64-3'!F207+'74-3'!F207</f>
        <v>0</v>
      </c>
      <c r="G461" s="106">
        <f>'01-3'!G207+'02-3'!G207+'03-3'!G207+'04-3'!G207+'05-3'!G207+'08-3'!G207+'09-3'!G207+'10-3'!G207+'11-3'!G207+'12-3'!G207+'13-3'!G207+'14-3'!G207+'15-3'!G207+'16-3'!G207+'17-3'!G207+'18-3'!G207+'19-3'!G207+'21-3'!G207+'22-3'!G207+'24-3'!G207+'25-3'!G207+'28-3'!G207+'29-3'!G207+'30-3'!G207+'32-3'!G207+'35-3'!G207+'37-3'!G207+'47-3'!G207+'62-3'!G207+'64-3'!G207+'74-3'!G207</f>
        <v>0</v>
      </c>
      <c r="H461" s="106">
        <f>'01-3'!H207+'02-3'!H207+'03-3'!H207+'04-3'!H207+'05-3'!H207+'08-3'!H207+'09-3'!H207+'10-3'!H207+'11-3'!H207+'12-3'!H207+'13-3'!H207+'14-3'!H207+'15-3'!H207+'16-3'!H207+'17-3'!H207+'18-3'!H207+'19-3'!H207+'21-3'!H207+'22-3'!H207+'24-3'!H207+'25-3'!H207+'28-3'!H207+'29-3'!H207+'30-3'!H207+'32-3'!H207+'35-3'!H207+'37-3'!H207+'47-3'!H207+'62-3'!H207+'64-3'!H207+'74-3'!H207</f>
        <v>16569220</v>
      </c>
      <c r="I461" s="106">
        <f>'01-3'!I207+'02-3'!I207+'03-3'!I207+'04-3'!I207+'05-3'!I207+'08-3'!I207+'09-3'!I207+'10-3'!I207+'11-3'!I207+'12-3'!I207+'13-3'!I207+'14-3'!I207+'15-3'!I207+'16-3'!I207+'17-3'!I207+'18-3'!I207+'19-3'!I207+'21-3'!I207+'22-3'!I207+'24-3'!I207+'25-3'!I207+'28-3'!I207+'29-3'!I207+'30-3'!I207+'32-3'!I207+'35-3'!I207+'37-3'!I207+'47-3'!I207+'62-3'!I207+'64-3'!I207+'74-3'!I207</f>
        <v>8843801</v>
      </c>
      <c r="J461" s="106">
        <f>'01-3'!J207+'02-3'!J207+'03-3'!J207+'04-3'!J207+'05-3'!J207+'08-3'!J207+'09-3'!J207+'10-3'!J207+'11-3'!J207+'12-3'!J207+'13-3'!J207+'14-3'!J207+'15-3'!J207+'16-3'!J207+'17-3'!J207+'18-3'!J207+'19-3'!J207+'21-3'!J207+'22-3'!J207+'24-3'!J207+'25-3'!J207+'28-3'!J207+'29-3'!J207+'30-3'!J207+'32-3'!J207+'35-3'!J207+'37-3'!J207+'47-3'!J207+'62-3'!J207+'64-3'!J207+'74-3'!J207</f>
        <v>815458</v>
      </c>
      <c r="K461" s="106">
        <f>'01-3'!K207+'02-3'!K207+'03-3'!K207+'04-3'!K207+'05-3'!K207+'08-3'!K207+'09-3'!K207+'10-3'!K207+'11-3'!K207+'12-3'!K207+'13-3'!K207+'14-3'!K207+'15-3'!K207+'16-3'!K207+'17-3'!K207+'18-3'!K207+'19-3'!K207+'21-3'!K207+'22-3'!K207+'24-3'!K207+'25-3'!K207+'28-3'!K207+'29-3'!K207+'30-3'!K207+'32-3'!K207+'35-3'!K207+'37-3'!K207+'47-3'!K207+'62-3'!K207+'64-3'!K207+'74-3'!K207</f>
        <v>0</v>
      </c>
      <c r="L461" s="106">
        <f>'01-3'!L207+'02-3'!L207+'03-3'!L207+'04-3'!L207+'05-3'!L207+'08-3'!L207+'09-3'!L207+'10-3'!L207+'11-3'!L207+'12-3'!L207+'13-3'!L207+'14-3'!L207+'15-3'!L207+'16-3'!L207+'17-3'!L207+'18-3'!L207+'19-3'!L207+'21-3'!L207+'22-3'!L207+'24-3'!L207+'25-3'!L207+'28-3'!L207+'29-3'!L207+'30-3'!L207+'32-3'!L207+'35-3'!L207+'37-3'!L207+'47-3'!L207+'62-3'!L207+'64-3'!L207+'74-3'!L207</f>
        <v>0</v>
      </c>
      <c r="M461" s="106">
        <f>'01-3'!M207+'02-3'!M207+'03-3'!M207+'04-3'!M207+'05-3'!M207+'08-3'!M207+'09-3'!M207+'10-3'!M207+'11-3'!M207+'12-3'!M207+'13-3'!M207+'14-3'!M207+'15-3'!M207+'16-3'!M207+'17-3'!M207+'18-3'!M207+'19-3'!M207+'21-3'!M207+'22-3'!M207+'24-3'!M207+'25-3'!M207+'28-3'!M207+'29-3'!M207+'30-3'!M207+'32-3'!M207+'35-3'!M207+'37-3'!M207+'47-3'!M207+'62-3'!M207+'64-3'!M207+'74-3'!M207</f>
        <v>9659259</v>
      </c>
      <c r="N461" s="106">
        <f>'01-3'!N207+'02-3'!N207+'03-3'!N207+'04-3'!N207+'05-3'!N207+'08-3'!N207+'09-3'!N207+'10-3'!N207+'11-3'!N207+'12-3'!N207+'13-3'!N207+'14-3'!N207+'15-3'!N207+'16-3'!N207+'17-3'!N207+'18-3'!N207+'19-3'!N207+'21-3'!N207+'22-3'!N207+'24-3'!N207+'25-3'!N207+'28-3'!N207+'29-3'!N207+'30-3'!N207+'32-3'!N207+'35-3'!N207+'37-3'!N207+'47-3'!N207+'62-3'!N207+'64-3'!N207+'74-3'!N207</f>
        <v>3799154</v>
      </c>
      <c r="O461" s="106">
        <f>'01-3'!O207+'02-3'!O207+'03-3'!O207+'04-3'!O207+'05-3'!O207+'08-3'!O207+'09-3'!O207+'10-3'!O207+'11-3'!O207+'12-3'!O207+'13-3'!O207+'14-3'!O207+'15-3'!O207+'16-3'!O207+'17-3'!O207+'18-3'!O207+'19-3'!O207+'21-3'!O207+'22-3'!O207+'24-3'!O207+'25-3'!O207+'28-3'!O207+'29-3'!O207+'30-3'!O207+'32-3'!O207+'35-3'!O207+'37-3'!O207+'47-3'!O207+'62-3'!O207+'64-3'!O207+'74-3'!O207</f>
        <v>461590</v>
      </c>
      <c r="P461" s="106">
        <f>'01-3'!P207+'02-3'!P207+'03-3'!P207+'04-3'!P207+'05-3'!P207+'08-3'!P207+'09-3'!P207+'10-3'!P207+'11-3'!P207+'12-3'!P207+'13-3'!P207+'14-3'!P207+'15-3'!P207+'16-3'!P207+'17-3'!P207+'18-3'!P207+'19-3'!P207+'21-3'!P207+'22-3'!P207+'24-3'!P207+'25-3'!P207+'28-3'!P207+'29-3'!P207+'30-3'!P207+'32-3'!P207+'35-3'!P207+'37-3'!P207+'47-3'!P207+'62-3'!P207+'64-3'!P207+'74-3'!P207</f>
        <v>0</v>
      </c>
      <c r="Q461" s="106">
        <f>'01-3'!Q207+'02-3'!Q207+'03-3'!Q207+'04-3'!Q207+'05-3'!Q207+'08-3'!Q207+'09-3'!Q207+'10-3'!Q207+'11-3'!Q207+'12-3'!Q207+'13-3'!Q207+'14-3'!Q207+'15-3'!Q207+'16-3'!Q207+'17-3'!Q207+'18-3'!Q207+'19-3'!Q207+'21-3'!Q207+'22-3'!Q207+'24-3'!Q207+'25-3'!Q207+'28-3'!Q207+'29-3'!Q207+'30-3'!Q207+'32-3'!Q207+'35-3'!Q207+'37-3'!Q207+'47-3'!Q207+'62-3'!Q207+'64-3'!Q207+'74-3'!Q207</f>
        <v>0</v>
      </c>
      <c r="R461" s="106">
        <f>'01-3'!R207+'02-3'!R207+'03-3'!R207+'04-3'!R207+'05-3'!R207+'08-3'!R207+'09-3'!R207+'10-3'!R207+'11-3'!R207+'12-3'!R207+'13-3'!R207+'14-3'!R207+'15-3'!R207+'16-3'!R207+'17-3'!R207+'18-3'!R207+'19-3'!R207+'21-3'!R207+'22-3'!R207+'24-3'!R207+'25-3'!R207+'28-3'!R207+'29-3'!R207+'30-3'!R207+'32-3'!R207+'35-3'!R207+'37-3'!R207+'47-3'!R207+'62-3'!R207+'64-3'!R207+'74-3'!R207</f>
        <v>4260744</v>
      </c>
      <c r="S461" s="1324"/>
      <c r="T461" s="1324"/>
      <c r="U461" s="1324"/>
      <c r="V461" s="1324"/>
      <c r="W461" s="1324"/>
    </row>
    <row r="462" spans="1:23" s="29" customFormat="1" ht="12">
      <c r="A462" s="132">
        <v>2000</v>
      </c>
      <c r="B462" s="101" t="s">
        <v>108</v>
      </c>
      <c r="C462" s="106">
        <f>'01-3'!C208+'02-3'!C208+'03-3'!C208+'04-3'!C208+'05-3'!C208+'08-3'!C208+'09-3'!C208+'10-3'!C208+'11-3'!C208+'12-3'!C208+'13-3'!C208+'14-3'!C208+'15-3'!C208+'16-3'!C208+'17-3'!C208+'18-3'!C208+'19-3'!C208+'21-3'!C208+'22-3'!C208+'24-3'!C208+'25-3'!C208+'28-3'!C208+'29-3'!C208+'30-3'!C208+'32-3'!C208+'35-3'!C208+'37-3'!C208+'47-3'!C208+'62-3'!C208+'64-3'!C208+'74-3'!C208</f>
        <v>43684119</v>
      </c>
      <c r="D462" s="106">
        <f>'01-3'!D208+'02-3'!D208+'03-3'!D208+'04-3'!D208+'05-3'!D208+'08-3'!D208+'09-3'!D208+'10-3'!D208+'11-3'!D208+'12-3'!D208+'13-3'!D208+'14-3'!D208+'15-3'!D208+'16-3'!D208+'17-3'!D208+'18-3'!D208+'19-3'!D208+'21-3'!D208+'22-3'!D208+'24-3'!D208+'25-3'!D208+'28-3'!D208+'29-3'!D208+'30-3'!D208+'32-3'!D208+'35-3'!D208+'37-3'!D208+'47-3'!D208+'62-3'!D208+'64-3'!D208+'74-3'!D208</f>
        <v>28910426</v>
      </c>
      <c r="E462" s="106">
        <f>'01-3'!E208+'02-3'!E208+'03-3'!E208+'04-3'!E208+'05-3'!E208+'08-3'!E208+'09-3'!E208+'10-3'!E208+'11-3'!E208+'12-3'!E208+'13-3'!E208+'14-3'!E208+'15-3'!E208+'16-3'!E208+'17-3'!E208+'18-3'!E208+'19-3'!E208+'21-3'!E208+'22-3'!E208+'24-3'!E208+'25-3'!E208+'28-3'!E208+'29-3'!E208+'30-3'!E208+'32-3'!E208+'35-3'!E208+'37-3'!E208+'47-3'!E208+'62-3'!E208+'64-3'!E208+'74-3'!E208</f>
        <v>1127954</v>
      </c>
      <c r="F462" s="106">
        <f>'01-3'!F208+'02-3'!F208+'03-3'!F208+'04-3'!F208+'05-3'!F208+'08-3'!F208+'09-3'!F208+'10-3'!F208+'11-3'!F208+'12-3'!F208+'13-3'!F208+'14-3'!F208+'15-3'!F208+'16-3'!F208+'17-3'!F208+'18-3'!F208+'19-3'!F208+'21-3'!F208+'22-3'!F208+'24-3'!F208+'25-3'!F208+'28-3'!F208+'29-3'!F208+'30-3'!F208+'32-3'!F208+'35-3'!F208+'37-3'!F208+'47-3'!F208+'62-3'!F208+'64-3'!F208+'74-3'!F208</f>
        <v>0</v>
      </c>
      <c r="G462" s="106">
        <f>'01-3'!G208+'02-3'!G208+'03-3'!G208+'04-3'!G208+'05-3'!G208+'08-3'!G208+'09-3'!G208+'10-3'!G208+'11-3'!G208+'12-3'!G208+'13-3'!G208+'14-3'!G208+'15-3'!G208+'16-3'!G208+'17-3'!G208+'18-3'!G208+'19-3'!G208+'21-3'!G208+'22-3'!G208+'24-3'!G208+'25-3'!G208+'28-3'!G208+'29-3'!G208+'30-3'!G208+'32-3'!G208+'35-3'!G208+'37-3'!G208+'47-3'!G208+'62-3'!G208+'64-3'!G208+'74-3'!G208</f>
        <v>0</v>
      </c>
      <c r="H462" s="106">
        <f>'01-3'!H208+'02-3'!H208+'03-3'!H208+'04-3'!H208+'05-3'!H208+'08-3'!H208+'09-3'!H208+'10-3'!H208+'11-3'!H208+'12-3'!H208+'13-3'!H208+'14-3'!H208+'15-3'!H208+'16-3'!H208+'17-3'!H208+'18-3'!H208+'19-3'!H208+'21-3'!H208+'22-3'!H208+'24-3'!H208+'25-3'!H208+'28-3'!H208+'29-3'!H208+'30-3'!H208+'32-3'!H208+'35-3'!H208+'37-3'!H208+'47-3'!H208+'62-3'!H208+'64-3'!H208+'74-3'!H208</f>
        <v>30038380</v>
      </c>
      <c r="I462" s="106">
        <f>'01-3'!I208+'02-3'!I208+'03-3'!I208+'04-3'!I208+'05-3'!I208+'08-3'!I208+'09-3'!I208+'10-3'!I208+'11-3'!I208+'12-3'!I208+'13-3'!I208+'14-3'!I208+'15-3'!I208+'16-3'!I208+'17-3'!I208+'18-3'!I208+'19-3'!I208+'21-3'!I208+'22-3'!I208+'24-3'!I208+'25-3'!I208+'28-3'!I208+'29-3'!I208+'30-3'!I208+'32-3'!I208+'35-3'!I208+'37-3'!I208+'47-3'!I208+'62-3'!I208+'64-3'!I208+'74-3'!I208</f>
        <v>15125518</v>
      </c>
      <c r="J462" s="106">
        <f>'01-3'!J208+'02-3'!J208+'03-3'!J208+'04-3'!J208+'05-3'!J208+'08-3'!J208+'09-3'!J208+'10-3'!J208+'11-3'!J208+'12-3'!J208+'13-3'!J208+'14-3'!J208+'15-3'!J208+'16-3'!J208+'17-3'!J208+'18-3'!J208+'19-3'!J208+'21-3'!J208+'22-3'!J208+'24-3'!J208+'25-3'!J208+'28-3'!J208+'29-3'!J208+'30-3'!J208+'32-3'!J208+'35-3'!J208+'37-3'!J208+'47-3'!J208+'62-3'!J208+'64-3'!J208+'74-3'!J208</f>
        <v>563850</v>
      </c>
      <c r="K462" s="106">
        <f>'01-3'!K208+'02-3'!K208+'03-3'!K208+'04-3'!K208+'05-3'!K208+'08-3'!K208+'09-3'!K208+'10-3'!K208+'11-3'!K208+'12-3'!K208+'13-3'!K208+'14-3'!K208+'15-3'!K208+'16-3'!K208+'17-3'!K208+'18-3'!K208+'19-3'!K208+'21-3'!K208+'22-3'!K208+'24-3'!K208+'25-3'!K208+'28-3'!K208+'29-3'!K208+'30-3'!K208+'32-3'!K208+'35-3'!K208+'37-3'!K208+'47-3'!K208+'62-3'!K208+'64-3'!K208+'74-3'!K208</f>
        <v>0</v>
      </c>
      <c r="L462" s="106">
        <f>'01-3'!L208+'02-3'!L208+'03-3'!L208+'04-3'!L208+'05-3'!L208+'08-3'!L208+'09-3'!L208+'10-3'!L208+'11-3'!L208+'12-3'!L208+'13-3'!L208+'14-3'!L208+'15-3'!L208+'16-3'!L208+'17-3'!L208+'18-3'!L208+'19-3'!L208+'21-3'!L208+'22-3'!L208+'24-3'!L208+'25-3'!L208+'28-3'!L208+'29-3'!L208+'30-3'!L208+'32-3'!L208+'35-3'!L208+'37-3'!L208+'47-3'!L208+'62-3'!L208+'64-3'!L208+'74-3'!L208</f>
        <v>0</v>
      </c>
      <c r="M462" s="106">
        <f>'01-3'!M208+'02-3'!M208+'03-3'!M208+'04-3'!M208+'05-3'!M208+'08-3'!M208+'09-3'!M208+'10-3'!M208+'11-3'!M208+'12-3'!M208+'13-3'!M208+'14-3'!M208+'15-3'!M208+'16-3'!M208+'17-3'!M208+'18-3'!M208+'19-3'!M208+'21-3'!M208+'22-3'!M208+'24-3'!M208+'25-3'!M208+'28-3'!M208+'29-3'!M208+'30-3'!M208+'32-3'!M208+'35-3'!M208+'37-3'!M208+'47-3'!M208+'62-3'!M208+'64-3'!M208+'74-3'!M208</f>
        <v>15689368</v>
      </c>
      <c r="N462" s="106">
        <f>'01-3'!N208+'02-3'!N208+'03-3'!N208+'04-3'!N208+'05-3'!N208+'08-3'!N208+'09-3'!N208+'10-3'!N208+'11-3'!N208+'12-3'!N208+'13-3'!N208+'14-3'!N208+'15-3'!N208+'16-3'!N208+'17-3'!N208+'18-3'!N208+'19-3'!N208+'21-3'!N208+'22-3'!N208+'24-3'!N208+'25-3'!N208+'28-3'!N208+'29-3'!N208+'30-3'!N208+'32-3'!N208+'35-3'!N208+'37-3'!N208+'47-3'!N208+'62-3'!N208+'64-3'!N208+'74-3'!N208</f>
        <v>7092338</v>
      </c>
      <c r="O462" s="106">
        <f>'01-3'!O208+'02-3'!O208+'03-3'!O208+'04-3'!O208+'05-3'!O208+'08-3'!O208+'09-3'!O208+'10-3'!O208+'11-3'!O208+'12-3'!O208+'13-3'!O208+'14-3'!O208+'15-3'!O208+'16-3'!O208+'17-3'!O208+'18-3'!O208+'19-3'!O208+'21-3'!O208+'22-3'!O208+'24-3'!O208+'25-3'!O208+'28-3'!O208+'29-3'!O208+'30-3'!O208+'32-3'!O208+'35-3'!O208+'37-3'!O208+'47-3'!O208+'62-3'!O208+'64-3'!O208+'74-3'!O208</f>
        <v>188294</v>
      </c>
      <c r="P462" s="106">
        <f>'01-3'!P208+'02-3'!P208+'03-3'!P208+'04-3'!P208+'05-3'!P208+'08-3'!P208+'09-3'!P208+'10-3'!P208+'11-3'!P208+'12-3'!P208+'13-3'!P208+'14-3'!P208+'15-3'!P208+'16-3'!P208+'17-3'!P208+'18-3'!P208+'19-3'!P208+'21-3'!P208+'22-3'!P208+'24-3'!P208+'25-3'!P208+'28-3'!P208+'29-3'!P208+'30-3'!P208+'32-3'!P208+'35-3'!P208+'37-3'!P208+'47-3'!P208+'62-3'!P208+'64-3'!P208+'74-3'!P208</f>
        <v>0</v>
      </c>
      <c r="Q462" s="106">
        <f>'01-3'!Q208+'02-3'!Q208+'03-3'!Q208+'04-3'!Q208+'05-3'!Q208+'08-3'!Q208+'09-3'!Q208+'10-3'!Q208+'11-3'!Q208+'12-3'!Q208+'13-3'!Q208+'14-3'!Q208+'15-3'!Q208+'16-3'!Q208+'17-3'!Q208+'18-3'!Q208+'19-3'!Q208+'21-3'!Q208+'22-3'!Q208+'24-3'!Q208+'25-3'!Q208+'28-3'!Q208+'29-3'!Q208+'30-3'!Q208+'32-3'!Q208+'35-3'!Q208+'37-3'!Q208+'47-3'!Q208+'62-3'!Q208+'64-3'!Q208+'74-3'!Q208</f>
        <v>0</v>
      </c>
      <c r="R462" s="106">
        <f>'01-3'!R208+'02-3'!R208+'03-3'!R208+'04-3'!R208+'05-3'!R208+'08-3'!R208+'09-3'!R208+'10-3'!R208+'11-3'!R208+'12-3'!R208+'13-3'!R208+'14-3'!R208+'15-3'!R208+'16-3'!R208+'17-3'!R208+'18-3'!R208+'19-3'!R208+'21-3'!R208+'22-3'!R208+'24-3'!R208+'25-3'!R208+'28-3'!R208+'29-3'!R208+'30-3'!R208+'32-3'!R208+'35-3'!R208+'37-3'!R208+'47-3'!R208+'62-3'!R208+'64-3'!R208+'74-3'!R208</f>
        <v>7280632</v>
      </c>
      <c r="S462" s="1324"/>
      <c r="T462" s="1324"/>
      <c r="U462" s="1324"/>
      <c r="V462" s="1324"/>
      <c r="W462" s="1324"/>
    </row>
    <row r="463" spans="1:23" s="29" customFormat="1" ht="12">
      <c r="A463" s="140">
        <v>4000</v>
      </c>
      <c r="B463" s="100" t="s">
        <v>132</v>
      </c>
      <c r="C463" s="106">
        <f>'01-3'!C209+'02-3'!C209+'03-3'!C209+'04-3'!C209+'05-3'!C209+'08-3'!C209+'09-3'!C209+'10-3'!C209+'11-3'!C209+'12-3'!C209+'13-3'!C209+'14-3'!C209+'15-3'!C209+'16-3'!C209+'17-3'!C209+'18-3'!C209+'19-3'!C209+'21-3'!C209+'22-3'!C209+'24-3'!C209+'25-3'!C209+'28-3'!C209+'29-3'!C209+'30-3'!C209+'32-3'!C209+'35-3'!C209+'37-3'!C209+'47-3'!C209+'62-3'!C209+'64-3'!C209+'74-3'!C209</f>
        <v>0</v>
      </c>
      <c r="D463" s="106">
        <f>'01-3'!D209+'02-3'!D209+'03-3'!D209+'04-3'!D209+'05-3'!D209+'08-3'!D209+'09-3'!D209+'10-3'!D209+'11-3'!D209+'12-3'!D209+'13-3'!D209+'14-3'!D209+'15-3'!D209+'16-3'!D209+'17-3'!D209+'18-3'!D209+'19-3'!D209+'21-3'!D209+'22-3'!D209+'24-3'!D209+'25-3'!D209+'28-3'!D209+'29-3'!D209+'30-3'!D209+'32-3'!D209+'35-3'!D209+'37-3'!D209+'47-3'!D209+'62-3'!D209+'64-3'!D209+'74-3'!D209</f>
        <v>0</v>
      </c>
      <c r="E463" s="106">
        <f>'01-3'!E209+'02-3'!E209+'03-3'!E209+'04-3'!E209+'05-3'!E209+'08-3'!E209+'09-3'!E209+'10-3'!E209+'11-3'!E209+'12-3'!E209+'13-3'!E209+'14-3'!E209+'15-3'!E209+'16-3'!E209+'17-3'!E209+'18-3'!E209+'19-3'!E209+'21-3'!E209+'22-3'!E209+'24-3'!E209+'25-3'!E209+'28-3'!E209+'29-3'!E209+'30-3'!E209+'32-3'!E209+'35-3'!E209+'37-3'!E209+'47-3'!E209+'62-3'!E209+'64-3'!E209+'74-3'!E209</f>
        <v>0</v>
      </c>
      <c r="F463" s="106">
        <f>'01-3'!F209+'02-3'!F209+'03-3'!F209+'04-3'!F209+'05-3'!F209+'08-3'!F209+'09-3'!F209+'10-3'!F209+'11-3'!F209+'12-3'!F209+'13-3'!F209+'14-3'!F209+'15-3'!F209+'16-3'!F209+'17-3'!F209+'18-3'!F209+'19-3'!F209+'21-3'!F209+'22-3'!F209+'24-3'!F209+'25-3'!F209+'28-3'!F209+'29-3'!F209+'30-3'!F209+'32-3'!F209+'35-3'!F209+'37-3'!F209+'47-3'!F209+'62-3'!F209+'64-3'!F209+'74-3'!F209</f>
        <v>0</v>
      </c>
      <c r="G463" s="106">
        <f>'01-3'!G209+'02-3'!G209+'03-3'!G209+'04-3'!G209+'05-3'!G209+'08-3'!G209+'09-3'!G209+'10-3'!G209+'11-3'!G209+'12-3'!G209+'13-3'!G209+'14-3'!G209+'15-3'!G209+'16-3'!G209+'17-3'!G209+'18-3'!G209+'19-3'!G209+'21-3'!G209+'22-3'!G209+'24-3'!G209+'25-3'!G209+'28-3'!G209+'29-3'!G209+'30-3'!G209+'32-3'!G209+'35-3'!G209+'37-3'!G209+'47-3'!G209+'62-3'!G209+'64-3'!G209+'74-3'!G209</f>
        <v>0</v>
      </c>
      <c r="H463" s="106">
        <f>'01-3'!H209+'02-3'!H209+'03-3'!H209+'04-3'!H209+'05-3'!H209+'08-3'!H209+'09-3'!H209+'10-3'!H209+'11-3'!H209+'12-3'!H209+'13-3'!H209+'14-3'!H209+'15-3'!H209+'16-3'!H209+'17-3'!H209+'18-3'!H209+'19-3'!H209+'21-3'!H209+'22-3'!H209+'24-3'!H209+'25-3'!H209+'28-3'!H209+'29-3'!H209+'30-3'!H209+'32-3'!H209+'35-3'!H209+'37-3'!H209+'47-3'!H209+'62-3'!H209+'64-3'!H209+'74-3'!H209</f>
        <v>0</v>
      </c>
      <c r="I463" s="106">
        <f>'01-3'!I209+'02-3'!I209+'03-3'!I209+'04-3'!I209+'05-3'!I209+'08-3'!I209+'09-3'!I209+'10-3'!I209+'11-3'!I209+'12-3'!I209+'13-3'!I209+'14-3'!I209+'15-3'!I209+'16-3'!I209+'17-3'!I209+'18-3'!I209+'19-3'!I209+'21-3'!I209+'22-3'!I209+'24-3'!I209+'25-3'!I209+'28-3'!I209+'29-3'!I209+'30-3'!I209+'32-3'!I209+'35-3'!I209+'37-3'!I209+'47-3'!I209+'62-3'!I209+'64-3'!I209+'74-3'!I209</f>
        <v>0</v>
      </c>
      <c r="J463" s="106">
        <f>'01-3'!J209+'02-3'!J209+'03-3'!J209+'04-3'!J209+'05-3'!J209+'08-3'!J209+'09-3'!J209+'10-3'!J209+'11-3'!J209+'12-3'!J209+'13-3'!J209+'14-3'!J209+'15-3'!J209+'16-3'!J209+'17-3'!J209+'18-3'!J209+'19-3'!J209+'21-3'!J209+'22-3'!J209+'24-3'!J209+'25-3'!J209+'28-3'!J209+'29-3'!J209+'30-3'!J209+'32-3'!J209+'35-3'!J209+'37-3'!J209+'47-3'!J209+'62-3'!J209+'64-3'!J209+'74-3'!J209</f>
        <v>0</v>
      </c>
      <c r="K463" s="106">
        <f>'01-3'!K209+'02-3'!K209+'03-3'!K209+'04-3'!K209+'05-3'!K209+'08-3'!K209+'09-3'!K209+'10-3'!K209+'11-3'!K209+'12-3'!K209+'13-3'!K209+'14-3'!K209+'15-3'!K209+'16-3'!K209+'17-3'!K209+'18-3'!K209+'19-3'!K209+'21-3'!K209+'22-3'!K209+'24-3'!K209+'25-3'!K209+'28-3'!K209+'29-3'!K209+'30-3'!K209+'32-3'!K209+'35-3'!K209+'37-3'!K209+'47-3'!K209+'62-3'!K209+'64-3'!K209+'74-3'!K209</f>
        <v>0</v>
      </c>
      <c r="L463" s="106">
        <f>'01-3'!L209+'02-3'!L209+'03-3'!L209+'04-3'!L209+'05-3'!L209+'08-3'!L209+'09-3'!L209+'10-3'!L209+'11-3'!L209+'12-3'!L209+'13-3'!L209+'14-3'!L209+'15-3'!L209+'16-3'!L209+'17-3'!L209+'18-3'!L209+'19-3'!L209+'21-3'!L209+'22-3'!L209+'24-3'!L209+'25-3'!L209+'28-3'!L209+'29-3'!L209+'30-3'!L209+'32-3'!L209+'35-3'!L209+'37-3'!L209+'47-3'!L209+'62-3'!L209+'64-3'!L209+'74-3'!L209</f>
        <v>0</v>
      </c>
      <c r="M463" s="106">
        <f>'01-3'!M209+'02-3'!M209+'03-3'!M209+'04-3'!M209+'05-3'!M209+'08-3'!M209+'09-3'!M209+'10-3'!M209+'11-3'!M209+'12-3'!M209+'13-3'!M209+'14-3'!M209+'15-3'!M209+'16-3'!M209+'17-3'!M209+'18-3'!M209+'19-3'!M209+'21-3'!M209+'22-3'!M209+'24-3'!M209+'25-3'!M209+'28-3'!M209+'29-3'!M209+'30-3'!M209+'32-3'!M209+'35-3'!M209+'37-3'!M209+'47-3'!M209+'62-3'!M209+'64-3'!M209+'74-3'!M209</f>
        <v>0</v>
      </c>
      <c r="N463" s="106">
        <f>'01-3'!N209+'02-3'!N209+'03-3'!N209+'04-3'!N209+'05-3'!N209+'08-3'!N209+'09-3'!N209+'10-3'!N209+'11-3'!N209+'12-3'!N209+'13-3'!N209+'14-3'!N209+'15-3'!N209+'16-3'!N209+'17-3'!N209+'18-3'!N209+'19-3'!N209+'21-3'!N209+'22-3'!N209+'24-3'!N209+'25-3'!N209+'28-3'!N209+'29-3'!N209+'30-3'!N209+'32-3'!N209+'35-3'!N209+'37-3'!N209+'47-3'!N209+'62-3'!N209+'64-3'!N209+'74-3'!N209</f>
        <v>0</v>
      </c>
      <c r="O463" s="106">
        <f>'01-3'!O209+'02-3'!O209+'03-3'!O209+'04-3'!O209+'05-3'!O209+'08-3'!O209+'09-3'!O209+'10-3'!O209+'11-3'!O209+'12-3'!O209+'13-3'!O209+'14-3'!O209+'15-3'!O209+'16-3'!O209+'17-3'!O209+'18-3'!O209+'19-3'!O209+'21-3'!O209+'22-3'!O209+'24-3'!O209+'25-3'!O209+'28-3'!O209+'29-3'!O209+'30-3'!O209+'32-3'!O209+'35-3'!O209+'37-3'!O209+'47-3'!O209+'62-3'!O209+'64-3'!O209+'74-3'!O209</f>
        <v>0</v>
      </c>
      <c r="P463" s="106">
        <f>'01-3'!P209+'02-3'!P209+'03-3'!P209+'04-3'!P209+'05-3'!P209+'08-3'!P209+'09-3'!P209+'10-3'!P209+'11-3'!P209+'12-3'!P209+'13-3'!P209+'14-3'!P209+'15-3'!P209+'16-3'!P209+'17-3'!P209+'18-3'!P209+'19-3'!P209+'21-3'!P209+'22-3'!P209+'24-3'!P209+'25-3'!P209+'28-3'!P209+'29-3'!P209+'30-3'!P209+'32-3'!P209+'35-3'!P209+'37-3'!P209+'47-3'!P209+'62-3'!P209+'64-3'!P209+'74-3'!P209</f>
        <v>0</v>
      </c>
      <c r="Q463" s="106">
        <f>'01-3'!Q209+'02-3'!Q209+'03-3'!Q209+'04-3'!Q209+'05-3'!Q209+'08-3'!Q209+'09-3'!Q209+'10-3'!Q209+'11-3'!Q209+'12-3'!Q209+'13-3'!Q209+'14-3'!Q209+'15-3'!Q209+'16-3'!Q209+'17-3'!Q209+'18-3'!Q209+'19-3'!Q209+'21-3'!Q209+'22-3'!Q209+'24-3'!Q209+'25-3'!Q209+'28-3'!Q209+'29-3'!Q209+'30-3'!Q209+'32-3'!Q209+'35-3'!Q209+'37-3'!Q209+'47-3'!Q209+'62-3'!Q209+'64-3'!Q209+'74-3'!Q209</f>
        <v>0</v>
      </c>
      <c r="R463" s="106">
        <f>'01-3'!R209+'02-3'!R209+'03-3'!R209+'04-3'!R209+'05-3'!R209+'08-3'!R209+'09-3'!R209+'10-3'!R209+'11-3'!R209+'12-3'!R209+'13-3'!R209+'14-3'!R209+'15-3'!R209+'16-3'!R209+'17-3'!R209+'18-3'!R209+'19-3'!R209+'21-3'!R209+'22-3'!R209+'24-3'!R209+'25-3'!R209+'28-3'!R209+'29-3'!R209+'30-3'!R209+'32-3'!R209+'35-3'!R209+'37-3'!R209+'47-3'!R209+'62-3'!R209+'64-3'!R209+'74-3'!R209</f>
        <v>0</v>
      </c>
      <c r="S463" s="1324"/>
      <c r="T463" s="1324"/>
      <c r="U463" s="1324"/>
      <c r="V463" s="1324"/>
      <c r="W463" s="1324"/>
    </row>
    <row r="464" spans="1:23" s="29" customFormat="1" ht="12">
      <c r="A464" s="140" t="s">
        <v>109</v>
      </c>
      <c r="B464" s="100" t="s">
        <v>110</v>
      </c>
      <c r="C464" s="106">
        <f>'01-3'!C210+'02-3'!C210+'03-3'!C210+'04-3'!C210+'05-3'!C210+'08-3'!C210+'09-3'!C210+'10-3'!C210+'11-3'!C210+'12-3'!C210+'13-3'!C210+'14-3'!C210+'15-3'!C210+'16-3'!C210+'17-3'!C210+'18-3'!C210+'19-3'!C210+'21-3'!C210+'22-3'!C210+'24-3'!C210+'25-3'!C210+'28-3'!C210+'29-3'!C210+'30-3'!C210+'32-3'!C210+'35-3'!C210+'37-3'!C210+'47-3'!C210+'62-3'!C210+'64-3'!C210+'74-3'!C210</f>
        <v>566029252</v>
      </c>
      <c r="D464" s="106">
        <f>'01-3'!D210+'02-3'!D210+'03-3'!D210+'04-3'!D210+'05-3'!D210+'08-3'!D210+'09-3'!D210+'10-3'!D210+'11-3'!D210+'12-3'!D210+'13-3'!D210+'14-3'!D210+'15-3'!D210+'16-3'!D210+'17-3'!D210+'18-3'!D210+'19-3'!D210+'21-3'!D210+'22-3'!D210+'24-3'!D210+'25-3'!D210+'28-3'!D210+'29-3'!D210+'30-3'!D210+'32-3'!D210+'35-3'!D210+'37-3'!D210+'47-3'!D210+'62-3'!D210+'64-3'!D210+'74-3'!D210</f>
        <v>629560398</v>
      </c>
      <c r="E464" s="106">
        <f>'01-3'!E210+'02-3'!E210+'03-3'!E210+'04-3'!E210+'05-3'!E210+'08-3'!E210+'09-3'!E210+'10-3'!E210+'11-3'!E210+'12-3'!E210+'13-3'!E210+'14-3'!E210+'15-3'!E210+'16-3'!E210+'17-3'!E210+'18-3'!E210+'19-3'!E210+'21-3'!E210+'22-3'!E210+'24-3'!E210+'25-3'!E210+'28-3'!E210+'29-3'!E210+'30-3'!E210+'32-3'!E210+'35-3'!E210+'37-3'!E210+'47-3'!E210+'62-3'!E210+'64-3'!E210+'74-3'!E210</f>
        <v>-6259492</v>
      </c>
      <c r="F464" s="106">
        <f>'01-3'!F210+'02-3'!F210+'03-3'!F210+'04-3'!F210+'05-3'!F210+'08-3'!F210+'09-3'!F210+'10-3'!F210+'11-3'!F210+'12-3'!F210+'13-3'!F210+'14-3'!F210+'15-3'!F210+'16-3'!F210+'17-3'!F210+'18-3'!F210+'19-3'!F210+'21-3'!F210+'22-3'!F210+'24-3'!F210+'25-3'!F210+'28-3'!F210+'29-3'!F210+'30-3'!F210+'32-3'!F210+'35-3'!F210+'37-3'!F210+'47-3'!F210+'62-3'!F210+'64-3'!F210+'74-3'!F210</f>
        <v>0</v>
      </c>
      <c r="G464" s="106">
        <f>'01-3'!G210+'02-3'!G210+'03-3'!G210+'04-3'!G210+'05-3'!G210+'08-3'!G210+'09-3'!G210+'10-3'!G210+'11-3'!G210+'12-3'!G210+'13-3'!G210+'14-3'!G210+'15-3'!G210+'16-3'!G210+'17-3'!G210+'18-3'!G210+'19-3'!G210+'21-3'!G210+'22-3'!G210+'24-3'!G210+'25-3'!G210+'28-3'!G210+'29-3'!G210+'30-3'!G210+'32-3'!G210+'35-3'!G210+'37-3'!G210+'47-3'!G210+'62-3'!G210+'64-3'!G210+'74-3'!G210</f>
        <v>-7331031</v>
      </c>
      <c r="H464" s="106">
        <f>'01-3'!H210+'02-3'!H210+'03-3'!H210+'04-3'!H210+'05-3'!H210+'08-3'!H210+'09-3'!H210+'10-3'!H210+'11-3'!H210+'12-3'!H210+'13-3'!H210+'14-3'!H210+'15-3'!H210+'16-3'!H210+'17-3'!H210+'18-3'!H210+'19-3'!H210+'21-3'!H210+'22-3'!H210+'24-3'!H210+'25-3'!H210+'28-3'!H210+'29-3'!H210+'30-3'!H210+'32-3'!H210+'35-3'!H210+'37-3'!H210+'47-3'!H210+'62-3'!H210+'64-3'!H210+'74-3'!H210</f>
        <v>615969875</v>
      </c>
      <c r="I464" s="106">
        <f>'01-3'!I210+'02-3'!I210+'03-3'!I210+'04-3'!I210+'05-3'!I210+'08-3'!I210+'09-3'!I210+'10-3'!I210+'11-3'!I210+'12-3'!I210+'13-3'!I210+'14-3'!I210+'15-3'!I210+'16-3'!I210+'17-3'!I210+'18-3'!I210+'19-3'!I210+'21-3'!I210+'22-3'!I210+'24-3'!I210+'25-3'!I210+'28-3'!I210+'29-3'!I210+'30-3'!I210+'32-3'!I210+'35-3'!I210+'37-3'!I210+'47-3'!I210+'62-3'!I210+'64-3'!I210+'74-3'!I210</f>
        <v>881845594</v>
      </c>
      <c r="J464" s="106">
        <f>'01-3'!J210+'02-3'!J210+'03-3'!J210+'04-3'!J210+'05-3'!J210+'08-3'!J210+'09-3'!J210+'10-3'!J210+'11-3'!J210+'12-3'!J210+'13-3'!J210+'14-3'!J210+'15-3'!J210+'16-3'!J210+'17-3'!J210+'18-3'!J210+'19-3'!J210+'21-3'!J210+'22-3'!J210+'24-3'!J210+'25-3'!J210+'28-3'!J210+'29-3'!J210+'30-3'!J210+'32-3'!J210+'35-3'!J210+'37-3'!J210+'47-3'!J210+'62-3'!J210+'64-3'!J210+'74-3'!J210</f>
        <v>-11680234</v>
      </c>
      <c r="K464" s="106">
        <f>'01-3'!K210+'02-3'!K210+'03-3'!K210+'04-3'!K210+'05-3'!K210+'08-3'!K210+'09-3'!K210+'10-3'!K210+'11-3'!K210+'12-3'!K210+'13-3'!K210+'14-3'!K210+'15-3'!K210+'16-3'!K210+'17-3'!K210+'18-3'!K210+'19-3'!K210+'21-3'!K210+'22-3'!K210+'24-3'!K210+'25-3'!K210+'28-3'!K210+'29-3'!K210+'30-3'!K210+'32-3'!K210+'35-3'!K210+'37-3'!K210+'47-3'!K210+'62-3'!K210+'64-3'!K210+'74-3'!K210</f>
        <v>0</v>
      </c>
      <c r="L464" s="106">
        <f>'01-3'!L210+'02-3'!L210+'03-3'!L210+'04-3'!L210+'05-3'!L210+'08-3'!L210+'09-3'!L210+'10-3'!L210+'11-3'!L210+'12-3'!L210+'13-3'!L210+'14-3'!L210+'15-3'!L210+'16-3'!L210+'17-3'!L210+'18-3'!L210+'19-3'!L210+'21-3'!L210+'22-3'!L210+'24-3'!L210+'25-3'!L210+'28-3'!L210+'29-3'!L210+'30-3'!L210+'32-3'!L210+'35-3'!L210+'37-3'!L210+'47-3'!L210+'62-3'!L210+'64-3'!L210+'74-3'!L210</f>
        <v>-20383069</v>
      </c>
      <c r="M464" s="106">
        <f>'01-3'!M210+'02-3'!M210+'03-3'!M210+'04-3'!M210+'05-3'!M210+'08-3'!M210+'09-3'!M210+'10-3'!M210+'11-3'!M210+'12-3'!M210+'13-3'!M210+'14-3'!M210+'15-3'!M210+'16-3'!M210+'17-3'!M210+'18-3'!M210+'19-3'!M210+'21-3'!M210+'22-3'!M210+'24-3'!M210+'25-3'!M210+'28-3'!M210+'29-3'!M210+'30-3'!M210+'32-3'!M210+'35-3'!M210+'37-3'!M210+'47-3'!M210+'62-3'!M210+'64-3'!M210+'74-3'!M210</f>
        <v>849782291</v>
      </c>
      <c r="N464" s="106">
        <f>'01-3'!N210+'02-3'!N210+'03-3'!N210+'04-3'!N210+'05-3'!N210+'08-3'!N210+'09-3'!N210+'10-3'!N210+'11-3'!N210+'12-3'!N210+'13-3'!N210+'14-3'!N210+'15-3'!N210+'16-3'!N210+'17-3'!N210+'18-3'!N210+'19-3'!N210+'21-3'!N210+'22-3'!N210+'24-3'!N210+'25-3'!N210+'28-3'!N210+'29-3'!N210+'30-3'!N210+'32-3'!N210+'35-3'!N210+'37-3'!N210+'47-3'!N210+'62-3'!N210+'64-3'!N210+'74-3'!N210</f>
        <v>753300734</v>
      </c>
      <c r="O464" s="106">
        <f>'01-3'!O210+'02-3'!O210+'03-3'!O210+'04-3'!O210+'05-3'!O210+'08-3'!O210+'09-3'!O210+'10-3'!O210+'11-3'!O210+'12-3'!O210+'13-3'!O210+'14-3'!O210+'15-3'!O210+'16-3'!O210+'17-3'!O210+'18-3'!O210+'19-3'!O210+'21-3'!O210+'22-3'!O210+'24-3'!O210+'25-3'!O210+'28-3'!O210+'29-3'!O210+'30-3'!O210+'32-3'!O210+'35-3'!O210+'37-3'!O210+'47-3'!O210+'62-3'!O210+'64-3'!O210+'74-3'!O210</f>
        <v>-240975</v>
      </c>
      <c r="P464" s="106">
        <f>'01-3'!P210+'02-3'!P210+'03-3'!P210+'04-3'!P210+'05-3'!P210+'08-3'!P210+'09-3'!P210+'10-3'!P210+'11-3'!P210+'12-3'!P210+'13-3'!P210+'14-3'!P210+'15-3'!P210+'16-3'!P210+'17-3'!P210+'18-3'!P210+'19-3'!P210+'21-3'!P210+'22-3'!P210+'24-3'!P210+'25-3'!P210+'28-3'!P210+'29-3'!P210+'30-3'!P210+'32-3'!P210+'35-3'!P210+'37-3'!P210+'47-3'!P210+'62-3'!P210+'64-3'!P210+'74-3'!P210</f>
        <v>0</v>
      </c>
      <c r="Q464" s="106">
        <f>'01-3'!Q210+'02-3'!Q210+'03-3'!Q210+'04-3'!Q210+'05-3'!Q210+'08-3'!Q210+'09-3'!Q210+'10-3'!Q210+'11-3'!Q210+'12-3'!Q210+'13-3'!Q210+'14-3'!Q210+'15-3'!Q210+'16-3'!Q210+'17-3'!Q210+'18-3'!Q210+'19-3'!Q210+'21-3'!Q210+'22-3'!Q210+'24-3'!Q210+'25-3'!Q210+'28-3'!Q210+'29-3'!Q210+'30-3'!Q210+'32-3'!Q210+'35-3'!Q210+'37-3'!Q210+'47-3'!Q210+'62-3'!Q210+'64-3'!Q210+'74-3'!Q210</f>
        <v>-39405634</v>
      </c>
      <c r="R464" s="106">
        <f>'01-3'!R210+'02-3'!R210+'03-3'!R210+'04-3'!R210+'05-3'!R210+'08-3'!R210+'09-3'!R210+'10-3'!R210+'11-3'!R210+'12-3'!R210+'13-3'!R210+'14-3'!R210+'15-3'!R210+'16-3'!R210+'17-3'!R210+'18-3'!R210+'19-3'!R210+'21-3'!R210+'22-3'!R210+'24-3'!R210+'25-3'!R210+'28-3'!R210+'29-3'!R210+'30-3'!R210+'32-3'!R210+'35-3'!R210+'37-3'!R210+'47-3'!R210+'62-3'!R210+'64-3'!R210+'74-3'!R210</f>
        <v>713654125</v>
      </c>
      <c r="S464" s="1324"/>
      <c r="T464" s="1324"/>
      <c r="U464" s="1324"/>
      <c r="V464" s="1324"/>
      <c r="W464" s="1324"/>
    </row>
    <row r="465" spans="1:23" s="29" customFormat="1" ht="12">
      <c r="A465" s="132">
        <v>3000</v>
      </c>
      <c r="B465" s="101" t="s">
        <v>111</v>
      </c>
      <c r="C465" s="106">
        <f>'01-3'!C211+'02-3'!C211+'03-3'!C211+'04-3'!C211+'05-3'!C211+'08-3'!C211+'09-3'!C211+'10-3'!C211+'11-3'!C211+'12-3'!C211+'13-3'!C211+'14-3'!C211+'15-3'!C211+'16-3'!C211+'17-3'!C211+'18-3'!C211+'19-3'!C211+'21-3'!C211+'22-3'!C211+'24-3'!C211+'25-3'!C211+'28-3'!C211+'29-3'!C211+'30-3'!C211+'32-3'!C211+'35-3'!C211+'37-3'!C211+'47-3'!C211+'62-3'!C211+'64-3'!C211+'74-3'!C211</f>
        <v>559877343</v>
      </c>
      <c r="D465" s="106">
        <f>'01-3'!D211+'02-3'!D211+'03-3'!D211+'04-3'!D211+'05-3'!D211+'08-3'!D211+'09-3'!D211+'10-3'!D211+'11-3'!D211+'12-3'!D211+'13-3'!D211+'14-3'!D211+'15-3'!D211+'16-3'!D211+'17-3'!D211+'18-3'!D211+'19-3'!D211+'21-3'!D211+'22-3'!D211+'24-3'!D211+'25-3'!D211+'28-3'!D211+'29-3'!D211+'30-3'!D211+'32-3'!D211+'35-3'!D211+'37-3'!D211+'47-3'!D211+'62-3'!D211+'64-3'!D211+'74-3'!D211</f>
        <v>626371913</v>
      </c>
      <c r="E465" s="106">
        <f>'01-3'!E211+'02-3'!E211+'03-3'!E211+'04-3'!E211+'05-3'!E211+'08-3'!E211+'09-3'!E211+'10-3'!E211+'11-3'!E211+'12-3'!E211+'13-3'!E211+'14-3'!E211+'15-3'!E211+'16-3'!E211+'17-3'!E211+'18-3'!E211+'19-3'!E211+'21-3'!E211+'22-3'!E211+'24-3'!E211+'25-3'!E211+'28-3'!E211+'29-3'!E211+'30-3'!E211+'32-3'!E211+'35-3'!E211+'37-3'!E211+'47-3'!E211+'62-3'!E211+'64-3'!E211+'74-3'!E211</f>
        <v>-6259492</v>
      </c>
      <c r="F465" s="106">
        <f>'01-3'!F211+'02-3'!F211+'03-3'!F211+'04-3'!F211+'05-3'!F211+'08-3'!F211+'09-3'!F211+'10-3'!F211+'11-3'!F211+'12-3'!F211+'13-3'!F211+'14-3'!F211+'15-3'!F211+'16-3'!F211+'17-3'!F211+'18-3'!F211+'19-3'!F211+'21-3'!F211+'22-3'!F211+'24-3'!F211+'25-3'!F211+'28-3'!F211+'29-3'!F211+'30-3'!F211+'32-3'!F211+'35-3'!F211+'37-3'!F211+'47-3'!F211+'62-3'!F211+'64-3'!F211+'74-3'!F211</f>
        <v>0</v>
      </c>
      <c r="G465" s="106">
        <f>'01-3'!G211+'02-3'!G211+'03-3'!G211+'04-3'!G211+'05-3'!G211+'08-3'!G211+'09-3'!G211+'10-3'!G211+'11-3'!G211+'12-3'!G211+'13-3'!G211+'14-3'!G211+'15-3'!G211+'16-3'!G211+'17-3'!G211+'18-3'!G211+'19-3'!G211+'21-3'!G211+'22-3'!G211+'24-3'!G211+'25-3'!G211+'28-3'!G211+'29-3'!G211+'30-3'!G211+'32-3'!G211+'35-3'!G211+'37-3'!G211+'47-3'!G211+'62-3'!G211+'64-3'!G211+'74-3'!G211</f>
        <v>-7331031</v>
      </c>
      <c r="H465" s="106">
        <f>'01-3'!H211+'02-3'!H211+'03-3'!H211+'04-3'!H211+'05-3'!H211+'08-3'!H211+'09-3'!H211+'10-3'!H211+'11-3'!H211+'12-3'!H211+'13-3'!H211+'14-3'!H211+'15-3'!H211+'16-3'!H211+'17-3'!H211+'18-3'!H211+'19-3'!H211+'21-3'!H211+'22-3'!H211+'24-3'!H211+'25-3'!H211+'28-3'!H211+'29-3'!H211+'30-3'!H211+'32-3'!H211+'35-3'!H211+'37-3'!H211+'47-3'!H211+'62-3'!H211+'64-3'!H211+'74-3'!H211</f>
        <v>612781390</v>
      </c>
      <c r="I465" s="106">
        <f>'01-3'!I211+'02-3'!I211+'03-3'!I211+'04-3'!I211+'05-3'!I211+'08-3'!I211+'09-3'!I211+'10-3'!I211+'11-3'!I211+'12-3'!I211+'13-3'!I211+'14-3'!I211+'15-3'!I211+'16-3'!I211+'17-3'!I211+'18-3'!I211+'19-3'!I211+'21-3'!I211+'22-3'!I211+'24-3'!I211+'25-3'!I211+'28-3'!I211+'29-3'!I211+'30-3'!I211+'32-3'!I211+'35-3'!I211+'37-3'!I211+'47-3'!I211+'62-3'!I211+'64-3'!I211+'74-3'!I211</f>
        <v>881845594</v>
      </c>
      <c r="J465" s="106">
        <f>'01-3'!J211+'02-3'!J211+'03-3'!J211+'04-3'!J211+'05-3'!J211+'08-3'!J211+'09-3'!J211+'10-3'!J211+'11-3'!J211+'12-3'!J211+'13-3'!J211+'14-3'!J211+'15-3'!J211+'16-3'!J211+'17-3'!J211+'18-3'!J211+'19-3'!J211+'21-3'!J211+'22-3'!J211+'24-3'!J211+'25-3'!J211+'28-3'!J211+'29-3'!J211+'30-3'!J211+'32-3'!J211+'35-3'!J211+'37-3'!J211+'47-3'!J211+'62-3'!J211+'64-3'!J211+'74-3'!J211</f>
        <v>-11680234</v>
      </c>
      <c r="K465" s="106">
        <f>'01-3'!K211+'02-3'!K211+'03-3'!K211+'04-3'!K211+'05-3'!K211+'08-3'!K211+'09-3'!K211+'10-3'!K211+'11-3'!K211+'12-3'!K211+'13-3'!K211+'14-3'!K211+'15-3'!K211+'16-3'!K211+'17-3'!K211+'18-3'!K211+'19-3'!K211+'21-3'!K211+'22-3'!K211+'24-3'!K211+'25-3'!K211+'28-3'!K211+'29-3'!K211+'30-3'!K211+'32-3'!K211+'35-3'!K211+'37-3'!K211+'47-3'!K211+'62-3'!K211+'64-3'!K211+'74-3'!K211</f>
        <v>0</v>
      </c>
      <c r="L465" s="106">
        <f>'01-3'!L211+'02-3'!L211+'03-3'!L211+'04-3'!L211+'05-3'!L211+'08-3'!L211+'09-3'!L211+'10-3'!L211+'11-3'!L211+'12-3'!L211+'13-3'!L211+'14-3'!L211+'15-3'!L211+'16-3'!L211+'17-3'!L211+'18-3'!L211+'19-3'!L211+'21-3'!L211+'22-3'!L211+'24-3'!L211+'25-3'!L211+'28-3'!L211+'29-3'!L211+'30-3'!L211+'32-3'!L211+'35-3'!L211+'37-3'!L211+'47-3'!L211+'62-3'!L211+'64-3'!L211+'74-3'!L211</f>
        <v>-20383069</v>
      </c>
      <c r="M465" s="106">
        <f>'01-3'!M211+'02-3'!M211+'03-3'!M211+'04-3'!M211+'05-3'!M211+'08-3'!M211+'09-3'!M211+'10-3'!M211+'11-3'!M211+'12-3'!M211+'13-3'!M211+'14-3'!M211+'15-3'!M211+'16-3'!M211+'17-3'!M211+'18-3'!M211+'19-3'!M211+'21-3'!M211+'22-3'!M211+'24-3'!M211+'25-3'!M211+'28-3'!M211+'29-3'!M211+'30-3'!M211+'32-3'!M211+'35-3'!M211+'37-3'!M211+'47-3'!M211+'62-3'!M211+'64-3'!M211+'74-3'!M211</f>
        <v>849782291</v>
      </c>
      <c r="N465" s="106">
        <f>'01-3'!N211+'02-3'!N211+'03-3'!N211+'04-3'!N211+'05-3'!N211+'08-3'!N211+'09-3'!N211+'10-3'!N211+'11-3'!N211+'12-3'!N211+'13-3'!N211+'14-3'!N211+'15-3'!N211+'16-3'!N211+'17-3'!N211+'18-3'!N211+'19-3'!N211+'21-3'!N211+'22-3'!N211+'24-3'!N211+'25-3'!N211+'28-3'!N211+'29-3'!N211+'30-3'!N211+'32-3'!N211+'35-3'!N211+'37-3'!N211+'47-3'!N211+'62-3'!N211+'64-3'!N211+'74-3'!N211</f>
        <v>753300734</v>
      </c>
      <c r="O465" s="106">
        <f>'01-3'!O211+'02-3'!O211+'03-3'!O211+'04-3'!O211+'05-3'!O211+'08-3'!O211+'09-3'!O211+'10-3'!O211+'11-3'!O211+'12-3'!O211+'13-3'!O211+'14-3'!O211+'15-3'!O211+'16-3'!O211+'17-3'!O211+'18-3'!O211+'19-3'!O211+'21-3'!O211+'22-3'!O211+'24-3'!O211+'25-3'!O211+'28-3'!O211+'29-3'!O211+'30-3'!O211+'32-3'!O211+'35-3'!O211+'37-3'!O211+'47-3'!O211+'62-3'!O211+'64-3'!O211+'74-3'!O211</f>
        <v>-240975</v>
      </c>
      <c r="P465" s="106">
        <f>'01-3'!P211+'02-3'!P211+'03-3'!P211+'04-3'!P211+'05-3'!P211+'08-3'!P211+'09-3'!P211+'10-3'!P211+'11-3'!P211+'12-3'!P211+'13-3'!P211+'14-3'!P211+'15-3'!P211+'16-3'!P211+'17-3'!P211+'18-3'!P211+'19-3'!P211+'21-3'!P211+'22-3'!P211+'24-3'!P211+'25-3'!P211+'28-3'!P211+'29-3'!P211+'30-3'!P211+'32-3'!P211+'35-3'!P211+'37-3'!P211+'47-3'!P211+'62-3'!P211+'64-3'!P211+'74-3'!P211</f>
        <v>0</v>
      </c>
      <c r="Q465" s="106">
        <f>'01-3'!Q211+'02-3'!Q211+'03-3'!Q211+'04-3'!Q211+'05-3'!Q211+'08-3'!Q211+'09-3'!Q211+'10-3'!Q211+'11-3'!Q211+'12-3'!Q211+'13-3'!Q211+'14-3'!Q211+'15-3'!Q211+'16-3'!Q211+'17-3'!Q211+'18-3'!Q211+'19-3'!Q211+'21-3'!Q211+'22-3'!Q211+'24-3'!Q211+'25-3'!Q211+'28-3'!Q211+'29-3'!Q211+'30-3'!Q211+'32-3'!Q211+'35-3'!Q211+'37-3'!Q211+'47-3'!Q211+'62-3'!Q211+'64-3'!Q211+'74-3'!Q211</f>
        <v>-39405634</v>
      </c>
      <c r="R465" s="106">
        <f>'01-3'!R211+'02-3'!R211+'03-3'!R211+'04-3'!R211+'05-3'!R211+'08-3'!R211+'09-3'!R211+'10-3'!R211+'11-3'!R211+'12-3'!R211+'13-3'!R211+'14-3'!R211+'15-3'!R211+'16-3'!R211+'17-3'!R211+'18-3'!R211+'19-3'!R211+'21-3'!R211+'22-3'!R211+'24-3'!R211+'25-3'!R211+'28-3'!R211+'29-3'!R211+'30-3'!R211+'32-3'!R211+'35-3'!R211+'37-3'!R211+'47-3'!R211+'62-3'!R211+'64-3'!R211+'74-3'!R211</f>
        <v>713654125</v>
      </c>
      <c r="S465" s="1324"/>
      <c r="T465" s="1324"/>
      <c r="U465" s="1324"/>
      <c r="V465" s="1324"/>
      <c r="W465" s="1324"/>
    </row>
    <row r="466" spans="1:23" s="29" customFormat="1" ht="12">
      <c r="A466" s="132">
        <v>6000</v>
      </c>
      <c r="B466" s="101" t="s">
        <v>112</v>
      </c>
      <c r="C466" s="106">
        <f>'01-3'!C212+'02-3'!C212+'03-3'!C212+'04-3'!C212+'05-3'!C212+'08-3'!C212+'09-3'!C212+'10-3'!C212+'11-3'!C212+'12-3'!C212+'13-3'!C212+'14-3'!C212+'15-3'!C212+'16-3'!C212+'17-3'!C212+'18-3'!C212+'19-3'!C212+'21-3'!C212+'22-3'!C212+'24-3'!C212+'25-3'!C212+'28-3'!C212+'29-3'!C212+'30-3'!C212+'32-3'!C212+'35-3'!C212+'37-3'!C212+'47-3'!C212+'62-3'!C212+'64-3'!C212+'74-3'!C212</f>
        <v>6151909</v>
      </c>
      <c r="D466" s="106">
        <f>'01-3'!D212+'02-3'!D212+'03-3'!D212+'04-3'!D212+'05-3'!D212+'08-3'!D212+'09-3'!D212+'10-3'!D212+'11-3'!D212+'12-3'!D212+'13-3'!D212+'14-3'!D212+'15-3'!D212+'16-3'!D212+'17-3'!D212+'18-3'!D212+'19-3'!D212+'21-3'!D212+'22-3'!D212+'24-3'!D212+'25-3'!D212+'28-3'!D212+'29-3'!D212+'30-3'!D212+'32-3'!D212+'35-3'!D212+'37-3'!D212+'47-3'!D212+'62-3'!D212+'64-3'!D212+'74-3'!D212</f>
        <v>3188485</v>
      </c>
      <c r="E466" s="106">
        <f>'01-3'!E212+'02-3'!E212+'03-3'!E212+'04-3'!E212+'05-3'!E212+'08-3'!E212+'09-3'!E212+'10-3'!E212+'11-3'!E212+'12-3'!E212+'13-3'!E212+'14-3'!E212+'15-3'!E212+'16-3'!E212+'17-3'!E212+'18-3'!E212+'19-3'!E212+'21-3'!E212+'22-3'!E212+'24-3'!E212+'25-3'!E212+'28-3'!E212+'29-3'!E212+'30-3'!E212+'32-3'!E212+'35-3'!E212+'37-3'!E212+'47-3'!E212+'62-3'!E212+'64-3'!E212+'74-3'!E212</f>
        <v>0</v>
      </c>
      <c r="F466" s="106">
        <f>'01-3'!F212+'02-3'!F212+'03-3'!F212+'04-3'!F212+'05-3'!F212+'08-3'!F212+'09-3'!F212+'10-3'!F212+'11-3'!F212+'12-3'!F212+'13-3'!F212+'14-3'!F212+'15-3'!F212+'16-3'!F212+'17-3'!F212+'18-3'!F212+'19-3'!F212+'21-3'!F212+'22-3'!F212+'24-3'!F212+'25-3'!F212+'28-3'!F212+'29-3'!F212+'30-3'!F212+'32-3'!F212+'35-3'!F212+'37-3'!F212+'47-3'!F212+'62-3'!F212+'64-3'!F212+'74-3'!F212</f>
        <v>0</v>
      </c>
      <c r="G466" s="106">
        <f>'01-3'!G212+'02-3'!G212+'03-3'!G212+'04-3'!G212+'05-3'!G212+'08-3'!G212+'09-3'!G212+'10-3'!G212+'11-3'!G212+'12-3'!G212+'13-3'!G212+'14-3'!G212+'15-3'!G212+'16-3'!G212+'17-3'!G212+'18-3'!G212+'19-3'!G212+'21-3'!G212+'22-3'!G212+'24-3'!G212+'25-3'!G212+'28-3'!G212+'29-3'!G212+'30-3'!G212+'32-3'!G212+'35-3'!G212+'37-3'!G212+'47-3'!G212+'62-3'!G212+'64-3'!G212+'74-3'!G212</f>
        <v>0</v>
      </c>
      <c r="H466" s="106">
        <f>'01-3'!H212+'02-3'!H212+'03-3'!H212+'04-3'!H212+'05-3'!H212+'08-3'!H212+'09-3'!H212+'10-3'!H212+'11-3'!H212+'12-3'!H212+'13-3'!H212+'14-3'!H212+'15-3'!H212+'16-3'!H212+'17-3'!H212+'18-3'!H212+'19-3'!H212+'21-3'!H212+'22-3'!H212+'24-3'!H212+'25-3'!H212+'28-3'!H212+'29-3'!H212+'30-3'!H212+'32-3'!H212+'35-3'!H212+'37-3'!H212+'47-3'!H212+'62-3'!H212+'64-3'!H212+'74-3'!H212</f>
        <v>3188485</v>
      </c>
      <c r="I466" s="106">
        <f>'01-3'!I212+'02-3'!I212+'03-3'!I212+'04-3'!I212+'05-3'!I212+'08-3'!I212+'09-3'!I212+'10-3'!I212+'11-3'!I212+'12-3'!I212+'13-3'!I212+'14-3'!I212+'15-3'!I212+'16-3'!I212+'17-3'!I212+'18-3'!I212+'19-3'!I212+'21-3'!I212+'22-3'!I212+'24-3'!I212+'25-3'!I212+'28-3'!I212+'29-3'!I212+'30-3'!I212+'32-3'!I212+'35-3'!I212+'37-3'!I212+'47-3'!I212+'62-3'!I212+'64-3'!I212+'74-3'!I212</f>
        <v>0</v>
      </c>
      <c r="J466" s="106">
        <f>'01-3'!J212+'02-3'!J212+'03-3'!J212+'04-3'!J212+'05-3'!J212+'08-3'!J212+'09-3'!J212+'10-3'!J212+'11-3'!J212+'12-3'!J212+'13-3'!J212+'14-3'!J212+'15-3'!J212+'16-3'!J212+'17-3'!J212+'18-3'!J212+'19-3'!J212+'21-3'!J212+'22-3'!J212+'24-3'!J212+'25-3'!J212+'28-3'!J212+'29-3'!J212+'30-3'!J212+'32-3'!J212+'35-3'!J212+'37-3'!J212+'47-3'!J212+'62-3'!J212+'64-3'!J212+'74-3'!J212</f>
        <v>0</v>
      </c>
      <c r="K466" s="106">
        <f>'01-3'!K212+'02-3'!K212+'03-3'!K212+'04-3'!K212+'05-3'!K212+'08-3'!K212+'09-3'!K212+'10-3'!K212+'11-3'!K212+'12-3'!K212+'13-3'!K212+'14-3'!K212+'15-3'!K212+'16-3'!K212+'17-3'!K212+'18-3'!K212+'19-3'!K212+'21-3'!K212+'22-3'!K212+'24-3'!K212+'25-3'!K212+'28-3'!K212+'29-3'!K212+'30-3'!K212+'32-3'!K212+'35-3'!K212+'37-3'!K212+'47-3'!K212+'62-3'!K212+'64-3'!K212+'74-3'!K212</f>
        <v>0</v>
      </c>
      <c r="L466" s="106">
        <f>'01-3'!L212+'02-3'!L212+'03-3'!L212+'04-3'!L212+'05-3'!L212+'08-3'!L212+'09-3'!L212+'10-3'!L212+'11-3'!L212+'12-3'!L212+'13-3'!L212+'14-3'!L212+'15-3'!L212+'16-3'!L212+'17-3'!L212+'18-3'!L212+'19-3'!L212+'21-3'!L212+'22-3'!L212+'24-3'!L212+'25-3'!L212+'28-3'!L212+'29-3'!L212+'30-3'!L212+'32-3'!L212+'35-3'!L212+'37-3'!L212+'47-3'!L212+'62-3'!L212+'64-3'!L212+'74-3'!L212</f>
        <v>0</v>
      </c>
      <c r="M466" s="106">
        <f>'01-3'!M212+'02-3'!M212+'03-3'!M212+'04-3'!M212+'05-3'!M212+'08-3'!M212+'09-3'!M212+'10-3'!M212+'11-3'!M212+'12-3'!M212+'13-3'!M212+'14-3'!M212+'15-3'!M212+'16-3'!M212+'17-3'!M212+'18-3'!M212+'19-3'!M212+'21-3'!M212+'22-3'!M212+'24-3'!M212+'25-3'!M212+'28-3'!M212+'29-3'!M212+'30-3'!M212+'32-3'!M212+'35-3'!M212+'37-3'!M212+'47-3'!M212+'62-3'!M212+'64-3'!M212+'74-3'!M212</f>
        <v>0</v>
      </c>
      <c r="N466" s="106">
        <f>'01-3'!N212+'02-3'!N212+'03-3'!N212+'04-3'!N212+'05-3'!N212+'08-3'!N212+'09-3'!N212+'10-3'!N212+'11-3'!N212+'12-3'!N212+'13-3'!N212+'14-3'!N212+'15-3'!N212+'16-3'!N212+'17-3'!N212+'18-3'!N212+'19-3'!N212+'21-3'!N212+'22-3'!N212+'24-3'!N212+'25-3'!N212+'28-3'!N212+'29-3'!N212+'30-3'!N212+'32-3'!N212+'35-3'!N212+'37-3'!N212+'47-3'!N212+'62-3'!N212+'64-3'!N212+'74-3'!N212</f>
        <v>0</v>
      </c>
      <c r="O466" s="106">
        <f>'01-3'!O212+'02-3'!O212+'03-3'!O212+'04-3'!O212+'05-3'!O212+'08-3'!O212+'09-3'!O212+'10-3'!O212+'11-3'!O212+'12-3'!O212+'13-3'!O212+'14-3'!O212+'15-3'!O212+'16-3'!O212+'17-3'!O212+'18-3'!O212+'19-3'!O212+'21-3'!O212+'22-3'!O212+'24-3'!O212+'25-3'!O212+'28-3'!O212+'29-3'!O212+'30-3'!O212+'32-3'!O212+'35-3'!O212+'37-3'!O212+'47-3'!O212+'62-3'!O212+'64-3'!O212+'74-3'!O212</f>
        <v>0</v>
      </c>
      <c r="P466" s="106">
        <f>'01-3'!P212+'02-3'!P212+'03-3'!P212+'04-3'!P212+'05-3'!P212+'08-3'!P212+'09-3'!P212+'10-3'!P212+'11-3'!P212+'12-3'!P212+'13-3'!P212+'14-3'!P212+'15-3'!P212+'16-3'!P212+'17-3'!P212+'18-3'!P212+'19-3'!P212+'21-3'!P212+'22-3'!P212+'24-3'!P212+'25-3'!P212+'28-3'!P212+'29-3'!P212+'30-3'!P212+'32-3'!P212+'35-3'!P212+'37-3'!P212+'47-3'!P212+'62-3'!P212+'64-3'!P212+'74-3'!P212</f>
        <v>0</v>
      </c>
      <c r="Q466" s="106">
        <f>'01-3'!Q212+'02-3'!Q212+'03-3'!Q212+'04-3'!Q212+'05-3'!Q212+'08-3'!Q212+'09-3'!Q212+'10-3'!Q212+'11-3'!Q212+'12-3'!Q212+'13-3'!Q212+'14-3'!Q212+'15-3'!Q212+'16-3'!Q212+'17-3'!Q212+'18-3'!Q212+'19-3'!Q212+'21-3'!Q212+'22-3'!Q212+'24-3'!Q212+'25-3'!Q212+'28-3'!Q212+'29-3'!Q212+'30-3'!Q212+'32-3'!Q212+'35-3'!Q212+'37-3'!Q212+'47-3'!Q212+'62-3'!Q212+'64-3'!Q212+'74-3'!Q212</f>
        <v>0</v>
      </c>
      <c r="R466" s="106">
        <f>'01-3'!R212+'02-3'!R212+'03-3'!R212+'04-3'!R212+'05-3'!R212+'08-3'!R212+'09-3'!R212+'10-3'!R212+'11-3'!R212+'12-3'!R212+'13-3'!R212+'14-3'!R212+'15-3'!R212+'16-3'!R212+'17-3'!R212+'18-3'!R212+'19-3'!R212+'21-3'!R212+'22-3'!R212+'24-3'!R212+'25-3'!R212+'28-3'!R212+'29-3'!R212+'30-3'!R212+'32-3'!R212+'35-3'!R212+'37-3'!R212+'47-3'!R212+'62-3'!R212+'64-3'!R212+'74-3'!R212</f>
        <v>0</v>
      </c>
      <c r="S466" s="1324"/>
      <c r="T466" s="1324"/>
      <c r="U466" s="1324"/>
      <c r="V466" s="1324"/>
      <c r="W466" s="1324"/>
    </row>
    <row r="467" spans="1:23" s="29" customFormat="1" ht="22.8">
      <c r="A467" s="140" t="s">
        <v>113</v>
      </c>
      <c r="B467" s="100" t="s">
        <v>183</v>
      </c>
      <c r="C467" s="106">
        <f>'01-3'!C213+'02-3'!C213+'03-3'!C213+'04-3'!C213+'05-3'!C213+'08-3'!C213+'09-3'!C213+'10-3'!C213+'11-3'!C213+'12-3'!C213+'13-3'!C213+'14-3'!C213+'15-3'!C213+'16-3'!C213+'17-3'!C213+'18-3'!C213+'19-3'!C213+'21-3'!C213+'22-3'!C213+'24-3'!C213+'25-3'!C213+'28-3'!C213+'29-3'!C213+'30-3'!C213+'32-3'!C213+'35-3'!C213+'37-3'!C213+'47-3'!C213+'62-3'!C213+'64-3'!C213+'74-3'!C213</f>
        <v>11198967</v>
      </c>
      <c r="D467" s="106">
        <f>'01-3'!D213+'02-3'!D213+'03-3'!D213+'04-3'!D213+'05-3'!D213+'08-3'!D213+'09-3'!D213+'10-3'!D213+'11-3'!D213+'12-3'!D213+'13-3'!D213+'14-3'!D213+'15-3'!D213+'16-3'!D213+'17-3'!D213+'18-3'!D213+'19-3'!D213+'21-3'!D213+'22-3'!D213+'24-3'!D213+'25-3'!D213+'28-3'!D213+'29-3'!D213+'30-3'!D213+'32-3'!D213+'35-3'!D213+'37-3'!D213+'47-3'!D213+'62-3'!D213+'64-3'!D213+'74-3'!D213</f>
        <v>14732219</v>
      </c>
      <c r="E467" s="106">
        <f>'01-3'!E213+'02-3'!E213+'03-3'!E213+'04-3'!E213+'05-3'!E213+'08-3'!E213+'09-3'!E213+'10-3'!E213+'11-3'!E213+'12-3'!E213+'13-3'!E213+'14-3'!E213+'15-3'!E213+'16-3'!E213+'17-3'!E213+'18-3'!E213+'19-3'!E213+'21-3'!E213+'22-3'!E213+'24-3'!E213+'25-3'!E213+'28-3'!E213+'29-3'!E213+'30-3'!E213+'32-3'!E213+'35-3'!E213+'37-3'!E213+'47-3'!E213+'62-3'!E213+'64-3'!E213+'74-3'!E213</f>
        <v>360882</v>
      </c>
      <c r="F467" s="106">
        <f>'01-3'!F213+'02-3'!F213+'03-3'!F213+'04-3'!F213+'05-3'!F213+'08-3'!F213+'09-3'!F213+'10-3'!F213+'11-3'!F213+'12-3'!F213+'13-3'!F213+'14-3'!F213+'15-3'!F213+'16-3'!F213+'17-3'!F213+'18-3'!F213+'19-3'!F213+'21-3'!F213+'22-3'!F213+'24-3'!F213+'25-3'!F213+'28-3'!F213+'29-3'!F213+'30-3'!F213+'32-3'!F213+'35-3'!F213+'37-3'!F213+'47-3'!F213+'62-3'!F213+'64-3'!F213+'74-3'!F213</f>
        <v>0</v>
      </c>
      <c r="G467" s="106">
        <f>'01-3'!G213+'02-3'!G213+'03-3'!G213+'04-3'!G213+'05-3'!G213+'08-3'!G213+'09-3'!G213+'10-3'!G213+'11-3'!G213+'12-3'!G213+'13-3'!G213+'14-3'!G213+'15-3'!G213+'16-3'!G213+'17-3'!G213+'18-3'!G213+'19-3'!G213+'21-3'!G213+'22-3'!G213+'24-3'!G213+'25-3'!G213+'28-3'!G213+'29-3'!G213+'30-3'!G213+'32-3'!G213+'35-3'!G213+'37-3'!G213+'47-3'!G213+'62-3'!G213+'64-3'!G213+'74-3'!G213</f>
        <v>0</v>
      </c>
      <c r="H467" s="106">
        <f>'01-3'!H213+'02-3'!H213+'03-3'!H213+'04-3'!H213+'05-3'!H213+'08-3'!H213+'09-3'!H213+'10-3'!H213+'11-3'!H213+'12-3'!H213+'13-3'!H213+'14-3'!H213+'15-3'!H213+'16-3'!H213+'17-3'!H213+'18-3'!H213+'19-3'!H213+'21-3'!H213+'22-3'!H213+'24-3'!H213+'25-3'!H213+'28-3'!H213+'29-3'!H213+'30-3'!H213+'32-3'!H213+'35-3'!H213+'37-3'!H213+'47-3'!H213+'62-3'!H213+'64-3'!H213+'74-3'!H213</f>
        <v>15093101</v>
      </c>
      <c r="I467" s="106">
        <f>'01-3'!I213+'02-3'!I213+'03-3'!I213+'04-3'!I213+'05-3'!I213+'08-3'!I213+'09-3'!I213+'10-3'!I213+'11-3'!I213+'12-3'!I213+'13-3'!I213+'14-3'!I213+'15-3'!I213+'16-3'!I213+'17-3'!I213+'18-3'!I213+'19-3'!I213+'21-3'!I213+'22-3'!I213+'24-3'!I213+'25-3'!I213+'28-3'!I213+'29-3'!I213+'30-3'!I213+'32-3'!I213+'35-3'!I213+'37-3'!I213+'47-3'!I213+'62-3'!I213+'64-3'!I213+'74-3'!I213</f>
        <v>6156220</v>
      </c>
      <c r="J467" s="106">
        <f>'01-3'!J213+'02-3'!J213+'03-3'!J213+'04-3'!J213+'05-3'!J213+'08-3'!J213+'09-3'!J213+'10-3'!J213+'11-3'!J213+'12-3'!J213+'13-3'!J213+'14-3'!J213+'15-3'!J213+'16-3'!J213+'17-3'!J213+'18-3'!J213+'19-3'!J213+'21-3'!J213+'22-3'!J213+'24-3'!J213+'25-3'!J213+'28-3'!J213+'29-3'!J213+'30-3'!J213+'32-3'!J213+'35-3'!J213+'37-3'!J213+'47-3'!J213+'62-3'!J213+'64-3'!J213+'74-3'!J213</f>
        <v>0</v>
      </c>
      <c r="K467" s="106">
        <f>'01-3'!K213+'02-3'!K213+'03-3'!K213+'04-3'!K213+'05-3'!K213+'08-3'!K213+'09-3'!K213+'10-3'!K213+'11-3'!K213+'12-3'!K213+'13-3'!K213+'14-3'!K213+'15-3'!K213+'16-3'!K213+'17-3'!K213+'18-3'!K213+'19-3'!K213+'21-3'!K213+'22-3'!K213+'24-3'!K213+'25-3'!K213+'28-3'!K213+'29-3'!K213+'30-3'!K213+'32-3'!K213+'35-3'!K213+'37-3'!K213+'47-3'!K213+'62-3'!K213+'64-3'!K213+'74-3'!K213</f>
        <v>0</v>
      </c>
      <c r="L467" s="106">
        <f>'01-3'!L213+'02-3'!L213+'03-3'!L213+'04-3'!L213+'05-3'!L213+'08-3'!L213+'09-3'!L213+'10-3'!L213+'11-3'!L213+'12-3'!L213+'13-3'!L213+'14-3'!L213+'15-3'!L213+'16-3'!L213+'17-3'!L213+'18-3'!L213+'19-3'!L213+'21-3'!L213+'22-3'!L213+'24-3'!L213+'25-3'!L213+'28-3'!L213+'29-3'!L213+'30-3'!L213+'32-3'!L213+'35-3'!L213+'37-3'!L213+'47-3'!L213+'62-3'!L213+'64-3'!L213+'74-3'!L213</f>
        <v>0</v>
      </c>
      <c r="M467" s="106">
        <f>'01-3'!M213+'02-3'!M213+'03-3'!M213+'04-3'!M213+'05-3'!M213+'08-3'!M213+'09-3'!M213+'10-3'!M213+'11-3'!M213+'12-3'!M213+'13-3'!M213+'14-3'!M213+'15-3'!M213+'16-3'!M213+'17-3'!M213+'18-3'!M213+'19-3'!M213+'21-3'!M213+'22-3'!M213+'24-3'!M213+'25-3'!M213+'28-3'!M213+'29-3'!M213+'30-3'!M213+'32-3'!M213+'35-3'!M213+'37-3'!M213+'47-3'!M213+'62-3'!M213+'64-3'!M213+'74-3'!M213</f>
        <v>6156220</v>
      </c>
      <c r="N467" s="106">
        <f>'01-3'!N213+'02-3'!N213+'03-3'!N213+'04-3'!N213+'05-3'!N213+'08-3'!N213+'09-3'!N213+'10-3'!N213+'11-3'!N213+'12-3'!N213+'13-3'!N213+'14-3'!N213+'15-3'!N213+'16-3'!N213+'17-3'!N213+'18-3'!N213+'19-3'!N213+'21-3'!N213+'22-3'!N213+'24-3'!N213+'25-3'!N213+'28-3'!N213+'29-3'!N213+'30-3'!N213+'32-3'!N213+'35-3'!N213+'37-3'!N213+'47-3'!N213+'62-3'!N213+'64-3'!N213+'74-3'!N213</f>
        <v>2217136</v>
      </c>
      <c r="O467" s="106">
        <f>'01-3'!O213+'02-3'!O213+'03-3'!O213+'04-3'!O213+'05-3'!O213+'08-3'!O213+'09-3'!O213+'10-3'!O213+'11-3'!O213+'12-3'!O213+'13-3'!O213+'14-3'!O213+'15-3'!O213+'16-3'!O213+'17-3'!O213+'18-3'!O213+'19-3'!O213+'21-3'!O213+'22-3'!O213+'24-3'!O213+'25-3'!O213+'28-3'!O213+'29-3'!O213+'30-3'!O213+'32-3'!O213+'35-3'!O213+'37-3'!O213+'47-3'!O213+'62-3'!O213+'64-3'!O213+'74-3'!O213</f>
        <v>0</v>
      </c>
      <c r="P467" s="106">
        <f>'01-3'!P213+'02-3'!P213+'03-3'!P213+'04-3'!P213+'05-3'!P213+'08-3'!P213+'09-3'!P213+'10-3'!P213+'11-3'!P213+'12-3'!P213+'13-3'!P213+'14-3'!P213+'15-3'!P213+'16-3'!P213+'17-3'!P213+'18-3'!P213+'19-3'!P213+'21-3'!P213+'22-3'!P213+'24-3'!P213+'25-3'!P213+'28-3'!P213+'29-3'!P213+'30-3'!P213+'32-3'!P213+'35-3'!P213+'37-3'!P213+'47-3'!P213+'62-3'!P213+'64-3'!P213+'74-3'!P213</f>
        <v>0</v>
      </c>
      <c r="Q467" s="106">
        <f>'01-3'!Q213+'02-3'!Q213+'03-3'!Q213+'04-3'!Q213+'05-3'!Q213+'08-3'!Q213+'09-3'!Q213+'10-3'!Q213+'11-3'!Q213+'12-3'!Q213+'13-3'!Q213+'14-3'!Q213+'15-3'!Q213+'16-3'!Q213+'17-3'!Q213+'18-3'!Q213+'19-3'!Q213+'21-3'!Q213+'22-3'!Q213+'24-3'!Q213+'25-3'!Q213+'28-3'!Q213+'29-3'!Q213+'30-3'!Q213+'32-3'!Q213+'35-3'!Q213+'37-3'!Q213+'47-3'!Q213+'62-3'!Q213+'64-3'!Q213+'74-3'!Q213</f>
        <v>0</v>
      </c>
      <c r="R467" s="106">
        <f>'01-3'!R213+'02-3'!R213+'03-3'!R213+'04-3'!R213+'05-3'!R213+'08-3'!R213+'09-3'!R213+'10-3'!R213+'11-3'!R213+'12-3'!R213+'13-3'!R213+'14-3'!R213+'15-3'!R213+'16-3'!R213+'17-3'!R213+'18-3'!R213+'19-3'!R213+'21-3'!R213+'22-3'!R213+'24-3'!R213+'25-3'!R213+'28-3'!R213+'29-3'!R213+'30-3'!R213+'32-3'!R213+'35-3'!R213+'37-3'!R213+'47-3'!R213+'62-3'!R213+'64-3'!R213+'74-3'!R213</f>
        <v>2217136</v>
      </c>
      <c r="S467" s="1324"/>
      <c r="T467" s="1324"/>
      <c r="U467" s="1324"/>
      <c r="V467" s="1324"/>
      <c r="W467" s="1324"/>
    </row>
    <row r="468" spans="1:23" s="29" customFormat="1" ht="12">
      <c r="A468" s="132">
        <v>7600</v>
      </c>
      <c r="B468" s="112" t="s">
        <v>184</v>
      </c>
      <c r="C468" s="106">
        <f>'01-3'!C214+'02-3'!C214+'03-3'!C214+'04-3'!C214+'05-3'!C214+'08-3'!C214+'09-3'!C214+'10-3'!C214+'11-3'!C214+'12-3'!C214+'13-3'!C214+'14-3'!C214+'15-3'!C214+'16-3'!C214+'17-3'!C214+'18-3'!C214+'19-3'!C214+'21-3'!C214+'22-3'!C214+'24-3'!C214+'25-3'!C214+'28-3'!C214+'29-3'!C214+'30-3'!C214+'32-3'!C214+'35-3'!C214+'37-3'!C214+'47-3'!C214+'62-3'!C214+'64-3'!C214+'74-3'!C214</f>
        <v>290426</v>
      </c>
      <c r="D468" s="106">
        <f>'01-3'!D214+'02-3'!D214+'03-3'!D214+'04-3'!D214+'05-3'!D214+'08-3'!D214+'09-3'!D214+'10-3'!D214+'11-3'!D214+'12-3'!D214+'13-3'!D214+'14-3'!D214+'15-3'!D214+'16-3'!D214+'17-3'!D214+'18-3'!D214+'19-3'!D214+'21-3'!D214+'22-3'!D214+'24-3'!D214+'25-3'!D214+'28-3'!D214+'29-3'!D214+'30-3'!D214+'32-3'!D214+'35-3'!D214+'37-3'!D214+'47-3'!D214+'62-3'!D214+'64-3'!D214+'74-3'!D214</f>
        <v>0</v>
      </c>
      <c r="E468" s="106">
        <f>'01-3'!E214+'02-3'!E214+'03-3'!E214+'04-3'!E214+'05-3'!E214+'08-3'!E214+'09-3'!E214+'10-3'!E214+'11-3'!E214+'12-3'!E214+'13-3'!E214+'14-3'!E214+'15-3'!E214+'16-3'!E214+'17-3'!E214+'18-3'!E214+'19-3'!E214+'21-3'!E214+'22-3'!E214+'24-3'!E214+'25-3'!E214+'28-3'!E214+'29-3'!E214+'30-3'!E214+'32-3'!E214+'35-3'!E214+'37-3'!E214+'47-3'!E214+'62-3'!E214+'64-3'!E214+'74-3'!E214</f>
        <v>300000</v>
      </c>
      <c r="F468" s="106">
        <f>'01-3'!F214+'02-3'!F214+'03-3'!F214+'04-3'!F214+'05-3'!F214+'08-3'!F214+'09-3'!F214+'10-3'!F214+'11-3'!F214+'12-3'!F214+'13-3'!F214+'14-3'!F214+'15-3'!F214+'16-3'!F214+'17-3'!F214+'18-3'!F214+'19-3'!F214+'21-3'!F214+'22-3'!F214+'24-3'!F214+'25-3'!F214+'28-3'!F214+'29-3'!F214+'30-3'!F214+'32-3'!F214+'35-3'!F214+'37-3'!F214+'47-3'!F214+'62-3'!F214+'64-3'!F214+'74-3'!F214</f>
        <v>0</v>
      </c>
      <c r="G468" s="106">
        <f>'01-3'!G214+'02-3'!G214+'03-3'!G214+'04-3'!G214+'05-3'!G214+'08-3'!G214+'09-3'!G214+'10-3'!G214+'11-3'!G214+'12-3'!G214+'13-3'!G214+'14-3'!G214+'15-3'!G214+'16-3'!G214+'17-3'!G214+'18-3'!G214+'19-3'!G214+'21-3'!G214+'22-3'!G214+'24-3'!G214+'25-3'!G214+'28-3'!G214+'29-3'!G214+'30-3'!G214+'32-3'!G214+'35-3'!G214+'37-3'!G214+'47-3'!G214+'62-3'!G214+'64-3'!G214+'74-3'!G214</f>
        <v>0</v>
      </c>
      <c r="H468" s="106">
        <f>'01-3'!H214+'02-3'!H214+'03-3'!H214+'04-3'!H214+'05-3'!H214+'08-3'!H214+'09-3'!H214+'10-3'!H214+'11-3'!H214+'12-3'!H214+'13-3'!H214+'14-3'!H214+'15-3'!H214+'16-3'!H214+'17-3'!H214+'18-3'!H214+'19-3'!H214+'21-3'!H214+'22-3'!H214+'24-3'!H214+'25-3'!H214+'28-3'!H214+'29-3'!H214+'30-3'!H214+'32-3'!H214+'35-3'!H214+'37-3'!H214+'47-3'!H214+'62-3'!H214+'64-3'!H214+'74-3'!H214</f>
        <v>300000</v>
      </c>
      <c r="I468" s="106">
        <f>'01-3'!I214+'02-3'!I214+'03-3'!I214+'04-3'!I214+'05-3'!I214+'08-3'!I214+'09-3'!I214+'10-3'!I214+'11-3'!I214+'12-3'!I214+'13-3'!I214+'14-3'!I214+'15-3'!I214+'16-3'!I214+'17-3'!I214+'18-3'!I214+'19-3'!I214+'21-3'!I214+'22-3'!I214+'24-3'!I214+'25-3'!I214+'28-3'!I214+'29-3'!I214+'30-3'!I214+'32-3'!I214+'35-3'!I214+'37-3'!I214+'47-3'!I214+'62-3'!I214+'64-3'!I214+'74-3'!I214</f>
        <v>0</v>
      </c>
      <c r="J468" s="106">
        <f>'01-3'!J214+'02-3'!J214+'03-3'!J214+'04-3'!J214+'05-3'!J214+'08-3'!J214+'09-3'!J214+'10-3'!J214+'11-3'!J214+'12-3'!J214+'13-3'!J214+'14-3'!J214+'15-3'!J214+'16-3'!J214+'17-3'!J214+'18-3'!J214+'19-3'!J214+'21-3'!J214+'22-3'!J214+'24-3'!J214+'25-3'!J214+'28-3'!J214+'29-3'!J214+'30-3'!J214+'32-3'!J214+'35-3'!J214+'37-3'!J214+'47-3'!J214+'62-3'!J214+'64-3'!J214+'74-3'!J214</f>
        <v>0</v>
      </c>
      <c r="K468" s="106">
        <f>'01-3'!K214+'02-3'!K214+'03-3'!K214+'04-3'!K214+'05-3'!K214+'08-3'!K214+'09-3'!K214+'10-3'!K214+'11-3'!K214+'12-3'!K214+'13-3'!K214+'14-3'!K214+'15-3'!K214+'16-3'!K214+'17-3'!K214+'18-3'!K214+'19-3'!K214+'21-3'!K214+'22-3'!K214+'24-3'!K214+'25-3'!K214+'28-3'!K214+'29-3'!K214+'30-3'!K214+'32-3'!K214+'35-3'!K214+'37-3'!K214+'47-3'!K214+'62-3'!K214+'64-3'!K214+'74-3'!K214</f>
        <v>0</v>
      </c>
      <c r="L468" s="106">
        <f>'01-3'!L214+'02-3'!L214+'03-3'!L214+'04-3'!L214+'05-3'!L214+'08-3'!L214+'09-3'!L214+'10-3'!L214+'11-3'!L214+'12-3'!L214+'13-3'!L214+'14-3'!L214+'15-3'!L214+'16-3'!L214+'17-3'!L214+'18-3'!L214+'19-3'!L214+'21-3'!L214+'22-3'!L214+'24-3'!L214+'25-3'!L214+'28-3'!L214+'29-3'!L214+'30-3'!L214+'32-3'!L214+'35-3'!L214+'37-3'!L214+'47-3'!L214+'62-3'!L214+'64-3'!L214+'74-3'!L214</f>
        <v>0</v>
      </c>
      <c r="M468" s="106">
        <f>'01-3'!M214+'02-3'!M214+'03-3'!M214+'04-3'!M214+'05-3'!M214+'08-3'!M214+'09-3'!M214+'10-3'!M214+'11-3'!M214+'12-3'!M214+'13-3'!M214+'14-3'!M214+'15-3'!M214+'16-3'!M214+'17-3'!M214+'18-3'!M214+'19-3'!M214+'21-3'!M214+'22-3'!M214+'24-3'!M214+'25-3'!M214+'28-3'!M214+'29-3'!M214+'30-3'!M214+'32-3'!M214+'35-3'!M214+'37-3'!M214+'47-3'!M214+'62-3'!M214+'64-3'!M214+'74-3'!M214</f>
        <v>0</v>
      </c>
      <c r="N468" s="106">
        <f>'01-3'!N214+'02-3'!N214+'03-3'!N214+'04-3'!N214+'05-3'!N214+'08-3'!N214+'09-3'!N214+'10-3'!N214+'11-3'!N214+'12-3'!N214+'13-3'!N214+'14-3'!N214+'15-3'!N214+'16-3'!N214+'17-3'!N214+'18-3'!N214+'19-3'!N214+'21-3'!N214+'22-3'!N214+'24-3'!N214+'25-3'!N214+'28-3'!N214+'29-3'!N214+'30-3'!N214+'32-3'!N214+'35-3'!N214+'37-3'!N214+'47-3'!N214+'62-3'!N214+'64-3'!N214+'74-3'!N214</f>
        <v>0</v>
      </c>
      <c r="O468" s="106">
        <f>'01-3'!O214+'02-3'!O214+'03-3'!O214+'04-3'!O214+'05-3'!O214+'08-3'!O214+'09-3'!O214+'10-3'!O214+'11-3'!O214+'12-3'!O214+'13-3'!O214+'14-3'!O214+'15-3'!O214+'16-3'!O214+'17-3'!O214+'18-3'!O214+'19-3'!O214+'21-3'!O214+'22-3'!O214+'24-3'!O214+'25-3'!O214+'28-3'!O214+'29-3'!O214+'30-3'!O214+'32-3'!O214+'35-3'!O214+'37-3'!O214+'47-3'!O214+'62-3'!O214+'64-3'!O214+'74-3'!O214</f>
        <v>0</v>
      </c>
      <c r="P468" s="106">
        <f>'01-3'!P214+'02-3'!P214+'03-3'!P214+'04-3'!P214+'05-3'!P214+'08-3'!P214+'09-3'!P214+'10-3'!P214+'11-3'!P214+'12-3'!P214+'13-3'!P214+'14-3'!P214+'15-3'!P214+'16-3'!P214+'17-3'!P214+'18-3'!P214+'19-3'!P214+'21-3'!P214+'22-3'!P214+'24-3'!P214+'25-3'!P214+'28-3'!P214+'29-3'!P214+'30-3'!P214+'32-3'!P214+'35-3'!P214+'37-3'!P214+'47-3'!P214+'62-3'!P214+'64-3'!P214+'74-3'!P214</f>
        <v>0</v>
      </c>
      <c r="Q468" s="106">
        <f>'01-3'!Q214+'02-3'!Q214+'03-3'!Q214+'04-3'!Q214+'05-3'!Q214+'08-3'!Q214+'09-3'!Q214+'10-3'!Q214+'11-3'!Q214+'12-3'!Q214+'13-3'!Q214+'14-3'!Q214+'15-3'!Q214+'16-3'!Q214+'17-3'!Q214+'18-3'!Q214+'19-3'!Q214+'21-3'!Q214+'22-3'!Q214+'24-3'!Q214+'25-3'!Q214+'28-3'!Q214+'29-3'!Q214+'30-3'!Q214+'32-3'!Q214+'35-3'!Q214+'37-3'!Q214+'47-3'!Q214+'62-3'!Q214+'64-3'!Q214+'74-3'!Q214</f>
        <v>0</v>
      </c>
      <c r="R468" s="106">
        <f>'01-3'!R214+'02-3'!R214+'03-3'!R214+'04-3'!R214+'05-3'!R214+'08-3'!R214+'09-3'!R214+'10-3'!R214+'11-3'!R214+'12-3'!R214+'13-3'!R214+'14-3'!R214+'15-3'!R214+'16-3'!R214+'17-3'!R214+'18-3'!R214+'19-3'!R214+'21-3'!R214+'22-3'!R214+'24-3'!R214+'25-3'!R214+'28-3'!R214+'29-3'!R214+'30-3'!R214+'32-3'!R214+'35-3'!R214+'37-3'!R214+'47-3'!R214+'62-3'!R214+'64-3'!R214+'74-3'!R214</f>
        <v>0</v>
      </c>
      <c r="S468" s="1324"/>
      <c r="T468" s="1324"/>
      <c r="U468" s="1324"/>
      <c r="V468" s="1324"/>
      <c r="W468" s="1324"/>
    </row>
    <row r="469" spans="1:23" s="29" customFormat="1" ht="12">
      <c r="A469" s="132">
        <v>7700</v>
      </c>
      <c r="B469" s="102" t="s">
        <v>114</v>
      </c>
      <c r="C469" s="106">
        <f>'01-3'!C215+'02-3'!C215+'03-3'!C215+'04-3'!C215+'05-3'!C215+'08-3'!C215+'09-3'!C215+'10-3'!C215+'11-3'!C215+'12-3'!C215+'13-3'!C215+'14-3'!C215+'15-3'!C215+'16-3'!C215+'17-3'!C215+'18-3'!C215+'19-3'!C215+'21-3'!C215+'22-3'!C215+'24-3'!C215+'25-3'!C215+'28-3'!C215+'29-3'!C215+'30-3'!C215+'32-3'!C215+'35-3'!C215+'37-3'!C215+'47-3'!C215+'62-3'!C215+'64-3'!C215+'74-3'!C215</f>
        <v>10908541</v>
      </c>
      <c r="D469" s="106">
        <f>'01-3'!D215+'02-3'!D215+'03-3'!D215+'04-3'!D215+'05-3'!D215+'08-3'!D215+'09-3'!D215+'10-3'!D215+'11-3'!D215+'12-3'!D215+'13-3'!D215+'14-3'!D215+'15-3'!D215+'16-3'!D215+'17-3'!D215+'18-3'!D215+'19-3'!D215+'21-3'!D215+'22-3'!D215+'24-3'!D215+'25-3'!D215+'28-3'!D215+'29-3'!D215+'30-3'!D215+'32-3'!D215+'35-3'!D215+'37-3'!D215+'47-3'!D215+'62-3'!D215+'64-3'!D215+'74-3'!D215</f>
        <v>14732219</v>
      </c>
      <c r="E469" s="106">
        <f>'01-3'!E215+'02-3'!E215+'03-3'!E215+'04-3'!E215+'05-3'!E215+'08-3'!E215+'09-3'!E215+'10-3'!E215+'11-3'!E215+'12-3'!E215+'13-3'!E215+'14-3'!E215+'15-3'!E215+'16-3'!E215+'17-3'!E215+'18-3'!E215+'19-3'!E215+'21-3'!E215+'22-3'!E215+'24-3'!E215+'25-3'!E215+'28-3'!E215+'29-3'!E215+'30-3'!E215+'32-3'!E215+'35-3'!E215+'37-3'!E215+'47-3'!E215+'62-3'!E215+'64-3'!E215+'74-3'!E215</f>
        <v>60882</v>
      </c>
      <c r="F469" s="106">
        <f>'01-3'!F215+'02-3'!F215+'03-3'!F215+'04-3'!F215+'05-3'!F215+'08-3'!F215+'09-3'!F215+'10-3'!F215+'11-3'!F215+'12-3'!F215+'13-3'!F215+'14-3'!F215+'15-3'!F215+'16-3'!F215+'17-3'!F215+'18-3'!F215+'19-3'!F215+'21-3'!F215+'22-3'!F215+'24-3'!F215+'25-3'!F215+'28-3'!F215+'29-3'!F215+'30-3'!F215+'32-3'!F215+'35-3'!F215+'37-3'!F215+'47-3'!F215+'62-3'!F215+'64-3'!F215+'74-3'!F215</f>
        <v>0</v>
      </c>
      <c r="G469" s="106">
        <f>'01-3'!G215+'02-3'!G215+'03-3'!G215+'04-3'!G215+'05-3'!G215+'08-3'!G215+'09-3'!G215+'10-3'!G215+'11-3'!G215+'12-3'!G215+'13-3'!G215+'14-3'!G215+'15-3'!G215+'16-3'!G215+'17-3'!G215+'18-3'!G215+'19-3'!G215+'21-3'!G215+'22-3'!G215+'24-3'!G215+'25-3'!G215+'28-3'!G215+'29-3'!G215+'30-3'!G215+'32-3'!G215+'35-3'!G215+'37-3'!G215+'47-3'!G215+'62-3'!G215+'64-3'!G215+'74-3'!G215</f>
        <v>0</v>
      </c>
      <c r="H469" s="106">
        <f>'01-3'!H215+'02-3'!H215+'03-3'!H215+'04-3'!H215+'05-3'!H215+'08-3'!H215+'09-3'!H215+'10-3'!H215+'11-3'!H215+'12-3'!H215+'13-3'!H215+'14-3'!H215+'15-3'!H215+'16-3'!H215+'17-3'!H215+'18-3'!H215+'19-3'!H215+'21-3'!H215+'22-3'!H215+'24-3'!H215+'25-3'!H215+'28-3'!H215+'29-3'!H215+'30-3'!H215+'32-3'!H215+'35-3'!H215+'37-3'!H215+'47-3'!H215+'62-3'!H215+'64-3'!H215+'74-3'!H215</f>
        <v>14793101</v>
      </c>
      <c r="I469" s="106">
        <f>'01-3'!I215+'02-3'!I215+'03-3'!I215+'04-3'!I215+'05-3'!I215+'08-3'!I215+'09-3'!I215+'10-3'!I215+'11-3'!I215+'12-3'!I215+'13-3'!I215+'14-3'!I215+'15-3'!I215+'16-3'!I215+'17-3'!I215+'18-3'!I215+'19-3'!I215+'21-3'!I215+'22-3'!I215+'24-3'!I215+'25-3'!I215+'28-3'!I215+'29-3'!I215+'30-3'!I215+'32-3'!I215+'35-3'!I215+'37-3'!I215+'47-3'!I215+'62-3'!I215+'64-3'!I215+'74-3'!I215</f>
        <v>6156220</v>
      </c>
      <c r="J469" s="106">
        <f>'01-3'!J215+'02-3'!J215+'03-3'!J215+'04-3'!J215+'05-3'!J215+'08-3'!J215+'09-3'!J215+'10-3'!J215+'11-3'!J215+'12-3'!J215+'13-3'!J215+'14-3'!J215+'15-3'!J215+'16-3'!J215+'17-3'!J215+'18-3'!J215+'19-3'!J215+'21-3'!J215+'22-3'!J215+'24-3'!J215+'25-3'!J215+'28-3'!J215+'29-3'!J215+'30-3'!J215+'32-3'!J215+'35-3'!J215+'37-3'!J215+'47-3'!J215+'62-3'!J215+'64-3'!J215+'74-3'!J215</f>
        <v>0</v>
      </c>
      <c r="K469" s="106">
        <f>'01-3'!K215+'02-3'!K215+'03-3'!K215+'04-3'!K215+'05-3'!K215+'08-3'!K215+'09-3'!K215+'10-3'!K215+'11-3'!K215+'12-3'!K215+'13-3'!K215+'14-3'!K215+'15-3'!K215+'16-3'!K215+'17-3'!K215+'18-3'!K215+'19-3'!K215+'21-3'!K215+'22-3'!K215+'24-3'!K215+'25-3'!K215+'28-3'!K215+'29-3'!K215+'30-3'!K215+'32-3'!K215+'35-3'!K215+'37-3'!K215+'47-3'!K215+'62-3'!K215+'64-3'!K215+'74-3'!K215</f>
        <v>0</v>
      </c>
      <c r="L469" s="106">
        <f>'01-3'!L215+'02-3'!L215+'03-3'!L215+'04-3'!L215+'05-3'!L215+'08-3'!L215+'09-3'!L215+'10-3'!L215+'11-3'!L215+'12-3'!L215+'13-3'!L215+'14-3'!L215+'15-3'!L215+'16-3'!L215+'17-3'!L215+'18-3'!L215+'19-3'!L215+'21-3'!L215+'22-3'!L215+'24-3'!L215+'25-3'!L215+'28-3'!L215+'29-3'!L215+'30-3'!L215+'32-3'!L215+'35-3'!L215+'37-3'!L215+'47-3'!L215+'62-3'!L215+'64-3'!L215+'74-3'!L215</f>
        <v>0</v>
      </c>
      <c r="M469" s="106">
        <f>'01-3'!M215+'02-3'!M215+'03-3'!M215+'04-3'!M215+'05-3'!M215+'08-3'!M215+'09-3'!M215+'10-3'!M215+'11-3'!M215+'12-3'!M215+'13-3'!M215+'14-3'!M215+'15-3'!M215+'16-3'!M215+'17-3'!M215+'18-3'!M215+'19-3'!M215+'21-3'!M215+'22-3'!M215+'24-3'!M215+'25-3'!M215+'28-3'!M215+'29-3'!M215+'30-3'!M215+'32-3'!M215+'35-3'!M215+'37-3'!M215+'47-3'!M215+'62-3'!M215+'64-3'!M215+'74-3'!M215</f>
        <v>6156220</v>
      </c>
      <c r="N469" s="106">
        <f>'01-3'!N215+'02-3'!N215+'03-3'!N215+'04-3'!N215+'05-3'!N215+'08-3'!N215+'09-3'!N215+'10-3'!N215+'11-3'!N215+'12-3'!N215+'13-3'!N215+'14-3'!N215+'15-3'!N215+'16-3'!N215+'17-3'!N215+'18-3'!N215+'19-3'!N215+'21-3'!N215+'22-3'!N215+'24-3'!N215+'25-3'!N215+'28-3'!N215+'29-3'!N215+'30-3'!N215+'32-3'!N215+'35-3'!N215+'37-3'!N215+'47-3'!N215+'62-3'!N215+'64-3'!N215+'74-3'!N215</f>
        <v>2217136</v>
      </c>
      <c r="O469" s="106">
        <f>'01-3'!O215+'02-3'!O215+'03-3'!O215+'04-3'!O215+'05-3'!O215+'08-3'!O215+'09-3'!O215+'10-3'!O215+'11-3'!O215+'12-3'!O215+'13-3'!O215+'14-3'!O215+'15-3'!O215+'16-3'!O215+'17-3'!O215+'18-3'!O215+'19-3'!O215+'21-3'!O215+'22-3'!O215+'24-3'!O215+'25-3'!O215+'28-3'!O215+'29-3'!O215+'30-3'!O215+'32-3'!O215+'35-3'!O215+'37-3'!O215+'47-3'!O215+'62-3'!O215+'64-3'!O215+'74-3'!O215</f>
        <v>0</v>
      </c>
      <c r="P469" s="106">
        <f>'01-3'!P215+'02-3'!P215+'03-3'!P215+'04-3'!P215+'05-3'!P215+'08-3'!P215+'09-3'!P215+'10-3'!P215+'11-3'!P215+'12-3'!P215+'13-3'!P215+'14-3'!P215+'15-3'!P215+'16-3'!P215+'17-3'!P215+'18-3'!P215+'19-3'!P215+'21-3'!P215+'22-3'!P215+'24-3'!P215+'25-3'!P215+'28-3'!P215+'29-3'!P215+'30-3'!P215+'32-3'!P215+'35-3'!P215+'37-3'!P215+'47-3'!P215+'62-3'!P215+'64-3'!P215+'74-3'!P215</f>
        <v>0</v>
      </c>
      <c r="Q469" s="106">
        <f>'01-3'!Q215+'02-3'!Q215+'03-3'!Q215+'04-3'!Q215+'05-3'!Q215+'08-3'!Q215+'09-3'!Q215+'10-3'!Q215+'11-3'!Q215+'12-3'!Q215+'13-3'!Q215+'14-3'!Q215+'15-3'!Q215+'16-3'!Q215+'17-3'!Q215+'18-3'!Q215+'19-3'!Q215+'21-3'!Q215+'22-3'!Q215+'24-3'!Q215+'25-3'!Q215+'28-3'!Q215+'29-3'!Q215+'30-3'!Q215+'32-3'!Q215+'35-3'!Q215+'37-3'!Q215+'47-3'!Q215+'62-3'!Q215+'64-3'!Q215+'74-3'!Q215</f>
        <v>0</v>
      </c>
      <c r="R469" s="106">
        <f>'01-3'!R215+'02-3'!R215+'03-3'!R215+'04-3'!R215+'05-3'!R215+'08-3'!R215+'09-3'!R215+'10-3'!R215+'11-3'!R215+'12-3'!R215+'13-3'!R215+'14-3'!R215+'15-3'!R215+'16-3'!R215+'17-3'!R215+'18-3'!R215+'19-3'!R215+'21-3'!R215+'22-3'!R215+'24-3'!R215+'25-3'!R215+'28-3'!R215+'29-3'!R215+'30-3'!R215+'32-3'!R215+'35-3'!R215+'37-3'!R215+'47-3'!R215+'62-3'!R215+'64-3'!R215+'74-3'!R215</f>
        <v>2217136</v>
      </c>
      <c r="S469" s="1324"/>
      <c r="T469" s="1324"/>
      <c r="U469" s="1324"/>
      <c r="V469" s="1324"/>
      <c r="W469" s="1324"/>
    </row>
    <row r="470" spans="1:23" s="29" customFormat="1" ht="20.399999999999999">
      <c r="A470" s="140" t="s">
        <v>185</v>
      </c>
      <c r="B470" s="100" t="s">
        <v>115</v>
      </c>
      <c r="C470" s="106">
        <f>'01-3'!C216+'02-3'!C216+'03-3'!C216+'04-3'!C216+'05-3'!C216+'08-3'!C216+'09-3'!C216+'10-3'!C216+'11-3'!C216+'12-3'!C216+'13-3'!C216+'14-3'!C216+'15-3'!C216+'16-3'!C216+'17-3'!C216+'18-3'!C216+'19-3'!C216+'21-3'!C216+'22-3'!C216+'24-3'!C216+'25-3'!C216+'28-3'!C216+'29-3'!C216+'30-3'!C216+'32-3'!C216+'35-3'!C216+'37-3'!C216+'47-3'!C216+'62-3'!C216+'64-3'!C216+'74-3'!C216</f>
        <v>125520324</v>
      </c>
      <c r="D470" s="106">
        <f>'01-3'!D216+'02-3'!D216+'03-3'!D216+'04-3'!D216+'05-3'!D216+'08-3'!D216+'09-3'!D216+'10-3'!D216+'11-3'!D216+'12-3'!D216+'13-3'!D216+'14-3'!D216+'15-3'!D216+'16-3'!D216+'17-3'!D216+'18-3'!D216+'19-3'!D216+'21-3'!D216+'22-3'!D216+'24-3'!D216+'25-3'!D216+'28-3'!D216+'29-3'!D216+'30-3'!D216+'32-3'!D216+'35-3'!D216+'37-3'!D216+'47-3'!D216+'62-3'!D216+'64-3'!D216+'74-3'!D216</f>
        <v>113938646</v>
      </c>
      <c r="E470" s="106">
        <f>'01-3'!E216+'02-3'!E216+'03-3'!E216+'04-3'!E216+'05-3'!E216+'08-3'!E216+'09-3'!E216+'10-3'!E216+'11-3'!E216+'12-3'!E216+'13-3'!E216+'14-3'!E216+'15-3'!E216+'16-3'!E216+'17-3'!E216+'18-3'!E216+'19-3'!E216+'21-3'!E216+'22-3'!E216+'24-3'!E216+'25-3'!E216+'28-3'!E216+'29-3'!E216+'30-3'!E216+'32-3'!E216+'35-3'!E216+'37-3'!E216+'47-3'!E216+'62-3'!E216+'64-3'!E216+'74-3'!E216</f>
        <v>16321499</v>
      </c>
      <c r="F470" s="106">
        <f>'01-3'!F216+'02-3'!F216+'03-3'!F216+'04-3'!F216+'05-3'!F216+'08-3'!F216+'09-3'!F216+'10-3'!F216+'11-3'!F216+'12-3'!F216+'13-3'!F216+'14-3'!F216+'15-3'!F216+'16-3'!F216+'17-3'!F216+'18-3'!F216+'19-3'!F216+'21-3'!F216+'22-3'!F216+'24-3'!F216+'25-3'!F216+'28-3'!F216+'29-3'!F216+'30-3'!F216+'32-3'!F216+'35-3'!F216+'37-3'!F216+'47-3'!F216+'62-3'!F216+'64-3'!F216+'74-3'!F216</f>
        <v>0</v>
      </c>
      <c r="G470" s="106">
        <f>'01-3'!G216+'02-3'!G216+'03-3'!G216+'04-3'!G216+'05-3'!G216+'08-3'!G216+'09-3'!G216+'10-3'!G216+'11-3'!G216+'12-3'!G216+'13-3'!G216+'14-3'!G216+'15-3'!G216+'16-3'!G216+'17-3'!G216+'18-3'!G216+'19-3'!G216+'21-3'!G216+'22-3'!G216+'24-3'!G216+'25-3'!G216+'28-3'!G216+'29-3'!G216+'30-3'!G216+'32-3'!G216+'35-3'!G216+'37-3'!G216+'47-3'!G216+'62-3'!G216+'64-3'!G216+'74-3'!G216</f>
        <v>0</v>
      </c>
      <c r="H470" s="106">
        <f>'01-3'!H216+'02-3'!H216+'03-3'!H216+'04-3'!H216+'05-3'!H216+'08-3'!H216+'09-3'!H216+'10-3'!H216+'11-3'!H216+'12-3'!H216+'13-3'!H216+'14-3'!H216+'15-3'!H216+'16-3'!H216+'17-3'!H216+'18-3'!H216+'19-3'!H216+'21-3'!H216+'22-3'!H216+'24-3'!H216+'25-3'!H216+'28-3'!H216+'29-3'!H216+'30-3'!H216+'32-3'!H216+'35-3'!H216+'37-3'!H216+'47-3'!H216+'62-3'!H216+'64-3'!H216+'74-3'!H216</f>
        <v>130260145</v>
      </c>
      <c r="I470" s="106">
        <f>'01-3'!I216+'02-3'!I216+'03-3'!I216+'04-3'!I216+'05-3'!I216+'08-3'!I216+'09-3'!I216+'10-3'!I216+'11-3'!I216+'12-3'!I216+'13-3'!I216+'14-3'!I216+'15-3'!I216+'16-3'!I216+'17-3'!I216+'18-3'!I216+'19-3'!I216+'21-3'!I216+'22-3'!I216+'24-3'!I216+'25-3'!I216+'28-3'!I216+'29-3'!I216+'30-3'!I216+'32-3'!I216+'35-3'!I216+'37-3'!I216+'47-3'!I216+'62-3'!I216+'64-3'!I216+'74-3'!I216</f>
        <v>36767375</v>
      </c>
      <c r="J470" s="106">
        <f>'01-3'!J216+'02-3'!J216+'03-3'!J216+'04-3'!J216+'05-3'!J216+'08-3'!J216+'09-3'!J216+'10-3'!J216+'11-3'!J216+'12-3'!J216+'13-3'!J216+'14-3'!J216+'15-3'!J216+'16-3'!J216+'17-3'!J216+'18-3'!J216+'19-3'!J216+'21-3'!J216+'22-3'!J216+'24-3'!J216+'25-3'!J216+'28-3'!J216+'29-3'!J216+'30-3'!J216+'32-3'!J216+'35-3'!J216+'37-3'!J216+'47-3'!J216+'62-3'!J216+'64-3'!J216+'74-3'!J216</f>
        <v>11057656</v>
      </c>
      <c r="K470" s="106">
        <f>'01-3'!K216+'02-3'!K216+'03-3'!K216+'04-3'!K216+'05-3'!K216+'08-3'!K216+'09-3'!K216+'10-3'!K216+'11-3'!K216+'12-3'!K216+'13-3'!K216+'14-3'!K216+'15-3'!K216+'16-3'!K216+'17-3'!K216+'18-3'!K216+'19-3'!K216+'21-3'!K216+'22-3'!K216+'24-3'!K216+'25-3'!K216+'28-3'!K216+'29-3'!K216+'30-3'!K216+'32-3'!K216+'35-3'!K216+'37-3'!K216+'47-3'!K216+'62-3'!K216+'64-3'!K216+'74-3'!K216</f>
        <v>0</v>
      </c>
      <c r="L470" s="106">
        <f>'01-3'!L216+'02-3'!L216+'03-3'!L216+'04-3'!L216+'05-3'!L216+'08-3'!L216+'09-3'!L216+'10-3'!L216+'11-3'!L216+'12-3'!L216+'13-3'!L216+'14-3'!L216+'15-3'!L216+'16-3'!L216+'17-3'!L216+'18-3'!L216+'19-3'!L216+'21-3'!L216+'22-3'!L216+'24-3'!L216+'25-3'!L216+'28-3'!L216+'29-3'!L216+'30-3'!L216+'32-3'!L216+'35-3'!L216+'37-3'!L216+'47-3'!L216+'62-3'!L216+'64-3'!L216+'74-3'!L216</f>
        <v>0</v>
      </c>
      <c r="M470" s="106">
        <f>'01-3'!M216+'02-3'!M216+'03-3'!M216+'04-3'!M216+'05-3'!M216+'08-3'!M216+'09-3'!M216+'10-3'!M216+'11-3'!M216+'12-3'!M216+'13-3'!M216+'14-3'!M216+'15-3'!M216+'16-3'!M216+'17-3'!M216+'18-3'!M216+'19-3'!M216+'21-3'!M216+'22-3'!M216+'24-3'!M216+'25-3'!M216+'28-3'!M216+'29-3'!M216+'30-3'!M216+'32-3'!M216+'35-3'!M216+'37-3'!M216+'47-3'!M216+'62-3'!M216+'64-3'!M216+'74-3'!M216</f>
        <v>47825031</v>
      </c>
      <c r="N470" s="106">
        <f>'01-3'!N216+'02-3'!N216+'03-3'!N216+'04-3'!N216+'05-3'!N216+'08-3'!N216+'09-3'!N216+'10-3'!N216+'11-3'!N216+'12-3'!N216+'13-3'!N216+'14-3'!N216+'15-3'!N216+'16-3'!N216+'17-3'!N216+'18-3'!N216+'19-3'!N216+'21-3'!N216+'22-3'!N216+'24-3'!N216+'25-3'!N216+'28-3'!N216+'29-3'!N216+'30-3'!N216+'32-3'!N216+'35-3'!N216+'37-3'!N216+'47-3'!N216+'62-3'!N216+'64-3'!N216+'74-3'!N216</f>
        <v>16472171</v>
      </c>
      <c r="O470" s="106">
        <f>'01-3'!O216+'02-3'!O216+'03-3'!O216+'04-3'!O216+'05-3'!O216+'08-3'!O216+'09-3'!O216+'10-3'!O216+'11-3'!O216+'12-3'!O216+'13-3'!O216+'14-3'!O216+'15-3'!O216+'16-3'!O216+'17-3'!O216+'18-3'!O216+'19-3'!O216+'21-3'!O216+'22-3'!O216+'24-3'!O216+'25-3'!O216+'28-3'!O216+'29-3'!O216+'30-3'!O216+'32-3'!O216+'35-3'!O216+'37-3'!O216+'47-3'!O216+'62-3'!O216+'64-3'!O216+'74-3'!O216</f>
        <v>2746776</v>
      </c>
      <c r="P470" s="106">
        <f>'01-3'!P216+'02-3'!P216+'03-3'!P216+'04-3'!P216+'05-3'!P216+'08-3'!P216+'09-3'!P216+'10-3'!P216+'11-3'!P216+'12-3'!P216+'13-3'!P216+'14-3'!P216+'15-3'!P216+'16-3'!P216+'17-3'!P216+'18-3'!P216+'19-3'!P216+'21-3'!P216+'22-3'!P216+'24-3'!P216+'25-3'!P216+'28-3'!P216+'29-3'!P216+'30-3'!P216+'32-3'!P216+'35-3'!P216+'37-3'!P216+'47-3'!P216+'62-3'!P216+'64-3'!P216+'74-3'!P216</f>
        <v>0</v>
      </c>
      <c r="Q470" s="106">
        <f>'01-3'!Q216+'02-3'!Q216+'03-3'!Q216+'04-3'!Q216+'05-3'!Q216+'08-3'!Q216+'09-3'!Q216+'10-3'!Q216+'11-3'!Q216+'12-3'!Q216+'13-3'!Q216+'14-3'!Q216+'15-3'!Q216+'16-3'!Q216+'17-3'!Q216+'18-3'!Q216+'19-3'!Q216+'21-3'!Q216+'22-3'!Q216+'24-3'!Q216+'25-3'!Q216+'28-3'!Q216+'29-3'!Q216+'30-3'!Q216+'32-3'!Q216+'35-3'!Q216+'37-3'!Q216+'47-3'!Q216+'62-3'!Q216+'64-3'!Q216+'74-3'!Q216</f>
        <v>0</v>
      </c>
      <c r="R470" s="106">
        <f>'01-3'!R216+'02-3'!R216+'03-3'!R216+'04-3'!R216+'05-3'!R216+'08-3'!R216+'09-3'!R216+'10-3'!R216+'11-3'!R216+'12-3'!R216+'13-3'!R216+'14-3'!R216+'15-3'!R216+'16-3'!R216+'17-3'!R216+'18-3'!R216+'19-3'!R216+'21-3'!R216+'22-3'!R216+'24-3'!R216+'25-3'!R216+'28-3'!R216+'29-3'!R216+'30-3'!R216+'32-3'!R216+'35-3'!R216+'37-3'!R216+'47-3'!R216+'62-3'!R216+'64-3'!R216+'74-3'!R216</f>
        <v>19218947</v>
      </c>
      <c r="S470" s="1324"/>
      <c r="T470" s="1324"/>
      <c r="U470" s="1324"/>
      <c r="V470" s="1324"/>
      <c r="W470" s="1324"/>
    </row>
    <row r="471" spans="1:23" s="29" customFormat="1" ht="12">
      <c r="A471" s="132">
        <v>7100</v>
      </c>
      <c r="B471" s="112" t="s">
        <v>116</v>
      </c>
      <c r="C471" s="106">
        <f>'01-3'!C217+'02-3'!C217+'03-3'!C217+'04-3'!C217+'05-3'!C217+'08-3'!C217+'09-3'!C217+'10-3'!C217+'11-3'!C217+'12-3'!C217+'13-3'!C217+'14-3'!C217+'15-3'!C217+'16-3'!C217+'17-3'!C217+'18-3'!C217+'19-3'!C217+'21-3'!C217+'22-3'!C217+'24-3'!C217+'25-3'!C217+'28-3'!C217+'29-3'!C217+'30-3'!C217+'32-3'!C217+'35-3'!C217+'37-3'!C217+'47-3'!C217+'62-3'!C217+'64-3'!C217+'74-3'!C217</f>
        <v>397587</v>
      </c>
      <c r="D471" s="106">
        <f>'01-3'!D217+'02-3'!D217+'03-3'!D217+'04-3'!D217+'05-3'!D217+'08-3'!D217+'09-3'!D217+'10-3'!D217+'11-3'!D217+'12-3'!D217+'13-3'!D217+'14-3'!D217+'15-3'!D217+'16-3'!D217+'17-3'!D217+'18-3'!D217+'19-3'!D217+'21-3'!D217+'22-3'!D217+'24-3'!D217+'25-3'!D217+'28-3'!D217+'29-3'!D217+'30-3'!D217+'32-3'!D217+'35-3'!D217+'37-3'!D217+'47-3'!D217+'62-3'!D217+'64-3'!D217+'74-3'!D217</f>
        <v>617339</v>
      </c>
      <c r="E471" s="106">
        <f>'01-3'!E217+'02-3'!E217+'03-3'!E217+'04-3'!E217+'05-3'!E217+'08-3'!E217+'09-3'!E217+'10-3'!E217+'11-3'!E217+'12-3'!E217+'13-3'!E217+'14-3'!E217+'15-3'!E217+'16-3'!E217+'17-3'!E217+'18-3'!E217+'19-3'!E217+'21-3'!E217+'22-3'!E217+'24-3'!E217+'25-3'!E217+'28-3'!E217+'29-3'!E217+'30-3'!E217+'32-3'!E217+'35-3'!E217+'37-3'!E217+'47-3'!E217+'62-3'!E217+'64-3'!E217+'74-3'!E217</f>
        <v>530477</v>
      </c>
      <c r="F471" s="106">
        <f>'01-3'!F217+'02-3'!F217+'03-3'!F217+'04-3'!F217+'05-3'!F217+'08-3'!F217+'09-3'!F217+'10-3'!F217+'11-3'!F217+'12-3'!F217+'13-3'!F217+'14-3'!F217+'15-3'!F217+'16-3'!F217+'17-3'!F217+'18-3'!F217+'19-3'!F217+'21-3'!F217+'22-3'!F217+'24-3'!F217+'25-3'!F217+'28-3'!F217+'29-3'!F217+'30-3'!F217+'32-3'!F217+'35-3'!F217+'37-3'!F217+'47-3'!F217+'62-3'!F217+'64-3'!F217+'74-3'!F217</f>
        <v>0</v>
      </c>
      <c r="G471" s="106">
        <f>'01-3'!G217+'02-3'!G217+'03-3'!G217+'04-3'!G217+'05-3'!G217+'08-3'!G217+'09-3'!G217+'10-3'!G217+'11-3'!G217+'12-3'!G217+'13-3'!G217+'14-3'!G217+'15-3'!G217+'16-3'!G217+'17-3'!G217+'18-3'!G217+'19-3'!G217+'21-3'!G217+'22-3'!G217+'24-3'!G217+'25-3'!G217+'28-3'!G217+'29-3'!G217+'30-3'!G217+'32-3'!G217+'35-3'!G217+'37-3'!G217+'47-3'!G217+'62-3'!G217+'64-3'!G217+'74-3'!G217</f>
        <v>0</v>
      </c>
      <c r="H471" s="106">
        <f>'01-3'!H217+'02-3'!H217+'03-3'!H217+'04-3'!H217+'05-3'!H217+'08-3'!H217+'09-3'!H217+'10-3'!H217+'11-3'!H217+'12-3'!H217+'13-3'!H217+'14-3'!H217+'15-3'!H217+'16-3'!H217+'17-3'!H217+'18-3'!H217+'19-3'!H217+'21-3'!H217+'22-3'!H217+'24-3'!H217+'25-3'!H217+'28-3'!H217+'29-3'!H217+'30-3'!H217+'32-3'!H217+'35-3'!H217+'37-3'!H217+'47-3'!H217+'62-3'!H217+'64-3'!H217+'74-3'!H217</f>
        <v>1147816</v>
      </c>
      <c r="I471" s="106">
        <f>'01-3'!I217+'02-3'!I217+'03-3'!I217+'04-3'!I217+'05-3'!I217+'08-3'!I217+'09-3'!I217+'10-3'!I217+'11-3'!I217+'12-3'!I217+'13-3'!I217+'14-3'!I217+'15-3'!I217+'16-3'!I217+'17-3'!I217+'18-3'!I217+'19-3'!I217+'21-3'!I217+'22-3'!I217+'24-3'!I217+'25-3'!I217+'28-3'!I217+'29-3'!I217+'30-3'!I217+'32-3'!I217+'35-3'!I217+'37-3'!I217+'47-3'!I217+'62-3'!I217+'64-3'!I217+'74-3'!I217</f>
        <v>0</v>
      </c>
      <c r="J471" s="106">
        <f>'01-3'!J217+'02-3'!J217+'03-3'!J217+'04-3'!J217+'05-3'!J217+'08-3'!J217+'09-3'!J217+'10-3'!J217+'11-3'!J217+'12-3'!J217+'13-3'!J217+'14-3'!J217+'15-3'!J217+'16-3'!J217+'17-3'!J217+'18-3'!J217+'19-3'!J217+'21-3'!J217+'22-3'!J217+'24-3'!J217+'25-3'!J217+'28-3'!J217+'29-3'!J217+'30-3'!J217+'32-3'!J217+'35-3'!J217+'37-3'!J217+'47-3'!J217+'62-3'!J217+'64-3'!J217+'74-3'!J217</f>
        <v>273844</v>
      </c>
      <c r="K471" s="106">
        <f>'01-3'!K217+'02-3'!K217+'03-3'!K217+'04-3'!K217+'05-3'!K217+'08-3'!K217+'09-3'!K217+'10-3'!K217+'11-3'!K217+'12-3'!K217+'13-3'!K217+'14-3'!K217+'15-3'!K217+'16-3'!K217+'17-3'!K217+'18-3'!K217+'19-3'!K217+'21-3'!K217+'22-3'!K217+'24-3'!K217+'25-3'!K217+'28-3'!K217+'29-3'!K217+'30-3'!K217+'32-3'!K217+'35-3'!K217+'37-3'!K217+'47-3'!K217+'62-3'!K217+'64-3'!K217+'74-3'!K217</f>
        <v>0</v>
      </c>
      <c r="L471" s="106">
        <f>'01-3'!L217+'02-3'!L217+'03-3'!L217+'04-3'!L217+'05-3'!L217+'08-3'!L217+'09-3'!L217+'10-3'!L217+'11-3'!L217+'12-3'!L217+'13-3'!L217+'14-3'!L217+'15-3'!L217+'16-3'!L217+'17-3'!L217+'18-3'!L217+'19-3'!L217+'21-3'!L217+'22-3'!L217+'24-3'!L217+'25-3'!L217+'28-3'!L217+'29-3'!L217+'30-3'!L217+'32-3'!L217+'35-3'!L217+'37-3'!L217+'47-3'!L217+'62-3'!L217+'64-3'!L217+'74-3'!L217</f>
        <v>0</v>
      </c>
      <c r="M471" s="106">
        <f>'01-3'!M217+'02-3'!M217+'03-3'!M217+'04-3'!M217+'05-3'!M217+'08-3'!M217+'09-3'!M217+'10-3'!M217+'11-3'!M217+'12-3'!M217+'13-3'!M217+'14-3'!M217+'15-3'!M217+'16-3'!M217+'17-3'!M217+'18-3'!M217+'19-3'!M217+'21-3'!M217+'22-3'!M217+'24-3'!M217+'25-3'!M217+'28-3'!M217+'29-3'!M217+'30-3'!M217+'32-3'!M217+'35-3'!M217+'37-3'!M217+'47-3'!M217+'62-3'!M217+'64-3'!M217+'74-3'!M217</f>
        <v>273844</v>
      </c>
      <c r="N471" s="106">
        <f>'01-3'!N217+'02-3'!N217+'03-3'!N217+'04-3'!N217+'05-3'!N217+'08-3'!N217+'09-3'!N217+'10-3'!N217+'11-3'!N217+'12-3'!N217+'13-3'!N217+'14-3'!N217+'15-3'!N217+'16-3'!N217+'17-3'!N217+'18-3'!N217+'19-3'!N217+'21-3'!N217+'22-3'!N217+'24-3'!N217+'25-3'!N217+'28-3'!N217+'29-3'!N217+'30-3'!N217+'32-3'!N217+'35-3'!N217+'37-3'!N217+'47-3'!N217+'62-3'!N217+'64-3'!N217+'74-3'!N217</f>
        <v>0</v>
      </c>
      <c r="O471" s="106">
        <f>'01-3'!O217+'02-3'!O217+'03-3'!O217+'04-3'!O217+'05-3'!O217+'08-3'!O217+'09-3'!O217+'10-3'!O217+'11-3'!O217+'12-3'!O217+'13-3'!O217+'14-3'!O217+'15-3'!O217+'16-3'!O217+'17-3'!O217+'18-3'!O217+'19-3'!O217+'21-3'!O217+'22-3'!O217+'24-3'!O217+'25-3'!O217+'28-3'!O217+'29-3'!O217+'30-3'!O217+'32-3'!O217+'35-3'!O217+'37-3'!O217+'47-3'!O217+'62-3'!O217+'64-3'!O217+'74-3'!O217</f>
        <v>0</v>
      </c>
      <c r="P471" s="106">
        <f>'01-3'!P217+'02-3'!P217+'03-3'!P217+'04-3'!P217+'05-3'!P217+'08-3'!P217+'09-3'!P217+'10-3'!P217+'11-3'!P217+'12-3'!P217+'13-3'!P217+'14-3'!P217+'15-3'!P217+'16-3'!P217+'17-3'!P217+'18-3'!P217+'19-3'!P217+'21-3'!P217+'22-3'!P217+'24-3'!P217+'25-3'!P217+'28-3'!P217+'29-3'!P217+'30-3'!P217+'32-3'!P217+'35-3'!P217+'37-3'!P217+'47-3'!P217+'62-3'!P217+'64-3'!P217+'74-3'!P217</f>
        <v>0</v>
      </c>
      <c r="Q471" s="106">
        <f>'01-3'!Q217+'02-3'!Q217+'03-3'!Q217+'04-3'!Q217+'05-3'!Q217+'08-3'!Q217+'09-3'!Q217+'10-3'!Q217+'11-3'!Q217+'12-3'!Q217+'13-3'!Q217+'14-3'!Q217+'15-3'!Q217+'16-3'!Q217+'17-3'!Q217+'18-3'!Q217+'19-3'!Q217+'21-3'!Q217+'22-3'!Q217+'24-3'!Q217+'25-3'!Q217+'28-3'!Q217+'29-3'!Q217+'30-3'!Q217+'32-3'!Q217+'35-3'!Q217+'37-3'!Q217+'47-3'!Q217+'62-3'!Q217+'64-3'!Q217+'74-3'!Q217</f>
        <v>0</v>
      </c>
      <c r="R471" s="106">
        <f>'01-3'!R217+'02-3'!R217+'03-3'!R217+'04-3'!R217+'05-3'!R217+'08-3'!R217+'09-3'!R217+'10-3'!R217+'11-3'!R217+'12-3'!R217+'13-3'!R217+'14-3'!R217+'15-3'!R217+'16-3'!R217+'17-3'!R217+'18-3'!R217+'19-3'!R217+'21-3'!R217+'22-3'!R217+'24-3'!R217+'25-3'!R217+'28-3'!R217+'29-3'!R217+'30-3'!R217+'32-3'!R217+'35-3'!R217+'37-3'!R217+'47-3'!R217+'62-3'!R217+'64-3'!R217+'74-3'!R217</f>
        <v>0</v>
      </c>
      <c r="S471" s="1324"/>
      <c r="T471" s="1324"/>
      <c r="U471" s="1324"/>
      <c r="V471" s="1324"/>
      <c r="W471" s="1324"/>
    </row>
    <row r="472" spans="1:23" s="29" customFormat="1" ht="24">
      <c r="A472" s="133" t="s">
        <v>117</v>
      </c>
      <c r="B472" s="112" t="s">
        <v>118</v>
      </c>
      <c r="C472" s="106">
        <f>'01-3'!C218+'02-3'!C218+'03-3'!C218+'04-3'!C218+'05-3'!C218+'08-3'!C218+'09-3'!C218+'10-3'!C218+'11-3'!C218+'12-3'!C218+'13-3'!C218+'14-3'!C218+'15-3'!C218+'16-3'!C218+'17-3'!C218+'18-3'!C218+'19-3'!C218+'21-3'!C218+'22-3'!C218+'24-3'!C218+'25-3'!C218+'28-3'!C218+'29-3'!C218+'30-3'!C218+'32-3'!C218+'35-3'!C218+'37-3'!C218+'47-3'!C218+'62-3'!C218+'64-3'!C218+'74-3'!C218</f>
        <v>0</v>
      </c>
      <c r="D472" s="106">
        <f>'01-3'!D218+'02-3'!D218+'03-3'!D218+'04-3'!D218+'05-3'!D218+'08-3'!D218+'09-3'!D218+'10-3'!D218+'11-3'!D218+'12-3'!D218+'13-3'!D218+'14-3'!D218+'15-3'!D218+'16-3'!D218+'17-3'!D218+'18-3'!D218+'19-3'!D218+'21-3'!D218+'22-3'!D218+'24-3'!D218+'25-3'!D218+'28-3'!D218+'29-3'!D218+'30-3'!D218+'32-3'!D218+'35-3'!D218+'37-3'!D218+'47-3'!D218+'62-3'!D218+'64-3'!D218+'74-3'!D218</f>
        <v>389283</v>
      </c>
      <c r="E472" s="106">
        <f>'01-3'!E218+'02-3'!E218+'03-3'!E218+'04-3'!E218+'05-3'!E218+'08-3'!E218+'09-3'!E218+'10-3'!E218+'11-3'!E218+'12-3'!E218+'13-3'!E218+'14-3'!E218+'15-3'!E218+'16-3'!E218+'17-3'!E218+'18-3'!E218+'19-3'!E218+'21-3'!E218+'22-3'!E218+'24-3'!E218+'25-3'!E218+'28-3'!E218+'29-3'!E218+'30-3'!E218+'32-3'!E218+'35-3'!E218+'37-3'!E218+'47-3'!E218+'62-3'!E218+'64-3'!E218+'74-3'!E218</f>
        <v>530550</v>
      </c>
      <c r="F472" s="106">
        <f>'01-3'!F218+'02-3'!F218+'03-3'!F218+'04-3'!F218+'05-3'!F218+'08-3'!F218+'09-3'!F218+'10-3'!F218+'11-3'!F218+'12-3'!F218+'13-3'!F218+'14-3'!F218+'15-3'!F218+'16-3'!F218+'17-3'!F218+'18-3'!F218+'19-3'!F218+'21-3'!F218+'22-3'!F218+'24-3'!F218+'25-3'!F218+'28-3'!F218+'29-3'!F218+'30-3'!F218+'32-3'!F218+'35-3'!F218+'37-3'!F218+'47-3'!F218+'62-3'!F218+'64-3'!F218+'74-3'!F218</f>
        <v>0</v>
      </c>
      <c r="G472" s="106">
        <f>'01-3'!G218+'02-3'!G218+'03-3'!G218+'04-3'!G218+'05-3'!G218+'08-3'!G218+'09-3'!G218+'10-3'!G218+'11-3'!G218+'12-3'!G218+'13-3'!G218+'14-3'!G218+'15-3'!G218+'16-3'!G218+'17-3'!G218+'18-3'!G218+'19-3'!G218+'21-3'!G218+'22-3'!G218+'24-3'!G218+'25-3'!G218+'28-3'!G218+'29-3'!G218+'30-3'!G218+'32-3'!G218+'35-3'!G218+'37-3'!G218+'47-3'!G218+'62-3'!G218+'64-3'!G218+'74-3'!G218</f>
        <v>0</v>
      </c>
      <c r="H472" s="106">
        <f>'01-3'!H218+'02-3'!H218+'03-3'!H218+'04-3'!H218+'05-3'!H218+'08-3'!H218+'09-3'!H218+'10-3'!H218+'11-3'!H218+'12-3'!H218+'13-3'!H218+'14-3'!H218+'15-3'!H218+'16-3'!H218+'17-3'!H218+'18-3'!H218+'19-3'!H218+'21-3'!H218+'22-3'!H218+'24-3'!H218+'25-3'!H218+'28-3'!H218+'29-3'!H218+'30-3'!H218+'32-3'!H218+'35-3'!H218+'37-3'!H218+'47-3'!H218+'62-3'!H218+'64-3'!H218+'74-3'!H218</f>
        <v>919833</v>
      </c>
      <c r="I472" s="106">
        <f>'01-3'!I218+'02-3'!I218+'03-3'!I218+'04-3'!I218+'05-3'!I218+'08-3'!I218+'09-3'!I218+'10-3'!I218+'11-3'!I218+'12-3'!I218+'13-3'!I218+'14-3'!I218+'15-3'!I218+'16-3'!I218+'17-3'!I218+'18-3'!I218+'19-3'!I218+'21-3'!I218+'22-3'!I218+'24-3'!I218+'25-3'!I218+'28-3'!I218+'29-3'!I218+'30-3'!I218+'32-3'!I218+'35-3'!I218+'37-3'!I218+'47-3'!I218+'62-3'!I218+'64-3'!I218+'74-3'!I218</f>
        <v>0</v>
      </c>
      <c r="J472" s="106">
        <f>'01-3'!J218+'02-3'!J218+'03-3'!J218+'04-3'!J218+'05-3'!J218+'08-3'!J218+'09-3'!J218+'10-3'!J218+'11-3'!J218+'12-3'!J218+'13-3'!J218+'14-3'!J218+'15-3'!J218+'16-3'!J218+'17-3'!J218+'18-3'!J218+'19-3'!J218+'21-3'!J218+'22-3'!J218+'24-3'!J218+'25-3'!J218+'28-3'!J218+'29-3'!J218+'30-3'!J218+'32-3'!J218+'35-3'!J218+'37-3'!J218+'47-3'!J218+'62-3'!J218+'64-3'!J218+'74-3'!J218</f>
        <v>273844</v>
      </c>
      <c r="K472" s="106">
        <f>'01-3'!K218+'02-3'!K218+'03-3'!K218+'04-3'!K218+'05-3'!K218+'08-3'!K218+'09-3'!K218+'10-3'!K218+'11-3'!K218+'12-3'!K218+'13-3'!K218+'14-3'!K218+'15-3'!K218+'16-3'!K218+'17-3'!K218+'18-3'!K218+'19-3'!K218+'21-3'!K218+'22-3'!K218+'24-3'!K218+'25-3'!K218+'28-3'!K218+'29-3'!K218+'30-3'!K218+'32-3'!K218+'35-3'!K218+'37-3'!K218+'47-3'!K218+'62-3'!K218+'64-3'!K218+'74-3'!K218</f>
        <v>0</v>
      </c>
      <c r="L472" s="106">
        <f>'01-3'!L218+'02-3'!L218+'03-3'!L218+'04-3'!L218+'05-3'!L218+'08-3'!L218+'09-3'!L218+'10-3'!L218+'11-3'!L218+'12-3'!L218+'13-3'!L218+'14-3'!L218+'15-3'!L218+'16-3'!L218+'17-3'!L218+'18-3'!L218+'19-3'!L218+'21-3'!L218+'22-3'!L218+'24-3'!L218+'25-3'!L218+'28-3'!L218+'29-3'!L218+'30-3'!L218+'32-3'!L218+'35-3'!L218+'37-3'!L218+'47-3'!L218+'62-3'!L218+'64-3'!L218+'74-3'!L218</f>
        <v>0</v>
      </c>
      <c r="M472" s="106">
        <f>'01-3'!M218+'02-3'!M218+'03-3'!M218+'04-3'!M218+'05-3'!M218+'08-3'!M218+'09-3'!M218+'10-3'!M218+'11-3'!M218+'12-3'!M218+'13-3'!M218+'14-3'!M218+'15-3'!M218+'16-3'!M218+'17-3'!M218+'18-3'!M218+'19-3'!M218+'21-3'!M218+'22-3'!M218+'24-3'!M218+'25-3'!M218+'28-3'!M218+'29-3'!M218+'30-3'!M218+'32-3'!M218+'35-3'!M218+'37-3'!M218+'47-3'!M218+'62-3'!M218+'64-3'!M218+'74-3'!M218</f>
        <v>273844</v>
      </c>
      <c r="N472" s="106">
        <f>'01-3'!N218+'02-3'!N218+'03-3'!N218+'04-3'!N218+'05-3'!N218+'08-3'!N218+'09-3'!N218+'10-3'!N218+'11-3'!N218+'12-3'!N218+'13-3'!N218+'14-3'!N218+'15-3'!N218+'16-3'!N218+'17-3'!N218+'18-3'!N218+'19-3'!N218+'21-3'!N218+'22-3'!N218+'24-3'!N218+'25-3'!N218+'28-3'!N218+'29-3'!N218+'30-3'!N218+'32-3'!N218+'35-3'!N218+'37-3'!N218+'47-3'!N218+'62-3'!N218+'64-3'!N218+'74-3'!N218</f>
        <v>0</v>
      </c>
      <c r="O472" s="106">
        <f>'01-3'!O218+'02-3'!O218+'03-3'!O218+'04-3'!O218+'05-3'!O218+'08-3'!O218+'09-3'!O218+'10-3'!O218+'11-3'!O218+'12-3'!O218+'13-3'!O218+'14-3'!O218+'15-3'!O218+'16-3'!O218+'17-3'!O218+'18-3'!O218+'19-3'!O218+'21-3'!O218+'22-3'!O218+'24-3'!O218+'25-3'!O218+'28-3'!O218+'29-3'!O218+'30-3'!O218+'32-3'!O218+'35-3'!O218+'37-3'!O218+'47-3'!O218+'62-3'!O218+'64-3'!O218+'74-3'!O218</f>
        <v>0</v>
      </c>
      <c r="P472" s="106">
        <f>'01-3'!P218+'02-3'!P218+'03-3'!P218+'04-3'!P218+'05-3'!P218+'08-3'!P218+'09-3'!P218+'10-3'!P218+'11-3'!P218+'12-3'!P218+'13-3'!P218+'14-3'!P218+'15-3'!P218+'16-3'!P218+'17-3'!P218+'18-3'!P218+'19-3'!P218+'21-3'!P218+'22-3'!P218+'24-3'!P218+'25-3'!P218+'28-3'!P218+'29-3'!P218+'30-3'!P218+'32-3'!P218+'35-3'!P218+'37-3'!P218+'47-3'!P218+'62-3'!P218+'64-3'!P218+'74-3'!P218</f>
        <v>0</v>
      </c>
      <c r="Q472" s="106">
        <f>'01-3'!Q218+'02-3'!Q218+'03-3'!Q218+'04-3'!Q218+'05-3'!Q218+'08-3'!Q218+'09-3'!Q218+'10-3'!Q218+'11-3'!Q218+'12-3'!Q218+'13-3'!Q218+'14-3'!Q218+'15-3'!Q218+'16-3'!Q218+'17-3'!Q218+'18-3'!Q218+'19-3'!Q218+'21-3'!Q218+'22-3'!Q218+'24-3'!Q218+'25-3'!Q218+'28-3'!Q218+'29-3'!Q218+'30-3'!Q218+'32-3'!Q218+'35-3'!Q218+'37-3'!Q218+'47-3'!Q218+'62-3'!Q218+'64-3'!Q218+'74-3'!Q218</f>
        <v>0</v>
      </c>
      <c r="R472" s="106">
        <f>'01-3'!R218+'02-3'!R218+'03-3'!R218+'04-3'!R218+'05-3'!R218+'08-3'!R218+'09-3'!R218+'10-3'!R218+'11-3'!R218+'12-3'!R218+'13-3'!R218+'14-3'!R218+'15-3'!R218+'16-3'!R218+'17-3'!R218+'18-3'!R218+'19-3'!R218+'21-3'!R218+'22-3'!R218+'24-3'!R218+'25-3'!R218+'28-3'!R218+'29-3'!R218+'30-3'!R218+'32-3'!R218+'35-3'!R218+'37-3'!R218+'47-3'!R218+'62-3'!R218+'64-3'!R218+'74-3'!R218</f>
        <v>0</v>
      </c>
      <c r="S472" s="1324"/>
      <c r="T472" s="1324"/>
      <c r="U472" s="1324"/>
      <c r="V472" s="1324"/>
      <c r="W472" s="1324"/>
    </row>
    <row r="473" spans="1:23" s="29" customFormat="1" ht="24">
      <c r="A473" s="133">
        <v>7130</v>
      </c>
      <c r="B473" s="112" t="s">
        <v>119</v>
      </c>
      <c r="C473" s="106">
        <f>'01-3'!C219+'02-3'!C219+'03-3'!C219+'04-3'!C219+'05-3'!C219+'08-3'!C219+'09-3'!C219+'10-3'!C219+'11-3'!C219+'12-3'!C219+'13-3'!C219+'14-3'!C219+'15-3'!C219+'16-3'!C219+'17-3'!C219+'18-3'!C219+'19-3'!C219+'21-3'!C219+'22-3'!C219+'24-3'!C219+'25-3'!C219+'28-3'!C219+'29-3'!C219+'30-3'!C219+'32-3'!C219+'35-3'!C219+'37-3'!C219+'47-3'!C219+'62-3'!C219+'64-3'!C219+'74-3'!C219</f>
        <v>397587</v>
      </c>
      <c r="D473" s="106">
        <f>'01-3'!D219+'02-3'!D219+'03-3'!D219+'04-3'!D219+'05-3'!D219+'08-3'!D219+'09-3'!D219+'10-3'!D219+'11-3'!D219+'12-3'!D219+'13-3'!D219+'14-3'!D219+'15-3'!D219+'16-3'!D219+'17-3'!D219+'18-3'!D219+'19-3'!D219+'21-3'!D219+'22-3'!D219+'24-3'!D219+'25-3'!D219+'28-3'!D219+'29-3'!D219+'30-3'!D219+'32-3'!D219+'35-3'!D219+'37-3'!D219+'47-3'!D219+'62-3'!D219+'64-3'!D219+'74-3'!D219</f>
        <v>228056</v>
      </c>
      <c r="E473" s="106">
        <f>'01-3'!E219+'02-3'!E219+'03-3'!E219+'04-3'!E219+'05-3'!E219+'08-3'!E219+'09-3'!E219+'10-3'!E219+'11-3'!E219+'12-3'!E219+'13-3'!E219+'14-3'!E219+'15-3'!E219+'16-3'!E219+'17-3'!E219+'18-3'!E219+'19-3'!E219+'21-3'!E219+'22-3'!E219+'24-3'!E219+'25-3'!E219+'28-3'!E219+'29-3'!E219+'30-3'!E219+'32-3'!E219+'35-3'!E219+'37-3'!E219+'47-3'!E219+'62-3'!E219+'64-3'!E219+'74-3'!E219</f>
        <v>-73</v>
      </c>
      <c r="F473" s="106">
        <f>'01-3'!F219+'02-3'!F219+'03-3'!F219+'04-3'!F219+'05-3'!F219+'08-3'!F219+'09-3'!F219+'10-3'!F219+'11-3'!F219+'12-3'!F219+'13-3'!F219+'14-3'!F219+'15-3'!F219+'16-3'!F219+'17-3'!F219+'18-3'!F219+'19-3'!F219+'21-3'!F219+'22-3'!F219+'24-3'!F219+'25-3'!F219+'28-3'!F219+'29-3'!F219+'30-3'!F219+'32-3'!F219+'35-3'!F219+'37-3'!F219+'47-3'!F219+'62-3'!F219+'64-3'!F219+'74-3'!F219</f>
        <v>0</v>
      </c>
      <c r="G473" s="106">
        <f>'01-3'!G219+'02-3'!G219+'03-3'!G219+'04-3'!G219+'05-3'!G219+'08-3'!G219+'09-3'!G219+'10-3'!G219+'11-3'!G219+'12-3'!G219+'13-3'!G219+'14-3'!G219+'15-3'!G219+'16-3'!G219+'17-3'!G219+'18-3'!G219+'19-3'!G219+'21-3'!G219+'22-3'!G219+'24-3'!G219+'25-3'!G219+'28-3'!G219+'29-3'!G219+'30-3'!G219+'32-3'!G219+'35-3'!G219+'37-3'!G219+'47-3'!G219+'62-3'!G219+'64-3'!G219+'74-3'!G219</f>
        <v>0</v>
      </c>
      <c r="H473" s="106">
        <f>'01-3'!H219+'02-3'!H219+'03-3'!H219+'04-3'!H219+'05-3'!H219+'08-3'!H219+'09-3'!H219+'10-3'!H219+'11-3'!H219+'12-3'!H219+'13-3'!H219+'14-3'!H219+'15-3'!H219+'16-3'!H219+'17-3'!H219+'18-3'!H219+'19-3'!H219+'21-3'!H219+'22-3'!H219+'24-3'!H219+'25-3'!H219+'28-3'!H219+'29-3'!H219+'30-3'!H219+'32-3'!H219+'35-3'!H219+'37-3'!H219+'47-3'!H219+'62-3'!H219+'64-3'!H219+'74-3'!H219</f>
        <v>227983</v>
      </c>
      <c r="I473" s="106">
        <f>'01-3'!I219+'02-3'!I219+'03-3'!I219+'04-3'!I219+'05-3'!I219+'08-3'!I219+'09-3'!I219+'10-3'!I219+'11-3'!I219+'12-3'!I219+'13-3'!I219+'14-3'!I219+'15-3'!I219+'16-3'!I219+'17-3'!I219+'18-3'!I219+'19-3'!I219+'21-3'!I219+'22-3'!I219+'24-3'!I219+'25-3'!I219+'28-3'!I219+'29-3'!I219+'30-3'!I219+'32-3'!I219+'35-3'!I219+'37-3'!I219+'47-3'!I219+'62-3'!I219+'64-3'!I219+'74-3'!I219</f>
        <v>0</v>
      </c>
      <c r="J473" s="106">
        <f>'01-3'!J219+'02-3'!J219+'03-3'!J219+'04-3'!J219+'05-3'!J219+'08-3'!J219+'09-3'!J219+'10-3'!J219+'11-3'!J219+'12-3'!J219+'13-3'!J219+'14-3'!J219+'15-3'!J219+'16-3'!J219+'17-3'!J219+'18-3'!J219+'19-3'!J219+'21-3'!J219+'22-3'!J219+'24-3'!J219+'25-3'!J219+'28-3'!J219+'29-3'!J219+'30-3'!J219+'32-3'!J219+'35-3'!J219+'37-3'!J219+'47-3'!J219+'62-3'!J219+'64-3'!J219+'74-3'!J219</f>
        <v>0</v>
      </c>
      <c r="K473" s="106">
        <f>'01-3'!K219+'02-3'!K219+'03-3'!K219+'04-3'!K219+'05-3'!K219+'08-3'!K219+'09-3'!K219+'10-3'!K219+'11-3'!K219+'12-3'!K219+'13-3'!K219+'14-3'!K219+'15-3'!K219+'16-3'!K219+'17-3'!K219+'18-3'!K219+'19-3'!K219+'21-3'!K219+'22-3'!K219+'24-3'!K219+'25-3'!K219+'28-3'!K219+'29-3'!K219+'30-3'!K219+'32-3'!K219+'35-3'!K219+'37-3'!K219+'47-3'!K219+'62-3'!K219+'64-3'!K219+'74-3'!K219</f>
        <v>0</v>
      </c>
      <c r="L473" s="106">
        <f>'01-3'!L219+'02-3'!L219+'03-3'!L219+'04-3'!L219+'05-3'!L219+'08-3'!L219+'09-3'!L219+'10-3'!L219+'11-3'!L219+'12-3'!L219+'13-3'!L219+'14-3'!L219+'15-3'!L219+'16-3'!L219+'17-3'!L219+'18-3'!L219+'19-3'!L219+'21-3'!L219+'22-3'!L219+'24-3'!L219+'25-3'!L219+'28-3'!L219+'29-3'!L219+'30-3'!L219+'32-3'!L219+'35-3'!L219+'37-3'!L219+'47-3'!L219+'62-3'!L219+'64-3'!L219+'74-3'!L219</f>
        <v>0</v>
      </c>
      <c r="M473" s="106">
        <f>'01-3'!M219+'02-3'!M219+'03-3'!M219+'04-3'!M219+'05-3'!M219+'08-3'!M219+'09-3'!M219+'10-3'!M219+'11-3'!M219+'12-3'!M219+'13-3'!M219+'14-3'!M219+'15-3'!M219+'16-3'!M219+'17-3'!M219+'18-3'!M219+'19-3'!M219+'21-3'!M219+'22-3'!M219+'24-3'!M219+'25-3'!M219+'28-3'!M219+'29-3'!M219+'30-3'!M219+'32-3'!M219+'35-3'!M219+'37-3'!M219+'47-3'!M219+'62-3'!M219+'64-3'!M219+'74-3'!M219</f>
        <v>0</v>
      </c>
      <c r="N473" s="106">
        <f>'01-3'!N219+'02-3'!N219+'03-3'!N219+'04-3'!N219+'05-3'!N219+'08-3'!N219+'09-3'!N219+'10-3'!N219+'11-3'!N219+'12-3'!N219+'13-3'!N219+'14-3'!N219+'15-3'!N219+'16-3'!N219+'17-3'!N219+'18-3'!N219+'19-3'!N219+'21-3'!N219+'22-3'!N219+'24-3'!N219+'25-3'!N219+'28-3'!N219+'29-3'!N219+'30-3'!N219+'32-3'!N219+'35-3'!N219+'37-3'!N219+'47-3'!N219+'62-3'!N219+'64-3'!N219+'74-3'!N219</f>
        <v>0</v>
      </c>
      <c r="O473" s="106">
        <f>'01-3'!O219+'02-3'!O219+'03-3'!O219+'04-3'!O219+'05-3'!O219+'08-3'!O219+'09-3'!O219+'10-3'!O219+'11-3'!O219+'12-3'!O219+'13-3'!O219+'14-3'!O219+'15-3'!O219+'16-3'!O219+'17-3'!O219+'18-3'!O219+'19-3'!O219+'21-3'!O219+'22-3'!O219+'24-3'!O219+'25-3'!O219+'28-3'!O219+'29-3'!O219+'30-3'!O219+'32-3'!O219+'35-3'!O219+'37-3'!O219+'47-3'!O219+'62-3'!O219+'64-3'!O219+'74-3'!O219</f>
        <v>0</v>
      </c>
      <c r="P473" s="106">
        <f>'01-3'!P219+'02-3'!P219+'03-3'!P219+'04-3'!P219+'05-3'!P219+'08-3'!P219+'09-3'!P219+'10-3'!P219+'11-3'!P219+'12-3'!P219+'13-3'!P219+'14-3'!P219+'15-3'!P219+'16-3'!P219+'17-3'!P219+'18-3'!P219+'19-3'!P219+'21-3'!P219+'22-3'!P219+'24-3'!P219+'25-3'!P219+'28-3'!P219+'29-3'!P219+'30-3'!P219+'32-3'!P219+'35-3'!P219+'37-3'!P219+'47-3'!P219+'62-3'!P219+'64-3'!P219+'74-3'!P219</f>
        <v>0</v>
      </c>
      <c r="Q473" s="106">
        <f>'01-3'!Q219+'02-3'!Q219+'03-3'!Q219+'04-3'!Q219+'05-3'!Q219+'08-3'!Q219+'09-3'!Q219+'10-3'!Q219+'11-3'!Q219+'12-3'!Q219+'13-3'!Q219+'14-3'!Q219+'15-3'!Q219+'16-3'!Q219+'17-3'!Q219+'18-3'!Q219+'19-3'!Q219+'21-3'!Q219+'22-3'!Q219+'24-3'!Q219+'25-3'!Q219+'28-3'!Q219+'29-3'!Q219+'30-3'!Q219+'32-3'!Q219+'35-3'!Q219+'37-3'!Q219+'47-3'!Q219+'62-3'!Q219+'64-3'!Q219+'74-3'!Q219</f>
        <v>0</v>
      </c>
      <c r="R473" s="106">
        <f>'01-3'!R219+'02-3'!R219+'03-3'!R219+'04-3'!R219+'05-3'!R219+'08-3'!R219+'09-3'!R219+'10-3'!R219+'11-3'!R219+'12-3'!R219+'13-3'!R219+'14-3'!R219+'15-3'!R219+'16-3'!R219+'17-3'!R219+'18-3'!R219+'19-3'!R219+'21-3'!R219+'22-3'!R219+'24-3'!R219+'25-3'!R219+'28-3'!R219+'29-3'!R219+'30-3'!R219+'32-3'!R219+'35-3'!R219+'37-3'!R219+'47-3'!R219+'62-3'!R219+'64-3'!R219+'74-3'!R219</f>
        <v>0</v>
      </c>
      <c r="S473" s="1324"/>
      <c r="T473" s="1324"/>
      <c r="U473" s="1324"/>
      <c r="V473" s="1324"/>
      <c r="W473" s="1324"/>
    </row>
    <row r="474" spans="1:23" s="29" customFormat="1" ht="36">
      <c r="A474" s="134">
        <v>7131</v>
      </c>
      <c r="B474" s="112" t="s">
        <v>120</v>
      </c>
      <c r="C474" s="106">
        <f>'01-3'!C220+'02-3'!C220+'03-3'!C220+'04-3'!C220+'05-3'!C220+'08-3'!C220+'09-3'!C220+'10-3'!C220+'11-3'!C220+'12-3'!C220+'13-3'!C220+'14-3'!C220+'15-3'!C220+'16-3'!C220+'17-3'!C220+'18-3'!C220+'19-3'!C220+'21-3'!C220+'22-3'!C220+'24-3'!C220+'25-3'!C220+'28-3'!C220+'29-3'!C220+'30-3'!C220+'32-3'!C220+'35-3'!C220+'37-3'!C220+'47-3'!C220+'62-3'!C220+'64-3'!C220+'74-3'!C220</f>
        <v>355831</v>
      </c>
      <c r="D474" s="106">
        <f>'01-3'!D220+'02-3'!D220+'03-3'!D220+'04-3'!D220+'05-3'!D220+'08-3'!D220+'09-3'!D220+'10-3'!D220+'11-3'!D220+'12-3'!D220+'13-3'!D220+'14-3'!D220+'15-3'!D220+'16-3'!D220+'17-3'!D220+'18-3'!D220+'19-3'!D220+'21-3'!D220+'22-3'!D220+'24-3'!D220+'25-3'!D220+'28-3'!D220+'29-3'!D220+'30-3'!D220+'32-3'!D220+'35-3'!D220+'37-3'!D220+'47-3'!D220+'62-3'!D220+'64-3'!D220+'74-3'!D220</f>
        <v>228056</v>
      </c>
      <c r="E474" s="106">
        <f>'01-3'!E220+'02-3'!E220+'03-3'!E220+'04-3'!E220+'05-3'!E220+'08-3'!E220+'09-3'!E220+'10-3'!E220+'11-3'!E220+'12-3'!E220+'13-3'!E220+'14-3'!E220+'15-3'!E220+'16-3'!E220+'17-3'!E220+'18-3'!E220+'19-3'!E220+'21-3'!E220+'22-3'!E220+'24-3'!E220+'25-3'!E220+'28-3'!E220+'29-3'!E220+'30-3'!E220+'32-3'!E220+'35-3'!E220+'37-3'!E220+'47-3'!E220+'62-3'!E220+'64-3'!E220+'74-3'!E220</f>
        <v>-73</v>
      </c>
      <c r="F474" s="106">
        <f>'01-3'!F220+'02-3'!F220+'03-3'!F220+'04-3'!F220+'05-3'!F220+'08-3'!F220+'09-3'!F220+'10-3'!F220+'11-3'!F220+'12-3'!F220+'13-3'!F220+'14-3'!F220+'15-3'!F220+'16-3'!F220+'17-3'!F220+'18-3'!F220+'19-3'!F220+'21-3'!F220+'22-3'!F220+'24-3'!F220+'25-3'!F220+'28-3'!F220+'29-3'!F220+'30-3'!F220+'32-3'!F220+'35-3'!F220+'37-3'!F220+'47-3'!F220+'62-3'!F220+'64-3'!F220+'74-3'!F220</f>
        <v>0</v>
      </c>
      <c r="G474" s="106">
        <f>'01-3'!G220+'02-3'!G220+'03-3'!G220+'04-3'!G220+'05-3'!G220+'08-3'!G220+'09-3'!G220+'10-3'!G220+'11-3'!G220+'12-3'!G220+'13-3'!G220+'14-3'!G220+'15-3'!G220+'16-3'!G220+'17-3'!G220+'18-3'!G220+'19-3'!G220+'21-3'!G220+'22-3'!G220+'24-3'!G220+'25-3'!G220+'28-3'!G220+'29-3'!G220+'30-3'!G220+'32-3'!G220+'35-3'!G220+'37-3'!G220+'47-3'!G220+'62-3'!G220+'64-3'!G220+'74-3'!G220</f>
        <v>0</v>
      </c>
      <c r="H474" s="106">
        <f>'01-3'!H220+'02-3'!H220+'03-3'!H220+'04-3'!H220+'05-3'!H220+'08-3'!H220+'09-3'!H220+'10-3'!H220+'11-3'!H220+'12-3'!H220+'13-3'!H220+'14-3'!H220+'15-3'!H220+'16-3'!H220+'17-3'!H220+'18-3'!H220+'19-3'!H220+'21-3'!H220+'22-3'!H220+'24-3'!H220+'25-3'!H220+'28-3'!H220+'29-3'!H220+'30-3'!H220+'32-3'!H220+'35-3'!H220+'37-3'!H220+'47-3'!H220+'62-3'!H220+'64-3'!H220+'74-3'!H220</f>
        <v>227983</v>
      </c>
      <c r="I474" s="106">
        <f>'01-3'!I220+'02-3'!I220+'03-3'!I220+'04-3'!I220+'05-3'!I220+'08-3'!I220+'09-3'!I220+'10-3'!I220+'11-3'!I220+'12-3'!I220+'13-3'!I220+'14-3'!I220+'15-3'!I220+'16-3'!I220+'17-3'!I220+'18-3'!I220+'19-3'!I220+'21-3'!I220+'22-3'!I220+'24-3'!I220+'25-3'!I220+'28-3'!I220+'29-3'!I220+'30-3'!I220+'32-3'!I220+'35-3'!I220+'37-3'!I220+'47-3'!I220+'62-3'!I220+'64-3'!I220+'74-3'!I220</f>
        <v>0</v>
      </c>
      <c r="J474" s="106">
        <f>'01-3'!J220+'02-3'!J220+'03-3'!J220+'04-3'!J220+'05-3'!J220+'08-3'!J220+'09-3'!J220+'10-3'!J220+'11-3'!J220+'12-3'!J220+'13-3'!J220+'14-3'!J220+'15-3'!J220+'16-3'!J220+'17-3'!J220+'18-3'!J220+'19-3'!J220+'21-3'!J220+'22-3'!J220+'24-3'!J220+'25-3'!J220+'28-3'!J220+'29-3'!J220+'30-3'!J220+'32-3'!J220+'35-3'!J220+'37-3'!J220+'47-3'!J220+'62-3'!J220+'64-3'!J220+'74-3'!J220</f>
        <v>0</v>
      </c>
      <c r="K474" s="106">
        <f>'01-3'!K220+'02-3'!K220+'03-3'!K220+'04-3'!K220+'05-3'!K220+'08-3'!K220+'09-3'!K220+'10-3'!K220+'11-3'!K220+'12-3'!K220+'13-3'!K220+'14-3'!K220+'15-3'!K220+'16-3'!K220+'17-3'!K220+'18-3'!K220+'19-3'!K220+'21-3'!K220+'22-3'!K220+'24-3'!K220+'25-3'!K220+'28-3'!K220+'29-3'!K220+'30-3'!K220+'32-3'!K220+'35-3'!K220+'37-3'!K220+'47-3'!K220+'62-3'!K220+'64-3'!K220+'74-3'!K220</f>
        <v>0</v>
      </c>
      <c r="L474" s="106">
        <f>'01-3'!L220+'02-3'!L220+'03-3'!L220+'04-3'!L220+'05-3'!L220+'08-3'!L220+'09-3'!L220+'10-3'!L220+'11-3'!L220+'12-3'!L220+'13-3'!L220+'14-3'!L220+'15-3'!L220+'16-3'!L220+'17-3'!L220+'18-3'!L220+'19-3'!L220+'21-3'!L220+'22-3'!L220+'24-3'!L220+'25-3'!L220+'28-3'!L220+'29-3'!L220+'30-3'!L220+'32-3'!L220+'35-3'!L220+'37-3'!L220+'47-3'!L220+'62-3'!L220+'64-3'!L220+'74-3'!L220</f>
        <v>0</v>
      </c>
      <c r="M474" s="106">
        <f>'01-3'!M220+'02-3'!M220+'03-3'!M220+'04-3'!M220+'05-3'!M220+'08-3'!M220+'09-3'!M220+'10-3'!M220+'11-3'!M220+'12-3'!M220+'13-3'!M220+'14-3'!M220+'15-3'!M220+'16-3'!M220+'17-3'!M220+'18-3'!M220+'19-3'!M220+'21-3'!M220+'22-3'!M220+'24-3'!M220+'25-3'!M220+'28-3'!M220+'29-3'!M220+'30-3'!M220+'32-3'!M220+'35-3'!M220+'37-3'!M220+'47-3'!M220+'62-3'!M220+'64-3'!M220+'74-3'!M220</f>
        <v>0</v>
      </c>
      <c r="N474" s="106">
        <f>'01-3'!N220+'02-3'!N220+'03-3'!N220+'04-3'!N220+'05-3'!N220+'08-3'!N220+'09-3'!N220+'10-3'!N220+'11-3'!N220+'12-3'!N220+'13-3'!N220+'14-3'!N220+'15-3'!N220+'16-3'!N220+'17-3'!N220+'18-3'!N220+'19-3'!N220+'21-3'!N220+'22-3'!N220+'24-3'!N220+'25-3'!N220+'28-3'!N220+'29-3'!N220+'30-3'!N220+'32-3'!N220+'35-3'!N220+'37-3'!N220+'47-3'!N220+'62-3'!N220+'64-3'!N220+'74-3'!N220</f>
        <v>0</v>
      </c>
      <c r="O474" s="106">
        <f>'01-3'!O220+'02-3'!O220+'03-3'!O220+'04-3'!O220+'05-3'!O220+'08-3'!O220+'09-3'!O220+'10-3'!O220+'11-3'!O220+'12-3'!O220+'13-3'!O220+'14-3'!O220+'15-3'!O220+'16-3'!O220+'17-3'!O220+'18-3'!O220+'19-3'!O220+'21-3'!O220+'22-3'!O220+'24-3'!O220+'25-3'!O220+'28-3'!O220+'29-3'!O220+'30-3'!O220+'32-3'!O220+'35-3'!O220+'37-3'!O220+'47-3'!O220+'62-3'!O220+'64-3'!O220+'74-3'!O220</f>
        <v>0</v>
      </c>
      <c r="P474" s="106">
        <f>'01-3'!P220+'02-3'!P220+'03-3'!P220+'04-3'!P220+'05-3'!P220+'08-3'!P220+'09-3'!P220+'10-3'!P220+'11-3'!P220+'12-3'!P220+'13-3'!P220+'14-3'!P220+'15-3'!P220+'16-3'!P220+'17-3'!P220+'18-3'!P220+'19-3'!P220+'21-3'!P220+'22-3'!P220+'24-3'!P220+'25-3'!P220+'28-3'!P220+'29-3'!P220+'30-3'!P220+'32-3'!P220+'35-3'!P220+'37-3'!P220+'47-3'!P220+'62-3'!P220+'64-3'!P220+'74-3'!P220</f>
        <v>0</v>
      </c>
      <c r="Q474" s="106">
        <f>'01-3'!Q220+'02-3'!Q220+'03-3'!Q220+'04-3'!Q220+'05-3'!Q220+'08-3'!Q220+'09-3'!Q220+'10-3'!Q220+'11-3'!Q220+'12-3'!Q220+'13-3'!Q220+'14-3'!Q220+'15-3'!Q220+'16-3'!Q220+'17-3'!Q220+'18-3'!Q220+'19-3'!Q220+'21-3'!Q220+'22-3'!Q220+'24-3'!Q220+'25-3'!Q220+'28-3'!Q220+'29-3'!Q220+'30-3'!Q220+'32-3'!Q220+'35-3'!Q220+'37-3'!Q220+'47-3'!Q220+'62-3'!Q220+'64-3'!Q220+'74-3'!Q220</f>
        <v>0</v>
      </c>
      <c r="R474" s="106">
        <f>'01-3'!R220+'02-3'!R220+'03-3'!R220+'04-3'!R220+'05-3'!R220+'08-3'!R220+'09-3'!R220+'10-3'!R220+'11-3'!R220+'12-3'!R220+'13-3'!R220+'14-3'!R220+'15-3'!R220+'16-3'!R220+'17-3'!R220+'18-3'!R220+'19-3'!R220+'21-3'!R220+'22-3'!R220+'24-3'!R220+'25-3'!R220+'28-3'!R220+'29-3'!R220+'30-3'!R220+'32-3'!R220+'35-3'!R220+'37-3'!R220+'47-3'!R220+'62-3'!R220+'64-3'!R220+'74-3'!R220</f>
        <v>0</v>
      </c>
      <c r="S474" s="1324"/>
      <c r="T474" s="1324"/>
      <c r="U474" s="1324"/>
      <c r="V474" s="1324"/>
      <c r="W474" s="1324"/>
    </row>
    <row r="475" spans="1:23" s="29" customFormat="1" ht="36">
      <c r="A475" s="134">
        <v>7132</v>
      </c>
      <c r="B475" s="112" t="s">
        <v>121</v>
      </c>
      <c r="C475" s="106">
        <f>'01-3'!C221+'02-3'!C221+'03-3'!C221+'04-3'!C221+'05-3'!C221+'08-3'!C221+'09-3'!C221+'10-3'!C221+'11-3'!C221+'12-3'!C221+'13-3'!C221+'14-3'!C221+'15-3'!C221+'16-3'!C221+'17-3'!C221+'18-3'!C221+'19-3'!C221+'21-3'!C221+'22-3'!C221+'24-3'!C221+'25-3'!C221+'28-3'!C221+'29-3'!C221+'30-3'!C221+'32-3'!C221+'35-3'!C221+'37-3'!C221+'47-3'!C221+'62-3'!C221+'64-3'!C221+'74-3'!C221</f>
        <v>41756</v>
      </c>
      <c r="D475" s="106">
        <f>'01-3'!D221+'02-3'!D221+'03-3'!D221+'04-3'!D221+'05-3'!D221+'08-3'!D221+'09-3'!D221+'10-3'!D221+'11-3'!D221+'12-3'!D221+'13-3'!D221+'14-3'!D221+'15-3'!D221+'16-3'!D221+'17-3'!D221+'18-3'!D221+'19-3'!D221+'21-3'!D221+'22-3'!D221+'24-3'!D221+'25-3'!D221+'28-3'!D221+'29-3'!D221+'30-3'!D221+'32-3'!D221+'35-3'!D221+'37-3'!D221+'47-3'!D221+'62-3'!D221+'64-3'!D221+'74-3'!D221</f>
        <v>0</v>
      </c>
      <c r="E475" s="106">
        <f>'01-3'!E221+'02-3'!E221+'03-3'!E221+'04-3'!E221+'05-3'!E221+'08-3'!E221+'09-3'!E221+'10-3'!E221+'11-3'!E221+'12-3'!E221+'13-3'!E221+'14-3'!E221+'15-3'!E221+'16-3'!E221+'17-3'!E221+'18-3'!E221+'19-3'!E221+'21-3'!E221+'22-3'!E221+'24-3'!E221+'25-3'!E221+'28-3'!E221+'29-3'!E221+'30-3'!E221+'32-3'!E221+'35-3'!E221+'37-3'!E221+'47-3'!E221+'62-3'!E221+'64-3'!E221+'74-3'!E221</f>
        <v>0</v>
      </c>
      <c r="F475" s="106">
        <f>'01-3'!F221+'02-3'!F221+'03-3'!F221+'04-3'!F221+'05-3'!F221+'08-3'!F221+'09-3'!F221+'10-3'!F221+'11-3'!F221+'12-3'!F221+'13-3'!F221+'14-3'!F221+'15-3'!F221+'16-3'!F221+'17-3'!F221+'18-3'!F221+'19-3'!F221+'21-3'!F221+'22-3'!F221+'24-3'!F221+'25-3'!F221+'28-3'!F221+'29-3'!F221+'30-3'!F221+'32-3'!F221+'35-3'!F221+'37-3'!F221+'47-3'!F221+'62-3'!F221+'64-3'!F221+'74-3'!F221</f>
        <v>0</v>
      </c>
      <c r="G475" s="106">
        <f>'01-3'!G221+'02-3'!G221+'03-3'!G221+'04-3'!G221+'05-3'!G221+'08-3'!G221+'09-3'!G221+'10-3'!G221+'11-3'!G221+'12-3'!G221+'13-3'!G221+'14-3'!G221+'15-3'!G221+'16-3'!G221+'17-3'!G221+'18-3'!G221+'19-3'!G221+'21-3'!G221+'22-3'!G221+'24-3'!G221+'25-3'!G221+'28-3'!G221+'29-3'!G221+'30-3'!G221+'32-3'!G221+'35-3'!G221+'37-3'!G221+'47-3'!G221+'62-3'!G221+'64-3'!G221+'74-3'!G221</f>
        <v>0</v>
      </c>
      <c r="H475" s="106">
        <f>'01-3'!H221+'02-3'!H221+'03-3'!H221+'04-3'!H221+'05-3'!H221+'08-3'!H221+'09-3'!H221+'10-3'!H221+'11-3'!H221+'12-3'!H221+'13-3'!H221+'14-3'!H221+'15-3'!H221+'16-3'!H221+'17-3'!H221+'18-3'!H221+'19-3'!H221+'21-3'!H221+'22-3'!H221+'24-3'!H221+'25-3'!H221+'28-3'!H221+'29-3'!H221+'30-3'!H221+'32-3'!H221+'35-3'!H221+'37-3'!H221+'47-3'!H221+'62-3'!H221+'64-3'!H221+'74-3'!H221</f>
        <v>0</v>
      </c>
      <c r="I475" s="106">
        <f>'01-3'!I221+'02-3'!I221+'03-3'!I221+'04-3'!I221+'05-3'!I221+'08-3'!I221+'09-3'!I221+'10-3'!I221+'11-3'!I221+'12-3'!I221+'13-3'!I221+'14-3'!I221+'15-3'!I221+'16-3'!I221+'17-3'!I221+'18-3'!I221+'19-3'!I221+'21-3'!I221+'22-3'!I221+'24-3'!I221+'25-3'!I221+'28-3'!I221+'29-3'!I221+'30-3'!I221+'32-3'!I221+'35-3'!I221+'37-3'!I221+'47-3'!I221+'62-3'!I221+'64-3'!I221+'74-3'!I221</f>
        <v>0</v>
      </c>
      <c r="J475" s="106">
        <f>'01-3'!J221+'02-3'!J221+'03-3'!J221+'04-3'!J221+'05-3'!J221+'08-3'!J221+'09-3'!J221+'10-3'!J221+'11-3'!J221+'12-3'!J221+'13-3'!J221+'14-3'!J221+'15-3'!J221+'16-3'!J221+'17-3'!J221+'18-3'!J221+'19-3'!J221+'21-3'!J221+'22-3'!J221+'24-3'!J221+'25-3'!J221+'28-3'!J221+'29-3'!J221+'30-3'!J221+'32-3'!J221+'35-3'!J221+'37-3'!J221+'47-3'!J221+'62-3'!J221+'64-3'!J221+'74-3'!J221</f>
        <v>0</v>
      </c>
      <c r="K475" s="106">
        <f>'01-3'!K221+'02-3'!K221+'03-3'!K221+'04-3'!K221+'05-3'!K221+'08-3'!K221+'09-3'!K221+'10-3'!K221+'11-3'!K221+'12-3'!K221+'13-3'!K221+'14-3'!K221+'15-3'!K221+'16-3'!K221+'17-3'!K221+'18-3'!K221+'19-3'!K221+'21-3'!K221+'22-3'!K221+'24-3'!K221+'25-3'!K221+'28-3'!K221+'29-3'!K221+'30-3'!K221+'32-3'!K221+'35-3'!K221+'37-3'!K221+'47-3'!K221+'62-3'!K221+'64-3'!K221+'74-3'!K221</f>
        <v>0</v>
      </c>
      <c r="L475" s="106">
        <f>'01-3'!L221+'02-3'!L221+'03-3'!L221+'04-3'!L221+'05-3'!L221+'08-3'!L221+'09-3'!L221+'10-3'!L221+'11-3'!L221+'12-3'!L221+'13-3'!L221+'14-3'!L221+'15-3'!L221+'16-3'!L221+'17-3'!L221+'18-3'!L221+'19-3'!L221+'21-3'!L221+'22-3'!L221+'24-3'!L221+'25-3'!L221+'28-3'!L221+'29-3'!L221+'30-3'!L221+'32-3'!L221+'35-3'!L221+'37-3'!L221+'47-3'!L221+'62-3'!L221+'64-3'!L221+'74-3'!L221</f>
        <v>0</v>
      </c>
      <c r="M475" s="106">
        <f>'01-3'!M221+'02-3'!M221+'03-3'!M221+'04-3'!M221+'05-3'!M221+'08-3'!M221+'09-3'!M221+'10-3'!M221+'11-3'!M221+'12-3'!M221+'13-3'!M221+'14-3'!M221+'15-3'!M221+'16-3'!M221+'17-3'!M221+'18-3'!M221+'19-3'!M221+'21-3'!M221+'22-3'!M221+'24-3'!M221+'25-3'!M221+'28-3'!M221+'29-3'!M221+'30-3'!M221+'32-3'!M221+'35-3'!M221+'37-3'!M221+'47-3'!M221+'62-3'!M221+'64-3'!M221+'74-3'!M221</f>
        <v>0</v>
      </c>
      <c r="N475" s="106">
        <f>'01-3'!N221+'02-3'!N221+'03-3'!N221+'04-3'!N221+'05-3'!N221+'08-3'!N221+'09-3'!N221+'10-3'!N221+'11-3'!N221+'12-3'!N221+'13-3'!N221+'14-3'!N221+'15-3'!N221+'16-3'!N221+'17-3'!N221+'18-3'!N221+'19-3'!N221+'21-3'!N221+'22-3'!N221+'24-3'!N221+'25-3'!N221+'28-3'!N221+'29-3'!N221+'30-3'!N221+'32-3'!N221+'35-3'!N221+'37-3'!N221+'47-3'!N221+'62-3'!N221+'64-3'!N221+'74-3'!N221</f>
        <v>0</v>
      </c>
      <c r="O475" s="106">
        <f>'01-3'!O221+'02-3'!O221+'03-3'!O221+'04-3'!O221+'05-3'!O221+'08-3'!O221+'09-3'!O221+'10-3'!O221+'11-3'!O221+'12-3'!O221+'13-3'!O221+'14-3'!O221+'15-3'!O221+'16-3'!O221+'17-3'!O221+'18-3'!O221+'19-3'!O221+'21-3'!O221+'22-3'!O221+'24-3'!O221+'25-3'!O221+'28-3'!O221+'29-3'!O221+'30-3'!O221+'32-3'!O221+'35-3'!O221+'37-3'!O221+'47-3'!O221+'62-3'!O221+'64-3'!O221+'74-3'!O221</f>
        <v>0</v>
      </c>
      <c r="P475" s="106">
        <f>'01-3'!P221+'02-3'!P221+'03-3'!P221+'04-3'!P221+'05-3'!P221+'08-3'!P221+'09-3'!P221+'10-3'!P221+'11-3'!P221+'12-3'!P221+'13-3'!P221+'14-3'!P221+'15-3'!P221+'16-3'!P221+'17-3'!P221+'18-3'!P221+'19-3'!P221+'21-3'!P221+'22-3'!P221+'24-3'!P221+'25-3'!P221+'28-3'!P221+'29-3'!P221+'30-3'!P221+'32-3'!P221+'35-3'!P221+'37-3'!P221+'47-3'!P221+'62-3'!P221+'64-3'!P221+'74-3'!P221</f>
        <v>0</v>
      </c>
      <c r="Q475" s="106">
        <f>'01-3'!Q221+'02-3'!Q221+'03-3'!Q221+'04-3'!Q221+'05-3'!Q221+'08-3'!Q221+'09-3'!Q221+'10-3'!Q221+'11-3'!Q221+'12-3'!Q221+'13-3'!Q221+'14-3'!Q221+'15-3'!Q221+'16-3'!Q221+'17-3'!Q221+'18-3'!Q221+'19-3'!Q221+'21-3'!Q221+'22-3'!Q221+'24-3'!Q221+'25-3'!Q221+'28-3'!Q221+'29-3'!Q221+'30-3'!Q221+'32-3'!Q221+'35-3'!Q221+'37-3'!Q221+'47-3'!Q221+'62-3'!Q221+'64-3'!Q221+'74-3'!Q221</f>
        <v>0</v>
      </c>
      <c r="R475" s="106">
        <f>'01-3'!R221+'02-3'!R221+'03-3'!R221+'04-3'!R221+'05-3'!R221+'08-3'!R221+'09-3'!R221+'10-3'!R221+'11-3'!R221+'12-3'!R221+'13-3'!R221+'14-3'!R221+'15-3'!R221+'16-3'!R221+'17-3'!R221+'18-3'!R221+'19-3'!R221+'21-3'!R221+'22-3'!R221+'24-3'!R221+'25-3'!R221+'28-3'!R221+'29-3'!R221+'30-3'!R221+'32-3'!R221+'35-3'!R221+'37-3'!R221+'47-3'!R221+'62-3'!R221+'64-3'!R221+'74-3'!R221</f>
        <v>0</v>
      </c>
      <c r="S475" s="1324"/>
      <c r="T475" s="1324"/>
      <c r="U475" s="1324"/>
      <c r="V475" s="1324"/>
      <c r="W475" s="1324"/>
    </row>
    <row r="476" spans="1:23" s="29" customFormat="1" ht="36" hidden="1">
      <c r="A476" s="134" t="s">
        <v>186</v>
      </c>
      <c r="B476" s="112" t="s">
        <v>187</v>
      </c>
      <c r="C476" s="106">
        <f>'01-3'!C222+'02-3'!C222+'03-3'!C222+'04-3'!C222+'05-3'!C222+'08-3'!C222+'09-3'!C222+'10-3'!C222+'11-3'!C222+'12-3'!C222+'13-3'!C222+'14-3'!C222+'15-3'!C222+'16-3'!C222+'17-3'!C222+'18-3'!C222+'19-3'!C222+'21-3'!C222+'22-3'!C222+'24-3'!C222+'25-3'!C222+'28-3'!C222+'29-3'!C222+'30-3'!C222+'32-3'!C222+'35-3'!C222+'37-3'!C222+'47-3'!C222+'62-3'!C222+'64-3'!C222+'74-3'!C222</f>
        <v>0</v>
      </c>
      <c r="D476" s="106">
        <f>'01-3'!D222+'02-3'!D222+'03-3'!D222+'04-3'!D222+'05-3'!D222+'08-3'!D222+'09-3'!D222+'10-3'!D222+'11-3'!D222+'12-3'!D222+'13-3'!D222+'14-3'!D222+'15-3'!D222+'16-3'!D222+'17-3'!D222+'18-3'!D222+'19-3'!D222+'21-3'!D222+'22-3'!D222+'24-3'!D222+'25-3'!D222+'28-3'!D222+'29-3'!D222+'30-3'!D222+'32-3'!D222+'35-3'!D222+'37-3'!D222+'47-3'!D222+'62-3'!D222+'64-3'!D222+'74-3'!D222</f>
        <v>0</v>
      </c>
      <c r="E476" s="106">
        <f>'01-3'!E222+'02-3'!E222+'03-3'!E222+'04-3'!E222+'05-3'!E222+'08-3'!E222+'09-3'!E222+'10-3'!E222+'11-3'!E222+'12-3'!E222+'13-3'!E222+'14-3'!E222+'15-3'!E222+'16-3'!E222+'17-3'!E222+'18-3'!E222+'19-3'!E222+'21-3'!E222+'22-3'!E222+'24-3'!E222+'25-3'!E222+'28-3'!E222+'29-3'!E222+'30-3'!E222+'32-3'!E222+'35-3'!E222+'37-3'!E222+'47-3'!E222+'62-3'!E222+'64-3'!E222+'74-3'!E222</f>
        <v>0</v>
      </c>
      <c r="F476" s="106">
        <f>'01-3'!F222+'02-3'!F222+'03-3'!F222+'04-3'!F222+'05-3'!F222+'08-3'!F222+'09-3'!F222+'10-3'!F222+'11-3'!F222+'12-3'!F222+'13-3'!F222+'14-3'!F222+'15-3'!F222+'16-3'!F222+'17-3'!F222+'18-3'!F222+'19-3'!F222+'21-3'!F222+'22-3'!F222+'24-3'!F222+'25-3'!F222+'28-3'!F222+'29-3'!F222+'30-3'!F222+'32-3'!F222+'35-3'!F222+'37-3'!F222+'47-3'!F222+'62-3'!F222+'64-3'!F222+'74-3'!F222</f>
        <v>0</v>
      </c>
      <c r="G476" s="106">
        <f>'01-3'!G222+'02-3'!G222+'03-3'!G222+'04-3'!G222+'05-3'!G222+'08-3'!G222+'09-3'!G222+'10-3'!G222+'11-3'!G222+'12-3'!G222+'13-3'!G222+'14-3'!G222+'15-3'!G222+'16-3'!G222+'17-3'!G222+'18-3'!G222+'19-3'!G222+'21-3'!G222+'22-3'!G222+'24-3'!G222+'25-3'!G222+'28-3'!G222+'29-3'!G222+'30-3'!G222+'32-3'!G222+'35-3'!G222+'37-3'!G222+'47-3'!G222+'62-3'!G222+'64-3'!G222+'74-3'!G222</f>
        <v>0</v>
      </c>
      <c r="H476" s="106">
        <f>'01-3'!H222+'02-3'!H222+'03-3'!H222+'04-3'!H222+'05-3'!H222+'08-3'!H222+'09-3'!H222+'10-3'!H222+'11-3'!H222+'12-3'!H222+'13-3'!H222+'14-3'!H222+'15-3'!H222+'16-3'!H222+'17-3'!H222+'18-3'!H222+'19-3'!H222+'21-3'!H222+'22-3'!H222+'24-3'!H222+'25-3'!H222+'28-3'!H222+'29-3'!H222+'30-3'!H222+'32-3'!H222+'35-3'!H222+'37-3'!H222+'47-3'!H222+'62-3'!H222+'64-3'!H222+'74-3'!H222</f>
        <v>0</v>
      </c>
      <c r="I476" s="106">
        <f>'01-3'!I222+'02-3'!I222+'03-3'!I222+'04-3'!I222+'05-3'!I222+'08-3'!I222+'09-3'!I222+'10-3'!I222+'11-3'!I222+'12-3'!I222+'13-3'!I222+'14-3'!I222+'15-3'!I222+'16-3'!I222+'17-3'!I222+'18-3'!I222+'19-3'!I222+'21-3'!I222+'22-3'!I222+'24-3'!I222+'25-3'!I222+'28-3'!I222+'29-3'!I222+'30-3'!I222+'32-3'!I222+'35-3'!I222+'37-3'!I222+'47-3'!I222+'62-3'!I222+'64-3'!I222+'74-3'!I222</f>
        <v>0</v>
      </c>
      <c r="J476" s="106">
        <f>'01-3'!J222+'02-3'!J222+'03-3'!J222+'04-3'!J222+'05-3'!J222+'08-3'!J222+'09-3'!J222+'10-3'!J222+'11-3'!J222+'12-3'!J222+'13-3'!J222+'14-3'!J222+'15-3'!J222+'16-3'!J222+'17-3'!J222+'18-3'!J222+'19-3'!J222+'21-3'!J222+'22-3'!J222+'24-3'!J222+'25-3'!J222+'28-3'!J222+'29-3'!J222+'30-3'!J222+'32-3'!J222+'35-3'!J222+'37-3'!J222+'47-3'!J222+'62-3'!J222+'64-3'!J222+'74-3'!J222</f>
        <v>0</v>
      </c>
      <c r="K476" s="106">
        <f>'01-3'!K222+'02-3'!K222+'03-3'!K222+'04-3'!K222+'05-3'!K222+'08-3'!K222+'09-3'!K222+'10-3'!K222+'11-3'!K222+'12-3'!K222+'13-3'!K222+'14-3'!K222+'15-3'!K222+'16-3'!K222+'17-3'!K222+'18-3'!K222+'19-3'!K222+'21-3'!K222+'22-3'!K222+'24-3'!K222+'25-3'!K222+'28-3'!K222+'29-3'!K222+'30-3'!K222+'32-3'!K222+'35-3'!K222+'37-3'!K222+'47-3'!K222+'62-3'!K222+'64-3'!K222+'74-3'!K222</f>
        <v>0</v>
      </c>
      <c r="L476" s="106">
        <f>'01-3'!L222+'02-3'!L222+'03-3'!L222+'04-3'!L222+'05-3'!L222+'08-3'!L222+'09-3'!L222+'10-3'!L222+'11-3'!L222+'12-3'!L222+'13-3'!L222+'14-3'!L222+'15-3'!L222+'16-3'!L222+'17-3'!L222+'18-3'!L222+'19-3'!L222+'21-3'!L222+'22-3'!L222+'24-3'!L222+'25-3'!L222+'28-3'!L222+'29-3'!L222+'30-3'!L222+'32-3'!L222+'35-3'!L222+'37-3'!L222+'47-3'!L222+'62-3'!L222+'64-3'!L222+'74-3'!L222</f>
        <v>0</v>
      </c>
      <c r="M476" s="106">
        <f>'01-3'!M222+'02-3'!M222+'03-3'!M222+'04-3'!M222+'05-3'!M222+'08-3'!M222+'09-3'!M222+'10-3'!M222+'11-3'!M222+'12-3'!M222+'13-3'!M222+'14-3'!M222+'15-3'!M222+'16-3'!M222+'17-3'!M222+'18-3'!M222+'19-3'!M222+'21-3'!M222+'22-3'!M222+'24-3'!M222+'25-3'!M222+'28-3'!M222+'29-3'!M222+'30-3'!M222+'32-3'!M222+'35-3'!M222+'37-3'!M222+'47-3'!M222+'62-3'!M222+'64-3'!M222+'74-3'!M222</f>
        <v>0</v>
      </c>
      <c r="N476" s="106">
        <f>'01-3'!N222+'02-3'!N222+'03-3'!N222+'04-3'!N222+'05-3'!N222+'08-3'!N222+'09-3'!N222+'10-3'!N222+'11-3'!N222+'12-3'!N222+'13-3'!N222+'14-3'!N222+'15-3'!N222+'16-3'!N222+'17-3'!N222+'18-3'!N222+'19-3'!N222+'21-3'!N222+'22-3'!N222+'24-3'!N222+'25-3'!N222+'28-3'!N222+'29-3'!N222+'30-3'!N222+'32-3'!N222+'35-3'!N222+'37-3'!N222+'47-3'!N222+'62-3'!N222+'64-3'!N222+'74-3'!N222</f>
        <v>0</v>
      </c>
      <c r="O476" s="106">
        <f>'01-3'!O222+'02-3'!O222+'03-3'!O222+'04-3'!O222+'05-3'!O222+'08-3'!O222+'09-3'!O222+'10-3'!O222+'11-3'!O222+'12-3'!O222+'13-3'!O222+'14-3'!O222+'15-3'!O222+'16-3'!O222+'17-3'!O222+'18-3'!O222+'19-3'!O222+'21-3'!O222+'22-3'!O222+'24-3'!O222+'25-3'!O222+'28-3'!O222+'29-3'!O222+'30-3'!O222+'32-3'!O222+'35-3'!O222+'37-3'!O222+'47-3'!O222+'62-3'!O222+'64-3'!O222+'74-3'!O222</f>
        <v>0</v>
      </c>
      <c r="P476" s="106">
        <f>'01-3'!P222+'02-3'!P222+'03-3'!P222+'04-3'!P222+'05-3'!P222+'08-3'!P222+'09-3'!P222+'10-3'!P222+'11-3'!P222+'12-3'!P222+'13-3'!P222+'14-3'!P222+'15-3'!P222+'16-3'!P222+'17-3'!P222+'18-3'!P222+'19-3'!P222+'21-3'!P222+'22-3'!P222+'24-3'!P222+'25-3'!P222+'28-3'!P222+'29-3'!P222+'30-3'!P222+'32-3'!P222+'35-3'!P222+'37-3'!P222+'47-3'!P222+'62-3'!P222+'64-3'!P222+'74-3'!P222</f>
        <v>0</v>
      </c>
      <c r="Q476" s="106">
        <f>'01-3'!Q222+'02-3'!Q222+'03-3'!Q222+'04-3'!Q222+'05-3'!Q222+'08-3'!Q222+'09-3'!Q222+'10-3'!Q222+'11-3'!Q222+'12-3'!Q222+'13-3'!Q222+'14-3'!Q222+'15-3'!Q222+'16-3'!Q222+'17-3'!Q222+'18-3'!Q222+'19-3'!Q222+'21-3'!Q222+'22-3'!Q222+'24-3'!Q222+'25-3'!Q222+'28-3'!Q222+'29-3'!Q222+'30-3'!Q222+'32-3'!Q222+'35-3'!Q222+'37-3'!Q222+'47-3'!Q222+'62-3'!Q222+'64-3'!Q222+'74-3'!Q222</f>
        <v>0</v>
      </c>
      <c r="R476" s="106">
        <f>'01-3'!R222+'02-3'!R222+'03-3'!R222+'04-3'!R222+'05-3'!R222+'08-3'!R222+'09-3'!R222+'10-3'!R222+'11-3'!R222+'12-3'!R222+'13-3'!R222+'14-3'!R222+'15-3'!R222+'16-3'!R222+'17-3'!R222+'18-3'!R222+'19-3'!R222+'21-3'!R222+'22-3'!R222+'24-3'!R222+'25-3'!R222+'28-3'!R222+'29-3'!R222+'30-3'!R222+'32-3'!R222+'35-3'!R222+'37-3'!R222+'47-3'!R222+'62-3'!R222+'64-3'!R222+'74-3'!R222</f>
        <v>0</v>
      </c>
      <c r="S476" s="1324"/>
      <c r="T476" s="1324"/>
      <c r="U476" s="1324"/>
      <c r="V476" s="1324"/>
      <c r="W476" s="1324"/>
    </row>
    <row r="477" spans="1:23" s="29" customFormat="1" ht="24">
      <c r="A477" s="132">
        <v>7300</v>
      </c>
      <c r="B477" s="108" t="s">
        <v>155</v>
      </c>
      <c r="C477" s="106">
        <f>'01-3'!C223+'02-3'!C223+'03-3'!C223+'04-3'!C223+'05-3'!C223+'08-3'!C223+'09-3'!C223+'10-3'!C223+'11-3'!C223+'12-3'!C223+'13-3'!C223+'14-3'!C223+'15-3'!C223+'16-3'!C223+'17-3'!C223+'18-3'!C223+'19-3'!C223+'21-3'!C223+'22-3'!C223+'24-3'!C223+'25-3'!C223+'28-3'!C223+'29-3'!C223+'30-3'!C223+'32-3'!C223+'35-3'!C223+'37-3'!C223+'47-3'!C223+'62-3'!C223+'64-3'!C223+'74-3'!C223</f>
        <v>64386375</v>
      </c>
      <c r="D477" s="106">
        <f>'01-3'!D223+'02-3'!D223+'03-3'!D223+'04-3'!D223+'05-3'!D223+'08-3'!D223+'09-3'!D223+'10-3'!D223+'11-3'!D223+'12-3'!D223+'13-3'!D223+'14-3'!D223+'15-3'!D223+'16-3'!D223+'17-3'!D223+'18-3'!D223+'19-3'!D223+'21-3'!D223+'22-3'!D223+'24-3'!D223+'25-3'!D223+'28-3'!D223+'29-3'!D223+'30-3'!D223+'32-3'!D223+'35-3'!D223+'37-3'!D223+'47-3'!D223+'62-3'!D223+'64-3'!D223+'74-3'!D223</f>
        <v>49600482</v>
      </c>
      <c r="E477" s="106">
        <f>'01-3'!E223+'02-3'!E223+'03-3'!E223+'04-3'!E223+'05-3'!E223+'08-3'!E223+'09-3'!E223+'10-3'!E223+'11-3'!E223+'12-3'!E223+'13-3'!E223+'14-3'!E223+'15-3'!E223+'16-3'!E223+'17-3'!E223+'18-3'!E223+'19-3'!E223+'21-3'!E223+'22-3'!E223+'24-3'!E223+'25-3'!E223+'28-3'!E223+'29-3'!E223+'30-3'!E223+'32-3'!E223+'35-3'!E223+'37-3'!E223+'47-3'!E223+'62-3'!E223+'64-3'!E223+'74-3'!E223</f>
        <v>4593008</v>
      </c>
      <c r="F477" s="106">
        <f>'01-3'!F223+'02-3'!F223+'03-3'!F223+'04-3'!F223+'05-3'!F223+'08-3'!F223+'09-3'!F223+'10-3'!F223+'11-3'!F223+'12-3'!F223+'13-3'!F223+'14-3'!F223+'15-3'!F223+'16-3'!F223+'17-3'!F223+'18-3'!F223+'19-3'!F223+'21-3'!F223+'22-3'!F223+'24-3'!F223+'25-3'!F223+'28-3'!F223+'29-3'!F223+'30-3'!F223+'32-3'!F223+'35-3'!F223+'37-3'!F223+'47-3'!F223+'62-3'!F223+'64-3'!F223+'74-3'!F223</f>
        <v>0</v>
      </c>
      <c r="G477" s="106">
        <f>'01-3'!G223+'02-3'!G223+'03-3'!G223+'04-3'!G223+'05-3'!G223+'08-3'!G223+'09-3'!G223+'10-3'!G223+'11-3'!G223+'12-3'!G223+'13-3'!G223+'14-3'!G223+'15-3'!G223+'16-3'!G223+'17-3'!G223+'18-3'!G223+'19-3'!G223+'21-3'!G223+'22-3'!G223+'24-3'!G223+'25-3'!G223+'28-3'!G223+'29-3'!G223+'30-3'!G223+'32-3'!G223+'35-3'!G223+'37-3'!G223+'47-3'!G223+'62-3'!G223+'64-3'!G223+'74-3'!G223</f>
        <v>0</v>
      </c>
      <c r="H477" s="106">
        <f>'01-3'!H223+'02-3'!H223+'03-3'!H223+'04-3'!H223+'05-3'!H223+'08-3'!H223+'09-3'!H223+'10-3'!H223+'11-3'!H223+'12-3'!H223+'13-3'!H223+'14-3'!H223+'15-3'!H223+'16-3'!H223+'17-3'!H223+'18-3'!H223+'19-3'!H223+'21-3'!H223+'22-3'!H223+'24-3'!H223+'25-3'!H223+'28-3'!H223+'29-3'!H223+'30-3'!H223+'32-3'!H223+'35-3'!H223+'37-3'!H223+'47-3'!H223+'62-3'!H223+'64-3'!H223+'74-3'!H223</f>
        <v>54193490</v>
      </c>
      <c r="I477" s="106">
        <f>'01-3'!I223+'02-3'!I223+'03-3'!I223+'04-3'!I223+'05-3'!I223+'08-3'!I223+'09-3'!I223+'10-3'!I223+'11-3'!I223+'12-3'!I223+'13-3'!I223+'14-3'!I223+'15-3'!I223+'16-3'!I223+'17-3'!I223+'18-3'!I223+'19-3'!I223+'21-3'!I223+'22-3'!I223+'24-3'!I223+'25-3'!I223+'28-3'!I223+'29-3'!I223+'30-3'!I223+'32-3'!I223+'35-3'!I223+'37-3'!I223+'47-3'!I223+'62-3'!I223+'64-3'!I223+'74-3'!I223</f>
        <v>15583182</v>
      </c>
      <c r="J477" s="106">
        <f>'01-3'!J223+'02-3'!J223+'03-3'!J223+'04-3'!J223+'05-3'!J223+'08-3'!J223+'09-3'!J223+'10-3'!J223+'11-3'!J223+'12-3'!J223+'13-3'!J223+'14-3'!J223+'15-3'!J223+'16-3'!J223+'17-3'!J223+'18-3'!J223+'19-3'!J223+'21-3'!J223+'22-3'!J223+'24-3'!J223+'25-3'!J223+'28-3'!J223+'29-3'!J223+'30-3'!J223+'32-3'!J223+'35-3'!J223+'37-3'!J223+'47-3'!J223+'62-3'!J223+'64-3'!J223+'74-3'!J223</f>
        <v>1210406</v>
      </c>
      <c r="K477" s="106">
        <f>'01-3'!K223+'02-3'!K223+'03-3'!K223+'04-3'!K223+'05-3'!K223+'08-3'!K223+'09-3'!K223+'10-3'!K223+'11-3'!K223+'12-3'!K223+'13-3'!K223+'14-3'!K223+'15-3'!K223+'16-3'!K223+'17-3'!K223+'18-3'!K223+'19-3'!K223+'21-3'!K223+'22-3'!K223+'24-3'!K223+'25-3'!K223+'28-3'!K223+'29-3'!K223+'30-3'!K223+'32-3'!K223+'35-3'!K223+'37-3'!K223+'47-3'!K223+'62-3'!K223+'64-3'!K223+'74-3'!K223</f>
        <v>0</v>
      </c>
      <c r="L477" s="106">
        <f>'01-3'!L223+'02-3'!L223+'03-3'!L223+'04-3'!L223+'05-3'!L223+'08-3'!L223+'09-3'!L223+'10-3'!L223+'11-3'!L223+'12-3'!L223+'13-3'!L223+'14-3'!L223+'15-3'!L223+'16-3'!L223+'17-3'!L223+'18-3'!L223+'19-3'!L223+'21-3'!L223+'22-3'!L223+'24-3'!L223+'25-3'!L223+'28-3'!L223+'29-3'!L223+'30-3'!L223+'32-3'!L223+'35-3'!L223+'37-3'!L223+'47-3'!L223+'62-3'!L223+'64-3'!L223+'74-3'!L223</f>
        <v>0</v>
      </c>
      <c r="M477" s="106">
        <f>'01-3'!M223+'02-3'!M223+'03-3'!M223+'04-3'!M223+'05-3'!M223+'08-3'!M223+'09-3'!M223+'10-3'!M223+'11-3'!M223+'12-3'!M223+'13-3'!M223+'14-3'!M223+'15-3'!M223+'16-3'!M223+'17-3'!M223+'18-3'!M223+'19-3'!M223+'21-3'!M223+'22-3'!M223+'24-3'!M223+'25-3'!M223+'28-3'!M223+'29-3'!M223+'30-3'!M223+'32-3'!M223+'35-3'!M223+'37-3'!M223+'47-3'!M223+'62-3'!M223+'64-3'!M223+'74-3'!M223</f>
        <v>16793588</v>
      </c>
      <c r="N477" s="106">
        <f>'01-3'!N223+'02-3'!N223+'03-3'!N223+'04-3'!N223+'05-3'!N223+'08-3'!N223+'09-3'!N223+'10-3'!N223+'11-3'!N223+'12-3'!N223+'13-3'!N223+'14-3'!N223+'15-3'!N223+'16-3'!N223+'17-3'!N223+'18-3'!N223+'19-3'!N223+'21-3'!N223+'22-3'!N223+'24-3'!N223+'25-3'!N223+'28-3'!N223+'29-3'!N223+'30-3'!N223+'32-3'!N223+'35-3'!N223+'37-3'!N223+'47-3'!N223+'62-3'!N223+'64-3'!N223+'74-3'!N223</f>
        <v>4889309</v>
      </c>
      <c r="O477" s="106">
        <f>'01-3'!O223+'02-3'!O223+'03-3'!O223+'04-3'!O223+'05-3'!O223+'08-3'!O223+'09-3'!O223+'10-3'!O223+'11-3'!O223+'12-3'!O223+'13-3'!O223+'14-3'!O223+'15-3'!O223+'16-3'!O223+'17-3'!O223+'18-3'!O223+'19-3'!O223+'21-3'!O223+'22-3'!O223+'24-3'!O223+'25-3'!O223+'28-3'!O223+'29-3'!O223+'30-3'!O223+'32-3'!O223+'35-3'!O223+'37-3'!O223+'47-3'!O223+'62-3'!O223+'64-3'!O223+'74-3'!O223</f>
        <v>86846</v>
      </c>
      <c r="P477" s="106">
        <f>'01-3'!P223+'02-3'!P223+'03-3'!P223+'04-3'!P223+'05-3'!P223+'08-3'!P223+'09-3'!P223+'10-3'!P223+'11-3'!P223+'12-3'!P223+'13-3'!P223+'14-3'!P223+'15-3'!P223+'16-3'!P223+'17-3'!P223+'18-3'!P223+'19-3'!P223+'21-3'!P223+'22-3'!P223+'24-3'!P223+'25-3'!P223+'28-3'!P223+'29-3'!P223+'30-3'!P223+'32-3'!P223+'35-3'!P223+'37-3'!P223+'47-3'!P223+'62-3'!P223+'64-3'!P223+'74-3'!P223</f>
        <v>0</v>
      </c>
      <c r="Q477" s="106">
        <f>'01-3'!Q223+'02-3'!Q223+'03-3'!Q223+'04-3'!Q223+'05-3'!Q223+'08-3'!Q223+'09-3'!Q223+'10-3'!Q223+'11-3'!Q223+'12-3'!Q223+'13-3'!Q223+'14-3'!Q223+'15-3'!Q223+'16-3'!Q223+'17-3'!Q223+'18-3'!Q223+'19-3'!Q223+'21-3'!Q223+'22-3'!Q223+'24-3'!Q223+'25-3'!Q223+'28-3'!Q223+'29-3'!Q223+'30-3'!Q223+'32-3'!Q223+'35-3'!Q223+'37-3'!Q223+'47-3'!Q223+'62-3'!Q223+'64-3'!Q223+'74-3'!Q223</f>
        <v>0</v>
      </c>
      <c r="R477" s="106">
        <f>'01-3'!R223+'02-3'!R223+'03-3'!R223+'04-3'!R223+'05-3'!R223+'08-3'!R223+'09-3'!R223+'10-3'!R223+'11-3'!R223+'12-3'!R223+'13-3'!R223+'14-3'!R223+'15-3'!R223+'16-3'!R223+'17-3'!R223+'18-3'!R223+'19-3'!R223+'21-3'!R223+'22-3'!R223+'24-3'!R223+'25-3'!R223+'28-3'!R223+'29-3'!R223+'30-3'!R223+'32-3'!R223+'35-3'!R223+'37-3'!R223+'47-3'!R223+'62-3'!R223+'64-3'!R223+'74-3'!R223</f>
        <v>4976155</v>
      </c>
      <c r="S477" s="1324"/>
      <c r="T477" s="1324"/>
      <c r="U477" s="1324"/>
      <c r="V477" s="1324"/>
      <c r="W477" s="1324"/>
    </row>
    <row r="478" spans="1:23" s="29" customFormat="1" ht="24" hidden="1">
      <c r="A478" s="133" t="s">
        <v>188</v>
      </c>
      <c r="B478" s="112" t="s">
        <v>170</v>
      </c>
      <c r="C478" s="106">
        <f>'01-3'!C224+'02-3'!C224+'03-3'!C224+'04-3'!C224+'05-3'!C224+'08-3'!C224+'09-3'!C224+'10-3'!C224+'11-3'!C224+'12-3'!C224+'13-3'!C224+'14-3'!C224+'15-3'!C224+'16-3'!C224+'17-3'!C224+'18-3'!C224+'19-3'!C224+'21-3'!C224+'22-3'!C224+'24-3'!C224+'25-3'!C224+'28-3'!C224+'29-3'!C224+'30-3'!C224+'32-3'!C224+'35-3'!C224+'37-3'!C224+'47-3'!C224+'62-3'!C224+'64-3'!C224+'74-3'!C224</f>
        <v>0</v>
      </c>
      <c r="D478" s="106">
        <f>'01-3'!D224+'02-3'!D224+'03-3'!D224+'04-3'!D224+'05-3'!D224+'08-3'!D224+'09-3'!D224+'10-3'!D224+'11-3'!D224+'12-3'!D224+'13-3'!D224+'14-3'!D224+'15-3'!D224+'16-3'!D224+'17-3'!D224+'18-3'!D224+'19-3'!D224+'21-3'!D224+'22-3'!D224+'24-3'!D224+'25-3'!D224+'28-3'!D224+'29-3'!D224+'30-3'!D224+'32-3'!D224+'35-3'!D224+'37-3'!D224+'47-3'!D224+'62-3'!D224+'64-3'!D224+'74-3'!D224</f>
        <v>0</v>
      </c>
      <c r="E478" s="106">
        <f>'01-3'!E224+'02-3'!E224+'03-3'!E224+'04-3'!E224+'05-3'!E224+'08-3'!E224+'09-3'!E224+'10-3'!E224+'11-3'!E224+'12-3'!E224+'13-3'!E224+'14-3'!E224+'15-3'!E224+'16-3'!E224+'17-3'!E224+'18-3'!E224+'19-3'!E224+'21-3'!E224+'22-3'!E224+'24-3'!E224+'25-3'!E224+'28-3'!E224+'29-3'!E224+'30-3'!E224+'32-3'!E224+'35-3'!E224+'37-3'!E224+'47-3'!E224+'62-3'!E224+'64-3'!E224+'74-3'!E224</f>
        <v>0</v>
      </c>
      <c r="F478" s="106">
        <f>'01-3'!F224+'02-3'!F224+'03-3'!F224+'04-3'!F224+'05-3'!F224+'08-3'!F224+'09-3'!F224+'10-3'!F224+'11-3'!F224+'12-3'!F224+'13-3'!F224+'14-3'!F224+'15-3'!F224+'16-3'!F224+'17-3'!F224+'18-3'!F224+'19-3'!F224+'21-3'!F224+'22-3'!F224+'24-3'!F224+'25-3'!F224+'28-3'!F224+'29-3'!F224+'30-3'!F224+'32-3'!F224+'35-3'!F224+'37-3'!F224+'47-3'!F224+'62-3'!F224+'64-3'!F224+'74-3'!F224</f>
        <v>0</v>
      </c>
      <c r="G478" s="106">
        <f>'01-3'!G224+'02-3'!G224+'03-3'!G224+'04-3'!G224+'05-3'!G224+'08-3'!G224+'09-3'!G224+'10-3'!G224+'11-3'!G224+'12-3'!G224+'13-3'!G224+'14-3'!G224+'15-3'!G224+'16-3'!G224+'17-3'!G224+'18-3'!G224+'19-3'!G224+'21-3'!G224+'22-3'!G224+'24-3'!G224+'25-3'!G224+'28-3'!G224+'29-3'!G224+'30-3'!G224+'32-3'!G224+'35-3'!G224+'37-3'!G224+'47-3'!G224+'62-3'!G224+'64-3'!G224+'74-3'!G224</f>
        <v>0</v>
      </c>
      <c r="H478" s="106">
        <f>'01-3'!H224+'02-3'!H224+'03-3'!H224+'04-3'!H224+'05-3'!H224+'08-3'!H224+'09-3'!H224+'10-3'!H224+'11-3'!H224+'12-3'!H224+'13-3'!H224+'14-3'!H224+'15-3'!H224+'16-3'!H224+'17-3'!H224+'18-3'!H224+'19-3'!H224+'21-3'!H224+'22-3'!H224+'24-3'!H224+'25-3'!H224+'28-3'!H224+'29-3'!H224+'30-3'!H224+'32-3'!H224+'35-3'!H224+'37-3'!H224+'47-3'!H224+'62-3'!H224+'64-3'!H224+'74-3'!H224</f>
        <v>0</v>
      </c>
      <c r="I478" s="106">
        <f>'01-3'!I224+'02-3'!I224+'03-3'!I224+'04-3'!I224+'05-3'!I224+'08-3'!I224+'09-3'!I224+'10-3'!I224+'11-3'!I224+'12-3'!I224+'13-3'!I224+'14-3'!I224+'15-3'!I224+'16-3'!I224+'17-3'!I224+'18-3'!I224+'19-3'!I224+'21-3'!I224+'22-3'!I224+'24-3'!I224+'25-3'!I224+'28-3'!I224+'29-3'!I224+'30-3'!I224+'32-3'!I224+'35-3'!I224+'37-3'!I224+'47-3'!I224+'62-3'!I224+'64-3'!I224+'74-3'!I224</f>
        <v>0</v>
      </c>
      <c r="J478" s="106">
        <f>'01-3'!J224+'02-3'!J224+'03-3'!J224+'04-3'!J224+'05-3'!J224+'08-3'!J224+'09-3'!J224+'10-3'!J224+'11-3'!J224+'12-3'!J224+'13-3'!J224+'14-3'!J224+'15-3'!J224+'16-3'!J224+'17-3'!J224+'18-3'!J224+'19-3'!J224+'21-3'!J224+'22-3'!J224+'24-3'!J224+'25-3'!J224+'28-3'!J224+'29-3'!J224+'30-3'!J224+'32-3'!J224+'35-3'!J224+'37-3'!J224+'47-3'!J224+'62-3'!J224+'64-3'!J224+'74-3'!J224</f>
        <v>0</v>
      </c>
      <c r="K478" s="106">
        <f>'01-3'!K224+'02-3'!K224+'03-3'!K224+'04-3'!K224+'05-3'!K224+'08-3'!K224+'09-3'!K224+'10-3'!K224+'11-3'!K224+'12-3'!K224+'13-3'!K224+'14-3'!K224+'15-3'!K224+'16-3'!K224+'17-3'!K224+'18-3'!K224+'19-3'!K224+'21-3'!K224+'22-3'!K224+'24-3'!K224+'25-3'!K224+'28-3'!K224+'29-3'!K224+'30-3'!K224+'32-3'!K224+'35-3'!K224+'37-3'!K224+'47-3'!K224+'62-3'!K224+'64-3'!K224+'74-3'!K224</f>
        <v>0</v>
      </c>
      <c r="L478" s="106">
        <f>'01-3'!L224+'02-3'!L224+'03-3'!L224+'04-3'!L224+'05-3'!L224+'08-3'!L224+'09-3'!L224+'10-3'!L224+'11-3'!L224+'12-3'!L224+'13-3'!L224+'14-3'!L224+'15-3'!L224+'16-3'!L224+'17-3'!L224+'18-3'!L224+'19-3'!L224+'21-3'!L224+'22-3'!L224+'24-3'!L224+'25-3'!L224+'28-3'!L224+'29-3'!L224+'30-3'!L224+'32-3'!L224+'35-3'!L224+'37-3'!L224+'47-3'!L224+'62-3'!L224+'64-3'!L224+'74-3'!L224</f>
        <v>0</v>
      </c>
      <c r="M478" s="106">
        <f>'01-3'!M224+'02-3'!M224+'03-3'!M224+'04-3'!M224+'05-3'!M224+'08-3'!M224+'09-3'!M224+'10-3'!M224+'11-3'!M224+'12-3'!M224+'13-3'!M224+'14-3'!M224+'15-3'!M224+'16-3'!M224+'17-3'!M224+'18-3'!M224+'19-3'!M224+'21-3'!M224+'22-3'!M224+'24-3'!M224+'25-3'!M224+'28-3'!M224+'29-3'!M224+'30-3'!M224+'32-3'!M224+'35-3'!M224+'37-3'!M224+'47-3'!M224+'62-3'!M224+'64-3'!M224+'74-3'!M224</f>
        <v>0</v>
      </c>
      <c r="N478" s="106">
        <f>'01-3'!N224+'02-3'!N224+'03-3'!N224+'04-3'!N224+'05-3'!N224+'08-3'!N224+'09-3'!N224+'10-3'!N224+'11-3'!N224+'12-3'!N224+'13-3'!N224+'14-3'!N224+'15-3'!N224+'16-3'!N224+'17-3'!N224+'18-3'!N224+'19-3'!N224+'21-3'!N224+'22-3'!N224+'24-3'!N224+'25-3'!N224+'28-3'!N224+'29-3'!N224+'30-3'!N224+'32-3'!N224+'35-3'!N224+'37-3'!N224+'47-3'!N224+'62-3'!N224+'64-3'!N224+'74-3'!N224</f>
        <v>0</v>
      </c>
      <c r="O478" s="106">
        <f>'01-3'!O224+'02-3'!O224+'03-3'!O224+'04-3'!O224+'05-3'!O224+'08-3'!O224+'09-3'!O224+'10-3'!O224+'11-3'!O224+'12-3'!O224+'13-3'!O224+'14-3'!O224+'15-3'!O224+'16-3'!O224+'17-3'!O224+'18-3'!O224+'19-3'!O224+'21-3'!O224+'22-3'!O224+'24-3'!O224+'25-3'!O224+'28-3'!O224+'29-3'!O224+'30-3'!O224+'32-3'!O224+'35-3'!O224+'37-3'!O224+'47-3'!O224+'62-3'!O224+'64-3'!O224+'74-3'!O224</f>
        <v>0</v>
      </c>
      <c r="P478" s="106">
        <f>'01-3'!P224+'02-3'!P224+'03-3'!P224+'04-3'!P224+'05-3'!P224+'08-3'!P224+'09-3'!P224+'10-3'!P224+'11-3'!P224+'12-3'!P224+'13-3'!P224+'14-3'!P224+'15-3'!P224+'16-3'!P224+'17-3'!P224+'18-3'!P224+'19-3'!P224+'21-3'!P224+'22-3'!P224+'24-3'!P224+'25-3'!P224+'28-3'!P224+'29-3'!P224+'30-3'!P224+'32-3'!P224+'35-3'!P224+'37-3'!P224+'47-3'!P224+'62-3'!P224+'64-3'!P224+'74-3'!P224</f>
        <v>0</v>
      </c>
      <c r="Q478" s="106">
        <f>'01-3'!Q224+'02-3'!Q224+'03-3'!Q224+'04-3'!Q224+'05-3'!Q224+'08-3'!Q224+'09-3'!Q224+'10-3'!Q224+'11-3'!Q224+'12-3'!Q224+'13-3'!Q224+'14-3'!Q224+'15-3'!Q224+'16-3'!Q224+'17-3'!Q224+'18-3'!Q224+'19-3'!Q224+'21-3'!Q224+'22-3'!Q224+'24-3'!Q224+'25-3'!Q224+'28-3'!Q224+'29-3'!Q224+'30-3'!Q224+'32-3'!Q224+'35-3'!Q224+'37-3'!Q224+'47-3'!Q224+'62-3'!Q224+'64-3'!Q224+'74-3'!Q224</f>
        <v>0</v>
      </c>
      <c r="R478" s="106">
        <f>'01-3'!R224+'02-3'!R224+'03-3'!R224+'04-3'!R224+'05-3'!R224+'08-3'!R224+'09-3'!R224+'10-3'!R224+'11-3'!R224+'12-3'!R224+'13-3'!R224+'14-3'!R224+'15-3'!R224+'16-3'!R224+'17-3'!R224+'18-3'!R224+'19-3'!R224+'21-3'!R224+'22-3'!R224+'24-3'!R224+'25-3'!R224+'28-3'!R224+'29-3'!R224+'30-3'!R224+'32-3'!R224+'35-3'!R224+'37-3'!R224+'47-3'!R224+'62-3'!R224+'64-3'!R224+'74-3'!R224</f>
        <v>0</v>
      </c>
      <c r="S478" s="1324"/>
      <c r="T478" s="1324"/>
      <c r="U478" s="1324"/>
      <c r="V478" s="1324"/>
      <c r="W478" s="1324"/>
    </row>
    <row r="479" spans="1:23" s="29" customFormat="1" ht="48">
      <c r="A479" s="133" t="s">
        <v>189</v>
      </c>
      <c r="B479" s="112" t="s">
        <v>156</v>
      </c>
      <c r="C479" s="106">
        <f>'01-3'!C225+'02-3'!C225+'03-3'!C225+'04-3'!C225+'05-3'!C225+'08-3'!C225+'09-3'!C225+'10-3'!C225+'11-3'!C225+'12-3'!C225+'13-3'!C225+'14-3'!C225+'15-3'!C225+'16-3'!C225+'17-3'!C225+'18-3'!C225+'19-3'!C225+'21-3'!C225+'22-3'!C225+'24-3'!C225+'25-3'!C225+'28-3'!C225+'29-3'!C225+'30-3'!C225+'32-3'!C225+'35-3'!C225+'37-3'!C225+'47-3'!C225+'62-3'!C225+'64-3'!C225+'74-3'!C225</f>
        <v>20092545</v>
      </c>
      <c r="D479" s="106">
        <f>'01-3'!D225+'02-3'!D225+'03-3'!D225+'04-3'!D225+'05-3'!D225+'08-3'!D225+'09-3'!D225+'10-3'!D225+'11-3'!D225+'12-3'!D225+'13-3'!D225+'14-3'!D225+'15-3'!D225+'16-3'!D225+'17-3'!D225+'18-3'!D225+'19-3'!D225+'21-3'!D225+'22-3'!D225+'24-3'!D225+'25-3'!D225+'28-3'!D225+'29-3'!D225+'30-3'!D225+'32-3'!D225+'35-3'!D225+'37-3'!D225+'47-3'!D225+'62-3'!D225+'64-3'!D225+'74-3'!D225</f>
        <v>16199021</v>
      </c>
      <c r="E479" s="106">
        <f>'01-3'!E225+'02-3'!E225+'03-3'!E225+'04-3'!E225+'05-3'!E225+'08-3'!E225+'09-3'!E225+'10-3'!E225+'11-3'!E225+'12-3'!E225+'13-3'!E225+'14-3'!E225+'15-3'!E225+'16-3'!E225+'17-3'!E225+'18-3'!E225+'19-3'!E225+'21-3'!E225+'22-3'!E225+'24-3'!E225+'25-3'!E225+'28-3'!E225+'29-3'!E225+'30-3'!E225+'32-3'!E225+'35-3'!E225+'37-3'!E225+'47-3'!E225+'62-3'!E225+'64-3'!E225+'74-3'!E225</f>
        <v>6304778</v>
      </c>
      <c r="F479" s="106">
        <f>'01-3'!F225+'02-3'!F225+'03-3'!F225+'04-3'!F225+'05-3'!F225+'08-3'!F225+'09-3'!F225+'10-3'!F225+'11-3'!F225+'12-3'!F225+'13-3'!F225+'14-3'!F225+'15-3'!F225+'16-3'!F225+'17-3'!F225+'18-3'!F225+'19-3'!F225+'21-3'!F225+'22-3'!F225+'24-3'!F225+'25-3'!F225+'28-3'!F225+'29-3'!F225+'30-3'!F225+'32-3'!F225+'35-3'!F225+'37-3'!F225+'47-3'!F225+'62-3'!F225+'64-3'!F225+'74-3'!F225</f>
        <v>0</v>
      </c>
      <c r="G479" s="106">
        <f>'01-3'!G225+'02-3'!G225+'03-3'!G225+'04-3'!G225+'05-3'!G225+'08-3'!G225+'09-3'!G225+'10-3'!G225+'11-3'!G225+'12-3'!G225+'13-3'!G225+'14-3'!G225+'15-3'!G225+'16-3'!G225+'17-3'!G225+'18-3'!G225+'19-3'!G225+'21-3'!G225+'22-3'!G225+'24-3'!G225+'25-3'!G225+'28-3'!G225+'29-3'!G225+'30-3'!G225+'32-3'!G225+'35-3'!G225+'37-3'!G225+'47-3'!G225+'62-3'!G225+'64-3'!G225+'74-3'!G225</f>
        <v>0</v>
      </c>
      <c r="H479" s="106">
        <f>'01-3'!H225+'02-3'!H225+'03-3'!H225+'04-3'!H225+'05-3'!H225+'08-3'!H225+'09-3'!H225+'10-3'!H225+'11-3'!H225+'12-3'!H225+'13-3'!H225+'14-3'!H225+'15-3'!H225+'16-3'!H225+'17-3'!H225+'18-3'!H225+'19-3'!H225+'21-3'!H225+'22-3'!H225+'24-3'!H225+'25-3'!H225+'28-3'!H225+'29-3'!H225+'30-3'!H225+'32-3'!H225+'35-3'!H225+'37-3'!H225+'47-3'!H225+'62-3'!H225+'64-3'!H225+'74-3'!H225</f>
        <v>22503799</v>
      </c>
      <c r="I479" s="106">
        <f>'01-3'!I225+'02-3'!I225+'03-3'!I225+'04-3'!I225+'05-3'!I225+'08-3'!I225+'09-3'!I225+'10-3'!I225+'11-3'!I225+'12-3'!I225+'13-3'!I225+'14-3'!I225+'15-3'!I225+'16-3'!I225+'17-3'!I225+'18-3'!I225+'19-3'!I225+'21-3'!I225+'22-3'!I225+'24-3'!I225+'25-3'!I225+'28-3'!I225+'29-3'!I225+'30-3'!I225+'32-3'!I225+'35-3'!I225+'37-3'!I225+'47-3'!I225+'62-3'!I225+'64-3'!I225+'74-3'!I225</f>
        <v>4499690</v>
      </c>
      <c r="J479" s="106">
        <f>'01-3'!J225+'02-3'!J225+'03-3'!J225+'04-3'!J225+'05-3'!J225+'08-3'!J225+'09-3'!J225+'10-3'!J225+'11-3'!J225+'12-3'!J225+'13-3'!J225+'14-3'!J225+'15-3'!J225+'16-3'!J225+'17-3'!J225+'18-3'!J225+'19-3'!J225+'21-3'!J225+'22-3'!J225+'24-3'!J225+'25-3'!J225+'28-3'!J225+'29-3'!J225+'30-3'!J225+'32-3'!J225+'35-3'!J225+'37-3'!J225+'47-3'!J225+'62-3'!J225+'64-3'!J225+'74-3'!J225</f>
        <v>1790439</v>
      </c>
      <c r="K479" s="106">
        <f>'01-3'!K225+'02-3'!K225+'03-3'!K225+'04-3'!K225+'05-3'!K225+'08-3'!K225+'09-3'!K225+'10-3'!K225+'11-3'!K225+'12-3'!K225+'13-3'!K225+'14-3'!K225+'15-3'!K225+'16-3'!K225+'17-3'!K225+'18-3'!K225+'19-3'!K225+'21-3'!K225+'22-3'!K225+'24-3'!K225+'25-3'!K225+'28-3'!K225+'29-3'!K225+'30-3'!K225+'32-3'!K225+'35-3'!K225+'37-3'!K225+'47-3'!K225+'62-3'!K225+'64-3'!K225+'74-3'!K225</f>
        <v>0</v>
      </c>
      <c r="L479" s="106">
        <f>'01-3'!L225+'02-3'!L225+'03-3'!L225+'04-3'!L225+'05-3'!L225+'08-3'!L225+'09-3'!L225+'10-3'!L225+'11-3'!L225+'12-3'!L225+'13-3'!L225+'14-3'!L225+'15-3'!L225+'16-3'!L225+'17-3'!L225+'18-3'!L225+'19-3'!L225+'21-3'!L225+'22-3'!L225+'24-3'!L225+'25-3'!L225+'28-3'!L225+'29-3'!L225+'30-3'!L225+'32-3'!L225+'35-3'!L225+'37-3'!L225+'47-3'!L225+'62-3'!L225+'64-3'!L225+'74-3'!L225</f>
        <v>0</v>
      </c>
      <c r="M479" s="106">
        <f>'01-3'!M225+'02-3'!M225+'03-3'!M225+'04-3'!M225+'05-3'!M225+'08-3'!M225+'09-3'!M225+'10-3'!M225+'11-3'!M225+'12-3'!M225+'13-3'!M225+'14-3'!M225+'15-3'!M225+'16-3'!M225+'17-3'!M225+'18-3'!M225+'19-3'!M225+'21-3'!M225+'22-3'!M225+'24-3'!M225+'25-3'!M225+'28-3'!M225+'29-3'!M225+'30-3'!M225+'32-3'!M225+'35-3'!M225+'37-3'!M225+'47-3'!M225+'62-3'!M225+'64-3'!M225+'74-3'!M225</f>
        <v>6290129</v>
      </c>
      <c r="N479" s="106">
        <f>'01-3'!N225+'02-3'!N225+'03-3'!N225+'04-3'!N225+'05-3'!N225+'08-3'!N225+'09-3'!N225+'10-3'!N225+'11-3'!N225+'12-3'!N225+'13-3'!N225+'14-3'!N225+'15-3'!N225+'16-3'!N225+'17-3'!N225+'18-3'!N225+'19-3'!N225+'21-3'!N225+'22-3'!N225+'24-3'!N225+'25-3'!N225+'28-3'!N225+'29-3'!N225+'30-3'!N225+'32-3'!N225+'35-3'!N225+'37-3'!N225+'47-3'!N225+'62-3'!N225+'64-3'!N225+'74-3'!N225</f>
        <v>1719025</v>
      </c>
      <c r="O479" s="106">
        <f>'01-3'!O225+'02-3'!O225+'03-3'!O225+'04-3'!O225+'05-3'!O225+'08-3'!O225+'09-3'!O225+'10-3'!O225+'11-3'!O225+'12-3'!O225+'13-3'!O225+'14-3'!O225+'15-3'!O225+'16-3'!O225+'17-3'!O225+'18-3'!O225+'19-3'!O225+'21-3'!O225+'22-3'!O225+'24-3'!O225+'25-3'!O225+'28-3'!O225+'29-3'!O225+'30-3'!O225+'32-3'!O225+'35-3'!O225+'37-3'!O225+'47-3'!O225+'62-3'!O225+'64-3'!O225+'74-3'!O225</f>
        <v>300000</v>
      </c>
      <c r="P479" s="106">
        <f>'01-3'!P225+'02-3'!P225+'03-3'!P225+'04-3'!P225+'05-3'!P225+'08-3'!P225+'09-3'!P225+'10-3'!P225+'11-3'!P225+'12-3'!P225+'13-3'!P225+'14-3'!P225+'15-3'!P225+'16-3'!P225+'17-3'!P225+'18-3'!P225+'19-3'!P225+'21-3'!P225+'22-3'!P225+'24-3'!P225+'25-3'!P225+'28-3'!P225+'29-3'!P225+'30-3'!P225+'32-3'!P225+'35-3'!P225+'37-3'!P225+'47-3'!P225+'62-3'!P225+'64-3'!P225+'74-3'!P225</f>
        <v>0</v>
      </c>
      <c r="Q479" s="106">
        <f>'01-3'!Q225+'02-3'!Q225+'03-3'!Q225+'04-3'!Q225+'05-3'!Q225+'08-3'!Q225+'09-3'!Q225+'10-3'!Q225+'11-3'!Q225+'12-3'!Q225+'13-3'!Q225+'14-3'!Q225+'15-3'!Q225+'16-3'!Q225+'17-3'!Q225+'18-3'!Q225+'19-3'!Q225+'21-3'!Q225+'22-3'!Q225+'24-3'!Q225+'25-3'!Q225+'28-3'!Q225+'29-3'!Q225+'30-3'!Q225+'32-3'!Q225+'35-3'!Q225+'37-3'!Q225+'47-3'!Q225+'62-3'!Q225+'64-3'!Q225+'74-3'!Q225</f>
        <v>0</v>
      </c>
      <c r="R479" s="106">
        <f>'01-3'!R225+'02-3'!R225+'03-3'!R225+'04-3'!R225+'05-3'!R225+'08-3'!R225+'09-3'!R225+'10-3'!R225+'11-3'!R225+'12-3'!R225+'13-3'!R225+'14-3'!R225+'15-3'!R225+'16-3'!R225+'17-3'!R225+'18-3'!R225+'19-3'!R225+'21-3'!R225+'22-3'!R225+'24-3'!R225+'25-3'!R225+'28-3'!R225+'29-3'!R225+'30-3'!R225+'32-3'!R225+'35-3'!R225+'37-3'!R225+'47-3'!R225+'62-3'!R225+'64-3'!R225+'74-3'!R225</f>
        <v>2019025</v>
      </c>
      <c r="S479" s="1324"/>
      <c r="T479" s="1324"/>
      <c r="U479" s="1324"/>
      <c r="V479" s="1324"/>
      <c r="W479" s="1324"/>
    </row>
    <row r="480" spans="1:23" s="29" customFormat="1" ht="36">
      <c r="A480" s="133">
        <v>7350</v>
      </c>
      <c r="B480" s="112" t="s">
        <v>163</v>
      </c>
      <c r="C480" s="106">
        <f>'01-3'!C226+'02-3'!C226+'03-3'!C226+'04-3'!C226+'05-3'!C226+'08-3'!C226+'09-3'!C226+'10-3'!C226+'11-3'!C226+'12-3'!C226+'13-3'!C226+'14-3'!C226+'15-3'!C226+'16-3'!C226+'17-3'!C226+'18-3'!C226+'19-3'!C226+'21-3'!C226+'22-3'!C226+'24-3'!C226+'25-3'!C226+'28-3'!C226+'29-3'!C226+'30-3'!C226+'32-3'!C226+'35-3'!C226+'37-3'!C226+'47-3'!C226+'62-3'!C226+'64-3'!C226+'74-3'!C226</f>
        <v>44293830</v>
      </c>
      <c r="D480" s="106">
        <f>'01-3'!D226+'02-3'!D226+'03-3'!D226+'04-3'!D226+'05-3'!D226+'08-3'!D226+'09-3'!D226+'10-3'!D226+'11-3'!D226+'12-3'!D226+'13-3'!D226+'14-3'!D226+'15-3'!D226+'16-3'!D226+'17-3'!D226+'18-3'!D226+'19-3'!D226+'21-3'!D226+'22-3'!D226+'24-3'!D226+'25-3'!D226+'28-3'!D226+'29-3'!D226+'30-3'!D226+'32-3'!D226+'35-3'!D226+'37-3'!D226+'47-3'!D226+'62-3'!D226+'64-3'!D226+'74-3'!D226</f>
        <v>33401461</v>
      </c>
      <c r="E480" s="106">
        <f>'01-3'!E226+'02-3'!E226+'03-3'!E226+'04-3'!E226+'05-3'!E226+'08-3'!E226+'09-3'!E226+'10-3'!E226+'11-3'!E226+'12-3'!E226+'13-3'!E226+'14-3'!E226+'15-3'!E226+'16-3'!E226+'17-3'!E226+'18-3'!E226+'19-3'!E226+'21-3'!E226+'22-3'!E226+'24-3'!E226+'25-3'!E226+'28-3'!E226+'29-3'!E226+'30-3'!E226+'32-3'!E226+'35-3'!E226+'37-3'!E226+'47-3'!E226+'62-3'!E226+'64-3'!E226+'74-3'!E226</f>
        <v>-1711770</v>
      </c>
      <c r="F480" s="106">
        <f>'01-3'!F226+'02-3'!F226+'03-3'!F226+'04-3'!F226+'05-3'!F226+'08-3'!F226+'09-3'!F226+'10-3'!F226+'11-3'!F226+'12-3'!F226+'13-3'!F226+'14-3'!F226+'15-3'!F226+'16-3'!F226+'17-3'!F226+'18-3'!F226+'19-3'!F226+'21-3'!F226+'22-3'!F226+'24-3'!F226+'25-3'!F226+'28-3'!F226+'29-3'!F226+'30-3'!F226+'32-3'!F226+'35-3'!F226+'37-3'!F226+'47-3'!F226+'62-3'!F226+'64-3'!F226+'74-3'!F226</f>
        <v>0</v>
      </c>
      <c r="G480" s="106">
        <f>'01-3'!G226+'02-3'!G226+'03-3'!G226+'04-3'!G226+'05-3'!G226+'08-3'!G226+'09-3'!G226+'10-3'!G226+'11-3'!G226+'12-3'!G226+'13-3'!G226+'14-3'!G226+'15-3'!G226+'16-3'!G226+'17-3'!G226+'18-3'!G226+'19-3'!G226+'21-3'!G226+'22-3'!G226+'24-3'!G226+'25-3'!G226+'28-3'!G226+'29-3'!G226+'30-3'!G226+'32-3'!G226+'35-3'!G226+'37-3'!G226+'47-3'!G226+'62-3'!G226+'64-3'!G226+'74-3'!G226</f>
        <v>0</v>
      </c>
      <c r="H480" s="106">
        <f>'01-3'!H226+'02-3'!H226+'03-3'!H226+'04-3'!H226+'05-3'!H226+'08-3'!H226+'09-3'!H226+'10-3'!H226+'11-3'!H226+'12-3'!H226+'13-3'!H226+'14-3'!H226+'15-3'!H226+'16-3'!H226+'17-3'!H226+'18-3'!H226+'19-3'!H226+'21-3'!H226+'22-3'!H226+'24-3'!H226+'25-3'!H226+'28-3'!H226+'29-3'!H226+'30-3'!H226+'32-3'!H226+'35-3'!H226+'37-3'!H226+'47-3'!H226+'62-3'!H226+'64-3'!H226+'74-3'!H226</f>
        <v>31689691</v>
      </c>
      <c r="I480" s="106">
        <f>'01-3'!I226+'02-3'!I226+'03-3'!I226+'04-3'!I226+'05-3'!I226+'08-3'!I226+'09-3'!I226+'10-3'!I226+'11-3'!I226+'12-3'!I226+'13-3'!I226+'14-3'!I226+'15-3'!I226+'16-3'!I226+'17-3'!I226+'18-3'!I226+'19-3'!I226+'21-3'!I226+'22-3'!I226+'24-3'!I226+'25-3'!I226+'28-3'!I226+'29-3'!I226+'30-3'!I226+'32-3'!I226+'35-3'!I226+'37-3'!I226+'47-3'!I226+'62-3'!I226+'64-3'!I226+'74-3'!I226</f>
        <v>11083492</v>
      </c>
      <c r="J480" s="106">
        <f>'01-3'!J226+'02-3'!J226+'03-3'!J226+'04-3'!J226+'05-3'!J226+'08-3'!J226+'09-3'!J226+'10-3'!J226+'11-3'!J226+'12-3'!J226+'13-3'!J226+'14-3'!J226+'15-3'!J226+'16-3'!J226+'17-3'!J226+'18-3'!J226+'19-3'!J226+'21-3'!J226+'22-3'!J226+'24-3'!J226+'25-3'!J226+'28-3'!J226+'29-3'!J226+'30-3'!J226+'32-3'!J226+'35-3'!J226+'37-3'!J226+'47-3'!J226+'62-3'!J226+'64-3'!J226+'74-3'!J226</f>
        <v>-580033</v>
      </c>
      <c r="K480" s="106">
        <f>'01-3'!K226+'02-3'!K226+'03-3'!K226+'04-3'!K226+'05-3'!K226+'08-3'!K226+'09-3'!K226+'10-3'!K226+'11-3'!K226+'12-3'!K226+'13-3'!K226+'14-3'!K226+'15-3'!K226+'16-3'!K226+'17-3'!K226+'18-3'!K226+'19-3'!K226+'21-3'!K226+'22-3'!K226+'24-3'!K226+'25-3'!K226+'28-3'!K226+'29-3'!K226+'30-3'!K226+'32-3'!K226+'35-3'!K226+'37-3'!K226+'47-3'!K226+'62-3'!K226+'64-3'!K226+'74-3'!K226</f>
        <v>0</v>
      </c>
      <c r="L480" s="106">
        <f>'01-3'!L226+'02-3'!L226+'03-3'!L226+'04-3'!L226+'05-3'!L226+'08-3'!L226+'09-3'!L226+'10-3'!L226+'11-3'!L226+'12-3'!L226+'13-3'!L226+'14-3'!L226+'15-3'!L226+'16-3'!L226+'17-3'!L226+'18-3'!L226+'19-3'!L226+'21-3'!L226+'22-3'!L226+'24-3'!L226+'25-3'!L226+'28-3'!L226+'29-3'!L226+'30-3'!L226+'32-3'!L226+'35-3'!L226+'37-3'!L226+'47-3'!L226+'62-3'!L226+'64-3'!L226+'74-3'!L226</f>
        <v>0</v>
      </c>
      <c r="M480" s="106">
        <f>'01-3'!M226+'02-3'!M226+'03-3'!M226+'04-3'!M226+'05-3'!M226+'08-3'!M226+'09-3'!M226+'10-3'!M226+'11-3'!M226+'12-3'!M226+'13-3'!M226+'14-3'!M226+'15-3'!M226+'16-3'!M226+'17-3'!M226+'18-3'!M226+'19-3'!M226+'21-3'!M226+'22-3'!M226+'24-3'!M226+'25-3'!M226+'28-3'!M226+'29-3'!M226+'30-3'!M226+'32-3'!M226+'35-3'!M226+'37-3'!M226+'47-3'!M226+'62-3'!M226+'64-3'!M226+'74-3'!M226</f>
        <v>10503459</v>
      </c>
      <c r="N480" s="106">
        <f>'01-3'!N226+'02-3'!N226+'03-3'!N226+'04-3'!N226+'05-3'!N226+'08-3'!N226+'09-3'!N226+'10-3'!N226+'11-3'!N226+'12-3'!N226+'13-3'!N226+'14-3'!N226+'15-3'!N226+'16-3'!N226+'17-3'!N226+'18-3'!N226+'19-3'!N226+'21-3'!N226+'22-3'!N226+'24-3'!N226+'25-3'!N226+'28-3'!N226+'29-3'!N226+'30-3'!N226+'32-3'!N226+'35-3'!N226+'37-3'!N226+'47-3'!N226+'62-3'!N226+'64-3'!N226+'74-3'!N226</f>
        <v>3170284</v>
      </c>
      <c r="O480" s="106">
        <f>'01-3'!O226+'02-3'!O226+'03-3'!O226+'04-3'!O226+'05-3'!O226+'08-3'!O226+'09-3'!O226+'10-3'!O226+'11-3'!O226+'12-3'!O226+'13-3'!O226+'14-3'!O226+'15-3'!O226+'16-3'!O226+'17-3'!O226+'18-3'!O226+'19-3'!O226+'21-3'!O226+'22-3'!O226+'24-3'!O226+'25-3'!O226+'28-3'!O226+'29-3'!O226+'30-3'!O226+'32-3'!O226+'35-3'!O226+'37-3'!O226+'47-3'!O226+'62-3'!O226+'64-3'!O226+'74-3'!O226</f>
        <v>-213154</v>
      </c>
      <c r="P480" s="106">
        <f>'01-3'!P226+'02-3'!P226+'03-3'!P226+'04-3'!P226+'05-3'!P226+'08-3'!P226+'09-3'!P226+'10-3'!P226+'11-3'!P226+'12-3'!P226+'13-3'!P226+'14-3'!P226+'15-3'!P226+'16-3'!P226+'17-3'!P226+'18-3'!P226+'19-3'!P226+'21-3'!P226+'22-3'!P226+'24-3'!P226+'25-3'!P226+'28-3'!P226+'29-3'!P226+'30-3'!P226+'32-3'!P226+'35-3'!P226+'37-3'!P226+'47-3'!P226+'62-3'!P226+'64-3'!P226+'74-3'!P226</f>
        <v>0</v>
      </c>
      <c r="Q480" s="106">
        <f>'01-3'!Q226+'02-3'!Q226+'03-3'!Q226+'04-3'!Q226+'05-3'!Q226+'08-3'!Q226+'09-3'!Q226+'10-3'!Q226+'11-3'!Q226+'12-3'!Q226+'13-3'!Q226+'14-3'!Q226+'15-3'!Q226+'16-3'!Q226+'17-3'!Q226+'18-3'!Q226+'19-3'!Q226+'21-3'!Q226+'22-3'!Q226+'24-3'!Q226+'25-3'!Q226+'28-3'!Q226+'29-3'!Q226+'30-3'!Q226+'32-3'!Q226+'35-3'!Q226+'37-3'!Q226+'47-3'!Q226+'62-3'!Q226+'64-3'!Q226+'74-3'!Q226</f>
        <v>0</v>
      </c>
      <c r="R480" s="106">
        <f>'01-3'!R226+'02-3'!R226+'03-3'!R226+'04-3'!R226+'05-3'!R226+'08-3'!R226+'09-3'!R226+'10-3'!R226+'11-3'!R226+'12-3'!R226+'13-3'!R226+'14-3'!R226+'15-3'!R226+'16-3'!R226+'17-3'!R226+'18-3'!R226+'19-3'!R226+'21-3'!R226+'22-3'!R226+'24-3'!R226+'25-3'!R226+'28-3'!R226+'29-3'!R226+'30-3'!R226+'32-3'!R226+'35-3'!R226+'37-3'!R226+'47-3'!R226+'62-3'!R226+'64-3'!R226+'74-3'!R226</f>
        <v>2957130</v>
      </c>
      <c r="S480" s="1324"/>
      <c r="T480" s="1324"/>
      <c r="U480" s="1324"/>
      <c r="V480" s="1324"/>
      <c r="W480" s="1324"/>
    </row>
    <row r="481" spans="1:23" s="29" customFormat="1" ht="24">
      <c r="A481" s="132">
        <v>7400</v>
      </c>
      <c r="B481" s="108" t="s">
        <v>161</v>
      </c>
      <c r="C481" s="106">
        <f>'01-3'!C227+'02-3'!C227+'03-3'!C227+'04-3'!C227+'05-3'!C227+'08-3'!C227+'09-3'!C227+'10-3'!C227+'11-3'!C227+'12-3'!C227+'13-3'!C227+'14-3'!C227+'15-3'!C227+'16-3'!C227+'17-3'!C227+'18-3'!C227+'19-3'!C227+'21-3'!C227+'22-3'!C227+'24-3'!C227+'25-3'!C227+'28-3'!C227+'29-3'!C227+'30-3'!C227+'32-3'!C227+'35-3'!C227+'37-3'!C227+'47-3'!C227+'62-3'!C227+'64-3'!C227+'74-3'!C227</f>
        <v>53802</v>
      </c>
      <c r="D481" s="106">
        <f>'01-3'!D227+'02-3'!D227+'03-3'!D227+'04-3'!D227+'05-3'!D227+'08-3'!D227+'09-3'!D227+'10-3'!D227+'11-3'!D227+'12-3'!D227+'13-3'!D227+'14-3'!D227+'15-3'!D227+'16-3'!D227+'17-3'!D227+'18-3'!D227+'19-3'!D227+'21-3'!D227+'22-3'!D227+'24-3'!D227+'25-3'!D227+'28-3'!D227+'29-3'!D227+'30-3'!D227+'32-3'!D227+'35-3'!D227+'37-3'!D227+'47-3'!D227+'62-3'!D227+'64-3'!D227+'74-3'!D227</f>
        <v>0</v>
      </c>
      <c r="E481" s="106">
        <f>'01-3'!E227+'02-3'!E227+'03-3'!E227+'04-3'!E227+'05-3'!E227+'08-3'!E227+'09-3'!E227+'10-3'!E227+'11-3'!E227+'12-3'!E227+'13-3'!E227+'14-3'!E227+'15-3'!E227+'16-3'!E227+'17-3'!E227+'18-3'!E227+'19-3'!E227+'21-3'!E227+'22-3'!E227+'24-3'!E227+'25-3'!E227+'28-3'!E227+'29-3'!E227+'30-3'!E227+'32-3'!E227+'35-3'!E227+'37-3'!E227+'47-3'!E227+'62-3'!E227+'64-3'!E227+'74-3'!E227</f>
        <v>0</v>
      </c>
      <c r="F481" s="106">
        <f>'01-3'!F227+'02-3'!F227+'03-3'!F227+'04-3'!F227+'05-3'!F227+'08-3'!F227+'09-3'!F227+'10-3'!F227+'11-3'!F227+'12-3'!F227+'13-3'!F227+'14-3'!F227+'15-3'!F227+'16-3'!F227+'17-3'!F227+'18-3'!F227+'19-3'!F227+'21-3'!F227+'22-3'!F227+'24-3'!F227+'25-3'!F227+'28-3'!F227+'29-3'!F227+'30-3'!F227+'32-3'!F227+'35-3'!F227+'37-3'!F227+'47-3'!F227+'62-3'!F227+'64-3'!F227+'74-3'!F227</f>
        <v>0</v>
      </c>
      <c r="G481" s="106">
        <f>'01-3'!G227+'02-3'!G227+'03-3'!G227+'04-3'!G227+'05-3'!G227+'08-3'!G227+'09-3'!G227+'10-3'!G227+'11-3'!G227+'12-3'!G227+'13-3'!G227+'14-3'!G227+'15-3'!G227+'16-3'!G227+'17-3'!G227+'18-3'!G227+'19-3'!G227+'21-3'!G227+'22-3'!G227+'24-3'!G227+'25-3'!G227+'28-3'!G227+'29-3'!G227+'30-3'!G227+'32-3'!G227+'35-3'!G227+'37-3'!G227+'47-3'!G227+'62-3'!G227+'64-3'!G227+'74-3'!G227</f>
        <v>0</v>
      </c>
      <c r="H481" s="106">
        <f>'01-3'!H227+'02-3'!H227+'03-3'!H227+'04-3'!H227+'05-3'!H227+'08-3'!H227+'09-3'!H227+'10-3'!H227+'11-3'!H227+'12-3'!H227+'13-3'!H227+'14-3'!H227+'15-3'!H227+'16-3'!H227+'17-3'!H227+'18-3'!H227+'19-3'!H227+'21-3'!H227+'22-3'!H227+'24-3'!H227+'25-3'!H227+'28-3'!H227+'29-3'!H227+'30-3'!H227+'32-3'!H227+'35-3'!H227+'37-3'!H227+'47-3'!H227+'62-3'!H227+'64-3'!H227+'74-3'!H227</f>
        <v>0</v>
      </c>
      <c r="I481" s="106">
        <f>'01-3'!I227+'02-3'!I227+'03-3'!I227+'04-3'!I227+'05-3'!I227+'08-3'!I227+'09-3'!I227+'10-3'!I227+'11-3'!I227+'12-3'!I227+'13-3'!I227+'14-3'!I227+'15-3'!I227+'16-3'!I227+'17-3'!I227+'18-3'!I227+'19-3'!I227+'21-3'!I227+'22-3'!I227+'24-3'!I227+'25-3'!I227+'28-3'!I227+'29-3'!I227+'30-3'!I227+'32-3'!I227+'35-3'!I227+'37-3'!I227+'47-3'!I227+'62-3'!I227+'64-3'!I227+'74-3'!I227</f>
        <v>0</v>
      </c>
      <c r="J481" s="106">
        <f>'01-3'!J227+'02-3'!J227+'03-3'!J227+'04-3'!J227+'05-3'!J227+'08-3'!J227+'09-3'!J227+'10-3'!J227+'11-3'!J227+'12-3'!J227+'13-3'!J227+'14-3'!J227+'15-3'!J227+'16-3'!J227+'17-3'!J227+'18-3'!J227+'19-3'!J227+'21-3'!J227+'22-3'!J227+'24-3'!J227+'25-3'!J227+'28-3'!J227+'29-3'!J227+'30-3'!J227+'32-3'!J227+'35-3'!J227+'37-3'!J227+'47-3'!J227+'62-3'!J227+'64-3'!J227+'74-3'!J227</f>
        <v>0</v>
      </c>
      <c r="K481" s="106">
        <f>'01-3'!K227+'02-3'!K227+'03-3'!K227+'04-3'!K227+'05-3'!K227+'08-3'!K227+'09-3'!K227+'10-3'!K227+'11-3'!K227+'12-3'!K227+'13-3'!K227+'14-3'!K227+'15-3'!K227+'16-3'!K227+'17-3'!K227+'18-3'!K227+'19-3'!K227+'21-3'!K227+'22-3'!K227+'24-3'!K227+'25-3'!K227+'28-3'!K227+'29-3'!K227+'30-3'!K227+'32-3'!K227+'35-3'!K227+'37-3'!K227+'47-3'!K227+'62-3'!K227+'64-3'!K227+'74-3'!K227</f>
        <v>0</v>
      </c>
      <c r="L481" s="106">
        <f>'01-3'!L227+'02-3'!L227+'03-3'!L227+'04-3'!L227+'05-3'!L227+'08-3'!L227+'09-3'!L227+'10-3'!L227+'11-3'!L227+'12-3'!L227+'13-3'!L227+'14-3'!L227+'15-3'!L227+'16-3'!L227+'17-3'!L227+'18-3'!L227+'19-3'!L227+'21-3'!L227+'22-3'!L227+'24-3'!L227+'25-3'!L227+'28-3'!L227+'29-3'!L227+'30-3'!L227+'32-3'!L227+'35-3'!L227+'37-3'!L227+'47-3'!L227+'62-3'!L227+'64-3'!L227+'74-3'!L227</f>
        <v>0</v>
      </c>
      <c r="M481" s="106">
        <f>'01-3'!M227+'02-3'!M227+'03-3'!M227+'04-3'!M227+'05-3'!M227+'08-3'!M227+'09-3'!M227+'10-3'!M227+'11-3'!M227+'12-3'!M227+'13-3'!M227+'14-3'!M227+'15-3'!M227+'16-3'!M227+'17-3'!M227+'18-3'!M227+'19-3'!M227+'21-3'!M227+'22-3'!M227+'24-3'!M227+'25-3'!M227+'28-3'!M227+'29-3'!M227+'30-3'!M227+'32-3'!M227+'35-3'!M227+'37-3'!M227+'47-3'!M227+'62-3'!M227+'64-3'!M227+'74-3'!M227</f>
        <v>0</v>
      </c>
      <c r="N481" s="106">
        <f>'01-3'!N227+'02-3'!N227+'03-3'!N227+'04-3'!N227+'05-3'!N227+'08-3'!N227+'09-3'!N227+'10-3'!N227+'11-3'!N227+'12-3'!N227+'13-3'!N227+'14-3'!N227+'15-3'!N227+'16-3'!N227+'17-3'!N227+'18-3'!N227+'19-3'!N227+'21-3'!N227+'22-3'!N227+'24-3'!N227+'25-3'!N227+'28-3'!N227+'29-3'!N227+'30-3'!N227+'32-3'!N227+'35-3'!N227+'37-3'!N227+'47-3'!N227+'62-3'!N227+'64-3'!N227+'74-3'!N227</f>
        <v>0</v>
      </c>
      <c r="O481" s="106">
        <f>'01-3'!O227+'02-3'!O227+'03-3'!O227+'04-3'!O227+'05-3'!O227+'08-3'!O227+'09-3'!O227+'10-3'!O227+'11-3'!O227+'12-3'!O227+'13-3'!O227+'14-3'!O227+'15-3'!O227+'16-3'!O227+'17-3'!O227+'18-3'!O227+'19-3'!O227+'21-3'!O227+'22-3'!O227+'24-3'!O227+'25-3'!O227+'28-3'!O227+'29-3'!O227+'30-3'!O227+'32-3'!O227+'35-3'!O227+'37-3'!O227+'47-3'!O227+'62-3'!O227+'64-3'!O227+'74-3'!O227</f>
        <v>0</v>
      </c>
      <c r="P481" s="106">
        <f>'01-3'!P227+'02-3'!P227+'03-3'!P227+'04-3'!P227+'05-3'!P227+'08-3'!P227+'09-3'!P227+'10-3'!P227+'11-3'!P227+'12-3'!P227+'13-3'!P227+'14-3'!P227+'15-3'!P227+'16-3'!P227+'17-3'!P227+'18-3'!P227+'19-3'!P227+'21-3'!P227+'22-3'!P227+'24-3'!P227+'25-3'!P227+'28-3'!P227+'29-3'!P227+'30-3'!P227+'32-3'!P227+'35-3'!P227+'37-3'!P227+'47-3'!P227+'62-3'!P227+'64-3'!P227+'74-3'!P227</f>
        <v>0</v>
      </c>
      <c r="Q481" s="106">
        <f>'01-3'!Q227+'02-3'!Q227+'03-3'!Q227+'04-3'!Q227+'05-3'!Q227+'08-3'!Q227+'09-3'!Q227+'10-3'!Q227+'11-3'!Q227+'12-3'!Q227+'13-3'!Q227+'14-3'!Q227+'15-3'!Q227+'16-3'!Q227+'17-3'!Q227+'18-3'!Q227+'19-3'!Q227+'21-3'!Q227+'22-3'!Q227+'24-3'!Q227+'25-3'!Q227+'28-3'!Q227+'29-3'!Q227+'30-3'!Q227+'32-3'!Q227+'35-3'!Q227+'37-3'!Q227+'47-3'!Q227+'62-3'!Q227+'64-3'!Q227+'74-3'!Q227</f>
        <v>0</v>
      </c>
      <c r="R481" s="106">
        <f>'01-3'!R227+'02-3'!R227+'03-3'!R227+'04-3'!R227+'05-3'!R227+'08-3'!R227+'09-3'!R227+'10-3'!R227+'11-3'!R227+'12-3'!R227+'13-3'!R227+'14-3'!R227+'15-3'!R227+'16-3'!R227+'17-3'!R227+'18-3'!R227+'19-3'!R227+'21-3'!R227+'22-3'!R227+'24-3'!R227+'25-3'!R227+'28-3'!R227+'29-3'!R227+'30-3'!R227+'32-3'!R227+'35-3'!R227+'37-3'!R227+'47-3'!R227+'62-3'!R227+'64-3'!R227+'74-3'!R227</f>
        <v>0</v>
      </c>
      <c r="S481" s="1324"/>
      <c r="T481" s="1324"/>
      <c r="U481" s="1324"/>
      <c r="V481" s="1324"/>
      <c r="W481" s="1324"/>
    </row>
    <row r="482" spans="1:23" s="29" customFormat="1" ht="24">
      <c r="A482" s="133">
        <v>7460</v>
      </c>
      <c r="B482" s="108" t="s">
        <v>162</v>
      </c>
      <c r="C482" s="106">
        <f>'01-3'!C228+'02-3'!C228+'03-3'!C228+'04-3'!C228+'05-3'!C228+'08-3'!C228+'09-3'!C228+'10-3'!C228+'11-3'!C228+'12-3'!C228+'13-3'!C228+'14-3'!C228+'15-3'!C228+'16-3'!C228+'17-3'!C228+'18-3'!C228+'19-3'!C228+'21-3'!C228+'22-3'!C228+'24-3'!C228+'25-3'!C228+'28-3'!C228+'29-3'!C228+'30-3'!C228+'32-3'!C228+'35-3'!C228+'37-3'!C228+'47-3'!C228+'62-3'!C228+'64-3'!C228+'74-3'!C228</f>
        <v>15208</v>
      </c>
      <c r="D482" s="106">
        <f>'01-3'!D228+'02-3'!D228+'03-3'!D228+'04-3'!D228+'05-3'!D228+'08-3'!D228+'09-3'!D228+'10-3'!D228+'11-3'!D228+'12-3'!D228+'13-3'!D228+'14-3'!D228+'15-3'!D228+'16-3'!D228+'17-3'!D228+'18-3'!D228+'19-3'!D228+'21-3'!D228+'22-3'!D228+'24-3'!D228+'25-3'!D228+'28-3'!D228+'29-3'!D228+'30-3'!D228+'32-3'!D228+'35-3'!D228+'37-3'!D228+'47-3'!D228+'62-3'!D228+'64-3'!D228+'74-3'!D228</f>
        <v>0</v>
      </c>
      <c r="E482" s="106">
        <f>'01-3'!E228+'02-3'!E228+'03-3'!E228+'04-3'!E228+'05-3'!E228+'08-3'!E228+'09-3'!E228+'10-3'!E228+'11-3'!E228+'12-3'!E228+'13-3'!E228+'14-3'!E228+'15-3'!E228+'16-3'!E228+'17-3'!E228+'18-3'!E228+'19-3'!E228+'21-3'!E228+'22-3'!E228+'24-3'!E228+'25-3'!E228+'28-3'!E228+'29-3'!E228+'30-3'!E228+'32-3'!E228+'35-3'!E228+'37-3'!E228+'47-3'!E228+'62-3'!E228+'64-3'!E228+'74-3'!E228</f>
        <v>0</v>
      </c>
      <c r="F482" s="106">
        <f>'01-3'!F228+'02-3'!F228+'03-3'!F228+'04-3'!F228+'05-3'!F228+'08-3'!F228+'09-3'!F228+'10-3'!F228+'11-3'!F228+'12-3'!F228+'13-3'!F228+'14-3'!F228+'15-3'!F228+'16-3'!F228+'17-3'!F228+'18-3'!F228+'19-3'!F228+'21-3'!F228+'22-3'!F228+'24-3'!F228+'25-3'!F228+'28-3'!F228+'29-3'!F228+'30-3'!F228+'32-3'!F228+'35-3'!F228+'37-3'!F228+'47-3'!F228+'62-3'!F228+'64-3'!F228+'74-3'!F228</f>
        <v>0</v>
      </c>
      <c r="G482" s="106">
        <f>'01-3'!G228+'02-3'!G228+'03-3'!G228+'04-3'!G228+'05-3'!G228+'08-3'!G228+'09-3'!G228+'10-3'!G228+'11-3'!G228+'12-3'!G228+'13-3'!G228+'14-3'!G228+'15-3'!G228+'16-3'!G228+'17-3'!G228+'18-3'!G228+'19-3'!G228+'21-3'!G228+'22-3'!G228+'24-3'!G228+'25-3'!G228+'28-3'!G228+'29-3'!G228+'30-3'!G228+'32-3'!G228+'35-3'!G228+'37-3'!G228+'47-3'!G228+'62-3'!G228+'64-3'!G228+'74-3'!G228</f>
        <v>0</v>
      </c>
      <c r="H482" s="106">
        <f>'01-3'!H228+'02-3'!H228+'03-3'!H228+'04-3'!H228+'05-3'!H228+'08-3'!H228+'09-3'!H228+'10-3'!H228+'11-3'!H228+'12-3'!H228+'13-3'!H228+'14-3'!H228+'15-3'!H228+'16-3'!H228+'17-3'!H228+'18-3'!H228+'19-3'!H228+'21-3'!H228+'22-3'!H228+'24-3'!H228+'25-3'!H228+'28-3'!H228+'29-3'!H228+'30-3'!H228+'32-3'!H228+'35-3'!H228+'37-3'!H228+'47-3'!H228+'62-3'!H228+'64-3'!H228+'74-3'!H228</f>
        <v>0</v>
      </c>
      <c r="I482" s="106">
        <f>'01-3'!I228+'02-3'!I228+'03-3'!I228+'04-3'!I228+'05-3'!I228+'08-3'!I228+'09-3'!I228+'10-3'!I228+'11-3'!I228+'12-3'!I228+'13-3'!I228+'14-3'!I228+'15-3'!I228+'16-3'!I228+'17-3'!I228+'18-3'!I228+'19-3'!I228+'21-3'!I228+'22-3'!I228+'24-3'!I228+'25-3'!I228+'28-3'!I228+'29-3'!I228+'30-3'!I228+'32-3'!I228+'35-3'!I228+'37-3'!I228+'47-3'!I228+'62-3'!I228+'64-3'!I228+'74-3'!I228</f>
        <v>0</v>
      </c>
      <c r="J482" s="106">
        <f>'01-3'!J228+'02-3'!J228+'03-3'!J228+'04-3'!J228+'05-3'!J228+'08-3'!J228+'09-3'!J228+'10-3'!J228+'11-3'!J228+'12-3'!J228+'13-3'!J228+'14-3'!J228+'15-3'!J228+'16-3'!J228+'17-3'!J228+'18-3'!J228+'19-3'!J228+'21-3'!J228+'22-3'!J228+'24-3'!J228+'25-3'!J228+'28-3'!J228+'29-3'!J228+'30-3'!J228+'32-3'!J228+'35-3'!J228+'37-3'!J228+'47-3'!J228+'62-3'!J228+'64-3'!J228+'74-3'!J228</f>
        <v>0</v>
      </c>
      <c r="K482" s="106">
        <f>'01-3'!K228+'02-3'!K228+'03-3'!K228+'04-3'!K228+'05-3'!K228+'08-3'!K228+'09-3'!K228+'10-3'!K228+'11-3'!K228+'12-3'!K228+'13-3'!K228+'14-3'!K228+'15-3'!K228+'16-3'!K228+'17-3'!K228+'18-3'!K228+'19-3'!K228+'21-3'!K228+'22-3'!K228+'24-3'!K228+'25-3'!K228+'28-3'!K228+'29-3'!K228+'30-3'!K228+'32-3'!K228+'35-3'!K228+'37-3'!K228+'47-3'!K228+'62-3'!K228+'64-3'!K228+'74-3'!K228</f>
        <v>0</v>
      </c>
      <c r="L482" s="106">
        <f>'01-3'!L228+'02-3'!L228+'03-3'!L228+'04-3'!L228+'05-3'!L228+'08-3'!L228+'09-3'!L228+'10-3'!L228+'11-3'!L228+'12-3'!L228+'13-3'!L228+'14-3'!L228+'15-3'!L228+'16-3'!L228+'17-3'!L228+'18-3'!L228+'19-3'!L228+'21-3'!L228+'22-3'!L228+'24-3'!L228+'25-3'!L228+'28-3'!L228+'29-3'!L228+'30-3'!L228+'32-3'!L228+'35-3'!L228+'37-3'!L228+'47-3'!L228+'62-3'!L228+'64-3'!L228+'74-3'!L228</f>
        <v>0</v>
      </c>
      <c r="M482" s="106">
        <f>'01-3'!M228+'02-3'!M228+'03-3'!M228+'04-3'!M228+'05-3'!M228+'08-3'!M228+'09-3'!M228+'10-3'!M228+'11-3'!M228+'12-3'!M228+'13-3'!M228+'14-3'!M228+'15-3'!M228+'16-3'!M228+'17-3'!M228+'18-3'!M228+'19-3'!M228+'21-3'!M228+'22-3'!M228+'24-3'!M228+'25-3'!M228+'28-3'!M228+'29-3'!M228+'30-3'!M228+'32-3'!M228+'35-3'!M228+'37-3'!M228+'47-3'!M228+'62-3'!M228+'64-3'!M228+'74-3'!M228</f>
        <v>0</v>
      </c>
      <c r="N482" s="106">
        <f>'01-3'!N228+'02-3'!N228+'03-3'!N228+'04-3'!N228+'05-3'!N228+'08-3'!N228+'09-3'!N228+'10-3'!N228+'11-3'!N228+'12-3'!N228+'13-3'!N228+'14-3'!N228+'15-3'!N228+'16-3'!N228+'17-3'!N228+'18-3'!N228+'19-3'!N228+'21-3'!N228+'22-3'!N228+'24-3'!N228+'25-3'!N228+'28-3'!N228+'29-3'!N228+'30-3'!N228+'32-3'!N228+'35-3'!N228+'37-3'!N228+'47-3'!N228+'62-3'!N228+'64-3'!N228+'74-3'!N228</f>
        <v>0</v>
      </c>
      <c r="O482" s="106">
        <f>'01-3'!O228+'02-3'!O228+'03-3'!O228+'04-3'!O228+'05-3'!O228+'08-3'!O228+'09-3'!O228+'10-3'!O228+'11-3'!O228+'12-3'!O228+'13-3'!O228+'14-3'!O228+'15-3'!O228+'16-3'!O228+'17-3'!O228+'18-3'!O228+'19-3'!O228+'21-3'!O228+'22-3'!O228+'24-3'!O228+'25-3'!O228+'28-3'!O228+'29-3'!O228+'30-3'!O228+'32-3'!O228+'35-3'!O228+'37-3'!O228+'47-3'!O228+'62-3'!O228+'64-3'!O228+'74-3'!O228</f>
        <v>0</v>
      </c>
      <c r="P482" s="106">
        <f>'01-3'!P228+'02-3'!P228+'03-3'!P228+'04-3'!P228+'05-3'!P228+'08-3'!P228+'09-3'!P228+'10-3'!P228+'11-3'!P228+'12-3'!P228+'13-3'!P228+'14-3'!P228+'15-3'!P228+'16-3'!P228+'17-3'!P228+'18-3'!P228+'19-3'!P228+'21-3'!P228+'22-3'!P228+'24-3'!P228+'25-3'!P228+'28-3'!P228+'29-3'!P228+'30-3'!P228+'32-3'!P228+'35-3'!P228+'37-3'!P228+'47-3'!P228+'62-3'!P228+'64-3'!P228+'74-3'!P228</f>
        <v>0</v>
      </c>
      <c r="Q482" s="106">
        <f>'01-3'!Q228+'02-3'!Q228+'03-3'!Q228+'04-3'!Q228+'05-3'!Q228+'08-3'!Q228+'09-3'!Q228+'10-3'!Q228+'11-3'!Q228+'12-3'!Q228+'13-3'!Q228+'14-3'!Q228+'15-3'!Q228+'16-3'!Q228+'17-3'!Q228+'18-3'!Q228+'19-3'!Q228+'21-3'!Q228+'22-3'!Q228+'24-3'!Q228+'25-3'!Q228+'28-3'!Q228+'29-3'!Q228+'30-3'!Q228+'32-3'!Q228+'35-3'!Q228+'37-3'!Q228+'47-3'!Q228+'62-3'!Q228+'64-3'!Q228+'74-3'!Q228</f>
        <v>0</v>
      </c>
      <c r="R482" s="106">
        <f>'01-3'!R228+'02-3'!R228+'03-3'!R228+'04-3'!R228+'05-3'!R228+'08-3'!R228+'09-3'!R228+'10-3'!R228+'11-3'!R228+'12-3'!R228+'13-3'!R228+'14-3'!R228+'15-3'!R228+'16-3'!R228+'17-3'!R228+'18-3'!R228+'19-3'!R228+'21-3'!R228+'22-3'!R228+'24-3'!R228+'25-3'!R228+'28-3'!R228+'29-3'!R228+'30-3'!R228+'32-3'!R228+'35-3'!R228+'37-3'!R228+'47-3'!R228+'62-3'!R228+'64-3'!R228+'74-3'!R228</f>
        <v>0</v>
      </c>
      <c r="S482" s="1324"/>
      <c r="T482" s="1324"/>
      <c r="U482" s="1324"/>
      <c r="V482" s="1324"/>
      <c r="W482" s="1324"/>
    </row>
    <row r="483" spans="1:23" s="29" customFormat="1" ht="48">
      <c r="A483" s="133">
        <v>7470</v>
      </c>
      <c r="B483" s="112" t="s">
        <v>167</v>
      </c>
      <c r="C483" s="106">
        <f>'01-3'!C229+'02-3'!C229+'03-3'!C229+'04-3'!C229+'05-3'!C229+'08-3'!C229+'09-3'!C229+'10-3'!C229+'11-3'!C229+'12-3'!C229+'13-3'!C229+'14-3'!C229+'15-3'!C229+'16-3'!C229+'17-3'!C229+'18-3'!C229+'19-3'!C229+'21-3'!C229+'22-3'!C229+'24-3'!C229+'25-3'!C229+'28-3'!C229+'29-3'!C229+'30-3'!C229+'32-3'!C229+'35-3'!C229+'37-3'!C229+'47-3'!C229+'62-3'!C229+'64-3'!C229+'74-3'!C229</f>
        <v>38594</v>
      </c>
      <c r="D483" s="106">
        <f>'01-3'!D229+'02-3'!D229+'03-3'!D229+'04-3'!D229+'05-3'!D229+'08-3'!D229+'09-3'!D229+'10-3'!D229+'11-3'!D229+'12-3'!D229+'13-3'!D229+'14-3'!D229+'15-3'!D229+'16-3'!D229+'17-3'!D229+'18-3'!D229+'19-3'!D229+'21-3'!D229+'22-3'!D229+'24-3'!D229+'25-3'!D229+'28-3'!D229+'29-3'!D229+'30-3'!D229+'32-3'!D229+'35-3'!D229+'37-3'!D229+'47-3'!D229+'62-3'!D229+'64-3'!D229+'74-3'!D229</f>
        <v>0</v>
      </c>
      <c r="E483" s="106">
        <f>'01-3'!E229+'02-3'!E229+'03-3'!E229+'04-3'!E229+'05-3'!E229+'08-3'!E229+'09-3'!E229+'10-3'!E229+'11-3'!E229+'12-3'!E229+'13-3'!E229+'14-3'!E229+'15-3'!E229+'16-3'!E229+'17-3'!E229+'18-3'!E229+'19-3'!E229+'21-3'!E229+'22-3'!E229+'24-3'!E229+'25-3'!E229+'28-3'!E229+'29-3'!E229+'30-3'!E229+'32-3'!E229+'35-3'!E229+'37-3'!E229+'47-3'!E229+'62-3'!E229+'64-3'!E229+'74-3'!E229</f>
        <v>0</v>
      </c>
      <c r="F483" s="106">
        <f>'01-3'!F229+'02-3'!F229+'03-3'!F229+'04-3'!F229+'05-3'!F229+'08-3'!F229+'09-3'!F229+'10-3'!F229+'11-3'!F229+'12-3'!F229+'13-3'!F229+'14-3'!F229+'15-3'!F229+'16-3'!F229+'17-3'!F229+'18-3'!F229+'19-3'!F229+'21-3'!F229+'22-3'!F229+'24-3'!F229+'25-3'!F229+'28-3'!F229+'29-3'!F229+'30-3'!F229+'32-3'!F229+'35-3'!F229+'37-3'!F229+'47-3'!F229+'62-3'!F229+'64-3'!F229+'74-3'!F229</f>
        <v>0</v>
      </c>
      <c r="G483" s="106">
        <f>'01-3'!G229+'02-3'!G229+'03-3'!G229+'04-3'!G229+'05-3'!G229+'08-3'!G229+'09-3'!G229+'10-3'!G229+'11-3'!G229+'12-3'!G229+'13-3'!G229+'14-3'!G229+'15-3'!G229+'16-3'!G229+'17-3'!G229+'18-3'!G229+'19-3'!G229+'21-3'!G229+'22-3'!G229+'24-3'!G229+'25-3'!G229+'28-3'!G229+'29-3'!G229+'30-3'!G229+'32-3'!G229+'35-3'!G229+'37-3'!G229+'47-3'!G229+'62-3'!G229+'64-3'!G229+'74-3'!G229</f>
        <v>0</v>
      </c>
      <c r="H483" s="106">
        <f>'01-3'!H229+'02-3'!H229+'03-3'!H229+'04-3'!H229+'05-3'!H229+'08-3'!H229+'09-3'!H229+'10-3'!H229+'11-3'!H229+'12-3'!H229+'13-3'!H229+'14-3'!H229+'15-3'!H229+'16-3'!H229+'17-3'!H229+'18-3'!H229+'19-3'!H229+'21-3'!H229+'22-3'!H229+'24-3'!H229+'25-3'!H229+'28-3'!H229+'29-3'!H229+'30-3'!H229+'32-3'!H229+'35-3'!H229+'37-3'!H229+'47-3'!H229+'62-3'!H229+'64-3'!H229+'74-3'!H229</f>
        <v>0</v>
      </c>
      <c r="I483" s="106">
        <f>'01-3'!I229+'02-3'!I229+'03-3'!I229+'04-3'!I229+'05-3'!I229+'08-3'!I229+'09-3'!I229+'10-3'!I229+'11-3'!I229+'12-3'!I229+'13-3'!I229+'14-3'!I229+'15-3'!I229+'16-3'!I229+'17-3'!I229+'18-3'!I229+'19-3'!I229+'21-3'!I229+'22-3'!I229+'24-3'!I229+'25-3'!I229+'28-3'!I229+'29-3'!I229+'30-3'!I229+'32-3'!I229+'35-3'!I229+'37-3'!I229+'47-3'!I229+'62-3'!I229+'64-3'!I229+'74-3'!I229</f>
        <v>0</v>
      </c>
      <c r="J483" s="106">
        <f>'01-3'!J229+'02-3'!J229+'03-3'!J229+'04-3'!J229+'05-3'!J229+'08-3'!J229+'09-3'!J229+'10-3'!J229+'11-3'!J229+'12-3'!J229+'13-3'!J229+'14-3'!J229+'15-3'!J229+'16-3'!J229+'17-3'!J229+'18-3'!J229+'19-3'!J229+'21-3'!J229+'22-3'!J229+'24-3'!J229+'25-3'!J229+'28-3'!J229+'29-3'!J229+'30-3'!J229+'32-3'!J229+'35-3'!J229+'37-3'!J229+'47-3'!J229+'62-3'!J229+'64-3'!J229+'74-3'!J229</f>
        <v>0</v>
      </c>
      <c r="K483" s="106">
        <f>'01-3'!K229+'02-3'!K229+'03-3'!K229+'04-3'!K229+'05-3'!K229+'08-3'!K229+'09-3'!K229+'10-3'!K229+'11-3'!K229+'12-3'!K229+'13-3'!K229+'14-3'!K229+'15-3'!K229+'16-3'!K229+'17-3'!K229+'18-3'!K229+'19-3'!K229+'21-3'!K229+'22-3'!K229+'24-3'!K229+'25-3'!K229+'28-3'!K229+'29-3'!K229+'30-3'!K229+'32-3'!K229+'35-3'!K229+'37-3'!K229+'47-3'!K229+'62-3'!K229+'64-3'!K229+'74-3'!K229</f>
        <v>0</v>
      </c>
      <c r="L483" s="106">
        <f>'01-3'!L229+'02-3'!L229+'03-3'!L229+'04-3'!L229+'05-3'!L229+'08-3'!L229+'09-3'!L229+'10-3'!L229+'11-3'!L229+'12-3'!L229+'13-3'!L229+'14-3'!L229+'15-3'!L229+'16-3'!L229+'17-3'!L229+'18-3'!L229+'19-3'!L229+'21-3'!L229+'22-3'!L229+'24-3'!L229+'25-3'!L229+'28-3'!L229+'29-3'!L229+'30-3'!L229+'32-3'!L229+'35-3'!L229+'37-3'!L229+'47-3'!L229+'62-3'!L229+'64-3'!L229+'74-3'!L229</f>
        <v>0</v>
      </c>
      <c r="M483" s="106">
        <f>'01-3'!M229+'02-3'!M229+'03-3'!M229+'04-3'!M229+'05-3'!M229+'08-3'!M229+'09-3'!M229+'10-3'!M229+'11-3'!M229+'12-3'!M229+'13-3'!M229+'14-3'!M229+'15-3'!M229+'16-3'!M229+'17-3'!M229+'18-3'!M229+'19-3'!M229+'21-3'!M229+'22-3'!M229+'24-3'!M229+'25-3'!M229+'28-3'!M229+'29-3'!M229+'30-3'!M229+'32-3'!M229+'35-3'!M229+'37-3'!M229+'47-3'!M229+'62-3'!M229+'64-3'!M229+'74-3'!M229</f>
        <v>0</v>
      </c>
      <c r="N483" s="106">
        <f>'01-3'!N229+'02-3'!N229+'03-3'!N229+'04-3'!N229+'05-3'!N229+'08-3'!N229+'09-3'!N229+'10-3'!N229+'11-3'!N229+'12-3'!N229+'13-3'!N229+'14-3'!N229+'15-3'!N229+'16-3'!N229+'17-3'!N229+'18-3'!N229+'19-3'!N229+'21-3'!N229+'22-3'!N229+'24-3'!N229+'25-3'!N229+'28-3'!N229+'29-3'!N229+'30-3'!N229+'32-3'!N229+'35-3'!N229+'37-3'!N229+'47-3'!N229+'62-3'!N229+'64-3'!N229+'74-3'!N229</f>
        <v>0</v>
      </c>
      <c r="O483" s="106">
        <f>'01-3'!O229+'02-3'!O229+'03-3'!O229+'04-3'!O229+'05-3'!O229+'08-3'!O229+'09-3'!O229+'10-3'!O229+'11-3'!O229+'12-3'!O229+'13-3'!O229+'14-3'!O229+'15-3'!O229+'16-3'!O229+'17-3'!O229+'18-3'!O229+'19-3'!O229+'21-3'!O229+'22-3'!O229+'24-3'!O229+'25-3'!O229+'28-3'!O229+'29-3'!O229+'30-3'!O229+'32-3'!O229+'35-3'!O229+'37-3'!O229+'47-3'!O229+'62-3'!O229+'64-3'!O229+'74-3'!O229</f>
        <v>0</v>
      </c>
      <c r="P483" s="106">
        <f>'01-3'!P229+'02-3'!P229+'03-3'!P229+'04-3'!P229+'05-3'!P229+'08-3'!P229+'09-3'!P229+'10-3'!P229+'11-3'!P229+'12-3'!P229+'13-3'!P229+'14-3'!P229+'15-3'!P229+'16-3'!P229+'17-3'!P229+'18-3'!P229+'19-3'!P229+'21-3'!P229+'22-3'!P229+'24-3'!P229+'25-3'!P229+'28-3'!P229+'29-3'!P229+'30-3'!P229+'32-3'!P229+'35-3'!P229+'37-3'!P229+'47-3'!P229+'62-3'!P229+'64-3'!P229+'74-3'!P229</f>
        <v>0</v>
      </c>
      <c r="Q483" s="106">
        <f>'01-3'!Q229+'02-3'!Q229+'03-3'!Q229+'04-3'!Q229+'05-3'!Q229+'08-3'!Q229+'09-3'!Q229+'10-3'!Q229+'11-3'!Q229+'12-3'!Q229+'13-3'!Q229+'14-3'!Q229+'15-3'!Q229+'16-3'!Q229+'17-3'!Q229+'18-3'!Q229+'19-3'!Q229+'21-3'!Q229+'22-3'!Q229+'24-3'!Q229+'25-3'!Q229+'28-3'!Q229+'29-3'!Q229+'30-3'!Q229+'32-3'!Q229+'35-3'!Q229+'37-3'!Q229+'47-3'!Q229+'62-3'!Q229+'64-3'!Q229+'74-3'!Q229</f>
        <v>0</v>
      </c>
      <c r="R483" s="106">
        <f>'01-3'!R229+'02-3'!R229+'03-3'!R229+'04-3'!R229+'05-3'!R229+'08-3'!R229+'09-3'!R229+'10-3'!R229+'11-3'!R229+'12-3'!R229+'13-3'!R229+'14-3'!R229+'15-3'!R229+'16-3'!R229+'17-3'!R229+'18-3'!R229+'19-3'!R229+'21-3'!R229+'22-3'!R229+'24-3'!R229+'25-3'!R229+'28-3'!R229+'29-3'!R229+'30-3'!R229+'32-3'!R229+'35-3'!R229+'37-3'!R229+'47-3'!R229+'62-3'!R229+'64-3'!R229+'74-3'!R229</f>
        <v>0</v>
      </c>
      <c r="S483" s="1324"/>
      <c r="T483" s="1324"/>
      <c r="U483" s="1324"/>
      <c r="V483" s="1324"/>
      <c r="W483" s="1324"/>
    </row>
    <row r="484" spans="1:23" s="29" customFormat="1" ht="24">
      <c r="A484" s="132">
        <v>7500</v>
      </c>
      <c r="B484" s="112" t="s">
        <v>157</v>
      </c>
      <c r="C484" s="106">
        <f>'01-3'!C230+'02-3'!C230+'03-3'!C230+'04-3'!C230+'05-3'!C230+'08-3'!C230+'09-3'!C230+'10-3'!C230+'11-3'!C230+'12-3'!C230+'13-3'!C230+'14-3'!C230+'15-3'!C230+'16-3'!C230+'17-3'!C230+'18-3'!C230+'19-3'!C230+'21-3'!C230+'22-3'!C230+'24-3'!C230+'25-3'!C230+'28-3'!C230+'29-3'!C230+'30-3'!C230+'32-3'!C230+'35-3'!C230+'37-3'!C230+'47-3'!C230+'62-3'!C230+'64-3'!C230+'74-3'!C230</f>
        <v>60682560</v>
      </c>
      <c r="D484" s="106">
        <f>'01-3'!D230+'02-3'!D230+'03-3'!D230+'04-3'!D230+'05-3'!D230+'08-3'!D230+'09-3'!D230+'10-3'!D230+'11-3'!D230+'12-3'!D230+'13-3'!D230+'14-3'!D230+'15-3'!D230+'16-3'!D230+'17-3'!D230+'18-3'!D230+'19-3'!D230+'21-3'!D230+'22-3'!D230+'24-3'!D230+'25-3'!D230+'28-3'!D230+'29-3'!D230+'30-3'!D230+'32-3'!D230+'35-3'!D230+'37-3'!D230+'47-3'!D230+'62-3'!D230+'64-3'!D230+'74-3'!D230</f>
        <v>63720825</v>
      </c>
      <c r="E484" s="106">
        <f>'01-3'!E230+'02-3'!E230+'03-3'!E230+'04-3'!E230+'05-3'!E230+'08-3'!E230+'09-3'!E230+'10-3'!E230+'11-3'!E230+'12-3'!E230+'13-3'!E230+'14-3'!E230+'15-3'!E230+'16-3'!E230+'17-3'!E230+'18-3'!E230+'19-3'!E230+'21-3'!E230+'22-3'!E230+'24-3'!E230+'25-3'!E230+'28-3'!E230+'29-3'!E230+'30-3'!E230+'32-3'!E230+'35-3'!E230+'37-3'!E230+'47-3'!E230+'62-3'!E230+'64-3'!E230+'74-3'!E230</f>
        <v>11198014</v>
      </c>
      <c r="F484" s="106">
        <f>'01-3'!F230+'02-3'!F230+'03-3'!F230+'04-3'!F230+'05-3'!F230+'08-3'!F230+'09-3'!F230+'10-3'!F230+'11-3'!F230+'12-3'!F230+'13-3'!F230+'14-3'!F230+'15-3'!F230+'16-3'!F230+'17-3'!F230+'18-3'!F230+'19-3'!F230+'21-3'!F230+'22-3'!F230+'24-3'!F230+'25-3'!F230+'28-3'!F230+'29-3'!F230+'30-3'!F230+'32-3'!F230+'35-3'!F230+'37-3'!F230+'47-3'!F230+'62-3'!F230+'64-3'!F230+'74-3'!F230</f>
        <v>0</v>
      </c>
      <c r="G484" s="106">
        <f>'01-3'!G230+'02-3'!G230+'03-3'!G230+'04-3'!G230+'05-3'!G230+'08-3'!G230+'09-3'!G230+'10-3'!G230+'11-3'!G230+'12-3'!G230+'13-3'!G230+'14-3'!G230+'15-3'!G230+'16-3'!G230+'17-3'!G230+'18-3'!G230+'19-3'!G230+'21-3'!G230+'22-3'!G230+'24-3'!G230+'25-3'!G230+'28-3'!G230+'29-3'!G230+'30-3'!G230+'32-3'!G230+'35-3'!G230+'37-3'!G230+'47-3'!G230+'62-3'!G230+'64-3'!G230+'74-3'!G230</f>
        <v>0</v>
      </c>
      <c r="H484" s="106">
        <f>'01-3'!H230+'02-3'!H230+'03-3'!H230+'04-3'!H230+'05-3'!H230+'08-3'!H230+'09-3'!H230+'10-3'!H230+'11-3'!H230+'12-3'!H230+'13-3'!H230+'14-3'!H230+'15-3'!H230+'16-3'!H230+'17-3'!H230+'18-3'!H230+'19-3'!H230+'21-3'!H230+'22-3'!H230+'24-3'!H230+'25-3'!H230+'28-3'!H230+'29-3'!H230+'30-3'!H230+'32-3'!H230+'35-3'!H230+'37-3'!H230+'47-3'!H230+'62-3'!H230+'64-3'!H230+'74-3'!H230</f>
        <v>74918839</v>
      </c>
      <c r="I484" s="106">
        <f>'01-3'!I230+'02-3'!I230+'03-3'!I230+'04-3'!I230+'05-3'!I230+'08-3'!I230+'09-3'!I230+'10-3'!I230+'11-3'!I230+'12-3'!I230+'13-3'!I230+'14-3'!I230+'15-3'!I230+'16-3'!I230+'17-3'!I230+'18-3'!I230+'19-3'!I230+'21-3'!I230+'22-3'!I230+'24-3'!I230+'25-3'!I230+'28-3'!I230+'29-3'!I230+'30-3'!I230+'32-3'!I230+'35-3'!I230+'37-3'!I230+'47-3'!I230+'62-3'!I230+'64-3'!I230+'74-3'!I230</f>
        <v>21184193</v>
      </c>
      <c r="J484" s="106">
        <f>'01-3'!J230+'02-3'!J230+'03-3'!J230+'04-3'!J230+'05-3'!J230+'08-3'!J230+'09-3'!J230+'10-3'!J230+'11-3'!J230+'12-3'!J230+'13-3'!J230+'14-3'!J230+'15-3'!J230+'16-3'!J230+'17-3'!J230+'18-3'!J230+'19-3'!J230+'21-3'!J230+'22-3'!J230+'24-3'!J230+'25-3'!J230+'28-3'!J230+'29-3'!J230+'30-3'!J230+'32-3'!J230+'35-3'!J230+'37-3'!J230+'47-3'!J230+'62-3'!J230+'64-3'!J230+'74-3'!J230</f>
        <v>9573406</v>
      </c>
      <c r="K484" s="106">
        <f>'01-3'!K230+'02-3'!K230+'03-3'!K230+'04-3'!K230+'05-3'!K230+'08-3'!K230+'09-3'!K230+'10-3'!K230+'11-3'!K230+'12-3'!K230+'13-3'!K230+'14-3'!K230+'15-3'!K230+'16-3'!K230+'17-3'!K230+'18-3'!K230+'19-3'!K230+'21-3'!K230+'22-3'!K230+'24-3'!K230+'25-3'!K230+'28-3'!K230+'29-3'!K230+'30-3'!K230+'32-3'!K230+'35-3'!K230+'37-3'!K230+'47-3'!K230+'62-3'!K230+'64-3'!K230+'74-3'!K230</f>
        <v>0</v>
      </c>
      <c r="L484" s="106">
        <f>'01-3'!L230+'02-3'!L230+'03-3'!L230+'04-3'!L230+'05-3'!L230+'08-3'!L230+'09-3'!L230+'10-3'!L230+'11-3'!L230+'12-3'!L230+'13-3'!L230+'14-3'!L230+'15-3'!L230+'16-3'!L230+'17-3'!L230+'18-3'!L230+'19-3'!L230+'21-3'!L230+'22-3'!L230+'24-3'!L230+'25-3'!L230+'28-3'!L230+'29-3'!L230+'30-3'!L230+'32-3'!L230+'35-3'!L230+'37-3'!L230+'47-3'!L230+'62-3'!L230+'64-3'!L230+'74-3'!L230</f>
        <v>0</v>
      </c>
      <c r="M484" s="106">
        <f>'01-3'!M230+'02-3'!M230+'03-3'!M230+'04-3'!M230+'05-3'!M230+'08-3'!M230+'09-3'!M230+'10-3'!M230+'11-3'!M230+'12-3'!M230+'13-3'!M230+'14-3'!M230+'15-3'!M230+'16-3'!M230+'17-3'!M230+'18-3'!M230+'19-3'!M230+'21-3'!M230+'22-3'!M230+'24-3'!M230+'25-3'!M230+'28-3'!M230+'29-3'!M230+'30-3'!M230+'32-3'!M230+'35-3'!M230+'37-3'!M230+'47-3'!M230+'62-3'!M230+'64-3'!M230+'74-3'!M230</f>
        <v>30757599</v>
      </c>
      <c r="N484" s="106">
        <f>'01-3'!N230+'02-3'!N230+'03-3'!N230+'04-3'!N230+'05-3'!N230+'08-3'!N230+'09-3'!N230+'10-3'!N230+'11-3'!N230+'12-3'!N230+'13-3'!N230+'14-3'!N230+'15-3'!N230+'16-3'!N230+'17-3'!N230+'18-3'!N230+'19-3'!N230+'21-3'!N230+'22-3'!N230+'24-3'!N230+'25-3'!N230+'28-3'!N230+'29-3'!N230+'30-3'!N230+'32-3'!N230+'35-3'!N230+'37-3'!N230+'47-3'!N230+'62-3'!N230+'64-3'!N230+'74-3'!N230</f>
        <v>11582862</v>
      </c>
      <c r="O484" s="106">
        <f>'01-3'!O230+'02-3'!O230+'03-3'!O230+'04-3'!O230+'05-3'!O230+'08-3'!O230+'09-3'!O230+'10-3'!O230+'11-3'!O230+'12-3'!O230+'13-3'!O230+'14-3'!O230+'15-3'!O230+'16-3'!O230+'17-3'!O230+'18-3'!O230+'19-3'!O230+'21-3'!O230+'22-3'!O230+'24-3'!O230+'25-3'!O230+'28-3'!O230+'29-3'!O230+'30-3'!O230+'32-3'!O230+'35-3'!O230+'37-3'!O230+'47-3'!O230+'62-3'!O230+'64-3'!O230+'74-3'!O230</f>
        <v>2659930</v>
      </c>
      <c r="P484" s="106">
        <f>'01-3'!P230+'02-3'!P230+'03-3'!P230+'04-3'!P230+'05-3'!P230+'08-3'!P230+'09-3'!P230+'10-3'!P230+'11-3'!P230+'12-3'!P230+'13-3'!P230+'14-3'!P230+'15-3'!P230+'16-3'!P230+'17-3'!P230+'18-3'!P230+'19-3'!P230+'21-3'!P230+'22-3'!P230+'24-3'!P230+'25-3'!P230+'28-3'!P230+'29-3'!P230+'30-3'!P230+'32-3'!P230+'35-3'!P230+'37-3'!P230+'47-3'!P230+'62-3'!P230+'64-3'!P230+'74-3'!P230</f>
        <v>0</v>
      </c>
      <c r="Q484" s="106">
        <f>'01-3'!Q230+'02-3'!Q230+'03-3'!Q230+'04-3'!Q230+'05-3'!Q230+'08-3'!Q230+'09-3'!Q230+'10-3'!Q230+'11-3'!Q230+'12-3'!Q230+'13-3'!Q230+'14-3'!Q230+'15-3'!Q230+'16-3'!Q230+'17-3'!Q230+'18-3'!Q230+'19-3'!Q230+'21-3'!Q230+'22-3'!Q230+'24-3'!Q230+'25-3'!Q230+'28-3'!Q230+'29-3'!Q230+'30-3'!Q230+'32-3'!Q230+'35-3'!Q230+'37-3'!Q230+'47-3'!Q230+'62-3'!Q230+'64-3'!Q230+'74-3'!Q230</f>
        <v>0</v>
      </c>
      <c r="R484" s="106">
        <f>'01-3'!R230+'02-3'!R230+'03-3'!R230+'04-3'!R230+'05-3'!R230+'08-3'!R230+'09-3'!R230+'10-3'!R230+'11-3'!R230+'12-3'!R230+'13-3'!R230+'14-3'!R230+'15-3'!R230+'16-3'!R230+'17-3'!R230+'18-3'!R230+'19-3'!R230+'21-3'!R230+'22-3'!R230+'24-3'!R230+'25-3'!R230+'28-3'!R230+'29-3'!R230+'30-3'!R230+'32-3'!R230+'35-3'!R230+'37-3'!R230+'47-3'!R230+'62-3'!R230+'64-3'!R230+'74-3'!R230</f>
        <v>14242792</v>
      </c>
      <c r="S484" s="1324"/>
      <c r="T484" s="1324"/>
      <c r="U484" s="1324"/>
      <c r="V484" s="1324"/>
      <c r="W484" s="1324"/>
    </row>
    <row r="485" spans="1:23" s="29" customFormat="1" ht="12">
      <c r="A485" s="140" t="s">
        <v>133</v>
      </c>
      <c r="B485" s="100" t="s">
        <v>122</v>
      </c>
      <c r="C485" s="106">
        <f>'01-3'!C231+'02-3'!C231+'03-3'!C231+'04-3'!C231+'05-3'!C231+'08-3'!C231+'09-3'!C231+'10-3'!C231+'11-3'!C231+'12-3'!C231+'13-3'!C231+'14-3'!C231+'15-3'!C231+'16-3'!C231+'17-3'!C231+'18-3'!C231+'19-3'!C231+'21-3'!C231+'22-3'!C231+'24-3'!C231+'25-3'!C231+'28-3'!C231+'29-3'!C231+'30-3'!C231+'32-3'!C231+'35-3'!C231+'37-3'!C231+'47-3'!C231+'62-3'!C231+'64-3'!C231+'74-3'!C231</f>
        <v>389544456</v>
      </c>
      <c r="D485" s="106">
        <f>'01-3'!D231+'02-3'!D231+'03-3'!D231+'04-3'!D231+'05-3'!D231+'08-3'!D231+'09-3'!D231+'10-3'!D231+'11-3'!D231+'12-3'!D231+'13-3'!D231+'14-3'!D231+'15-3'!D231+'16-3'!D231+'17-3'!D231+'18-3'!D231+'19-3'!D231+'21-3'!D231+'22-3'!D231+'24-3'!D231+'25-3'!D231+'28-3'!D231+'29-3'!D231+'30-3'!D231+'32-3'!D231+'35-3'!D231+'37-3'!D231+'47-3'!D231+'62-3'!D231+'64-3'!D231+'74-3'!D231</f>
        <v>303344955</v>
      </c>
      <c r="E485" s="106">
        <f>'01-3'!E231+'02-3'!E231+'03-3'!E231+'04-3'!E231+'05-3'!E231+'08-3'!E231+'09-3'!E231+'10-3'!E231+'11-3'!E231+'12-3'!E231+'13-3'!E231+'14-3'!E231+'15-3'!E231+'16-3'!E231+'17-3'!E231+'18-3'!E231+'19-3'!E231+'21-3'!E231+'22-3'!E231+'24-3'!E231+'25-3'!E231+'28-3'!E231+'29-3'!E231+'30-3'!E231+'32-3'!E231+'35-3'!E231+'37-3'!E231+'47-3'!E231+'62-3'!E231+'64-3'!E231+'74-3'!E231</f>
        <v>4516000</v>
      </c>
      <c r="F485" s="106">
        <f>'01-3'!F231+'02-3'!F231+'03-3'!F231+'04-3'!F231+'05-3'!F231+'08-3'!F231+'09-3'!F231+'10-3'!F231+'11-3'!F231+'12-3'!F231+'13-3'!F231+'14-3'!F231+'15-3'!F231+'16-3'!F231+'17-3'!F231+'18-3'!F231+'19-3'!F231+'21-3'!F231+'22-3'!F231+'24-3'!F231+'25-3'!F231+'28-3'!F231+'29-3'!F231+'30-3'!F231+'32-3'!F231+'35-3'!F231+'37-3'!F231+'47-3'!F231+'62-3'!F231+'64-3'!F231+'74-3'!F231</f>
        <v>0</v>
      </c>
      <c r="G485" s="106">
        <f>'01-3'!G231+'02-3'!G231+'03-3'!G231+'04-3'!G231+'05-3'!G231+'08-3'!G231+'09-3'!G231+'10-3'!G231+'11-3'!G231+'12-3'!G231+'13-3'!G231+'14-3'!G231+'15-3'!G231+'16-3'!G231+'17-3'!G231+'18-3'!G231+'19-3'!G231+'21-3'!G231+'22-3'!G231+'24-3'!G231+'25-3'!G231+'28-3'!G231+'29-3'!G231+'30-3'!G231+'32-3'!G231+'35-3'!G231+'37-3'!G231+'47-3'!G231+'62-3'!G231+'64-3'!G231+'74-3'!G231</f>
        <v>0</v>
      </c>
      <c r="H485" s="106">
        <f>'01-3'!H231+'02-3'!H231+'03-3'!H231+'04-3'!H231+'05-3'!H231+'08-3'!H231+'09-3'!H231+'10-3'!H231+'11-3'!H231+'12-3'!H231+'13-3'!H231+'14-3'!H231+'15-3'!H231+'16-3'!H231+'17-3'!H231+'18-3'!H231+'19-3'!H231+'21-3'!H231+'22-3'!H231+'24-3'!H231+'25-3'!H231+'28-3'!H231+'29-3'!H231+'30-3'!H231+'32-3'!H231+'35-3'!H231+'37-3'!H231+'47-3'!H231+'62-3'!H231+'64-3'!H231+'74-3'!H231</f>
        <v>307860955</v>
      </c>
      <c r="I485" s="106">
        <f>'01-3'!I231+'02-3'!I231+'03-3'!I231+'04-3'!I231+'05-3'!I231+'08-3'!I231+'09-3'!I231+'10-3'!I231+'11-3'!I231+'12-3'!I231+'13-3'!I231+'14-3'!I231+'15-3'!I231+'16-3'!I231+'17-3'!I231+'18-3'!I231+'19-3'!I231+'21-3'!I231+'22-3'!I231+'24-3'!I231+'25-3'!I231+'28-3'!I231+'29-3'!I231+'30-3'!I231+'32-3'!I231+'35-3'!I231+'37-3'!I231+'47-3'!I231+'62-3'!I231+'64-3'!I231+'74-3'!I231</f>
        <v>68341393</v>
      </c>
      <c r="J485" s="106">
        <f>'01-3'!J231+'02-3'!J231+'03-3'!J231+'04-3'!J231+'05-3'!J231+'08-3'!J231+'09-3'!J231+'10-3'!J231+'11-3'!J231+'12-3'!J231+'13-3'!J231+'14-3'!J231+'15-3'!J231+'16-3'!J231+'17-3'!J231+'18-3'!J231+'19-3'!J231+'21-3'!J231+'22-3'!J231+'24-3'!J231+'25-3'!J231+'28-3'!J231+'29-3'!J231+'30-3'!J231+'32-3'!J231+'35-3'!J231+'37-3'!J231+'47-3'!J231+'62-3'!J231+'64-3'!J231+'74-3'!J231</f>
        <v>1360000</v>
      </c>
      <c r="K485" s="106">
        <f>'01-3'!K231+'02-3'!K231+'03-3'!K231+'04-3'!K231+'05-3'!K231+'08-3'!K231+'09-3'!K231+'10-3'!K231+'11-3'!K231+'12-3'!K231+'13-3'!K231+'14-3'!K231+'15-3'!K231+'16-3'!K231+'17-3'!K231+'18-3'!K231+'19-3'!K231+'21-3'!K231+'22-3'!K231+'24-3'!K231+'25-3'!K231+'28-3'!K231+'29-3'!K231+'30-3'!K231+'32-3'!K231+'35-3'!K231+'37-3'!K231+'47-3'!K231+'62-3'!K231+'64-3'!K231+'74-3'!K231</f>
        <v>0</v>
      </c>
      <c r="L485" s="106">
        <f>'01-3'!L231+'02-3'!L231+'03-3'!L231+'04-3'!L231+'05-3'!L231+'08-3'!L231+'09-3'!L231+'10-3'!L231+'11-3'!L231+'12-3'!L231+'13-3'!L231+'14-3'!L231+'15-3'!L231+'16-3'!L231+'17-3'!L231+'18-3'!L231+'19-3'!L231+'21-3'!L231+'22-3'!L231+'24-3'!L231+'25-3'!L231+'28-3'!L231+'29-3'!L231+'30-3'!L231+'32-3'!L231+'35-3'!L231+'37-3'!L231+'47-3'!L231+'62-3'!L231+'64-3'!L231+'74-3'!L231</f>
        <v>0</v>
      </c>
      <c r="M485" s="106">
        <f>'01-3'!M231+'02-3'!M231+'03-3'!M231+'04-3'!M231+'05-3'!M231+'08-3'!M231+'09-3'!M231+'10-3'!M231+'11-3'!M231+'12-3'!M231+'13-3'!M231+'14-3'!M231+'15-3'!M231+'16-3'!M231+'17-3'!M231+'18-3'!M231+'19-3'!M231+'21-3'!M231+'22-3'!M231+'24-3'!M231+'25-3'!M231+'28-3'!M231+'29-3'!M231+'30-3'!M231+'32-3'!M231+'35-3'!M231+'37-3'!M231+'47-3'!M231+'62-3'!M231+'64-3'!M231+'74-3'!M231</f>
        <v>69701393</v>
      </c>
      <c r="N485" s="106">
        <f>'01-3'!N231+'02-3'!N231+'03-3'!N231+'04-3'!N231+'05-3'!N231+'08-3'!N231+'09-3'!N231+'10-3'!N231+'11-3'!N231+'12-3'!N231+'13-3'!N231+'14-3'!N231+'15-3'!N231+'16-3'!N231+'17-3'!N231+'18-3'!N231+'19-3'!N231+'21-3'!N231+'22-3'!N231+'24-3'!N231+'25-3'!N231+'28-3'!N231+'29-3'!N231+'30-3'!N231+'32-3'!N231+'35-3'!N231+'37-3'!N231+'47-3'!N231+'62-3'!N231+'64-3'!N231+'74-3'!N231</f>
        <v>20255832</v>
      </c>
      <c r="O485" s="106">
        <f>'01-3'!O231+'02-3'!O231+'03-3'!O231+'04-3'!O231+'05-3'!O231+'08-3'!O231+'09-3'!O231+'10-3'!O231+'11-3'!O231+'12-3'!O231+'13-3'!O231+'14-3'!O231+'15-3'!O231+'16-3'!O231+'17-3'!O231+'18-3'!O231+'19-3'!O231+'21-3'!O231+'22-3'!O231+'24-3'!O231+'25-3'!O231+'28-3'!O231+'29-3'!O231+'30-3'!O231+'32-3'!O231+'35-3'!O231+'37-3'!O231+'47-3'!O231+'62-3'!O231+'64-3'!O231+'74-3'!O231</f>
        <v>218528</v>
      </c>
      <c r="P485" s="106">
        <f>'01-3'!P231+'02-3'!P231+'03-3'!P231+'04-3'!P231+'05-3'!P231+'08-3'!P231+'09-3'!P231+'10-3'!P231+'11-3'!P231+'12-3'!P231+'13-3'!P231+'14-3'!P231+'15-3'!P231+'16-3'!P231+'17-3'!P231+'18-3'!P231+'19-3'!P231+'21-3'!P231+'22-3'!P231+'24-3'!P231+'25-3'!P231+'28-3'!P231+'29-3'!P231+'30-3'!P231+'32-3'!P231+'35-3'!P231+'37-3'!P231+'47-3'!P231+'62-3'!P231+'64-3'!P231+'74-3'!P231</f>
        <v>0</v>
      </c>
      <c r="Q485" s="106">
        <f>'01-3'!Q231+'02-3'!Q231+'03-3'!Q231+'04-3'!Q231+'05-3'!Q231+'08-3'!Q231+'09-3'!Q231+'10-3'!Q231+'11-3'!Q231+'12-3'!Q231+'13-3'!Q231+'14-3'!Q231+'15-3'!Q231+'16-3'!Q231+'17-3'!Q231+'18-3'!Q231+'19-3'!Q231+'21-3'!Q231+'22-3'!Q231+'24-3'!Q231+'25-3'!Q231+'28-3'!Q231+'29-3'!Q231+'30-3'!Q231+'32-3'!Q231+'35-3'!Q231+'37-3'!Q231+'47-3'!Q231+'62-3'!Q231+'64-3'!Q231+'74-3'!Q231</f>
        <v>0</v>
      </c>
      <c r="R485" s="106">
        <f>'01-3'!R231+'02-3'!R231+'03-3'!R231+'04-3'!R231+'05-3'!R231+'08-3'!R231+'09-3'!R231+'10-3'!R231+'11-3'!R231+'12-3'!R231+'13-3'!R231+'14-3'!R231+'15-3'!R231+'16-3'!R231+'17-3'!R231+'18-3'!R231+'19-3'!R231+'21-3'!R231+'22-3'!R231+'24-3'!R231+'25-3'!R231+'28-3'!R231+'29-3'!R231+'30-3'!R231+'32-3'!R231+'35-3'!R231+'37-3'!R231+'47-3'!R231+'62-3'!R231+'64-3'!R231+'74-3'!R231</f>
        <v>20474360</v>
      </c>
      <c r="S485" s="1324"/>
      <c r="T485" s="1324"/>
      <c r="U485" s="1324"/>
      <c r="V485" s="1324"/>
      <c r="W485" s="1324"/>
    </row>
    <row r="486" spans="1:23" s="29" customFormat="1" ht="12">
      <c r="A486" s="140">
        <v>5000</v>
      </c>
      <c r="B486" s="100" t="s">
        <v>123</v>
      </c>
      <c r="C486" s="106">
        <f>'01-3'!C232+'02-3'!C232+'03-3'!C232+'04-3'!C232+'05-3'!C232+'08-3'!C232+'09-3'!C232+'10-3'!C232+'11-3'!C232+'12-3'!C232+'13-3'!C232+'14-3'!C232+'15-3'!C232+'16-3'!C232+'17-3'!C232+'18-3'!C232+'19-3'!C232+'21-3'!C232+'22-3'!C232+'24-3'!C232+'25-3'!C232+'28-3'!C232+'29-3'!C232+'30-3'!C232+'32-3'!C232+'35-3'!C232+'37-3'!C232+'47-3'!C232+'62-3'!C232+'64-3'!C232+'74-3'!C232</f>
        <v>168776498</v>
      </c>
      <c r="D486" s="106">
        <f>'01-3'!D232+'02-3'!D232+'03-3'!D232+'04-3'!D232+'05-3'!D232+'08-3'!D232+'09-3'!D232+'10-3'!D232+'11-3'!D232+'12-3'!D232+'13-3'!D232+'14-3'!D232+'15-3'!D232+'16-3'!D232+'17-3'!D232+'18-3'!D232+'19-3'!D232+'21-3'!D232+'22-3'!D232+'24-3'!D232+'25-3'!D232+'28-3'!D232+'29-3'!D232+'30-3'!D232+'32-3'!D232+'35-3'!D232+'37-3'!D232+'47-3'!D232+'62-3'!D232+'64-3'!D232+'74-3'!D232</f>
        <v>108446502</v>
      </c>
      <c r="E486" s="106">
        <f>'01-3'!E232+'02-3'!E232+'03-3'!E232+'04-3'!E232+'05-3'!E232+'08-3'!E232+'09-3'!E232+'10-3'!E232+'11-3'!E232+'12-3'!E232+'13-3'!E232+'14-3'!E232+'15-3'!E232+'16-3'!E232+'17-3'!E232+'18-3'!E232+'19-3'!E232+'21-3'!E232+'22-3'!E232+'24-3'!E232+'25-3'!E232+'28-3'!E232+'29-3'!E232+'30-3'!E232+'32-3'!E232+'35-3'!E232+'37-3'!E232+'47-3'!E232+'62-3'!E232+'64-3'!E232+'74-3'!E232</f>
        <v>3660655</v>
      </c>
      <c r="F486" s="106">
        <f>'01-3'!F232+'02-3'!F232+'03-3'!F232+'04-3'!F232+'05-3'!F232+'08-3'!F232+'09-3'!F232+'10-3'!F232+'11-3'!F232+'12-3'!F232+'13-3'!F232+'14-3'!F232+'15-3'!F232+'16-3'!F232+'17-3'!F232+'18-3'!F232+'19-3'!F232+'21-3'!F232+'22-3'!F232+'24-3'!F232+'25-3'!F232+'28-3'!F232+'29-3'!F232+'30-3'!F232+'32-3'!F232+'35-3'!F232+'37-3'!F232+'47-3'!F232+'62-3'!F232+'64-3'!F232+'74-3'!F232</f>
        <v>0</v>
      </c>
      <c r="G486" s="106">
        <f>'01-3'!G232+'02-3'!G232+'03-3'!G232+'04-3'!G232+'05-3'!G232+'08-3'!G232+'09-3'!G232+'10-3'!G232+'11-3'!G232+'12-3'!G232+'13-3'!G232+'14-3'!G232+'15-3'!G232+'16-3'!G232+'17-3'!G232+'18-3'!G232+'19-3'!G232+'21-3'!G232+'22-3'!G232+'24-3'!G232+'25-3'!G232+'28-3'!G232+'29-3'!G232+'30-3'!G232+'32-3'!G232+'35-3'!G232+'37-3'!G232+'47-3'!G232+'62-3'!G232+'64-3'!G232+'74-3'!G232</f>
        <v>0</v>
      </c>
      <c r="H486" s="106">
        <f>'01-3'!H232+'02-3'!H232+'03-3'!H232+'04-3'!H232+'05-3'!H232+'08-3'!H232+'09-3'!H232+'10-3'!H232+'11-3'!H232+'12-3'!H232+'13-3'!H232+'14-3'!H232+'15-3'!H232+'16-3'!H232+'17-3'!H232+'18-3'!H232+'19-3'!H232+'21-3'!H232+'22-3'!H232+'24-3'!H232+'25-3'!H232+'28-3'!H232+'29-3'!H232+'30-3'!H232+'32-3'!H232+'35-3'!H232+'37-3'!H232+'47-3'!H232+'62-3'!H232+'64-3'!H232+'74-3'!H232</f>
        <v>112107157</v>
      </c>
      <c r="I486" s="106">
        <f>'01-3'!I232+'02-3'!I232+'03-3'!I232+'04-3'!I232+'05-3'!I232+'08-3'!I232+'09-3'!I232+'10-3'!I232+'11-3'!I232+'12-3'!I232+'13-3'!I232+'14-3'!I232+'15-3'!I232+'16-3'!I232+'17-3'!I232+'18-3'!I232+'19-3'!I232+'21-3'!I232+'22-3'!I232+'24-3'!I232+'25-3'!I232+'28-3'!I232+'29-3'!I232+'30-3'!I232+'32-3'!I232+'35-3'!I232+'37-3'!I232+'47-3'!I232+'62-3'!I232+'64-3'!I232+'74-3'!I232</f>
        <v>12408354</v>
      </c>
      <c r="J486" s="106">
        <f>'01-3'!J232+'02-3'!J232+'03-3'!J232+'04-3'!J232+'05-3'!J232+'08-3'!J232+'09-3'!J232+'10-3'!J232+'11-3'!J232+'12-3'!J232+'13-3'!J232+'14-3'!J232+'15-3'!J232+'16-3'!J232+'17-3'!J232+'18-3'!J232+'19-3'!J232+'21-3'!J232+'22-3'!J232+'24-3'!J232+'25-3'!J232+'28-3'!J232+'29-3'!J232+'30-3'!J232+'32-3'!J232+'35-3'!J232+'37-3'!J232+'47-3'!J232+'62-3'!J232+'64-3'!J232+'74-3'!J232</f>
        <v>1360000</v>
      </c>
      <c r="K486" s="106">
        <f>'01-3'!K232+'02-3'!K232+'03-3'!K232+'04-3'!K232+'05-3'!K232+'08-3'!K232+'09-3'!K232+'10-3'!K232+'11-3'!K232+'12-3'!K232+'13-3'!K232+'14-3'!K232+'15-3'!K232+'16-3'!K232+'17-3'!K232+'18-3'!K232+'19-3'!K232+'21-3'!K232+'22-3'!K232+'24-3'!K232+'25-3'!K232+'28-3'!K232+'29-3'!K232+'30-3'!K232+'32-3'!K232+'35-3'!K232+'37-3'!K232+'47-3'!K232+'62-3'!K232+'64-3'!K232+'74-3'!K232</f>
        <v>0</v>
      </c>
      <c r="L486" s="106">
        <f>'01-3'!L232+'02-3'!L232+'03-3'!L232+'04-3'!L232+'05-3'!L232+'08-3'!L232+'09-3'!L232+'10-3'!L232+'11-3'!L232+'12-3'!L232+'13-3'!L232+'14-3'!L232+'15-3'!L232+'16-3'!L232+'17-3'!L232+'18-3'!L232+'19-3'!L232+'21-3'!L232+'22-3'!L232+'24-3'!L232+'25-3'!L232+'28-3'!L232+'29-3'!L232+'30-3'!L232+'32-3'!L232+'35-3'!L232+'37-3'!L232+'47-3'!L232+'62-3'!L232+'64-3'!L232+'74-3'!L232</f>
        <v>0</v>
      </c>
      <c r="M486" s="106">
        <f>'01-3'!M232+'02-3'!M232+'03-3'!M232+'04-3'!M232+'05-3'!M232+'08-3'!M232+'09-3'!M232+'10-3'!M232+'11-3'!M232+'12-3'!M232+'13-3'!M232+'14-3'!M232+'15-3'!M232+'16-3'!M232+'17-3'!M232+'18-3'!M232+'19-3'!M232+'21-3'!M232+'22-3'!M232+'24-3'!M232+'25-3'!M232+'28-3'!M232+'29-3'!M232+'30-3'!M232+'32-3'!M232+'35-3'!M232+'37-3'!M232+'47-3'!M232+'62-3'!M232+'64-3'!M232+'74-3'!M232</f>
        <v>13768354</v>
      </c>
      <c r="N486" s="106">
        <f>'01-3'!N232+'02-3'!N232+'03-3'!N232+'04-3'!N232+'05-3'!N232+'08-3'!N232+'09-3'!N232+'10-3'!N232+'11-3'!N232+'12-3'!N232+'13-3'!N232+'14-3'!N232+'15-3'!N232+'16-3'!N232+'17-3'!N232+'18-3'!N232+'19-3'!N232+'21-3'!N232+'22-3'!N232+'24-3'!N232+'25-3'!N232+'28-3'!N232+'29-3'!N232+'30-3'!N232+'32-3'!N232+'35-3'!N232+'37-3'!N232+'47-3'!N232+'62-3'!N232+'64-3'!N232+'74-3'!N232</f>
        <v>5014652</v>
      </c>
      <c r="O486" s="106">
        <f>'01-3'!O232+'02-3'!O232+'03-3'!O232+'04-3'!O232+'05-3'!O232+'08-3'!O232+'09-3'!O232+'10-3'!O232+'11-3'!O232+'12-3'!O232+'13-3'!O232+'14-3'!O232+'15-3'!O232+'16-3'!O232+'17-3'!O232+'18-3'!O232+'19-3'!O232+'21-3'!O232+'22-3'!O232+'24-3'!O232+'25-3'!O232+'28-3'!O232+'29-3'!O232+'30-3'!O232+'32-3'!O232+'35-3'!O232+'37-3'!O232+'47-3'!O232+'62-3'!O232+'64-3'!O232+'74-3'!O232</f>
        <v>218528</v>
      </c>
      <c r="P486" s="106">
        <f>'01-3'!P232+'02-3'!P232+'03-3'!P232+'04-3'!P232+'05-3'!P232+'08-3'!P232+'09-3'!P232+'10-3'!P232+'11-3'!P232+'12-3'!P232+'13-3'!P232+'14-3'!P232+'15-3'!P232+'16-3'!P232+'17-3'!P232+'18-3'!P232+'19-3'!P232+'21-3'!P232+'22-3'!P232+'24-3'!P232+'25-3'!P232+'28-3'!P232+'29-3'!P232+'30-3'!P232+'32-3'!P232+'35-3'!P232+'37-3'!P232+'47-3'!P232+'62-3'!P232+'64-3'!P232+'74-3'!P232</f>
        <v>0</v>
      </c>
      <c r="Q486" s="106">
        <f>'01-3'!Q232+'02-3'!Q232+'03-3'!Q232+'04-3'!Q232+'05-3'!Q232+'08-3'!Q232+'09-3'!Q232+'10-3'!Q232+'11-3'!Q232+'12-3'!Q232+'13-3'!Q232+'14-3'!Q232+'15-3'!Q232+'16-3'!Q232+'17-3'!Q232+'18-3'!Q232+'19-3'!Q232+'21-3'!Q232+'22-3'!Q232+'24-3'!Q232+'25-3'!Q232+'28-3'!Q232+'29-3'!Q232+'30-3'!Q232+'32-3'!Q232+'35-3'!Q232+'37-3'!Q232+'47-3'!Q232+'62-3'!Q232+'64-3'!Q232+'74-3'!Q232</f>
        <v>0</v>
      </c>
      <c r="R486" s="106">
        <f>'01-3'!R232+'02-3'!R232+'03-3'!R232+'04-3'!R232+'05-3'!R232+'08-3'!R232+'09-3'!R232+'10-3'!R232+'11-3'!R232+'12-3'!R232+'13-3'!R232+'14-3'!R232+'15-3'!R232+'16-3'!R232+'17-3'!R232+'18-3'!R232+'19-3'!R232+'21-3'!R232+'22-3'!R232+'24-3'!R232+'25-3'!R232+'28-3'!R232+'29-3'!R232+'30-3'!R232+'32-3'!R232+'35-3'!R232+'37-3'!R232+'47-3'!R232+'62-3'!R232+'64-3'!R232+'74-3'!R232</f>
        <v>5233180</v>
      </c>
      <c r="S486" s="1324"/>
      <c r="T486" s="1324"/>
      <c r="U486" s="1324"/>
      <c r="V486" s="1324"/>
      <c r="W486" s="1324"/>
    </row>
    <row r="487" spans="1:23" s="29" customFormat="1" ht="12">
      <c r="A487" s="140">
        <v>9000</v>
      </c>
      <c r="B487" s="115" t="s">
        <v>164</v>
      </c>
      <c r="C487" s="106">
        <f>'01-3'!C233+'02-3'!C233+'03-3'!C233+'04-3'!C233+'05-3'!C233+'08-3'!C233+'09-3'!C233+'10-3'!C233+'11-3'!C233+'12-3'!C233+'13-3'!C233+'14-3'!C233+'15-3'!C233+'16-3'!C233+'17-3'!C233+'18-3'!C233+'19-3'!C233+'21-3'!C233+'22-3'!C233+'24-3'!C233+'25-3'!C233+'28-3'!C233+'29-3'!C233+'30-3'!C233+'32-3'!C233+'35-3'!C233+'37-3'!C233+'47-3'!C233+'62-3'!C233+'64-3'!C233+'74-3'!C233</f>
        <v>220767958</v>
      </c>
      <c r="D487" s="106">
        <f>'01-3'!D233+'02-3'!D233+'03-3'!D233+'04-3'!D233+'05-3'!D233+'08-3'!D233+'09-3'!D233+'10-3'!D233+'11-3'!D233+'12-3'!D233+'13-3'!D233+'14-3'!D233+'15-3'!D233+'16-3'!D233+'17-3'!D233+'18-3'!D233+'19-3'!D233+'21-3'!D233+'22-3'!D233+'24-3'!D233+'25-3'!D233+'28-3'!D233+'29-3'!D233+'30-3'!D233+'32-3'!D233+'35-3'!D233+'37-3'!D233+'47-3'!D233+'62-3'!D233+'64-3'!D233+'74-3'!D233</f>
        <v>194898453</v>
      </c>
      <c r="E487" s="106">
        <f>'01-3'!E233+'02-3'!E233+'03-3'!E233+'04-3'!E233+'05-3'!E233+'08-3'!E233+'09-3'!E233+'10-3'!E233+'11-3'!E233+'12-3'!E233+'13-3'!E233+'14-3'!E233+'15-3'!E233+'16-3'!E233+'17-3'!E233+'18-3'!E233+'19-3'!E233+'21-3'!E233+'22-3'!E233+'24-3'!E233+'25-3'!E233+'28-3'!E233+'29-3'!E233+'30-3'!E233+'32-3'!E233+'35-3'!E233+'37-3'!E233+'47-3'!E233+'62-3'!E233+'64-3'!E233+'74-3'!E233</f>
        <v>855345</v>
      </c>
      <c r="F487" s="106">
        <f>'01-3'!F233+'02-3'!F233+'03-3'!F233+'04-3'!F233+'05-3'!F233+'08-3'!F233+'09-3'!F233+'10-3'!F233+'11-3'!F233+'12-3'!F233+'13-3'!F233+'14-3'!F233+'15-3'!F233+'16-3'!F233+'17-3'!F233+'18-3'!F233+'19-3'!F233+'21-3'!F233+'22-3'!F233+'24-3'!F233+'25-3'!F233+'28-3'!F233+'29-3'!F233+'30-3'!F233+'32-3'!F233+'35-3'!F233+'37-3'!F233+'47-3'!F233+'62-3'!F233+'64-3'!F233+'74-3'!F233</f>
        <v>0</v>
      </c>
      <c r="G487" s="106">
        <f>'01-3'!G233+'02-3'!G233+'03-3'!G233+'04-3'!G233+'05-3'!G233+'08-3'!G233+'09-3'!G233+'10-3'!G233+'11-3'!G233+'12-3'!G233+'13-3'!G233+'14-3'!G233+'15-3'!G233+'16-3'!G233+'17-3'!G233+'18-3'!G233+'19-3'!G233+'21-3'!G233+'22-3'!G233+'24-3'!G233+'25-3'!G233+'28-3'!G233+'29-3'!G233+'30-3'!G233+'32-3'!G233+'35-3'!G233+'37-3'!G233+'47-3'!G233+'62-3'!G233+'64-3'!G233+'74-3'!G233</f>
        <v>0</v>
      </c>
      <c r="H487" s="106">
        <f>'01-3'!H233+'02-3'!H233+'03-3'!H233+'04-3'!H233+'05-3'!H233+'08-3'!H233+'09-3'!H233+'10-3'!H233+'11-3'!H233+'12-3'!H233+'13-3'!H233+'14-3'!H233+'15-3'!H233+'16-3'!H233+'17-3'!H233+'18-3'!H233+'19-3'!H233+'21-3'!H233+'22-3'!H233+'24-3'!H233+'25-3'!H233+'28-3'!H233+'29-3'!H233+'30-3'!H233+'32-3'!H233+'35-3'!H233+'37-3'!H233+'47-3'!H233+'62-3'!H233+'64-3'!H233+'74-3'!H233</f>
        <v>195753798</v>
      </c>
      <c r="I487" s="106">
        <f>'01-3'!I233+'02-3'!I233+'03-3'!I233+'04-3'!I233+'05-3'!I233+'08-3'!I233+'09-3'!I233+'10-3'!I233+'11-3'!I233+'12-3'!I233+'13-3'!I233+'14-3'!I233+'15-3'!I233+'16-3'!I233+'17-3'!I233+'18-3'!I233+'19-3'!I233+'21-3'!I233+'22-3'!I233+'24-3'!I233+'25-3'!I233+'28-3'!I233+'29-3'!I233+'30-3'!I233+'32-3'!I233+'35-3'!I233+'37-3'!I233+'47-3'!I233+'62-3'!I233+'64-3'!I233+'74-3'!I233</f>
        <v>55933039</v>
      </c>
      <c r="J487" s="106">
        <f>'01-3'!J233+'02-3'!J233+'03-3'!J233+'04-3'!J233+'05-3'!J233+'08-3'!J233+'09-3'!J233+'10-3'!J233+'11-3'!J233+'12-3'!J233+'13-3'!J233+'14-3'!J233+'15-3'!J233+'16-3'!J233+'17-3'!J233+'18-3'!J233+'19-3'!J233+'21-3'!J233+'22-3'!J233+'24-3'!J233+'25-3'!J233+'28-3'!J233+'29-3'!J233+'30-3'!J233+'32-3'!J233+'35-3'!J233+'37-3'!J233+'47-3'!J233+'62-3'!J233+'64-3'!J233+'74-3'!J233</f>
        <v>0</v>
      </c>
      <c r="K487" s="106">
        <f>'01-3'!K233+'02-3'!K233+'03-3'!K233+'04-3'!K233+'05-3'!K233+'08-3'!K233+'09-3'!K233+'10-3'!K233+'11-3'!K233+'12-3'!K233+'13-3'!K233+'14-3'!K233+'15-3'!K233+'16-3'!K233+'17-3'!K233+'18-3'!K233+'19-3'!K233+'21-3'!K233+'22-3'!K233+'24-3'!K233+'25-3'!K233+'28-3'!K233+'29-3'!K233+'30-3'!K233+'32-3'!K233+'35-3'!K233+'37-3'!K233+'47-3'!K233+'62-3'!K233+'64-3'!K233+'74-3'!K233</f>
        <v>0</v>
      </c>
      <c r="L487" s="106">
        <f>'01-3'!L233+'02-3'!L233+'03-3'!L233+'04-3'!L233+'05-3'!L233+'08-3'!L233+'09-3'!L233+'10-3'!L233+'11-3'!L233+'12-3'!L233+'13-3'!L233+'14-3'!L233+'15-3'!L233+'16-3'!L233+'17-3'!L233+'18-3'!L233+'19-3'!L233+'21-3'!L233+'22-3'!L233+'24-3'!L233+'25-3'!L233+'28-3'!L233+'29-3'!L233+'30-3'!L233+'32-3'!L233+'35-3'!L233+'37-3'!L233+'47-3'!L233+'62-3'!L233+'64-3'!L233+'74-3'!L233</f>
        <v>0</v>
      </c>
      <c r="M487" s="106">
        <f>'01-3'!M233+'02-3'!M233+'03-3'!M233+'04-3'!M233+'05-3'!M233+'08-3'!M233+'09-3'!M233+'10-3'!M233+'11-3'!M233+'12-3'!M233+'13-3'!M233+'14-3'!M233+'15-3'!M233+'16-3'!M233+'17-3'!M233+'18-3'!M233+'19-3'!M233+'21-3'!M233+'22-3'!M233+'24-3'!M233+'25-3'!M233+'28-3'!M233+'29-3'!M233+'30-3'!M233+'32-3'!M233+'35-3'!M233+'37-3'!M233+'47-3'!M233+'62-3'!M233+'64-3'!M233+'74-3'!M233</f>
        <v>55933039</v>
      </c>
      <c r="N487" s="106">
        <f>'01-3'!N233+'02-3'!N233+'03-3'!N233+'04-3'!N233+'05-3'!N233+'08-3'!N233+'09-3'!N233+'10-3'!N233+'11-3'!N233+'12-3'!N233+'13-3'!N233+'14-3'!N233+'15-3'!N233+'16-3'!N233+'17-3'!N233+'18-3'!N233+'19-3'!N233+'21-3'!N233+'22-3'!N233+'24-3'!N233+'25-3'!N233+'28-3'!N233+'29-3'!N233+'30-3'!N233+'32-3'!N233+'35-3'!N233+'37-3'!N233+'47-3'!N233+'62-3'!N233+'64-3'!N233+'74-3'!N233</f>
        <v>15241180</v>
      </c>
      <c r="O487" s="106">
        <f>'01-3'!O233+'02-3'!O233+'03-3'!O233+'04-3'!O233+'05-3'!O233+'08-3'!O233+'09-3'!O233+'10-3'!O233+'11-3'!O233+'12-3'!O233+'13-3'!O233+'14-3'!O233+'15-3'!O233+'16-3'!O233+'17-3'!O233+'18-3'!O233+'19-3'!O233+'21-3'!O233+'22-3'!O233+'24-3'!O233+'25-3'!O233+'28-3'!O233+'29-3'!O233+'30-3'!O233+'32-3'!O233+'35-3'!O233+'37-3'!O233+'47-3'!O233+'62-3'!O233+'64-3'!O233+'74-3'!O233</f>
        <v>0</v>
      </c>
      <c r="P487" s="106">
        <f>'01-3'!P233+'02-3'!P233+'03-3'!P233+'04-3'!P233+'05-3'!P233+'08-3'!P233+'09-3'!P233+'10-3'!P233+'11-3'!P233+'12-3'!P233+'13-3'!P233+'14-3'!P233+'15-3'!P233+'16-3'!P233+'17-3'!P233+'18-3'!P233+'19-3'!P233+'21-3'!P233+'22-3'!P233+'24-3'!P233+'25-3'!P233+'28-3'!P233+'29-3'!P233+'30-3'!P233+'32-3'!P233+'35-3'!P233+'37-3'!P233+'47-3'!P233+'62-3'!P233+'64-3'!P233+'74-3'!P233</f>
        <v>0</v>
      </c>
      <c r="Q487" s="106">
        <f>'01-3'!Q233+'02-3'!Q233+'03-3'!Q233+'04-3'!Q233+'05-3'!Q233+'08-3'!Q233+'09-3'!Q233+'10-3'!Q233+'11-3'!Q233+'12-3'!Q233+'13-3'!Q233+'14-3'!Q233+'15-3'!Q233+'16-3'!Q233+'17-3'!Q233+'18-3'!Q233+'19-3'!Q233+'21-3'!Q233+'22-3'!Q233+'24-3'!Q233+'25-3'!Q233+'28-3'!Q233+'29-3'!Q233+'30-3'!Q233+'32-3'!Q233+'35-3'!Q233+'37-3'!Q233+'47-3'!Q233+'62-3'!Q233+'64-3'!Q233+'74-3'!Q233</f>
        <v>0</v>
      </c>
      <c r="R487" s="106">
        <f>'01-3'!R233+'02-3'!R233+'03-3'!R233+'04-3'!R233+'05-3'!R233+'08-3'!R233+'09-3'!R233+'10-3'!R233+'11-3'!R233+'12-3'!R233+'13-3'!R233+'14-3'!R233+'15-3'!R233+'16-3'!R233+'17-3'!R233+'18-3'!R233+'19-3'!R233+'21-3'!R233+'22-3'!R233+'24-3'!R233+'25-3'!R233+'28-3'!R233+'29-3'!R233+'30-3'!R233+'32-3'!R233+'35-3'!R233+'37-3'!R233+'47-3'!R233+'62-3'!R233+'64-3'!R233+'74-3'!R233</f>
        <v>15241180</v>
      </c>
      <c r="S487" s="1324"/>
      <c r="T487" s="1324"/>
      <c r="U487" s="1324"/>
      <c r="V487" s="1324"/>
      <c r="W487" s="1324"/>
    </row>
    <row r="488" spans="1:23" s="29" customFormat="1" ht="12" hidden="1">
      <c r="A488" s="141">
        <v>9100</v>
      </c>
      <c r="B488" s="112" t="s">
        <v>124</v>
      </c>
      <c r="C488" s="106">
        <f>'01-3'!C234+'02-3'!C234+'03-3'!C234+'04-3'!C234+'05-3'!C234+'08-3'!C234+'09-3'!C234+'10-3'!C234+'11-3'!C234+'12-3'!C234+'13-3'!C234+'14-3'!C234+'15-3'!C234+'16-3'!C234+'17-3'!C234+'18-3'!C234+'19-3'!C234+'21-3'!C234+'22-3'!C234+'24-3'!C234+'25-3'!C234+'28-3'!C234+'29-3'!C234+'30-3'!C234+'32-3'!C234+'35-3'!C234+'37-3'!C234+'47-3'!C234+'62-3'!C234+'64-3'!C234+'74-3'!C234</f>
        <v>0</v>
      </c>
      <c r="D488" s="106">
        <f>'01-3'!D234+'02-3'!D234+'03-3'!D234+'04-3'!D234+'05-3'!D234+'08-3'!D234+'09-3'!D234+'10-3'!D234+'11-3'!D234+'12-3'!D234+'13-3'!D234+'14-3'!D234+'15-3'!D234+'16-3'!D234+'17-3'!D234+'18-3'!D234+'19-3'!D234+'21-3'!D234+'22-3'!D234+'24-3'!D234+'25-3'!D234+'28-3'!D234+'29-3'!D234+'30-3'!D234+'32-3'!D234+'35-3'!D234+'37-3'!D234+'47-3'!D234+'62-3'!D234+'64-3'!D234+'74-3'!D234</f>
        <v>0</v>
      </c>
      <c r="E488" s="106">
        <f>'01-3'!E234+'02-3'!E234+'03-3'!E234+'04-3'!E234+'05-3'!E234+'08-3'!E234+'09-3'!E234+'10-3'!E234+'11-3'!E234+'12-3'!E234+'13-3'!E234+'14-3'!E234+'15-3'!E234+'16-3'!E234+'17-3'!E234+'18-3'!E234+'19-3'!E234+'21-3'!E234+'22-3'!E234+'24-3'!E234+'25-3'!E234+'28-3'!E234+'29-3'!E234+'30-3'!E234+'32-3'!E234+'35-3'!E234+'37-3'!E234+'47-3'!E234+'62-3'!E234+'64-3'!E234+'74-3'!E234</f>
        <v>0</v>
      </c>
      <c r="F488" s="106">
        <f>'01-3'!F234+'02-3'!F234+'03-3'!F234+'04-3'!F234+'05-3'!F234+'08-3'!F234+'09-3'!F234+'10-3'!F234+'11-3'!F234+'12-3'!F234+'13-3'!F234+'14-3'!F234+'15-3'!F234+'16-3'!F234+'17-3'!F234+'18-3'!F234+'19-3'!F234+'21-3'!F234+'22-3'!F234+'24-3'!F234+'25-3'!F234+'28-3'!F234+'29-3'!F234+'30-3'!F234+'32-3'!F234+'35-3'!F234+'37-3'!F234+'47-3'!F234+'62-3'!F234+'64-3'!F234+'74-3'!F234</f>
        <v>0</v>
      </c>
      <c r="G488" s="106">
        <f>'01-3'!G234+'02-3'!G234+'03-3'!G234+'04-3'!G234+'05-3'!G234+'08-3'!G234+'09-3'!G234+'10-3'!G234+'11-3'!G234+'12-3'!G234+'13-3'!G234+'14-3'!G234+'15-3'!G234+'16-3'!G234+'17-3'!G234+'18-3'!G234+'19-3'!G234+'21-3'!G234+'22-3'!G234+'24-3'!G234+'25-3'!G234+'28-3'!G234+'29-3'!G234+'30-3'!G234+'32-3'!G234+'35-3'!G234+'37-3'!G234+'47-3'!G234+'62-3'!G234+'64-3'!G234+'74-3'!G234</f>
        <v>0</v>
      </c>
      <c r="H488" s="106">
        <f>'01-3'!H234+'02-3'!H234+'03-3'!H234+'04-3'!H234+'05-3'!H234+'08-3'!H234+'09-3'!H234+'10-3'!H234+'11-3'!H234+'12-3'!H234+'13-3'!H234+'14-3'!H234+'15-3'!H234+'16-3'!H234+'17-3'!H234+'18-3'!H234+'19-3'!H234+'21-3'!H234+'22-3'!H234+'24-3'!H234+'25-3'!H234+'28-3'!H234+'29-3'!H234+'30-3'!H234+'32-3'!H234+'35-3'!H234+'37-3'!H234+'47-3'!H234+'62-3'!H234+'64-3'!H234+'74-3'!H234</f>
        <v>0</v>
      </c>
      <c r="I488" s="106">
        <f>'01-3'!I234+'02-3'!I234+'03-3'!I234+'04-3'!I234+'05-3'!I234+'08-3'!I234+'09-3'!I234+'10-3'!I234+'11-3'!I234+'12-3'!I234+'13-3'!I234+'14-3'!I234+'15-3'!I234+'16-3'!I234+'17-3'!I234+'18-3'!I234+'19-3'!I234+'21-3'!I234+'22-3'!I234+'24-3'!I234+'25-3'!I234+'28-3'!I234+'29-3'!I234+'30-3'!I234+'32-3'!I234+'35-3'!I234+'37-3'!I234+'47-3'!I234+'62-3'!I234+'64-3'!I234+'74-3'!I234</f>
        <v>0</v>
      </c>
      <c r="J488" s="106">
        <f>'01-3'!J234+'02-3'!J234+'03-3'!J234+'04-3'!J234+'05-3'!J234+'08-3'!J234+'09-3'!J234+'10-3'!J234+'11-3'!J234+'12-3'!J234+'13-3'!J234+'14-3'!J234+'15-3'!J234+'16-3'!J234+'17-3'!J234+'18-3'!J234+'19-3'!J234+'21-3'!J234+'22-3'!J234+'24-3'!J234+'25-3'!J234+'28-3'!J234+'29-3'!J234+'30-3'!J234+'32-3'!J234+'35-3'!J234+'37-3'!J234+'47-3'!J234+'62-3'!J234+'64-3'!J234+'74-3'!J234</f>
        <v>0</v>
      </c>
      <c r="K488" s="106">
        <f>'01-3'!K234+'02-3'!K234+'03-3'!K234+'04-3'!K234+'05-3'!K234+'08-3'!K234+'09-3'!K234+'10-3'!K234+'11-3'!K234+'12-3'!K234+'13-3'!K234+'14-3'!K234+'15-3'!K234+'16-3'!K234+'17-3'!K234+'18-3'!K234+'19-3'!K234+'21-3'!K234+'22-3'!K234+'24-3'!K234+'25-3'!K234+'28-3'!K234+'29-3'!K234+'30-3'!K234+'32-3'!K234+'35-3'!K234+'37-3'!K234+'47-3'!K234+'62-3'!K234+'64-3'!K234+'74-3'!K234</f>
        <v>0</v>
      </c>
      <c r="L488" s="106">
        <f>'01-3'!L234+'02-3'!L234+'03-3'!L234+'04-3'!L234+'05-3'!L234+'08-3'!L234+'09-3'!L234+'10-3'!L234+'11-3'!L234+'12-3'!L234+'13-3'!L234+'14-3'!L234+'15-3'!L234+'16-3'!L234+'17-3'!L234+'18-3'!L234+'19-3'!L234+'21-3'!L234+'22-3'!L234+'24-3'!L234+'25-3'!L234+'28-3'!L234+'29-3'!L234+'30-3'!L234+'32-3'!L234+'35-3'!L234+'37-3'!L234+'47-3'!L234+'62-3'!L234+'64-3'!L234+'74-3'!L234</f>
        <v>0</v>
      </c>
      <c r="M488" s="106">
        <f>'01-3'!M234+'02-3'!M234+'03-3'!M234+'04-3'!M234+'05-3'!M234+'08-3'!M234+'09-3'!M234+'10-3'!M234+'11-3'!M234+'12-3'!M234+'13-3'!M234+'14-3'!M234+'15-3'!M234+'16-3'!M234+'17-3'!M234+'18-3'!M234+'19-3'!M234+'21-3'!M234+'22-3'!M234+'24-3'!M234+'25-3'!M234+'28-3'!M234+'29-3'!M234+'30-3'!M234+'32-3'!M234+'35-3'!M234+'37-3'!M234+'47-3'!M234+'62-3'!M234+'64-3'!M234+'74-3'!M234</f>
        <v>0</v>
      </c>
      <c r="N488" s="106">
        <f>'01-3'!N234+'02-3'!N234+'03-3'!N234+'04-3'!N234+'05-3'!N234+'08-3'!N234+'09-3'!N234+'10-3'!N234+'11-3'!N234+'12-3'!N234+'13-3'!N234+'14-3'!N234+'15-3'!N234+'16-3'!N234+'17-3'!N234+'18-3'!N234+'19-3'!N234+'21-3'!N234+'22-3'!N234+'24-3'!N234+'25-3'!N234+'28-3'!N234+'29-3'!N234+'30-3'!N234+'32-3'!N234+'35-3'!N234+'37-3'!N234+'47-3'!N234+'62-3'!N234+'64-3'!N234+'74-3'!N234</f>
        <v>0</v>
      </c>
      <c r="O488" s="106">
        <f>'01-3'!O234+'02-3'!O234+'03-3'!O234+'04-3'!O234+'05-3'!O234+'08-3'!O234+'09-3'!O234+'10-3'!O234+'11-3'!O234+'12-3'!O234+'13-3'!O234+'14-3'!O234+'15-3'!O234+'16-3'!O234+'17-3'!O234+'18-3'!O234+'19-3'!O234+'21-3'!O234+'22-3'!O234+'24-3'!O234+'25-3'!O234+'28-3'!O234+'29-3'!O234+'30-3'!O234+'32-3'!O234+'35-3'!O234+'37-3'!O234+'47-3'!O234+'62-3'!O234+'64-3'!O234+'74-3'!O234</f>
        <v>0</v>
      </c>
      <c r="P488" s="106">
        <f>'01-3'!P234+'02-3'!P234+'03-3'!P234+'04-3'!P234+'05-3'!P234+'08-3'!P234+'09-3'!P234+'10-3'!P234+'11-3'!P234+'12-3'!P234+'13-3'!P234+'14-3'!P234+'15-3'!P234+'16-3'!P234+'17-3'!P234+'18-3'!P234+'19-3'!P234+'21-3'!P234+'22-3'!P234+'24-3'!P234+'25-3'!P234+'28-3'!P234+'29-3'!P234+'30-3'!P234+'32-3'!P234+'35-3'!P234+'37-3'!P234+'47-3'!P234+'62-3'!P234+'64-3'!P234+'74-3'!P234</f>
        <v>0</v>
      </c>
      <c r="Q488" s="106">
        <f>'01-3'!Q234+'02-3'!Q234+'03-3'!Q234+'04-3'!Q234+'05-3'!Q234+'08-3'!Q234+'09-3'!Q234+'10-3'!Q234+'11-3'!Q234+'12-3'!Q234+'13-3'!Q234+'14-3'!Q234+'15-3'!Q234+'16-3'!Q234+'17-3'!Q234+'18-3'!Q234+'19-3'!Q234+'21-3'!Q234+'22-3'!Q234+'24-3'!Q234+'25-3'!Q234+'28-3'!Q234+'29-3'!Q234+'30-3'!Q234+'32-3'!Q234+'35-3'!Q234+'37-3'!Q234+'47-3'!Q234+'62-3'!Q234+'64-3'!Q234+'74-3'!Q234</f>
        <v>0</v>
      </c>
      <c r="R488" s="106">
        <f>'01-3'!R234+'02-3'!R234+'03-3'!R234+'04-3'!R234+'05-3'!R234+'08-3'!R234+'09-3'!R234+'10-3'!R234+'11-3'!R234+'12-3'!R234+'13-3'!R234+'14-3'!R234+'15-3'!R234+'16-3'!R234+'17-3'!R234+'18-3'!R234+'19-3'!R234+'21-3'!R234+'22-3'!R234+'24-3'!R234+'25-3'!R234+'28-3'!R234+'29-3'!R234+'30-3'!R234+'32-3'!R234+'35-3'!R234+'37-3'!R234+'47-3'!R234+'62-3'!R234+'64-3'!R234+'74-3'!R234</f>
        <v>0</v>
      </c>
      <c r="S488" s="1324"/>
      <c r="T488" s="1324"/>
      <c r="U488" s="1324"/>
      <c r="V488" s="1324"/>
      <c r="W488" s="1324"/>
    </row>
    <row r="489" spans="1:23" s="29" customFormat="1" ht="24" hidden="1">
      <c r="A489" s="133" t="s">
        <v>125</v>
      </c>
      <c r="B489" s="112" t="s">
        <v>203</v>
      </c>
      <c r="C489" s="106">
        <f>'01-3'!C235+'02-3'!C235+'03-3'!C235+'04-3'!C235+'05-3'!C235+'08-3'!C235+'09-3'!C235+'10-3'!C235+'11-3'!C235+'12-3'!C235+'13-3'!C235+'14-3'!C235+'15-3'!C235+'16-3'!C235+'17-3'!C235+'18-3'!C235+'19-3'!C235+'21-3'!C235+'22-3'!C235+'24-3'!C235+'25-3'!C235+'28-3'!C235+'29-3'!C235+'30-3'!C235+'32-3'!C235+'35-3'!C235+'37-3'!C235+'47-3'!C235+'62-3'!C235+'64-3'!C235+'74-3'!C235</f>
        <v>0</v>
      </c>
      <c r="D489" s="106">
        <f>'01-3'!D235+'02-3'!D235+'03-3'!D235+'04-3'!D235+'05-3'!D235+'08-3'!D235+'09-3'!D235+'10-3'!D235+'11-3'!D235+'12-3'!D235+'13-3'!D235+'14-3'!D235+'15-3'!D235+'16-3'!D235+'17-3'!D235+'18-3'!D235+'19-3'!D235+'21-3'!D235+'22-3'!D235+'24-3'!D235+'25-3'!D235+'28-3'!D235+'29-3'!D235+'30-3'!D235+'32-3'!D235+'35-3'!D235+'37-3'!D235+'47-3'!D235+'62-3'!D235+'64-3'!D235+'74-3'!D235</f>
        <v>0</v>
      </c>
      <c r="E489" s="106">
        <f>'01-3'!E235+'02-3'!E235+'03-3'!E235+'04-3'!E235+'05-3'!E235+'08-3'!E235+'09-3'!E235+'10-3'!E235+'11-3'!E235+'12-3'!E235+'13-3'!E235+'14-3'!E235+'15-3'!E235+'16-3'!E235+'17-3'!E235+'18-3'!E235+'19-3'!E235+'21-3'!E235+'22-3'!E235+'24-3'!E235+'25-3'!E235+'28-3'!E235+'29-3'!E235+'30-3'!E235+'32-3'!E235+'35-3'!E235+'37-3'!E235+'47-3'!E235+'62-3'!E235+'64-3'!E235+'74-3'!E235</f>
        <v>0</v>
      </c>
      <c r="F489" s="106">
        <f>'01-3'!F235+'02-3'!F235+'03-3'!F235+'04-3'!F235+'05-3'!F235+'08-3'!F235+'09-3'!F235+'10-3'!F235+'11-3'!F235+'12-3'!F235+'13-3'!F235+'14-3'!F235+'15-3'!F235+'16-3'!F235+'17-3'!F235+'18-3'!F235+'19-3'!F235+'21-3'!F235+'22-3'!F235+'24-3'!F235+'25-3'!F235+'28-3'!F235+'29-3'!F235+'30-3'!F235+'32-3'!F235+'35-3'!F235+'37-3'!F235+'47-3'!F235+'62-3'!F235+'64-3'!F235+'74-3'!F235</f>
        <v>0</v>
      </c>
      <c r="G489" s="106">
        <f>'01-3'!G235+'02-3'!G235+'03-3'!G235+'04-3'!G235+'05-3'!G235+'08-3'!G235+'09-3'!G235+'10-3'!G235+'11-3'!G235+'12-3'!G235+'13-3'!G235+'14-3'!G235+'15-3'!G235+'16-3'!G235+'17-3'!G235+'18-3'!G235+'19-3'!G235+'21-3'!G235+'22-3'!G235+'24-3'!G235+'25-3'!G235+'28-3'!G235+'29-3'!G235+'30-3'!G235+'32-3'!G235+'35-3'!G235+'37-3'!G235+'47-3'!G235+'62-3'!G235+'64-3'!G235+'74-3'!G235</f>
        <v>0</v>
      </c>
      <c r="H489" s="106">
        <f>'01-3'!H235+'02-3'!H235+'03-3'!H235+'04-3'!H235+'05-3'!H235+'08-3'!H235+'09-3'!H235+'10-3'!H235+'11-3'!H235+'12-3'!H235+'13-3'!H235+'14-3'!H235+'15-3'!H235+'16-3'!H235+'17-3'!H235+'18-3'!H235+'19-3'!H235+'21-3'!H235+'22-3'!H235+'24-3'!H235+'25-3'!H235+'28-3'!H235+'29-3'!H235+'30-3'!H235+'32-3'!H235+'35-3'!H235+'37-3'!H235+'47-3'!H235+'62-3'!H235+'64-3'!H235+'74-3'!H235</f>
        <v>0</v>
      </c>
      <c r="I489" s="106">
        <f>'01-3'!I235+'02-3'!I235+'03-3'!I235+'04-3'!I235+'05-3'!I235+'08-3'!I235+'09-3'!I235+'10-3'!I235+'11-3'!I235+'12-3'!I235+'13-3'!I235+'14-3'!I235+'15-3'!I235+'16-3'!I235+'17-3'!I235+'18-3'!I235+'19-3'!I235+'21-3'!I235+'22-3'!I235+'24-3'!I235+'25-3'!I235+'28-3'!I235+'29-3'!I235+'30-3'!I235+'32-3'!I235+'35-3'!I235+'37-3'!I235+'47-3'!I235+'62-3'!I235+'64-3'!I235+'74-3'!I235</f>
        <v>0</v>
      </c>
      <c r="J489" s="106">
        <f>'01-3'!J235+'02-3'!J235+'03-3'!J235+'04-3'!J235+'05-3'!J235+'08-3'!J235+'09-3'!J235+'10-3'!J235+'11-3'!J235+'12-3'!J235+'13-3'!J235+'14-3'!J235+'15-3'!J235+'16-3'!J235+'17-3'!J235+'18-3'!J235+'19-3'!J235+'21-3'!J235+'22-3'!J235+'24-3'!J235+'25-3'!J235+'28-3'!J235+'29-3'!J235+'30-3'!J235+'32-3'!J235+'35-3'!J235+'37-3'!J235+'47-3'!J235+'62-3'!J235+'64-3'!J235+'74-3'!J235</f>
        <v>0</v>
      </c>
      <c r="K489" s="106">
        <f>'01-3'!K235+'02-3'!K235+'03-3'!K235+'04-3'!K235+'05-3'!K235+'08-3'!K235+'09-3'!K235+'10-3'!K235+'11-3'!K235+'12-3'!K235+'13-3'!K235+'14-3'!K235+'15-3'!K235+'16-3'!K235+'17-3'!K235+'18-3'!K235+'19-3'!K235+'21-3'!K235+'22-3'!K235+'24-3'!K235+'25-3'!K235+'28-3'!K235+'29-3'!K235+'30-3'!K235+'32-3'!K235+'35-3'!K235+'37-3'!K235+'47-3'!K235+'62-3'!K235+'64-3'!K235+'74-3'!K235</f>
        <v>0</v>
      </c>
      <c r="L489" s="106">
        <f>'01-3'!L235+'02-3'!L235+'03-3'!L235+'04-3'!L235+'05-3'!L235+'08-3'!L235+'09-3'!L235+'10-3'!L235+'11-3'!L235+'12-3'!L235+'13-3'!L235+'14-3'!L235+'15-3'!L235+'16-3'!L235+'17-3'!L235+'18-3'!L235+'19-3'!L235+'21-3'!L235+'22-3'!L235+'24-3'!L235+'25-3'!L235+'28-3'!L235+'29-3'!L235+'30-3'!L235+'32-3'!L235+'35-3'!L235+'37-3'!L235+'47-3'!L235+'62-3'!L235+'64-3'!L235+'74-3'!L235</f>
        <v>0</v>
      </c>
      <c r="M489" s="106">
        <f>'01-3'!M235+'02-3'!M235+'03-3'!M235+'04-3'!M235+'05-3'!M235+'08-3'!M235+'09-3'!M235+'10-3'!M235+'11-3'!M235+'12-3'!M235+'13-3'!M235+'14-3'!M235+'15-3'!M235+'16-3'!M235+'17-3'!M235+'18-3'!M235+'19-3'!M235+'21-3'!M235+'22-3'!M235+'24-3'!M235+'25-3'!M235+'28-3'!M235+'29-3'!M235+'30-3'!M235+'32-3'!M235+'35-3'!M235+'37-3'!M235+'47-3'!M235+'62-3'!M235+'64-3'!M235+'74-3'!M235</f>
        <v>0</v>
      </c>
      <c r="N489" s="106">
        <f>'01-3'!N235+'02-3'!N235+'03-3'!N235+'04-3'!N235+'05-3'!N235+'08-3'!N235+'09-3'!N235+'10-3'!N235+'11-3'!N235+'12-3'!N235+'13-3'!N235+'14-3'!N235+'15-3'!N235+'16-3'!N235+'17-3'!N235+'18-3'!N235+'19-3'!N235+'21-3'!N235+'22-3'!N235+'24-3'!N235+'25-3'!N235+'28-3'!N235+'29-3'!N235+'30-3'!N235+'32-3'!N235+'35-3'!N235+'37-3'!N235+'47-3'!N235+'62-3'!N235+'64-3'!N235+'74-3'!N235</f>
        <v>0</v>
      </c>
      <c r="O489" s="106">
        <f>'01-3'!O235+'02-3'!O235+'03-3'!O235+'04-3'!O235+'05-3'!O235+'08-3'!O235+'09-3'!O235+'10-3'!O235+'11-3'!O235+'12-3'!O235+'13-3'!O235+'14-3'!O235+'15-3'!O235+'16-3'!O235+'17-3'!O235+'18-3'!O235+'19-3'!O235+'21-3'!O235+'22-3'!O235+'24-3'!O235+'25-3'!O235+'28-3'!O235+'29-3'!O235+'30-3'!O235+'32-3'!O235+'35-3'!O235+'37-3'!O235+'47-3'!O235+'62-3'!O235+'64-3'!O235+'74-3'!O235</f>
        <v>0</v>
      </c>
      <c r="P489" s="106">
        <f>'01-3'!P235+'02-3'!P235+'03-3'!P235+'04-3'!P235+'05-3'!P235+'08-3'!P235+'09-3'!P235+'10-3'!P235+'11-3'!P235+'12-3'!P235+'13-3'!P235+'14-3'!P235+'15-3'!P235+'16-3'!P235+'17-3'!P235+'18-3'!P235+'19-3'!P235+'21-3'!P235+'22-3'!P235+'24-3'!P235+'25-3'!P235+'28-3'!P235+'29-3'!P235+'30-3'!P235+'32-3'!P235+'35-3'!P235+'37-3'!P235+'47-3'!P235+'62-3'!P235+'64-3'!P235+'74-3'!P235</f>
        <v>0</v>
      </c>
      <c r="Q489" s="106">
        <f>'01-3'!Q235+'02-3'!Q235+'03-3'!Q235+'04-3'!Q235+'05-3'!Q235+'08-3'!Q235+'09-3'!Q235+'10-3'!Q235+'11-3'!Q235+'12-3'!Q235+'13-3'!Q235+'14-3'!Q235+'15-3'!Q235+'16-3'!Q235+'17-3'!Q235+'18-3'!Q235+'19-3'!Q235+'21-3'!Q235+'22-3'!Q235+'24-3'!Q235+'25-3'!Q235+'28-3'!Q235+'29-3'!Q235+'30-3'!Q235+'32-3'!Q235+'35-3'!Q235+'37-3'!Q235+'47-3'!Q235+'62-3'!Q235+'64-3'!Q235+'74-3'!Q235</f>
        <v>0</v>
      </c>
      <c r="R489" s="106">
        <f>'01-3'!R235+'02-3'!R235+'03-3'!R235+'04-3'!R235+'05-3'!R235+'08-3'!R235+'09-3'!R235+'10-3'!R235+'11-3'!R235+'12-3'!R235+'13-3'!R235+'14-3'!R235+'15-3'!R235+'16-3'!R235+'17-3'!R235+'18-3'!R235+'19-3'!R235+'21-3'!R235+'22-3'!R235+'24-3'!R235+'25-3'!R235+'28-3'!R235+'29-3'!R235+'30-3'!R235+'32-3'!R235+'35-3'!R235+'37-3'!R235+'47-3'!R235+'62-3'!R235+'64-3'!R235+'74-3'!R235</f>
        <v>0</v>
      </c>
      <c r="S489" s="1324"/>
      <c r="T489" s="1324"/>
      <c r="U489" s="1324"/>
      <c r="V489" s="1324"/>
      <c r="W489" s="1324"/>
    </row>
    <row r="490" spans="1:23" s="29" customFormat="1" ht="24" hidden="1">
      <c r="A490" s="133">
        <v>9140</v>
      </c>
      <c r="B490" s="112" t="s">
        <v>204</v>
      </c>
      <c r="C490" s="106">
        <f>'01-3'!C236+'02-3'!C236+'03-3'!C236+'04-3'!C236+'05-3'!C236+'08-3'!C236+'09-3'!C236+'10-3'!C236+'11-3'!C236+'12-3'!C236+'13-3'!C236+'14-3'!C236+'15-3'!C236+'16-3'!C236+'17-3'!C236+'18-3'!C236+'19-3'!C236+'21-3'!C236+'22-3'!C236+'24-3'!C236+'25-3'!C236+'28-3'!C236+'29-3'!C236+'30-3'!C236+'32-3'!C236+'35-3'!C236+'37-3'!C236+'47-3'!C236+'62-3'!C236+'64-3'!C236+'74-3'!C236</f>
        <v>0</v>
      </c>
      <c r="D490" s="106">
        <f>'01-3'!D236+'02-3'!D236+'03-3'!D236+'04-3'!D236+'05-3'!D236+'08-3'!D236+'09-3'!D236+'10-3'!D236+'11-3'!D236+'12-3'!D236+'13-3'!D236+'14-3'!D236+'15-3'!D236+'16-3'!D236+'17-3'!D236+'18-3'!D236+'19-3'!D236+'21-3'!D236+'22-3'!D236+'24-3'!D236+'25-3'!D236+'28-3'!D236+'29-3'!D236+'30-3'!D236+'32-3'!D236+'35-3'!D236+'37-3'!D236+'47-3'!D236+'62-3'!D236+'64-3'!D236+'74-3'!D236</f>
        <v>0</v>
      </c>
      <c r="E490" s="106">
        <f>'01-3'!E236+'02-3'!E236+'03-3'!E236+'04-3'!E236+'05-3'!E236+'08-3'!E236+'09-3'!E236+'10-3'!E236+'11-3'!E236+'12-3'!E236+'13-3'!E236+'14-3'!E236+'15-3'!E236+'16-3'!E236+'17-3'!E236+'18-3'!E236+'19-3'!E236+'21-3'!E236+'22-3'!E236+'24-3'!E236+'25-3'!E236+'28-3'!E236+'29-3'!E236+'30-3'!E236+'32-3'!E236+'35-3'!E236+'37-3'!E236+'47-3'!E236+'62-3'!E236+'64-3'!E236+'74-3'!E236</f>
        <v>0</v>
      </c>
      <c r="F490" s="106">
        <f>'01-3'!F236+'02-3'!F236+'03-3'!F236+'04-3'!F236+'05-3'!F236+'08-3'!F236+'09-3'!F236+'10-3'!F236+'11-3'!F236+'12-3'!F236+'13-3'!F236+'14-3'!F236+'15-3'!F236+'16-3'!F236+'17-3'!F236+'18-3'!F236+'19-3'!F236+'21-3'!F236+'22-3'!F236+'24-3'!F236+'25-3'!F236+'28-3'!F236+'29-3'!F236+'30-3'!F236+'32-3'!F236+'35-3'!F236+'37-3'!F236+'47-3'!F236+'62-3'!F236+'64-3'!F236+'74-3'!F236</f>
        <v>0</v>
      </c>
      <c r="G490" s="106">
        <f>'01-3'!G236+'02-3'!G236+'03-3'!G236+'04-3'!G236+'05-3'!G236+'08-3'!G236+'09-3'!G236+'10-3'!G236+'11-3'!G236+'12-3'!G236+'13-3'!G236+'14-3'!G236+'15-3'!G236+'16-3'!G236+'17-3'!G236+'18-3'!G236+'19-3'!G236+'21-3'!G236+'22-3'!G236+'24-3'!G236+'25-3'!G236+'28-3'!G236+'29-3'!G236+'30-3'!G236+'32-3'!G236+'35-3'!G236+'37-3'!G236+'47-3'!G236+'62-3'!G236+'64-3'!G236+'74-3'!G236</f>
        <v>0</v>
      </c>
      <c r="H490" s="106">
        <f>'01-3'!H236+'02-3'!H236+'03-3'!H236+'04-3'!H236+'05-3'!H236+'08-3'!H236+'09-3'!H236+'10-3'!H236+'11-3'!H236+'12-3'!H236+'13-3'!H236+'14-3'!H236+'15-3'!H236+'16-3'!H236+'17-3'!H236+'18-3'!H236+'19-3'!H236+'21-3'!H236+'22-3'!H236+'24-3'!H236+'25-3'!H236+'28-3'!H236+'29-3'!H236+'30-3'!H236+'32-3'!H236+'35-3'!H236+'37-3'!H236+'47-3'!H236+'62-3'!H236+'64-3'!H236+'74-3'!H236</f>
        <v>0</v>
      </c>
      <c r="I490" s="106">
        <f>'01-3'!I236+'02-3'!I236+'03-3'!I236+'04-3'!I236+'05-3'!I236+'08-3'!I236+'09-3'!I236+'10-3'!I236+'11-3'!I236+'12-3'!I236+'13-3'!I236+'14-3'!I236+'15-3'!I236+'16-3'!I236+'17-3'!I236+'18-3'!I236+'19-3'!I236+'21-3'!I236+'22-3'!I236+'24-3'!I236+'25-3'!I236+'28-3'!I236+'29-3'!I236+'30-3'!I236+'32-3'!I236+'35-3'!I236+'37-3'!I236+'47-3'!I236+'62-3'!I236+'64-3'!I236+'74-3'!I236</f>
        <v>0</v>
      </c>
      <c r="J490" s="106">
        <f>'01-3'!J236+'02-3'!J236+'03-3'!J236+'04-3'!J236+'05-3'!J236+'08-3'!J236+'09-3'!J236+'10-3'!J236+'11-3'!J236+'12-3'!J236+'13-3'!J236+'14-3'!J236+'15-3'!J236+'16-3'!J236+'17-3'!J236+'18-3'!J236+'19-3'!J236+'21-3'!J236+'22-3'!J236+'24-3'!J236+'25-3'!J236+'28-3'!J236+'29-3'!J236+'30-3'!J236+'32-3'!J236+'35-3'!J236+'37-3'!J236+'47-3'!J236+'62-3'!J236+'64-3'!J236+'74-3'!J236</f>
        <v>0</v>
      </c>
      <c r="K490" s="106">
        <f>'01-3'!K236+'02-3'!K236+'03-3'!K236+'04-3'!K236+'05-3'!K236+'08-3'!K236+'09-3'!K236+'10-3'!K236+'11-3'!K236+'12-3'!K236+'13-3'!K236+'14-3'!K236+'15-3'!K236+'16-3'!K236+'17-3'!K236+'18-3'!K236+'19-3'!K236+'21-3'!K236+'22-3'!K236+'24-3'!K236+'25-3'!K236+'28-3'!K236+'29-3'!K236+'30-3'!K236+'32-3'!K236+'35-3'!K236+'37-3'!K236+'47-3'!K236+'62-3'!K236+'64-3'!K236+'74-3'!K236</f>
        <v>0</v>
      </c>
      <c r="L490" s="106">
        <f>'01-3'!L236+'02-3'!L236+'03-3'!L236+'04-3'!L236+'05-3'!L236+'08-3'!L236+'09-3'!L236+'10-3'!L236+'11-3'!L236+'12-3'!L236+'13-3'!L236+'14-3'!L236+'15-3'!L236+'16-3'!L236+'17-3'!L236+'18-3'!L236+'19-3'!L236+'21-3'!L236+'22-3'!L236+'24-3'!L236+'25-3'!L236+'28-3'!L236+'29-3'!L236+'30-3'!L236+'32-3'!L236+'35-3'!L236+'37-3'!L236+'47-3'!L236+'62-3'!L236+'64-3'!L236+'74-3'!L236</f>
        <v>0</v>
      </c>
      <c r="M490" s="106">
        <f>'01-3'!M236+'02-3'!M236+'03-3'!M236+'04-3'!M236+'05-3'!M236+'08-3'!M236+'09-3'!M236+'10-3'!M236+'11-3'!M236+'12-3'!M236+'13-3'!M236+'14-3'!M236+'15-3'!M236+'16-3'!M236+'17-3'!M236+'18-3'!M236+'19-3'!M236+'21-3'!M236+'22-3'!M236+'24-3'!M236+'25-3'!M236+'28-3'!M236+'29-3'!M236+'30-3'!M236+'32-3'!M236+'35-3'!M236+'37-3'!M236+'47-3'!M236+'62-3'!M236+'64-3'!M236+'74-3'!M236</f>
        <v>0</v>
      </c>
      <c r="N490" s="106">
        <f>'01-3'!N236+'02-3'!N236+'03-3'!N236+'04-3'!N236+'05-3'!N236+'08-3'!N236+'09-3'!N236+'10-3'!N236+'11-3'!N236+'12-3'!N236+'13-3'!N236+'14-3'!N236+'15-3'!N236+'16-3'!N236+'17-3'!N236+'18-3'!N236+'19-3'!N236+'21-3'!N236+'22-3'!N236+'24-3'!N236+'25-3'!N236+'28-3'!N236+'29-3'!N236+'30-3'!N236+'32-3'!N236+'35-3'!N236+'37-3'!N236+'47-3'!N236+'62-3'!N236+'64-3'!N236+'74-3'!N236</f>
        <v>0</v>
      </c>
      <c r="O490" s="106">
        <f>'01-3'!O236+'02-3'!O236+'03-3'!O236+'04-3'!O236+'05-3'!O236+'08-3'!O236+'09-3'!O236+'10-3'!O236+'11-3'!O236+'12-3'!O236+'13-3'!O236+'14-3'!O236+'15-3'!O236+'16-3'!O236+'17-3'!O236+'18-3'!O236+'19-3'!O236+'21-3'!O236+'22-3'!O236+'24-3'!O236+'25-3'!O236+'28-3'!O236+'29-3'!O236+'30-3'!O236+'32-3'!O236+'35-3'!O236+'37-3'!O236+'47-3'!O236+'62-3'!O236+'64-3'!O236+'74-3'!O236</f>
        <v>0</v>
      </c>
      <c r="P490" s="106">
        <f>'01-3'!P236+'02-3'!P236+'03-3'!P236+'04-3'!P236+'05-3'!P236+'08-3'!P236+'09-3'!P236+'10-3'!P236+'11-3'!P236+'12-3'!P236+'13-3'!P236+'14-3'!P236+'15-3'!P236+'16-3'!P236+'17-3'!P236+'18-3'!P236+'19-3'!P236+'21-3'!P236+'22-3'!P236+'24-3'!P236+'25-3'!P236+'28-3'!P236+'29-3'!P236+'30-3'!P236+'32-3'!P236+'35-3'!P236+'37-3'!P236+'47-3'!P236+'62-3'!P236+'64-3'!P236+'74-3'!P236</f>
        <v>0</v>
      </c>
      <c r="Q490" s="106">
        <f>'01-3'!Q236+'02-3'!Q236+'03-3'!Q236+'04-3'!Q236+'05-3'!Q236+'08-3'!Q236+'09-3'!Q236+'10-3'!Q236+'11-3'!Q236+'12-3'!Q236+'13-3'!Q236+'14-3'!Q236+'15-3'!Q236+'16-3'!Q236+'17-3'!Q236+'18-3'!Q236+'19-3'!Q236+'21-3'!Q236+'22-3'!Q236+'24-3'!Q236+'25-3'!Q236+'28-3'!Q236+'29-3'!Q236+'30-3'!Q236+'32-3'!Q236+'35-3'!Q236+'37-3'!Q236+'47-3'!Q236+'62-3'!Q236+'64-3'!Q236+'74-3'!Q236</f>
        <v>0</v>
      </c>
      <c r="R490" s="106">
        <f>'01-3'!R236+'02-3'!R236+'03-3'!R236+'04-3'!R236+'05-3'!R236+'08-3'!R236+'09-3'!R236+'10-3'!R236+'11-3'!R236+'12-3'!R236+'13-3'!R236+'14-3'!R236+'15-3'!R236+'16-3'!R236+'17-3'!R236+'18-3'!R236+'19-3'!R236+'21-3'!R236+'22-3'!R236+'24-3'!R236+'25-3'!R236+'28-3'!R236+'29-3'!R236+'30-3'!R236+'32-3'!R236+'35-3'!R236+'37-3'!R236+'47-3'!R236+'62-3'!R236+'64-3'!R236+'74-3'!R236</f>
        <v>0</v>
      </c>
      <c r="S490" s="1324"/>
      <c r="T490" s="1324"/>
      <c r="U490" s="1324"/>
      <c r="V490" s="1324"/>
      <c r="W490" s="1324"/>
    </row>
    <row r="491" spans="1:23" s="29" customFormat="1" ht="36" hidden="1">
      <c r="A491" s="134">
        <v>9141</v>
      </c>
      <c r="B491" s="108" t="s">
        <v>190</v>
      </c>
      <c r="C491" s="106">
        <f>'01-3'!C237+'02-3'!C237+'03-3'!C237+'04-3'!C237+'05-3'!C237+'08-3'!C237+'09-3'!C237+'10-3'!C237+'11-3'!C237+'12-3'!C237+'13-3'!C237+'14-3'!C237+'15-3'!C237+'16-3'!C237+'17-3'!C237+'18-3'!C237+'19-3'!C237+'21-3'!C237+'22-3'!C237+'24-3'!C237+'25-3'!C237+'28-3'!C237+'29-3'!C237+'30-3'!C237+'32-3'!C237+'35-3'!C237+'37-3'!C237+'47-3'!C237+'62-3'!C237+'64-3'!C237+'74-3'!C237</f>
        <v>0</v>
      </c>
      <c r="D491" s="106">
        <f>'01-3'!D237+'02-3'!D237+'03-3'!D237+'04-3'!D237+'05-3'!D237+'08-3'!D237+'09-3'!D237+'10-3'!D237+'11-3'!D237+'12-3'!D237+'13-3'!D237+'14-3'!D237+'15-3'!D237+'16-3'!D237+'17-3'!D237+'18-3'!D237+'19-3'!D237+'21-3'!D237+'22-3'!D237+'24-3'!D237+'25-3'!D237+'28-3'!D237+'29-3'!D237+'30-3'!D237+'32-3'!D237+'35-3'!D237+'37-3'!D237+'47-3'!D237+'62-3'!D237+'64-3'!D237+'74-3'!D237</f>
        <v>0</v>
      </c>
      <c r="E491" s="106">
        <f>'01-3'!E237+'02-3'!E237+'03-3'!E237+'04-3'!E237+'05-3'!E237+'08-3'!E237+'09-3'!E237+'10-3'!E237+'11-3'!E237+'12-3'!E237+'13-3'!E237+'14-3'!E237+'15-3'!E237+'16-3'!E237+'17-3'!E237+'18-3'!E237+'19-3'!E237+'21-3'!E237+'22-3'!E237+'24-3'!E237+'25-3'!E237+'28-3'!E237+'29-3'!E237+'30-3'!E237+'32-3'!E237+'35-3'!E237+'37-3'!E237+'47-3'!E237+'62-3'!E237+'64-3'!E237+'74-3'!E237</f>
        <v>0</v>
      </c>
      <c r="F491" s="106">
        <f>'01-3'!F237+'02-3'!F237+'03-3'!F237+'04-3'!F237+'05-3'!F237+'08-3'!F237+'09-3'!F237+'10-3'!F237+'11-3'!F237+'12-3'!F237+'13-3'!F237+'14-3'!F237+'15-3'!F237+'16-3'!F237+'17-3'!F237+'18-3'!F237+'19-3'!F237+'21-3'!F237+'22-3'!F237+'24-3'!F237+'25-3'!F237+'28-3'!F237+'29-3'!F237+'30-3'!F237+'32-3'!F237+'35-3'!F237+'37-3'!F237+'47-3'!F237+'62-3'!F237+'64-3'!F237+'74-3'!F237</f>
        <v>0</v>
      </c>
      <c r="G491" s="106">
        <f>'01-3'!G237+'02-3'!G237+'03-3'!G237+'04-3'!G237+'05-3'!G237+'08-3'!G237+'09-3'!G237+'10-3'!G237+'11-3'!G237+'12-3'!G237+'13-3'!G237+'14-3'!G237+'15-3'!G237+'16-3'!G237+'17-3'!G237+'18-3'!G237+'19-3'!G237+'21-3'!G237+'22-3'!G237+'24-3'!G237+'25-3'!G237+'28-3'!G237+'29-3'!G237+'30-3'!G237+'32-3'!G237+'35-3'!G237+'37-3'!G237+'47-3'!G237+'62-3'!G237+'64-3'!G237+'74-3'!G237</f>
        <v>0</v>
      </c>
      <c r="H491" s="106">
        <f>'01-3'!H237+'02-3'!H237+'03-3'!H237+'04-3'!H237+'05-3'!H237+'08-3'!H237+'09-3'!H237+'10-3'!H237+'11-3'!H237+'12-3'!H237+'13-3'!H237+'14-3'!H237+'15-3'!H237+'16-3'!H237+'17-3'!H237+'18-3'!H237+'19-3'!H237+'21-3'!H237+'22-3'!H237+'24-3'!H237+'25-3'!H237+'28-3'!H237+'29-3'!H237+'30-3'!H237+'32-3'!H237+'35-3'!H237+'37-3'!H237+'47-3'!H237+'62-3'!H237+'64-3'!H237+'74-3'!H237</f>
        <v>0</v>
      </c>
      <c r="I491" s="106">
        <f>'01-3'!I237+'02-3'!I237+'03-3'!I237+'04-3'!I237+'05-3'!I237+'08-3'!I237+'09-3'!I237+'10-3'!I237+'11-3'!I237+'12-3'!I237+'13-3'!I237+'14-3'!I237+'15-3'!I237+'16-3'!I237+'17-3'!I237+'18-3'!I237+'19-3'!I237+'21-3'!I237+'22-3'!I237+'24-3'!I237+'25-3'!I237+'28-3'!I237+'29-3'!I237+'30-3'!I237+'32-3'!I237+'35-3'!I237+'37-3'!I237+'47-3'!I237+'62-3'!I237+'64-3'!I237+'74-3'!I237</f>
        <v>0</v>
      </c>
      <c r="J491" s="106">
        <f>'01-3'!J237+'02-3'!J237+'03-3'!J237+'04-3'!J237+'05-3'!J237+'08-3'!J237+'09-3'!J237+'10-3'!J237+'11-3'!J237+'12-3'!J237+'13-3'!J237+'14-3'!J237+'15-3'!J237+'16-3'!J237+'17-3'!J237+'18-3'!J237+'19-3'!J237+'21-3'!J237+'22-3'!J237+'24-3'!J237+'25-3'!J237+'28-3'!J237+'29-3'!J237+'30-3'!J237+'32-3'!J237+'35-3'!J237+'37-3'!J237+'47-3'!J237+'62-3'!J237+'64-3'!J237+'74-3'!J237</f>
        <v>0</v>
      </c>
      <c r="K491" s="106">
        <f>'01-3'!K237+'02-3'!K237+'03-3'!K237+'04-3'!K237+'05-3'!K237+'08-3'!K237+'09-3'!K237+'10-3'!K237+'11-3'!K237+'12-3'!K237+'13-3'!K237+'14-3'!K237+'15-3'!K237+'16-3'!K237+'17-3'!K237+'18-3'!K237+'19-3'!K237+'21-3'!K237+'22-3'!K237+'24-3'!K237+'25-3'!K237+'28-3'!K237+'29-3'!K237+'30-3'!K237+'32-3'!K237+'35-3'!K237+'37-3'!K237+'47-3'!K237+'62-3'!K237+'64-3'!K237+'74-3'!K237</f>
        <v>0</v>
      </c>
      <c r="L491" s="106">
        <f>'01-3'!L237+'02-3'!L237+'03-3'!L237+'04-3'!L237+'05-3'!L237+'08-3'!L237+'09-3'!L237+'10-3'!L237+'11-3'!L237+'12-3'!L237+'13-3'!L237+'14-3'!L237+'15-3'!L237+'16-3'!L237+'17-3'!L237+'18-3'!L237+'19-3'!L237+'21-3'!L237+'22-3'!L237+'24-3'!L237+'25-3'!L237+'28-3'!L237+'29-3'!L237+'30-3'!L237+'32-3'!L237+'35-3'!L237+'37-3'!L237+'47-3'!L237+'62-3'!L237+'64-3'!L237+'74-3'!L237</f>
        <v>0</v>
      </c>
      <c r="M491" s="106">
        <f>'01-3'!M237+'02-3'!M237+'03-3'!M237+'04-3'!M237+'05-3'!M237+'08-3'!M237+'09-3'!M237+'10-3'!M237+'11-3'!M237+'12-3'!M237+'13-3'!M237+'14-3'!M237+'15-3'!M237+'16-3'!M237+'17-3'!M237+'18-3'!M237+'19-3'!M237+'21-3'!M237+'22-3'!M237+'24-3'!M237+'25-3'!M237+'28-3'!M237+'29-3'!M237+'30-3'!M237+'32-3'!M237+'35-3'!M237+'37-3'!M237+'47-3'!M237+'62-3'!M237+'64-3'!M237+'74-3'!M237</f>
        <v>0</v>
      </c>
      <c r="N491" s="106">
        <f>'01-3'!N237+'02-3'!N237+'03-3'!N237+'04-3'!N237+'05-3'!N237+'08-3'!N237+'09-3'!N237+'10-3'!N237+'11-3'!N237+'12-3'!N237+'13-3'!N237+'14-3'!N237+'15-3'!N237+'16-3'!N237+'17-3'!N237+'18-3'!N237+'19-3'!N237+'21-3'!N237+'22-3'!N237+'24-3'!N237+'25-3'!N237+'28-3'!N237+'29-3'!N237+'30-3'!N237+'32-3'!N237+'35-3'!N237+'37-3'!N237+'47-3'!N237+'62-3'!N237+'64-3'!N237+'74-3'!N237</f>
        <v>0</v>
      </c>
      <c r="O491" s="106">
        <f>'01-3'!O237+'02-3'!O237+'03-3'!O237+'04-3'!O237+'05-3'!O237+'08-3'!O237+'09-3'!O237+'10-3'!O237+'11-3'!O237+'12-3'!O237+'13-3'!O237+'14-3'!O237+'15-3'!O237+'16-3'!O237+'17-3'!O237+'18-3'!O237+'19-3'!O237+'21-3'!O237+'22-3'!O237+'24-3'!O237+'25-3'!O237+'28-3'!O237+'29-3'!O237+'30-3'!O237+'32-3'!O237+'35-3'!O237+'37-3'!O237+'47-3'!O237+'62-3'!O237+'64-3'!O237+'74-3'!O237</f>
        <v>0</v>
      </c>
      <c r="P491" s="106">
        <f>'01-3'!P237+'02-3'!P237+'03-3'!P237+'04-3'!P237+'05-3'!P237+'08-3'!P237+'09-3'!P237+'10-3'!P237+'11-3'!P237+'12-3'!P237+'13-3'!P237+'14-3'!P237+'15-3'!P237+'16-3'!P237+'17-3'!P237+'18-3'!P237+'19-3'!P237+'21-3'!P237+'22-3'!P237+'24-3'!P237+'25-3'!P237+'28-3'!P237+'29-3'!P237+'30-3'!P237+'32-3'!P237+'35-3'!P237+'37-3'!P237+'47-3'!P237+'62-3'!P237+'64-3'!P237+'74-3'!P237</f>
        <v>0</v>
      </c>
      <c r="Q491" s="106">
        <f>'01-3'!Q237+'02-3'!Q237+'03-3'!Q237+'04-3'!Q237+'05-3'!Q237+'08-3'!Q237+'09-3'!Q237+'10-3'!Q237+'11-3'!Q237+'12-3'!Q237+'13-3'!Q237+'14-3'!Q237+'15-3'!Q237+'16-3'!Q237+'17-3'!Q237+'18-3'!Q237+'19-3'!Q237+'21-3'!Q237+'22-3'!Q237+'24-3'!Q237+'25-3'!Q237+'28-3'!Q237+'29-3'!Q237+'30-3'!Q237+'32-3'!Q237+'35-3'!Q237+'37-3'!Q237+'47-3'!Q237+'62-3'!Q237+'64-3'!Q237+'74-3'!Q237</f>
        <v>0</v>
      </c>
      <c r="R491" s="106">
        <f>'01-3'!R237+'02-3'!R237+'03-3'!R237+'04-3'!R237+'05-3'!R237+'08-3'!R237+'09-3'!R237+'10-3'!R237+'11-3'!R237+'12-3'!R237+'13-3'!R237+'14-3'!R237+'15-3'!R237+'16-3'!R237+'17-3'!R237+'18-3'!R237+'19-3'!R237+'21-3'!R237+'22-3'!R237+'24-3'!R237+'25-3'!R237+'28-3'!R237+'29-3'!R237+'30-3'!R237+'32-3'!R237+'35-3'!R237+'37-3'!R237+'47-3'!R237+'62-3'!R237+'64-3'!R237+'74-3'!R237</f>
        <v>0</v>
      </c>
      <c r="S491" s="1324"/>
      <c r="T491" s="1324"/>
      <c r="U491" s="1324"/>
      <c r="V491" s="1324"/>
      <c r="W491" s="1324"/>
    </row>
    <row r="492" spans="1:23" s="29" customFormat="1" ht="36" hidden="1">
      <c r="A492" s="134">
        <v>9142</v>
      </c>
      <c r="B492" s="108" t="s">
        <v>191</v>
      </c>
      <c r="C492" s="106">
        <f>'01-3'!C238+'02-3'!C238+'03-3'!C238+'04-3'!C238+'05-3'!C238+'08-3'!C238+'09-3'!C238+'10-3'!C238+'11-3'!C238+'12-3'!C238+'13-3'!C238+'14-3'!C238+'15-3'!C238+'16-3'!C238+'17-3'!C238+'18-3'!C238+'19-3'!C238+'21-3'!C238+'22-3'!C238+'24-3'!C238+'25-3'!C238+'28-3'!C238+'29-3'!C238+'30-3'!C238+'32-3'!C238+'35-3'!C238+'37-3'!C238+'47-3'!C238+'62-3'!C238+'64-3'!C238+'74-3'!C238</f>
        <v>0</v>
      </c>
      <c r="D492" s="106">
        <f>'01-3'!D238+'02-3'!D238+'03-3'!D238+'04-3'!D238+'05-3'!D238+'08-3'!D238+'09-3'!D238+'10-3'!D238+'11-3'!D238+'12-3'!D238+'13-3'!D238+'14-3'!D238+'15-3'!D238+'16-3'!D238+'17-3'!D238+'18-3'!D238+'19-3'!D238+'21-3'!D238+'22-3'!D238+'24-3'!D238+'25-3'!D238+'28-3'!D238+'29-3'!D238+'30-3'!D238+'32-3'!D238+'35-3'!D238+'37-3'!D238+'47-3'!D238+'62-3'!D238+'64-3'!D238+'74-3'!D238</f>
        <v>0</v>
      </c>
      <c r="E492" s="106">
        <f>'01-3'!E238+'02-3'!E238+'03-3'!E238+'04-3'!E238+'05-3'!E238+'08-3'!E238+'09-3'!E238+'10-3'!E238+'11-3'!E238+'12-3'!E238+'13-3'!E238+'14-3'!E238+'15-3'!E238+'16-3'!E238+'17-3'!E238+'18-3'!E238+'19-3'!E238+'21-3'!E238+'22-3'!E238+'24-3'!E238+'25-3'!E238+'28-3'!E238+'29-3'!E238+'30-3'!E238+'32-3'!E238+'35-3'!E238+'37-3'!E238+'47-3'!E238+'62-3'!E238+'64-3'!E238+'74-3'!E238</f>
        <v>0</v>
      </c>
      <c r="F492" s="106">
        <f>'01-3'!F238+'02-3'!F238+'03-3'!F238+'04-3'!F238+'05-3'!F238+'08-3'!F238+'09-3'!F238+'10-3'!F238+'11-3'!F238+'12-3'!F238+'13-3'!F238+'14-3'!F238+'15-3'!F238+'16-3'!F238+'17-3'!F238+'18-3'!F238+'19-3'!F238+'21-3'!F238+'22-3'!F238+'24-3'!F238+'25-3'!F238+'28-3'!F238+'29-3'!F238+'30-3'!F238+'32-3'!F238+'35-3'!F238+'37-3'!F238+'47-3'!F238+'62-3'!F238+'64-3'!F238+'74-3'!F238</f>
        <v>0</v>
      </c>
      <c r="G492" s="106">
        <f>'01-3'!G238+'02-3'!G238+'03-3'!G238+'04-3'!G238+'05-3'!G238+'08-3'!G238+'09-3'!G238+'10-3'!G238+'11-3'!G238+'12-3'!G238+'13-3'!G238+'14-3'!G238+'15-3'!G238+'16-3'!G238+'17-3'!G238+'18-3'!G238+'19-3'!G238+'21-3'!G238+'22-3'!G238+'24-3'!G238+'25-3'!G238+'28-3'!G238+'29-3'!G238+'30-3'!G238+'32-3'!G238+'35-3'!G238+'37-3'!G238+'47-3'!G238+'62-3'!G238+'64-3'!G238+'74-3'!G238</f>
        <v>0</v>
      </c>
      <c r="H492" s="106">
        <f>'01-3'!H238+'02-3'!H238+'03-3'!H238+'04-3'!H238+'05-3'!H238+'08-3'!H238+'09-3'!H238+'10-3'!H238+'11-3'!H238+'12-3'!H238+'13-3'!H238+'14-3'!H238+'15-3'!H238+'16-3'!H238+'17-3'!H238+'18-3'!H238+'19-3'!H238+'21-3'!H238+'22-3'!H238+'24-3'!H238+'25-3'!H238+'28-3'!H238+'29-3'!H238+'30-3'!H238+'32-3'!H238+'35-3'!H238+'37-3'!H238+'47-3'!H238+'62-3'!H238+'64-3'!H238+'74-3'!H238</f>
        <v>0</v>
      </c>
      <c r="I492" s="106">
        <f>'01-3'!I238+'02-3'!I238+'03-3'!I238+'04-3'!I238+'05-3'!I238+'08-3'!I238+'09-3'!I238+'10-3'!I238+'11-3'!I238+'12-3'!I238+'13-3'!I238+'14-3'!I238+'15-3'!I238+'16-3'!I238+'17-3'!I238+'18-3'!I238+'19-3'!I238+'21-3'!I238+'22-3'!I238+'24-3'!I238+'25-3'!I238+'28-3'!I238+'29-3'!I238+'30-3'!I238+'32-3'!I238+'35-3'!I238+'37-3'!I238+'47-3'!I238+'62-3'!I238+'64-3'!I238+'74-3'!I238</f>
        <v>0</v>
      </c>
      <c r="J492" s="106">
        <f>'01-3'!J238+'02-3'!J238+'03-3'!J238+'04-3'!J238+'05-3'!J238+'08-3'!J238+'09-3'!J238+'10-3'!J238+'11-3'!J238+'12-3'!J238+'13-3'!J238+'14-3'!J238+'15-3'!J238+'16-3'!J238+'17-3'!J238+'18-3'!J238+'19-3'!J238+'21-3'!J238+'22-3'!J238+'24-3'!J238+'25-3'!J238+'28-3'!J238+'29-3'!J238+'30-3'!J238+'32-3'!J238+'35-3'!J238+'37-3'!J238+'47-3'!J238+'62-3'!J238+'64-3'!J238+'74-3'!J238</f>
        <v>0</v>
      </c>
      <c r="K492" s="106">
        <f>'01-3'!K238+'02-3'!K238+'03-3'!K238+'04-3'!K238+'05-3'!K238+'08-3'!K238+'09-3'!K238+'10-3'!K238+'11-3'!K238+'12-3'!K238+'13-3'!K238+'14-3'!K238+'15-3'!K238+'16-3'!K238+'17-3'!K238+'18-3'!K238+'19-3'!K238+'21-3'!K238+'22-3'!K238+'24-3'!K238+'25-3'!K238+'28-3'!K238+'29-3'!K238+'30-3'!K238+'32-3'!K238+'35-3'!K238+'37-3'!K238+'47-3'!K238+'62-3'!K238+'64-3'!K238+'74-3'!K238</f>
        <v>0</v>
      </c>
      <c r="L492" s="106">
        <f>'01-3'!L238+'02-3'!L238+'03-3'!L238+'04-3'!L238+'05-3'!L238+'08-3'!L238+'09-3'!L238+'10-3'!L238+'11-3'!L238+'12-3'!L238+'13-3'!L238+'14-3'!L238+'15-3'!L238+'16-3'!L238+'17-3'!L238+'18-3'!L238+'19-3'!L238+'21-3'!L238+'22-3'!L238+'24-3'!L238+'25-3'!L238+'28-3'!L238+'29-3'!L238+'30-3'!L238+'32-3'!L238+'35-3'!L238+'37-3'!L238+'47-3'!L238+'62-3'!L238+'64-3'!L238+'74-3'!L238</f>
        <v>0</v>
      </c>
      <c r="M492" s="106">
        <f>'01-3'!M238+'02-3'!M238+'03-3'!M238+'04-3'!M238+'05-3'!M238+'08-3'!M238+'09-3'!M238+'10-3'!M238+'11-3'!M238+'12-3'!M238+'13-3'!M238+'14-3'!M238+'15-3'!M238+'16-3'!M238+'17-3'!M238+'18-3'!M238+'19-3'!M238+'21-3'!M238+'22-3'!M238+'24-3'!M238+'25-3'!M238+'28-3'!M238+'29-3'!M238+'30-3'!M238+'32-3'!M238+'35-3'!M238+'37-3'!M238+'47-3'!M238+'62-3'!M238+'64-3'!M238+'74-3'!M238</f>
        <v>0</v>
      </c>
      <c r="N492" s="106">
        <f>'01-3'!N238+'02-3'!N238+'03-3'!N238+'04-3'!N238+'05-3'!N238+'08-3'!N238+'09-3'!N238+'10-3'!N238+'11-3'!N238+'12-3'!N238+'13-3'!N238+'14-3'!N238+'15-3'!N238+'16-3'!N238+'17-3'!N238+'18-3'!N238+'19-3'!N238+'21-3'!N238+'22-3'!N238+'24-3'!N238+'25-3'!N238+'28-3'!N238+'29-3'!N238+'30-3'!N238+'32-3'!N238+'35-3'!N238+'37-3'!N238+'47-3'!N238+'62-3'!N238+'64-3'!N238+'74-3'!N238</f>
        <v>0</v>
      </c>
      <c r="O492" s="106">
        <f>'01-3'!O238+'02-3'!O238+'03-3'!O238+'04-3'!O238+'05-3'!O238+'08-3'!O238+'09-3'!O238+'10-3'!O238+'11-3'!O238+'12-3'!O238+'13-3'!O238+'14-3'!O238+'15-3'!O238+'16-3'!O238+'17-3'!O238+'18-3'!O238+'19-3'!O238+'21-3'!O238+'22-3'!O238+'24-3'!O238+'25-3'!O238+'28-3'!O238+'29-3'!O238+'30-3'!O238+'32-3'!O238+'35-3'!O238+'37-3'!O238+'47-3'!O238+'62-3'!O238+'64-3'!O238+'74-3'!O238</f>
        <v>0</v>
      </c>
      <c r="P492" s="106">
        <f>'01-3'!P238+'02-3'!P238+'03-3'!P238+'04-3'!P238+'05-3'!P238+'08-3'!P238+'09-3'!P238+'10-3'!P238+'11-3'!P238+'12-3'!P238+'13-3'!P238+'14-3'!P238+'15-3'!P238+'16-3'!P238+'17-3'!P238+'18-3'!P238+'19-3'!P238+'21-3'!P238+'22-3'!P238+'24-3'!P238+'25-3'!P238+'28-3'!P238+'29-3'!P238+'30-3'!P238+'32-3'!P238+'35-3'!P238+'37-3'!P238+'47-3'!P238+'62-3'!P238+'64-3'!P238+'74-3'!P238</f>
        <v>0</v>
      </c>
      <c r="Q492" s="106">
        <f>'01-3'!Q238+'02-3'!Q238+'03-3'!Q238+'04-3'!Q238+'05-3'!Q238+'08-3'!Q238+'09-3'!Q238+'10-3'!Q238+'11-3'!Q238+'12-3'!Q238+'13-3'!Q238+'14-3'!Q238+'15-3'!Q238+'16-3'!Q238+'17-3'!Q238+'18-3'!Q238+'19-3'!Q238+'21-3'!Q238+'22-3'!Q238+'24-3'!Q238+'25-3'!Q238+'28-3'!Q238+'29-3'!Q238+'30-3'!Q238+'32-3'!Q238+'35-3'!Q238+'37-3'!Q238+'47-3'!Q238+'62-3'!Q238+'64-3'!Q238+'74-3'!Q238</f>
        <v>0</v>
      </c>
      <c r="R492" s="106">
        <f>'01-3'!R238+'02-3'!R238+'03-3'!R238+'04-3'!R238+'05-3'!R238+'08-3'!R238+'09-3'!R238+'10-3'!R238+'11-3'!R238+'12-3'!R238+'13-3'!R238+'14-3'!R238+'15-3'!R238+'16-3'!R238+'17-3'!R238+'18-3'!R238+'19-3'!R238+'21-3'!R238+'22-3'!R238+'24-3'!R238+'25-3'!R238+'28-3'!R238+'29-3'!R238+'30-3'!R238+'32-3'!R238+'35-3'!R238+'37-3'!R238+'47-3'!R238+'62-3'!R238+'64-3'!R238+'74-3'!R238</f>
        <v>0</v>
      </c>
      <c r="S492" s="1324"/>
      <c r="T492" s="1324"/>
      <c r="U492" s="1324"/>
      <c r="V492" s="1324"/>
      <c r="W492" s="1324"/>
    </row>
    <row r="493" spans="1:23" s="29" customFormat="1" ht="24" hidden="1">
      <c r="A493" s="134">
        <v>9149</v>
      </c>
      <c r="B493" s="108" t="s">
        <v>192</v>
      </c>
      <c r="C493" s="106">
        <f>'01-3'!C239+'02-3'!C239+'03-3'!C239+'04-3'!C239+'05-3'!C239+'08-3'!C239+'09-3'!C239+'10-3'!C239+'11-3'!C239+'12-3'!C239+'13-3'!C239+'14-3'!C239+'15-3'!C239+'16-3'!C239+'17-3'!C239+'18-3'!C239+'19-3'!C239+'21-3'!C239+'22-3'!C239+'24-3'!C239+'25-3'!C239+'28-3'!C239+'29-3'!C239+'30-3'!C239+'32-3'!C239+'35-3'!C239+'37-3'!C239+'47-3'!C239+'62-3'!C239+'64-3'!C239+'74-3'!C239</f>
        <v>0</v>
      </c>
      <c r="D493" s="106">
        <f>'01-3'!D239+'02-3'!D239+'03-3'!D239+'04-3'!D239+'05-3'!D239+'08-3'!D239+'09-3'!D239+'10-3'!D239+'11-3'!D239+'12-3'!D239+'13-3'!D239+'14-3'!D239+'15-3'!D239+'16-3'!D239+'17-3'!D239+'18-3'!D239+'19-3'!D239+'21-3'!D239+'22-3'!D239+'24-3'!D239+'25-3'!D239+'28-3'!D239+'29-3'!D239+'30-3'!D239+'32-3'!D239+'35-3'!D239+'37-3'!D239+'47-3'!D239+'62-3'!D239+'64-3'!D239+'74-3'!D239</f>
        <v>0</v>
      </c>
      <c r="E493" s="106">
        <f>'01-3'!E239+'02-3'!E239+'03-3'!E239+'04-3'!E239+'05-3'!E239+'08-3'!E239+'09-3'!E239+'10-3'!E239+'11-3'!E239+'12-3'!E239+'13-3'!E239+'14-3'!E239+'15-3'!E239+'16-3'!E239+'17-3'!E239+'18-3'!E239+'19-3'!E239+'21-3'!E239+'22-3'!E239+'24-3'!E239+'25-3'!E239+'28-3'!E239+'29-3'!E239+'30-3'!E239+'32-3'!E239+'35-3'!E239+'37-3'!E239+'47-3'!E239+'62-3'!E239+'64-3'!E239+'74-3'!E239</f>
        <v>0</v>
      </c>
      <c r="F493" s="106">
        <f>'01-3'!F239+'02-3'!F239+'03-3'!F239+'04-3'!F239+'05-3'!F239+'08-3'!F239+'09-3'!F239+'10-3'!F239+'11-3'!F239+'12-3'!F239+'13-3'!F239+'14-3'!F239+'15-3'!F239+'16-3'!F239+'17-3'!F239+'18-3'!F239+'19-3'!F239+'21-3'!F239+'22-3'!F239+'24-3'!F239+'25-3'!F239+'28-3'!F239+'29-3'!F239+'30-3'!F239+'32-3'!F239+'35-3'!F239+'37-3'!F239+'47-3'!F239+'62-3'!F239+'64-3'!F239+'74-3'!F239</f>
        <v>0</v>
      </c>
      <c r="G493" s="106">
        <f>'01-3'!G239+'02-3'!G239+'03-3'!G239+'04-3'!G239+'05-3'!G239+'08-3'!G239+'09-3'!G239+'10-3'!G239+'11-3'!G239+'12-3'!G239+'13-3'!G239+'14-3'!G239+'15-3'!G239+'16-3'!G239+'17-3'!G239+'18-3'!G239+'19-3'!G239+'21-3'!G239+'22-3'!G239+'24-3'!G239+'25-3'!G239+'28-3'!G239+'29-3'!G239+'30-3'!G239+'32-3'!G239+'35-3'!G239+'37-3'!G239+'47-3'!G239+'62-3'!G239+'64-3'!G239+'74-3'!G239</f>
        <v>0</v>
      </c>
      <c r="H493" s="106">
        <f>'01-3'!H239+'02-3'!H239+'03-3'!H239+'04-3'!H239+'05-3'!H239+'08-3'!H239+'09-3'!H239+'10-3'!H239+'11-3'!H239+'12-3'!H239+'13-3'!H239+'14-3'!H239+'15-3'!H239+'16-3'!H239+'17-3'!H239+'18-3'!H239+'19-3'!H239+'21-3'!H239+'22-3'!H239+'24-3'!H239+'25-3'!H239+'28-3'!H239+'29-3'!H239+'30-3'!H239+'32-3'!H239+'35-3'!H239+'37-3'!H239+'47-3'!H239+'62-3'!H239+'64-3'!H239+'74-3'!H239</f>
        <v>0</v>
      </c>
      <c r="I493" s="106">
        <f>'01-3'!I239+'02-3'!I239+'03-3'!I239+'04-3'!I239+'05-3'!I239+'08-3'!I239+'09-3'!I239+'10-3'!I239+'11-3'!I239+'12-3'!I239+'13-3'!I239+'14-3'!I239+'15-3'!I239+'16-3'!I239+'17-3'!I239+'18-3'!I239+'19-3'!I239+'21-3'!I239+'22-3'!I239+'24-3'!I239+'25-3'!I239+'28-3'!I239+'29-3'!I239+'30-3'!I239+'32-3'!I239+'35-3'!I239+'37-3'!I239+'47-3'!I239+'62-3'!I239+'64-3'!I239+'74-3'!I239</f>
        <v>0</v>
      </c>
      <c r="J493" s="106">
        <f>'01-3'!J239+'02-3'!J239+'03-3'!J239+'04-3'!J239+'05-3'!J239+'08-3'!J239+'09-3'!J239+'10-3'!J239+'11-3'!J239+'12-3'!J239+'13-3'!J239+'14-3'!J239+'15-3'!J239+'16-3'!J239+'17-3'!J239+'18-3'!J239+'19-3'!J239+'21-3'!J239+'22-3'!J239+'24-3'!J239+'25-3'!J239+'28-3'!J239+'29-3'!J239+'30-3'!J239+'32-3'!J239+'35-3'!J239+'37-3'!J239+'47-3'!J239+'62-3'!J239+'64-3'!J239+'74-3'!J239</f>
        <v>0</v>
      </c>
      <c r="K493" s="106">
        <f>'01-3'!K239+'02-3'!K239+'03-3'!K239+'04-3'!K239+'05-3'!K239+'08-3'!K239+'09-3'!K239+'10-3'!K239+'11-3'!K239+'12-3'!K239+'13-3'!K239+'14-3'!K239+'15-3'!K239+'16-3'!K239+'17-3'!K239+'18-3'!K239+'19-3'!K239+'21-3'!K239+'22-3'!K239+'24-3'!K239+'25-3'!K239+'28-3'!K239+'29-3'!K239+'30-3'!K239+'32-3'!K239+'35-3'!K239+'37-3'!K239+'47-3'!K239+'62-3'!K239+'64-3'!K239+'74-3'!K239</f>
        <v>0</v>
      </c>
      <c r="L493" s="106">
        <f>'01-3'!L239+'02-3'!L239+'03-3'!L239+'04-3'!L239+'05-3'!L239+'08-3'!L239+'09-3'!L239+'10-3'!L239+'11-3'!L239+'12-3'!L239+'13-3'!L239+'14-3'!L239+'15-3'!L239+'16-3'!L239+'17-3'!L239+'18-3'!L239+'19-3'!L239+'21-3'!L239+'22-3'!L239+'24-3'!L239+'25-3'!L239+'28-3'!L239+'29-3'!L239+'30-3'!L239+'32-3'!L239+'35-3'!L239+'37-3'!L239+'47-3'!L239+'62-3'!L239+'64-3'!L239+'74-3'!L239</f>
        <v>0</v>
      </c>
      <c r="M493" s="106">
        <f>'01-3'!M239+'02-3'!M239+'03-3'!M239+'04-3'!M239+'05-3'!M239+'08-3'!M239+'09-3'!M239+'10-3'!M239+'11-3'!M239+'12-3'!M239+'13-3'!M239+'14-3'!M239+'15-3'!M239+'16-3'!M239+'17-3'!M239+'18-3'!M239+'19-3'!M239+'21-3'!M239+'22-3'!M239+'24-3'!M239+'25-3'!M239+'28-3'!M239+'29-3'!M239+'30-3'!M239+'32-3'!M239+'35-3'!M239+'37-3'!M239+'47-3'!M239+'62-3'!M239+'64-3'!M239+'74-3'!M239</f>
        <v>0</v>
      </c>
      <c r="N493" s="106">
        <f>'01-3'!N239+'02-3'!N239+'03-3'!N239+'04-3'!N239+'05-3'!N239+'08-3'!N239+'09-3'!N239+'10-3'!N239+'11-3'!N239+'12-3'!N239+'13-3'!N239+'14-3'!N239+'15-3'!N239+'16-3'!N239+'17-3'!N239+'18-3'!N239+'19-3'!N239+'21-3'!N239+'22-3'!N239+'24-3'!N239+'25-3'!N239+'28-3'!N239+'29-3'!N239+'30-3'!N239+'32-3'!N239+'35-3'!N239+'37-3'!N239+'47-3'!N239+'62-3'!N239+'64-3'!N239+'74-3'!N239</f>
        <v>0</v>
      </c>
      <c r="O493" s="106">
        <f>'01-3'!O239+'02-3'!O239+'03-3'!O239+'04-3'!O239+'05-3'!O239+'08-3'!O239+'09-3'!O239+'10-3'!O239+'11-3'!O239+'12-3'!O239+'13-3'!O239+'14-3'!O239+'15-3'!O239+'16-3'!O239+'17-3'!O239+'18-3'!O239+'19-3'!O239+'21-3'!O239+'22-3'!O239+'24-3'!O239+'25-3'!O239+'28-3'!O239+'29-3'!O239+'30-3'!O239+'32-3'!O239+'35-3'!O239+'37-3'!O239+'47-3'!O239+'62-3'!O239+'64-3'!O239+'74-3'!O239</f>
        <v>0</v>
      </c>
      <c r="P493" s="106">
        <f>'01-3'!P239+'02-3'!P239+'03-3'!P239+'04-3'!P239+'05-3'!P239+'08-3'!P239+'09-3'!P239+'10-3'!P239+'11-3'!P239+'12-3'!P239+'13-3'!P239+'14-3'!P239+'15-3'!P239+'16-3'!P239+'17-3'!P239+'18-3'!P239+'19-3'!P239+'21-3'!P239+'22-3'!P239+'24-3'!P239+'25-3'!P239+'28-3'!P239+'29-3'!P239+'30-3'!P239+'32-3'!P239+'35-3'!P239+'37-3'!P239+'47-3'!P239+'62-3'!P239+'64-3'!P239+'74-3'!P239</f>
        <v>0</v>
      </c>
      <c r="Q493" s="106">
        <f>'01-3'!Q239+'02-3'!Q239+'03-3'!Q239+'04-3'!Q239+'05-3'!Q239+'08-3'!Q239+'09-3'!Q239+'10-3'!Q239+'11-3'!Q239+'12-3'!Q239+'13-3'!Q239+'14-3'!Q239+'15-3'!Q239+'16-3'!Q239+'17-3'!Q239+'18-3'!Q239+'19-3'!Q239+'21-3'!Q239+'22-3'!Q239+'24-3'!Q239+'25-3'!Q239+'28-3'!Q239+'29-3'!Q239+'30-3'!Q239+'32-3'!Q239+'35-3'!Q239+'37-3'!Q239+'47-3'!Q239+'62-3'!Q239+'64-3'!Q239+'74-3'!Q239</f>
        <v>0</v>
      </c>
      <c r="R493" s="106">
        <f>'01-3'!R239+'02-3'!R239+'03-3'!R239+'04-3'!R239+'05-3'!R239+'08-3'!R239+'09-3'!R239+'10-3'!R239+'11-3'!R239+'12-3'!R239+'13-3'!R239+'14-3'!R239+'15-3'!R239+'16-3'!R239+'17-3'!R239+'18-3'!R239+'19-3'!R239+'21-3'!R239+'22-3'!R239+'24-3'!R239+'25-3'!R239+'28-3'!R239+'29-3'!R239+'30-3'!R239+'32-3'!R239+'35-3'!R239+'37-3'!R239+'47-3'!R239+'62-3'!R239+'64-3'!R239+'74-3'!R239</f>
        <v>0</v>
      </c>
      <c r="S493" s="1324"/>
      <c r="T493" s="1324"/>
      <c r="U493" s="1324"/>
      <c r="V493" s="1324"/>
      <c r="W493" s="1324"/>
    </row>
    <row r="494" spans="1:23" s="29" customFormat="1" ht="24">
      <c r="A494" s="141">
        <v>9500</v>
      </c>
      <c r="B494" s="108" t="s">
        <v>165</v>
      </c>
      <c r="C494" s="106">
        <f>'01-3'!C240+'02-3'!C240+'03-3'!C240+'04-3'!C240+'05-3'!C240+'08-3'!C240+'09-3'!C240+'10-3'!C240+'11-3'!C240+'12-3'!C240+'13-3'!C240+'14-3'!C240+'15-3'!C240+'16-3'!C240+'17-3'!C240+'18-3'!C240+'19-3'!C240+'21-3'!C240+'22-3'!C240+'24-3'!C240+'25-3'!C240+'28-3'!C240+'29-3'!C240+'30-3'!C240+'32-3'!C240+'35-3'!C240+'37-3'!C240+'47-3'!C240+'62-3'!C240+'64-3'!C240+'74-3'!C240</f>
        <v>116666569</v>
      </c>
      <c r="D494" s="106">
        <f>'01-3'!D240+'02-3'!D240+'03-3'!D240+'04-3'!D240+'05-3'!D240+'08-3'!D240+'09-3'!D240+'10-3'!D240+'11-3'!D240+'12-3'!D240+'13-3'!D240+'14-3'!D240+'15-3'!D240+'16-3'!D240+'17-3'!D240+'18-3'!D240+'19-3'!D240+'21-3'!D240+'22-3'!D240+'24-3'!D240+'25-3'!D240+'28-3'!D240+'29-3'!D240+'30-3'!D240+'32-3'!D240+'35-3'!D240+'37-3'!D240+'47-3'!D240+'62-3'!D240+'64-3'!D240+'74-3'!D240</f>
        <v>80477062</v>
      </c>
      <c r="E494" s="106">
        <f>'01-3'!E240+'02-3'!E240+'03-3'!E240+'04-3'!E240+'05-3'!E240+'08-3'!E240+'09-3'!E240+'10-3'!E240+'11-3'!E240+'12-3'!E240+'13-3'!E240+'14-3'!E240+'15-3'!E240+'16-3'!E240+'17-3'!E240+'18-3'!E240+'19-3'!E240+'21-3'!E240+'22-3'!E240+'24-3'!E240+'25-3'!E240+'28-3'!E240+'29-3'!E240+'30-3'!E240+'32-3'!E240+'35-3'!E240+'37-3'!E240+'47-3'!E240+'62-3'!E240+'64-3'!E240+'74-3'!E240</f>
        <v>0</v>
      </c>
      <c r="F494" s="106">
        <f>'01-3'!F240+'02-3'!F240+'03-3'!F240+'04-3'!F240+'05-3'!F240+'08-3'!F240+'09-3'!F240+'10-3'!F240+'11-3'!F240+'12-3'!F240+'13-3'!F240+'14-3'!F240+'15-3'!F240+'16-3'!F240+'17-3'!F240+'18-3'!F240+'19-3'!F240+'21-3'!F240+'22-3'!F240+'24-3'!F240+'25-3'!F240+'28-3'!F240+'29-3'!F240+'30-3'!F240+'32-3'!F240+'35-3'!F240+'37-3'!F240+'47-3'!F240+'62-3'!F240+'64-3'!F240+'74-3'!F240</f>
        <v>0</v>
      </c>
      <c r="G494" s="106">
        <f>'01-3'!G240+'02-3'!G240+'03-3'!G240+'04-3'!G240+'05-3'!G240+'08-3'!G240+'09-3'!G240+'10-3'!G240+'11-3'!G240+'12-3'!G240+'13-3'!G240+'14-3'!G240+'15-3'!G240+'16-3'!G240+'17-3'!G240+'18-3'!G240+'19-3'!G240+'21-3'!G240+'22-3'!G240+'24-3'!G240+'25-3'!G240+'28-3'!G240+'29-3'!G240+'30-3'!G240+'32-3'!G240+'35-3'!G240+'37-3'!G240+'47-3'!G240+'62-3'!G240+'64-3'!G240+'74-3'!G240</f>
        <v>0</v>
      </c>
      <c r="H494" s="106">
        <f>'01-3'!H240+'02-3'!H240+'03-3'!H240+'04-3'!H240+'05-3'!H240+'08-3'!H240+'09-3'!H240+'10-3'!H240+'11-3'!H240+'12-3'!H240+'13-3'!H240+'14-3'!H240+'15-3'!H240+'16-3'!H240+'17-3'!H240+'18-3'!H240+'19-3'!H240+'21-3'!H240+'22-3'!H240+'24-3'!H240+'25-3'!H240+'28-3'!H240+'29-3'!H240+'30-3'!H240+'32-3'!H240+'35-3'!H240+'37-3'!H240+'47-3'!H240+'62-3'!H240+'64-3'!H240+'74-3'!H240</f>
        <v>80477062</v>
      </c>
      <c r="I494" s="106">
        <f>'01-3'!I240+'02-3'!I240+'03-3'!I240+'04-3'!I240+'05-3'!I240+'08-3'!I240+'09-3'!I240+'10-3'!I240+'11-3'!I240+'12-3'!I240+'13-3'!I240+'14-3'!I240+'15-3'!I240+'16-3'!I240+'17-3'!I240+'18-3'!I240+'19-3'!I240+'21-3'!I240+'22-3'!I240+'24-3'!I240+'25-3'!I240+'28-3'!I240+'29-3'!I240+'30-3'!I240+'32-3'!I240+'35-3'!I240+'37-3'!I240+'47-3'!I240+'62-3'!I240+'64-3'!I240+'74-3'!I240</f>
        <v>30273397</v>
      </c>
      <c r="J494" s="106">
        <f>'01-3'!J240+'02-3'!J240+'03-3'!J240+'04-3'!J240+'05-3'!J240+'08-3'!J240+'09-3'!J240+'10-3'!J240+'11-3'!J240+'12-3'!J240+'13-3'!J240+'14-3'!J240+'15-3'!J240+'16-3'!J240+'17-3'!J240+'18-3'!J240+'19-3'!J240+'21-3'!J240+'22-3'!J240+'24-3'!J240+'25-3'!J240+'28-3'!J240+'29-3'!J240+'30-3'!J240+'32-3'!J240+'35-3'!J240+'37-3'!J240+'47-3'!J240+'62-3'!J240+'64-3'!J240+'74-3'!J240</f>
        <v>0</v>
      </c>
      <c r="K494" s="106">
        <f>'01-3'!K240+'02-3'!K240+'03-3'!K240+'04-3'!K240+'05-3'!K240+'08-3'!K240+'09-3'!K240+'10-3'!K240+'11-3'!K240+'12-3'!K240+'13-3'!K240+'14-3'!K240+'15-3'!K240+'16-3'!K240+'17-3'!K240+'18-3'!K240+'19-3'!K240+'21-3'!K240+'22-3'!K240+'24-3'!K240+'25-3'!K240+'28-3'!K240+'29-3'!K240+'30-3'!K240+'32-3'!K240+'35-3'!K240+'37-3'!K240+'47-3'!K240+'62-3'!K240+'64-3'!K240+'74-3'!K240</f>
        <v>0</v>
      </c>
      <c r="L494" s="106">
        <f>'01-3'!L240+'02-3'!L240+'03-3'!L240+'04-3'!L240+'05-3'!L240+'08-3'!L240+'09-3'!L240+'10-3'!L240+'11-3'!L240+'12-3'!L240+'13-3'!L240+'14-3'!L240+'15-3'!L240+'16-3'!L240+'17-3'!L240+'18-3'!L240+'19-3'!L240+'21-3'!L240+'22-3'!L240+'24-3'!L240+'25-3'!L240+'28-3'!L240+'29-3'!L240+'30-3'!L240+'32-3'!L240+'35-3'!L240+'37-3'!L240+'47-3'!L240+'62-3'!L240+'64-3'!L240+'74-3'!L240</f>
        <v>0</v>
      </c>
      <c r="M494" s="106">
        <f>'01-3'!M240+'02-3'!M240+'03-3'!M240+'04-3'!M240+'05-3'!M240+'08-3'!M240+'09-3'!M240+'10-3'!M240+'11-3'!M240+'12-3'!M240+'13-3'!M240+'14-3'!M240+'15-3'!M240+'16-3'!M240+'17-3'!M240+'18-3'!M240+'19-3'!M240+'21-3'!M240+'22-3'!M240+'24-3'!M240+'25-3'!M240+'28-3'!M240+'29-3'!M240+'30-3'!M240+'32-3'!M240+'35-3'!M240+'37-3'!M240+'47-3'!M240+'62-3'!M240+'64-3'!M240+'74-3'!M240</f>
        <v>30273397</v>
      </c>
      <c r="N494" s="106">
        <f>'01-3'!N240+'02-3'!N240+'03-3'!N240+'04-3'!N240+'05-3'!N240+'08-3'!N240+'09-3'!N240+'10-3'!N240+'11-3'!N240+'12-3'!N240+'13-3'!N240+'14-3'!N240+'15-3'!N240+'16-3'!N240+'17-3'!N240+'18-3'!N240+'19-3'!N240+'21-3'!N240+'22-3'!N240+'24-3'!N240+'25-3'!N240+'28-3'!N240+'29-3'!N240+'30-3'!N240+'32-3'!N240+'35-3'!N240+'37-3'!N240+'47-3'!N240+'62-3'!N240+'64-3'!N240+'74-3'!N240</f>
        <v>10252220</v>
      </c>
      <c r="O494" s="106">
        <f>'01-3'!O240+'02-3'!O240+'03-3'!O240+'04-3'!O240+'05-3'!O240+'08-3'!O240+'09-3'!O240+'10-3'!O240+'11-3'!O240+'12-3'!O240+'13-3'!O240+'14-3'!O240+'15-3'!O240+'16-3'!O240+'17-3'!O240+'18-3'!O240+'19-3'!O240+'21-3'!O240+'22-3'!O240+'24-3'!O240+'25-3'!O240+'28-3'!O240+'29-3'!O240+'30-3'!O240+'32-3'!O240+'35-3'!O240+'37-3'!O240+'47-3'!O240+'62-3'!O240+'64-3'!O240+'74-3'!O240</f>
        <v>0</v>
      </c>
      <c r="P494" s="106">
        <f>'01-3'!P240+'02-3'!P240+'03-3'!P240+'04-3'!P240+'05-3'!P240+'08-3'!P240+'09-3'!P240+'10-3'!P240+'11-3'!P240+'12-3'!P240+'13-3'!P240+'14-3'!P240+'15-3'!P240+'16-3'!P240+'17-3'!P240+'18-3'!P240+'19-3'!P240+'21-3'!P240+'22-3'!P240+'24-3'!P240+'25-3'!P240+'28-3'!P240+'29-3'!P240+'30-3'!P240+'32-3'!P240+'35-3'!P240+'37-3'!P240+'47-3'!P240+'62-3'!P240+'64-3'!P240+'74-3'!P240</f>
        <v>0</v>
      </c>
      <c r="Q494" s="106">
        <f>'01-3'!Q240+'02-3'!Q240+'03-3'!Q240+'04-3'!Q240+'05-3'!Q240+'08-3'!Q240+'09-3'!Q240+'10-3'!Q240+'11-3'!Q240+'12-3'!Q240+'13-3'!Q240+'14-3'!Q240+'15-3'!Q240+'16-3'!Q240+'17-3'!Q240+'18-3'!Q240+'19-3'!Q240+'21-3'!Q240+'22-3'!Q240+'24-3'!Q240+'25-3'!Q240+'28-3'!Q240+'29-3'!Q240+'30-3'!Q240+'32-3'!Q240+'35-3'!Q240+'37-3'!Q240+'47-3'!Q240+'62-3'!Q240+'64-3'!Q240+'74-3'!Q240</f>
        <v>0</v>
      </c>
      <c r="R494" s="106">
        <f>'01-3'!R240+'02-3'!R240+'03-3'!R240+'04-3'!R240+'05-3'!R240+'08-3'!R240+'09-3'!R240+'10-3'!R240+'11-3'!R240+'12-3'!R240+'13-3'!R240+'14-3'!R240+'15-3'!R240+'16-3'!R240+'17-3'!R240+'18-3'!R240+'19-3'!R240+'21-3'!R240+'22-3'!R240+'24-3'!R240+'25-3'!R240+'28-3'!R240+'29-3'!R240+'30-3'!R240+'32-3'!R240+'35-3'!R240+'37-3'!R240+'47-3'!R240+'62-3'!R240+'64-3'!R240+'74-3'!R240</f>
        <v>10252220</v>
      </c>
      <c r="S494" s="1324"/>
      <c r="T494" s="1324"/>
      <c r="U494" s="1324"/>
      <c r="V494" s="1324"/>
      <c r="W494" s="1324"/>
    </row>
    <row r="495" spans="1:23" s="29" customFormat="1" ht="24" hidden="1">
      <c r="A495" s="133" t="s">
        <v>193</v>
      </c>
      <c r="B495" s="108" t="s">
        <v>171</v>
      </c>
      <c r="C495" s="106">
        <f>'01-3'!C241+'02-3'!C241+'03-3'!C241+'04-3'!C241+'05-3'!C241+'08-3'!C241+'09-3'!C241+'10-3'!C241+'11-3'!C241+'12-3'!C241+'13-3'!C241+'14-3'!C241+'15-3'!C241+'16-3'!C241+'17-3'!C241+'18-3'!C241+'19-3'!C241+'21-3'!C241+'22-3'!C241+'24-3'!C241+'25-3'!C241+'28-3'!C241+'29-3'!C241+'30-3'!C241+'32-3'!C241+'35-3'!C241+'37-3'!C241+'47-3'!C241+'62-3'!C241+'64-3'!C241+'74-3'!C241</f>
        <v>0</v>
      </c>
      <c r="D495" s="106">
        <f>'01-3'!D241+'02-3'!D241+'03-3'!D241+'04-3'!D241+'05-3'!D241+'08-3'!D241+'09-3'!D241+'10-3'!D241+'11-3'!D241+'12-3'!D241+'13-3'!D241+'14-3'!D241+'15-3'!D241+'16-3'!D241+'17-3'!D241+'18-3'!D241+'19-3'!D241+'21-3'!D241+'22-3'!D241+'24-3'!D241+'25-3'!D241+'28-3'!D241+'29-3'!D241+'30-3'!D241+'32-3'!D241+'35-3'!D241+'37-3'!D241+'47-3'!D241+'62-3'!D241+'64-3'!D241+'74-3'!D241</f>
        <v>0</v>
      </c>
      <c r="E495" s="106">
        <f>'01-3'!E241+'02-3'!E241+'03-3'!E241+'04-3'!E241+'05-3'!E241+'08-3'!E241+'09-3'!E241+'10-3'!E241+'11-3'!E241+'12-3'!E241+'13-3'!E241+'14-3'!E241+'15-3'!E241+'16-3'!E241+'17-3'!E241+'18-3'!E241+'19-3'!E241+'21-3'!E241+'22-3'!E241+'24-3'!E241+'25-3'!E241+'28-3'!E241+'29-3'!E241+'30-3'!E241+'32-3'!E241+'35-3'!E241+'37-3'!E241+'47-3'!E241+'62-3'!E241+'64-3'!E241+'74-3'!E241</f>
        <v>0</v>
      </c>
      <c r="F495" s="106">
        <f>'01-3'!F241+'02-3'!F241+'03-3'!F241+'04-3'!F241+'05-3'!F241+'08-3'!F241+'09-3'!F241+'10-3'!F241+'11-3'!F241+'12-3'!F241+'13-3'!F241+'14-3'!F241+'15-3'!F241+'16-3'!F241+'17-3'!F241+'18-3'!F241+'19-3'!F241+'21-3'!F241+'22-3'!F241+'24-3'!F241+'25-3'!F241+'28-3'!F241+'29-3'!F241+'30-3'!F241+'32-3'!F241+'35-3'!F241+'37-3'!F241+'47-3'!F241+'62-3'!F241+'64-3'!F241+'74-3'!F241</f>
        <v>0</v>
      </c>
      <c r="G495" s="106">
        <f>'01-3'!G241+'02-3'!G241+'03-3'!G241+'04-3'!G241+'05-3'!G241+'08-3'!G241+'09-3'!G241+'10-3'!G241+'11-3'!G241+'12-3'!G241+'13-3'!G241+'14-3'!G241+'15-3'!G241+'16-3'!G241+'17-3'!G241+'18-3'!G241+'19-3'!G241+'21-3'!G241+'22-3'!G241+'24-3'!G241+'25-3'!G241+'28-3'!G241+'29-3'!G241+'30-3'!G241+'32-3'!G241+'35-3'!G241+'37-3'!G241+'47-3'!G241+'62-3'!G241+'64-3'!G241+'74-3'!G241</f>
        <v>0</v>
      </c>
      <c r="H495" s="106">
        <f>'01-3'!H241+'02-3'!H241+'03-3'!H241+'04-3'!H241+'05-3'!H241+'08-3'!H241+'09-3'!H241+'10-3'!H241+'11-3'!H241+'12-3'!H241+'13-3'!H241+'14-3'!H241+'15-3'!H241+'16-3'!H241+'17-3'!H241+'18-3'!H241+'19-3'!H241+'21-3'!H241+'22-3'!H241+'24-3'!H241+'25-3'!H241+'28-3'!H241+'29-3'!H241+'30-3'!H241+'32-3'!H241+'35-3'!H241+'37-3'!H241+'47-3'!H241+'62-3'!H241+'64-3'!H241+'74-3'!H241</f>
        <v>0</v>
      </c>
      <c r="I495" s="106">
        <f>'01-3'!I241+'02-3'!I241+'03-3'!I241+'04-3'!I241+'05-3'!I241+'08-3'!I241+'09-3'!I241+'10-3'!I241+'11-3'!I241+'12-3'!I241+'13-3'!I241+'14-3'!I241+'15-3'!I241+'16-3'!I241+'17-3'!I241+'18-3'!I241+'19-3'!I241+'21-3'!I241+'22-3'!I241+'24-3'!I241+'25-3'!I241+'28-3'!I241+'29-3'!I241+'30-3'!I241+'32-3'!I241+'35-3'!I241+'37-3'!I241+'47-3'!I241+'62-3'!I241+'64-3'!I241+'74-3'!I241</f>
        <v>0</v>
      </c>
      <c r="J495" s="106">
        <f>'01-3'!J241+'02-3'!J241+'03-3'!J241+'04-3'!J241+'05-3'!J241+'08-3'!J241+'09-3'!J241+'10-3'!J241+'11-3'!J241+'12-3'!J241+'13-3'!J241+'14-3'!J241+'15-3'!J241+'16-3'!J241+'17-3'!J241+'18-3'!J241+'19-3'!J241+'21-3'!J241+'22-3'!J241+'24-3'!J241+'25-3'!J241+'28-3'!J241+'29-3'!J241+'30-3'!J241+'32-3'!J241+'35-3'!J241+'37-3'!J241+'47-3'!J241+'62-3'!J241+'64-3'!J241+'74-3'!J241</f>
        <v>0</v>
      </c>
      <c r="K495" s="106">
        <f>'01-3'!K241+'02-3'!K241+'03-3'!K241+'04-3'!K241+'05-3'!K241+'08-3'!K241+'09-3'!K241+'10-3'!K241+'11-3'!K241+'12-3'!K241+'13-3'!K241+'14-3'!K241+'15-3'!K241+'16-3'!K241+'17-3'!K241+'18-3'!K241+'19-3'!K241+'21-3'!K241+'22-3'!K241+'24-3'!K241+'25-3'!K241+'28-3'!K241+'29-3'!K241+'30-3'!K241+'32-3'!K241+'35-3'!K241+'37-3'!K241+'47-3'!K241+'62-3'!K241+'64-3'!K241+'74-3'!K241</f>
        <v>0</v>
      </c>
      <c r="L495" s="106">
        <f>'01-3'!L241+'02-3'!L241+'03-3'!L241+'04-3'!L241+'05-3'!L241+'08-3'!L241+'09-3'!L241+'10-3'!L241+'11-3'!L241+'12-3'!L241+'13-3'!L241+'14-3'!L241+'15-3'!L241+'16-3'!L241+'17-3'!L241+'18-3'!L241+'19-3'!L241+'21-3'!L241+'22-3'!L241+'24-3'!L241+'25-3'!L241+'28-3'!L241+'29-3'!L241+'30-3'!L241+'32-3'!L241+'35-3'!L241+'37-3'!L241+'47-3'!L241+'62-3'!L241+'64-3'!L241+'74-3'!L241</f>
        <v>0</v>
      </c>
      <c r="M495" s="106">
        <f>'01-3'!M241+'02-3'!M241+'03-3'!M241+'04-3'!M241+'05-3'!M241+'08-3'!M241+'09-3'!M241+'10-3'!M241+'11-3'!M241+'12-3'!M241+'13-3'!M241+'14-3'!M241+'15-3'!M241+'16-3'!M241+'17-3'!M241+'18-3'!M241+'19-3'!M241+'21-3'!M241+'22-3'!M241+'24-3'!M241+'25-3'!M241+'28-3'!M241+'29-3'!M241+'30-3'!M241+'32-3'!M241+'35-3'!M241+'37-3'!M241+'47-3'!M241+'62-3'!M241+'64-3'!M241+'74-3'!M241</f>
        <v>0</v>
      </c>
      <c r="N495" s="106">
        <f>'01-3'!N241+'02-3'!N241+'03-3'!N241+'04-3'!N241+'05-3'!N241+'08-3'!N241+'09-3'!N241+'10-3'!N241+'11-3'!N241+'12-3'!N241+'13-3'!N241+'14-3'!N241+'15-3'!N241+'16-3'!N241+'17-3'!N241+'18-3'!N241+'19-3'!N241+'21-3'!N241+'22-3'!N241+'24-3'!N241+'25-3'!N241+'28-3'!N241+'29-3'!N241+'30-3'!N241+'32-3'!N241+'35-3'!N241+'37-3'!N241+'47-3'!N241+'62-3'!N241+'64-3'!N241+'74-3'!N241</f>
        <v>0</v>
      </c>
      <c r="O495" s="106">
        <f>'01-3'!O241+'02-3'!O241+'03-3'!O241+'04-3'!O241+'05-3'!O241+'08-3'!O241+'09-3'!O241+'10-3'!O241+'11-3'!O241+'12-3'!O241+'13-3'!O241+'14-3'!O241+'15-3'!O241+'16-3'!O241+'17-3'!O241+'18-3'!O241+'19-3'!O241+'21-3'!O241+'22-3'!O241+'24-3'!O241+'25-3'!O241+'28-3'!O241+'29-3'!O241+'30-3'!O241+'32-3'!O241+'35-3'!O241+'37-3'!O241+'47-3'!O241+'62-3'!O241+'64-3'!O241+'74-3'!O241</f>
        <v>0</v>
      </c>
      <c r="P495" s="106">
        <f>'01-3'!P241+'02-3'!P241+'03-3'!P241+'04-3'!P241+'05-3'!P241+'08-3'!P241+'09-3'!P241+'10-3'!P241+'11-3'!P241+'12-3'!P241+'13-3'!P241+'14-3'!P241+'15-3'!P241+'16-3'!P241+'17-3'!P241+'18-3'!P241+'19-3'!P241+'21-3'!P241+'22-3'!P241+'24-3'!P241+'25-3'!P241+'28-3'!P241+'29-3'!P241+'30-3'!P241+'32-3'!P241+'35-3'!P241+'37-3'!P241+'47-3'!P241+'62-3'!P241+'64-3'!P241+'74-3'!P241</f>
        <v>0</v>
      </c>
      <c r="Q495" s="106">
        <f>'01-3'!Q241+'02-3'!Q241+'03-3'!Q241+'04-3'!Q241+'05-3'!Q241+'08-3'!Q241+'09-3'!Q241+'10-3'!Q241+'11-3'!Q241+'12-3'!Q241+'13-3'!Q241+'14-3'!Q241+'15-3'!Q241+'16-3'!Q241+'17-3'!Q241+'18-3'!Q241+'19-3'!Q241+'21-3'!Q241+'22-3'!Q241+'24-3'!Q241+'25-3'!Q241+'28-3'!Q241+'29-3'!Q241+'30-3'!Q241+'32-3'!Q241+'35-3'!Q241+'37-3'!Q241+'47-3'!Q241+'62-3'!Q241+'64-3'!Q241+'74-3'!Q241</f>
        <v>0</v>
      </c>
      <c r="R495" s="106">
        <f>'01-3'!R241+'02-3'!R241+'03-3'!R241+'04-3'!R241+'05-3'!R241+'08-3'!R241+'09-3'!R241+'10-3'!R241+'11-3'!R241+'12-3'!R241+'13-3'!R241+'14-3'!R241+'15-3'!R241+'16-3'!R241+'17-3'!R241+'18-3'!R241+'19-3'!R241+'21-3'!R241+'22-3'!R241+'24-3'!R241+'25-3'!R241+'28-3'!R241+'29-3'!R241+'30-3'!R241+'32-3'!R241+'35-3'!R241+'37-3'!R241+'47-3'!R241+'62-3'!R241+'64-3'!R241+'74-3'!R241</f>
        <v>0</v>
      </c>
      <c r="S495" s="1324"/>
      <c r="T495" s="1324"/>
      <c r="U495" s="1324"/>
      <c r="V495" s="1324"/>
      <c r="W495" s="1324"/>
    </row>
    <row r="496" spans="1:23" s="29" customFormat="1" ht="48">
      <c r="A496" s="133">
        <v>9580</v>
      </c>
      <c r="B496" s="108" t="s">
        <v>166</v>
      </c>
      <c r="C496" s="106">
        <f>'01-3'!C242+'02-3'!C242+'03-3'!C242+'04-3'!C242+'05-3'!C242+'08-3'!C242+'09-3'!C242+'10-3'!C242+'11-3'!C242+'12-3'!C242+'13-3'!C242+'14-3'!C242+'15-3'!C242+'16-3'!C242+'17-3'!C242+'18-3'!C242+'19-3'!C242+'21-3'!C242+'22-3'!C242+'24-3'!C242+'25-3'!C242+'28-3'!C242+'29-3'!C242+'30-3'!C242+'32-3'!C242+'35-3'!C242+'37-3'!C242+'47-3'!C242+'62-3'!C242+'64-3'!C242+'74-3'!C242</f>
        <v>89864659</v>
      </c>
      <c r="D496" s="106">
        <f>'01-3'!D242+'02-3'!D242+'03-3'!D242+'04-3'!D242+'05-3'!D242+'08-3'!D242+'09-3'!D242+'10-3'!D242+'11-3'!D242+'12-3'!D242+'13-3'!D242+'14-3'!D242+'15-3'!D242+'16-3'!D242+'17-3'!D242+'18-3'!D242+'19-3'!D242+'21-3'!D242+'22-3'!D242+'24-3'!D242+'25-3'!D242+'28-3'!D242+'29-3'!D242+'30-3'!D242+'32-3'!D242+'35-3'!D242+'37-3'!D242+'47-3'!D242+'62-3'!D242+'64-3'!D242+'74-3'!D242</f>
        <v>42665974</v>
      </c>
      <c r="E496" s="106">
        <f>'01-3'!E242+'02-3'!E242+'03-3'!E242+'04-3'!E242+'05-3'!E242+'08-3'!E242+'09-3'!E242+'10-3'!E242+'11-3'!E242+'12-3'!E242+'13-3'!E242+'14-3'!E242+'15-3'!E242+'16-3'!E242+'17-3'!E242+'18-3'!E242+'19-3'!E242+'21-3'!E242+'22-3'!E242+'24-3'!E242+'25-3'!E242+'28-3'!E242+'29-3'!E242+'30-3'!E242+'32-3'!E242+'35-3'!E242+'37-3'!E242+'47-3'!E242+'62-3'!E242+'64-3'!E242+'74-3'!E242</f>
        <v>0</v>
      </c>
      <c r="F496" s="106">
        <f>'01-3'!F242+'02-3'!F242+'03-3'!F242+'04-3'!F242+'05-3'!F242+'08-3'!F242+'09-3'!F242+'10-3'!F242+'11-3'!F242+'12-3'!F242+'13-3'!F242+'14-3'!F242+'15-3'!F242+'16-3'!F242+'17-3'!F242+'18-3'!F242+'19-3'!F242+'21-3'!F242+'22-3'!F242+'24-3'!F242+'25-3'!F242+'28-3'!F242+'29-3'!F242+'30-3'!F242+'32-3'!F242+'35-3'!F242+'37-3'!F242+'47-3'!F242+'62-3'!F242+'64-3'!F242+'74-3'!F242</f>
        <v>0</v>
      </c>
      <c r="G496" s="106">
        <f>'01-3'!G242+'02-3'!G242+'03-3'!G242+'04-3'!G242+'05-3'!G242+'08-3'!G242+'09-3'!G242+'10-3'!G242+'11-3'!G242+'12-3'!G242+'13-3'!G242+'14-3'!G242+'15-3'!G242+'16-3'!G242+'17-3'!G242+'18-3'!G242+'19-3'!G242+'21-3'!G242+'22-3'!G242+'24-3'!G242+'25-3'!G242+'28-3'!G242+'29-3'!G242+'30-3'!G242+'32-3'!G242+'35-3'!G242+'37-3'!G242+'47-3'!G242+'62-3'!G242+'64-3'!G242+'74-3'!G242</f>
        <v>0</v>
      </c>
      <c r="H496" s="106">
        <f>'01-3'!H242+'02-3'!H242+'03-3'!H242+'04-3'!H242+'05-3'!H242+'08-3'!H242+'09-3'!H242+'10-3'!H242+'11-3'!H242+'12-3'!H242+'13-3'!H242+'14-3'!H242+'15-3'!H242+'16-3'!H242+'17-3'!H242+'18-3'!H242+'19-3'!H242+'21-3'!H242+'22-3'!H242+'24-3'!H242+'25-3'!H242+'28-3'!H242+'29-3'!H242+'30-3'!H242+'32-3'!H242+'35-3'!H242+'37-3'!H242+'47-3'!H242+'62-3'!H242+'64-3'!H242+'74-3'!H242</f>
        <v>42665974</v>
      </c>
      <c r="I496" s="106">
        <f>'01-3'!I242+'02-3'!I242+'03-3'!I242+'04-3'!I242+'05-3'!I242+'08-3'!I242+'09-3'!I242+'10-3'!I242+'11-3'!I242+'12-3'!I242+'13-3'!I242+'14-3'!I242+'15-3'!I242+'16-3'!I242+'17-3'!I242+'18-3'!I242+'19-3'!I242+'21-3'!I242+'22-3'!I242+'24-3'!I242+'25-3'!I242+'28-3'!I242+'29-3'!I242+'30-3'!I242+'32-3'!I242+'35-3'!I242+'37-3'!I242+'47-3'!I242+'62-3'!I242+'64-3'!I242+'74-3'!I242</f>
        <v>9818354</v>
      </c>
      <c r="J496" s="106">
        <f>'01-3'!J242+'02-3'!J242+'03-3'!J242+'04-3'!J242+'05-3'!J242+'08-3'!J242+'09-3'!J242+'10-3'!J242+'11-3'!J242+'12-3'!J242+'13-3'!J242+'14-3'!J242+'15-3'!J242+'16-3'!J242+'17-3'!J242+'18-3'!J242+'19-3'!J242+'21-3'!J242+'22-3'!J242+'24-3'!J242+'25-3'!J242+'28-3'!J242+'29-3'!J242+'30-3'!J242+'32-3'!J242+'35-3'!J242+'37-3'!J242+'47-3'!J242+'62-3'!J242+'64-3'!J242+'74-3'!J242</f>
        <v>0</v>
      </c>
      <c r="K496" s="106">
        <f>'01-3'!K242+'02-3'!K242+'03-3'!K242+'04-3'!K242+'05-3'!K242+'08-3'!K242+'09-3'!K242+'10-3'!K242+'11-3'!K242+'12-3'!K242+'13-3'!K242+'14-3'!K242+'15-3'!K242+'16-3'!K242+'17-3'!K242+'18-3'!K242+'19-3'!K242+'21-3'!K242+'22-3'!K242+'24-3'!K242+'25-3'!K242+'28-3'!K242+'29-3'!K242+'30-3'!K242+'32-3'!K242+'35-3'!K242+'37-3'!K242+'47-3'!K242+'62-3'!K242+'64-3'!K242+'74-3'!K242</f>
        <v>0</v>
      </c>
      <c r="L496" s="106">
        <f>'01-3'!L242+'02-3'!L242+'03-3'!L242+'04-3'!L242+'05-3'!L242+'08-3'!L242+'09-3'!L242+'10-3'!L242+'11-3'!L242+'12-3'!L242+'13-3'!L242+'14-3'!L242+'15-3'!L242+'16-3'!L242+'17-3'!L242+'18-3'!L242+'19-3'!L242+'21-3'!L242+'22-3'!L242+'24-3'!L242+'25-3'!L242+'28-3'!L242+'29-3'!L242+'30-3'!L242+'32-3'!L242+'35-3'!L242+'37-3'!L242+'47-3'!L242+'62-3'!L242+'64-3'!L242+'74-3'!L242</f>
        <v>0</v>
      </c>
      <c r="M496" s="106">
        <f>'01-3'!M242+'02-3'!M242+'03-3'!M242+'04-3'!M242+'05-3'!M242+'08-3'!M242+'09-3'!M242+'10-3'!M242+'11-3'!M242+'12-3'!M242+'13-3'!M242+'14-3'!M242+'15-3'!M242+'16-3'!M242+'17-3'!M242+'18-3'!M242+'19-3'!M242+'21-3'!M242+'22-3'!M242+'24-3'!M242+'25-3'!M242+'28-3'!M242+'29-3'!M242+'30-3'!M242+'32-3'!M242+'35-3'!M242+'37-3'!M242+'47-3'!M242+'62-3'!M242+'64-3'!M242+'74-3'!M242</f>
        <v>9818354</v>
      </c>
      <c r="N496" s="106">
        <f>'01-3'!N242+'02-3'!N242+'03-3'!N242+'04-3'!N242+'05-3'!N242+'08-3'!N242+'09-3'!N242+'10-3'!N242+'11-3'!N242+'12-3'!N242+'13-3'!N242+'14-3'!N242+'15-3'!N242+'16-3'!N242+'17-3'!N242+'18-3'!N242+'19-3'!N242+'21-3'!N242+'22-3'!N242+'24-3'!N242+'25-3'!N242+'28-3'!N242+'29-3'!N242+'30-3'!N242+'32-3'!N242+'35-3'!N242+'37-3'!N242+'47-3'!N242+'62-3'!N242+'64-3'!N242+'74-3'!N242</f>
        <v>823141</v>
      </c>
      <c r="O496" s="106">
        <f>'01-3'!O242+'02-3'!O242+'03-3'!O242+'04-3'!O242+'05-3'!O242+'08-3'!O242+'09-3'!O242+'10-3'!O242+'11-3'!O242+'12-3'!O242+'13-3'!O242+'14-3'!O242+'15-3'!O242+'16-3'!O242+'17-3'!O242+'18-3'!O242+'19-3'!O242+'21-3'!O242+'22-3'!O242+'24-3'!O242+'25-3'!O242+'28-3'!O242+'29-3'!O242+'30-3'!O242+'32-3'!O242+'35-3'!O242+'37-3'!O242+'47-3'!O242+'62-3'!O242+'64-3'!O242+'74-3'!O242</f>
        <v>0</v>
      </c>
      <c r="P496" s="106">
        <f>'01-3'!P242+'02-3'!P242+'03-3'!P242+'04-3'!P242+'05-3'!P242+'08-3'!P242+'09-3'!P242+'10-3'!P242+'11-3'!P242+'12-3'!P242+'13-3'!P242+'14-3'!P242+'15-3'!P242+'16-3'!P242+'17-3'!P242+'18-3'!P242+'19-3'!P242+'21-3'!P242+'22-3'!P242+'24-3'!P242+'25-3'!P242+'28-3'!P242+'29-3'!P242+'30-3'!P242+'32-3'!P242+'35-3'!P242+'37-3'!P242+'47-3'!P242+'62-3'!P242+'64-3'!P242+'74-3'!P242</f>
        <v>0</v>
      </c>
      <c r="Q496" s="106">
        <f>'01-3'!Q242+'02-3'!Q242+'03-3'!Q242+'04-3'!Q242+'05-3'!Q242+'08-3'!Q242+'09-3'!Q242+'10-3'!Q242+'11-3'!Q242+'12-3'!Q242+'13-3'!Q242+'14-3'!Q242+'15-3'!Q242+'16-3'!Q242+'17-3'!Q242+'18-3'!Q242+'19-3'!Q242+'21-3'!Q242+'22-3'!Q242+'24-3'!Q242+'25-3'!Q242+'28-3'!Q242+'29-3'!Q242+'30-3'!Q242+'32-3'!Q242+'35-3'!Q242+'37-3'!Q242+'47-3'!Q242+'62-3'!Q242+'64-3'!Q242+'74-3'!Q242</f>
        <v>0</v>
      </c>
      <c r="R496" s="106">
        <f>'01-3'!R242+'02-3'!R242+'03-3'!R242+'04-3'!R242+'05-3'!R242+'08-3'!R242+'09-3'!R242+'10-3'!R242+'11-3'!R242+'12-3'!R242+'13-3'!R242+'14-3'!R242+'15-3'!R242+'16-3'!R242+'17-3'!R242+'18-3'!R242+'19-3'!R242+'21-3'!R242+'22-3'!R242+'24-3'!R242+'25-3'!R242+'28-3'!R242+'29-3'!R242+'30-3'!R242+'32-3'!R242+'35-3'!R242+'37-3'!R242+'47-3'!R242+'62-3'!R242+'64-3'!R242+'74-3'!R242</f>
        <v>823141</v>
      </c>
      <c r="S496" s="1324"/>
      <c r="T496" s="1324"/>
      <c r="U496" s="1324"/>
      <c r="V496" s="1324"/>
      <c r="W496" s="1324"/>
    </row>
    <row r="497" spans="1:23" s="29" customFormat="1" ht="48">
      <c r="A497" s="133">
        <v>9590</v>
      </c>
      <c r="B497" s="112" t="s">
        <v>172</v>
      </c>
      <c r="C497" s="106">
        <f>'01-3'!C243+'02-3'!C243+'03-3'!C243+'04-3'!C243+'05-3'!C243+'08-3'!C243+'09-3'!C243+'10-3'!C243+'11-3'!C243+'12-3'!C243+'13-3'!C243+'14-3'!C243+'15-3'!C243+'16-3'!C243+'17-3'!C243+'18-3'!C243+'19-3'!C243+'21-3'!C243+'22-3'!C243+'24-3'!C243+'25-3'!C243+'28-3'!C243+'29-3'!C243+'30-3'!C243+'32-3'!C243+'35-3'!C243+'37-3'!C243+'47-3'!C243+'62-3'!C243+'64-3'!C243+'74-3'!C243</f>
        <v>26801910</v>
      </c>
      <c r="D497" s="106">
        <f>'01-3'!D243+'02-3'!D243+'03-3'!D243+'04-3'!D243+'05-3'!D243+'08-3'!D243+'09-3'!D243+'10-3'!D243+'11-3'!D243+'12-3'!D243+'13-3'!D243+'14-3'!D243+'15-3'!D243+'16-3'!D243+'17-3'!D243+'18-3'!D243+'19-3'!D243+'21-3'!D243+'22-3'!D243+'24-3'!D243+'25-3'!D243+'28-3'!D243+'29-3'!D243+'30-3'!D243+'32-3'!D243+'35-3'!D243+'37-3'!D243+'47-3'!D243+'62-3'!D243+'64-3'!D243+'74-3'!D243</f>
        <v>37811088</v>
      </c>
      <c r="E497" s="106">
        <f>'01-3'!E243+'02-3'!E243+'03-3'!E243+'04-3'!E243+'05-3'!E243+'08-3'!E243+'09-3'!E243+'10-3'!E243+'11-3'!E243+'12-3'!E243+'13-3'!E243+'14-3'!E243+'15-3'!E243+'16-3'!E243+'17-3'!E243+'18-3'!E243+'19-3'!E243+'21-3'!E243+'22-3'!E243+'24-3'!E243+'25-3'!E243+'28-3'!E243+'29-3'!E243+'30-3'!E243+'32-3'!E243+'35-3'!E243+'37-3'!E243+'47-3'!E243+'62-3'!E243+'64-3'!E243+'74-3'!E243</f>
        <v>0</v>
      </c>
      <c r="F497" s="106">
        <f>'01-3'!F243+'02-3'!F243+'03-3'!F243+'04-3'!F243+'05-3'!F243+'08-3'!F243+'09-3'!F243+'10-3'!F243+'11-3'!F243+'12-3'!F243+'13-3'!F243+'14-3'!F243+'15-3'!F243+'16-3'!F243+'17-3'!F243+'18-3'!F243+'19-3'!F243+'21-3'!F243+'22-3'!F243+'24-3'!F243+'25-3'!F243+'28-3'!F243+'29-3'!F243+'30-3'!F243+'32-3'!F243+'35-3'!F243+'37-3'!F243+'47-3'!F243+'62-3'!F243+'64-3'!F243+'74-3'!F243</f>
        <v>0</v>
      </c>
      <c r="G497" s="106">
        <f>'01-3'!G243+'02-3'!G243+'03-3'!G243+'04-3'!G243+'05-3'!G243+'08-3'!G243+'09-3'!G243+'10-3'!G243+'11-3'!G243+'12-3'!G243+'13-3'!G243+'14-3'!G243+'15-3'!G243+'16-3'!G243+'17-3'!G243+'18-3'!G243+'19-3'!G243+'21-3'!G243+'22-3'!G243+'24-3'!G243+'25-3'!G243+'28-3'!G243+'29-3'!G243+'30-3'!G243+'32-3'!G243+'35-3'!G243+'37-3'!G243+'47-3'!G243+'62-3'!G243+'64-3'!G243+'74-3'!G243</f>
        <v>0</v>
      </c>
      <c r="H497" s="106">
        <f>'01-3'!H243+'02-3'!H243+'03-3'!H243+'04-3'!H243+'05-3'!H243+'08-3'!H243+'09-3'!H243+'10-3'!H243+'11-3'!H243+'12-3'!H243+'13-3'!H243+'14-3'!H243+'15-3'!H243+'16-3'!H243+'17-3'!H243+'18-3'!H243+'19-3'!H243+'21-3'!H243+'22-3'!H243+'24-3'!H243+'25-3'!H243+'28-3'!H243+'29-3'!H243+'30-3'!H243+'32-3'!H243+'35-3'!H243+'37-3'!H243+'47-3'!H243+'62-3'!H243+'64-3'!H243+'74-3'!H243</f>
        <v>37811088</v>
      </c>
      <c r="I497" s="106">
        <f>'01-3'!I243+'02-3'!I243+'03-3'!I243+'04-3'!I243+'05-3'!I243+'08-3'!I243+'09-3'!I243+'10-3'!I243+'11-3'!I243+'12-3'!I243+'13-3'!I243+'14-3'!I243+'15-3'!I243+'16-3'!I243+'17-3'!I243+'18-3'!I243+'19-3'!I243+'21-3'!I243+'22-3'!I243+'24-3'!I243+'25-3'!I243+'28-3'!I243+'29-3'!I243+'30-3'!I243+'32-3'!I243+'35-3'!I243+'37-3'!I243+'47-3'!I243+'62-3'!I243+'64-3'!I243+'74-3'!I243</f>
        <v>20455043</v>
      </c>
      <c r="J497" s="106">
        <f>'01-3'!J243+'02-3'!J243+'03-3'!J243+'04-3'!J243+'05-3'!J243+'08-3'!J243+'09-3'!J243+'10-3'!J243+'11-3'!J243+'12-3'!J243+'13-3'!J243+'14-3'!J243+'15-3'!J243+'16-3'!J243+'17-3'!J243+'18-3'!J243+'19-3'!J243+'21-3'!J243+'22-3'!J243+'24-3'!J243+'25-3'!J243+'28-3'!J243+'29-3'!J243+'30-3'!J243+'32-3'!J243+'35-3'!J243+'37-3'!J243+'47-3'!J243+'62-3'!J243+'64-3'!J243+'74-3'!J243</f>
        <v>0</v>
      </c>
      <c r="K497" s="106">
        <f>'01-3'!K243+'02-3'!K243+'03-3'!K243+'04-3'!K243+'05-3'!K243+'08-3'!K243+'09-3'!K243+'10-3'!K243+'11-3'!K243+'12-3'!K243+'13-3'!K243+'14-3'!K243+'15-3'!K243+'16-3'!K243+'17-3'!K243+'18-3'!K243+'19-3'!K243+'21-3'!K243+'22-3'!K243+'24-3'!K243+'25-3'!K243+'28-3'!K243+'29-3'!K243+'30-3'!K243+'32-3'!K243+'35-3'!K243+'37-3'!K243+'47-3'!K243+'62-3'!K243+'64-3'!K243+'74-3'!K243</f>
        <v>0</v>
      </c>
      <c r="L497" s="106">
        <f>'01-3'!L243+'02-3'!L243+'03-3'!L243+'04-3'!L243+'05-3'!L243+'08-3'!L243+'09-3'!L243+'10-3'!L243+'11-3'!L243+'12-3'!L243+'13-3'!L243+'14-3'!L243+'15-3'!L243+'16-3'!L243+'17-3'!L243+'18-3'!L243+'19-3'!L243+'21-3'!L243+'22-3'!L243+'24-3'!L243+'25-3'!L243+'28-3'!L243+'29-3'!L243+'30-3'!L243+'32-3'!L243+'35-3'!L243+'37-3'!L243+'47-3'!L243+'62-3'!L243+'64-3'!L243+'74-3'!L243</f>
        <v>0</v>
      </c>
      <c r="M497" s="106">
        <f>'01-3'!M243+'02-3'!M243+'03-3'!M243+'04-3'!M243+'05-3'!M243+'08-3'!M243+'09-3'!M243+'10-3'!M243+'11-3'!M243+'12-3'!M243+'13-3'!M243+'14-3'!M243+'15-3'!M243+'16-3'!M243+'17-3'!M243+'18-3'!M243+'19-3'!M243+'21-3'!M243+'22-3'!M243+'24-3'!M243+'25-3'!M243+'28-3'!M243+'29-3'!M243+'30-3'!M243+'32-3'!M243+'35-3'!M243+'37-3'!M243+'47-3'!M243+'62-3'!M243+'64-3'!M243+'74-3'!M243</f>
        <v>20455043</v>
      </c>
      <c r="N497" s="106">
        <f>'01-3'!N243+'02-3'!N243+'03-3'!N243+'04-3'!N243+'05-3'!N243+'08-3'!N243+'09-3'!N243+'10-3'!N243+'11-3'!N243+'12-3'!N243+'13-3'!N243+'14-3'!N243+'15-3'!N243+'16-3'!N243+'17-3'!N243+'18-3'!N243+'19-3'!N243+'21-3'!N243+'22-3'!N243+'24-3'!N243+'25-3'!N243+'28-3'!N243+'29-3'!N243+'30-3'!N243+'32-3'!N243+'35-3'!N243+'37-3'!N243+'47-3'!N243+'62-3'!N243+'64-3'!N243+'74-3'!N243</f>
        <v>9429079</v>
      </c>
      <c r="O497" s="106">
        <f>'01-3'!O243+'02-3'!O243+'03-3'!O243+'04-3'!O243+'05-3'!O243+'08-3'!O243+'09-3'!O243+'10-3'!O243+'11-3'!O243+'12-3'!O243+'13-3'!O243+'14-3'!O243+'15-3'!O243+'16-3'!O243+'17-3'!O243+'18-3'!O243+'19-3'!O243+'21-3'!O243+'22-3'!O243+'24-3'!O243+'25-3'!O243+'28-3'!O243+'29-3'!O243+'30-3'!O243+'32-3'!O243+'35-3'!O243+'37-3'!O243+'47-3'!O243+'62-3'!O243+'64-3'!O243+'74-3'!O243</f>
        <v>0</v>
      </c>
      <c r="P497" s="106">
        <f>'01-3'!P243+'02-3'!P243+'03-3'!P243+'04-3'!P243+'05-3'!P243+'08-3'!P243+'09-3'!P243+'10-3'!P243+'11-3'!P243+'12-3'!P243+'13-3'!P243+'14-3'!P243+'15-3'!P243+'16-3'!P243+'17-3'!P243+'18-3'!P243+'19-3'!P243+'21-3'!P243+'22-3'!P243+'24-3'!P243+'25-3'!P243+'28-3'!P243+'29-3'!P243+'30-3'!P243+'32-3'!P243+'35-3'!P243+'37-3'!P243+'47-3'!P243+'62-3'!P243+'64-3'!P243+'74-3'!P243</f>
        <v>0</v>
      </c>
      <c r="Q497" s="106">
        <f>'01-3'!Q243+'02-3'!Q243+'03-3'!Q243+'04-3'!Q243+'05-3'!Q243+'08-3'!Q243+'09-3'!Q243+'10-3'!Q243+'11-3'!Q243+'12-3'!Q243+'13-3'!Q243+'14-3'!Q243+'15-3'!Q243+'16-3'!Q243+'17-3'!Q243+'18-3'!Q243+'19-3'!Q243+'21-3'!Q243+'22-3'!Q243+'24-3'!Q243+'25-3'!Q243+'28-3'!Q243+'29-3'!Q243+'30-3'!Q243+'32-3'!Q243+'35-3'!Q243+'37-3'!Q243+'47-3'!Q243+'62-3'!Q243+'64-3'!Q243+'74-3'!Q243</f>
        <v>0</v>
      </c>
      <c r="R497" s="106">
        <f>'01-3'!R243+'02-3'!R243+'03-3'!R243+'04-3'!R243+'05-3'!R243+'08-3'!R243+'09-3'!R243+'10-3'!R243+'11-3'!R243+'12-3'!R243+'13-3'!R243+'14-3'!R243+'15-3'!R243+'16-3'!R243+'17-3'!R243+'18-3'!R243+'19-3'!R243+'21-3'!R243+'22-3'!R243+'24-3'!R243+'25-3'!R243+'28-3'!R243+'29-3'!R243+'30-3'!R243+'32-3'!R243+'35-3'!R243+'37-3'!R243+'47-3'!R243+'62-3'!R243+'64-3'!R243+'74-3'!R243</f>
        <v>9429079</v>
      </c>
      <c r="S497" s="1324"/>
      <c r="T497" s="1324"/>
      <c r="U497" s="1324"/>
      <c r="V497" s="1324"/>
      <c r="W497" s="1324"/>
    </row>
    <row r="498" spans="1:23" s="29" customFormat="1" ht="24" hidden="1">
      <c r="A498" s="141">
        <v>9700</v>
      </c>
      <c r="B498" s="116" t="s">
        <v>194</v>
      </c>
      <c r="C498" s="106">
        <f>'01-3'!C244+'02-3'!C244+'03-3'!C244+'04-3'!C244+'05-3'!C244+'08-3'!C244+'09-3'!C244+'10-3'!C244+'11-3'!C244+'12-3'!C244+'13-3'!C244+'14-3'!C244+'15-3'!C244+'16-3'!C244+'17-3'!C244+'18-3'!C244+'19-3'!C244+'21-3'!C244+'22-3'!C244+'24-3'!C244+'25-3'!C244+'28-3'!C244+'29-3'!C244+'30-3'!C244+'32-3'!C244+'35-3'!C244+'37-3'!C244+'47-3'!C244+'62-3'!C244+'64-3'!C244+'74-3'!C244</f>
        <v>0</v>
      </c>
      <c r="D498" s="106">
        <f>'01-3'!D244+'02-3'!D244+'03-3'!D244+'04-3'!D244+'05-3'!D244+'08-3'!D244+'09-3'!D244+'10-3'!D244+'11-3'!D244+'12-3'!D244+'13-3'!D244+'14-3'!D244+'15-3'!D244+'16-3'!D244+'17-3'!D244+'18-3'!D244+'19-3'!D244+'21-3'!D244+'22-3'!D244+'24-3'!D244+'25-3'!D244+'28-3'!D244+'29-3'!D244+'30-3'!D244+'32-3'!D244+'35-3'!D244+'37-3'!D244+'47-3'!D244+'62-3'!D244+'64-3'!D244+'74-3'!D244</f>
        <v>0</v>
      </c>
      <c r="E498" s="106">
        <f>'01-3'!E244+'02-3'!E244+'03-3'!E244+'04-3'!E244+'05-3'!E244+'08-3'!E244+'09-3'!E244+'10-3'!E244+'11-3'!E244+'12-3'!E244+'13-3'!E244+'14-3'!E244+'15-3'!E244+'16-3'!E244+'17-3'!E244+'18-3'!E244+'19-3'!E244+'21-3'!E244+'22-3'!E244+'24-3'!E244+'25-3'!E244+'28-3'!E244+'29-3'!E244+'30-3'!E244+'32-3'!E244+'35-3'!E244+'37-3'!E244+'47-3'!E244+'62-3'!E244+'64-3'!E244+'74-3'!E244</f>
        <v>0</v>
      </c>
      <c r="F498" s="106">
        <f>'01-3'!F244+'02-3'!F244+'03-3'!F244+'04-3'!F244+'05-3'!F244+'08-3'!F244+'09-3'!F244+'10-3'!F244+'11-3'!F244+'12-3'!F244+'13-3'!F244+'14-3'!F244+'15-3'!F244+'16-3'!F244+'17-3'!F244+'18-3'!F244+'19-3'!F244+'21-3'!F244+'22-3'!F244+'24-3'!F244+'25-3'!F244+'28-3'!F244+'29-3'!F244+'30-3'!F244+'32-3'!F244+'35-3'!F244+'37-3'!F244+'47-3'!F244+'62-3'!F244+'64-3'!F244+'74-3'!F244</f>
        <v>0</v>
      </c>
      <c r="G498" s="106">
        <f>'01-3'!G244+'02-3'!G244+'03-3'!G244+'04-3'!G244+'05-3'!G244+'08-3'!G244+'09-3'!G244+'10-3'!G244+'11-3'!G244+'12-3'!G244+'13-3'!G244+'14-3'!G244+'15-3'!G244+'16-3'!G244+'17-3'!G244+'18-3'!G244+'19-3'!G244+'21-3'!G244+'22-3'!G244+'24-3'!G244+'25-3'!G244+'28-3'!G244+'29-3'!G244+'30-3'!G244+'32-3'!G244+'35-3'!G244+'37-3'!G244+'47-3'!G244+'62-3'!G244+'64-3'!G244+'74-3'!G244</f>
        <v>0</v>
      </c>
      <c r="H498" s="106">
        <f>'01-3'!H244+'02-3'!H244+'03-3'!H244+'04-3'!H244+'05-3'!H244+'08-3'!H244+'09-3'!H244+'10-3'!H244+'11-3'!H244+'12-3'!H244+'13-3'!H244+'14-3'!H244+'15-3'!H244+'16-3'!H244+'17-3'!H244+'18-3'!H244+'19-3'!H244+'21-3'!H244+'22-3'!H244+'24-3'!H244+'25-3'!H244+'28-3'!H244+'29-3'!H244+'30-3'!H244+'32-3'!H244+'35-3'!H244+'37-3'!H244+'47-3'!H244+'62-3'!H244+'64-3'!H244+'74-3'!H244</f>
        <v>0</v>
      </c>
      <c r="I498" s="106">
        <f>'01-3'!I244+'02-3'!I244+'03-3'!I244+'04-3'!I244+'05-3'!I244+'08-3'!I244+'09-3'!I244+'10-3'!I244+'11-3'!I244+'12-3'!I244+'13-3'!I244+'14-3'!I244+'15-3'!I244+'16-3'!I244+'17-3'!I244+'18-3'!I244+'19-3'!I244+'21-3'!I244+'22-3'!I244+'24-3'!I244+'25-3'!I244+'28-3'!I244+'29-3'!I244+'30-3'!I244+'32-3'!I244+'35-3'!I244+'37-3'!I244+'47-3'!I244+'62-3'!I244+'64-3'!I244+'74-3'!I244</f>
        <v>0</v>
      </c>
      <c r="J498" s="106">
        <f>'01-3'!J244+'02-3'!J244+'03-3'!J244+'04-3'!J244+'05-3'!J244+'08-3'!J244+'09-3'!J244+'10-3'!J244+'11-3'!J244+'12-3'!J244+'13-3'!J244+'14-3'!J244+'15-3'!J244+'16-3'!J244+'17-3'!J244+'18-3'!J244+'19-3'!J244+'21-3'!J244+'22-3'!J244+'24-3'!J244+'25-3'!J244+'28-3'!J244+'29-3'!J244+'30-3'!J244+'32-3'!J244+'35-3'!J244+'37-3'!J244+'47-3'!J244+'62-3'!J244+'64-3'!J244+'74-3'!J244</f>
        <v>0</v>
      </c>
      <c r="K498" s="106">
        <f>'01-3'!K244+'02-3'!K244+'03-3'!K244+'04-3'!K244+'05-3'!K244+'08-3'!K244+'09-3'!K244+'10-3'!K244+'11-3'!K244+'12-3'!K244+'13-3'!K244+'14-3'!K244+'15-3'!K244+'16-3'!K244+'17-3'!K244+'18-3'!K244+'19-3'!K244+'21-3'!K244+'22-3'!K244+'24-3'!K244+'25-3'!K244+'28-3'!K244+'29-3'!K244+'30-3'!K244+'32-3'!K244+'35-3'!K244+'37-3'!K244+'47-3'!K244+'62-3'!K244+'64-3'!K244+'74-3'!K244</f>
        <v>0</v>
      </c>
      <c r="L498" s="106">
        <f>'01-3'!L244+'02-3'!L244+'03-3'!L244+'04-3'!L244+'05-3'!L244+'08-3'!L244+'09-3'!L244+'10-3'!L244+'11-3'!L244+'12-3'!L244+'13-3'!L244+'14-3'!L244+'15-3'!L244+'16-3'!L244+'17-3'!L244+'18-3'!L244+'19-3'!L244+'21-3'!L244+'22-3'!L244+'24-3'!L244+'25-3'!L244+'28-3'!L244+'29-3'!L244+'30-3'!L244+'32-3'!L244+'35-3'!L244+'37-3'!L244+'47-3'!L244+'62-3'!L244+'64-3'!L244+'74-3'!L244</f>
        <v>0</v>
      </c>
      <c r="M498" s="106">
        <f>'01-3'!M244+'02-3'!M244+'03-3'!M244+'04-3'!M244+'05-3'!M244+'08-3'!M244+'09-3'!M244+'10-3'!M244+'11-3'!M244+'12-3'!M244+'13-3'!M244+'14-3'!M244+'15-3'!M244+'16-3'!M244+'17-3'!M244+'18-3'!M244+'19-3'!M244+'21-3'!M244+'22-3'!M244+'24-3'!M244+'25-3'!M244+'28-3'!M244+'29-3'!M244+'30-3'!M244+'32-3'!M244+'35-3'!M244+'37-3'!M244+'47-3'!M244+'62-3'!M244+'64-3'!M244+'74-3'!M244</f>
        <v>0</v>
      </c>
      <c r="N498" s="106">
        <f>'01-3'!N244+'02-3'!N244+'03-3'!N244+'04-3'!N244+'05-3'!N244+'08-3'!N244+'09-3'!N244+'10-3'!N244+'11-3'!N244+'12-3'!N244+'13-3'!N244+'14-3'!N244+'15-3'!N244+'16-3'!N244+'17-3'!N244+'18-3'!N244+'19-3'!N244+'21-3'!N244+'22-3'!N244+'24-3'!N244+'25-3'!N244+'28-3'!N244+'29-3'!N244+'30-3'!N244+'32-3'!N244+'35-3'!N244+'37-3'!N244+'47-3'!N244+'62-3'!N244+'64-3'!N244+'74-3'!N244</f>
        <v>0</v>
      </c>
      <c r="O498" s="106">
        <f>'01-3'!O244+'02-3'!O244+'03-3'!O244+'04-3'!O244+'05-3'!O244+'08-3'!O244+'09-3'!O244+'10-3'!O244+'11-3'!O244+'12-3'!O244+'13-3'!O244+'14-3'!O244+'15-3'!O244+'16-3'!O244+'17-3'!O244+'18-3'!O244+'19-3'!O244+'21-3'!O244+'22-3'!O244+'24-3'!O244+'25-3'!O244+'28-3'!O244+'29-3'!O244+'30-3'!O244+'32-3'!O244+'35-3'!O244+'37-3'!O244+'47-3'!O244+'62-3'!O244+'64-3'!O244+'74-3'!O244</f>
        <v>0</v>
      </c>
      <c r="P498" s="106">
        <f>'01-3'!P244+'02-3'!P244+'03-3'!P244+'04-3'!P244+'05-3'!P244+'08-3'!P244+'09-3'!P244+'10-3'!P244+'11-3'!P244+'12-3'!P244+'13-3'!P244+'14-3'!P244+'15-3'!P244+'16-3'!P244+'17-3'!P244+'18-3'!P244+'19-3'!P244+'21-3'!P244+'22-3'!P244+'24-3'!P244+'25-3'!P244+'28-3'!P244+'29-3'!P244+'30-3'!P244+'32-3'!P244+'35-3'!P244+'37-3'!P244+'47-3'!P244+'62-3'!P244+'64-3'!P244+'74-3'!P244</f>
        <v>0</v>
      </c>
      <c r="Q498" s="106">
        <f>'01-3'!Q244+'02-3'!Q244+'03-3'!Q244+'04-3'!Q244+'05-3'!Q244+'08-3'!Q244+'09-3'!Q244+'10-3'!Q244+'11-3'!Q244+'12-3'!Q244+'13-3'!Q244+'14-3'!Q244+'15-3'!Q244+'16-3'!Q244+'17-3'!Q244+'18-3'!Q244+'19-3'!Q244+'21-3'!Q244+'22-3'!Q244+'24-3'!Q244+'25-3'!Q244+'28-3'!Q244+'29-3'!Q244+'30-3'!Q244+'32-3'!Q244+'35-3'!Q244+'37-3'!Q244+'47-3'!Q244+'62-3'!Q244+'64-3'!Q244+'74-3'!Q244</f>
        <v>0</v>
      </c>
      <c r="R498" s="106">
        <f>'01-3'!R244+'02-3'!R244+'03-3'!R244+'04-3'!R244+'05-3'!R244+'08-3'!R244+'09-3'!R244+'10-3'!R244+'11-3'!R244+'12-3'!R244+'13-3'!R244+'14-3'!R244+'15-3'!R244+'16-3'!R244+'17-3'!R244+'18-3'!R244+'19-3'!R244+'21-3'!R244+'22-3'!R244+'24-3'!R244+'25-3'!R244+'28-3'!R244+'29-3'!R244+'30-3'!R244+'32-3'!R244+'35-3'!R244+'37-3'!R244+'47-3'!R244+'62-3'!R244+'64-3'!R244+'74-3'!R244</f>
        <v>0</v>
      </c>
      <c r="S498" s="1324"/>
      <c r="T498" s="1324"/>
      <c r="U498" s="1324"/>
      <c r="V498" s="1324"/>
      <c r="W498" s="1324"/>
    </row>
    <row r="499" spans="1:23" s="29" customFormat="1" ht="24" hidden="1">
      <c r="A499" s="133">
        <v>9710</v>
      </c>
      <c r="B499" s="117" t="s">
        <v>195</v>
      </c>
      <c r="C499" s="106">
        <f>'01-3'!C245+'02-3'!C245+'03-3'!C245+'04-3'!C245+'05-3'!C245+'08-3'!C245+'09-3'!C245+'10-3'!C245+'11-3'!C245+'12-3'!C245+'13-3'!C245+'14-3'!C245+'15-3'!C245+'16-3'!C245+'17-3'!C245+'18-3'!C245+'19-3'!C245+'21-3'!C245+'22-3'!C245+'24-3'!C245+'25-3'!C245+'28-3'!C245+'29-3'!C245+'30-3'!C245+'32-3'!C245+'35-3'!C245+'37-3'!C245+'47-3'!C245+'62-3'!C245+'64-3'!C245+'74-3'!C245</f>
        <v>0</v>
      </c>
      <c r="D499" s="106">
        <f>'01-3'!D245+'02-3'!D245+'03-3'!D245+'04-3'!D245+'05-3'!D245+'08-3'!D245+'09-3'!D245+'10-3'!D245+'11-3'!D245+'12-3'!D245+'13-3'!D245+'14-3'!D245+'15-3'!D245+'16-3'!D245+'17-3'!D245+'18-3'!D245+'19-3'!D245+'21-3'!D245+'22-3'!D245+'24-3'!D245+'25-3'!D245+'28-3'!D245+'29-3'!D245+'30-3'!D245+'32-3'!D245+'35-3'!D245+'37-3'!D245+'47-3'!D245+'62-3'!D245+'64-3'!D245+'74-3'!D245</f>
        <v>0</v>
      </c>
      <c r="E499" s="106">
        <f>'01-3'!E245+'02-3'!E245+'03-3'!E245+'04-3'!E245+'05-3'!E245+'08-3'!E245+'09-3'!E245+'10-3'!E245+'11-3'!E245+'12-3'!E245+'13-3'!E245+'14-3'!E245+'15-3'!E245+'16-3'!E245+'17-3'!E245+'18-3'!E245+'19-3'!E245+'21-3'!E245+'22-3'!E245+'24-3'!E245+'25-3'!E245+'28-3'!E245+'29-3'!E245+'30-3'!E245+'32-3'!E245+'35-3'!E245+'37-3'!E245+'47-3'!E245+'62-3'!E245+'64-3'!E245+'74-3'!E245</f>
        <v>0</v>
      </c>
      <c r="F499" s="106">
        <f>'01-3'!F245+'02-3'!F245+'03-3'!F245+'04-3'!F245+'05-3'!F245+'08-3'!F245+'09-3'!F245+'10-3'!F245+'11-3'!F245+'12-3'!F245+'13-3'!F245+'14-3'!F245+'15-3'!F245+'16-3'!F245+'17-3'!F245+'18-3'!F245+'19-3'!F245+'21-3'!F245+'22-3'!F245+'24-3'!F245+'25-3'!F245+'28-3'!F245+'29-3'!F245+'30-3'!F245+'32-3'!F245+'35-3'!F245+'37-3'!F245+'47-3'!F245+'62-3'!F245+'64-3'!F245+'74-3'!F245</f>
        <v>0</v>
      </c>
      <c r="G499" s="106">
        <f>'01-3'!G245+'02-3'!G245+'03-3'!G245+'04-3'!G245+'05-3'!G245+'08-3'!G245+'09-3'!G245+'10-3'!G245+'11-3'!G245+'12-3'!G245+'13-3'!G245+'14-3'!G245+'15-3'!G245+'16-3'!G245+'17-3'!G245+'18-3'!G245+'19-3'!G245+'21-3'!G245+'22-3'!G245+'24-3'!G245+'25-3'!G245+'28-3'!G245+'29-3'!G245+'30-3'!G245+'32-3'!G245+'35-3'!G245+'37-3'!G245+'47-3'!G245+'62-3'!G245+'64-3'!G245+'74-3'!G245</f>
        <v>0</v>
      </c>
      <c r="H499" s="106">
        <f>'01-3'!H245+'02-3'!H245+'03-3'!H245+'04-3'!H245+'05-3'!H245+'08-3'!H245+'09-3'!H245+'10-3'!H245+'11-3'!H245+'12-3'!H245+'13-3'!H245+'14-3'!H245+'15-3'!H245+'16-3'!H245+'17-3'!H245+'18-3'!H245+'19-3'!H245+'21-3'!H245+'22-3'!H245+'24-3'!H245+'25-3'!H245+'28-3'!H245+'29-3'!H245+'30-3'!H245+'32-3'!H245+'35-3'!H245+'37-3'!H245+'47-3'!H245+'62-3'!H245+'64-3'!H245+'74-3'!H245</f>
        <v>0</v>
      </c>
      <c r="I499" s="106">
        <f>'01-3'!I245+'02-3'!I245+'03-3'!I245+'04-3'!I245+'05-3'!I245+'08-3'!I245+'09-3'!I245+'10-3'!I245+'11-3'!I245+'12-3'!I245+'13-3'!I245+'14-3'!I245+'15-3'!I245+'16-3'!I245+'17-3'!I245+'18-3'!I245+'19-3'!I245+'21-3'!I245+'22-3'!I245+'24-3'!I245+'25-3'!I245+'28-3'!I245+'29-3'!I245+'30-3'!I245+'32-3'!I245+'35-3'!I245+'37-3'!I245+'47-3'!I245+'62-3'!I245+'64-3'!I245+'74-3'!I245</f>
        <v>0</v>
      </c>
      <c r="J499" s="106">
        <f>'01-3'!J245+'02-3'!J245+'03-3'!J245+'04-3'!J245+'05-3'!J245+'08-3'!J245+'09-3'!J245+'10-3'!J245+'11-3'!J245+'12-3'!J245+'13-3'!J245+'14-3'!J245+'15-3'!J245+'16-3'!J245+'17-3'!J245+'18-3'!J245+'19-3'!J245+'21-3'!J245+'22-3'!J245+'24-3'!J245+'25-3'!J245+'28-3'!J245+'29-3'!J245+'30-3'!J245+'32-3'!J245+'35-3'!J245+'37-3'!J245+'47-3'!J245+'62-3'!J245+'64-3'!J245+'74-3'!J245</f>
        <v>0</v>
      </c>
      <c r="K499" s="106">
        <f>'01-3'!K245+'02-3'!K245+'03-3'!K245+'04-3'!K245+'05-3'!K245+'08-3'!K245+'09-3'!K245+'10-3'!K245+'11-3'!K245+'12-3'!K245+'13-3'!K245+'14-3'!K245+'15-3'!K245+'16-3'!K245+'17-3'!K245+'18-3'!K245+'19-3'!K245+'21-3'!K245+'22-3'!K245+'24-3'!K245+'25-3'!K245+'28-3'!K245+'29-3'!K245+'30-3'!K245+'32-3'!K245+'35-3'!K245+'37-3'!K245+'47-3'!K245+'62-3'!K245+'64-3'!K245+'74-3'!K245</f>
        <v>0</v>
      </c>
      <c r="L499" s="106">
        <f>'01-3'!L245+'02-3'!L245+'03-3'!L245+'04-3'!L245+'05-3'!L245+'08-3'!L245+'09-3'!L245+'10-3'!L245+'11-3'!L245+'12-3'!L245+'13-3'!L245+'14-3'!L245+'15-3'!L245+'16-3'!L245+'17-3'!L245+'18-3'!L245+'19-3'!L245+'21-3'!L245+'22-3'!L245+'24-3'!L245+'25-3'!L245+'28-3'!L245+'29-3'!L245+'30-3'!L245+'32-3'!L245+'35-3'!L245+'37-3'!L245+'47-3'!L245+'62-3'!L245+'64-3'!L245+'74-3'!L245</f>
        <v>0</v>
      </c>
      <c r="M499" s="106">
        <f>'01-3'!M245+'02-3'!M245+'03-3'!M245+'04-3'!M245+'05-3'!M245+'08-3'!M245+'09-3'!M245+'10-3'!M245+'11-3'!M245+'12-3'!M245+'13-3'!M245+'14-3'!M245+'15-3'!M245+'16-3'!M245+'17-3'!M245+'18-3'!M245+'19-3'!M245+'21-3'!M245+'22-3'!M245+'24-3'!M245+'25-3'!M245+'28-3'!M245+'29-3'!M245+'30-3'!M245+'32-3'!M245+'35-3'!M245+'37-3'!M245+'47-3'!M245+'62-3'!M245+'64-3'!M245+'74-3'!M245</f>
        <v>0</v>
      </c>
      <c r="N499" s="106">
        <f>'01-3'!N245+'02-3'!N245+'03-3'!N245+'04-3'!N245+'05-3'!N245+'08-3'!N245+'09-3'!N245+'10-3'!N245+'11-3'!N245+'12-3'!N245+'13-3'!N245+'14-3'!N245+'15-3'!N245+'16-3'!N245+'17-3'!N245+'18-3'!N245+'19-3'!N245+'21-3'!N245+'22-3'!N245+'24-3'!N245+'25-3'!N245+'28-3'!N245+'29-3'!N245+'30-3'!N245+'32-3'!N245+'35-3'!N245+'37-3'!N245+'47-3'!N245+'62-3'!N245+'64-3'!N245+'74-3'!N245</f>
        <v>0</v>
      </c>
      <c r="O499" s="106">
        <f>'01-3'!O245+'02-3'!O245+'03-3'!O245+'04-3'!O245+'05-3'!O245+'08-3'!O245+'09-3'!O245+'10-3'!O245+'11-3'!O245+'12-3'!O245+'13-3'!O245+'14-3'!O245+'15-3'!O245+'16-3'!O245+'17-3'!O245+'18-3'!O245+'19-3'!O245+'21-3'!O245+'22-3'!O245+'24-3'!O245+'25-3'!O245+'28-3'!O245+'29-3'!O245+'30-3'!O245+'32-3'!O245+'35-3'!O245+'37-3'!O245+'47-3'!O245+'62-3'!O245+'64-3'!O245+'74-3'!O245</f>
        <v>0</v>
      </c>
      <c r="P499" s="106">
        <f>'01-3'!P245+'02-3'!P245+'03-3'!P245+'04-3'!P245+'05-3'!P245+'08-3'!P245+'09-3'!P245+'10-3'!P245+'11-3'!P245+'12-3'!P245+'13-3'!P245+'14-3'!P245+'15-3'!P245+'16-3'!P245+'17-3'!P245+'18-3'!P245+'19-3'!P245+'21-3'!P245+'22-3'!P245+'24-3'!P245+'25-3'!P245+'28-3'!P245+'29-3'!P245+'30-3'!P245+'32-3'!P245+'35-3'!P245+'37-3'!P245+'47-3'!P245+'62-3'!P245+'64-3'!P245+'74-3'!P245</f>
        <v>0</v>
      </c>
      <c r="Q499" s="106">
        <f>'01-3'!Q245+'02-3'!Q245+'03-3'!Q245+'04-3'!Q245+'05-3'!Q245+'08-3'!Q245+'09-3'!Q245+'10-3'!Q245+'11-3'!Q245+'12-3'!Q245+'13-3'!Q245+'14-3'!Q245+'15-3'!Q245+'16-3'!Q245+'17-3'!Q245+'18-3'!Q245+'19-3'!Q245+'21-3'!Q245+'22-3'!Q245+'24-3'!Q245+'25-3'!Q245+'28-3'!Q245+'29-3'!Q245+'30-3'!Q245+'32-3'!Q245+'35-3'!Q245+'37-3'!Q245+'47-3'!Q245+'62-3'!Q245+'64-3'!Q245+'74-3'!Q245</f>
        <v>0</v>
      </c>
      <c r="R499" s="106">
        <f>'01-3'!R245+'02-3'!R245+'03-3'!R245+'04-3'!R245+'05-3'!R245+'08-3'!R245+'09-3'!R245+'10-3'!R245+'11-3'!R245+'12-3'!R245+'13-3'!R245+'14-3'!R245+'15-3'!R245+'16-3'!R245+'17-3'!R245+'18-3'!R245+'19-3'!R245+'21-3'!R245+'22-3'!R245+'24-3'!R245+'25-3'!R245+'28-3'!R245+'29-3'!R245+'30-3'!R245+'32-3'!R245+'35-3'!R245+'37-3'!R245+'47-3'!R245+'62-3'!R245+'64-3'!R245+'74-3'!R245</f>
        <v>0</v>
      </c>
      <c r="S499" s="1324"/>
      <c r="T499" s="1324"/>
      <c r="U499" s="1324"/>
      <c r="V499" s="1324"/>
      <c r="W499" s="1324"/>
    </row>
    <row r="500" spans="1:23" s="29" customFormat="1" ht="48" hidden="1">
      <c r="A500" s="142">
        <v>9720</v>
      </c>
      <c r="B500" s="116" t="s">
        <v>196</v>
      </c>
      <c r="C500" s="106">
        <f>'01-3'!C246+'02-3'!C246+'03-3'!C246+'04-3'!C246+'05-3'!C246+'08-3'!C246+'09-3'!C246+'10-3'!C246+'11-3'!C246+'12-3'!C246+'13-3'!C246+'14-3'!C246+'15-3'!C246+'16-3'!C246+'17-3'!C246+'18-3'!C246+'19-3'!C246+'21-3'!C246+'22-3'!C246+'24-3'!C246+'25-3'!C246+'28-3'!C246+'29-3'!C246+'30-3'!C246+'32-3'!C246+'35-3'!C246+'37-3'!C246+'47-3'!C246+'62-3'!C246+'64-3'!C246+'74-3'!C246</f>
        <v>0</v>
      </c>
      <c r="D500" s="106">
        <f>'01-3'!D246+'02-3'!D246+'03-3'!D246+'04-3'!D246+'05-3'!D246+'08-3'!D246+'09-3'!D246+'10-3'!D246+'11-3'!D246+'12-3'!D246+'13-3'!D246+'14-3'!D246+'15-3'!D246+'16-3'!D246+'17-3'!D246+'18-3'!D246+'19-3'!D246+'21-3'!D246+'22-3'!D246+'24-3'!D246+'25-3'!D246+'28-3'!D246+'29-3'!D246+'30-3'!D246+'32-3'!D246+'35-3'!D246+'37-3'!D246+'47-3'!D246+'62-3'!D246+'64-3'!D246+'74-3'!D246</f>
        <v>0</v>
      </c>
      <c r="E500" s="106">
        <f>'01-3'!E246+'02-3'!E246+'03-3'!E246+'04-3'!E246+'05-3'!E246+'08-3'!E246+'09-3'!E246+'10-3'!E246+'11-3'!E246+'12-3'!E246+'13-3'!E246+'14-3'!E246+'15-3'!E246+'16-3'!E246+'17-3'!E246+'18-3'!E246+'19-3'!E246+'21-3'!E246+'22-3'!E246+'24-3'!E246+'25-3'!E246+'28-3'!E246+'29-3'!E246+'30-3'!E246+'32-3'!E246+'35-3'!E246+'37-3'!E246+'47-3'!E246+'62-3'!E246+'64-3'!E246+'74-3'!E246</f>
        <v>0</v>
      </c>
      <c r="F500" s="106">
        <f>'01-3'!F246+'02-3'!F246+'03-3'!F246+'04-3'!F246+'05-3'!F246+'08-3'!F246+'09-3'!F246+'10-3'!F246+'11-3'!F246+'12-3'!F246+'13-3'!F246+'14-3'!F246+'15-3'!F246+'16-3'!F246+'17-3'!F246+'18-3'!F246+'19-3'!F246+'21-3'!F246+'22-3'!F246+'24-3'!F246+'25-3'!F246+'28-3'!F246+'29-3'!F246+'30-3'!F246+'32-3'!F246+'35-3'!F246+'37-3'!F246+'47-3'!F246+'62-3'!F246+'64-3'!F246+'74-3'!F246</f>
        <v>0</v>
      </c>
      <c r="G500" s="106">
        <f>'01-3'!G246+'02-3'!G246+'03-3'!G246+'04-3'!G246+'05-3'!G246+'08-3'!G246+'09-3'!G246+'10-3'!G246+'11-3'!G246+'12-3'!G246+'13-3'!G246+'14-3'!G246+'15-3'!G246+'16-3'!G246+'17-3'!G246+'18-3'!G246+'19-3'!G246+'21-3'!G246+'22-3'!G246+'24-3'!G246+'25-3'!G246+'28-3'!G246+'29-3'!G246+'30-3'!G246+'32-3'!G246+'35-3'!G246+'37-3'!G246+'47-3'!G246+'62-3'!G246+'64-3'!G246+'74-3'!G246</f>
        <v>0</v>
      </c>
      <c r="H500" s="106">
        <f>'01-3'!H246+'02-3'!H246+'03-3'!H246+'04-3'!H246+'05-3'!H246+'08-3'!H246+'09-3'!H246+'10-3'!H246+'11-3'!H246+'12-3'!H246+'13-3'!H246+'14-3'!H246+'15-3'!H246+'16-3'!H246+'17-3'!H246+'18-3'!H246+'19-3'!H246+'21-3'!H246+'22-3'!H246+'24-3'!H246+'25-3'!H246+'28-3'!H246+'29-3'!H246+'30-3'!H246+'32-3'!H246+'35-3'!H246+'37-3'!H246+'47-3'!H246+'62-3'!H246+'64-3'!H246+'74-3'!H246</f>
        <v>0</v>
      </c>
      <c r="I500" s="106">
        <f>'01-3'!I246+'02-3'!I246+'03-3'!I246+'04-3'!I246+'05-3'!I246+'08-3'!I246+'09-3'!I246+'10-3'!I246+'11-3'!I246+'12-3'!I246+'13-3'!I246+'14-3'!I246+'15-3'!I246+'16-3'!I246+'17-3'!I246+'18-3'!I246+'19-3'!I246+'21-3'!I246+'22-3'!I246+'24-3'!I246+'25-3'!I246+'28-3'!I246+'29-3'!I246+'30-3'!I246+'32-3'!I246+'35-3'!I246+'37-3'!I246+'47-3'!I246+'62-3'!I246+'64-3'!I246+'74-3'!I246</f>
        <v>0</v>
      </c>
      <c r="J500" s="106">
        <f>'01-3'!J246+'02-3'!J246+'03-3'!J246+'04-3'!J246+'05-3'!J246+'08-3'!J246+'09-3'!J246+'10-3'!J246+'11-3'!J246+'12-3'!J246+'13-3'!J246+'14-3'!J246+'15-3'!J246+'16-3'!J246+'17-3'!J246+'18-3'!J246+'19-3'!J246+'21-3'!J246+'22-3'!J246+'24-3'!J246+'25-3'!J246+'28-3'!J246+'29-3'!J246+'30-3'!J246+'32-3'!J246+'35-3'!J246+'37-3'!J246+'47-3'!J246+'62-3'!J246+'64-3'!J246+'74-3'!J246</f>
        <v>0</v>
      </c>
      <c r="K500" s="106">
        <f>'01-3'!K246+'02-3'!K246+'03-3'!K246+'04-3'!K246+'05-3'!K246+'08-3'!K246+'09-3'!K246+'10-3'!K246+'11-3'!K246+'12-3'!K246+'13-3'!K246+'14-3'!K246+'15-3'!K246+'16-3'!K246+'17-3'!K246+'18-3'!K246+'19-3'!K246+'21-3'!K246+'22-3'!K246+'24-3'!K246+'25-3'!K246+'28-3'!K246+'29-3'!K246+'30-3'!K246+'32-3'!K246+'35-3'!K246+'37-3'!K246+'47-3'!K246+'62-3'!K246+'64-3'!K246+'74-3'!K246</f>
        <v>0</v>
      </c>
      <c r="L500" s="106">
        <f>'01-3'!L246+'02-3'!L246+'03-3'!L246+'04-3'!L246+'05-3'!L246+'08-3'!L246+'09-3'!L246+'10-3'!L246+'11-3'!L246+'12-3'!L246+'13-3'!L246+'14-3'!L246+'15-3'!L246+'16-3'!L246+'17-3'!L246+'18-3'!L246+'19-3'!L246+'21-3'!L246+'22-3'!L246+'24-3'!L246+'25-3'!L246+'28-3'!L246+'29-3'!L246+'30-3'!L246+'32-3'!L246+'35-3'!L246+'37-3'!L246+'47-3'!L246+'62-3'!L246+'64-3'!L246+'74-3'!L246</f>
        <v>0</v>
      </c>
      <c r="M500" s="106">
        <f>'01-3'!M246+'02-3'!M246+'03-3'!M246+'04-3'!M246+'05-3'!M246+'08-3'!M246+'09-3'!M246+'10-3'!M246+'11-3'!M246+'12-3'!M246+'13-3'!M246+'14-3'!M246+'15-3'!M246+'16-3'!M246+'17-3'!M246+'18-3'!M246+'19-3'!M246+'21-3'!M246+'22-3'!M246+'24-3'!M246+'25-3'!M246+'28-3'!M246+'29-3'!M246+'30-3'!M246+'32-3'!M246+'35-3'!M246+'37-3'!M246+'47-3'!M246+'62-3'!M246+'64-3'!M246+'74-3'!M246</f>
        <v>0</v>
      </c>
      <c r="N500" s="106">
        <f>'01-3'!N246+'02-3'!N246+'03-3'!N246+'04-3'!N246+'05-3'!N246+'08-3'!N246+'09-3'!N246+'10-3'!N246+'11-3'!N246+'12-3'!N246+'13-3'!N246+'14-3'!N246+'15-3'!N246+'16-3'!N246+'17-3'!N246+'18-3'!N246+'19-3'!N246+'21-3'!N246+'22-3'!N246+'24-3'!N246+'25-3'!N246+'28-3'!N246+'29-3'!N246+'30-3'!N246+'32-3'!N246+'35-3'!N246+'37-3'!N246+'47-3'!N246+'62-3'!N246+'64-3'!N246+'74-3'!N246</f>
        <v>0</v>
      </c>
      <c r="O500" s="106">
        <f>'01-3'!O246+'02-3'!O246+'03-3'!O246+'04-3'!O246+'05-3'!O246+'08-3'!O246+'09-3'!O246+'10-3'!O246+'11-3'!O246+'12-3'!O246+'13-3'!O246+'14-3'!O246+'15-3'!O246+'16-3'!O246+'17-3'!O246+'18-3'!O246+'19-3'!O246+'21-3'!O246+'22-3'!O246+'24-3'!O246+'25-3'!O246+'28-3'!O246+'29-3'!O246+'30-3'!O246+'32-3'!O246+'35-3'!O246+'37-3'!O246+'47-3'!O246+'62-3'!O246+'64-3'!O246+'74-3'!O246</f>
        <v>0</v>
      </c>
      <c r="P500" s="106">
        <f>'01-3'!P246+'02-3'!P246+'03-3'!P246+'04-3'!P246+'05-3'!P246+'08-3'!P246+'09-3'!P246+'10-3'!P246+'11-3'!P246+'12-3'!P246+'13-3'!P246+'14-3'!P246+'15-3'!P246+'16-3'!P246+'17-3'!P246+'18-3'!P246+'19-3'!P246+'21-3'!P246+'22-3'!P246+'24-3'!P246+'25-3'!P246+'28-3'!P246+'29-3'!P246+'30-3'!P246+'32-3'!P246+'35-3'!P246+'37-3'!P246+'47-3'!P246+'62-3'!P246+'64-3'!P246+'74-3'!P246</f>
        <v>0</v>
      </c>
      <c r="Q500" s="106">
        <f>'01-3'!Q246+'02-3'!Q246+'03-3'!Q246+'04-3'!Q246+'05-3'!Q246+'08-3'!Q246+'09-3'!Q246+'10-3'!Q246+'11-3'!Q246+'12-3'!Q246+'13-3'!Q246+'14-3'!Q246+'15-3'!Q246+'16-3'!Q246+'17-3'!Q246+'18-3'!Q246+'19-3'!Q246+'21-3'!Q246+'22-3'!Q246+'24-3'!Q246+'25-3'!Q246+'28-3'!Q246+'29-3'!Q246+'30-3'!Q246+'32-3'!Q246+'35-3'!Q246+'37-3'!Q246+'47-3'!Q246+'62-3'!Q246+'64-3'!Q246+'74-3'!Q246</f>
        <v>0</v>
      </c>
      <c r="R500" s="106">
        <f>'01-3'!R246+'02-3'!R246+'03-3'!R246+'04-3'!R246+'05-3'!R246+'08-3'!R246+'09-3'!R246+'10-3'!R246+'11-3'!R246+'12-3'!R246+'13-3'!R246+'14-3'!R246+'15-3'!R246+'16-3'!R246+'17-3'!R246+'18-3'!R246+'19-3'!R246+'21-3'!R246+'22-3'!R246+'24-3'!R246+'25-3'!R246+'28-3'!R246+'29-3'!R246+'30-3'!R246+'32-3'!R246+'35-3'!R246+'37-3'!R246+'47-3'!R246+'62-3'!R246+'64-3'!R246+'74-3'!R246</f>
        <v>0</v>
      </c>
      <c r="S500" s="1324"/>
      <c r="T500" s="1324"/>
      <c r="U500" s="1324"/>
      <c r="V500" s="1324"/>
      <c r="W500" s="1324"/>
    </row>
    <row r="501" spans="1:23" s="29" customFormat="1" ht="24">
      <c r="A501" s="141">
        <v>9600</v>
      </c>
      <c r="B501" s="112" t="s">
        <v>134</v>
      </c>
      <c r="C501" s="106">
        <f>'01-3'!C247+'02-3'!C247+'03-3'!C247+'04-3'!C247+'05-3'!C247+'08-3'!C247+'09-3'!C247+'10-3'!C247+'11-3'!C247+'12-3'!C247+'13-3'!C247+'14-3'!C247+'15-3'!C247+'16-3'!C247+'17-3'!C247+'18-3'!C247+'19-3'!C247+'21-3'!C247+'22-3'!C247+'24-3'!C247+'25-3'!C247+'28-3'!C247+'29-3'!C247+'30-3'!C247+'32-3'!C247+'35-3'!C247+'37-3'!C247+'47-3'!C247+'62-3'!C247+'64-3'!C247+'74-3'!C247</f>
        <v>104101389</v>
      </c>
      <c r="D501" s="106">
        <f>'01-3'!D247+'02-3'!D247+'03-3'!D247+'04-3'!D247+'05-3'!D247+'08-3'!D247+'09-3'!D247+'10-3'!D247+'11-3'!D247+'12-3'!D247+'13-3'!D247+'14-3'!D247+'15-3'!D247+'16-3'!D247+'17-3'!D247+'18-3'!D247+'19-3'!D247+'21-3'!D247+'22-3'!D247+'24-3'!D247+'25-3'!D247+'28-3'!D247+'29-3'!D247+'30-3'!D247+'32-3'!D247+'35-3'!D247+'37-3'!D247+'47-3'!D247+'62-3'!D247+'64-3'!D247+'74-3'!D247</f>
        <v>114421391</v>
      </c>
      <c r="E501" s="106">
        <f>'01-3'!E247+'02-3'!E247+'03-3'!E247+'04-3'!E247+'05-3'!E247+'08-3'!E247+'09-3'!E247+'10-3'!E247+'11-3'!E247+'12-3'!E247+'13-3'!E247+'14-3'!E247+'15-3'!E247+'16-3'!E247+'17-3'!E247+'18-3'!E247+'19-3'!E247+'21-3'!E247+'22-3'!E247+'24-3'!E247+'25-3'!E247+'28-3'!E247+'29-3'!E247+'30-3'!E247+'32-3'!E247+'35-3'!E247+'37-3'!E247+'47-3'!E247+'62-3'!E247+'64-3'!E247+'74-3'!E247</f>
        <v>855345</v>
      </c>
      <c r="F501" s="106">
        <f>'01-3'!F247+'02-3'!F247+'03-3'!F247+'04-3'!F247+'05-3'!F247+'08-3'!F247+'09-3'!F247+'10-3'!F247+'11-3'!F247+'12-3'!F247+'13-3'!F247+'14-3'!F247+'15-3'!F247+'16-3'!F247+'17-3'!F247+'18-3'!F247+'19-3'!F247+'21-3'!F247+'22-3'!F247+'24-3'!F247+'25-3'!F247+'28-3'!F247+'29-3'!F247+'30-3'!F247+'32-3'!F247+'35-3'!F247+'37-3'!F247+'47-3'!F247+'62-3'!F247+'64-3'!F247+'74-3'!F247</f>
        <v>0</v>
      </c>
      <c r="G501" s="106">
        <f>'01-3'!G247+'02-3'!G247+'03-3'!G247+'04-3'!G247+'05-3'!G247+'08-3'!G247+'09-3'!G247+'10-3'!G247+'11-3'!G247+'12-3'!G247+'13-3'!G247+'14-3'!G247+'15-3'!G247+'16-3'!G247+'17-3'!G247+'18-3'!G247+'19-3'!G247+'21-3'!G247+'22-3'!G247+'24-3'!G247+'25-3'!G247+'28-3'!G247+'29-3'!G247+'30-3'!G247+'32-3'!G247+'35-3'!G247+'37-3'!G247+'47-3'!G247+'62-3'!G247+'64-3'!G247+'74-3'!G247</f>
        <v>0</v>
      </c>
      <c r="H501" s="106">
        <f>'01-3'!H247+'02-3'!H247+'03-3'!H247+'04-3'!H247+'05-3'!H247+'08-3'!H247+'09-3'!H247+'10-3'!H247+'11-3'!H247+'12-3'!H247+'13-3'!H247+'14-3'!H247+'15-3'!H247+'16-3'!H247+'17-3'!H247+'18-3'!H247+'19-3'!H247+'21-3'!H247+'22-3'!H247+'24-3'!H247+'25-3'!H247+'28-3'!H247+'29-3'!H247+'30-3'!H247+'32-3'!H247+'35-3'!H247+'37-3'!H247+'47-3'!H247+'62-3'!H247+'64-3'!H247+'74-3'!H247</f>
        <v>115276736</v>
      </c>
      <c r="I501" s="106">
        <f>'01-3'!I247+'02-3'!I247+'03-3'!I247+'04-3'!I247+'05-3'!I247+'08-3'!I247+'09-3'!I247+'10-3'!I247+'11-3'!I247+'12-3'!I247+'13-3'!I247+'14-3'!I247+'15-3'!I247+'16-3'!I247+'17-3'!I247+'18-3'!I247+'19-3'!I247+'21-3'!I247+'22-3'!I247+'24-3'!I247+'25-3'!I247+'28-3'!I247+'29-3'!I247+'30-3'!I247+'32-3'!I247+'35-3'!I247+'37-3'!I247+'47-3'!I247+'62-3'!I247+'64-3'!I247+'74-3'!I247</f>
        <v>25659642</v>
      </c>
      <c r="J501" s="106">
        <f>'01-3'!J247+'02-3'!J247+'03-3'!J247+'04-3'!J247+'05-3'!J247+'08-3'!J247+'09-3'!J247+'10-3'!J247+'11-3'!J247+'12-3'!J247+'13-3'!J247+'14-3'!J247+'15-3'!J247+'16-3'!J247+'17-3'!J247+'18-3'!J247+'19-3'!J247+'21-3'!J247+'22-3'!J247+'24-3'!J247+'25-3'!J247+'28-3'!J247+'29-3'!J247+'30-3'!J247+'32-3'!J247+'35-3'!J247+'37-3'!J247+'47-3'!J247+'62-3'!J247+'64-3'!J247+'74-3'!J247</f>
        <v>0</v>
      </c>
      <c r="K501" s="106">
        <f>'01-3'!K247+'02-3'!K247+'03-3'!K247+'04-3'!K247+'05-3'!K247+'08-3'!K247+'09-3'!K247+'10-3'!K247+'11-3'!K247+'12-3'!K247+'13-3'!K247+'14-3'!K247+'15-3'!K247+'16-3'!K247+'17-3'!K247+'18-3'!K247+'19-3'!K247+'21-3'!K247+'22-3'!K247+'24-3'!K247+'25-3'!K247+'28-3'!K247+'29-3'!K247+'30-3'!K247+'32-3'!K247+'35-3'!K247+'37-3'!K247+'47-3'!K247+'62-3'!K247+'64-3'!K247+'74-3'!K247</f>
        <v>0</v>
      </c>
      <c r="L501" s="106">
        <f>'01-3'!L247+'02-3'!L247+'03-3'!L247+'04-3'!L247+'05-3'!L247+'08-3'!L247+'09-3'!L247+'10-3'!L247+'11-3'!L247+'12-3'!L247+'13-3'!L247+'14-3'!L247+'15-3'!L247+'16-3'!L247+'17-3'!L247+'18-3'!L247+'19-3'!L247+'21-3'!L247+'22-3'!L247+'24-3'!L247+'25-3'!L247+'28-3'!L247+'29-3'!L247+'30-3'!L247+'32-3'!L247+'35-3'!L247+'37-3'!L247+'47-3'!L247+'62-3'!L247+'64-3'!L247+'74-3'!L247</f>
        <v>0</v>
      </c>
      <c r="M501" s="106">
        <f>'01-3'!M247+'02-3'!M247+'03-3'!M247+'04-3'!M247+'05-3'!M247+'08-3'!M247+'09-3'!M247+'10-3'!M247+'11-3'!M247+'12-3'!M247+'13-3'!M247+'14-3'!M247+'15-3'!M247+'16-3'!M247+'17-3'!M247+'18-3'!M247+'19-3'!M247+'21-3'!M247+'22-3'!M247+'24-3'!M247+'25-3'!M247+'28-3'!M247+'29-3'!M247+'30-3'!M247+'32-3'!M247+'35-3'!M247+'37-3'!M247+'47-3'!M247+'62-3'!M247+'64-3'!M247+'74-3'!M247</f>
        <v>25659642</v>
      </c>
      <c r="N501" s="106">
        <f>'01-3'!N247+'02-3'!N247+'03-3'!N247+'04-3'!N247+'05-3'!N247+'08-3'!N247+'09-3'!N247+'10-3'!N247+'11-3'!N247+'12-3'!N247+'13-3'!N247+'14-3'!N247+'15-3'!N247+'16-3'!N247+'17-3'!N247+'18-3'!N247+'19-3'!N247+'21-3'!N247+'22-3'!N247+'24-3'!N247+'25-3'!N247+'28-3'!N247+'29-3'!N247+'30-3'!N247+'32-3'!N247+'35-3'!N247+'37-3'!N247+'47-3'!N247+'62-3'!N247+'64-3'!N247+'74-3'!N247</f>
        <v>4988960</v>
      </c>
      <c r="O501" s="106">
        <f>'01-3'!O247+'02-3'!O247+'03-3'!O247+'04-3'!O247+'05-3'!O247+'08-3'!O247+'09-3'!O247+'10-3'!O247+'11-3'!O247+'12-3'!O247+'13-3'!O247+'14-3'!O247+'15-3'!O247+'16-3'!O247+'17-3'!O247+'18-3'!O247+'19-3'!O247+'21-3'!O247+'22-3'!O247+'24-3'!O247+'25-3'!O247+'28-3'!O247+'29-3'!O247+'30-3'!O247+'32-3'!O247+'35-3'!O247+'37-3'!O247+'47-3'!O247+'62-3'!O247+'64-3'!O247+'74-3'!O247</f>
        <v>0</v>
      </c>
      <c r="P501" s="106">
        <f>'01-3'!P247+'02-3'!P247+'03-3'!P247+'04-3'!P247+'05-3'!P247+'08-3'!P247+'09-3'!P247+'10-3'!P247+'11-3'!P247+'12-3'!P247+'13-3'!P247+'14-3'!P247+'15-3'!P247+'16-3'!P247+'17-3'!P247+'18-3'!P247+'19-3'!P247+'21-3'!P247+'22-3'!P247+'24-3'!P247+'25-3'!P247+'28-3'!P247+'29-3'!P247+'30-3'!P247+'32-3'!P247+'35-3'!P247+'37-3'!P247+'47-3'!P247+'62-3'!P247+'64-3'!P247+'74-3'!P247</f>
        <v>0</v>
      </c>
      <c r="Q501" s="106">
        <f>'01-3'!Q247+'02-3'!Q247+'03-3'!Q247+'04-3'!Q247+'05-3'!Q247+'08-3'!Q247+'09-3'!Q247+'10-3'!Q247+'11-3'!Q247+'12-3'!Q247+'13-3'!Q247+'14-3'!Q247+'15-3'!Q247+'16-3'!Q247+'17-3'!Q247+'18-3'!Q247+'19-3'!Q247+'21-3'!Q247+'22-3'!Q247+'24-3'!Q247+'25-3'!Q247+'28-3'!Q247+'29-3'!Q247+'30-3'!Q247+'32-3'!Q247+'35-3'!Q247+'37-3'!Q247+'47-3'!Q247+'62-3'!Q247+'64-3'!Q247+'74-3'!Q247</f>
        <v>0</v>
      </c>
      <c r="R501" s="106">
        <f>'01-3'!R247+'02-3'!R247+'03-3'!R247+'04-3'!R247+'05-3'!R247+'08-3'!R247+'09-3'!R247+'10-3'!R247+'11-3'!R247+'12-3'!R247+'13-3'!R247+'14-3'!R247+'15-3'!R247+'16-3'!R247+'17-3'!R247+'18-3'!R247+'19-3'!R247+'21-3'!R247+'22-3'!R247+'24-3'!R247+'25-3'!R247+'28-3'!R247+'29-3'!R247+'30-3'!R247+'32-3'!R247+'35-3'!R247+'37-3'!R247+'47-3'!R247+'62-3'!R247+'64-3'!R247+'74-3'!R247</f>
        <v>4988960</v>
      </c>
      <c r="S501" s="1324"/>
      <c r="T501" s="1324"/>
      <c r="U501" s="1324"/>
      <c r="V501" s="1324"/>
      <c r="W501" s="1324"/>
    </row>
    <row r="502" spans="1:23" s="29" customFormat="1" ht="30.6">
      <c r="A502" s="130" t="s">
        <v>197</v>
      </c>
      <c r="B502" s="118" t="s">
        <v>47</v>
      </c>
      <c r="C502" s="106">
        <f>'01-3'!C248+'02-3'!C248+'03-3'!C248+'04-3'!C248+'05-3'!C248+'08-3'!C248+'09-3'!C248+'10-3'!C248+'11-3'!C248+'12-3'!C248+'13-3'!C248+'14-3'!C248+'15-3'!C248+'16-3'!C248+'17-3'!C248+'18-3'!C248+'19-3'!C248+'21-3'!C248+'22-3'!C248+'24-3'!C248+'25-3'!C248+'28-3'!C248+'29-3'!C248+'30-3'!C248+'32-3'!C248+'35-3'!C248+'37-3'!C248+'47-3'!C248+'62-3'!C248+'64-3'!C248+'74-3'!C248</f>
        <v>-12090104</v>
      </c>
      <c r="D502" s="106">
        <f>'01-3'!D248+'02-3'!D248+'03-3'!D248+'04-3'!D248+'05-3'!D248+'08-3'!D248+'09-3'!D248+'10-3'!D248+'11-3'!D248+'12-3'!D248+'13-3'!D248+'14-3'!D248+'15-3'!D248+'16-3'!D248+'17-3'!D248+'18-3'!D248+'19-3'!D248+'21-3'!D248+'22-3'!D248+'24-3'!D248+'25-3'!D248+'28-3'!D248+'29-3'!D248+'30-3'!D248+'32-3'!D248+'35-3'!D248+'37-3'!D248+'47-3'!D248+'62-3'!D248+'64-3'!D248+'74-3'!D248</f>
        <v>-2216500</v>
      </c>
      <c r="E502" s="106">
        <f>'01-3'!E248+'02-3'!E248+'03-3'!E248+'04-3'!E248+'05-3'!E248+'08-3'!E248+'09-3'!E248+'10-3'!E248+'11-3'!E248+'12-3'!E248+'13-3'!E248+'14-3'!E248+'15-3'!E248+'16-3'!E248+'17-3'!E248+'18-3'!E248+'19-3'!E248+'21-3'!E248+'22-3'!E248+'24-3'!E248+'25-3'!E248+'28-3'!E248+'29-3'!E248+'30-3'!E248+'32-3'!E248+'35-3'!E248+'37-3'!E248+'47-3'!E248+'62-3'!E248+'64-3'!E248+'74-3'!E248</f>
        <v>0</v>
      </c>
      <c r="F502" s="106">
        <f>'01-3'!F248+'02-3'!F248+'03-3'!F248+'04-3'!F248+'05-3'!F248+'08-3'!F248+'09-3'!F248+'10-3'!F248+'11-3'!F248+'12-3'!F248+'13-3'!F248+'14-3'!F248+'15-3'!F248+'16-3'!F248+'17-3'!F248+'18-3'!F248+'19-3'!F248+'21-3'!F248+'22-3'!F248+'24-3'!F248+'25-3'!F248+'28-3'!F248+'29-3'!F248+'30-3'!F248+'32-3'!F248+'35-3'!F248+'37-3'!F248+'47-3'!F248+'62-3'!F248+'64-3'!F248+'74-3'!F248</f>
        <v>0</v>
      </c>
      <c r="G502" s="106">
        <f>'01-3'!G248+'02-3'!G248+'03-3'!G248+'04-3'!G248+'05-3'!G248+'08-3'!G248+'09-3'!G248+'10-3'!G248+'11-3'!G248+'12-3'!G248+'13-3'!G248+'14-3'!G248+'15-3'!G248+'16-3'!G248+'17-3'!G248+'18-3'!G248+'19-3'!G248+'21-3'!G248+'22-3'!G248+'24-3'!G248+'25-3'!G248+'28-3'!G248+'29-3'!G248+'30-3'!G248+'32-3'!G248+'35-3'!G248+'37-3'!G248+'47-3'!G248+'62-3'!G248+'64-3'!G248+'74-3'!G248</f>
        <v>0</v>
      </c>
      <c r="H502" s="106">
        <f>'01-3'!H248+'02-3'!H248+'03-3'!H248+'04-3'!H248+'05-3'!H248+'08-3'!H248+'09-3'!H248+'10-3'!H248+'11-3'!H248+'12-3'!H248+'13-3'!H248+'14-3'!H248+'15-3'!H248+'16-3'!H248+'17-3'!H248+'18-3'!H248+'19-3'!H248+'21-3'!H248+'22-3'!H248+'24-3'!H248+'25-3'!H248+'28-3'!H248+'29-3'!H248+'30-3'!H248+'32-3'!H248+'35-3'!H248+'37-3'!H248+'47-3'!H248+'62-3'!H248+'64-3'!H248+'74-3'!H248</f>
        <v>-2216500</v>
      </c>
      <c r="I502" s="106">
        <f>'01-3'!I248+'02-3'!I248+'03-3'!I248+'04-3'!I248+'05-3'!I248+'08-3'!I248+'09-3'!I248+'10-3'!I248+'11-3'!I248+'12-3'!I248+'13-3'!I248+'14-3'!I248+'15-3'!I248+'16-3'!I248+'17-3'!I248+'18-3'!I248+'19-3'!I248+'21-3'!I248+'22-3'!I248+'24-3'!I248+'25-3'!I248+'28-3'!I248+'29-3'!I248+'30-3'!I248+'32-3'!I248+'35-3'!I248+'37-3'!I248+'47-3'!I248+'62-3'!I248+'64-3'!I248+'74-3'!I248</f>
        <v>-5500</v>
      </c>
      <c r="J502" s="106">
        <f>'01-3'!J248+'02-3'!J248+'03-3'!J248+'04-3'!J248+'05-3'!J248+'08-3'!J248+'09-3'!J248+'10-3'!J248+'11-3'!J248+'12-3'!J248+'13-3'!J248+'14-3'!J248+'15-3'!J248+'16-3'!J248+'17-3'!J248+'18-3'!J248+'19-3'!J248+'21-3'!J248+'22-3'!J248+'24-3'!J248+'25-3'!J248+'28-3'!J248+'29-3'!J248+'30-3'!J248+'32-3'!J248+'35-3'!J248+'37-3'!J248+'47-3'!J248+'62-3'!J248+'64-3'!J248+'74-3'!J248</f>
        <v>0</v>
      </c>
      <c r="K502" s="106">
        <f>'01-3'!K248+'02-3'!K248+'03-3'!K248+'04-3'!K248+'05-3'!K248+'08-3'!K248+'09-3'!K248+'10-3'!K248+'11-3'!K248+'12-3'!K248+'13-3'!K248+'14-3'!K248+'15-3'!K248+'16-3'!K248+'17-3'!K248+'18-3'!K248+'19-3'!K248+'21-3'!K248+'22-3'!K248+'24-3'!K248+'25-3'!K248+'28-3'!K248+'29-3'!K248+'30-3'!K248+'32-3'!K248+'35-3'!K248+'37-3'!K248+'47-3'!K248+'62-3'!K248+'64-3'!K248+'74-3'!K248</f>
        <v>0</v>
      </c>
      <c r="L502" s="106">
        <f>'01-3'!L248+'02-3'!L248+'03-3'!L248+'04-3'!L248+'05-3'!L248+'08-3'!L248+'09-3'!L248+'10-3'!L248+'11-3'!L248+'12-3'!L248+'13-3'!L248+'14-3'!L248+'15-3'!L248+'16-3'!L248+'17-3'!L248+'18-3'!L248+'19-3'!L248+'21-3'!L248+'22-3'!L248+'24-3'!L248+'25-3'!L248+'28-3'!L248+'29-3'!L248+'30-3'!L248+'32-3'!L248+'35-3'!L248+'37-3'!L248+'47-3'!L248+'62-3'!L248+'64-3'!L248+'74-3'!L248</f>
        <v>0</v>
      </c>
      <c r="M502" s="106">
        <f>'01-3'!M248+'02-3'!M248+'03-3'!M248+'04-3'!M248+'05-3'!M248+'08-3'!M248+'09-3'!M248+'10-3'!M248+'11-3'!M248+'12-3'!M248+'13-3'!M248+'14-3'!M248+'15-3'!M248+'16-3'!M248+'17-3'!M248+'18-3'!M248+'19-3'!M248+'21-3'!M248+'22-3'!M248+'24-3'!M248+'25-3'!M248+'28-3'!M248+'29-3'!M248+'30-3'!M248+'32-3'!M248+'35-3'!M248+'37-3'!M248+'47-3'!M248+'62-3'!M248+'64-3'!M248+'74-3'!M248</f>
        <v>-5500</v>
      </c>
      <c r="N502" s="106">
        <f>'01-3'!N248+'02-3'!N248+'03-3'!N248+'04-3'!N248+'05-3'!N248+'08-3'!N248+'09-3'!N248+'10-3'!N248+'11-3'!N248+'12-3'!N248+'13-3'!N248+'14-3'!N248+'15-3'!N248+'16-3'!N248+'17-3'!N248+'18-3'!N248+'19-3'!N248+'21-3'!N248+'22-3'!N248+'24-3'!N248+'25-3'!N248+'28-3'!N248+'29-3'!N248+'30-3'!N248+'32-3'!N248+'35-3'!N248+'37-3'!N248+'47-3'!N248+'62-3'!N248+'64-3'!N248+'74-3'!N248</f>
        <v>0</v>
      </c>
      <c r="O502" s="106">
        <f>'01-3'!O248+'02-3'!O248+'03-3'!O248+'04-3'!O248+'05-3'!O248+'08-3'!O248+'09-3'!O248+'10-3'!O248+'11-3'!O248+'12-3'!O248+'13-3'!O248+'14-3'!O248+'15-3'!O248+'16-3'!O248+'17-3'!O248+'18-3'!O248+'19-3'!O248+'21-3'!O248+'22-3'!O248+'24-3'!O248+'25-3'!O248+'28-3'!O248+'29-3'!O248+'30-3'!O248+'32-3'!O248+'35-3'!O248+'37-3'!O248+'47-3'!O248+'62-3'!O248+'64-3'!O248+'74-3'!O248</f>
        <v>0</v>
      </c>
      <c r="P502" s="106">
        <f>'01-3'!P248+'02-3'!P248+'03-3'!P248+'04-3'!P248+'05-3'!P248+'08-3'!P248+'09-3'!P248+'10-3'!P248+'11-3'!P248+'12-3'!P248+'13-3'!P248+'14-3'!P248+'15-3'!P248+'16-3'!P248+'17-3'!P248+'18-3'!P248+'19-3'!P248+'21-3'!P248+'22-3'!P248+'24-3'!P248+'25-3'!P248+'28-3'!P248+'29-3'!P248+'30-3'!P248+'32-3'!P248+'35-3'!P248+'37-3'!P248+'47-3'!P248+'62-3'!P248+'64-3'!P248+'74-3'!P248</f>
        <v>0</v>
      </c>
      <c r="Q502" s="106">
        <f>'01-3'!Q248+'02-3'!Q248+'03-3'!Q248+'04-3'!Q248+'05-3'!Q248+'08-3'!Q248+'09-3'!Q248+'10-3'!Q248+'11-3'!Q248+'12-3'!Q248+'13-3'!Q248+'14-3'!Q248+'15-3'!Q248+'16-3'!Q248+'17-3'!Q248+'18-3'!Q248+'19-3'!Q248+'21-3'!Q248+'22-3'!Q248+'24-3'!Q248+'25-3'!Q248+'28-3'!Q248+'29-3'!Q248+'30-3'!Q248+'32-3'!Q248+'35-3'!Q248+'37-3'!Q248+'47-3'!Q248+'62-3'!Q248+'64-3'!Q248+'74-3'!Q248</f>
        <v>0</v>
      </c>
      <c r="R502" s="106">
        <f>'01-3'!R248+'02-3'!R248+'03-3'!R248+'04-3'!R248+'05-3'!R248+'08-3'!R248+'09-3'!R248+'10-3'!R248+'11-3'!R248+'12-3'!R248+'13-3'!R248+'14-3'!R248+'15-3'!R248+'16-3'!R248+'17-3'!R248+'18-3'!R248+'19-3'!R248+'21-3'!R248+'22-3'!R248+'24-3'!R248+'25-3'!R248+'28-3'!R248+'29-3'!R248+'30-3'!R248+'32-3'!R248+'35-3'!R248+'37-3'!R248+'47-3'!R248+'62-3'!R248+'64-3'!R248+'74-3'!R248</f>
        <v>0</v>
      </c>
      <c r="S502" s="1324"/>
      <c r="T502" s="1324"/>
      <c r="U502" s="1324"/>
      <c r="V502" s="1324"/>
      <c r="W502" s="1324"/>
    </row>
    <row r="503" spans="1:23" s="29" customFormat="1" ht="12">
      <c r="A503" s="143" t="s">
        <v>48</v>
      </c>
      <c r="B503" s="118" t="s">
        <v>49</v>
      </c>
      <c r="C503" s="106">
        <f>'01-3'!C249+'02-3'!C249+'03-3'!C249+'04-3'!C249+'05-3'!C249+'08-3'!C249+'09-3'!C249+'10-3'!C249+'11-3'!C249+'12-3'!C249+'13-3'!C249+'14-3'!C249+'15-3'!C249+'16-3'!C249+'17-3'!C249+'18-3'!C249+'19-3'!C249+'21-3'!C249+'22-3'!C249+'24-3'!C249+'25-3'!C249+'28-3'!C249+'29-3'!C249+'30-3'!C249+'32-3'!C249+'35-3'!C249+'37-3'!C249+'47-3'!C249+'62-3'!C249+'64-3'!C249+'74-3'!C249</f>
        <v>12090104</v>
      </c>
      <c r="D503" s="106">
        <f>'01-3'!D249+'02-3'!D249+'03-3'!D249+'04-3'!D249+'05-3'!D249+'08-3'!D249+'09-3'!D249+'10-3'!D249+'11-3'!D249+'12-3'!D249+'13-3'!D249+'14-3'!D249+'15-3'!D249+'16-3'!D249+'17-3'!D249+'18-3'!D249+'19-3'!D249+'21-3'!D249+'22-3'!D249+'24-3'!D249+'25-3'!D249+'28-3'!D249+'29-3'!D249+'30-3'!D249+'32-3'!D249+'35-3'!D249+'37-3'!D249+'47-3'!D249+'62-3'!D249+'64-3'!D249+'74-3'!D249</f>
        <v>2216500</v>
      </c>
      <c r="E503" s="106">
        <f>'01-3'!E249+'02-3'!E249+'03-3'!E249+'04-3'!E249+'05-3'!E249+'08-3'!E249+'09-3'!E249+'10-3'!E249+'11-3'!E249+'12-3'!E249+'13-3'!E249+'14-3'!E249+'15-3'!E249+'16-3'!E249+'17-3'!E249+'18-3'!E249+'19-3'!E249+'21-3'!E249+'22-3'!E249+'24-3'!E249+'25-3'!E249+'28-3'!E249+'29-3'!E249+'30-3'!E249+'32-3'!E249+'35-3'!E249+'37-3'!E249+'47-3'!E249+'62-3'!E249+'64-3'!E249+'74-3'!E249</f>
        <v>0</v>
      </c>
      <c r="F503" s="106">
        <f>'01-3'!F249+'02-3'!F249+'03-3'!F249+'04-3'!F249+'05-3'!F249+'08-3'!F249+'09-3'!F249+'10-3'!F249+'11-3'!F249+'12-3'!F249+'13-3'!F249+'14-3'!F249+'15-3'!F249+'16-3'!F249+'17-3'!F249+'18-3'!F249+'19-3'!F249+'21-3'!F249+'22-3'!F249+'24-3'!F249+'25-3'!F249+'28-3'!F249+'29-3'!F249+'30-3'!F249+'32-3'!F249+'35-3'!F249+'37-3'!F249+'47-3'!F249+'62-3'!F249+'64-3'!F249+'74-3'!F249</f>
        <v>0</v>
      </c>
      <c r="G503" s="106">
        <f>'01-3'!G249+'02-3'!G249+'03-3'!G249+'04-3'!G249+'05-3'!G249+'08-3'!G249+'09-3'!G249+'10-3'!G249+'11-3'!G249+'12-3'!G249+'13-3'!G249+'14-3'!G249+'15-3'!G249+'16-3'!G249+'17-3'!G249+'18-3'!G249+'19-3'!G249+'21-3'!G249+'22-3'!G249+'24-3'!G249+'25-3'!G249+'28-3'!G249+'29-3'!G249+'30-3'!G249+'32-3'!G249+'35-3'!G249+'37-3'!G249+'47-3'!G249+'62-3'!G249+'64-3'!G249+'74-3'!G249</f>
        <v>0</v>
      </c>
      <c r="H503" s="106">
        <f>'01-3'!H249+'02-3'!H249+'03-3'!H249+'04-3'!H249+'05-3'!H249+'08-3'!H249+'09-3'!H249+'10-3'!H249+'11-3'!H249+'12-3'!H249+'13-3'!H249+'14-3'!H249+'15-3'!H249+'16-3'!H249+'17-3'!H249+'18-3'!H249+'19-3'!H249+'21-3'!H249+'22-3'!H249+'24-3'!H249+'25-3'!H249+'28-3'!H249+'29-3'!H249+'30-3'!H249+'32-3'!H249+'35-3'!H249+'37-3'!H249+'47-3'!H249+'62-3'!H249+'64-3'!H249+'74-3'!H249</f>
        <v>2216500</v>
      </c>
      <c r="I503" s="106">
        <f>'01-3'!I249+'02-3'!I249+'03-3'!I249+'04-3'!I249+'05-3'!I249+'08-3'!I249+'09-3'!I249+'10-3'!I249+'11-3'!I249+'12-3'!I249+'13-3'!I249+'14-3'!I249+'15-3'!I249+'16-3'!I249+'17-3'!I249+'18-3'!I249+'19-3'!I249+'21-3'!I249+'22-3'!I249+'24-3'!I249+'25-3'!I249+'28-3'!I249+'29-3'!I249+'30-3'!I249+'32-3'!I249+'35-3'!I249+'37-3'!I249+'47-3'!I249+'62-3'!I249+'64-3'!I249+'74-3'!I249</f>
        <v>5500</v>
      </c>
      <c r="J503" s="106">
        <f>'01-3'!J249+'02-3'!J249+'03-3'!J249+'04-3'!J249+'05-3'!J249+'08-3'!J249+'09-3'!J249+'10-3'!J249+'11-3'!J249+'12-3'!J249+'13-3'!J249+'14-3'!J249+'15-3'!J249+'16-3'!J249+'17-3'!J249+'18-3'!J249+'19-3'!J249+'21-3'!J249+'22-3'!J249+'24-3'!J249+'25-3'!J249+'28-3'!J249+'29-3'!J249+'30-3'!J249+'32-3'!J249+'35-3'!J249+'37-3'!J249+'47-3'!J249+'62-3'!J249+'64-3'!J249+'74-3'!J249</f>
        <v>0</v>
      </c>
      <c r="K503" s="106">
        <f>'01-3'!K249+'02-3'!K249+'03-3'!K249+'04-3'!K249+'05-3'!K249+'08-3'!K249+'09-3'!K249+'10-3'!K249+'11-3'!K249+'12-3'!K249+'13-3'!K249+'14-3'!K249+'15-3'!K249+'16-3'!K249+'17-3'!K249+'18-3'!K249+'19-3'!K249+'21-3'!K249+'22-3'!K249+'24-3'!K249+'25-3'!K249+'28-3'!K249+'29-3'!K249+'30-3'!K249+'32-3'!K249+'35-3'!K249+'37-3'!K249+'47-3'!K249+'62-3'!K249+'64-3'!K249+'74-3'!K249</f>
        <v>0</v>
      </c>
      <c r="L503" s="106">
        <f>'01-3'!L249+'02-3'!L249+'03-3'!L249+'04-3'!L249+'05-3'!L249+'08-3'!L249+'09-3'!L249+'10-3'!L249+'11-3'!L249+'12-3'!L249+'13-3'!L249+'14-3'!L249+'15-3'!L249+'16-3'!L249+'17-3'!L249+'18-3'!L249+'19-3'!L249+'21-3'!L249+'22-3'!L249+'24-3'!L249+'25-3'!L249+'28-3'!L249+'29-3'!L249+'30-3'!L249+'32-3'!L249+'35-3'!L249+'37-3'!L249+'47-3'!L249+'62-3'!L249+'64-3'!L249+'74-3'!L249</f>
        <v>0</v>
      </c>
      <c r="M503" s="106">
        <f>'01-3'!M249+'02-3'!M249+'03-3'!M249+'04-3'!M249+'05-3'!M249+'08-3'!M249+'09-3'!M249+'10-3'!M249+'11-3'!M249+'12-3'!M249+'13-3'!M249+'14-3'!M249+'15-3'!M249+'16-3'!M249+'17-3'!M249+'18-3'!M249+'19-3'!M249+'21-3'!M249+'22-3'!M249+'24-3'!M249+'25-3'!M249+'28-3'!M249+'29-3'!M249+'30-3'!M249+'32-3'!M249+'35-3'!M249+'37-3'!M249+'47-3'!M249+'62-3'!M249+'64-3'!M249+'74-3'!M249</f>
        <v>5500</v>
      </c>
      <c r="N503" s="106">
        <f>'01-3'!N249+'02-3'!N249+'03-3'!N249+'04-3'!N249+'05-3'!N249+'08-3'!N249+'09-3'!N249+'10-3'!N249+'11-3'!N249+'12-3'!N249+'13-3'!N249+'14-3'!N249+'15-3'!N249+'16-3'!N249+'17-3'!N249+'18-3'!N249+'19-3'!N249+'21-3'!N249+'22-3'!N249+'24-3'!N249+'25-3'!N249+'28-3'!N249+'29-3'!N249+'30-3'!N249+'32-3'!N249+'35-3'!N249+'37-3'!N249+'47-3'!N249+'62-3'!N249+'64-3'!N249+'74-3'!N249</f>
        <v>0</v>
      </c>
      <c r="O503" s="106">
        <f>'01-3'!O249+'02-3'!O249+'03-3'!O249+'04-3'!O249+'05-3'!O249+'08-3'!O249+'09-3'!O249+'10-3'!O249+'11-3'!O249+'12-3'!O249+'13-3'!O249+'14-3'!O249+'15-3'!O249+'16-3'!O249+'17-3'!O249+'18-3'!O249+'19-3'!O249+'21-3'!O249+'22-3'!O249+'24-3'!O249+'25-3'!O249+'28-3'!O249+'29-3'!O249+'30-3'!O249+'32-3'!O249+'35-3'!O249+'37-3'!O249+'47-3'!O249+'62-3'!O249+'64-3'!O249+'74-3'!O249</f>
        <v>0</v>
      </c>
      <c r="P503" s="106">
        <f>'01-3'!P249+'02-3'!P249+'03-3'!P249+'04-3'!P249+'05-3'!P249+'08-3'!P249+'09-3'!P249+'10-3'!P249+'11-3'!P249+'12-3'!P249+'13-3'!P249+'14-3'!P249+'15-3'!P249+'16-3'!P249+'17-3'!P249+'18-3'!P249+'19-3'!P249+'21-3'!P249+'22-3'!P249+'24-3'!P249+'25-3'!P249+'28-3'!P249+'29-3'!P249+'30-3'!P249+'32-3'!P249+'35-3'!P249+'37-3'!P249+'47-3'!P249+'62-3'!P249+'64-3'!P249+'74-3'!P249</f>
        <v>0</v>
      </c>
      <c r="Q503" s="106">
        <f>'01-3'!Q249+'02-3'!Q249+'03-3'!Q249+'04-3'!Q249+'05-3'!Q249+'08-3'!Q249+'09-3'!Q249+'10-3'!Q249+'11-3'!Q249+'12-3'!Q249+'13-3'!Q249+'14-3'!Q249+'15-3'!Q249+'16-3'!Q249+'17-3'!Q249+'18-3'!Q249+'19-3'!Q249+'21-3'!Q249+'22-3'!Q249+'24-3'!Q249+'25-3'!Q249+'28-3'!Q249+'29-3'!Q249+'30-3'!Q249+'32-3'!Q249+'35-3'!Q249+'37-3'!Q249+'47-3'!Q249+'62-3'!Q249+'64-3'!Q249+'74-3'!Q249</f>
        <v>0</v>
      </c>
      <c r="R503" s="106">
        <f>'01-3'!R249+'02-3'!R249+'03-3'!R249+'04-3'!R249+'05-3'!R249+'08-3'!R249+'09-3'!R249+'10-3'!R249+'11-3'!R249+'12-3'!R249+'13-3'!R249+'14-3'!R249+'15-3'!R249+'16-3'!R249+'17-3'!R249+'18-3'!R249+'19-3'!R249+'21-3'!R249+'22-3'!R249+'24-3'!R249+'25-3'!R249+'28-3'!R249+'29-3'!R249+'30-3'!R249+'32-3'!R249+'35-3'!R249+'37-3'!R249+'47-3'!R249+'62-3'!R249+'64-3'!R249+'74-3'!R249</f>
        <v>0</v>
      </c>
      <c r="S503" s="1324"/>
      <c r="T503" s="1324"/>
      <c r="U503" s="1324"/>
      <c r="V503" s="1324"/>
      <c r="W503" s="1324"/>
    </row>
    <row r="504" spans="1:23" s="29" customFormat="1" ht="12" hidden="1">
      <c r="A504" s="141" t="s">
        <v>50</v>
      </c>
      <c r="B504" s="112" t="s">
        <v>51</v>
      </c>
      <c r="C504" s="106">
        <f>'01-3'!C250+'02-3'!C250+'03-3'!C250+'04-3'!C250+'05-3'!C250+'08-3'!C250+'09-3'!C250+'10-3'!C250+'11-3'!C250+'12-3'!C250+'13-3'!C250+'14-3'!C250+'15-3'!C250+'16-3'!C250+'17-3'!C250+'18-3'!C250+'19-3'!C250+'21-3'!C250+'22-3'!C250+'24-3'!C250+'25-3'!C250+'28-3'!C250+'29-3'!C250+'30-3'!C250+'32-3'!C250+'35-3'!C250+'37-3'!C250+'47-3'!C250+'62-3'!C250+'64-3'!C250+'74-3'!C250</f>
        <v>0</v>
      </c>
      <c r="D504" s="106">
        <f>'01-3'!D250+'02-3'!D250+'03-3'!D250+'04-3'!D250+'05-3'!D250+'08-3'!D250+'09-3'!D250+'10-3'!D250+'11-3'!D250+'12-3'!D250+'13-3'!D250+'14-3'!D250+'15-3'!D250+'16-3'!D250+'17-3'!D250+'18-3'!D250+'19-3'!D250+'21-3'!D250+'22-3'!D250+'24-3'!D250+'25-3'!D250+'28-3'!D250+'29-3'!D250+'30-3'!D250+'32-3'!D250+'35-3'!D250+'37-3'!D250+'47-3'!D250+'62-3'!D250+'64-3'!D250+'74-3'!D250</f>
        <v>0</v>
      </c>
      <c r="E504" s="106">
        <f>'01-3'!E250+'02-3'!E250+'03-3'!E250+'04-3'!E250+'05-3'!E250+'08-3'!E250+'09-3'!E250+'10-3'!E250+'11-3'!E250+'12-3'!E250+'13-3'!E250+'14-3'!E250+'15-3'!E250+'16-3'!E250+'17-3'!E250+'18-3'!E250+'19-3'!E250+'21-3'!E250+'22-3'!E250+'24-3'!E250+'25-3'!E250+'28-3'!E250+'29-3'!E250+'30-3'!E250+'32-3'!E250+'35-3'!E250+'37-3'!E250+'47-3'!E250+'62-3'!E250+'64-3'!E250+'74-3'!E250</f>
        <v>0</v>
      </c>
      <c r="F504" s="106">
        <f>'01-3'!F250+'02-3'!F250+'03-3'!F250+'04-3'!F250+'05-3'!F250+'08-3'!F250+'09-3'!F250+'10-3'!F250+'11-3'!F250+'12-3'!F250+'13-3'!F250+'14-3'!F250+'15-3'!F250+'16-3'!F250+'17-3'!F250+'18-3'!F250+'19-3'!F250+'21-3'!F250+'22-3'!F250+'24-3'!F250+'25-3'!F250+'28-3'!F250+'29-3'!F250+'30-3'!F250+'32-3'!F250+'35-3'!F250+'37-3'!F250+'47-3'!F250+'62-3'!F250+'64-3'!F250+'74-3'!F250</f>
        <v>0</v>
      </c>
      <c r="G504" s="106">
        <f>'01-3'!G250+'02-3'!G250+'03-3'!G250+'04-3'!G250+'05-3'!G250+'08-3'!G250+'09-3'!G250+'10-3'!G250+'11-3'!G250+'12-3'!G250+'13-3'!G250+'14-3'!G250+'15-3'!G250+'16-3'!G250+'17-3'!G250+'18-3'!G250+'19-3'!G250+'21-3'!G250+'22-3'!G250+'24-3'!G250+'25-3'!G250+'28-3'!G250+'29-3'!G250+'30-3'!G250+'32-3'!G250+'35-3'!G250+'37-3'!G250+'47-3'!G250+'62-3'!G250+'64-3'!G250+'74-3'!G250</f>
        <v>0</v>
      </c>
      <c r="H504" s="106">
        <f>'01-3'!H250+'02-3'!H250+'03-3'!H250+'04-3'!H250+'05-3'!H250+'08-3'!H250+'09-3'!H250+'10-3'!H250+'11-3'!H250+'12-3'!H250+'13-3'!H250+'14-3'!H250+'15-3'!H250+'16-3'!H250+'17-3'!H250+'18-3'!H250+'19-3'!H250+'21-3'!H250+'22-3'!H250+'24-3'!H250+'25-3'!H250+'28-3'!H250+'29-3'!H250+'30-3'!H250+'32-3'!H250+'35-3'!H250+'37-3'!H250+'47-3'!H250+'62-3'!H250+'64-3'!H250+'74-3'!H250</f>
        <v>0</v>
      </c>
      <c r="I504" s="106">
        <f>'01-3'!I250+'02-3'!I250+'03-3'!I250+'04-3'!I250+'05-3'!I250+'08-3'!I250+'09-3'!I250+'10-3'!I250+'11-3'!I250+'12-3'!I250+'13-3'!I250+'14-3'!I250+'15-3'!I250+'16-3'!I250+'17-3'!I250+'18-3'!I250+'19-3'!I250+'21-3'!I250+'22-3'!I250+'24-3'!I250+'25-3'!I250+'28-3'!I250+'29-3'!I250+'30-3'!I250+'32-3'!I250+'35-3'!I250+'37-3'!I250+'47-3'!I250+'62-3'!I250+'64-3'!I250+'74-3'!I250</f>
        <v>0</v>
      </c>
      <c r="J504" s="106">
        <f>'01-3'!J250+'02-3'!J250+'03-3'!J250+'04-3'!J250+'05-3'!J250+'08-3'!J250+'09-3'!J250+'10-3'!J250+'11-3'!J250+'12-3'!J250+'13-3'!J250+'14-3'!J250+'15-3'!J250+'16-3'!J250+'17-3'!J250+'18-3'!J250+'19-3'!J250+'21-3'!J250+'22-3'!J250+'24-3'!J250+'25-3'!J250+'28-3'!J250+'29-3'!J250+'30-3'!J250+'32-3'!J250+'35-3'!J250+'37-3'!J250+'47-3'!J250+'62-3'!J250+'64-3'!J250+'74-3'!J250</f>
        <v>0</v>
      </c>
      <c r="K504" s="106">
        <f>'01-3'!K250+'02-3'!K250+'03-3'!K250+'04-3'!K250+'05-3'!K250+'08-3'!K250+'09-3'!K250+'10-3'!K250+'11-3'!K250+'12-3'!K250+'13-3'!K250+'14-3'!K250+'15-3'!K250+'16-3'!K250+'17-3'!K250+'18-3'!K250+'19-3'!K250+'21-3'!K250+'22-3'!K250+'24-3'!K250+'25-3'!K250+'28-3'!K250+'29-3'!K250+'30-3'!K250+'32-3'!K250+'35-3'!K250+'37-3'!K250+'47-3'!K250+'62-3'!K250+'64-3'!K250+'74-3'!K250</f>
        <v>0</v>
      </c>
      <c r="L504" s="106">
        <f>'01-3'!L250+'02-3'!L250+'03-3'!L250+'04-3'!L250+'05-3'!L250+'08-3'!L250+'09-3'!L250+'10-3'!L250+'11-3'!L250+'12-3'!L250+'13-3'!L250+'14-3'!L250+'15-3'!L250+'16-3'!L250+'17-3'!L250+'18-3'!L250+'19-3'!L250+'21-3'!L250+'22-3'!L250+'24-3'!L250+'25-3'!L250+'28-3'!L250+'29-3'!L250+'30-3'!L250+'32-3'!L250+'35-3'!L250+'37-3'!L250+'47-3'!L250+'62-3'!L250+'64-3'!L250+'74-3'!L250</f>
        <v>0</v>
      </c>
      <c r="M504" s="106">
        <f>'01-3'!M250+'02-3'!M250+'03-3'!M250+'04-3'!M250+'05-3'!M250+'08-3'!M250+'09-3'!M250+'10-3'!M250+'11-3'!M250+'12-3'!M250+'13-3'!M250+'14-3'!M250+'15-3'!M250+'16-3'!M250+'17-3'!M250+'18-3'!M250+'19-3'!M250+'21-3'!M250+'22-3'!M250+'24-3'!M250+'25-3'!M250+'28-3'!M250+'29-3'!M250+'30-3'!M250+'32-3'!M250+'35-3'!M250+'37-3'!M250+'47-3'!M250+'62-3'!M250+'64-3'!M250+'74-3'!M250</f>
        <v>0</v>
      </c>
      <c r="N504" s="106">
        <f>'01-3'!N250+'02-3'!N250+'03-3'!N250+'04-3'!N250+'05-3'!N250+'08-3'!N250+'09-3'!N250+'10-3'!N250+'11-3'!N250+'12-3'!N250+'13-3'!N250+'14-3'!N250+'15-3'!N250+'16-3'!N250+'17-3'!N250+'18-3'!N250+'19-3'!N250+'21-3'!N250+'22-3'!N250+'24-3'!N250+'25-3'!N250+'28-3'!N250+'29-3'!N250+'30-3'!N250+'32-3'!N250+'35-3'!N250+'37-3'!N250+'47-3'!N250+'62-3'!N250+'64-3'!N250+'74-3'!N250</f>
        <v>0</v>
      </c>
      <c r="O504" s="106">
        <f>'01-3'!O250+'02-3'!O250+'03-3'!O250+'04-3'!O250+'05-3'!O250+'08-3'!O250+'09-3'!O250+'10-3'!O250+'11-3'!O250+'12-3'!O250+'13-3'!O250+'14-3'!O250+'15-3'!O250+'16-3'!O250+'17-3'!O250+'18-3'!O250+'19-3'!O250+'21-3'!O250+'22-3'!O250+'24-3'!O250+'25-3'!O250+'28-3'!O250+'29-3'!O250+'30-3'!O250+'32-3'!O250+'35-3'!O250+'37-3'!O250+'47-3'!O250+'62-3'!O250+'64-3'!O250+'74-3'!O250</f>
        <v>0</v>
      </c>
      <c r="P504" s="106">
        <f>'01-3'!P250+'02-3'!P250+'03-3'!P250+'04-3'!P250+'05-3'!P250+'08-3'!P250+'09-3'!P250+'10-3'!P250+'11-3'!P250+'12-3'!P250+'13-3'!P250+'14-3'!P250+'15-3'!P250+'16-3'!P250+'17-3'!P250+'18-3'!P250+'19-3'!P250+'21-3'!P250+'22-3'!P250+'24-3'!P250+'25-3'!P250+'28-3'!P250+'29-3'!P250+'30-3'!P250+'32-3'!P250+'35-3'!P250+'37-3'!P250+'47-3'!P250+'62-3'!P250+'64-3'!P250+'74-3'!P250</f>
        <v>0</v>
      </c>
      <c r="Q504" s="106">
        <f>'01-3'!Q250+'02-3'!Q250+'03-3'!Q250+'04-3'!Q250+'05-3'!Q250+'08-3'!Q250+'09-3'!Q250+'10-3'!Q250+'11-3'!Q250+'12-3'!Q250+'13-3'!Q250+'14-3'!Q250+'15-3'!Q250+'16-3'!Q250+'17-3'!Q250+'18-3'!Q250+'19-3'!Q250+'21-3'!Q250+'22-3'!Q250+'24-3'!Q250+'25-3'!Q250+'28-3'!Q250+'29-3'!Q250+'30-3'!Q250+'32-3'!Q250+'35-3'!Q250+'37-3'!Q250+'47-3'!Q250+'62-3'!Q250+'64-3'!Q250+'74-3'!Q250</f>
        <v>0</v>
      </c>
      <c r="R504" s="106">
        <f>'01-3'!R250+'02-3'!R250+'03-3'!R250+'04-3'!R250+'05-3'!R250+'08-3'!R250+'09-3'!R250+'10-3'!R250+'11-3'!R250+'12-3'!R250+'13-3'!R250+'14-3'!R250+'15-3'!R250+'16-3'!R250+'17-3'!R250+'18-3'!R250+'19-3'!R250+'21-3'!R250+'22-3'!R250+'24-3'!R250+'25-3'!R250+'28-3'!R250+'29-3'!R250+'30-3'!R250+'32-3'!R250+'35-3'!R250+'37-3'!R250+'47-3'!R250+'62-3'!R250+'64-3'!R250+'74-3'!R250</f>
        <v>0</v>
      </c>
      <c r="S504" s="1324"/>
      <c r="T504" s="1324"/>
      <c r="U504" s="1324"/>
      <c r="V504" s="1324"/>
      <c r="W504" s="1324"/>
    </row>
    <row r="505" spans="1:23" s="29" customFormat="1" ht="12" hidden="1">
      <c r="A505" s="141" t="s">
        <v>52</v>
      </c>
      <c r="B505" s="112" t="s">
        <v>53</v>
      </c>
      <c r="C505" s="106">
        <f>'01-3'!C251+'02-3'!C251+'03-3'!C251+'04-3'!C251+'05-3'!C251+'08-3'!C251+'09-3'!C251+'10-3'!C251+'11-3'!C251+'12-3'!C251+'13-3'!C251+'14-3'!C251+'15-3'!C251+'16-3'!C251+'17-3'!C251+'18-3'!C251+'19-3'!C251+'21-3'!C251+'22-3'!C251+'24-3'!C251+'25-3'!C251+'28-3'!C251+'29-3'!C251+'30-3'!C251+'32-3'!C251+'35-3'!C251+'37-3'!C251+'47-3'!C251+'62-3'!C251+'64-3'!C251+'74-3'!C251</f>
        <v>0</v>
      </c>
      <c r="D505" s="106">
        <f>'01-3'!D251+'02-3'!D251+'03-3'!D251+'04-3'!D251+'05-3'!D251+'08-3'!D251+'09-3'!D251+'10-3'!D251+'11-3'!D251+'12-3'!D251+'13-3'!D251+'14-3'!D251+'15-3'!D251+'16-3'!D251+'17-3'!D251+'18-3'!D251+'19-3'!D251+'21-3'!D251+'22-3'!D251+'24-3'!D251+'25-3'!D251+'28-3'!D251+'29-3'!D251+'30-3'!D251+'32-3'!D251+'35-3'!D251+'37-3'!D251+'47-3'!D251+'62-3'!D251+'64-3'!D251+'74-3'!D251</f>
        <v>0</v>
      </c>
      <c r="E505" s="106">
        <f>'01-3'!E251+'02-3'!E251+'03-3'!E251+'04-3'!E251+'05-3'!E251+'08-3'!E251+'09-3'!E251+'10-3'!E251+'11-3'!E251+'12-3'!E251+'13-3'!E251+'14-3'!E251+'15-3'!E251+'16-3'!E251+'17-3'!E251+'18-3'!E251+'19-3'!E251+'21-3'!E251+'22-3'!E251+'24-3'!E251+'25-3'!E251+'28-3'!E251+'29-3'!E251+'30-3'!E251+'32-3'!E251+'35-3'!E251+'37-3'!E251+'47-3'!E251+'62-3'!E251+'64-3'!E251+'74-3'!E251</f>
        <v>0</v>
      </c>
      <c r="F505" s="106">
        <f>'01-3'!F251+'02-3'!F251+'03-3'!F251+'04-3'!F251+'05-3'!F251+'08-3'!F251+'09-3'!F251+'10-3'!F251+'11-3'!F251+'12-3'!F251+'13-3'!F251+'14-3'!F251+'15-3'!F251+'16-3'!F251+'17-3'!F251+'18-3'!F251+'19-3'!F251+'21-3'!F251+'22-3'!F251+'24-3'!F251+'25-3'!F251+'28-3'!F251+'29-3'!F251+'30-3'!F251+'32-3'!F251+'35-3'!F251+'37-3'!F251+'47-3'!F251+'62-3'!F251+'64-3'!F251+'74-3'!F251</f>
        <v>0</v>
      </c>
      <c r="G505" s="106">
        <f>'01-3'!G251+'02-3'!G251+'03-3'!G251+'04-3'!G251+'05-3'!G251+'08-3'!G251+'09-3'!G251+'10-3'!G251+'11-3'!G251+'12-3'!G251+'13-3'!G251+'14-3'!G251+'15-3'!G251+'16-3'!G251+'17-3'!G251+'18-3'!G251+'19-3'!G251+'21-3'!G251+'22-3'!G251+'24-3'!G251+'25-3'!G251+'28-3'!G251+'29-3'!G251+'30-3'!G251+'32-3'!G251+'35-3'!G251+'37-3'!G251+'47-3'!G251+'62-3'!G251+'64-3'!G251+'74-3'!G251</f>
        <v>0</v>
      </c>
      <c r="H505" s="106">
        <f>'01-3'!H251+'02-3'!H251+'03-3'!H251+'04-3'!H251+'05-3'!H251+'08-3'!H251+'09-3'!H251+'10-3'!H251+'11-3'!H251+'12-3'!H251+'13-3'!H251+'14-3'!H251+'15-3'!H251+'16-3'!H251+'17-3'!H251+'18-3'!H251+'19-3'!H251+'21-3'!H251+'22-3'!H251+'24-3'!H251+'25-3'!H251+'28-3'!H251+'29-3'!H251+'30-3'!H251+'32-3'!H251+'35-3'!H251+'37-3'!H251+'47-3'!H251+'62-3'!H251+'64-3'!H251+'74-3'!H251</f>
        <v>0</v>
      </c>
      <c r="I505" s="106">
        <f>'01-3'!I251+'02-3'!I251+'03-3'!I251+'04-3'!I251+'05-3'!I251+'08-3'!I251+'09-3'!I251+'10-3'!I251+'11-3'!I251+'12-3'!I251+'13-3'!I251+'14-3'!I251+'15-3'!I251+'16-3'!I251+'17-3'!I251+'18-3'!I251+'19-3'!I251+'21-3'!I251+'22-3'!I251+'24-3'!I251+'25-3'!I251+'28-3'!I251+'29-3'!I251+'30-3'!I251+'32-3'!I251+'35-3'!I251+'37-3'!I251+'47-3'!I251+'62-3'!I251+'64-3'!I251+'74-3'!I251</f>
        <v>0</v>
      </c>
      <c r="J505" s="106">
        <f>'01-3'!J251+'02-3'!J251+'03-3'!J251+'04-3'!J251+'05-3'!J251+'08-3'!J251+'09-3'!J251+'10-3'!J251+'11-3'!J251+'12-3'!J251+'13-3'!J251+'14-3'!J251+'15-3'!J251+'16-3'!J251+'17-3'!J251+'18-3'!J251+'19-3'!J251+'21-3'!J251+'22-3'!J251+'24-3'!J251+'25-3'!J251+'28-3'!J251+'29-3'!J251+'30-3'!J251+'32-3'!J251+'35-3'!J251+'37-3'!J251+'47-3'!J251+'62-3'!J251+'64-3'!J251+'74-3'!J251</f>
        <v>0</v>
      </c>
      <c r="K505" s="106">
        <f>'01-3'!K251+'02-3'!K251+'03-3'!K251+'04-3'!K251+'05-3'!K251+'08-3'!K251+'09-3'!K251+'10-3'!K251+'11-3'!K251+'12-3'!K251+'13-3'!K251+'14-3'!K251+'15-3'!K251+'16-3'!K251+'17-3'!K251+'18-3'!K251+'19-3'!K251+'21-3'!K251+'22-3'!K251+'24-3'!K251+'25-3'!K251+'28-3'!K251+'29-3'!K251+'30-3'!K251+'32-3'!K251+'35-3'!K251+'37-3'!K251+'47-3'!K251+'62-3'!K251+'64-3'!K251+'74-3'!K251</f>
        <v>0</v>
      </c>
      <c r="L505" s="106">
        <f>'01-3'!L251+'02-3'!L251+'03-3'!L251+'04-3'!L251+'05-3'!L251+'08-3'!L251+'09-3'!L251+'10-3'!L251+'11-3'!L251+'12-3'!L251+'13-3'!L251+'14-3'!L251+'15-3'!L251+'16-3'!L251+'17-3'!L251+'18-3'!L251+'19-3'!L251+'21-3'!L251+'22-3'!L251+'24-3'!L251+'25-3'!L251+'28-3'!L251+'29-3'!L251+'30-3'!L251+'32-3'!L251+'35-3'!L251+'37-3'!L251+'47-3'!L251+'62-3'!L251+'64-3'!L251+'74-3'!L251</f>
        <v>0</v>
      </c>
      <c r="M505" s="106">
        <f>'01-3'!M251+'02-3'!M251+'03-3'!M251+'04-3'!M251+'05-3'!M251+'08-3'!M251+'09-3'!M251+'10-3'!M251+'11-3'!M251+'12-3'!M251+'13-3'!M251+'14-3'!M251+'15-3'!M251+'16-3'!M251+'17-3'!M251+'18-3'!M251+'19-3'!M251+'21-3'!M251+'22-3'!M251+'24-3'!M251+'25-3'!M251+'28-3'!M251+'29-3'!M251+'30-3'!M251+'32-3'!M251+'35-3'!M251+'37-3'!M251+'47-3'!M251+'62-3'!M251+'64-3'!M251+'74-3'!M251</f>
        <v>0</v>
      </c>
      <c r="N505" s="106">
        <f>'01-3'!N251+'02-3'!N251+'03-3'!N251+'04-3'!N251+'05-3'!N251+'08-3'!N251+'09-3'!N251+'10-3'!N251+'11-3'!N251+'12-3'!N251+'13-3'!N251+'14-3'!N251+'15-3'!N251+'16-3'!N251+'17-3'!N251+'18-3'!N251+'19-3'!N251+'21-3'!N251+'22-3'!N251+'24-3'!N251+'25-3'!N251+'28-3'!N251+'29-3'!N251+'30-3'!N251+'32-3'!N251+'35-3'!N251+'37-3'!N251+'47-3'!N251+'62-3'!N251+'64-3'!N251+'74-3'!N251</f>
        <v>0</v>
      </c>
      <c r="O505" s="106">
        <f>'01-3'!O251+'02-3'!O251+'03-3'!O251+'04-3'!O251+'05-3'!O251+'08-3'!O251+'09-3'!O251+'10-3'!O251+'11-3'!O251+'12-3'!O251+'13-3'!O251+'14-3'!O251+'15-3'!O251+'16-3'!O251+'17-3'!O251+'18-3'!O251+'19-3'!O251+'21-3'!O251+'22-3'!O251+'24-3'!O251+'25-3'!O251+'28-3'!O251+'29-3'!O251+'30-3'!O251+'32-3'!O251+'35-3'!O251+'37-3'!O251+'47-3'!O251+'62-3'!O251+'64-3'!O251+'74-3'!O251</f>
        <v>0</v>
      </c>
      <c r="P505" s="106">
        <f>'01-3'!P251+'02-3'!P251+'03-3'!P251+'04-3'!P251+'05-3'!P251+'08-3'!P251+'09-3'!P251+'10-3'!P251+'11-3'!P251+'12-3'!P251+'13-3'!P251+'14-3'!P251+'15-3'!P251+'16-3'!P251+'17-3'!P251+'18-3'!P251+'19-3'!P251+'21-3'!P251+'22-3'!P251+'24-3'!P251+'25-3'!P251+'28-3'!P251+'29-3'!P251+'30-3'!P251+'32-3'!P251+'35-3'!P251+'37-3'!P251+'47-3'!P251+'62-3'!P251+'64-3'!P251+'74-3'!P251</f>
        <v>0</v>
      </c>
      <c r="Q505" s="106">
        <f>'01-3'!Q251+'02-3'!Q251+'03-3'!Q251+'04-3'!Q251+'05-3'!Q251+'08-3'!Q251+'09-3'!Q251+'10-3'!Q251+'11-3'!Q251+'12-3'!Q251+'13-3'!Q251+'14-3'!Q251+'15-3'!Q251+'16-3'!Q251+'17-3'!Q251+'18-3'!Q251+'19-3'!Q251+'21-3'!Q251+'22-3'!Q251+'24-3'!Q251+'25-3'!Q251+'28-3'!Q251+'29-3'!Q251+'30-3'!Q251+'32-3'!Q251+'35-3'!Q251+'37-3'!Q251+'47-3'!Q251+'62-3'!Q251+'64-3'!Q251+'74-3'!Q251</f>
        <v>0</v>
      </c>
      <c r="R505" s="106">
        <f>'01-3'!R251+'02-3'!R251+'03-3'!R251+'04-3'!R251+'05-3'!R251+'08-3'!R251+'09-3'!R251+'10-3'!R251+'11-3'!R251+'12-3'!R251+'13-3'!R251+'14-3'!R251+'15-3'!R251+'16-3'!R251+'17-3'!R251+'18-3'!R251+'19-3'!R251+'21-3'!R251+'22-3'!R251+'24-3'!R251+'25-3'!R251+'28-3'!R251+'29-3'!R251+'30-3'!R251+'32-3'!R251+'35-3'!R251+'37-3'!R251+'47-3'!R251+'62-3'!R251+'64-3'!R251+'74-3'!R251</f>
        <v>0</v>
      </c>
      <c r="S505" s="1324"/>
      <c r="T505" s="1324"/>
      <c r="U505" s="1324"/>
      <c r="V505" s="1324"/>
      <c r="W505" s="1324"/>
    </row>
    <row r="506" spans="1:23" s="29" customFormat="1" ht="12" hidden="1">
      <c r="A506" s="141" t="s">
        <v>54</v>
      </c>
      <c r="B506" s="112" t="s">
        <v>55</v>
      </c>
      <c r="C506" s="106">
        <f>'01-3'!C252+'02-3'!C252+'03-3'!C252+'04-3'!C252+'05-3'!C252+'08-3'!C252+'09-3'!C252+'10-3'!C252+'11-3'!C252+'12-3'!C252+'13-3'!C252+'14-3'!C252+'15-3'!C252+'16-3'!C252+'17-3'!C252+'18-3'!C252+'19-3'!C252+'21-3'!C252+'22-3'!C252+'24-3'!C252+'25-3'!C252+'28-3'!C252+'29-3'!C252+'30-3'!C252+'32-3'!C252+'35-3'!C252+'37-3'!C252+'47-3'!C252+'62-3'!C252+'64-3'!C252+'74-3'!C252</f>
        <v>0</v>
      </c>
      <c r="D506" s="106">
        <f>'01-3'!D252+'02-3'!D252+'03-3'!D252+'04-3'!D252+'05-3'!D252+'08-3'!D252+'09-3'!D252+'10-3'!D252+'11-3'!D252+'12-3'!D252+'13-3'!D252+'14-3'!D252+'15-3'!D252+'16-3'!D252+'17-3'!D252+'18-3'!D252+'19-3'!D252+'21-3'!D252+'22-3'!D252+'24-3'!D252+'25-3'!D252+'28-3'!D252+'29-3'!D252+'30-3'!D252+'32-3'!D252+'35-3'!D252+'37-3'!D252+'47-3'!D252+'62-3'!D252+'64-3'!D252+'74-3'!D252</f>
        <v>0</v>
      </c>
      <c r="E506" s="106">
        <f>'01-3'!E252+'02-3'!E252+'03-3'!E252+'04-3'!E252+'05-3'!E252+'08-3'!E252+'09-3'!E252+'10-3'!E252+'11-3'!E252+'12-3'!E252+'13-3'!E252+'14-3'!E252+'15-3'!E252+'16-3'!E252+'17-3'!E252+'18-3'!E252+'19-3'!E252+'21-3'!E252+'22-3'!E252+'24-3'!E252+'25-3'!E252+'28-3'!E252+'29-3'!E252+'30-3'!E252+'32-3'!E252+'35-3'!E252+'37-3'!E252+'47-3'!E252+'62-3'!E252+'64-3'!E252+'74-3'!E252</f>
        <v>0</v>
      </c>
      <c r="F506" s="106">
        <f>'01-3'!F252+'02-3'!F252+'03-3'!F252+'04-3'!F252+'05-3'!F252+'08-3'!F252+'09-3'!F252+'10-3'!F252+'11-3'!F252+'12-3'!F252+'13-3'!F252+'14-3'!F252+'15-3'!F252+'16-3'!F252+'17-3'!F252+'18-3'!F252+'19-3'!F252+'21-3'!F252+'22-3'!F252+'24-3'!F252+'25-3'!F252+'28-3'!F252+'29-3'!F252+'30-3'!F252+'32-3'!F252+'35-3'!F252+'37-3'!F252+'47-3'!F252+'62-3'!F252+'64-3'!F252+'74-3'!F252</f>
        <v>0</v>
      </c>
      <c r="G506" s="106">
        <f>'01-3'!G252+'02-3'!G252+'03-3'!G252+'04-3'!G252+'05-3'!G252+'08-3'!G252+'09-3'!G252+'10-3'!G252+'11-3'!G252+'12-3'!G252+'13-3'!G252+'14-3'!G252+'15-3'!G252+'16-3'!G252+'17-3'!G252+'18-3'!G252+'19-3'!G252+'21-3'!G252+'22-3'!G252+'24-3'!G252+'25-3'!G252+'28-3'!G252+'29-3'!G252+'30-3'!G252+'32-3'!G252+'35-3'!G252+'37-3'!G252+'47-3'!G252+'62-3'!G252+'64-3'!G252+'74-3'!G252</f>
        <v>0</v>
      </c>
      <c r="H506" s="106">
        <f>'01-3'!H252+'02-3'!H252+'03-3'!H252+'04-3'!H252+'05-3'!H252+'08-3'!H252+'09-3'!H252+'10-3'!H252+'11-3'!H252+'12-3'!H252+'13-3'!H252+'14-3'!H252+'15-3'!H252+'16-3'!H252+'17-3'!H252+'18-3'!H252+'19-3'!H252+'21-3'!H252+'22-3'!H252+'24-3'!H252+'25-3'!H252+'28-3'!H252+'29-3'!H252+'30-3'!H252+'32-3'!H252+'35-3'!H252+'37-3'!H252+'47-3'!H252+'62-3'!H252+'64-3'!H252+'74-3'!H252</f>
        <v>0</v>
      </c>
      <c r="I506" s="106">
        <f>'01-3'!I252+'02-3'!I252+'03-3'!I252+'04-3'!I252+'05-3'!I252+'08-3'!I252+'09-3'!I252+'10-3'!I252+'11-3'!I252+'12-3'!I252+'13-3'!I252+'14-3'!I252+'15-3'!I252+'16-3'!I252+'17-3'!I252+'18-3'!I252+'19-3'!I252+'21-3'!I252+'22-3'!I252+'24-3'!I252+'25-3'!I252+'28-3'!I252+'29-3'!I252+'30-3'!I252+'32-3'!I252+'35-3'!I252+'37-3'!I252+'47-3'!I252+'62-3'!I252+'64-3'!I252+'74-3'!I252</f>
        <v>0</v>
      </c>
      <c r="J506" s="106">
        <f>'01-3'!J252+'02-3'!J252+'03-3'!J252+'04-3'!J252+'05-3'!J252+'08-3'!J252+'09-3'!J252+'10-3'!J252+'11-3'!J252+'12-3'!J252+'13-3'!J252+'14-3'!J252+'15-3'!J252+'16-3'!J252+'17-3'!J252+'18-3'!J252+'19-3'!J252+'21-3'!J252+'22-3'!J252+'24-3'!J252+'25-3'!J252+'28-3'!J252+'29-3'!J252+'30-3'!J252+'32-3'!J252+'35-3'!J252+'37-3'!J252+'47-3'!J252+'62-3'!J252+'64-3'!J252+'74-3'!J252</f>
        <v>0</v>
      </c>
      <c r="K506" s="106">
        <f>'01-3'!K252+'02-3'!K252+'03-3'!K252+'04-3'!K252+'05-3'!K252+'08-3'!K252+'09-3'!K252+'10-3'!K252+'11-3'!K252+'12-3'!K252+'13-3'!K252+'14-3'!K252+'15-3'!K252+'16-3'!K252+'17-3'!K252+'18-3'!K252+'19-3'!K252+'21-3'!K252+'22-3'!K252+'24-3'!K252+'25-3'!K252+'28-3'!K252+'29-3'!K252+'30-3'!K252+'32-3'!K252+'35-3'!K252+'37-3'!K252+'47-3'!K252+'62-3'!K252+'64-3'!K252+'74-3'!K252</f>
        <v>0</v>
      </c>
      <c r="L506" s="106">
        <f>'01-3'!L252+'02-3'!L252+'03-3'!L252+'04-3'!L252+'05-3'!L252+'08-3'!L252+'09-3'!L252+'10-3'!L252+'11-3'!L252+'12-3'!L252+'13-3'!L252+'14-3'!L252+'15-3'!L252+'16-3'!L252+'17-3'!L252+'18-3'!L252+'19-3'!L252+'21-3'!L252+'22-3'!L252+'24-3'!L252+'25-3'!L252+'28-3'!L252+'29-3'!L252+'30-3'!L252+'32-3'!L252+'35-3'!L252+'37-3'!L252+'47-3'!L252+'62-3'!L252+'64-3'!L252+'74-3'!L252</f>
        <v>0</v>
      </c>
      <c r="M506" s="106">
        <f>'01-3'!M252+'02-3'!M252+'03-3'!M252+'04-3'!M252+'05-3'!M252+'08-3'!M252+'09-3'!M252+'10-3'!M252+'11-3'!M252+'12-3'!M252+'13-3'!M252+'14-3'!M252+'15-3'!M252+'16-3'!M252+'17-3'!M252+'18-3'!M252+'19-3'!M252+'21-3'!M252+'22-3'!M252+'24-3'!M252+'25-3'!M252+'28-3'!M252+'29-3'!M252+'30-3'!M252+'32-3'!M252+'35-3'!M252+'37-3'!M252+'47-3'!M252+'62-3'!M252+'64-3'!M252+'74-3'!M252</f>
        <v>0</v>
      </c>
      <c r="N506" s="106">
        <f>'01-3'!N252+'02-3'!N252+'03-3'!N252+'04-3'!N252+'05-3'!N252+'08-3'!N252+'09-3'!N252+'10-3'!N252+'11-3'!N252+'12-3'!N252+'13-3'!N252+'14-3'!N252+'15-3'!N252+'16-3'!N252+'17-3'!N252+'18-3'!N252+'19-3'!N252+'21-3'!N252+'22-3'!N252+'24-3'!N252+'25-3'!N252+'28-3'!N252+'29-3'!N252+'30-3'!N252+'32-3'!N252+'35-3'!N252+'37-3'!N252+'47-3'!N252+'62-3'!N252+'64-3'!N252+'74-3'!N252</f>
        <v>0</v>
      </c>
      <c r="O506" s="106">
        <f>'01-3'!O252+'02-3'!O252+'03-3'!O252+'04-3'!O252+'05-3'!O252+'08-3'!O252+'09-3'!O252+'10-3'!O252+'11-3'!O252+'12-3'!O252+'13-3'!O252+'14-3'!O252+'15-3'!O252+'16-3'!O252+'17-3'!O252+'18-3'!O252+'19-3'!O252+'21-3'!O252+'22-3'!O252+'24-3'!O252+'25-3'!O252+'28-3'!O252+'29-3'!O252+'30-3'!O252+'32-3'!O252+'35-3'!O252+'37-3'!O252+'47-3'!O252+'62-3'!O252+'64-3'!O252+'74-3'!O252</f>
        <v>0</v>
      </c>
      <c r="P506" s="106">
        <f>'01-3'!P252+'02-3'!P252+'03-3'!P252+'04-3'!P252+'05-3'!P252+'08-3'!P252+'09-3'!P252+'10-3'!P252+'11-3'!P252+'12-3'!P252+'13-3'!P252+'14-3'!P252+'15-3'!P252+'16-3'!P252+'17-3'!P252+'18-3'!P252+'19-3'!P252+'21-3'!P252+'22-3'!P252+'24-3'!P252+'25-3'!P252+'28-3'!P252+'29-3'!P252+'30-3'!P252+'32-3'!P252+'35-3'!P252+'37-3'!P252+'47-3'!P252+'62-3'!P252+'64-3'!P252+'74-3'!P252</f>
        <v>0</v>
      </c>
      <c r="Q506" s="106">
        <f>'01-3'!Q252+'02-3'!Q252+'03-3'!Q252+'04-3'!Q252+'05-3'!Q252+'08-3'!Q252+'09-3'!Q252+'10-3'!Q252+'11-3'!Q252+'12-3'!Q252+'13-3'!Q252+'14-3'!Q252+'15-3'!Q252+'16-3'!Q252+'17-3'!Q252+'18-3'!Q252+'19-3'!Q252+'21-3'!Q252+'22-3'!Q252+'24-3'!Q252+'25-3'!Q252+'28-3'!Q252+'29-3'!Q252+'30-3'!Q252+'32-3'!Q252+'35-3'!Q252+'37-3'!Q252+'47-3'!Q252+'62-3'!Q252+'64-3'!Q252+'74-3'!Q252</f>
        <v>0</v>
      </c>
      <c r="R506" s="106">
        <f>'01-3'!R252+'02-3'!R252+'03-3'!R252+'04-3'!R252+'05-3'!R252+'08-3'!R252+'09-3'!R252+'10-3'!R252+'11-3'!R252+'12-3'!R252+'13-3'!R252+'14-3'!R252+'15-3'!R252+'16-3'!R252+'17-3'!R252+'18-3'!R252+'19-3'!R252+'21-3'!R252+'22-3'!R252+'24-3'!R252+'25-3'!R252+'28-3'!R252+'29-3'!R252+'30-3'!R252+'32-3'!R252+'35-3'!R252+'37-3'!R252+'47-3'!R252+'62-3'!R252+'64-3'!R252+'74-3'!R252</f>
        <v>0</v>
      </c>
      <c r="S506" s="1324"/>
      <c r="T506" s="1324"/>
      <c r="U506" s="1324"/>
      <c r="V506" s="1324"/>
      <c r="W506" s="1324"/>
    </row>
    <row r="507" spans="1:23" s="29" customFormat="1" ht="12" hidden="1">
      <c r="A507" s="141" t="s">
        <v>56</v>
      </c>
      <c r="B507" s="112" t="s">
        <v>57</v>
      </c>
      <c r="C507" s="106">
        <f>'01-3'!C253+'02-3'!C253+'03-3'!C253+'04-3'!C253+'05-3'!C253+'08-3'!C253+'09-3'!C253+'10-3'!C253+'11-3'!C253+'12-3'!C253+'13-3'!C253+'14-3'!C253+'15-3'!C253+'16-3'!C253+'17-3'!C253+'18-3'!C253+'19-3'!C253+'21-3'!C253+'22-3'!C253+'24-3'!C253+'25-3'!C253+'28-3'!C253+'29-3'!C253+'30-3'!C253+'32-3'!C253+'35-3'!C253+'37-3'!C253+'47-3'!C253+'62-3'!C253+'64-3'!C253+'74-3'!C253</f>
        <v>0</v>
      </c>
      <c r="D507" s="106">
        <f>'01-3'!D253+'02-3'!D253+'03-3'!D253+'04-3'!D253+'05-3'!D253+'08-3'!D253+'09-3'!D253+'10-3'!D253+'11-3'!D253+'12-3'!D253+'13-3'!D253+'14-3'!D253+'15-3'!D253+'16-3'!D253+'17-3'!D253+'18-3'!D253+'19-3'!D253+'21-3'!D253+'22-3'!D253+'24-3'!D253+'25-3'!D253+'28-3'!D253+'29-3'!D253+'30-3'!D253+'32-3'!D253+'35-3'!D253+'37-3'!D253+'47-3'!D253+'62-3'!D253+'64-3'!D253+'74-3'!D253</f>
        <v>0</v>
      </c>
      <c r="E507" s="106">
        <f>'01-3'!E253+'02-3'!E253+'03-3'!E253+'04-3'!E253+'05-3'!E253+'08-3'!E253+'09-3'!E253+'10-3'!E253+'11-3'!E253+'12-3'!E253+'13-3'!E253+'14-3'!E253+'15-3'!E253+'16-3'!E253+'17-3'!E253+'18-3'!E253+'19-3'!E253+'21-3'!E253+'22-3'!E253+'24-3'!E253+'25-3'!E253+'28-3'!E253+'29-3'!E253+'30-3'!E253+'32-3'!E253+'35-3'!E253+'37-3'!E253+'47-3'!E253+'62-3'!E253+'64-3'!E253+'74-3'!E253</f>
        <v>0</v>
      </c>
      <c r="F507" s="106">
        <f>'01-3'!F253+'02-3'!F253+'03-3'!F253+'04-3'!F253+'05-3'!F253+'08-3'!F253+'09-3'!F253+'10-3'!F253+'11-3'!F253+'12-3'!F253+'13-3'!F253+'14-3'!F253+'15-3'!F253+'16-3'!F253+'17-3'!F253+'18-3'!F253+'19-3'!F253+'21-3'!F253+'22-3'!F253+'24-3'!F253+'25-3'!F253+'28-3'!F253+'29-3'!F253+'30-3'!F253+'32-3'!F253+'35-3'!F253+'37-3'!F253+'47-3'!F253+'62-3'!F253+'64-3'!F253+'74-3'!F253</f>
        <v>0</v>
      </c>
      <c r="G507" s="106">
        <f>'01-3'!G253+'02-3'!G253+'03-3'!G253+'04-3'!G253+'05-3'!G253+'08-3'!G253+'09-3'!G253+'10-3'!G253+'11-3'!G253+'12-3'!G253+'13-3'!G253+'14-3'!G253+'15-3'!G253+'16-3'!G253+'17-3'!G253+'18-3'!G253+'19-3'!G253+'21-3'!G253+'22-3'!G253+'24-3'!G253+'25-3'!G253+'28-3'!G253+'29-3'!G253+'30-3'!G253+'32-3'!G253+'35-3'!G253+'37-3'!G253+'47-3'!G253+'62-3'!G253+'64-3'!G253+'74-3'!G253</f>
        <v>0</v>
      </c>
      <c r="H507" s="106">
        <f>'01-3'!H253+'02-3'!H253+'03-3'!H253+'04-3'!H253+'05-3'!H253+'08-3'!H253+'09-3'!H253+'10-3'!H253+'11-3'!H253+'12-3'!H253+'13-3'!H253+'14-3'!H253+'15-3'!H253+'16-3'!H253+'17-3'!H253+'18-3'!H253+'19-3'!H253+'21-3'!H253+'22-3'!H253+'24-3'!H253+'25-3'!H253+'28-3'!H253+'29-3'!H253+'30-3'!H253+'32-3'!H253+'35-3'!H253+'37-3'!H253+'47-3'!H253+'62-3'!H253+'64-3'!H253+'74-3'!H253</f>
        <v>0</v>
      </c>
      <c r="I507" s="106">
        <f>'01-3'!I253+'02-3'!I253+'03-3'!I253+'04-3'!I253+'05-3'!I253+'08-3'!I253+'09-3'!I253+'10-3'!I253+'11-3'!I253+'12-3'!I253+'13-3'!I253+'14-3'!I253+'15-3'!I253+'16-3'!I253+'17-3'!I253+'18-3'!I253+'19-3'!I253+'21-3'!I253+'22-3'!I253+'24-3'!I253+'25-3'!I253+'28-3'!I253+'29-3'!I253+'30-3'!I253+'32-3'!I253+'35-3'!I253+'37-3'!I253+'47-3'!I253+'62-3'!I253+'64-3'!I253+'74-3'!I253</f>
        <v>0</v>
      </c>
      <c r="J507" s="106">
        <f>'01-3'!J253+'02-3'!J253+'03-3'!J253+'04-3'!J253+'05-3'!J253+'08-3'!J253+'09-3'!J253+'10-3'!J253+'11-3'!J253+'12-3'!J253+'13-3'!J253+'14-3'!J253+'15-3'!J253+'16-3'!J253+'17-3'!J253+'18-3'!J253+'19-3'!J253+'21-3'!J253+'22-3'!J253+'24-3'!J253+'25-3'!J253+'28-3'!J253+'29-3'!J253+'30-3'!J253+'32-3'!J253+'35-3'!J253+'37-3'!J253+'47-3'!J253+'62-3'!J253+'64-3'!J253+'74-3'!J253</f>
        <v>0</v>
      </c>
      <c r="K507" s="106">
        <f>'01-3'!K253+'02-3'!K253+'03-3'!K253+'04-3'!K253+'05-3'!K253+'08-3'!K253+'09-3'!K253+'10-3'!K253+'11-3'!K253+'12-3'!K253+'13-3'!K253+'14-3'!K253+'15-3'!K253+'16-3'!K253+'17-3'!K253+'18-3'!K253+'19-3'!K253+'21-3'!K253+'22-3'!K253+'24-3'!K253+'25-3'!K253+'28-3'!K253+'29-3'!K253+'30-3'!K253+'32-3'!K253+'35-3'!K253+'37-3'!K253+'47-3'!K253+'62-3'!K253+'64-3'!K253+'74-3'!K253</f>
        <v>0</v>
      </c>
      <c r="L507" s="106">
        <f>'01-3'!L253+'02-3'!L253+'03-3'!L253+'04-3'!L253+'05-3'!L253+'08-3'!L253+'09-3'!L253+'10-3'!L253+'11-3'!L253+'12-3'!L253+'13-3'!L253+'14-3'!L253+'15-3'!L253+'16-3'!L253+'17-3'!L253+'18-3'!L253+'19-3'!L253+'21-3'!L253+'22-3'!L253+'24-3'!L253+'25-3'!L253+'28-3'!L253+'29-3'!L253+'30-3'!L253+'32-3'!L253+'35-3'!L253+'37-3'!L253+'47-3'!L253+'62-3'!L253+'64-3'!L253+'74-3'!L253</f>
        <v>0</v>
      </c>
      <c r="M507" s="106">
        <f>'01-3'!M253+'02-3'!M253+'03-3'!M253+'04-3'!M253+'05-3'!M253+'08-3'!M253+'09-3'!M253+'10-3'!M253+'11-3'!M253+'12-3'!M253+'13-3'!M253+'14-3'!M253+'15-3'!M253+'16-3'!M253+'17-3'!M253+'18-3'!M253+'19-3'!M253+'21-3'!M253+'22-3'!M253+'24-3'!M253+'25-3'!M253+'28-3'!M253+'29-3'!M253+'30-3'!M253+'32-3'!M253+'35-3'!M253+'37-3'!M253+'47-3'!M253+'62-3'!M253+'64-3'!M253+'74-3'!M253</f>
        <v>0</v>
      </c>
      <c r="N507" s="106">
        <f>'01-3'!N253+'02-3'!N253+'03-3'!N253+'04-3'!N253+'05-3'!N253+'08-3'!N253+'09-3'!N253+'10-3'!N253+'11-3'!N253+'12-3'!N253+'13-3'!N253+'14-3'!N253+'15-3'!N253+'16-3'!N253+'17-3'!N253+'18-3'!N253+'19-3'!N253+'21-3'!N253+'22-3'!N253+'24-3'!N253+'25-3'!N253+'28-3'!N253+'29-3'!N253+'30-3'!N253+'32-3'!N253+'35-3'!N253+'37-3'!N253+'47-3'!N253+'62-3'!N253+'64-3'!N253+'74-3'!N253</f>
        <v>0</v>
      </c>
      <c r="O507" s="106">
        <f>'01-3'!O253+'02-3'!O253+'03-3'!O253+'04-3'!O253+'05-3'!O253+'08-3'!O253+'09-3'!O253+'10-3'!O253+'11-3'!O253+'12-3'!O253+'13-3'!O253+'14-3'!O253+'15-3'!O253+'16-3'!O253+'17-3'!O253+'18-3'!O253+'19-3'!O253+'21-3'!O253+'22-3'!O253+'24-3'!O253+'25-3'!O253+'28-3'!O253+'29-3'!O253+'30-3'!O253+'32-3'!O253+'35-3'!O253+'37-3'!O253+'47-3'!O253+'62-3'!O253+'64-3'!O253+'74-3'!O253</f>
        <v>0</v>
      </c>
      <c r="P507" s="106">
        <f>'01-3'!P253+'02-3'!P253+'03-3'!P253+'04-3'!P253+'05-3'!P253+'08-3'!P253+'09-3'!P253+'10-3'!P253+'11-3'!P253+'12-3'!P253+'13-3'!P253+'14-3'!P253+'15-3'!P253+'16-3'!P253+'17-3'!P253+'18-3'!P253+'19-3'!P253+'21-3'!P253+'22-3'!P253+'24-3'!P253+'25-3'!P253+'28-3'!P253+'29-3'!P253+'30-3'!P253+'32-3'!P253+'35-3'!P253+'37-3'!P253+'47-3'!P253+'62-3'!P253+'64-3'!P253+'74-3'!P253</f>
        <v>0</v>
      </c>
      <c r="Q507" s="106">
        <f>'01-3'!Q253+'02-3'!Q253+'03-3'!Q253+'04-3'!Q253+'05-3'!Q253+'08-3'!Q253+'09-3'!Q253+'10-3'!Q253+'11-3'!Q253+'12-3'!Q253+'13-3'!Q253+'14-3'!Q253+'15-3'!Q253+'16-3'!Q253+'17-3'!Q253+'18-3'!Q253+'19-3'!Q253+'21-3'!Q253+'22-3'!Q253+'24-3'!Q253+'25-3'!Q253+'28-3'!Q253+'29-3'!Q253+'30-3'!Q253+'32-3'!Q253+'35-3'!Q253+'37-3'!Q253+'47-3'!Q253+'62-3'!Q253+'64-3'!Q253+'74-3'!Q253</f>
        <v>0</v>
      </c>
      <c r="R507" s="106">
        <f>'01-3'!R253+'02-3'!R253+'03-3'!R253+'04-3'!R253+'05-3'!R253+'08-3'!R253+'09-3'!R253+'10-3'!R253+'11-3'!R253+'12-3'!R253+'13-3'!R253+'14-3'!R253+'15-3'!R253+'16-3'!R253+'17-3'!R253+'18-3'!R253+'19-3'!R253+'21-3'!R253+'22-3'!R253+'24-3'!R253+'25-3'!R253+'28-3'!R253+'29-3'!R253+'30-3'!R253+'32-3'!R253+'35-3'!R253+'37-3'!R253+'47-3'!R253+'62-3'!R253+'64-3'!R253+'74-3'!R253</f>
        <v>0</v>
      </c>
      <c r="S507" s="1324"/>
      <c r="T507" s="1324"/>
      <c r="U507" s="1324"/>
      <c r="V507" s="1324"/>
      <c r="W507" s="1324"/>
    </row>
    <row r="508" spans="1:23" s="29" customFormat="1" ht="12" hidden="1">
      <c r="A508" s="141" t="s">
        <v>58</v>
      </c>
      <c r="B508" s="112" t="s">
        <v>59</v>
      </c>
      <c r="C508" s="106">
        <f>'01-3'!C254+'02-3'!C254+'03-3'!C254+'04-3'!C254+'05-3'!C254+'08-3'!C254+'09-3'!C254+'10-3'!C254+'11-3'!C254+'12-3'!C254+'13-3'!C254+'14-3'!C254+'15-3'!C254+'16-3'!C254+'17-3'!C254+'18-3'!C254+'19-3'!C254+'21-3'!C254+'22-3'!C254+'24-3'!C254+'25-3'!C254+'28-3'!C254+'29-3'!C254+'30-3'!C254+'32-3'!C254+'35-3'!C254+'37-3'!C254+'47-3'!C254+'62-3'!C254+'64-3'!C254+'74-3'!C254</f>
        <v>0</v>
      </c>
      <c r="D508" s="106">
        <f>'01-3'!D254+'02-3'!D254+'03-3'!D254+'04-3'!D254+'05-3'!D254+'08-3'!D254+'09-3'!D254+'10-3'!D254+'11-3'!D254+'12-3'!D254+'13-3'!D254+'14-3'!D254+'15-3'!D254+'16-3'!D254+'17-3'!D254+'18-3'!D254+'19-3'!D254+'21-3'!D254+'22-3'!D254+'24-3'!D254+'25-3'!D254+'28-3'!D254+'29-3'!D254+'30-3'!D254+'32-3'!D254+'35-3'!D254+'37-3'!D254+'47-3'!D254+'62-3'!D254+'64-3'!D254+'74-3'!D254</f>
        <v>0</v>
      </c>
      <c r="E508" s="106">
        <f>'01-3'!E254+'02-3'!E254+'03-3'!E254+'04-3'!E254+'05-3'!E254+'08-3'!E254+'09-3'!E254+'10-3'!E254+'11-3'!E254+'12-3'!E254+'13-3'!E254+'14-3'!E254+'15-3'!E254+'16-3'!E254+'17-3'!E254+'18-3'!E254+'19-3'!E254+'21-3'!E254+'22-3'!E254+'24-3'!E254+'25-3'!E254+'28-3'!E254+'29-3'!E254+'30-3'!E254+'32-3'!E254+'35-3'!E254+'37-3'!E254+'47-3'!E254+'62-3'!E254+'64-3'!E254+'74-3'!E254</f>
        <v>0</v>
      </c>
      <c r="F508" s="106">
        <f>'01-3'!F254+'02-3'!F254+'03-3'!F254+'04-3'!F254+'05-3'!F254+'08-3'!F254+'09-3'!F254+'10-3'!F254+'11-3'!F254+'12-3'!F254+'13-3'!F254+'14-3'!F254+'15-3'!F254+'16-3'!F254+'17-3'!F254+'18-3'!F254+'19-3'!F254+'21-3'!F254+'22-3'!F254+'24-3'!F254+'25-3'!F254+'28-3'!F254+'29-3'!F254+'30-3'!F254+'32-3'!F254+'35-3'!F254+'37-3'!F254+'47-3'!F254+'62-3'!F254+'64-3'!F254+'74-3'!F254</f>
        <v>0</v>
      </c>
      <c r="G508" s="106">
        <f>'01-3'!G254+'02-3'!G254+'03-3'!G254+'04-3'!G254+'05-3'!G254+'08-3'!G254+'09-3'!G254+'10-3'!G254+'11-3'!G254+'12-3'!G254+'13-3'!G254+'14-3'!G254+'15-3'!G254+'16-3'!G254+'17-3'!G254+'18-3'!G254+'19-3'!G254+'21-3'!G254+'22-3'!G254+'24-3'!G254+'25-3'!G254+'28-3'!G254+'29-3'!G254+'30-3'!G254+'32-3'!G254+'35-3'!G254+'37-3'!G254+'47-3'!G254+'62-3'!G254+'64-3'!G254+'74-3'!G254</f>
        <v>0</v>
      </c>
      <c r="H508" s="106">
        <f>'01-3'!H254+'02-3'!H254+'03-3'!H254+'04-3'!H254+'05-3'!H254+'08-3'!H254+'09-3'!H254+'10-3'!H254+'11-3'!H254+'12-3'!H254+'13-3'!H254+'14-3'!H254+'15-3'!H254+'16-3'!H254+'17-3'!H254+'18-3'!H254+'19-3'!H254+'21-3'!H254+'22-3'!H254+'24-3'!H254+'25-3'!H254+'28-3'!H254+'29-3'!H254+'30-3'!H254+'32-3'!H254+'35-3'!H254+'37-3'!H254+'47-3'!H254+'62-3'!H254+'64-3'!H254+'74-3'!H254</f>
        <v>0</v>
      </c>
      <c r="I508" s="106">
        <f>'01-3'!I254+'02-3'!I254+'03-3'!I254+'04-3'!I254+'05-3'!I254+'08-3'!I254+'09-3'!I254+'10-3'!I254+'11-3'!I254+'12-3'!I254+'13-3'!I254+'14-3'!I254+'15-3'!I254+'16-3'!I254+'17-3'!I254+'18-3'!I254+'19-3'!I254+'21-3'!I254+'22-3'!I254+'24-3'!I254+'25-3'!I254+'28-3'!I254+'29-3'!I254+'30-3'!I254+'32-3'!I254+'35-3'!I254+'37-3'!I254+'47-3'!I254+'62-3'!I254+'64-3'!I254+'74-3'!I254</f>
        <v>0</v>
      </c>
      <c r="J508" s="106">
        <f>'01-3'!J254+'02-3'!J254+'03-3'!J254+'04-3'!J254+'05-3'!J254+'08-3'!J254+'09-3'!J254+'10-3'!J254+'11-3'!J254+'12-3'!J254+'13-3'!J254+'14-3'!J254+'15-3'!J254+'16-3'!J254+'17-3'!J254+'18-3'!J254+'19-3'!J254+'21-3'!J254+'22-3'!J254+'24-3'!J254+'25-3'!J254+'28-3'!J254+'29-3'!J254+'30-3'!J254+'32-3'!J254+'35-3'!J254+'37-3'!J254+'47-3'!J254+'62-3'!J254+'64-3'!J254+'74-3'!J254</f>
        <v>0</v>
      </c>
      <c r="K508" s="106">
        <f>'01-3'!K254+'02-3'!K254+'03-3'!K254+'04-3'!K254+'05-3'!K254+'08-3'!K254+'09-3'!K254+'10-3'!K254+'11-3'!K254+'12-3'!K254+'13-3'!K254+'14-3'!K254+'15-3'!K254+'16-3'!K254+'17-3'!K254+'18-3'!K254+'19-3'!K254+'21-3'!K254+'22-3'!K254+'24-3'!K254+'25-3'!K254+'28-3'!K254+'29-3'!K254+'30-3'!K254+'32-3'!K254+'35-3'!K254+'37-3'!K254+'47-3'!K254+'62-3'!K254+'64-3'!K254+'74-3'!K254</f>
        <v>0</v>
      </c>
      <c r="L508" s="106">
        <f>'01-3'!L254+'02-3'!L254+'03-3'!L254+'04-3'!L254+'05-3'!L254+'08-3'!L254+'09-3'!L254+'10-3'!L254+'11-3'!L254+'12-3'!L254+'13-3'!L254+'14-3'!L254+'15-3'!L254+'16-3'!L254+'17-3'!L254+'18-3'!L254+'19-3'!L254+'21-3'!L254+'22-3'!L254+'24-3'!L254+'25-3'!L254+'28-3'!L254+'29-3'!L254+'30-3'!L254+'32-3'!L254+'35-3'!L254+'37-3'!L254+'47-3'!L254+'62-3'!L254+'64-3'!L254+'74-3'!L254</f>
        <v>0</v>
      </c>
      <c r="M508" s="106">
        <f>'01-3'!M254+'02-3'!M254+'03-3'!M254+'04-3'!M254+'05-3'!M254+'08-3'!M254+'09-3'!M254+'10-3'!M254+'11-3'!M254+'12-3'!M254+'13-3'!M254+'14-3'!M254+'15-3'!M254+'16-3'!M254+'17-3'!M254+'18-3'!M254+'19-3'!M254+'21-3'!M254+'22-3'!M254+'24-3'!M254+'25-3'!M254+'28-3'!M254+'29-3'!M254+'30-3'!M254+'32-3'!M254+'35-3'!M254+'37-3'!M254+'47-3'!M254+'62-3'!M254+'64-3'!M254+'74-3'!M254</f>
        <v>0</v>
      </c>
      <c r="N508" s="106">
        <f>'01-3'!N254+'02-3'!N254+'03-3'!N254+'04-3'!N254+'05-3'!N254+'08-3'!N254+'09-3'!N254+'10-3'!N254+'11-3'!N254+'12-3'!N254+'13-3'!N254+'14-3'!N254+'15-3'!N254+'16-3'!N254+'17-3'!N254+'18-3'!N254+'19-3'!N254+'21-3'!N254+'22-3'!N254+'24-3'!N254+'25-3'!N254+'28-3'!N254+'29-3'!N254+'30-3'!N254+'32-3'!N254+'35-3'!N254+'37-3'!N254+'47-3'!N254+'62-3'!N254+'64-3'!N254+'74-3'!N254</f>
        <v>0</v>
      </c>
      <c r="O508" s="106">
        <f>'01-3'!O254+'02-3'!O254+'03-3'!O254+'04-3'!O254+'05-3'!O254+'08-3'!O254+'09-3'!O254+'10-3'!O254+'11-3'!O254+'12-3'!O254+'13-3'!O254+'14-3'!O254+'15-3'!O254+'16-3'!O254+'17-3'!O254+'18-3'!O254+'19-3'!O254+'21-3'!O254+'22-3'!O254+'24-3'!O254+'25-3'!O254+'28-3'!O254+'29-3'!O254+'30-3'!O254+'32-3'!O254+'35-3'!O254+'37-3'!O254+'47-3'!O254+'62-3'!O254+'64-3'!O254+'74-3'!O254</f>
        <v>0</v>
      </c>
      <c r="P508" s="106">
        <f>'01-3'!P254+'02-3'!P254+'03-3'!P254+'04-3'!P254+'05-3'!P254+'08-3'!P254+'09-3'!P254+'10-3'!P254+'11-3'!P254+'12-3'!P254+'13-3'!P254+'14-3'!P254+'15-3'!P254+'16-3'!P254+'17-3'!P254+'18-3'!P254+'19-3'!P254+'21-3'!P254+'22-3'!P254+'24-3'!P254+'25-3'!P254+'28-3'!P254+'29-3'!P254+'30-3'!P254+'32-3'!P254+'35-3'!P254+'37-3'!P254+'47-3'!P254+'62-3'!P254+'64-3'!P254+'74-3'!P254</f>
        <v>0</v>
      </c>
      <c r="Q508" s="106">
        <f>'01-3'!Q254+'02-3'!Q254+'03-3'!Q254+'04-3'!Q254+'05-3'!Q254+'08-3'!Q254+'09-3'!Q254+'10-3'!Q254+'11-3'!Q254+'12-3'!Q254+'13-3'!Q254+'14-3'!Q254+'15-3'!Q254+'16-3'!Q254+'17-3'!Q254+'18-3'!Q254+'19-3'!Q254+'21-3'!Q254+'22-3'!Q254+'24-3'!Q254+'25-3'!Q254+'28-3'!Q254+'29-3'!Q254+'30-3'!Q254+'32-3'!Q254+'35-3'!Q254+'37-3'!Q254+'47-3'!Q254+'62-3'!Q254+'64-3'!Q254+'74-3'!Q254</f>
        <v>0</v>
      </c>
      <c r="R508" s="106">
        <f>'01-3'!R254+'02-3'!R254+'03-3'!R254+'04-3'!R254+'05-3'!R254+'08-3'!R254+'09-3'!R254+'10-3'!R254+'11-3'!R254+'12-3'!R254+'13-3'!R254+'14-3'!R254+'15-3'!R254+'16-3'!R254+'17-3'!R254+'18-3'!R254+'19-3'!R254+'21-3'!R254+'22-3'!R254+'24-3'!R254+'25-3'!R254+'28-3'!R254+'29-3'!R254+'30-3'!R254+'32-3'!R254+'35-3'!R254+'37-3'!R254+'47-3'!R254+'62-3'!R254+'64-3'!R254+'74-3'!R254</f>
        <v>0</v>
      </c>
      <c r="S508" s="1324"/>
      <c r="T508" s="1324"/>
      <c r="U508" s="1324"/>
      <c r="V508" s="1324"/>
      <c r="W508" s="1324"/>
    </row>
    <row r="509" spans="1:23" s="29" customFormat="1" ht="12" hidden="1">
      <c r="A509" s="141" t="s">
        <v>60</v>
      </c>
      <c r="B509" s="112" t="s">
        <v>61</v>
      </c>
      <c r="C509" s="106">
        <f>'01-3'!C255+'02-3'!C255+'03-3'!C255+'04-3'!C255+'05-3'!C255+'08-3'!C255+'09-3'!C255+'10-3'!C255+'11-3'!C255+'12-3'!C255+'13-3'!C255+'14-3'!C255+'15-3'!C255+'16-3'!C255+'17-3'!C255+'18-3'!C255+'19-3'!C255+'21-3'!C255+'22-3'!C255+'24-3'!C255+'25-3'!C255+'28-3'!C255+'29-3'!C255+'30-3'!C255+'32-3'!C255+'35-3'!C255+'37-3'!C255+'47-3'!C255+'62-3'!C255+'64-3'!C255+'74-3'!C255</f>
        <v>0</v>
      </c>
      <c r="D509" s="106">
        <f>'01-3'!D255+'02-3'!D255+'03-3'!D255+'04-3'!D255+'05-3'!D255+'08-3'!D255+'09-3'!D255+'10-3'!D255+'11-3'!D255+'12-3'!D255+'13-3'!D255+'14-3'!D255+'15-3'!D255+'16-3'!D255+'17-3'!D255+'18-3'!D255+'19-3'!D255+'21-3'!D255+'22-3'!D255+'24-3'!D255+'25-3'!D255+'28-3'!D255+'29-3'!D255+'30-3'!D255+'32-3'!D255+'35-3'!D255+'37-3'!D255+'47-3'!D255+'62-3'!D255+'64-3'!D255+'74-3'!D255</f>
        <v>0</v>
      </c>
      <c r="E509" s="106">
        <f>'01-3'!E255+'02-3'!E255+'03-3'!E255+'04-3'!E255+'05-3'!E255+'08-3'!E255+'09-3'!E255+'10-3'!E255+'11-3'!E255+'12-3'!E255+'13-3'!E255+'14-3'!E255+'15-3'!E255+'16-3'!E255+'17-3'!E255+'18-3'!E255+'19-3'!E255+'21-3'!E255+'22-3'!E255+'24-3'!E255+'25-3'!E255+'28-3'!E255+'29-3'!E255+'30-3'!E255+'32-3'!E255+'35-3'!E255+'37-3'!E255+'47-3'!E255+'62-3'!E255+'64-3'!E255+'74-3'!E255</f>
        <v>0</v>
      </c>
      <c r="F509" s="106">
        <f>'01-3'!F255+'02-3'!F255+'03-3'!F255+'04-3'!F255+'05-3'!F255+'08-3'!F255+'09-3'!F255+'10-3'!F255+'11-3'!F255+'12-3'!F255+'13-3'!F255+'14-3'!F255+'15-3'!F255+'16-3'!F255+'17-3'!F255+'18-3'!F255+'19-3'!F255+'21-3'!F255+'22-3'!F255+'24-3'!F255+'25-3'!F255+'28-3'!F255+'29-3'!F255+'30-3'!F255+'32-3'!F255+'35-3'!F255+'37-3'!F255+'47-3'!F255+'62-3'!F255+'64-3'!F255+'74-3'!F255</f>
        <v>0</v>
      </c>
      <c r="G509" s="106">
        <f>'01-3'!G255+'02-3'!G255+'03-3'!G255+'04-3'!G255+'05-3'!G255+'08-3'!G255+'09-3'!G255+'10-3'!G255+'11-3'!G255+'12-3'!G255+'13-3'!G255+'14-3'!G255+'15-3'!G255+'16-3'!G255+'17-3'!G255+'18-3'!G255+'19-3'!G255+'21-3'!G255+'22-3'!G255+'24-3'!G255+'25-3'!G255+'28-3'!G255+'29-3'!G255+'30-3'!G255+'32-3'!G255+'35-3'!G255+'37-3'!G255+'47-3'!G255+'62-3'!G255+'64-3'!G255+'74-3'!G255</f>
        <v>0</v>
      </c>
      <c r="H509" s="106">
        <f>'01-3'!H255+'02-3'!H255+'03-3'!H255+'04-3'!H255+'05-3'!H255+'08-3'!H255+'09-3'!H255+'10-3'!H255+'11-3'!H255+'12-3'!H255+'13-3'!H255+'14-3'!H255+'15-3'!H255+'16-3'!H255+'17-3'!H255+'18-3'!H255+'19-3'!H255+'21-3'!H255+'22-3'!H255+'24-3'!H255+'25-3'!H255+'28-3'!H255+'29-3'!H255+'30-3'!H255+'32-3'!H255+'35-3'!H255+'37-3'!H255+'47-3'!H255+'62-3'!H255+'64-3'!H255+'74-3'!H255</f>
        <v>0</v>
      </c>
      <c r="I509" s="106">
        <f>'01-3'!I255+'02-3'!I255+'03-3'!I255+'04-3'!I255+'05-3'!I255+'08-3'!I255+'09-3'!I255+'10-3'!I255+'11-3'!I255+'12-3'!I255+'13-3'!I255+'14-3'!I255+'15-3'!I255+'16-3'!I255+'17-3'!I255+'18-3'!I255+'19-3'!I255+'21-3'!I255+'22-3'!I255+'24-3'!I255+'25-3'!I255+'28-3'!I255+'29-3'!I255+'30-3'!I255+'32-3'!I255+'35-3'!I255+'37-3'!I255+'47-3'!I255+'62-3'!I255+'64-3'!I255+'74-3'!I255</f>
        <v>0</v>
      </c>
      <c r="J509" s="106">
        <f>'01-3'!J255+'02-3'!J255+'03-3'!J255+'04-3'!J255+'05-3'!J255+'08-3'!J255+'09-3'!J255+'10-3'!J255+'11-3'!J255+'12-3'!J255+'13-3'!J255+'14-3'!J255+'15-3'!J255+'16-3'!J255+'17-3'!J255+'18-3'!J255+'19-3'!J255+'21-3'!J255+'22-3'!J255+'24-3'!J255+'25-3'!J255+'28-3'!J255+'29-3'!J255+'30-3'!J255+'32-3'!J255+'35-3'!J255+'37-3'!J255+'47-3'!J255+'62-3'!J255+'64-3'!J255+'74-3'!J255</f>
        <v>0</v>
      </c>
      <c r="K509" s="106">
        <f>'01-3'!K255+'02-3'!K255+'03-3'!K255+'04-3'!K255+'05-3'!K255+'08-3'!K255+'09-3'!K255+'10-3'!K255+'11-3'!K255+'12-3'!K255+'13-3'!K255+'14-3'!K255+'15-3'!K255+'16-3'!K255+'17-3'!K255+'18-3'!K255+'19-3'!K255+'21-3'!K255+'22-3'!K255+'24-3'!K255+'25-3'!K255+'28-3'!K255+'29-3'!K255+'30-3'!K255+'32-3'!K255+'35-3'!K255+'37-3'!K255+'47-3'!K255+'62-3'!K255+'64-3'!K255+'74-3'!K255</f>
        <v>0</v>
      </c>
      <c r="L509" s="106">
        <f>'01-3'!L255+'02-3'!L255+'03-3'!L255+'04-3'!L255+'05-3'!L255+'08-3'!L255+'09-3'!L255+'10-3'!L255+'11-3'!L255+'12-3'!L255+'13-3'!L255+'14-3'!L255+'15-3'!L255+'16-3'!L255+'17-3'!L255+'18-3'!L255+'19-3'!L255+'21-3'!L255+'22-3'!L255+'24-3'!L255+'25-3'!L255+'28-3'!L255+'29-3'!L255+'30-3'!L255+'32-3'!L255+'35-3'!L255+'37-3'!L255+'47-3'!L255+'62-3'!L255+'64-3'!L255+'74-3'!L255</f>
        <v>0</v>
      </c>
      <c r="M509" s="106">
        <f>'01-3'!M255+'02-3'!M255+'03-3'!M255+'04-3'!M255+'05-3'!M255+'08-3'!M255+'09-3'!M255+'10-3'!M255+'11-3'!M255+'12-3'!M255+'13-3'!M255+'14-3'!M255+'15-3'!M255+'16-3'!M255+'17-3'!M255+'18-3'!M255+'19-3'!M255+'21-3'!M255+'22-3'!M255+'24-3'!M255+'25-3'!M255+'28-3'!M255+'29-3'!M255+'30-3'!M255+'32-3'!M255+'35-3'!M255+'37-3'!M255+'47-3'!M255+'62-3'!M255+'64-3'!M255+'74-3'!M255</f>
        <v>0</v>
      </c>
      <c r="N509" s="106">
        <f>'01-3'!N255+'02-3'!N255+'03-3'!N255+'04-3'!N255+'05-3'!N255+'08-3'!N255+'09-3'!N255+'10-3'!N255+'11-3'!N255+'12-3'!N255+'13-3'!N255+'14-3'!N255+'15-3'!N255+'16-3'!N255+'17-3'!N255+'18-3'!N255+'19-3'!N255+'21-3'!N255+'22-3'!N255+'24-3'!N255+'25-3'!N255+'28-3'!N255+'29-3'!N255+'30-3'!N255+'32-3'!N255+'35-3'!N255+'37-3'!N255+'47-3'!N255+'62-3'!N255+'64-3'!N255+'74-3'!N255</f>
        <v>0</v>
      </c>
      <c r="O509" s="106">
        <f>'01-3'!O255+'02-3'!O255+'03-3'!O255+'04-3'!O255+'05-3'!O255+'08-3'!O255+'09-3'!O255+'10-3'!O255+'11-3'!O255+'12-3'!O255+'13-3'!O255+'14-3'!O255+'15-3'!O255+'16-3'!O255+'17-3'!O255+'18-3'!O255+'19-3'!O255+'21-3'!O255+'22-3'!O255+'24-3'!O255+'25-3'!O255+'28-3'!O255+'29-3'!O255+'30-3'!O255+'32-3'!O255+'35-3'!O255+'37-3'!O255+'47-3'!O255+'62-3'!O255+'64-3'!O255+'74-3'!O255</f>
        <v>0</v>
      </c>
      <c r="P509" s="106">
        <f>'01-3'!P255+'02-3'!P255+'03-3'!P255+'04-3'!P255+'05-3'!P255+'08-3'!P255+'09-3'!P255+'10-3'!P255+'11-3'!P255+'12-3'!P255+'13-3'!P255+'14-3'!P255+'15-3'!P255+'16-3'!P255+'17-3'!P255+'18-3'!P255+'19-3'!P255+'21-3'!P255+'22-3'!P255+'24-3'!P255+'25-3'!P255+'28-3'!P255+'29-3'!P255+'30-3'!P255+'32-3'!P255+'35-3'!P255+'37-3'!P255+'47-3'!P255+'62-3'!P255+'64-3'!P255+'74-3'!P255</f>
        <v>0</v>
      </c>
      <c r="Q509" s="106">
        <f>'01-3'!Q255+'02-3'!Q255+'03-3'!Q255+'04-3'!Q255+'05-3'!Q255+'08-3'!Q255+'09-3'!Q255+'10-3'!Q255+'11-3'!Q255+'12-3'!Q255+'13-3'!Q255+'14-3'!Q255+'15-3'!Q255+'16-3'!Q255+'17-3'!Q255+'18-3'!Q255+'19-3'!Q255+'21-3'!Q255+'22-3'!Q255+'24-3'!Q255+'25-3'!Q255+'28-3'!Q255+'29-3'!Q255+'30-3'!Q255+'32-3'!Q255+'35-3'!Q255+'37-3'!Q255+'47-3'!Q255+'62-3'!Q255+'64-3'!Q255+'74-3'!Q255</f>
        <v>0</v>
      </c>
      <c r="R509" s="106">
        <f>'01-3'!R255+'02-3'!R255+'03-3'!R255+'04-3'!R255+'05-3'!R255+'08-3'!R255+'09-3'!R255+'10-3'!R255+'11-3'!R255+'12-3'!R255+'13-3'!R255+'14-3'!R255+'15-3'!R255+'16-3'!R255+'17-3'!R255+'18-3'!R255+'19-3'!R255+'21-3'!R255+'22-3'!R255+'24-3'!R255+'25-3'!R255+'28-3'!R255+'29-3'!R255+'30-3'!R255+'32-3'!R255+'35-3'!R255+'37-3'!R255+'47-3'!R255+'62-3'!R255+'64-3'!R255+'74-3'!R255</f>
        <v>0</v>
      </c>
      <c r="S509" s="1324"/>
      <c r="T509" s="1324"/>
      <c r="U509" s="1324"/>
      <c r="V509" s="1324"/>
      <c r="W509" s="1324"/>
    </row>
    <row r="510" spans="1:23" s="29" customFormat="1" ht="12" hidden="1">
      <c r="A510" s="141" t="s">
        <v>198</v>
      </c>
      <c r="B510" s="120" t="s">
        <v>168</v>
      </c>
      <c r="C510" s="106">
        <f>'01-3'!C256+'02-3'!C256+'03-3'!C256+'04-3'!C256+'05-3'!C256+'08-3'!C256+'09-3'!C256+'10-3'!C256+'11-3'!C256+'12-3'!C256+'13-3'!C256+'14-3'!C256+'15-3'!C256+'16-3'!C256+'17-3'!C256+'18-3'!C256+'19-3'!C256+'21-3'!C256+'22-3'!C256+'24-3'!C256+'25-3'!C256+'28-3'!C256+'29-3'!C256+'30-3'!C256+'32-3'!C256+'35-3'!C256+'37-3'!C256+'47-3'!C256+'62-3'!C256+'64-3'!C256+'74-3'!C256</f>
        <v>0</v>
      </c>
      <c r="D510" s="106">
        <f>'01-3'!D256+'02-3'!D256+'03-3'!D256+'04-3'!D256+'05-3'!D256+'08-3'!D256+'09-3'!D256+'10-3'!D256+'11-3'!D256+'12-3'!D256+'13-3'!D256+'14-3'!D256+'15-3'!D256+'16-3'!D256+'17-3'!D256+'18-3'!D256+'19-3'!D256+'21-3'!D256+'22-3'!D256+'24-3'!D256+'25-3'!D256+'28-3'!D256+'29-3'!D256+'30-3'!D256+'32-3'!D256+'35-3'!D256+'37-3'!D256+'47-3'!D256+'62-3'!D256+'64-3'!D256+'74-3'!D256</f>
        <v>0</v>
      </c>
      <c r="E510" s="106">
        <f>'01-3'!E256+'02-3'!E256+'03-3'!E256+'04-3'!E256+'05-3'!E256+'08-3'!E256+'09-3'!E256+'10-3'!E256+'11-3'!E256+'12-3'!E256+'13-3'!E256+'14-3'!E256+'15-3'!E256+'16-3'!E256+'17-3'!E256+'18-3'!E256+'19-3'!E256+'21-3'!E256+'22-3'!E256+'24-3'!E256+'25-3'!E256+'28-3'!E256+'29-3'!E256+'30-3'!E256+'32-3'!E256+'35-3'!E256+'37-3'!E256+'47-3'!E256+'62-3'!E256+'64-3'!E256+'74-3'!E256</f>
        <v>0</v>
      </c>
      <c r="F510" s="106">
        <f>'01-3'!F256+'02-3'!F256+'03-3'!F256+'04-3'!F256+'05-3'!F256+'08-3'!F256+'09-3'!F256+'10-3'!F256+'11-3'!F256+'12-3'!F256+'13-3'!F256+'14-3'!F256+'15-3'!F256+'16-3'!F256+'17-3'!F256+'18-3'!F256+'19-3'!F256+'21-3'!F256+'22-3'!F256+'24-3'!F256+'25-3'!F256+'28-3'!F256+'29-3'!F256+'30-3'!F256+'32-3'!F256+'35-3'!F256+'37-3'!F256+'47-3'!F256+'62-3'!F256+'64-3'!F256+'74-3'!F256</f>
        <v>0</v>
      </c>
      <c r="G510" s="106">
        <f>'01-3'!G256+'02-3'!G256+'03-3'!G256+'04-3'!G256+'05-3'!G256+'08-3'!G256+'09-3'!G256+'10-3'!G256+'11-3'!G256+'12-3'!G256+'13-3'!G256+'14-3'!G256+'15-3'!G256+'16-3'!G256+'17-3'!G256+'18-3'!G256+'19-3'!G256+'21-3'!G256+'22-3'!G256+'24-3'!G256+'25-3'!G256+'28-3'!G256+'29-3'!G256+'30-3'!G256+'32-3'!G256+'35-3'!G256+'37-3'!G256+'47-3'!G256+'62-3'!G256+'64-3'!G256+'74-3'!G256</f>
        <v>0</v>
      </c>
      <c r="H510" s="106">
        <f>'01-3'!H256+'02-3'!H256+'03-3'!H256+'04-3'!H256+'05-3'!H256+'08-3'!H256+'09-3'!H256+'10-3'!H256+'11-3'!H256+'12-3'!H256+'13-3'!H256+'14-3'!H256+'15-3'!H256+'16-3'!H256+'17-3'!H256+'18-3'!H256+'19-3'!H256+'21-3'!H256+'22-3'!H256+'24-3'!H256+'25-3'!H256+'28-3'!H256+'29-3'!H256+'30-3'!H256+'32-3'!H256+'35-3'!H256+'37-3'!H256+'47-3'!H256+'62-3'!H256+'64-3'!H256+'74-3'!H256</f>
        <v>0</v>
      </c>
      <c r="I510" s="106">
        <f>'01-3'!I256+'02-3'!I256+'03-3'!I256+'04-3'!I256+'05-3'!I256+'08-3'!I256+'09-3'!I256+'10-3'!I256+'11-3'!I256+'12-3'!I256+'13-3'!I256+'14-3'!I256+'15-3'!I256+'16-3'!I256+'17-3'!I256+'18-3'!I256+'19-3'!I256+'21-3'!I256+'22-3'!I256+'24-3'!I256+'25-3'!I256+'28-3'!I256+'29-3'!I256+'30-3'!I256+'32-3'!I256+'35-3'!I256+'37-3'!I256+'47-3'!I256+'62-3'!I256+'64-3'!I256+'74-3'!I256</f>
        <v>0</v>
      </c>
      <c r="J510" s="106">
        <f>'01-3'!J256+'02-3'!J256+'03-3'!J256+'04-3'!J256+'05-3'!J256+'08-3'!J256+'09-3'!J256+'10-3'!J256+'11-3'!J256+'12-3'!J256+'13-3'!J256+'14-3'!J256+'15-3'!J256+'16-3'!J256+'17-3'!J256+'18-3'!J256+'19-3'!J256+'21-3'!J256+'22-3'!J256+'24-3'!J256+'25-3'!J256+'28-3'!J256+'29-3'!J256+'30-3'!J256+'32-3'!J256+'35-3'!J256+'37-3'!J256+'47-3'!J256+'62-3'!J256+'64-3'!J256+'74-3'!J256</f>
        <v>0</v>
      </c>
      <c r="K510" s="106">
        <f>'01-3'!K256+'02-3'!K256+'03-3'!K256+'04-3'!K256+'05-3'!K256+'08-3'!K256+'09-3'!K256+'10-3'!K256+'11-3'!K256+'12-3'!K256+'13-3'!K256+'14-3'!K256+'15-3'!K256+'16-3'!K256+'17-3'!K256+'18-3'!K256+'19-3'!K256+'21-3'!K256+'22-3'!K256+'24-3'!K256+'25-3'!K256+'28-3'!K256+'29-3'!K256+'30-3'!K256+'32-3'!K256+'35-3'!K256+'37-3'!K256+'47-3'!K256+'62-3'!K256+'64-3'!K256+'74-3'!K256</f>
        <v>0</v>
      </c>
      <c r="L510" s="106">
        <f>'01-3'!L256+'02-3'!L256+'03-3'!L256+'04-3'!L256+'05-3'!L256+'08-3'!L256+'09-3'!L256+'10-3'!L256+'11-3'!L256+'12-3'!L256+'13-3'!L256+'14-3'!L256+'15-3'!L256+'16-3'!L256+'17-3'!L256+'18-3'!L256+'19-3'!L256+'21-3'!L256+'22-3'!L256+'24-3'!L256+'25-3'!L256+'28-3'!L256+'29-3'!L256+'30-3'!L256+'32-3'!L256+'35-3'!L256+'37-3'!L256+'47-3'!L256+'62-3'!L256+'64-3'!L256+'74-3'!L256</f>
        <v>0</v>
      </c>
      <c r="M510" s="106">
        <f>'01-3'!M256+'02-3'!M256+'03-3'!M256+'04-3'!M256+'05-3'!M256+'08-3'!M256+'09-3'!M256+'10-3'!M256+'11-3'!M256+'12-3'!M256+'13-3'!M256+'14-3'!M256+'15-3'!M256+'16-3'!M256+'17-3'!M256+'18-3'!M256+'19-3'!M256+'21-3'!M256+'22-3'!M256+'24-3'!M256+'25-3'!M256+'28-3'!M256+'29-3'!M256+'30-3'!M256+'32-3'!M256+'35-3'!M256+'37-3'!M256+'47-3'!M256+'62-3'!M256+'64-3'!M256+'74-3'!M256</f>
        <v>0</v>
      </c>
      <c r="N510" s="106">
        <f>'01-3'!N256+'02-3'!N256+'03-3'!N256+'04-3'!N256+'05-3'!N256+'08-3'!N256+'09-3'!N256+'10-3'!N256+'11-3'!N256+'12-3'!N256+'13-3'!N256+'14-3'!N256+'15-3'!N256+'16-3'!N256+'17-3'!N256+'18-3'!N256+'19-3'!N256+'21-3'!N256+'22-3'!N256+'24-3'!N256+'25-3'!N256+'28-3'!N256+'29-3'!N256+'30-3'!N256+'32-3'!N256+'35-3'!N256+'37-3'!N256+'47-3'!N256+'62-3'!N256+'64-3'!N256+'74-3'!N256</f>
        <v>0</v>
      </c>
      <c r="O510" s="106">
        <f>'01-3'!O256+'02-3'!O256+'03-3'!O256+'04-3'!O256+'05-3'!O256+'08-3'!O256+'09-3'!O256+'10-3'!O256+'11-3'!O256+'12-3'!O256+'13-3'!O256+'14-3'!O256+'15-3'!O256+'16-3'!O256+'17-3'!O256+'18-3'!O256+'19-3'!O256+'21-3'!O256+'22-3'!O256+'24-3'!O256+'25-3'!O256+'28-3'!O256+'29-3'!O256+'30-3'!O256+'32-3'!O256+'35-3'!O256+'37-3'!O256+'47-3'!O256+'62-3'!O256+'64-3'!O256+'74-3'!O256</f>
        <v>0</v>
      </c>
      <c r="P510" s="106">
        <f>'01-3'!P256+'02-3'!P256+'03-3'!P256+'04-3'!P256+'05-3'!P256+'08-3'!P256+'09-3'!P256+'10-3'!P256+'11-3'!P256+'12-3'!P256+'13-3'!P256+'14-3'!P256+'15-3'!P256+'16-3'!P256+'17-3'!P256+'18-3'!P256+'19-3'!P256+'21-3'!P256+'22-3'!P256+'24-3'!P256+'25-3'!P256+'28-3'!P256+'29-3'!P256+'30-3'!P256+'32-3'!P256+'35-3'!P256+'37-3'!P256+'47-3'!P256+'62-3'!P256+'64-3'!P256+'74-3'!P256</f>
        <v>0</v>
      </c>
      <c r="Q510" s="106">
        <f>'01-3'!Q256+'02-3'!Q256+'03-3'!Q256+'04-3'!Q256+'05-3'!Q256+'08-3'!Q256+'09-3'!Q256+'10-3'!Q256+'11-3'!Q256+'12-3'!Q256+'13-3'!Q256+'14-3'!Q256+'15-3'!Q256+'16-3'!Q256+'17-3'!Q256+'18-3'!Q256+'19-3'!Q256+'21-3'!Q256+'22-3'!Q256+'24-3'!Q256+'25-3'!Q256+'28-3'!Q256+'29-3'!Q256+'30-3'!Q256+'32-3'!Q256+'35-3'!Q256+'37-3'!Q256+'47-3'!Q256+'62-3'!Q256+'64-3'!Q256+'74-3'!Q256</f>
        <v>0</v>
      </c>
      <c r="R510" s="106">
        <f>'01-3'!R256+'02-3'!R256+'03-3'!R256+'04-3'!R256+'05-3'!R256+'08-3'!R256+'09-3'!R256+'10-3'!R256+'11-3'!R256+'12-3'!R256+'13-3'!R256+'14-3'!R256+'15-3'!R256+'16-3'!R256+'17-3'!R256+'18-3'!R256+'19-3'!R256+'21-3'!R256+'22-3'!R256+'24-3'!R256+'25-3'!R256+'28-3'!R256+'29-3'!R256+'30-3'!R256+'32-3'!R256+'35-3'!R256+'37-3'!R256+'47-3'!R256+'62-3'!R256+'64-3'!R256+'74-3'!R256</f>
        <v>0</v>
      </c>
      <c r="S510" s="1324"/>
      <c r="T510" s="1324"/>
      <c r="U510" s="1324"/>
      <c r="V510" s="1324"/>
      <c r="W510" s="1324"/>
    </row>
    <row r="511" spans="1:23" s="29" customFormat="1" ht="12">
      <c r="A511" s="144" t="s">
        <v>62</v>
      </c>
      <c r="B511" s="101" t="s">
        <v>63</v>
      </c>
      <c r="C511" s="106">
        <f>'01-3'!C257+'02-3'!C257+'03-3'!C257+'04-3'!C257+'05-3'!C257+'08-3'!C257+'09-3'!C257+'10-3'!C257+'11-3'!C257+'12-3'!C257+'13-3'!C257+'14-3'!C257+'15-3'!C257+'16-3'!C257+'17-3'!C257+'18-3'!C257+'19-3'!C257+'21-3'!C257+'22-3'!C257+'24-3'!C257+'25-3'!C257+'28-3'!C257+'29-3'!C257+'30-3'!C257+'32-3'!C257+'35-3'!C257+'37-3'!C257+'47-3'!C257+'62-3'!C257+'64-3'!C257+'74-3'!C257</f>
        <v>12090104</v>
      </c>
      <c r="D511" s="106">
        <f>'01-3'!D257+'02-3'!D257+'03-3'!D257+'04-3'!D257+'05-3'!D257+'08-3'!D257+'09-3'!D257+'10-3'!D257+'11-3'!D257+'12-3'!D257+'13-3'!D257+'14-3'!D257+'15-3'!D257+'16-3'!D257+'17-3'!D257+'18-3'!D257+'19-3'!D257+'21-3'!D257+'22-3'!D257+'24-3'!D257+'25-3'!D257+'28-3'!D257+'29-3'!D257+'30-3'!D257+'32-3'!D257+'35-3'!D257+'37-3'!D257+'47-3'!D257+'62-3'!D257+'64-3'!D257+'74-3'!D257</f>
        <v>2216500</v>
      </c>
      <c r="E511" s="106">
        <f>'01-3'!E257+'02-3'!E257+'03-3'!E257+'04-3'!E257+'05-3'!E257+'08-3'!E257+'09-3'!E257+'10-3'!E257+'11-3'!E257+'12-3'!E257+'13-3'!E257+'14-3'!E257+'15-3'!E257+'16-3'!E257+'17-3'!E257+'18-3'!E257+'19-3'!E257+'21-3'!E257+'22-3'!E257+'24-3'!E257+'25-3'!E257+'28-3'!E257+'29-3'!E257+'30-3'!E257+'32-3'!E257+'35-3'!E257+'37-3'!E257+'47-3'!E257+'62-3'!E257+'64-3'!E257+'74-3'!E257</f>
        <v>0</v>
      </c>
      <c r="F511" s="106">
        <f>'01-3'!F257+'02-3'!F257+'03-3'!F257+'04-3'!F257+'05-3'!F257+'08-3'!F257+'09-3'!F257+'10-3'!F257+'11-3'!F257+'12-3'!F257+'13-3'!F257+'14-3'!F257+'15-3'!F257+'16-3'!F257+'17-3'!F257+'18-3'!F257+'19-3'!F257+'21-3'!F257+'22-3'!F257+'24-3'!F257+'25-3'!F257+'28-3'!F257+'29-3'!F257+'30-3'!F257+'32-3'!F257+'35-3'!F257+'37-3'!F257+'47-3'!F257+'62-3'!F257+'64-3'!F257+'74-3'!F257</f>
        <v>0</v>
      </c>
      <c r="G511" s="106">
        <f>'01-3'!G257+'02-3'!G257+'03-3'!G257+'04-3'!G257+'05-3'!G257+'08-3'!G257+'09-3'!G257+'10-3'!G257+'11-3'!G257+'12-3'!G257+'13-3'!G257+'14-3'!G257+'15-3'!G257+'16-3'!G257+'17-3'!G257+'18-3'!G257+'19-3'!G257+'21-3'!G257+'22-3'!G257+'24-3'!G257+'25-3'!G257+'28-3'!G257+'29-3'!G257+'30-3'!G257+'32-3'!G257+'35-3'!G257+'37-3'!G257+'47-3'!G257+'62-3'!G257+'64-3'!G257+'74-3'!G257</f>
        <v>0</v>
      </c>
      <c r="H511" s="106">
        <f>'01-3'!H257+'02-3'!H257+'03-3'!H257+'04-3'!H257+'05-3'!H257+'08-3'!H257+'09-3'!H257+'10-3'!H257+'11-3'!H257+'12-3'!H257+'13-3'!H257+'14-3'!H257+'15-3'!H257+'16-3'!H257+'17-3'!H257+'18-3'!H257+'19-3'!H257+'21-3'!H257+'22-3'!H257+'24-3'!H257+'25-3'!H257+'28-3'!H257+'29-3'!H257+'30-3'!H257+'32-3'!H257+'35-3'!H257+'37-3'!H257+'47-3'!H257+'62-3'!H257+'64-3'!H257+'74-3'!H257</f>
        <v>2216500</v>
      </c>
      <c r="I511" s="106">
        <f>'01-3'!I257+'02-3'!I257+'03-3'!I257+'04-3'!I257+'05-3'!I257+'08-3'!I257+'09-3'!I257+'10-3'!I257+'11-3'!I257+'12-3'!I257+'13-3'!I257+'14-3'!I257+'15-3'!I257+'16-3'!I257+'17-3'!I257+'18-3'!I257+'19-3'!I257+'21-3'!I257+'22-3'!I257+'24-3'!I257+'25-3'!I257+'28-3'!I257+'29-3'!I257+'30-3'!I257+'32-3'!I257+'35-3'!I257+'37-3'!I257+'47-3'!I257+'62-3'!I257+'64-3'!I257+'74-3'!I257</f>
        <v>5500</v>
      </c>
      <c r="J511" s="106">
        <f>'01-3'!J257+'02-3'!J257+'03-3'!J257+'04-3'!J257+'05-3'!J257+'08-3'!J257+'09-3'!J257+'10-3'!J257+'11-3'!J257+'12-3'!J257+'13-3'!J257+'14-3'!J257+'15-3'!J257+'16-3'!J257+'17-3'!J257+'18-3'!J257+'19-3'!J257+'21-3'!J257+'22-3'!J257+'24-3'!J257+'25-3'!J257+'28-3'!J257+'29-3'!J257+'30-3'!J257+'32-3'!J257+'35-3'!J257+'37-3'!J257+'47-3'!J257+'62-3'!J257+'64-3'!J257+'74-3'!J257</f>
        <v>0</v>
      </c>
      <c r="K511" s="106">
        <f>'01-3'!K257+'02-3'!K257+'03-3'!K257+'04-3'!K257+'05-3'!K257+'08-3'!K257+'09-3'!K257+'10-3'!K257+'11-3'!K257+'12-3'!K257+'13-3'!K257+'14-3'!K257+'15-3'!K257+'16-3'!K257+'17-3'!K257+'18-3'!K257+'19-3'!K257+'21-3'!K257+'22-3'!K257+'24-3'!K257+'25-3'!K257+'28-3'!K257+'29-3'!K257+'30-3'!K257+'32-3'!K257+'35-3'!K257+'37-3'!K257+'47-3'!K257+'62-3'!K257+'64-3'!K257+'74-3'!K257</f>
        <v>0</v>
      </c>
      <c r="L511" s="106">
        <f>'01-3'!L257+'02-3'!L257+'03-3'!L257+'04-3'!L257+'05-3'!L257+'08-3'!L257+'09-3'!L257+'10-3'!L257+'11-3'!L257+'12-3'!L257+'13-3'!L257+'14-3'!L257+'15-3'!L257+'16-3'!L257+'17-3'!L257+'18-3'!L257+'19-3'!L257+'21-3'!L257+'22-3'!L257+'24-3'!L257+'25-3'!L257+'28-3'!L257+'29-3'!L257+'30-3'!L257+'32-3'!L257+'35-3'!L257+'37-3'!L257+'47-3'!L257+'62-3'!L257+'64-3'!L257+'74-3'!L257</f>
        <v>0</v>
      </c>
      <c r="M511" s="106">
        <f>'01-3'!M257+'02-3'!M257+'03-3'!M257+'04-3'!M257+'05-3'!M257+'08-3'!M257+'09-3'!M257+'10-3'!M257+'11-3'!M257+'12-3'!M257+'13-3'!M257+'14-3'!M257+'15-3'!M257+'16-3'!M257+'17-3'!M257+'18-3'!M257+'19-3'!M257+'21-3'!M257+'22-3'!M257+'24-3'!M257+'25-3'!M257+'28-3'!M257+'29-3'!M257+'30-3'!M257+'32-3'!M257+'35-3'!M257+'37-3'!M257+'47-3'!M257+'62-3'!M257+'64-3'!M257+'74-3'!M257</f>
        <v>5500</v>
      </c>
      <c r="N511" s="106">
        <f>'01-3'!N257+'02-3'!N257+'03-3'!N257+'04-3'!N257+'05-3'!N257+'08-3'!N257+'09-3'!N257+'10-3'!N257+'11-3'!N257+'12-3'!N257+'13-3'!N257+'14-3'!N257+'15-3'!N257+'16-3'!N257+'17-3'!N257+'18-3'!N257+'19-3'!N257+'21-3'!N257+'22-3'!N257+'24-3'!N257+'25-3'!N257+'28-3'!N257+'29-3'!N257+'30-3'!N257+'32-3'!N257+'35-3'!N257+'37-3'!N257+'47-3'!N257+'62-3'!N257+'64-3'!N257+'74-3'!N257</f>
        <v>0</v>
      </c>
      <c r="O511" s="106">
        <f>'01-3'!O257+'02-3'!O257+'03-3'!O257+'04-3'!O257+'05-3'!O257+'08-3'!O257+'09-3'!O257+'10-3'!O257+'11-3'!O257+'12-3'!O257+'13-3'!O257+'14-3'!O257+'15-3'!O257+'16-3'!O257+'17-3'!O257+'18-3'!O257+'19-3'!O257+'21-3'!O257+'22-3'!O257+'24-3'!O257+'25-3'!O257+'28-3'!O257+'29-3'!O257+'30-3'!O257+'32-3'!O257+'35-3'!O257+'37-3'!O257+'47-3'!O257+'62-3'!O257+'64-3'!O257+'74-3'!O257</f>
        <v>0</v>
      </c>
      <c r="P511" s="106">
        <f>'01-3'!P257+'02-3'!P257+'03-3'!P257+'04-3'!P257+'05-3'!P257+'08-3'!P257+'09-3'!P257+'10-3'!P257+'11-3'!P257+'12-3'!P257+'13-3'!P257+'14-3'!P257+'15-3'!P257+'16-3'!P257+'17-3'!P257+'18-3'!P257+'19-3'!P257+'21-3'!P257+'22-3'!P257+'24-3'!P257+'25-3'!P257+'28-3'!P257+'29-3'!P257+'30-3'!P257+'32-3'!P257+'35-3'!P257+'37-3'!P257+'47-3'!P257+'62-3'!P257+'64-3'!P257+'74-3'!P257</f>
        <v>0</v>
      </c>
      <c r="Q511" s="106">
        <f>'01-3'!Q257+'02-3'!Q257+'03-3'!Q257+'04-3'!Q257+'05-3'!Q257+'08-3'!Q257+'09-3'!Q257+'10-3'!Q257+'11-3'!Q257+'12-3'!Q257+'13-3'!Q257+'14-3'!Q257+'15-3'!Q257+'16-3'!Q257+'17-3'!Q257+'18-3'!Q257+'19-3'!Q257+'21-3'!Q257+'22-3'!Q257+'24-3'!Q257+'25-3'!Q257+'28-3'!Q257+'29-3'!Q257+'30-3'!Q257+'32-3'!Q257+'35-3'!Q257+'37-3'!Q257+'47-3'!Q257+'62-3'!Q257+'64-3'!Q257+'74-3'!Q257</f>
        <v>0</v>
      </c>
      <c r="R511" s="106">
        <f>'01-3'!R257+'02-3'!R257+'03-3'!R257+'04-3'!R257+'05-3'!R257+'08-3'!R257+'09-3'!R257+'10-3'!R257+'11-3'!R257+'12-3'!R257+'13-3'!R257+'14-3'!R257+'15-3'!R257+'16-3'!R257+'17-3'!R257+'18-3'!R257+'19-3'!R257+'21-3'!R257+'22-3'!R257+'24-3'!R257+'25-3'!R257+'28-3'!R257+'29-3'!R257+'30-3'!R257+'32-3'!R257+'35-3'!R257+'37-3'!R257+'47-3'!R257+'62-3'!R257+'64-3'!R257+'74-3'!R257</f>
        <v>0</v>
      </c>
      <c r="S511" s="1324"/>
      <c r="T511" s="1324"/>
      <c r="U511" s="1324"/>
      <c r="V511" s="1324"/>
      <c r="W511" s="1324"/>
    </row>
    <row r="512" spans="1:23" s="29" customFormat="1" ht="36" hidden="1">
      <c r="A512" s="144" t="s">
        <v>64</v>
      </c>
      <c r="B512" s="112" t="s">
        <v>65</v>
      </c>
      <c r="C512" s="106">
        <f>'01-3'!C258+'02-3'!C258+'03-3'!C258+'04-3'!C258+'05-3'!C258+'08-3'!C258+'09-3'!C258+'10-3'!C258+'11-3'!C258+'12-3'!C258+'13-3'!C258+'14-3'!C258+'15-3'!C258+'16-3'!C258+'17-3'!C258+'18-3'!C258+'19-3'!C258+'21-3'!C258+'22-3'!C258+'24-3'!C258+'25-3'!C258+'28-3'!C258+'29-3'!C258+'30-3'!C258+'32-3'!C258+'35-3'!C258+'37-3'!C258+'47-3'!C258+'62-3'!C258+'64-3'!C258+'74-3'!C258</f>
        <v>0</v>
      </c>
      <c r="D512" s="106">
        <f>'01-3'!D258+'02-3'!D258+'03-3'!D258+'04-3'!D258+'05-3'!D258+'08-3'!D258+'09-3'!D258+'10-3'!D258+'11-3'!D258+'12-3'!D258+'13-3'!D258+'14-3'!D258+'15-3'!D258+'16-3'!D258+'17-3'!D258+'18-3'!D258+'19-3'!D258+'21-3'!D258+'22-3'!D258+'24-3'!D258+'25-3'!D258+'28-3'!D258+'29-3'!D258+'30-3'!D258+'32-3'!D258+'35-3'!D258+'37-3'!D258+'47-3'!D258+'62-3'!D258+'64-3'!D258+'74-3'!D258</f>
        <v>0</v>
      </c>
      <c r="E512" s="106">
        <f>'01-3'!E258+'02-3'!E258+'03-3'!E258+'04-3'!E258+'05-3'!E258+'08-3'!E258+'09-3'!E258+'10-3'!E258+'11-3'!E258+'12-3'!E258+'13-3'!E258+'14-3'!E258+'15-3'!E258+'16-3'!E258+'17-3'!E258+'18-3'!E258+'19-3'!E258+'21-3'!E258+'22-3'!E258+'24-3'!E258+'25-3'!E258+'28-3'!E258+'29-3'!E258+'30-3'!E258+'32-3'!E258+'35-3'!E258+'37-3'!E258+'47-3'!E258+'62-3'!E258+'64-3'!E258+'74-3'!E258</f>
        <v>0</v>
      </c>
      <c r="F512" s="106">
        <f>'01-3'!F258+'02-3'!F258+'03-3'!F258+'04-3'!F258+'05-3'!F258+'08-3'!F258+'09-3'!F258+'10-3'!F258+'11-3'!F258+'12-3'!F258+'13-3'!F258+'14-3'!F258+'15-3'!F258+'16-3'!F258+'17-3'!F258+'18-3'!F258+'19-3'!F258+'21-3'!F258+'22-3'!F258+'24-3'!F258+'25-3'!F258+'28-3'!F258+'29-3'!F258+'30-3'!F258+'32-3'!F258+'35-3'!F258+'37-3'!F258+'47-3'!F258+'62-3'!F258+'64-3'!F258+'74-3'!F258</f>
        <v>0</v>
      </c>
      <c r="G512" s="106">
        <f>'01-3'!G258+'02-3'!G258+'03-3'!G258+'04-3'!G258+'05-3'!G258+'08-3'!G258+'09-3'!G258+'10-3'!G258+'11-3'!G258+'12-3'!G258+'13-3'!G258+'14-3'!G258+'15-3'!G258+'16-3'!G258+'17-3'!G258+'18-3'!G258+'19-3'!G258+'21-3'!G258+'22-3'!G258+'24-3'!G258+'25-3'!G258+'28-3'!G258+'29-3'!G258+'30-3'!G258+'32-3'!G258+'35-3'!G258+'37-3'!G258+'47-3'!G258+'62-3'!G258+'64-3'!G258+'74-3'!G258</f>
        <v>0</v>
      </c>
      <c r="H512" s="106">
        <f>'01-3'!H258+'02-3'!H258+'03-3'!H258+'04-3'!H258+'05-3'!H258+'08-3'!H258+'09-3'!H258+'10-3'!H258+'11-3'!H258+'12-3'!H258+'13-3'!H258+'14-3'!H258+'15-3'!H258+'16-3'!H258+'17-3'!H258+'18-3'!H258+'19-3'!H258+'21-3'!H258+'22-3'!H258+'24-3'!H258+'25-3'!H258+'28-3'!H258+'29-3'!H258+'30-3'!H258+'32-3'!H258+'35-3'!H258+'37-3'!H258+'47-3'!H258+'62-3'!H258+'64-3'!H258+'74-3'!H258</f>
        <v>0</v>
      </c>
      <c r="I512" s="106">
        <f>'01-3'!I258+'02-3'!I258+'03-3'!I258+'04-3'!I258+'05-3'!I258+'08-3'!I258+'09-3'!I258+'10-3'!I258+'11-3'!I258+'12-3'!I258+'13-3'!I258+'14-3'!I258+'15-3'!I258+'16-3'!I258+'17-3'!I258+'18-3'!I258+'19-3'!I258+'21-3'!I258+'22-3'!I258+'24-3'!I258+'25-3'!I258+'28-3'!I258+'29-3'!I258+'30-3'!I258+'32-3'!I258+'35-3'!I258+'37-3'!I258+'47-3'!I258+'62-3'!I258+'64-3'!I258+'74-3'!I258</f>
        <v>0</v>
      </c>
      <c r="J512" s="106">
        <f>'01-3'!J258+'02-3'!J258+'03-3'!J258+'04-3'!J258+'05-3'!J258+'08-3'!J258+'09-3'!J258+'10-3'!J258+'11-3'!J258+'12-3'!J258+'13-3'!J258+'14-3'!J258+'15-3'!J258+'16-3'!J258+'17-3'!J258+'18-3'!J258+'19-3'!J258+'21-3'!J258+'22-3'!J258+'24-3'!J258+'25-3'!J258+'28-3'!J258+'29-3'!J258+'30-3'!J258+'32-3'!J258+'35-3'!J258+'37-3'!J258+'47-3'!J258+'62-3'!J258+'64-3'!J258+'74-3'!J258</f>
        <v>0</v>
      </c>
      <c r="K512" s="106">
        <f>'01-3'!K258+'02-3'!K258+'03-3'!K258+'04-3'!K258+'05-3'!K258+'08-3'!K258+'09-3'!K258+'10-3'!K258+'11-3'!K258+'12-3'!K258+'13-3'!K258+'14-3'!K258+'15-3'!K258+'16-3'!K258+'17-3'!K258+'18-3'!K258+'19-3'!K258+'21-3'!K258+'22-3'!K258+'24-3'!K258+'25-3'!K258+'28-3'!K258+'29-3'!K258+'30-3'!K258+'32-3'!K258+'35-3'!K258+'37-3'!K258+'47-3'!K258+'62-3'!K258+'64-3'!K258+'74-3'!K258</f>
        <v>0</v>
      </c>
      <c r="L512" s="106">
        <f>'01-3'!L258+'02-3'!L258+'03-3'!L258+'04-3'!L258+'05-3'!L258+'08-3'!L258+'09-3'!L258+'10-3'!L258+'11-3'!L258+'12-3'!L258+'13-3'!L258+'14-3'!L258+'15-3'!L258+'16-3'!L258+'17-3'!L258+'18-3'!L258+'19-3'!L258+'21-3'!L258+'22-3'!L258+'24-3'!L258+'25-3'!L258+'28-3'!L258+'29-3'!L258+'30-3'!L258+'32-3'!L258+'35-3'!L258+'37-3'!L258+'47-3'!L258+'62-3'!L258+'64-3'!L258+'74-3'!L258</f>
        <v>0</v>
      </c>
      <c r="M512" s="106">
        <f>'01-3'!M258+'02-3'!M258+'03-3'!M258+'04-3'!M258+'05-3'!M258+'08-3'!M258+'09-3'!M258+'10-3'!M258+'11-3'!M258+'12-3'!M258+'13-3'!M258+'14-3'!M258+'15-3'!M258+'16-3'!M258+'17-3'!M258+'18-3'!M258+'19-3'!M258+'21-3'!M258+'22-3'!M258+'24-3'!M258+'25-3'!M258+'28-3'!M258+'29-3'!M258+'30-3'!M258+'32-3'!M258+'35-3'!M258+'37-3'!M258+'47-3'!M258+'62-3'!M258+'64-3'!M258+'74-3'!M258</f>
        <v>0</v>
      </c>
      <c r="N512" s="106">
        <f>'01-3'!N258+'02-3'!N258+'03-3'!N258+'04-3'!N258+'05-3'!N258+'08-3'!N258+'09-3'!N258+'10-3'!N258+'11-3'!N258+'12-3'!N258+'13-3'!N258+'14-3'!N258+'15-3'!N258+'16-3'!N258+'17-3'!N258+'18-3'!N258+'19-3'!N258+'21-3'!N258+'22-3'!N258+'24-3'!N258+'25-3'!N258+'28-3'!N258+'29-3'!N258+'30-3'!N258+'32-3'!N258+'35-3'!N258+'37-3'!N258+'47-3'!N258+'62-3'!N258+'64-3'!N258+'74-3'!N258</f>
        <v>0</v>
      </c>
      <c r="O512" s="106">
        <f>'01-3'!O258+'02-3'!O258+'03-3'!O258+'04-3'!O258+'05-3'!O258+'08-3'!O258+'09-3'!O258+'10-3'!O258+'11-3'!O258+'12-3'!O258+'13-3'!O258+'14-3'!O258+'15-3'!O258+'16-3'!O258+'17-3'!O258+'18-3'!O258+'19-3'!O258+'21-3'!O258+'22-3'!O258+'24-3'!O258+'25-3'!O258+'28-3'!O258+'29-3'!O258+'30-3'!O258+'32-3'!O258+'35-3'!O258+'37-3'!O258+'47-3'!O258+'62-3'!O258+'64-3'!O258+'74-3'!O258</f>
        <v>0</v>
      </c>
      <c r="P512" s="106">
        <f>'01-3'!P258+'02-3'!P258+'03-3'!P258+'04-3'!P258+'05-3'!P258+'08-3'!P258+'09-3'!P258+'10-3'!P258+'11-3'!P258+'12-3'!P258+'13-3'!P258+'14-3'!P258+'15-3'!P258+'16-3'!P258+'17-3'!P258+'18-3'!P258+'19-3'!P258+'21-3'!P258+'22-3'!P258+'24-3'!P258+'25-3'!P258+'28-3'!P258+'29-3'!P258+'30-3'!P258+'32-3'!P258+'35-3'!P258+'37-3'!P258+'47-3'!P258+'62-3'!P258+'64-3'!P258+'74-3'!P258</f>
        <v>0</v>
      </c>
      <c r="Q512" s="106">
        <f>'01-3'!Q258+'02-3'!Q258+'03-3'!Q258+'04-3'!Q258+'05-3'!Q258+'08-3'!Q258+'09-3'!Q258+'10-3'!Q258+'11-3'!Q258+'12-3'!Q258+'13-3'!Q258+'14-3'!Q258+'15-3'!Q258+'16-3'!Q258+'17-3'!Q258+'18-3'!Q258+'19-3'!Q258+'21-3'!Q258+'22-3'!Q258+'24-3'!Q258+'25-3'!Q258+'28-3'!Q258+'29-3'!Q258+'30-3'!Q258+'32-3'!Q258+'35-3'!Q258+'37-3'!Q258+'47-3'!Q258+'62-3'!Q258+'64-3'!Q258+'74-3'!Q258</f>
        <v>0</v>
      </c>
      <c r="R512" s="106">
        <f>'01-3'!R258+'02-3'!R258+'03-3'!R258+'04-3'!R258+'05-3'!R258+'08-3'!R258+'09-3'!R258+'10-3'!R258+'11-3'!R258+'12-3'!R258+'13-3'!R258+'14-3'!R258+'15-3'!R258+'16-3'!R258+'17-3'!R258+'18-3'!R258+'19-3'!R258+'21-3'!R258+'22-3'!R258+'24-3'!R258+'25-3'!R258+'28-3'!R258+'29-3'!R258+'30-3'!R258+'32-3'!R258+'35-3'!R258+'37-3'!R258+'47-3'!R258+'62-3'!R258+'64-3'!R258+'74-3'!R258</f>
        <v>0</v>
      </c>
      <c r="S512" s="1324"/>
      <c r="T512" s="1324"/>
      <c r="U512" s="1324"/>
      <c r="V512" s="1324"/>
      <c r="W512" s="1324"/>
    </row>
    <row r="513" spans="1:23" s="29" customFormat="1" ht="24">
      <c r="A513" s="144" t="s">
        <v>66</v>
      </c>
      <c r="B513" s="112" t="s">
        <v>67</v>
      </c>
      <c r="C513" s="106">
        <f>'01-3'!C259+'02-3'!C259+'03-3'!C259+'04-3'!C259+'05-3'!C259+'08-3'!C259+'09-3'!C259+'10-3'!C259+'11-3'!C259+'12-3'!C259+'13-3'!C259+'14-3'!C259+'15-3'!C259+'16-3'!C259+'17-3'!C259+'18-3'!C259+'19-3'!C259+'21-3'!C259+'22-3'!C259+'24-3'!C259+'25-3'!C259+'28-3'!C259+'29-3'!C259+'30-3'!C259+'32-3'!C259+'35-3'!C259+'37-3'!C259+'47-3'!C259+'62-3'!C259+'64-3'!C259+'74-3'!C259</f>
        <v>12090104</v>
      </c>
      <c r="D513" s="106">
        <f>'01-3'!D259+'02-3'!D259+'03-3'!D259+'04-3'!D259+'05-3'!D259+'08-3'!D259+'09-3'!D259+'10-3'!D259+'11-3'!D259+'12-3'!D259+'13-3'!D259+'14-3'!D259+'15-3'!D259+'16-3'!D259+'17-3'!D259+'18-3'!D259+'19-3'!D259+'21-3'!D259+'22-3'!D259+'24-3'!D259+'25-3'!D259+'28-3'!D259+'29-3'!D259+'30-3'!D259+'32-3'!D259+'35-3'!D259+'37-3'!D259+'47-3'!D259+'62-3'!D259+'64-3'!D259+'74-3'!D259</f>
        <v>2216500</v>
      </c>
      <c r="E513" s="106">
        <f>'01-3'!E259+'02-3'!E259+'03-3'!E259+'04-3'!E259+'05-3'!E259+'08-3'!E259+'09-3'!E259+'10-3'!E259+'11-3'!E259+'12-3'!E259+'13-3'!E259+'14-3'!E259+'15-3'!E259+'16-3'!E259+'17-3'!E259+'18-3'!E259+'19-3'!E259+'21-3'!E259+'22-3'!E259+'24-3'!E259+'25-3'!E259+'28-3'!E259+'29-3'!E259+'30-3'!E259+'32-3'!E259+'35-3'!E259+'37-3'!E259+'47-3'!E259+'62-3'!E259+'64-3'!E259+'74-3'!E259</f>
        <v>0</v>
      </c>
      <c r="F513" s="106">
        <f>'01-3'!F259+'02-3'!F259+'03-3'!F259+'04-3'!F259+'05-3'!F259+'08-3'!F259+'09-3'!F259+'10-3'!F259+'11-3'!F259+'12-3'!F259+'13-3'!F259+'14-3'!F259+'15-3'!F259+'16-3'!F259+'17-3'!F259+'18-3'!F259+'19-3'!F259+'21-3'!F259+'22-3'!F259+'24-3'!F259+'25-3'!F259+'28-3'!F259+'29-3'!F259+'30-3'!F259+'32-3'!F259+'35-3'!F259+'37-3'!F259+'47-3'!F259+'62-3'!F259+'64-3'!F259+'74-3'!F259</f>
        <v>0</v>
      </c>
      <c r="G513" s="106">
        <f>'01-3'!G259+'02-3'!G259+'03-3'!G259+'04-3'!G259+'05-3'!G259+'08-3'!G259+'09-3'!G259+'10-3'!G259+'11-3'!G259+'12-3'!G259+'13-3'!G259+'14-3'!G259+'15-3'!G259+'16-3'!G259+'17-3'!G259+'18-3'!G259+'19-3'!G259+'21-3'!G259+'22-3'!G259+'24-3'!G259+'25-3'!G259+'28-3'!G259+'29-3'!G259+'30-3'!G259+'32-3'!G259+'35-3'!G259+'37-3'!G259+'47-3'!G259+'62-3'!G259+'64-3'!G259+'74-3'!G259</f>
        <v>0</v>
      </c>
      <c r="H513" s="106">
        <f>'01-3'!H259+'02-3'!H259+'03-3'!H259+'04-3'!H259+'05-3'!H259+'08-3'!H259+'09-3'!H259+'10-3'!H259+'11-3'!H259+'12-3'!H259+'13-3'!H259+'14-3'!H259+'15-3'!H259+'16-3'!H259+'17-3'!H259+'18-3'!H259+'19-3'!H259+'21-3'!H259+'22-3'!H259+'24-3'!H259+'25-3'!H259+'28-3'!H259+'29-3'!H259+'30-3'!H259+'32-3'!H259+'35-3'!H259+'37-3'!H259+'47-3'!H259+'62-3'!H259+'64-3'!H259+'74-3'!H259</f>
        <v>2216500</v>
      </c>
      <c r="I513" s="106">
        <f>'01-3'!I259+'02-3'!I259+'03-3'!I259+'04-3'!I259+'05-3'!I259+'08-3'!I259+'09-3'!I259+'10-3'!I259+'11-3'!I259+'12-3'!I259+'13-3'!I259+'14-3'!I259+'15-3'!I259+'16-3'!I259+'17-3'!I259+'18-3'!I259+'19-3'!I259+'21-3'!I259+'22-3'!I259+'24-3'!I259+'25-3'!I259+'28-3'!I259+'29-3'!I259+'30-3'!I259+'32-3'!I259+'35-3'!I259+'37-3'!I259+'47-3'!I259+'62-3'!I259+'64-3'!I259+'74-3'!I259</f>
        <v>5500</v>
      </c>
      <c r="J513" s="106">
        <f>'01-3'!J259+'02-3'!J259+'03-3'!J259+'04-3'!J259+'05-3'!J259+'08-3'!J259+'09-3'!J259+'10-3'!J259+'11-3'!J259+'12-3'!J259+'13-3'!J259+'14-3'!J259+'15-3'!J259+'16-3'!J259+'17-3'!J259+'18-3'!J259+'19-3'!J259+'21-3'!J259+'22-3'!J259+'24-3'!J259+'25-3'!J259+'28-3'!J259+'29-3'!J259+'30-3'!J259+'32-3'!J259+'35-3'!J259+'37-3'!J259+'47-3'!J259+'62-3'!J259+'64-3'!J259+'74-3'!J259</f>
        <v>0</v>
      </c>
      <c r="K513" s="106">
        <f>'01-3'!K259+'02-3'!K259+'03-3'!K259+'04-3'!K259+'05-3'!K259+'08-3'!K259+'09-3'!K259+'10-3'!K259+'11-3'!K259+'12-3'!K259+'13-3'!K259+'14-3'!K259+'15-3'!K259+'16-3'!K259+'17-3'!K259+'18-3'!K259+'19-3'!K259+'21-3'!K259+'22-3'!K259+'24-3'!K259+'25-3'!K259+'28-3'!K259+'29-3'!K259+'30-3'!K259+'32-3'!K259+'35-3'!K259+'37-3'!K259+'47-3'!K259+'62-3'!K259+'64-3'!K259+'74-3'!K259</f>
        <v>0</v>
      </c>
      <c r="L513" s="106">
        <f>'01-3'!L259+'02-3'!L259+'03-3'!L259+'04-3'!L259+'05-3'!L259+'08-3'!L259+'09-3'!L259+'10-3'!L259+'11-3'!L259+'12-3'!L259+'13-3'!L259+'14-3'!L259+'15-3'!L259+'16-3'!L259+'17-3'!L259+'18-3'!L259+'19-3'!L259+'21-3'!L259+'22-3'!L259+'24-3'!L259+'25-3'!L259+'28-3'!L259+'29-3'!L259+'30-3'!L259+'32-3'!L259+'35-3'!L259+'37-3'!L259+'47-3'!L259+'62-3'!L259+'64-3'!L259+'74-3'!L259</f>
        <v>0</v>
      </c>
      <c r="M513" s="106">
        <f>'01-3'!M259+'02-3'!M259+'03-3'!M259+'04-3'!M259+'05-3'!M259+'08-3'!M259+'09-3'!M259+'10-3'!M259+'11-3'!M259+'12-3'!M259+'13-3'!M259+'14-3'!M259+'15-3'!M259+'16-3'!M259+'17-3'!M259+'18-3'!M259+'19-3'!M259+'21-3'!M259+'22-3'!M259+'24-3'!M259+'25-3'!M259+'28-3'!M259+'29-3'!M259+'30-3'!M259+'32-3'!M259+'35-3'!M259+'37-3'!M259+'47-3'!M259+'62-3'!M259+'64-3'!M259+'74-3'!M259</f>
        <v>5500</v>
      </c>
      <c r="N513" s="106">
        <f>'01-3'!N259+'02-3'!N259+'03-3'!N259+'04-3'!N259+'05-3'!N259+'08-3'!N259+'09-3'!N259+'10-3'!N259+'11-3'!N259+'12-3'!N259+'13-3'!N259+'14-3'!N259+'15-3'!N259+'16-3'!N259+'17-3'!N259+'18-3'!N259+'19-3'!N259+'21-3'!N259+'22-3'!N259+'24-3'!N259+'25-3'!N259+'28-3'!N259+'29-3'!N259+'30-3'!N259+'32-3'!N259+'35-3'!N259+'37-3'!N259+'47-3'!N259+'62-3'!N259+'64-3'!N259+'74-3'!N259</f>
        <v>0</v>
      </c>
      <c r="O513" s="106">
        <f>'01-3'!O259+'02-3'!O259+'03-3'!O259+'04-3'!O259+'05-3'!O259+'08-3'!O259+'09-3'!O259+'10-3'!O259+'11-3'!O259+'12-3'!O259+'13-3'!O259+'14-3'!O259+'15-3'!O259+'16-3'!O259+'17-3'!O259+'18-3'!O259+'19-3'!O259+'21-3'!O259+'22-3'!O259+'24-3'!O259+'25-3'!O259+'28-3'!O259+'29-3'!O259+'30-3'!O259+'32-3'!O259+'35-3'!O259+'37-3'!O259+'47-3'!O259+'62-3'!O259+'64-3'!O259+'74-3'!O259</f>
        <v>0</v>
      </c>
      <c r="P513" s="106">
        <f>'01-3'!P259+'02-3'!P259+'03-3'!P259+'04-3'!P259+'05-3'!P259+'08-3'!P259+'09-3'!P259+'10-3'!P259+'11-3'!P259+'12-3'!P259+'13-3'!P259+'14-3'!P259+'15-3'!P259+'16-3'!P259+'17-3'!P259+'18-3'!P259+'19-3'!P259+'21-3'!P259+'22-3'!P259+'24-3'!P259+'25-3'!P259+'28-3'!P259+'29-3'!P259+'30-3'!P259+'32-3'!P259+'35-3'!P259+'37-3'!P259+'47-3'!P259+'62-3'!P259+'64-3'!P259+'74-3'!P259</f>
        <v>0</v>
      </c>
      <c r="Q513" s="106">
        <f>'01-3'!Q259+'02-3'!Q259+'03-3'!Q259+'04-3'!Q259+'05-3'!Q259+'08-3'!Q259+'09-3'!Q259+'10-3'!Q259+'11-3'!Q259+'12-3'!Q259+'13-3'!Q259+'14-3'!Q259+'15-3'!Q259+'16-3'!Q259+'17-3'!Q259+'18-3'!Q259+'19-3'!Q259+'21-3'!Q259+'22-3'!Q259+'24-3'!Q259+'25-3'!Q259+'28-3'!Q259+'29-3'!Q259+'30-3'!Q259+'32-3'!Q259+'35-3'!Q259+'37-3'!Q259+'47-3'!Q259+'62-3'!Q259+'64-3'!Q259+'74-3'!Q259</f>
        <v>0</v>
      </c>
      <c r="R513" s="106">
        <f>'01-3'!R259+'02-3'!R259+'03-3'!R259+'04-3'!R259+'05-3'!R259+'08-3'!R259+'09-3'!R259+'10-3'!R259+'11-3'!R259+'12-3'!R259+'13-3'!R259+'14-3'!R259+'15-3'!R259+'16-3'!R259+'17-3'!R259+'18-3'!R259+'19-3'!R259+'21-3'!R259+'22-3'!R259+'24-3'!R259+'25-3'!R259+'28-3'!R259+'29-3'!R259+'30-3'!R259+'32-3'!R259+'35-3'!R259+'37-3'!R259+'47-3'!R259+'62-3'!R259+'64-3'!R259+'74-3'!R259</f>
        <v>0</v>
      </c>
      <c r="S513" s="1324"/>
      <c r="T513" s="1324"/>
      <c r="U513" s="1324"/>
      <c r="V513" s="1324"/>
      <c r="W513" s="1324"/>
    </row>
    <row r="514" spans="1:23" s="29" customFormat="1" ht="24" hidden="1">
      <c r="A514" s="144" t="s">
        <v>68</v>
      </c>
      <c r="B514" s="101" t="s">
        <v>69</v>
      </c>
      <c r="C514" s="106">
        <f>'01-3'!C260+'02-3'!C260+'03-3'!C260+'04-3'!C260+'05-3'!C260+'08-3'!C260+'09-3'!C260+'10-3'!C260+'11-3'!C260+'12-3'!C260+'13-3'!C260+'14-3'!C260+'15-3'!C260+'16-3'!C260+'17-3'!C260+'18-3'!C260+'19-3'!C260+'21-3'!C260+'22-3'!C260+'24-3'!C260+'25-3'!C260+'28-3'!C260+'29-3'!C260+'30-3'!C260+'32-3'!C260+'35-3'!C260+'37-3'!C260+'47-3'!C260+'62-3'!C260+'64-3'!C260+'74-3'!C260</f>
        <v>0</v>
      </c>
      <c r="D514" s="106">
        <f>'01-3'!D260+'02-3'!D260+'03-3'!D260+'04-3'!D260+'05-3'!D260+'08-3'!D260+'09-3'!D260+'10-3'!D260+'11-3'!D260+'12-3'!D260+'13-3'!D260+'14-3'!D260+'15-3'!D260+'16-3'!D260+'17-3'!D260+'18-3'!D260+'19-3'!D260+'21-3'!D260+'22-3'!D260+'24-3'!D260+'25-3'!D260+'28-3'!D260+'29-3'!D260+'30-3'!D260+'32-3'!D260+'35-3'!D260+'37-3'!D260+'47-3'!D260+'62-3'!D260+'64-3'!D260+'74-3'!D260</f>
        <v>0</v>
      </c>
      <c r="E514" s="106">
        <f>'01-3'!E260+'02-3'!E260+'03-3'!E260+'04-3'!E260+'05-3'!E260+'08-3'!E260+'09-3'!E260+'10-3'!E260+'11-3'!E260+'12-3'!E260+'13-3'!E260+'14-3'!E260+'15-3'!E260+'16-3'!E260+'17-3'!E260+'18-3'!E260+'19-3'!E260+'21-3'!E260+'22-3'!E260+'24-3'!E260+'25-3'!E260+'28-3'!E260+'29-3'!E260+'30-3'!E260+'32-3'!E260+'35-3'!E260+'37-3'!E260+'47-3'!E260+'62-3'!E260+'64-3'!E260+'74-3'!E260</f>
        <v>0</v>
      </c>
      <c r="F514" s="106">
        <f>'01-3'!F260+'02-3'!F260+'03-3'!F260+'04-3'!F260+'05-3'!F260+'08-3'!F260+'09-3'!F260+'10-3'!F260+'11-3'!F260+'12-3'!F260+'13-3'!F260+'14-3'!F260+'15-3'!F260+'16-3'!F260+'17-3'!F260+'18-3'!F260+'19-3'!F260+'21-3'!F260+'22-3'!F260+'24-3'!F260+'25-3'!F260+'28-3'!F260+'29-3'!F260+'30-3'!F260+'32-3'!F260+'35-3'!F260+'37-3'!F260+'47-3'!F260+'62-3'!F260+'64-3'!F260+'74-3'!F260</f>
        <v>0</v>
      </c>
      <c r="G514" s="106">
        <f>'01-3'!G260+'02-3'!G260+'03-3'!G260+'04-3'!G260+'05-3'!G260+'08-3'!G260+'09-3'!G260+'10-3'!G260+'11-3'!G260+'12-3'!G260+'13-3'!G260+'14-3'!G260+'15-3'!G260+'16-3'!G260+'17-3'!G260+'18-3'!G260+'19-3'!G260+'21-3'!G260+'22-3'!G260+'24-3'!G260+'25-3'!G260+'28-3'!G260+'29-3'!G260+'30-3'!G260+'32-3'!G260+'35-3'!G260+'37-3'!G260+'47-3'!G260+'62-3'!G260+'64-3'!G260+'74-3'!G260</f>
        <v>0</v>
      </c>
      <c r="H514" s="106">
        <f>'01-3'!H260+'02-3'!H260+'03-3'!H260+'04-3'!H260+'05-3'!H260+'08-3'!H260+'09-3'!H260+'10-3'!H260+'11-3'!H260+'12-3'!H260+'13-3'!H260+'14-3'!H260+'15-3'!H260+'16-3'!H260+'17-3'!H260+'18-3'!H260+'19-3'!H260+'21-3'!H260+'22-3'!H260+'24-3'!H260+'25-3'!H260+'28-3'!H260+'29-3'!H260+'30-3'!H260+'32-3'!H260+'35-3'!H260+'37-3'!H260+'47-3'!H260+'62-3'!H260+'64-3'!H260+'74-3'!H260</f>
        <v>0</v>
      </c>
      <c r="I514" s="106">
        <f>'01-3'!I260+'02-3'!I260+'03-3'!I260+'04-3'!I260+'05-3'!I260+'08-3'!I260+'09-3'!I260+'10-3'!I260+'11-3'!I260+'12-3'!I260+'13-3'!I260+'14-3'!I260+'15-3'!I260+'16-3'!I260+'17-3'!I260+'18-3'!I260+'19-3'!I260+'21-3'!I260+'22-3'!I260+'24-3'!I260+'25-3'!I260+'28-3'!I260+'29-3'!I260+'30-3'!I260+'32-3'!I260+'35-3'!I260+'37-3'!I260+'47-3'!I260+'62-3'!I260+'64-3'!I260+'74-3'!I260</f>
        <v>0</v>
      </c>
      <c r="J514" s="106">
        <f>'01-3'!J260+'02-3'!J260+'03-3'!J260+'04-3'!J260+'05-3'!J260+'08-3'!J260+'09-3'!J260+'10-3'!J260+'11-3'!J260+'12-3'!J260+'13-3'!J260+'14-3'!J260+'15-3'!J260+'16-3'!J260+'17-3'!J260+'18-3'!J260+'19-3'!J260+'21-3'!J260+'22-3'!J260+'24-3'!J260+'25-3'!J260+'28-3'!J260+'29-3'!J260+'30-3'!J260+'32-3'!J260+'35-3'!J260+'37-3'!J260+'47-3'!J260+'62-3'!J260+'64-3'!J260+'74-3'!J260</f>
        <v>0</v>
      </c>
      <c r="K514" s="106">
        <f>'01-3'!K260+'02-3'!K260+'03-3'!K260+'04-3'!K260+'05-3'!K260+'08-3'!K260+'09-3'!K260+'10-3'!K260+'11-3'!K260+'12-3'!K260+'13-3'!K260+'14-3'!K260+'15-3'!K260+'16-3'!K260+'17-3'!K260+'18-3'!K260+'19-3'!K260+'21-3'!K260+'22-3'!K260+'24-3'!K260+'25-3'!K260+'28-3'!K260+'29-3'!K260+'30-3'!K260+'32-3'!K260+'35-3'!K260+'37-3'!K260+'47-3'!K260+'62-3'!K260+'64-3'!K260+'74-3'!K260</f>
        <v>0</v>
      </c>
      <c r="L514" s="106">
        <f>'01-3'!L260+'02-3'!L260+'03-3'!L260+'04-3'!L260+'05-3'!L260+'08-3'!L260+'09-3'!L260+'10-3'!L260+'11-3'!L260+'12-3'!L260+'13-3'!L260+'14-3'!L260+'15-3'!L260+'16-3'!L260+'17-3'!L260+'18-3'!L260+'19-3'!L260+'21-3'!L260+'22-3'!L260+'24-3'!L260+'25-3'!L260+'28-3'!L260+'29-3'!L260+'30-3'!L260+'32-3'!L260+'35-3'!L260+'37-3'!L260+'47-3'!L260+'62-3'!L260+'64-3'!L260+'74-3'!L260</f>
        <v>0</v>
      </c>
      <c r="M514" s="106">
        <f>'01-3'!M260+'02-3'!M260+'03-3'!M260+'04-3'!M260+'05-3'!M260+'08-3'!M260+'09-3'!M260+'10-3'!M260+'11-3'!M260+'12-3'!M260+'13-3'!M260+'14-3'!M260+'15-3'!M260+'16-3'!M260+'17-3'!M260+'18-3'!M260+'19-3'!M260+'21-3'!M260+'22-3'!M260+'24-3'!M260+'25-3'!M260+'28-3'!M260+'29-3'!M260+'30-3'!M260+'32-3'!M260+'35-3'!M260+'37-3'!M260+'47-3'!M260+'62-3'!M260+'64-3'!M260+'74-3'!M260</f>
        <v>0</v>
      </c>
      <c r="N514" s="106">
        <f>'01-3'!N260+'02-3'!N260+'03-3'!N260+'04-3'!N260+'05-3'!N260+'08-3'!N260+'09-3'!N260+'10-3'!N260+'11-3'!N260+'12-3'!N260+'13-3'!N260+'14-3'!N260+'15-3'!N260+'16-3'!N260+'17-3'!N260+'18-3'!N260+'19-3'!N260+'21-3'!N260+'22-3'!N260+'24-3'!N260+'25-3'!N260+'28-3'!N260+'29-3'!N260+'30-3'!N260+'32-3'!N260+'35-3'!N260+'37-3'!N260+'47-3'!N260+'62-3'!N260+'64-3'!N260+'74-3'!N260</f>
        <v>0</v>
      </c>
      <c r="O514" s="106">
        <f>'01-3'!O260+'02-3'!O260+'03-3'!O260+'04-3'!O260+'05-3'!O260+'08-3'!O260+'09-3'!O260+'10-3'!O260+'11-3'!O260+'12-3'!O260+'13-3'!O260+'14-3'!O260+'15-3'!O260+'16-3'!O260+'17-3'!O260+'18-3'!O260+'19-3'!O260+'21-3'!O260+'22-3'!O260+'24-3'!O260+'25-3'!O260+'28-3'!O260+'29-3'!O260+'30-3'!O260+'32-3'!O260+'35-3'!O260+'37-3'!O260+'47-3'!O260+'62-3'!O260+'64-3'!O260+'74-3'!O260</f>
        <v>0</v>
      </c>
      <c r="P514" s="106">
        <f>'01-3'!P260+'02-3'!P260+'03-3'!P260+'04-3'!P260+'05-3'!P260+'08-3'!P260+'09-3'!P260+'10-3'!P260+'11-3'!P260+'12-3'!P260+'13-3'!P260+'14-3'!P260+'15-3'!P260+'16-3'!P260+'17-3'!P260+'18-3'!P260+'19-3'!P260+'21-3'!P260+'22-3'!P260+'24-3'!P260+'25-3'!P260+'28-3'!P260+'29-3'!P260+'30-3'!P260+'32-3'!P260+'35-3'!P260+'37-3'!P260+'47-3'!P260+'62-3'!P260+'64-3'!P260+'74-3'!P260</f>
        <v>0</v>
      </c>
      <c r="Q514" s="106">
        <f>'01-3'!Q260+'02-3'!Q260+'03-3'!Q260+'04-3'!Q260+'05-3'!Q260+'08-3'!Q260+'09-3'!Q260+'10-3'!Q260+'11-3'!Q260+'12-3'!Q260+'13-3'!Q260+'14-3'!Q260+'15-3'!Q260+'16-3'!Q260+'17-3'!Q260+'18-3'!Q260+'19-3'!Q260+'21-3'!Q260+'22-3'!Q260+'24-3'!Q260+'25-3'!Q260+'28-3'!Q260+'29-3'!Q260+'30-3'!Q260+'32-3'!Q260+'35-3'!Q260+'37-3'!Q260+'47-3'!Q260+'62-3'!Q260+'64-3'!Q260+'74-3'!Q260</f>
        <v>0</v>
      </c>
      <c r="R514" s="106">
        <f>'01-3'!R260+'02-3'!R260+'03-3'!R260+'04-3'!R260+'05-3'!R260+'08-3'!R260+'09-3'!R260+'10-3'!R260+'11-3'!R260+'12-3'!R260+'13-3'!R260+'14-3'!R260+'15-3'!R260+'16-3'!R260+'17-3'!R260+'18-3'!R260+'19-3'!R260+'21-3'!R260+'22-3'!R260+'24-3'!R260+'25-3'!R260+'28-3'!R260+'29-3'!R260+'30-3'!R260+'32-3'!R260+'35-3'!R260+'37-3'!R260+'47-3'!R260+'62-3'!R260+'64-3'!R260+'74-3'!R260</f>
        <v>0</v>
      </c>
      <c r="S514" s="1324"/>
      <c r="T514" s="1324"/>
      <c r="U514" s="1324"/>
      <c r="V514" s="1324"/>
      <c r="W514" s="1324"/>
    </row>
    <row r="515" spans="1:23" s="29" customFormat="1">
      <c r="A515" s="159"/>
      <c r="B515" s="160"/>
      <c r="C515" s="161"/>
      <c r="D515" s="161"/>
      <c r="E515" s="161"/>
      <c r="F515" s="161"/>
      <c r="G515" s="161"/>
      <c r="H515" s="161"/>
      <c r="I515" s="161"/>
      <c r="J515" s="161"/>
      <c r="K515" s="161"/>
      <c r="L515" s="161"/>
      <c r="M515" s="161"/>
      <c r="N515" s="161"/>
      <c r="O515" s="161"/>
      <c r="P515" s="161"/>
      <c r="Q515" s="161"/>
      <c r="R515" s="161"/>
      <c r="S515" s="1324"/>
      <c r="T515" s="1324"/>
      <c r="U515" s="1324"/>
      <c r="V515" s="1324"/>
      <c r="W515" s="1324"/>
    </row>
    <row r="516" spans="1:23">
      <c r="R516" s="3"/>
    </row>
  </sheetData>
  <mergeCells count="23">
    <mergeCell ref="B2:I2"/>
    <mergeCell ref="B3:I3"/>
    <mergeCell ref="I5:I7"/>
    <mergeCell ref="D5:D7"/>
    <mergeCell ref="E5:G5"/>
    <mergeCell ref="H5:H7"/>
    <mergeCell ref="F6:F7"/>
    <mergeCell ref="J5:L5"/>
    <mergeCell ref="A5:A7"/>
    <mergeCell ref="B5:B7"/>
    <mergeCell ref="C5:C7"/>
    <mergeCell ref="R5:R7"/>
    <mergeCell ref="E6:E7"/>
    <mergeCell ref="G6:G7"/>
    <mergeCell ref="L6:L7"/>
    <mergeCell ref="O6:O7"/>
    <mergeCell ref="Q6:Q7"/>
    <mergeCell ref="M5:M7"/>
    <mergeCell ref="N5:N7"/>
    <mergeCell ref="O5:Q5"/>
    <mergeCell ref="J6:J7"/>
    <mergeCell ref="P6:P7"/>
    <mergeCell ref="K6:K7"/>
  </mergeCells>
  <phoneticPr fontId="4" type="noConversion"/>
  <pageMargins left="0.21" right="0.17" top="0.27559055118110237" bottom="0.31496062992125984" header="0.15748031496062992" footer="0.15748031496062992"/>
  <pageSetup paperSize="9" scale="60" orientation="landscape" r:id="rId1"/>
  <headerFooter alignWithMargins="0">
    <oddFooter>&amp;L&amp;F&amp;C&amp;P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C000"/>
  </sheetPr>
  <dimension ref="A1:R890"/>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C9" sqref="C9"/>
    </sheetView>
  </sheetViews>
  <sheetFormatPr defaultColWidth="9.109375" defaultRowHeight="10.199999999999999"/>
  <cols>
    <col min="1" max="1" width="11.44140625" style="273" bestFit="1" customWidth="1"/>
    <col min="2" max="2" width="40.33203125" style="218" customWidth="1"/>
    <col min="3" max="3" width="13" style="274" customWidth="1"/>
    <col min="4"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1075"/>
      <c r="J2" s="1075"/>
      <c r="K2" s="1075"/>
      <c r="L2" s="1075"/>
      <c r="M2" s="220"/>
      <c r="N2" s="1075"/>
      <c r="O2" s="1075"/>
      <c r="P2" s="1075"/>
      <c r="Q2" s="1075"/>
      <c r="R2" s="220"/>
    </row>
    <row r="3" spans="1:18" s="1" customFormat="1" ht="13.2" customHeight="1">
      <c r="A3" s="221"/>
      <c r="B3" s="1400" t="s">
        <v>489</v>
      </c>
      <c r="C3" s="1400"/>
      <c r="D3" s="1400"/>
      <c r="E3" s="1400"/>
      <c r="F3" s="1400"/>
      <c r="G3" s="1400"/>
      <c r="H3" s="1400"/>
      <c r="I3" s="1076"/>
      <c r="J3" s="1076"/>
      <c r="K3" s="1076"/>
      <c r="L3" s="1076"/>
      <c r="M3" s="220"/>
      <c r="N3" s="1076"/>
      <c r="O3" s="1076"/>
      <c r="P3" s="1076"/>
      <c r="Q3" s="1076"/>
      <c r="R3" s="220"/>
    </row>
    <row r="4" spans="1:18" s="1" customFormat="1" ht="13.2">
      <c r="A4" s="221"/>
      <c r="B4" s="1076"/>
      <c r="C4" s="222"/>
      <c r="D4" s="1076"/>
      <c r="E4" s="1076"/>
      <c r="F4" s="1076"/>
      <c r="G4" s="1076"/>
      <c r="H4" s="1076"/>
      <c r="I4" s="1076"/>
      <c r="J4" s="1076"/>
      <c r="K4" s="1076"/>
      <c r="L4" s="1076"/>
      <c r="M4" s="1076"/>
      <c r="N4" s="1076"/>
      <c r="O4" s="1076"/>
      <c r="P4" s="1076"/>
      <c r="Q4" s="1076"/>
      <c r="R4" s="1076"/>
    </row>
    <row r="5" spans="1:18" s="1" customFormat="1" ht="14.25" customHeight="1">
      <c r="A5" s="1396" t="s">
        <v>213</v>
      </c>
      <c r="B5" s="1357"/>
      <c r="C5" s="1360" t="s">
        <v>202</v>
      </c>
      <c r="D5" s="1363" t="s">
        <v>231</v>
      </c>
      <c r="E5" s="1466" t="s">
        <v>232</v>
      </c>
      <c r="F5" s="1467"/>
      <c r="G5" s="1468"/>
      <c r="H5" s="1354" t="s">
        <v>486</v>
      </c>
      <c r="I5" s="1366" t="s">
        <v>234</v>
      </c>
      <c r="J5" s="1472" t="s">
        <v>232</v>
      </c>
      <c r="K5" s="1473"/>
      <c r="L5" s="1474"/>
      <c r="M5" s="1384" t="s">
        <v>487</v>
      </c>
      <c r="N5" s="1381" t="s">
        <v>235</v>
      </c>
      <c r="O5" s="1469" t="s">
        <v>232</v>
      </c>
      <c r="P5" s="1470"/>
      <c r="Q5" s="1471"/>
      <c r="R5" s="1393" t="s">
        <v>488</v>
      </c>
    </row>
    <row r="6" spans="1:18" s="1" customFormat="1" ht="18" customHeight="1">
      <c r="A6" s="1396"/>
      <c r="B6" s="1358"/>
      <c r="C6" s="1361"/>
      <c r="D6" s="1364"/>
      <c r="E6" s="1363" t="s">
        <v>233</v>
      </c>
      <c r="F6" s="1363" t="s">
        <v>496</v>
      </c>
      <c r="G6" s="1363" t="s">
        <v>485</v>
      </c>
      <c r="H6" s="1355"/>
      <c r="I6" s="1367"/>
      <c r="J6" s="1366" t="s">
        <v>233</v>
      </c>
      <c r="K6" s="1366" t="s">
        <v>496</v>
      </c>
      <c r="L6" s="1366" t="s">
        <v>485</v>
      </c>
      <c r="M6" s="1385"/>
      <c r="N6" s="1382"/>
      <c r="O6" s="1381" t="s">
        <v>233</v>
      </c>
      <c r="P6" s="1381" t="s">
        <v>496</v>
      </c>
      <c r="Q6" s="1381" t="s">
        <v>485</v>
      </c>
      <c r="R6" s="1394"/>
    </row>
    <row r="7" spans="1:18" s="1" customFormat="1" ht="30.6" customHeight="1">
      <c r="A7" s="1396"/>
      <c r="B7" s="1359"/>
      <c r="C7" s="1362"/>
      <c r="D7" s="1365"/>
      <c r="E7" s="1365"/>
      <c r="F7" s="1365"/>
      <c r="G7" s="1365"/>
      <c r="H7" s="1356"/>
      <c r="I7" s="1368"/>
      <c r="J7" s="1368"/>
      <c r="K7" s="1368"/>
      <c r="L7" s="1368"/>
      <c r="M7" s="1386"/>
      <c r="N7" s="1383"/>
      <c r="O7" s="1383"/>
      <c r="P7" s="1383"/>
      <c r="Q7" s="1383"/>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26.4">
      <c r="A9" s="429"/>
      <c r="B9" s="392" t="s">
        <v>147</v>
      </c>
      <c r="C9" s="430"/>
      <c r="D9" s="430"/>
      <c r="E9" s="226"/>
      <c r="F9" s="226">
        <f>F266+F507</f>
        <v>0</v>
      </c>
      <c r="G9" s="226">
        <f>G266+G507</f>
        <v>0</v>
      </c>
      <c r="H9" s="226">
        <f>H266+H507</f>
        <v>0</v>
      </c>
      <c r="I9" s="226">
        <f>I266+I507</f>
        <v>0</v>
      </c>
      <c r="J9" s="226"/>
      <c r="K9" s="226"/>
      <c r="L9" s="226"/>
      <c r="M9" s="226"/>
      <c r="N9" s="226"/>
      <c r="O9" s="226"/>
      <c r="P9" s="226"/>
      <c r="Q9" s="226"/>
      <c r="R9" s="226"/>
    </row>
    <row r="10" spans="1:18" s="4" customFormat="1" ht="20.399999999999999">
      <c r="A10" s="1168" t="s">
        <v>201</v>
      </c>
      <c r="B10" s="1169" t="s">
        <v>88</v>
      </c>
      <c r="C10" s="431">
        <v>197804819</v>
      </c>
      <c r="D10" s="432">
        <v>197368261</v>
      </c>
      <c r="E10" s="228">
        <f>E11+E12+E14+E32</f>
        <v>-2050822</v>
      </c>
      <c r="F10" s="228">
        <f t="shared" ref="F10:G10" si="0">F11+F12+F14+F32</f>
        <v>413639</v>
      </c>
      <c r="G10" s="228">
        <f t="shared" si="0"/>
        <v>2605776</v>
      </c>
      <c r="H10" s="1170">
        <f t="shared" ref="H10:H73" si="1">SUM(D10:G10)</f>
        <v>198336854</v>
      </c>
      <c r="I10" s="228">
        <v>97116008</v>
      </c>
      <c r="J10" s="228">
        <f>J11+J12+J14+J32</f>
        <v>8718026</v>
      </c>
      <c r="K10" s="228">
        <f t="shared" ref="K10:L10" si="2">K11+K12+K14+K32</f>
        <v>131300</v>
      </c>
      <c r="L10" s="228">
        <f t="shared" si="2"/>
        <v>2389926</v>
      </c>
      <c r="M10" s="1170">
        <f t="shared" ref="M10:M73" si="3">SUM(I10:L10)</f>
        <v>108355260</v>
      </c>
      <c r="N10" s="228">
        <v>49942466</v>
      </c>
      <c r="O10" s="228">
        <f>O11+O12+O14+O32</f>
        <v>-313001</v>
      </c>
      <c r="P10" s="228">
        <f>P11+P12+P14+P32</f>
        <v>45327</v>
      </c>
      <c r="Q10" s="228">
        <f t="shared" ref="Q10" si="4">Q11+Q12+Q14+Q32</f>
        <v>2412836</v>
      </c>
      <c r="R10" s="1170">
        <f t="shared" ref="R10:R73" si="5">SUM(N10:Q10)</f>
        <v>52087628</v>
      </c>
    </row>
    <row r="11" spans="1:18" ht="22.8">
      <c r="A11" s="1171" t="s">
        <v>177</v>
      </c>
      <c r="B11" s="1172" t="s">
        <v>90</v>
      </c>
      <c r="C11" s="1173">
        <v>1046750</v>
      </c>
      <c r="D11" s="1174">
        <v>1011750</v>
      </c>
      <c r="E11" s="1175">
        <f>E95</f>
        <v>0</v>
      </c>
      <c r="F11" s="1175"/>
      <c r="G11" s="1175"/>
      <c r="H11" s="1176">
        <f t="shared" si="1"/>
        <v>1011750</v>
      </c>
      <c r="I11" s="1175">
        <v>1011750</v>
      </c>
      <c r="J11" s="1175">
        <f>J95</f>
        <v>0</v>
      </c>
      <c r="K11" s="1175"/>
      <c r="L11" s="1175"/>
      <c r="M11" s="1176">
        <f t="shared" si="3"/>
        <v>1011750</v>
      </c>
      <c r="N11" s="1175">
        <v>1011750</v>
      </c>
      <c r="O11" s="1175">
        <f>O95</f>
        <v>0</v>
      </c>
      <c r="P11" s="1175"/>
      <c r="Q11" s="1175"/>
      <c r="R11" s="1176">
        <f t="shared" si="5"/>
        <v>1011750</v>
      </c>
    </row>
    <row r="12" spans="1:18" ht="12">
      <c r="A12" s="1171" t="s">
        <v>91</v>
      </c>
      <c r="B12" s="1172" t="s">
        <v>92</v>
      </c>
      <c r="C12" s="1173">
        <v>19817411</v>
      </c>
      <c r="D12" s="1174">
        <v>25572295</v>
      </c>
      <c r="E12" s="1175">
        <f>E180</f>
        <v>86382</v>
      </c>
      <c r="F12" s="1175"/>
      <c r="G12" s="1175"/>
      <c r="H12" s="1176">
        <f t="shared" si="1"/>
        <v>25658677</v>
      </c>
      <c r="I12" s="1175">
        <v>11300925</v>
      </c>
      <c r="J12" s="1175">
        <f>J180</f>
        <v>13503</v>
      </c>
      <c r="K12" s="1175"/>
      <c r="L12" s="1175"/>
      <c r="M12" s="1176">
        <f t="shared" si="3"/>
        <v>11314428</v>
      </c>
      <c r="N12" s="1175">
        <v>4082579</v>
      </c>
      <c r="O12" s="1175">
        <f>O180</f>
        <v>0</v>
      </c>
      <c r="P12" s="1175"/>
      <c r="Q12" s="1175"/>
      <c r="R12" s="1176">
        <f t="shared" si="5"/>
        <v>4082579</v>
      </c>
    </row>
    <row r="13" spans="1:18" ht="12" customHeight="1">
      <c r="A13" s="1177">
        <v>21210</v>
      </c>
      <c r="B13" s="1178" t="s">
        <v>93</v>
      </c>
      <c r="C13" s="1173">
        <v>174097</v>
      </c>
      <c r="D13" s="1174">
        <v>259755</v>
      </c>
      <c r="E13" s="1175">
        <f>E181</f>
        <v>86382</v>
      </c>
      <c r="F13" s="1175"/>
      <c r="G13" s="1175"/>
      <c r="H13" s="1176">
        <f t="shared" si="1"/>
        <v>346137</v>
      </c>
      <c r="I13" s="1175">
        <v>116631</v>
      </c>
      <c r="J13" s="1175">
        <f>J181</f>
        <v>13503</v>
      </c>
      <c r="K13" s="1175"/>
      <c r="L13" s="1175"/>
      <c r="M13" s="1176">
        <f t="shared" si="3"/>
        <v>130134</v>
      </c>
      <c r="N13" s="1175">
        <v>0</v>
      </c>
      <c r="O13" s="1175">
        <f>O181</f>
        <v>0</v>
      </c>
      <c r="P13" s="1175"/>
      <c r="Q13" s="1175"/>
      <c r="R13" s="1176">
        <f t="shared" si="5"/>
        <v>0</v>
      </c>
    </row>
    <row r="14" spans="1:18" ht="20.399999999999999">
      <c r="A14" s="1171" t="s">
        <v>178</v>
      </c>
      <c r="B14" s="1172" t="s">
        <v>94</v>
      </c>
      <c r="C14" s="1179">
        <v>147839</v>
      </c>
      <c r="D14" s="1180">
        <v>1225634</v>
      </c>
      <c r="E14" s="1181">
        <f>E15+E21+E26</f>
        <v>849608</v>
      </c>
      <c r="F14" s="1181">
        <f t="shared" ref="F14:G14" si="6">F15+F21</f>
        <v>0</v>
      </c>
      <c r="G14" s="1181">
        <f t="shared" si="6"/>
        <v>0</v>
      </c>
      <c r="H14" s="1176">
        <f t="shared" si="1"/>
        <v>2075242</v>
      </c>
      <c r="I14" s="1181">
        <v>691933</v>
      </c>
      <c r="J14" s="1181">
        <f>J15+J21+J26</f>
        <v>700472</v>
      </c>
      <c r="K14" s="1181">
        <f t="shared" ref="K14:L14" si="7">K15+K21</f>
        <v>0</v>
      </c>
      <c r="L14" s="1181">
        <f t="shared" si="7"/>
        <v>0</v>
      </c>
      <c r="M14" s="1176">
        <f t="shared" si="3"/>
        <v>1392405</v>
      </c>
      <c r="N14" s="1181">
        <v>162453</v>
      </c>
      <c r="O14" s="1181">
        <f>O15+O21+O26</f>
        <v>255589</v>
      </c>
      <c r="P14" s="1181">
        <f t="shared" ref="P14:Q14" si="8">P15+P21</f>
        <v>0</v>
      </c>
      <c r="Q14" s="1181">
        <f t="shared" si="8"/>
        <v>0</v>
      </c>
      <c r="R14" s="1176">
        <f t="shared" si="5"/>
        <v>418042</v>
      </c>
    </row>
    <row r="15" spans="1:18" ht="12">
      <c r="A15" s="1182">
        <v>18000</v>
      </c>
      <c r="B15" s="1178" t="s">
        <v>95</v>
      </c>
      <c r="C15" s="1179">
        <v>33922</v>
      </c>
      <c r="D15" s="1180">
        <v>0</v>
      </c>
      <c r="E15" s="1181">
        <f>E16</f>
        <v>0</v>
      </c>
      <c r="F15" s="1181">
        <f t="shared" ref="F15:L16" si="9">F16</f>
        <v>0</v>
      </c>
      <c r="G15" s="1181">
        <f t="shared" si="9"/>
        <v>0</v>
      </c>
      <c r="H15" s="1176">
        <f t="shared" si="1"/>
        <v>0</v>
      </c>
      <c r="I15" s="1181">
        <v>0</v>
      </c>
      <c r="J15" s="1181">
        <f>J16</f>
        <v>0</v>
      </c>
      <c r="K15" s="1181">
        <f t="shared" si="9"/>
        <v>0</v>
      </c>
      <c r="L15" s="1181">
        <f t="shared" si="9"/>
        <v>0</v>
      </c>
      <c r="M15" s="1176">
        <f t="shared" si="3"/>
        <v>0</v>
      </c>
      <c r="N15" s="1181">
        <v>0</v>
      </c>
      <c r="O15" s="1181">
        <f>O16</f>
        <v>0</v>
      </c>
      <c r="P15" s="1181">
        <f t="shared" ref="P15:Q16" si="10">P16</f>
        <v>0</v>
      </c>
      <c r="Q15" s="1181">
        <f t="shared" si="10"/>
        <v>0</v>
      </c>
      <c r="R15" s="1176">
        <f t="shared" si="5"/>
        <v>0</v>
      </c>
    </row>
    <row r="16" spans="1:18" ht="12">
      <c r="A16" s="1182">
        <v>18100</v>
      </c>
      <c r="B16" s="1178" t="s">
        <v>96</v>
      </c>
      <c r="C16" s="1179">
        <v>33922</v>
      </c>
      <c r="D16" s="1180">
        <v>0</v>
      </c>
      <c r="E16" s="1181">
        <f>E17</f>
        <v>0</v>
      </c>
      <c r="F16" s="1181">
        <f t="shared" si="9"/>
        <v>0</v>
      </c>
      <c r="G16" s="1181">
        <f t="shared" si="9"/>
        <v>0</v>
      </c>
      <c r="H16" s="1176">
        <f t="shared" si="1"/>
        <v>0</v>
      </c>
      <c r="I16" s="1181">
        <v>0</v>
      </c>
      <c r="J16" s="1181">
        <f>J17</f>
        <v>0</v>
      </c>
      <c r="K16" s="1181">
        <f t="shared" si="9"/>
        <v>0</v>
      </c>
      <c r="L16" s="1181">
        <f t="shared" si="9"/>
        <v>0</v>
      </c>
      <c r="M16" s="1176">
        <f t="shared" si="3"/>
        <v>0</v>
      </c>
      <c r="N16" s="1181">
        <v>0</v>
      </c>
      <c r="O16" s="1181">
        <f>O17</f>
        <v>0</v>
      </c>
      <c r="P16" s="1181">
        <f t="shared" si="10"/>
        <v>0</v>
      </c>
      <c r="Q16" s="1181">
        <f t="shared" si="10"/>
        <v>0</v>
      </c>
      <c r="R16" s="1176">
        <f t="shared" si="5"/>
        <v>0</v>
      </c>
    </row>
    <row r="17" spans="1:18" s="4" customFormat="1" ht="24">
      <c r="A17" s="1183">
        <v>18130</v>
      </c>
      <c r="B17" s="1184" t="s">
        <v>159</v>
      </c>
      <c r="C17" s="1179">
        <v>33922</v>
      </c>
      <c r="D17" s="1180">
        <v>0</v>
      </c>
      <c r="E17" s="1181">
        <f>SUM(E18:E20)</f>
        <v>0</v>
      </c>
      <c r="F17" s="1181">
        <f t="shared" ref="F17:G17" si="11">SUM(F18:F20)</f>
        <v>0</v>
      </c>
      <c r="G17" s="1181">
        <f t="shared" si="11"/>
        <v>0</v>
      </c>
      <c r="H17" s="1176">
        <f t="shared" si="1"/>
        <v>0</v>
      </c>
      <c r="I17" s="1181">
        <v>0</v>
      </c>
      <c r="J17" s="1181">
        <f>SUM(J18:J20)</f>
        <v>0</v>
      </c>
      <c r="K17" s="1181">
        <f t="shared" ref="K17:L17" si="12">SUM(K18:K20)</f>
        <v>0</v>
      </c>
      <c r="L17" s="1181">
        <f t="shared" si="12"/>
        <v>0</v>
      </c>
      <c r="M17" s="1176">
        <f t="shared" si="3"/>
        <v>0</v>
      </c>
      <c r="N17" s="1181">
        <v>0</v>
      </c>
      <c r="O17" s="1181">
        <f>SUM(O18:O20)</f>
        <v>0</v>
      </c>
      <c r="P17" s="1181">
        <f t="shared" ref="P17:Q17" si="13">SUM(P18:P20)</f>
        <v>0</v>
      </c>
      <c r="Q17" s="1181">
        <f t="shared" si="13"/>
        <v>0</v>
      </c>
      <c r="R17" s="1176">
        <f t="shared" si="5"/>
        <v>0</v>
      </c>
    </row>
    <row r="18" spans="1:18" s="6" customFormat="1" ht="24">
      <c r="A18" s="1185">
        <v>18131</v>
      </c>
      <c r="B18" s="1184" t="s">
        <v>160</v>
      </c>
      <c r="C18" s="1179">
        <v>33922</v>
      </c>
      <c r="D18" s="1180">
        <v>0</v>
      </c>
      <c r="E18" s="1181"/>
      <c r="F18" s="1181"/>
      <c r="G18" s="1181"/>
      <c r="H18" s="1176">
        <f t="shared" si="1"/>
        <v>0</v>
      </c>
      <c r="I18" s="1181">
        <v>0</v>
      </c>
      <c r="J18" s="1181"/>
      <c r="K18" s="1181"/>
      <c r="L18" s="1181"/>
      <c r="M18" s="1176">
        <f t="shared" si="3"/>
        <v>0</v>
      </c>
      <c r="N18" s="1181">
        <v>0</v>
      </c>
      <c r="O18" s="1181"/>
      <c r="P18" s="1181"/>
      <c r="Q18" s="1181"/>
      <c r="R18" s="1176">
        <f t="shared" si="5"/>
        <v>0</v>
      </c>
    </row>
    <row r="19" spans="1:18" s="6" customFormat="1" ht="24" hidden="1" customHeight="1">
      <c r="A19" s="1185">
        <v>18132</v>
      </c>
      <c r="B19" s="1184" t="s">
        <v>169</v>
      </c>
      <c r="C19" s="1179">
        <v>0</v>
      </c>
      <c r="D19" s="1180">
        <v>0</v>
      </c>
      <c r="E19" s="1181"/>
      <c r="F19" s="1181"/>
      <c r="G19" s="1181"/>
      <c r="H19" s="1176">
        <f t="shared" si="1"/>
        <v>0</v>
      </c>
      <c r="I19" s="1181">
        <v>0</v>
      </c>
      <c r="J19" s="1181"/>
      <c r="K19" s="1181"/>
      <c r="L19" s="1181"/>
      <c r="M19" s="1176">
        <f t="shared" si="3"/>
        <v>0</v>
      </c>
      <c r="N19" s="1181">
        <v>0</v>
      </c>
      <c r="O19" s="1181"/>
      <c r="P19" s="1181"/>
      <c r="Q19" s="1181"/>
      <c r="R19" s="1176">
        <f t="shared" si="5"/>
        <v>0</v>
      </c>
    </row>
    <row r="20" spans="1:18" s="6" customFormat="1" ht="24" hidden="1" customHeight="1">
      <c r="A20" s="1185">
        <v>18139</v>
      </c>
      <c r="B20" s="1184" t="s">
        <v>179</v>
      </c>
      <c r="C20" s="1179">
        <v>0</v>
      </c>
      <c r="D20" s="1180">
        <v>0</v>
      </c>
      <c r="E20" s="1181"/>
      <c r="F20" s="1181"/>
      <c r="G20" s="1181"/>
      <c r="H20" s="1176">
        <f t="shared" si="1"/>
        <v>0</v>
      </c>
      <c r="I20" s="1181">
        <v>0</v>
      </c>
      <c r="J20" s="1181"/>
      <c r="K20" s="1181"/>
      <c r="L20" s="1181"/>
      <c r="M20" s="1176">
        <f t="shared" si="3"/>
        <v>0</v>
      </c>
      <c r="N20" s="1181">
        <v>0</v>
      </c>
      <c r="O20" s="1181"/>
      <c r="P20" s="1181"/>
      <c r="Q20" s="1181"/>
      <c r="R20" s="1176">
        <f t="shared" si="5"/>
        <v>0</v>
      </c>
    </row>
    <row r="21" spans="1:18" s="6" customFormat="1" ht="12">
      <c r="A21" s="1186" t="s">
        <v>180</v>
      </c>
      <c r="B21" s="1187" t="s">
        <v>173</v>
      </c>
      <c r="C21" s="435">
        <v>113917</v>
      </c>
      <c r="D21" s="436">
        <v>342453</v>
      </c>
      <c r="E21" s="238">
        <f>E22</f>
        <v>0</v>
      </c>
      <c r="F21" s="238">
        <f t="shared" ref="F21:L21" si="14">F22</f>
        <v>0</v>
      </c>
      <c r="G21" s="238">
        <f t="shared" si="14"/>
        <v>0</v>
      </c>
      <c r="H21" s="1176">
        <f t="shared" si="1"/>
        <v>342453</v>
      </c>
      <c r="I21" s="238">
        <v>262933</v>
      </c>
      <c r="J21" s="238">
        <f>J22</f>
        <v>0</v>
      </c>
      <c r="K21" s="238">
        <f t="shared" si="14"/>
        <v>0</v>
      </c>
      <c r="L21" s="238">
        <f t="shared" si="14"/>
        <v>0</v>
      </c>
      <c r="M21" s="1176">
        <f t="shared" si="3"/>
        <v>262933</v>
      </c>
      <c r="N21" s="238">
        <v>162453</v>
      </c>
      <c r="O21" s="238">
        <f>O22</f>
        <v>0</v>
      </c>
      <c r="P21" s="238">
        <f t="shared" ref="P21:Q21" si="15">P22</f>
        <v>0</v>
      </c>
      <c r="Q21" s="238">
        <f t="shared" si="15"/>
        <v>0</v>
      </c>
      <c r="R21" s="1176">
        <f t="shared" si="5"/>
        <v>162453</v>
      </c>
    </row>
    <row r="22" spans="1:18" s="6" customFormat="1" ht="12">
      <c r="A22" s="1186">
        <v>19500</v>
      </c>
      <c r="B22" s="1184" t="s">
        <v>174</v>
      </c>
      <c r="C22" s="1179">
        <v>113917</v>
      </c>
      <c r="D22" s="1180">
        <v>342453</v>
      </c>
      <c r="E22" s="1181">
        <f>SUM(E23:E25)</f>
        <v>0</v>
      </c>
      <c r="F22" s="1181">
        <f t="shared" ref="F22:G22" si="16">SUM(F23:F25)</f>
        <v>0</v>
      </c>
      <c r="G22" s="1181">
        <f t="shared" si="16"/>
        <v>0</v>
      </c>
      <c r="H22" s="1176">
        <f t="shared" si="1"/>
        <v>342453</v>
      </c>
      <c r="I22" s="1181">
        <v>262933</v>
      </c>
      <c r="J22" s="1181">
        <f>SUM(J23:J25)</f>
        <v>0</v>
      </c>
      <c r="K22" s="1181">
        <f t="shared" ref="K22:L22" si="17">SUM(K23:K25)</f>
        <v>0</v>
      </c>
      <c r="L22" s="1181">
        <f t="shared" si="17"/>
        <v>0</v>
      </c>
      <c r="M22" s="1176">
        <f t="shared" si="3"/>
        <v>262933</v>
      </c>
      <c r="N22" s="1181">
        <v>162453</v>
      </c>
      <c r="O22" s="1181">
        <f>SUM(O23:O25)</f>
        <v>0</v>
      </c>
      <c r="P22" s="1181">
        <f t="shared" ref="P22:Q22" si="18">SUM(P23:P25)</f>
        <v>0</v>
      </c>
      <c r="Q22" s="1181">
        <f t="shared" si="18"/>
        <v>0</v>
      </c>
      <c r="R22" s="1176">
        <f t="shared" si="5"/>
        <v>162453</v>
      </c>
    </row>
    <row r="23" spans="1:18" s="6" customFormat="1" ht="24">
      <c r="A23" s="1188">
        <v>19550</v>
      </c>
      <c r="B23" s="1184" t="s">
        <v>175</v>
      </c>
      <c r="C23" s="1179">
        <v>113917</v>
      </c>
      <c r="D23" s="1180">
        <v>342453</v>
      </c>
      <c r="E23" s="1181">
        <f>E191</f>
        <v>0</v>
      </c>
      <c r="F23" s="1181"/>
      <c r="G23" s="1181"/>
      <c r="H23" s="1176">
        <f t="shared" si="1"/>
        <v>342453</v>
      </c>
      <c r="I23" s="1181">
        <v>262933</v>
      </c>
      <c r="J23" s="1181">
        <f>J191</f>
        <v>0</v>
      </c>
      <c r="K23" s="1181"/>
      <c r="L23" s="1181"/>
      <c r="M23" s="1176">
        <f t="shared" si="3"/>
        <v>262933</v>
      </c>
      <c r="N23" s="1181">
        <v>162453</v>
      </c>
      <c r="O23" s="1181">
        <f>O191</f>
        <v>0</v>
      </c>
      <c r="P23" s="1181"/>
      <c r="Q23" s="1181"/>
      <c r="R23" s="1176">
        <f t="shared" si="5"/>
        <v>162453</v>
      </c>
    </row>
    <row r="24" spans="1:18" s="6" customFormat="1" ht="36" hidden="1" customHeight="1">
      <c r="A24" s="1188">
        <v>19560</v>
      </c>
      <c r="B24" s="1184" t="s">
        <v>181</v>
      </c>
      <c r="C24" s="1179">
        <v>0</v>
      </c>
      <c r="D24" s="1180">
        <v>0</v>
      </c>
      <c r="E24" s="1181"/>
      <c r="F24" s="1181"/>
      <c r="G24" s="1181"/>
      <c r="H24" s="1176">
        <f t="shared" si="1"/>
        <v>0</v>
      </c>
      <c r="I24" s="1181">
        <v>0</v>
      </c>
      <c r="J24" s="1181"/>
      <c r="K24" s="1181"/>
      <c r="L24" s="1181"/>
      <c r="M24" s="1176">
        <f t="shared" si="3"/>
        <v>0</v>
      </c>
      <c r="N24" s="1181">
        <v>0</v>
      </c>
      <c r="O24" s="1181"/>
      <c r="P24" s="1181"/>
      <c r="Q24" s="1181"/>
      <c r="R24" s="1176">
        <f t="shared" si="5"/>
        <v>0</v>
      </c>
    </row>
    <row r="25" spans="1:18" s="6" customFormat="1" ht="72" hidden="1" customHeight="1">
      <c r="A25" s="1188">
        <v>19570</v>
      </c>
      <c r="B25" s="1184" t="s">
        <v>182</v>
      </c>
      <c r="C25" s="1179">
        <v>0</v>
      </c>
      <c r="D25" s="1180">
        <v>0</v>
      </c>
      <c r="E25" s="1181"/>
      <c r="F25" s="1181"/>
      <c r="G25" s="1181"/>
      <c r="H25" s="1176">
        <f t="shared" si="1"/>
        <v>0</v>
      </c>
      <c r="I25" s="1181">
        <v>0</v>
      </c>
      <c r="J25" s="1181"/>
      <c r="K25" s="1181"/>
      <c r="L25" s="1181"/>
      <c r="M25" s="1176">
        <f t="shared" si="3"/>
        <v>0</v>
      </c>
      <c r="N25" s="1181">
        <v>0</v>
      </c>
      <c r="O25" s="1181"/>
      <c r="P25" s="1181"/>
      <c r="Q25" s="1181"/>
      <c r="R25" s="1176">
        <f t="shared" si="5"/>
        <v>0</v>
      </c>
    </row>
    <row r="26" spans="1:18" s="6" customFormat="1" ht="24">
      <c r="A26" s="1189" t="s">
        <v>222</v>
      </c>
      <c r="B26" s="1190" t="s">
        <v>216</v>
      </c>
      <c r="C26" s="1176">
        <f>C27</f>
        <v>0</v>
      </c>
      <c r="D26" s="1176">
        <v>883181</v>
      </c>
      <c r="E26" s="1176">
        <f t="shared" ref="E26:L26" si="19">E27</f>
        <v>849608</v>
      </c>
      <c r="F26" s="1176">
        <f t="shared" si="19"/>
        <v>0</v>
      </c>
      <c r="G26" s="1176">
        <f t="shared" si="19"/>
        <v>0</v>
      </c>
      <c r="H26" s="1176">
        <f t="shared" si="1"/>
        <v>1732789</v>
      </c>
      <c r="I26" s="1181">
        <v>429000</v>
      </c>
      <c r="J26" s="1176">
        <f t="shared" si="19"/>
        <v>700472</v>
      </c>
      <c r="K26" s="1176">
        <f t="shared" si="19"/>
        <v>0</v>
      </c>
      <c r="L26" s="1176">
        <f t="shared" si="19"/>
        <v>0</v>
      </c>
      <c r="M26" s="1176">
        <f t="shared" si="3"/>
        <v>1129472</v>
      </c>
      <c r="N26" s="1181">
        <v>0</v>
      </c>
      <c r="O26" s="1176">
        <f t="shared" ref="O26:Q26" si="20">O27</f>
        <v>255589</v>
      </c>
      <c r="P26" s="1176">
        <f t="shared" si="20"/>
        <v>0</v>
      </c>
      <c r="Q26" s="1176">
        <f t="shared" si="20"/>
        <v>0</v>
      </c>
      <c r="R26" s="1176">
        <f t="shared" si="5"/>
        <v>255589</v>
      </c>
    </row>
    <row r="27" spans="1:18" s="6" customFormat="1" ht="36">
      <c r="A27" s="1189">
        <v>17100</v>
      </c>
      <c r="B27" s="1190" t="s">
        <v>217</v>
      </c>
      <c r="C27" s="1176">
        <f>SUM(C28:C31)</f>
        <v>0</v>
      </c>
      <c r="D27" s="1176">
        <v>883181</v>
      </c>
      <c r="E27" s="1176">
        <f t="shared" ref="E27:G27" si="21">SUM(E28:E31)</f>
        <v>849608</v>
      </c>
      <c r="F27" s="1176">
        <f t="shared" si="21"/>
        <v>0</v>
      </c>
      <c r="G27" s="1176">
        <f t="shared" si="21"/>
        <v>0</v>
      </c>
      <c r="H27" s="1176">
        <f t="shared" si="1"/>
        <v>1732789</v>
      </c>
      <c r="I27" s="1181">
        <v>429000</v>
      </c>
      <c r="J27" s="1176">
        <f t="shared" ref="J27:L27" si="22">SUM(J28:J31)</f>
        <v>700472</v>
      </c>
      <c r="K27" s="1176">
        <f t="shared" si="22"/>
        <v>0</v>
      </c>
      <c r="L27" s="1176">
        <f t="shared" si="22"/>
        <v>0</v>
      </c>
      <c r="M27" s="1176">
        <f t="shared" si="3"/>
        <v>1129472</v>
      </c>
      <c r="N27" s="1181">
        <v>0</v>
      </c>
      <c r="O27" s="1176">
        <f t="shared" ref="O27:Q27" si="23">SUM(O28:O31)</f>
        <v>255589</v>
      </c>
      <c r="P27" s="1176">
        <f t="shared" si="23"/>
        <v>0</v>
      </c>
      <c r="Q27" s="1176">
        <f t="shared" si="23"/>
        <v>0</v>
      </c>
      <c r="R27" s="1176">
        <f t="shared" si="5"/>
        <v>255589</v>
      </c>
    </row>
    <row r="28" spans="1:18" s="6" customFormat="1" ht="48" customHeight="1">
      <c r="A28" s="1191">
        <v>17110</v>
      </c>
      <c r="B28" s="1190" t="s">
        <v>218</v>
      </c>
      <c r="C28" s="1176"/>
      <c r="D28" s="1181">
        <v>883181</v>
      </c>
      <c r="E28" s="1181">
        <f>E196</f>
        <v>849608</v>
      </c>
      <c r="F28" s="1181"/>
      <c r="G28" s="1181"/>
      <c r="H28" s="1176">
        <f t="shared" si="1"/>
        <v>1732789</v>
      </c>
      <c r="I28" s="1181">
        <v>429000</v>
      </c>
      <c r="J28" s="1181">
        <f>J196</f>
        <v>700472</v>
      </c>
      <c r="K28" s="1181"/>
      <c r="L28" s="1181"/>
      <c r="M28" s="1176">
        <f t="shared" si="3"/>
        <v>1129472</v>
      </c>
      <c r="N28" s="1181">
        <v>0</v>
      </c>
      <c r="O28" s="1181">
        <f>O196</f>
        <v>255589</v>
      </c>
      <c r="P28" s="1181"/>
      <c r="Q28" s="1181"/>
      <c r="R28" s="1176">
        <f t="shared" si="5"/>
        <v>255589</v>
      </c>
    </row>
    <row r="29" spans="1:18" s="6" customFormat="1" ht="60" hidden="1" customHeight="1">
      <c r="A29" s="1191">
        <v>17120</v>
      </c>
      <c r="B29" s="1190" t="s">
        <v>219</v>
      </c>
      <c r="C29" s="1176"/>
      <c r="D29" s="1181">
        <v>0</v>
      </c>
      <c r="E29" s="1181"/>
      <c r="F29" s="1181"/>
      <c r="G29" s="1181"/>
      <c r="H29" s="1176">
        <f t="shared" si="1"/>
        <v>0</v>
      </c>
      <c r="I29" s="1181">
        <v>0</v>
      </c>
      <c r="J29" s="1181"/>
      <c r="K29" s="1181"/>
      <c r="L29" s="1181"/>
      <c r="M29" s="1176">
        <f t="shared" si="3"/>
        <v>0</v>
      </c>
      <c r="N29" s="1181">
        <v>0</v>
      </c>
      <c r="O29" s="1181"/>
      <c r="P29" s="1181"/>
      <c r="Q29" s="1181"/>
      <c r="R29" s="1176">
        <f t="shared" si="5"/>
        <v>0</v>
      </c>
    </row>
    <row r="30" spans="1:18" s="6" customFormat="1" ht="108" hidden="1" customHeight="1">
      <c r="A30" s="1191">
        <v>17130</v>
      </c>
      <c r="B30" s="1190" t="s">
        <v>220</v>
      </c>
      <c r="C30" s="1176"/>
      <c r="D30" s="1181">
        <v>0</v>
      </c>
      <c r="E30" s="1181"/>
      <c r="F30" s="1181"/>
      <c r="G30" s="1181"/>
      <c r="H30" s="1176">
        <f t="shared" si="1"/>
        <v>0</v>
      </c>
      <c r="I30" s="1181">
        <v>0</v>
      </c>
      <c r="J30" s="1181"/>
      <c r="K30" s="1181"/>
      <c r="L30" s="1181"/>
      <c r="M30" s="1176">
        <f t="shared" si="3"/>
        <v>0</v>
      </c>
      <c r="N30" s="1181">
        <v>0</v>
      </c>
      <c r="O30" s="1181"/>
      <c r="P30" s="1181"/>
      <c r="Q30" s="1181"/>
      <c r="R30" s="1176">
        <f t="shared" si="5"/>
        <v>0</v>
      </c>
    </row>
    <row r="31" spans="1:18" s="6" customFormat="1" ht="96" hidden="1" customHeight="1">
      <c r="A31" s="1191">
        <v>17140</v>
      </c>
      <c r="B31" s="1190" t="s">
        <v>221</v>
      </c>
      <c r="C31" s="1176"/>
      <c r="D31" s="1181">
        <v>0</v>
      </c>
      <c r="E31" s="1181"/>
      <c r="F31" s="1181"/>
      <c r="G31" s="1181"/>
      <c r="H31" s="1176">
        <f t="shared" si="1"/>
        <v>0</v>
      </c>
      <c r="I31" s="1181">
        <v>0</v>
      </c>
      <c r="J31" s="1181"/>
      <c r="K31" s="1181"/>
      <c r="L31" s="1181"/>
      <c r="M31" s="1176">
        <f t="shared" si="3"/>
        <v>0</v>
      </c>
      <c r="N31" s="1181">
        <v>0</v>
      </c>
      <c r="O31" s="1181"/>
      <c r="P31" s="1181"/>
      <c r="Q31" s="1181"/>
      <c r="R31" s="1176">
        <f t="shared" si="5"/>
        <v>0</v>
      </c>
    </row>
    <row r="32" spans="1:18" s="6" customFormat="1" ht="12">
      <c r="A32" s="1192">
        <v>21700</v>
      </c>
      <c r="B32" s="1172" t="s">
        <v>97</v>
      </c>
      <c r="C32" s="1179">
        <v>176792819</v>
      </c>
      <c r="D32" s="1180">
        <v>169558582</v>
      </c>
      <c r="E32" s="1181">
        <f>E33+E34</f>
        <v>-2986812</v>
      </c>
      <c r="F32" s="1181">
        <f t="shared" ref="F32:G32" si="24">F33+F34</f>
        <v>413639</v>
      </c>
      <c r="G32" s="1181">
        <f t="shared" si="24"/>
        <v>2605776</v>
      </c>
      <c r="H32" s="1176">
        <f t="shared" si="1"/>
        <v>169591185</v>
      </c>
      <c r="I32" s="1181">
        <v>84111400</v>
      </c>
      <c r="J32" s="1181">
        <f>J33+J34</f>
        <v>8004051</v>
      </c>
      <c r="K32" s="1181">
        <f t="shared" ref="K32:L32" si="25">K33+K34</f>
        <v>131300</v>
      </c>
      <c r="L32" s="1181">
        <f t="shared" si="25"/>
        <v>2389926</v>
      </c>
      <c r="M32" s="1176">
        <f t="shared" si="3"/>
        <v>94636677</v>
      </c>
      <c r="N32" s="1181">
        <v>44685684</v>
      </c>
      <c r="O32" s="1181">
        <f>O33+O34</f>
        <v>-568590</v>
      </c>
      <c r="P32" s="1181">
        <f t="shared" ref="P32:Q32" si="26">P33+P34</f>
        <v>45327</v>
      </c>
      <c r="Q32" s="1181">
        <f t="shared" si="26"/>
        <v>2412836</v>
      </c>
      <c r="R32" s="1176">
        <f t="shared" si="5"/>
        <v>46575257</v>
      </c>
    </row>
    <row r="33" spans="1:18" s="6" customFormat="1" ht="24">
      <c r="A33" s="1193">
        <v>21710</v>
      </c>
      <c r="B33" s="1178" t="s">
        <v>98</v>
      </c>
      <c r="C33" s="1179">
        <v>167134467</v>
      </c>
      <c r="D33" s="1180">
        <v>162477493</v>
      </c>
      <c r="E33" s="1181">
        <f>E117+E201</f>
        <v>-2986812</v>
      </c>
      <c r="F33" s="1181">
        <f>F117+F201</f>
        <v>413639</v>
      </c>
      <c r="G33" s="1181">
        <f>G117+G201</f>
        <v>2605776</v>
      </c>
      <c r="H33" s="1176">
        <f t="shared" si="1"/>
        <v>162510096</v>
      </c>
      <c r="I33" s="1181">
        <v>80235434</v>
      </c>
      <c r="J33" s="1181">
        <f>J117+J201</f>
        <v>8004051</v>
      </c>
      <c r="K33" s="1181">
        <f>K117+K201</f>
        <v>131300</v>
      </c>
      <c r="L33" s="1181">
        <f>L117+L201</f>
        <v>2389926</v>
      </c>
      <c r="M33" s="1176">
        <f t="shared" si="3"/>
        <v>90760711</v>
      </c>
      <c r="N33" s="1181">
        <v>42631056</v>
      </c>
      <c r="O33" s="1181">
        <f>O117+O201</f>
        <v>-568590</v>
      </c>
      <c r="P33" s="1181">
        <f>P117+P201</f>
        <v>45327</v>
      </c>
      <c r="Q33" s="1181">
        <f>Q117+Q201</f>
        <v>2412836</v>
      </c>
      <c r="R33" s="1176">
        <f t="shared" si="5"/>
        <v>44520629</v>
      </c>
    </row>
    <row r="34" spans="1:18" s="6" customFormat="1" ht="24">
      <c r="A34" s="1193">
        <v>21720</v>
      </c>
      <c r="B34" s="1178" t="s">
        <v>99</v>
      </c>
      <c r="C34" s="1179">
        <v>9658352</v>
      </c>
      <c r="D34" s="1180">
        <v>7081089</v>
      </c>
      <c r="E34" s="1181">
        <f>E118+E202</f>
        <v>0</v>
      </c>
      <c r="F34" s="1181"/>
      <c r="G34" s="1181"/>
      <c r="H34" s="1176">
        <f t="shared" si="1"/>
        <v>7081089</v>
      </c>
      <c r="I34" s="1181">
        <v>3875966</v>
      </c>
      <c r="J34" s="1181">
        <f>J118+J202</f>
        <v>0</v>
      </c>
      <c r="K34" s="1181"/>
      <c r="L34" s="1181"/>
      <c r="M34" s="1176">
        <f t="shared" si="3"/>
        <v>3875966</v>
      </c>
      <c r="N34" s="1181">
        <v>2054628</v>
      </c>
      <c r="O34" s="1181">
        <f>O118+O202</f>
        <v>0</v>
      </c>
      <c r="P34" s="1181"/>
      <c r="Q34" s="1181"/>
      <c r="R34" s="1176">
        <f t="shared" si="5"/>
        <v>2054628</v>
      </c>
    </row>
    <row r="35" spans="1:18" s="6" customFormat="1" ht="11.4">
      <c r="A35" s="1168" t="s">
        <v>100</v>
      </c>
      <c r="B35" s="1169" t="s">
        <v>101</v>
      </c>
      <c r="C35" s="1194">
        <v>204707543</v>
      </c>
      <c r="D35" s="1195">
        <v>197428261</v>
      </c>
      <c r="E35" s="1196">
        <f t="shared" ref="E35:G35" si="27">E36+E63</f>
        <v>-2050822</v>
      </c>
      <c r="F35" s="1196">
        <f t="shared" si="27"/>
        <v>413639</v>
      </c>
      <c r="G35" s="1196">
        <f t="shared" si="27"/>
        <v>2605776</v>
      </c>
      <c r="H35" s="1170">
        <f t="shared" si="1"/>
        <v>198396854</v>
      </c>
      <c r="I35" s="1196">
        <v>97116008</v>
      </c>
      <c r="J35" s="1196">
        <f t="shared" ref="J35:L35" si="28">J36+J63</f>
        <v>8718026</v>
      </c>
      <c r="K35" s="1196">
        <f t="shared" si="28"/>
        <v>131300</v>
      </c>
      <c r="L35" s="1196">
        <f t="shared" si="28"/>
        <v>2389926</v>
      </c>
      <c r="M35" s="1170">
        <f t="shared" si="3"/>
        <v>108355260</v>
      </c>
      <c r="N35" s="1196">
        <v>49942466</v>
      </c>
      <c r="O35" s="1196">
        <f t="shared" ref="O35:Q35" si="29">O36+O63</f>
        <v>-313001</v>
      </c>
      <c r="P35" s="1196">
        <f t="shared" si="29"/>
        <v>45327</v>
      </c>
      <c r="Q35" s="1196">
        <f t="shared" si="29"/>
        <v>2412836</v>
      </c>
      <c r="R35" s="1170">
        <f t="shared" si="5"/>
        <v>52087628</v>
      </c>
    </row>
    <row r="36" spans="1:18" s="6" customFormat="1" ht="20.399999999999999">
      <c r="A36" s="1171" t="s">
        <v>102</v>
      </c>
      <c r="B36" s="1172" t="s">
        <v>103</v>
      </c>
      <c r="C36" s="1179">
        <v>144339540</v>
      </c>
      <c r="D36" s="1180">
        <v>155812158</v>
      </c>
      <c r="E36" s="1181">
        <f>E37+E41+E42+E45+E48</f>
        <v>-2080169</v>
      </c>
      <c r="F36" s="1181">
        <f t="shared" ref="F36:G36" si="30">F37+F41+F42+F45+F48</f>
        <v>405239</v>
      </c>
      <c r="G36" s="1181">
        <f t="shared" si="30"/>
        <v>2440636</v>
      </c>
      <c r="H36" s="1176">
        <f t="shared" si="1"/>
        <v>156577864</v>
      </c>
      <c r="I36" s="1181">
        <v>84006628</v>
      </c>
      <c r="J36" s="1181">
        <f>J37+J41+J42+J45+J48</f>
        <v>8728026</v>
      </c>
      <c r="K36" s="1181">
        <f t="shared" ref="K36:L36" si="31">K37+K41+K42+K45+K48</f>
        <v>131300</v>
      </c>
      <c r="L36" s="1181">
        <f t="shared" si="31"/>
        <v>2289926</v>
      </c>
      <c r="M36" s="1176">
        <f t="shared" si="3"/>
        <v>95155880</v>
      </c>
      <c r="N36" s="1181">
        <v>43870754</v>
      </c>
      <c r="O36" s="1181">
        <f>O37+O41+O42+O45+O48</f>
        <v>-313001</v>
      </c>
      <c r="P36" s="1181">
        <f t="shared" ref="P36:Q36" si="32">P37+P41+P42+P45+P48</f>
        <v>45327</v>
      </c>
      <c r="Q36" s="1181">
        <f t="shared" si="32"/>
        <v>2301996</v>
      </c>
      <c r="R36" s="1176">
        <f t="shared" si="5"/>
        <v>45905076</v>
      </c>
    </row>
    <row r="37" spans="1:18" s="6" customFormat="1" ht="12">
      <c r="A37" s="1171" t="s">
        <v>104</v>
      </c>
      <c r="B37" s="1172" t="s">
        <v>105</v>
      </c>
      <c r="C37" s="1179">
        <v>18916741</v>
      </c>
      <c r="D37" s="1180">
        <v>17311581</v>
      </c>
      <c r="E37" s="1181">
        <f>E38+E40</f>
        <v>-468014</v>
      </c>
      <c r="F37" s="1181">
        <f t="shared" ref="F37:G37" si="33">F38+F40</f>
        <v>605239</v>
      </c>
      <c r="G37" s="1181">
        <f t="shared" si="33"/>
        <v>1279258</v>
      </c>
      <c r="H37" s="1176">
        <f t="shared" si="1"/>
        <v>18728064</v>
      </c>
      <c r="I37" s="1181">
        <v>16105883</v>
      </c>
      <c r="J37" s="1181">
        <f>J38+J40</f>
        <v>-499106</v>
      </c>
      <c r="K37" s="1181">
        <f t="shared" ref="K37:L37" si="34">K38+K40</f>
        <v>331300</v>
      </c>
      <c r="L37" s="1181">
        <f t="shared" si="34"/>
        <v>1118148</v>
      </c>
      <c r="M37" s="1176">
        <f t="shared" si="3"/>
        <v>17056225</v>
      </c>
      <c r="N37" s="1181">
        <v>15711944</v>
      </c>
      <c r="O37" s="1181">
        <f>O38+O40</f>
        <v>-540727</v>
      </c>
      <c r="P37" s="1181">
        <f t="shared" ref="P37:Q37" si="35">P38+P40</f>
        <v>245327</v>
      </c>
      <c r="Q37" s="1181">
        <f t="shared" si="35"/>
        <v>1153218</v>
      </c>
      <c r="R37" s="1176">
        <f t="shared" si="5"/>
        <v>16569762</v>
      </c>
    </row>
    <row r="38" spans="1:18" s="6" customFormat="1" ht="12">
      <c r="A38" s="1182">
        <v>1000</v>
      </c>
      <c r="B38" s="1178" t="s">
        <v>106</v>
      </c>
      <c r="C38" s="1179">
        <v>10503347</v>
      </c>
      <c r="D38" s="1180">
        <v>10603347</v>
      </c>
      <c r="E38" s="1181">
        <f>E122+E206</f>
        <v>-126490</v>
      </c>
      <c r="F38" s="1181">
        <f t="shared" ref="F38:G39" si="36">F122</f>
        <v>122601</v>
      </c>
      <c r="G38" s="1181">
        <f t="shared" si="36"/>
        <v>204632</v>
      </c>
      <c r="H38" s="1176">
        <f t="shared" si="1"/>
        <v>10804090</v>
      </c>
      <c r="I38" s="1181">
        <v>10349702</v>
      </c>
      <c r="J38" s="1197">
        <f>J122+J206</f>
        <v>-157330</v>
      </c>
      <c r="K38" s="1181">
        <f t="shared" ref="K38:L39" si="37">K122</f>
        <v>148636</v>
      </c>
      <c r="L38" s="1181">
        <f t="shared" si="37"/>
        <v>189108</v>
      </c>
      <c r="M38" s="1176">
        <f t="shared" si="3"/>
        <v>10530116</v>
      </c>
      <c r="N38" s="1181">
        <v>10277402</v>
      </c>
      <c r="O38" s="1181">
        <f>O122+O206</f>
        <v>-170194</v>
      </c>
      <c r="P38" s="1181">
        <f t="shared" ref="P38:Q39" si="38">P122</f>
        <v>84328</v>
      </c>
      <c r="Q38" s="1181">
        <f>Q122</f>
        <v>169108</v>
      </c>
      <c r="R38" s="1176">
        <f t="shared" si="5"/>
        <v>10360644</v>
      </c>
    </row>
    <row r="39" spans="1:18" s="6" customFormat="1" ht="12">
      <c r="A39" s="1198">
        <v>1100</v>
      </c>
      <c r="B39" s="1178" t="s">
        <v>107</v>
      </c>
      <c r="C39" s="1179">
        <v>8292103</v>
      </c>
      <c r="D39" s="1180">
        <v>8369070</v>
      </c>
      <c r="E39" s="1181">
        <f t="shared" ref="E39:E40" si="39">E123+E207</f>
        <v>-97906</v>
      </c>
      <c r="F39" s="1181">
        <f t="shared" si="36"/>
        <v>57450</v>
      </c>
      <c r="G39" s="1181">
        <f t="shared" si="36"/>
        <v>144021</v>
      </c>
      <c r="H39" s="1176">
        <f t="shared" si="1"/>
        <v>8472635</v>
      </c>
      <c r="I39" s="1181">
        <v>8164172</v>
      </c>
      <c r="J39" s="1197">
        <f t="shared" ref="J39:J40" si="40">J123+J207</f>
        <v>-122859</v>
      </c>
      <c r="K39" s="1181">
        <f t="shared" si="37"/>
        <v>65532</v>
      </c>
      <c r="L39" s="1181">
        <f t="shared" si="37"/>
        <v>131511</v>
      </c>
      <c r="M39" s="1176">
        <f t="shared" si="3"/>
        <v>8238356</v>
      </c>
      <c r="N39" s="1181">
        <v>8116379</v>
      </c>
      <c r="O39" s="1181">
        <f t="shared" ref="O39:O40" si="41">O123+O207</f>
        <v>-133124</v>
      </c>
      <c r="P39" s="1181">
        <f t="shared" si="38"/>
        <v>32620</v>
      </c>
      <c r="Q39" s="1181">
        <f t="shared" si="38"/>
        <v>131511</v>
      </c>
      <c r="R39" s="1176">
        <f t="shared" si="5"/>
        <v>8147386</v>
      </c>
    </row>
    <row r="40" spans="1:18" s="6" customFormat="1" ht="12">
      <c r="A40" s="1182">
        <v>2000</v>
      </c>
      <c r="B40" s="1178" t="s">
        <v>108</v>
      </c>
      <c r="C40" s="1179">
        <v>8413394</v>
      </c>
      <c r="D40" s="1180">
        <v>6708234</v>
      </c>
      <c r="E40" s="1181">
        <f t="shared" si="39"/>
        <v>-341524</v>
      </c>
      <c r="F40" s="1181">
        <f>F124</f>
        <v>482638</v>
      </c>
      <c r="G40" s="1181">
        <f>G124</f>
        <v>1074626</v>
      </c>
      <c r="H40" s="1176">
        <f t="shared" si="1"/>
        <v>7923974</v>
      </c>
      <c r="I40" s="1181">
        <v>5756181</v>
      </c>
      <c r="J40" s="1197">
        <f t="shared" si="40"/>
        <v>-341776</v>
      </c>
      <c r="K40" s="1181">
        <f>K124</f>
        <v>182664</v>
      </c>
      <c r="L40" s="1181">
        <f>L124</f>
        <v>929040</v>
      </c>
      <c r="M40" s="1176">
        <f>SUM(I40:L40)</f>
        <v>6526109</v>
      </c>
      <c r="N40" s="1181">
        <v>5434542</v>
      </c>
      <c r="O40" s="1181">
        <f t="shared" si="41"/>
        <v>-370533</v>
      </c>
      <c r="P40" s="1181">
        <f>P124</f>
        <v>160999</v>
      </c>
      <c r="Q40" s="1181">
        <f>Q124</f>
        <v>984110</v>
      </c>
      <c r="R40" s="1176">
        <f t="shared" si="5"/>
        <v>6209118</v>
      </c>
    </row>
    <row r="41" spans="1:18" s="6" customFormat="1" ht="12" hidden="1" customHeight="1">
      <c r="A41" s="1199">
        <v>4000</v>
      </c>
      <c r="B41" s="1172" t="s">
        <v>132</v>
      </c>
      <c r="C41" s="1179">
        <v>0</v>
      </c>
      <c r="D41" s="1200">
        <v>0</v>
      </c>
      <c r="E41" s="1197"/>
      <c r="F41" s="1197"/>
      <c r="G41" s="1197"/>
      <c r="H41" s="1176">
        <f t="shared" si="1"/>
        <v>0</v>
      </c>
      <c r="I41" s="1181">
        <v>0</v>
      </c>
      <c r="J41" s="1197"/>
      <c r="K41" s="1197"/>
      <c r="L41" s="1197"/>
      <c r="M41" s="1176">
        <f t="shared" si="3"/>
        <v>0</v>
      </c>
      <c r="N41" s="1181">
        <v>0</v>
      </c>
      <c r="O41" s="1197"/>
      <c r="P41" s="1197"/>
      <c r="Q41" s="1197"/>
      <c r="R41" s="1176">
        <f t="shared" si="5"/>
        <v>0</v>
      </c>
    </row>
    <row r="42" spans="1:18" s="6" customFormat="1" ht="12">
      <c r="A42" s="1199" t="s">
        <v>109</v>
      </c>
      <c r="B42" s="1172" t="s">
        <v>110</v>
      </c>
      <c r="C42" s="1179">
        <v>76869319</v>
      </c>
      <c r="D42" s="1180">
        <v>90906537</v>
      </c>
      <c r="E42" s="1181">
        <f>E43+E44</f>
        <v>2968567</v>
      </c>
      <c r="F42" s="1181">
        <f t="shared" ref="F42:G42" si="42">F43+F44</f>
        <v>0</v>
      </c>
      <c r="G42" s="1181">
        <f t="shared" si="42"/>
        <v>1061378</v>
      </c>
      <c r="H42" s="1176">
        <f t="shared" si="1"/>
        <v>94936482</v>
      </c>
      <c r="I42" s="1181">
        <v>46240188</v>
      </c>
      <c r="J42" s="1181">
        <f>J43+J44</f>
        <v>9213629</v>
      </c>
      <c r="K42" s="1181">
        <f t="shared" ref="K42:L42" si="43">K43+K44</f>
        <v>0</v>
      </c>
      <c r="L42" s="1181">
        <f t="shared" si="43"/>
        <v>1096778</v>
      </c>
      <c r="M42" s="1176">
        <f t="shared" si="3"/>
        <v>56550595</v>
      </c>
      <c r="N42" s="1181">
        <v>22210938</v>
      </c>
      <c r="O42" s="1181">
        <f>O43+O44</f>
        <v>227726</v>
      </c>
      <c r="P42" s="1181">
        <f t="shared" ref="P42:Q42" si="44">P43+P44</f>
        <v>0</v>
      </c>
      <c r="Q42" s="1181">
        <f t="shared" si="44"/>
        <v>1098778</v>
      </c>
      <c r="R42" s="1176">
        <f t="shared" si="5"/>
        <v>23537442</v>
      </c>
    </row>
    <row r="43" spans="1:18" s="6" customFormat="1" ht="12">
      <c r="A43" s="1182">
        <v>3000</v>
      </c>
      <c r="B43" s="1178" t="s">
        <v>111</v>
      </c>
      <c r="C43" s="1201">
        <v>76869319</v>
      </c>
      <c r="D43" s="1202">
        <v>90906537</v>
      </c>
      <c r="E43" s="1203">
        <f>E127+E211</f>
        <v>2968567</v>
      </c>
      <c r="F43" s="1204"/>
      <c r="G43" s="1203">
        <f>G127</f>
        <v>1061378</v>
      </c>
      <c r="H43" s="1176">
        <f t="shared" si="1"/>
        <v>94936482</v>
      </c>
      <c r="I43" s="1203">
        <v>46240188</v>
      </c>
      <c r="J43" s="1203">
        <f>J127+J211</f>
        <v>9213629</v>
      </c>
      <c r="K43" s="1204"/>
      <c r="L43" s="1203">
        <f>L127</f>
        <v>1096778</v>
      </c>
      <c r="M43" s="1176">
        <f t="shared" si="3"/>
        <v>56550595</v>
      </c>
      <c r="N43" s="1203">
        <v>22210938</v>
      </c>
      <c r="O43" s="1204">
        <f>O127+O211</f>
        <v>227726</v>
      </c>
      <c r="P43" s="1204"/>
      <c r="Q43" s="1204">
        <f>Q127</f>
        <v>1098778</v>
      </c>
      <c r="R43" s="1176">
        <f t="shared" si="5"/>
        <v>23537442</v>
      </c>
    </row>
    <row r="44" spans="1:18" s="6" customFormat="1" ht="12" hidden="1" customHeight="1">
      <c r="A44" s="1182">
        <v>6000</v>
      </c>
      <c r="B44" s="1178" t="s">
        <v>112</v>
      </c>
      <c r="C44" s="439">
        <v>0</v>
      </c>
      <c r="D44" s="440">
        <v>0</v>
      </c>
      <c r="E44" s="248"/>
      <c r="F44" s="248"/>
      <c r="G44" s="248"/>
      <c r="H44" s="1176">
        <f t="shared" si="1"/>
        <v>0</v>
      </c>
      <c r="I44" s="346">
        <v>0</v>
      </c>
      <c r="J44" s="346"/>
      <c r="K44" s="248"/>
      <c r="L44" s="248"/>
      <c r="M44" s="1176">
        <f t="shared" si="3"/>
        <v>0</v>
      </c>
      <c r="N44" s="346">
        <v>0</v>
      </c>
      <c r="O44" s="248"/>
      <c r="P44" s="248"/>
      <c r="Q44" s="248"/>
      <c r="R44" s="1176">
        <f t="shared" si="5"/>
        <v>0</v>
      </c>
    </row>
    <row r="45" spans="1:18" s="6" customFormat="1" ht="22.8">
      <c r="A45" s="1199" t="s">
        <v>113</v>
      </c>
      <c r="B45" s="1172" t="s">
        <v>183</v>
      </c>
      <c r="C45" s="1179">
        <v>11266524</v>
      </c>
      <c r="D45" s="1180">
        <v>15060371</v>
      </c>
      <c r="E45" s="1181">
        <f>E46+E47</f>
        <v>0</v>
      </c>
      <c r="F45" s="1181">
        <f t="shared" ref="F45:G45" si="45">F46+F47</f>
        <v>0</v>
      </c>
      <c r="G45" s="1181">
        <f t="shared" si="45"/>
        <v>0</v>
      </c>
      <c r="H45" s="1176">
        <f t="shared" si="1"/>
        <v>15060371</v>
      </c>
      <c r="I45" s="1181">
        <v>6739961</v>
      </c>
      <c r="J45" s="1181">
        <f>J46+J47</f>
        <v>0</v>
      </c>
      <c r="K45" s="1181">
        <f t="shared" ref="K45:L45" si="46">K46+K47</f>
        <v>0</v>
      </c>
      <c r="L45" s="1181">
        <f t="shared" si="46"/>
        <v>0</v>
      </c>
      <c r="M45" s="1176">
        <f t="shared" si="3"/>
        <v>6739961</v>
      </c>
      <c r="N45" s="1181">
        <v>2860720</v>
      </c>
      <c r="O45" s="1181">
        <f>O46+O47</f>
        <v>0</v>
      </c>
      <c r="P45" s="1181">
        <f t="shared" ref="P45:Q45" si="47">P46+P47</f>
        <v>0</v>
      </c>
      <c r="Q45" s="1181">
        <f t="shared" si="47"/>
        <v>0</v>
      </c>
      <c r="R45" s="1176">
        <f t="shared" si="5"/>
        <v>2860720</v>
      </c>
    </row>
    <row r="46" spans="1:18" s="6" customFormat="1" ht="12" hidden="1" customHeight="1">
      <c r="A46" s="1182">
        <v>7600</v>
      </c>
      <c r="B46" s="1205" t="s">
        <v>184</v>
      </c>
      <c r="C46" s="1179">
        <v>0</v>
      </c>
      <c r="D46" s="1200">
        <v>0</v>
      </c>
      <c r="E46" s="1197"/>
      <c r="F46" s="1197"/>
      <c r="G46" s="1197"/>
      <c r="H46" s="1176">
        <f t="shared" si="1"/>
        <v>0</v>
      </c>
      <c r="I46" s="1181">
        <v>0</v>
      </c>
      <c r="J46" s="1181"/>
      <c r="K46" s="1197"/>
      <c r="L46" s="1197"/>
      <c r="M46" s="1176">
        <f t="shared" si="3"/>
        <v>0</v>
      </c>
      <c r="N46" s="1181">
        <v>0</v>
      </c>
      <c r="O46" s="1197"/>
      <c r="P46" s="1197"/>
      <c r="Q46" s="1197"/>
      <c r="R46" s="1176">
        <f t="shared" si="5"/>
        <v>0</v>
      </c>
    </row>
    <row r="47" spans="1:18" s="6" customFormat="1" ht="12">
      <c r="A47" s="1182">
        <v>7700</v>
      </c>
      <c r="B47" s="1206" t="s">
        <v>114</v>
      </c>
      <c r="C47" s="1179">
        <v>11266524</v>
      </c>
      <c r="D47" s="1180">
        <v>15060371</v>
      </c>
      <c r="E47" s="1181">
        <f>E131+E215</f>
        <v>0</v>
      </c>
      <c r="F47" s="1197"/>
      <c r="G47" s="1197"/>
      <c r="H47" s="1176">
        <f t="shared" si="1"/>
        <v>15060371</v>
      </c>
      <c r="I47" s="1181">
        <v>6739961</v>
      </c>
      <c r="J47" s="1181">
        <f>J131+J215</f>
        <v>0</v>
      </c>
      <c r="K47" s="1197"/>
      <c r="L47" s="1197"/>
      <c r="M47" s="1176">
        <f t="shared" si="3"/>
        <v>6739961</v>
      </c>
      <c r="N47" s="1181">
        <v>2860720</v>
      </c>
      <c r="O47" s="1181">
        <f>O131+O215</f>
        <v>0</v>
      </c>
      <c r="P47" s="1197"/>
      <c r="Q47" s="1197"/>
      <c r="R47" s="1176">
        <f t="shared" si="5"/>
        <v>2860720</v>
      </c>
    </row>
    <row r="48" spans="1:18" s="6" customFormat="1" ht="20.399999999999999">
      <c r="A48" s="1199" t="s">
        <v>185</v>
      </c>
      <c r="B48" s="1172" t="s">
        <v>115</v>
      </c>
      <c r="C48" s="1179">
        <v>37286956</v>
      </c>
      <c r="D48" s="1180">
        <v>32533669</v>
      </c>
      <c r="E48" s="1181">
        <f t="shared" ref="E48:G48" si="48">E49+E55+E59+E62</f>
        <v>-4580722</v>
      </c>
      <c r="F48" s="1181">
        <f t="shared" si="48"/>
        <v>-200000</v>
      </c>
      <c r="G48" s="1181">
        <f t="shared" si="48"/>
        <v>100000</v>
      </c>
      <c r="H48" s="1176">
        <f t="shared" si="1"/>
        <v>27852947</v>
      </c>
      <c r="I48" s="1181">
        <v>14920596</v>
      </c>
      <c r="J48" s="1181">
        <f t="shared" ref="J48:L48" si="49">J49+J55+J59+J62</f>
        <v>13503</v>
      </c>
      <c r="K48" s="1181">
        <f t="shared" si="49"/>
        <v>-200000</v>
      </c>
      <c r="L48" s="1181">
        <f t="shared" si="49"/>
        <v>75000</v>
      </c>
      <c r="M48" s="1176">
        <f t="shared" si="3"/>
        <v>14809099</v>
      </c>
      <c r="N48" s="1181">
        <v>3087152</v>
      </c>
      <c r="O48" s="1181">
        <f t="shared" ref="O48:Q48" si="50">O49+O55+O59+O62</f>
        <v>0</v>
      </c>
      <c r="P48" s="1181">
        <f t="shared" si="50"/>
        <v>-200000</v>
      </c>
      <c r="Q48" s="1181">
        <f t="shared" si="50"/>
        <v>50000</v>
      </c>
      <c r="R48" s="1176">
        <f t="shared" si="5"/>
        <v>2937152</v>
      </c>
    </row>
    <row r="49" spans="1:18" s="6" customFormat="1" ht="12">
      <c r="A49" s="1182">
        <v>7100</v>
      </c>
      <c r="B49" s="1205" t="s">
        <v>116</v>
      </c>
      <c r="C49" s="1179">
        <v>1457004</v>
      </c>
      <c r="D49" s="1180">
        <v>0</v>
      </c>
      <c r="E49" s="1181">
        <f>E50+E51</f>
        <v>0</v>
      </c>
      <c r="F49" s="1181">
        <f t="shared" ref="F49:G49" si="51">F50+F51</f>
        <v>0</v>
      </c>
      <c r="G49" s="1181">
        <f t="shared" si="51"/>
        <v>0</v>
      </c>
      <c r="H49" s="1176">
        <f t="shared" si="1"/>
        <v>0</v>
      </c>
      <c r="I49" s="1181">
        <v>0</v>
      </c>
      <c r="J49" s="1181">
        <f>J50+J51</f>
        <v>0</v>
      </c>
      <c r="K49" s="1181">
        <f t="shared" ref="K49:L49" si="52">K50+K51</f>
        <v>0</v>
      </c>
      <c r="L49" s="1181">
        <f t="shared" si="52"/>
        <v>0</v>
      </c>
      <c r="M49" s="1176">
        <f t="shared" si="3"/>
        <v>0</v>
      </c>
      <c r="N49" s="1181">
        <v>0</v>
      </c>
      <c r="O49" s="1181">
        <f>O50+O51</f>
        <v>0</v>
      </c>
      <c r="P49" s="1181">
        <f t="shared" ref="P49:Q49" si="53">P50+P51</f>
        <v>0</v>
      </c>
      <c r="Q49" s="1181">
        <f t="shared" si="53"/>
        <v>0</v>
      </c>
      <c r="R49" s="1176">
        <f t="shared" si="5"/>
        <v>0</v>
      </c>
    </row>
    <row r="50" spans="1:18" s="6" customFormat="1" ht="24" hidden="1" customHeight="1">
      <c r="A50" s="1183" t="s">
        <v>117</v>
      </c>
      <c r="B50" s="1205" t="s">
        <v>118</v>
      </c>
      <c r="C50" s="1179">
        <v>0</v>
      </c>
      <c r="D50" s="1180">
        <v>0</v>
      </c>
      <c r="E50" s="1181"/>
      <c r="F50" s="1181"/>
      <c r="G50" s="1181"/>
      <c r="H50" s="1176">
        <f t="shared" si="1"/>
        <v>0</v>
      </c>
      <c r="I50" s="1181">
        <v>0</v>
      </c>
      <c r="J50" s="1181"/>
      <c r="K50" s="1181"/>
      <c r="L50" s="1181"/>
      <c r="M50" s="1176">
        <f t="shared" si="3"/>
        <v>0</v>
      </c>
      <c r="N50" s="1181">
        <v>0</v>
      </c>
      <c r="O50" s="1181"/>
      <c r="P50" s="1181"/>
      <c r="Q50" s="1181"/>
      <c r="R50" s="1176">
        <f t="shared" si="5"/>
        <v>0</v>
      </c>
    </row>
    <row r="51" spans="1:18" s="6" customFormat="1" ht="24">
      <c r="A51" s="1183">
        <v>7130</v>
      </c>
      <c r="B51" s="1205" t="s">
        <v>119</v>
      </c>
      <c r="C51" s="1179">
        <v>1457004</v>
      </c>
      <c r="D51" s="1180">
        <v>0</v>
      </c>
      <c r="E51" s="1181">
        <f>SUM(E52:E54)</f>
        <v>0</v>
      </c>
      <c r="F51" s="1181">
        <f t="shared" ref="F51:G51" si="54">SUM(F52:F54)</f>
        <v>0</v>
      </c>
      <c r="G51" s="1181">
        <f t="shared" si="54"/>
        <v>0</v>
      </c>
      <c r="H51" s="1176">
        <f t="shared" si="1"/>
        <v>0</v>
      </c>
      <c r="I51" s="1181">
        <v>0</v>
      </c>
      <c r="J51" s="1181">
        <f>SUM(J52:J54)</f>
        <v>0</v>
      </c>
      <c r="K51" s="1181">
        <f t="shared" ref="K51:L51" si="55">SUM(K52:K54)</f>
        <v>0</v>
      </c>
      <c r="L51" s="1181">
        <f t="shared" si="55"/>
        <v>0</v>
      </c>
      <c r="M51" s="1176">
        <f t="shared" si="3"/>
        <v>0</v>
      </c>
      <c r="N51" s="1181">
        <v>0</v>
      </c>
      <c r="O51" s="1181">
        <f>SUM(O52:O54)</f>
        <v>0</v>
      </c>
      <c r="P51" s="1181">
        <f t="shared" ref="P51:Q51" si="56">SUM(P52:P54)</f>
        <v>0</v>
      </c>
      <c r="Q51" s="1181">
        <f t="shared" si="56"/>
        <v>0</v>
      </c>
      <c r="R51" s="1176">
        <f t="shared" si="5"/>
        <v>0</v>
      </c>
    </row>
    <row r="52" spans="1:18" s="6" customFormat="1" ht="36">
      <c r="A52" s="1185">
        <v>7131</v>
      </c>
      <c r="B52" s="1205" t="s">
        <v>120</v>
      </c>
      <c r="C52" s="1179">
        <v>1457004</v>
      </c>
      <c r="D52" s="1180">
        <v>0</v>
      </c>
      <c r="E52" s="1181">
        <f>E136</f>
        <v>0</v>
      </c>
      <c r="F52" s="1181"/>
      <c r="G52" s="1181"/>
      <c r="H52" s="1176">
        <f t="shared" si="1"/>
        <v>0</v>
      </c>
      <c r="I52" s="1181">
        <v>0</v>
      </c>
      <c r="J52" s="1181">
        <f>J136</f>
        <v>0</v>
      </c>
      <c r="K52" s="1181"/>
      <c r="L52" s="1181"/>
      <c r="M52" s="1176">
        <f t="shared" si="3"/>
        <v>0</v>
      </c>
      <c r="N52" s="1181">
        <v>0</v>
      </c>
      <c r="O52" s="1181">
        <f>O136</f>
        <v>0</v>
      </c>
      <c r="P52" s="1181"/>
      <c r="Q52" s="1181"/>
      <c r="R52" s="1176">
        <f t="shared" si="5"/>
        <v>0</v>
      </c>
    </row>
    <row r="53" spans="1:18" s="6" customFormat="1" ht="36" hidden="1" customHeight="1">
      <c r="A53" s="1185">
        <v>7132</v>
      </c>
      <c r="B53" s="1205" t="s">
        <v>121</v>
      </c>
      <c r="C53" s="1179">
        <v>0</v>
      </c>
      <c r="D53" s="1180">
        <v>0</v>
      </c>
      <c r="E53" s="1181"/>
      <c r="F53" s="1181"/>
      <c r="G53" s="1181"/>
      <c r="H53" s="1176">
        <f t="shared" si="1"/>
        <v>0</v>
      </c>
      <c r="I53" s="1181">
        <v>0</v>
      </c>
      <c r="J53" s="1181"/>
      <c r="K53" s="1181"/>
      <c r="L53" s="1181"/>
      <c r="M53" s="1176">
        <f t="shared" si="3"/>
        <v>0</v>
      </c>
      <c r="N53" s="1181">
        <v>0</v>
      </c>
      <c r="O53" s="1181"/>
      <c r="P53" s="1181"/>
      <c r="Q53" s="1181"/>
      <c r="R53" s="1176">
        <f t="shared" si="5"/>
        <v>0</v>
      </c>
    </row>
    <row r="54" spans="1:18" s="6" customFormat="1" ht="24" hidden="1" customHeight="1">
      <c r="A54" s="1185" t="s">
        <v>186</v>
      </c>
      <c r="B54" s="1205" t="s">
        <v>187</v>
      </c>
      <c r="C54" s="1179">
        <v>0</v>
      </c>
      <c r="D54" s="1180">
        <v>0</v>
      </c>
      <c r="E54" s="1181"/>
      <c r="F54" s="1181"/>
      <c r="G54" s="1181"/>
      <c r="H54" s="1176">
        <f t="shared" si="1"/>
        <v>0</v>
      </c>
      <c r="I54" s="1181">
        <v>0</v>
      </c>
      <c r="J54" s="1181"/>
      <c r="K54" s="1181"/>
      <c r="L54" s="1181"/>
      <c r="M54" s="1176">
        <f t="shared" si="3"/>
        <v>0</v>
      </c>
      <c r="N54" s="1181">
        <v>0</v>
      </c>
      <c r="O54" s="1181"/>
      <c r="P54" s="1181"/>
      <c r="Q54" s="1181"/>
      <c r="R54" s="1176">
        <f t="shared" si="5"/>
        <v>0</v>
      </c>
    </row>
    <row r="55" spans="1:18" s="6" customFormat="1" ht="24">
      <c r="A55" s="1182">
        <v>7300</v>
      </c>
      <c r="B55" s="1184" t="s">
        <v>155</v>
      </c>
      <c r="C55" s="1179">
        <v>34670800</v>
      </c>
      <c r="D55" s="1180">
        <v>31407004</v>
      </c>
      <c r="E55" s="1181">
        <f>SUM(E56:E58)</f>
        <v>-4637295</v>
      </c>
      <c r="F55" s="1181">
        <f t="shared" ref="F55:G55" si="57">SUM(F56:F58)</f>
        <v>0</v>
      </c>
      <c r="G55" s="1181">
        <f t="shared" si="57"/>
        <v>0</v>
      </c>
      <c r="H55" s="1176">
        <f t="shared" si="1"/>
        <v>26769709</v>
      </c>
      <c r="I55" s="1181">
        <v>13938046</v>
      </c>
      <c r="J55" s="1181">
        <f>SUM(J56:J58)</f>
        <v>0</v>
      </c>
      <c r="K55" s="1181">
        <f t="shared" ref="K55:L55" si="58">SUM(K56:K58)</f>
        <v>0</v>
      </c>
      <c r="L55" s="1181">
        <f t="shared" si="58"/>
        <v>0</v>
      </c>
      <c r="M55" s="1176">
        <f t="shared" si="3"/>
        <v>13938046</v>
      </c>
      <c r="N55" s="1181">
        <v>2221233</v>
      </c>
      <c r="O55" s="1181">
        <f>SUM(O56:O58)</f>
        <v>0</v>
      </c>
      <c r="P55" s="1181">
        <f t="shared" ref="P55:Q55" si="59">SUM(P56:P58)</f>
        <v>0</v>
      </c>
      <c r="Q55" s="1181">
        <f t="shared" si="59"/>
        <v>0</v>
      </c>
      <c r="R55" s="1176">
        <f t="shared" si="5"/>
        <v>2221233</v>
      </c>
    </row>
    <row r="56" spans="1:18" s="6" customFormat="1" ht="24">
      <c r="A56" s="1183" t="s">
        <v>188</v>
      </c>
      <c r="B56" s="1205" t="s">
        <v>170</v>
      </c>
      <c r="C56" s="1207">
        <v>13135920</v>
      </c>
      <c r="D56" s="1208">
        <v>16554901</v>
      </c>
      <c r="E56" s="1209">
        <f>E140</f>
        <v>-3716212</v>
      </c>
      <c r="F56" s="1209"/>
      <c r="G56" s="1209"/>
      <c r="H56" s="1176">
        <f t="shared" si="1"/>
        <v>12838689</v>
      </c>
      <c r="I56" s="1209">
        <v>8849768</v>
      </c>
      <c r="J56" s="1209">
        <f>J140</f>
        <v>0</v>
      </c>
      <c r="K56" s="1209"/>
      <c r="L56" s="1209"/>
      <c r="M56" s="1176">
        <f t="shared" si="3"/>
        <v>8849768</v>
      </c>
      <c r="N56" s="1209">
        <v>508626</v>
      </c>
      <c r="O56" s="1209">
        <f>O140</f>
        <v>0</v>
      </c>
      <c r="P56" s="1209"/>
      <c r="Q56" s="1209"/>
      <c r="R56" s="1176">
        <f t="shared" si="5"/>
        <v>508626</v>
      </c>
    </row>
    <row r="57" spans="1:18" s="29" customFormat="1" ht="48">
      <c r="A57" s="1183" t="s">
        <v>189</v>
      </c>
      <c r="B57" s="1205" t="s">
        <v>156</v>
      </c>
      <c r="C57" s="1207">
        <v>10516751</v>
      </c>
      <c r="D57" s="1208">
        <v>7675947</v>
      </c>
      <c r="E57" s="1209">
        <f>E225</f>
        <v>0</v>
      </c>
      <c r="F57" s="1209"/>
      <c r="G57" s="1209"/>
      <c r="H57" s="1176">
        <f t="shared" si="1"/>
        <v>7675947</v>
      </c>
      <c r="I57" s="1209">
        <v>2910596</v>
      </c>
      <c r="J57" s="1209">
        <f>J225</f>
        <v>0</v>
      </c>
      <c r="K57" s="1209"/>
      <c r="L57" s="1209"/>
      <c r="M57" s="1176">
        <f t="shared" si="3"/>
        <v>2910596</v>
      </c>
      <c r="N57" s="1209">
        <v>1642607</v>
      </c>
      <c r="O57" s="1209">
        <f>O225</f>
        <v>0</v>
      </c>
      <c r="P57" s="1209"/>
      <c r="Q57" s="1209"/>
      <c r="R57" s="1176">
        <f t="shared" si="5"/>
        <v>1642607</v>
      </c>
    </row>
    <row r="58" spans="1:18" s="89" customFormat="1" ht="36">
      <c r="A58" s="1183">
        <v>7350</v>
      </c>
      <c r="B58" s="1205" t="s">
        <v>163</v>
      </c>
      <c r="C58" s="1207">
        <v>11018129</v>
      </c>
      <c r="D58" s="1208">
        <v>7176156</v>
      </c>
      <c r="E58" s="1209">
        <f>E142+E226</f>
        <v>-921083</v>
      </c>
      <c r="F58" s="1209"/>
      <c r="G58" s="1209"/>
      <c r="H58" s="1176">
        <f t="shared" si="1"/>
        <v>6255073</v>
      </c>
      <c r="I58" s="1209">
        <v>2177682</v>
      </c>
      <c r="J58" s="1209">
        <f>J142+J226</f>
        <v>0</v>
      </c>
      <c r="K58" s="1209"/>
      <c r="L58" s="1209"/>
      <c r="M58" s="1176">
        <f t="shared" si="3"/>
        <v>2177682</v>
      </c>
      <c r="N58" s="1209">
        <v>70000</v>
      </c>
      <c r="O58" s="1209">
        <f>O142+O226</f>
        <v>0</v>
      </c>
      <c r="P58" s="1209"/>
      <c r="Q58" s="1209"/>
      <c r="R58" s="1176">
        <f t="shared" si="5"/>
        <v>70000</v>
      </c>
    </row>
    <row r="59" spans="1:18" s="89" customFormat="1" ht="24">
      <c r="A59" s="1182">
        <v>7400</v>
      </c>
      <c r="B59" s="1184" t="s">
        <v>161</v>
      </c>
      <c r="C59" s="1179">
        <v>865919</v>
      </c>
      <c r="D59" s="1180">
        <v>865919</v>
      </c>
      <c r="E59" s="1181">
        <f>SUM(E60:E61)</f>
        <v>0</v>
      </c>
      <c r="F59" s="1181">
        <f t="shared" ref="F59:G59" si="60">SUM(F60:F61)</f>
        <v>-200000</v>
      </c>
      <c r="G59" s="1181">
        <f t="shared" si="60"/>
        <v>100000</v>
      </c>
      <c r="H59" s="1176">
        <f t="shared" si="1"/>
        <v>765919</v>
      </c>
      <c r="I59" s="1181">
        <v>865919</v>
      </c>
      <c r="J59" s="1181">
        <f>SUM(J60:J61)</f>
        <v>0</v>
      </c>
      <c r="K59" s="1181">
        <f t="shared" ref="K59:L59" si="61">SUM(K60:K61)</f>
        <v>-200000</v>
      </c>
      <c r="L59" s="1181">
        <f t="shared" si="61"/>
        <v>75000</v>
      </c>
      <c r="M59" s="1176">
        <f t="shared" si="3"/>
        <v>740919</v>
      </c>
      <c r="N59" s="1181">
        <v>865919</v>
      </c>
      <c r="O59" s="1181">
        <f>SUM(O60:O61)</f>
        <v>0</v>
      </c>
      <c r="P59" s="1181">
        <f t="shared" ref="P59:Q59" si="62">SUM(P60:P61)</f>
        <v>-200000</v>
      </c>
      <c r="Q59" s="1181">
        <f t="shared" si="62"/>
        <v>50000</v>
      </c>
      <c r="R59" s="1176">
        <f t="shared" si="5"/>
        <v>715919</v>
      </c>
    </row>
    <row r="60" spans="1:18" s="89" customFormat="1" ht="24" hidden="1" customHeight="1">
      <c r="A60" s="1183">
        <v>7460</v>
      </c>
      <c r="B60" s="1184" t="s">
        <v>162</v>
      </c>
      <c r="C60" s="1207">
        <v>0</v>
      </c>
      <c r="D60" s="1208">
        <v>0</v>
      </c>
      <c r="E60" s="1209"/>
      <c r="F60" s="1209"/>
      <c r="G60" s="1209"/>
      <c r="H60" s="1176">
        <f t="shared" si="1"/>
        <v>0</v>
      </c>
      <c r="I60" s="1209">
        <v>0</v>
      </c>
      <c r="J60" s="1209"/>
      <c r="K60" s="1209"/>
      <c r="L60" s="1209"/>
      <c r="M60" s="1176">
        <f t="shared" si="3"/>
        <v>0</v>
      </c>
      <c r="N60" s="1209">
        <v>0</v>
      </c>
      <c r="O60" s="1209"/>
      <c r="P60" s="1209"/>
      <c r="Q60" s="1209"/>
      <c r="R60" s="1176">
        <f t="shared" si="5"/>
        <v>0</v>
      </c>
    </row>
    <row r="61" spans="1:18" s="89" customFormat="1" ht="36">
      <c r="A61" s="1183">
        <v>7470</v>
      </c>
      <c r="B61" s="1205" t="s">
        <v>167</v>
      </c>
      <c r="C61" s="1207">
        <v>865919</v>
      </c>
      <c r="D61" s="1208">
        <v>865919</v>
      </c>
      <c r="E61" s="1209">
        <f>E145</f>
        <v>0</v>
      </c>
      <c r="F61" s="1209">
        <f>F145</f>
        <v>-200000</v>
      </c>
      <c r="G61" s="1209">
        <f>G145</f>
        <v>100000</v>
      </c>
      <c r="H61" s="1176">
        <f t="shared" si="1"/>
        <v>765919</v>
      </c>
      <c r="I61" s="1209">
        <v>865919</v>
      </c>
      <c r="J61" s="1209">
        <f>J145</f>
        <v>0</v>
      </c>
      <c r="K61" s="1209">
        <f>K145</f>
        <v>-200000</v>
      </c>
      <c r="L61" s="1209">
        <f>L145</f>
        <v>75000</v>
      </c>
      <c r="M61" s="1176">
        <f t="shared" si="3"/>
        <v>740919</v>
      </c>
      <c r="N61" s="1209">
        <v>865919</v>
      </c>
      <c r="O61" s="1209">
        <f>O145</f>
        <v>0</v>
      </c>
      <c r="P61" s="1209">
        <f>P145</f>
        <v>-200000</v>
      </c>
      <c r="Q61" s="1209">
        <f>Q145</f>
        <v>50000</v>
      </c>
      <c r="R61" s="1176">
        <f t="shared" si="5"/>
        <v>715919</v>
      </c>
    </row>
    <row r="62" spans="1:18" s="89" customFormat="1" ht="24">
      <c r="A62" s="1182">
        <v>7500</v>
      </c>
      <c r="B62" s="1205" t="s">
        <v>157</v>
      </c>
      <c r="C62" s="1179">
        <v>293233</v>
      </c>
      <c r="D62" s="1180">
        <v>260746</v>
      </c>
      <c r="E62" s="1181">
        <f>E230</f>
        <v>56573</v>
      </c>
      <c r="F62" s="1181"/>
      <c r="G62" s="1181"/>
      <c r="H62" s="1176">
        <f t="shared" si="1"/>
        <v>317319</v>
      </c>
      <c r="I62" s="1181">
        <v>116631</v>
      </c>
      <c r="J62" s="1181">
        <f>J230</f>
        <v>13503</v>
      </c>
      <c r="K62" s="1181"/>
      <c r="L62" s="1181"/>
      <c r="M62" s="1176">
        <f t="shared" si="3"/>
        <v>130134</v>
      </c>
      <c r="N62" s="1181">
        <v>0</v>
      </c>
      <c r="O62" s="1181">
        <f>O230</f>
        <v>0</v>
      </c>
      <c r="P62" s="1181"/>
      <c r="Q62" s="1181"/>
      <c r="R62" s="1176">
        <f t="shared" si="5"/>
        <v>0</v>
      </c>
    </row>
    <row r="63" spans="1:18" s="89" customFormat="1" ht="12">
      <c r="A63" s="1199" t="s">
        <v>133</v>
      </c>
      <c r="B63" s="1172" t="s">
        <v>122</v>
      </c>
      <c r="C63" s="1210">
        <v>60368003</v>
      </c>
      <c r="D63" s="1211">
        <v>41616103</v>
      </c>
      <c r="E63" s="1212">
        <f>E64+E65</f>
        <v>29347</v>
      </c>
      <c r="F63" s="1212">
        <f t="shared" ref="F63:G63" si="63">F64+F65</f>
        <v>8400</v>
      </c>
      <c r="G63" s="1212">
        <f t="shared" si="63"/>
        <v>165140</v>
      </c>
      <c r="H63" s="1176">
        <f t="shared" si="1"/>
        <v>41818990</v>
      </c>
      <c r="I63" s="1212">
        <v>13109380</v>
      </c>
      <c r="J63" s="1212">
        <f>J64+J65</f>
        <v>-10000</v>
      </c>
      <c r="K63" s="1212">
        <f t="shared" ref="K63:L63" si="64">K64+K65</f>
        <v>0</v>
      </c>
      <c r="L63" s="1212">
        <f t="shared" si="64"/>
        <v>100000</v>
      </c>
      <c r="M63" s="1176">
        <f t="shared" si="3"/>
        <v>13199380</v>
      </c>
      <c r="N63" s="1212">
        <v>6071712</v>
      </c>
      <c r="O63" s="1212">
        <f>O64+O65</f>
        <v>0</v>
      </c>
      <c r="P63" s="1212">
        <f t="shared" ref="P63:Q63" si="65">P64+P65</f>
        <v>0</v>
      </c>
      <c r="Q63" s="1212">
        <f t="shared" si="65"/>
        <v>110840</v>
      </c>
      <c r="R63" s="1176">
        <f t="shared" si="5"/>
        <v>6182552</v>
      </c>
    </row>
    <row r="64" spans="1:18" s="89" customFormat="1" ht="12">
      <c r="A64" s="1199">
        <v>5000</v>
      </c>
      <c r="B64" s="1172" t="s">
        <v>123</v>
      </c>
      <c r="C64" s="1179">
        <v>17757186</v>
      </c>
      <c r="D64" s="1180">
        <v>12910205</v>
      </c>
      <c r="E64" s="1181">
        <f>E232+E148</f>
        <v>-462</v>
      </c>
      <c r="F64" s="1181">
        <f>F148</f>
        <v>8400</v>
      </c>
      <c r="G64" s="1181">
        <f>G148</f>
        <v>165140</v>
      </c>
      <c r="H64" s="1181">
        <f t="shared" si="1"/>
        <v>13083283</v>
      </c>
      <c r="I64" s="1181">
        <v>6012204</v>
      </c>
      <c r="J64" s="1181">
        <f>J232+J148</f>
        <v>-10000</v>
      </c>
      <c r="K64" s="1197"/>
      <c r="L64" s="1197">
        <f>L148</f>
        <v>100000</v>
      </c>
      <c r="M64" s="1176">
        <f t="shared" si="3"/>
        <v>6102204</v>
      </c>
      <c r="N64" s="1181">
        <v>4017084</v>
      </c>
      <c r="O64" s="1181">
        <f>O232+O148</f>
        <v>0</v>
      </c>
      <c r="P64" s="1197"/>
      <c r="Q64" s="1197">
        <f>Q148</f>
        <v>110840</v>
      </c>
      <c r="R64" s="1176">
        <f t="shared" si="5"/>
        <v>4127924</v>
      </c>
    </row>
    <row r="65" spans="1:18" s="89" customFormat="1" ht="12">
      <c r="A65" s="1199">
        <v>9000</v>
      </c>
      <c r="B65" s="1213" t="s">
        <v>164</v>
      </c>
      <c r="C65" s="1179">
        <v>42610817</v>
      </c>
      <c r="D65" s="1180">
        <v>28705898</v>
      </c>
      <c r="E65" s="1181">
        <f t="shared" ref="E65:G65" si="66">E66+E72+E76+E79</f>
        <v>29809</v>
      </c>
      <c r="F65" s="1181">
        <f t="shared" si="66"/>
        <v>0</v>
      </c>
      <c r="G65" s="1181">
        <f t="shared" si="66"/>
        <v>0</v>
      </c>
      <c r="H65" s="1176">
        <f t="shared" si="1"/>
        <v>28735707</v>
      </c>
      <c r="I65" s="1181">
        <v>7097176</v>
      </c>
      <c r="J65" s="1181">
        <f t="shared" ref="J65:L65" si="67">J66+J72+J76+J79</f>
        <v>0</v>
      </c>
      <c r="K65" s="1181">
        <f t="shared" si="67"/>
        <v>0</v>
      </c>
      <c r="L65" s="1181">
        <f t="shared" si="67"/>
        <v>0</v>
      </c>
      <c r="M65" s="1176">
        <f t="shared" si="3"/>
        <v>7097176</v>
      </c>
      <c r="N65" s="1181">
        <v>2054628</v>
      </c>
      <c r="O65" s="1181">
        <f t="shared" ref="O65:Q65" si="68">O66+O72+O76+O79</f>
        <v>0</v>
      </c>
      <c r="P65" s="1181">
        <f t="shared" si="68"/>
        <v>0</v>
      </c>
      <c r="Q65" s="1181">
        <f t="shared" si="68"/>
        <v>0</v>
      </c>
      <c r="R65" s="1176">
        <f t="shared" si="5"/>
        <v>2054628</v>
      </c>
    </row>
    <row r="66" spans="1:18" s="89" customFormat="1" ht="12" hidden="1" customHeight="1">
      <c r="A66" s="1214">
        <v>9100</v>
      </c>
      <c r="B66" s="1205" t="s">
        <v>124</v>
      </c>
      <c r="C66" s="1179">
        <v>0</v>
      </c>
      <c r="D66" s="1180">
        <v>0</v>
      </c>
      <c r="E66" s="1181">
        <f t="shared" ref="E66:G66" si="69">SUM(E67:E68)</f>
        <v>0</v>
      </c>
      <c r="F66" s="1181">
        <f t="shared" ref="F66" si="70">SUM(F67:F68)</f>
        <v>0</v>
      </c>
      <c r="G66" s="1181">
        <f t="shared" si="69"/>
        <v>0</v>
      </c>
      <c r="H66" s="1176">
        <f t="shared" si="1"/>
        <v>0</v>
      </c>
      <c r="I66" s="1181">
        <v>0</v>
      </c>
      <c r="J66" s="1181">
        <f t="shared" ref="J66:L66" si="71">SUM(J67:J68)</f>
        <v>0</v>
      </c>
      <c r="K66" s="1181">
        <f t="shared" si="71"/>
        <v>0</v>
      </c>
      <c r="L66" s="1181">
        <f t="shared" si="71"/>
        <v>0</v>
      </c>
      <c r="M66" s="1176">
        <f t="shared" si="3"/>
        <v>0</v>
      </c>
      <c r="N66" s="1181">
        <v>0</v>
      </c>
      <c r="O66" s="1181">
        <f t="shared" ref="O66:Q66" si="72">SUM(O67:O68)</f>
        <v>0</v>
      </c>
      <c r="P66" s="1181">
        <f t="shared" si="72"/>
        <v>0</v>
      </c>
      <c r="Q66" s="1181">
        <f t="shared" si="72"/>
        <v>0</v>
      </c>
      <c r="R66" s="1176">
        <f t="shared" si="5"/>
        <v>0</v>
      </c>
    </row>
    <row r="67" spans="1:18" s="89" customFormat="1" ht="24" hidden="1" customHeight="1">
      <c r="A67" s="1183" t="s">
        <v>125</v>
      </c>
      <c r="B67" s="1205" t="s">
        <v>214</v>
      </c>
      <c r="C67" s="1179">
        <v>0</v>
      </c>
      <c r="D67" s="1180">
        <v>0</v>
      </c>
      <c r="E67" s="1181"/>
      <c r="F67" s="1181"/>
      <c r="G67" s="1181"/>
      <c r="H67" s="1176">
        <f t="shared" si="1"/>
        <v>0</v>
      </c>
      <c r="I67" s="1181">
        <v>0</v>
      </c>
      <c r="J67" s="1181"/>
      <c r="K67" s="1181"/>
      <c r="L67" s="1181"/>
      <c r="M67" s="1176">
        <f t="shared" si="3"/>
        <v>0</v>
      </c>
      <c r="N67" s="1181">
        <v>0</v>
      </c>
      <c r="O67" s="1181"/>
      <c r="P67" s="1181"/>
      <c r="Q67" s="1181"/>
      <c r="R67" s="1176">
        <f t="shared" si="5"/>
        <v>0</v>
      </c>
    </row>
    <row r="68" spans="1:18" s="89" customFormat="1" ht="24" hidden="1" customHeight="1">
      <c r="A68" s="1183">
        <v>9140</v>
      </c>
      <c r="B68" s="1205" t="s">
        <v>215</v>
      </c>
      <c r="C68" s="1179">
        <v>0</v>
      </c>
      <c r="D68" s="1180">
        <v>0</v>
      </c>
      <c r="E68" s="1181">
        <f>SUM(E69:E71)</f>
        <v>0</v>
      </c>
      <c r="F68" s="1181">
        <f t="shared" ref="F68:G68" si="73">SUM(F69:F71)</f>
        <v>0</v>
      </c>
      <c r="G68" s="1181">
        <f t="shared" si="73"/>
        <v>0</v>
      </c>
      <c r="H68" s="1176">
        <f t="shared" si="1"/>
        <v>0</v>
      </c>
      <c r="I68" s="1181">
        <v>0</v>
      </c>
      <c r="J68" s="1181">
        <f>SUM(J69:J71)</f>
        <v>0</v>
      </c>
      <c r="K68" s="1181">
        <f t="shared" ref="K68:L68" si="74">SUM(K69:K71)</f>
        <v>0</v>
      </c>
      <c r="L68" s="1181">
        <f t="shared" si="74"/>
        <v>0</v>
      </c>
      <c r="M68" s="1176">
        <f t="shared" si="3"/>
        <v>0</v>
      </c>
      <c r="N68" s="1181">
        <v>0</v>
      </c>
      <c r="O68" s="1181">
        <f>SUM(O69:O71)</f>
        <v>0</v>
      </c>
      <c r="P68" s="1181">
        <f t="shared" ref="P68:Q68" si="75">SUM(P69:P71)</f>
        <v>0</v>
      </c>
      <c r="Q68" s="1181">
        <f t="shared" si="75"/>
        <v>0</v>
      </c>
      <c r="R68" s="1176">
        <f t="shared" si="5"/>
        <v>0</v>
      </c>
    </row>
    <row r="69" spans="1:18" s="89" customFormat="1" ht="36" hidden="1" customHeight="1">
      <c r="A69" s="1185">
        <v>9141</v>
      </c>
      <c r="B69" s="1184" t="s">
        <v>190</v>
      </c>
      <c r="C69" s="1207">
        <v>0</v>
      </c>
      <c r="D69" s="1208">
        <v>0</v>
      </c>
      <c r="E69" s="1209"/>
      <c r="F69" s="1209"/>
      <c r="G69" s="1209"/>
      <c r="H69" s="1176">
        <f t="shared" si="1"/>
        <v>0</v>
      </c>
      <c r="I69" s="1209">
        <v>0</v>
      </c>
      <c r="J69" s="1209"/>
      <c r="K69" s="1209"/>
      <c r="L69" s="1209"/>
      <c r="M69" s="1176">
        <f t="shared" si="3"/>
        <v>0</v>
      </c>
      <c r="N69" s="1209">
        <v>0</v>
      </c>
      <c r="O69" s="1209"/>
      <c r="P69" s="1209"/>
      <c r="Q69" s="1209"/>
      <c r="R69" s="1176">
        <f t="shared" si="5"/>
        <v>0</v>
      </c>
    </row>
    <row r="70" spans="1:18" s="89" customFormat="1" ht="36" hidden="1" customHeight="1">
      <c r="A70" s="1185">
        <v>9142</v>
      </c>
      <c r="B70" s="1184" t="s">
        <v>191</v>
      </c>
      <c r="C70" s="1207">
        <v>0</v>
      </c>
      <c r="D70" s="1208">
        <v>0</v>
      </c>
      <c r="E70" s="1209"/>
      <c r="F70" s="1209"/>
      <c r="G70" s="1209"/>
      <c r="H70" s="1176">
        <f t="shared" si="1"/>
        <v>0</v>
      </c>
      <c r="I70" s="1209">
        <v>0</v>
      </c>
      <c r="J70" s="1209"/>
      <c r="K70" s="1209"/>
      <c r="L70" s="1209"/>
      <c r="M70" s="1176">
        <f t="shared" si="3"/>
        <v>0</v>
      </c>
      <c r="N70" s="1209">
        <v>0</v>
      </c>
      <c r="O70" s="1209"/>
      <c r="P70" s="1209"/>
      <c r="Q70" s="1209"/>
      <c r="R70" s="1176">
        <f t="shared" si="5"/>
        <v>0</v>
      </c>
    </row>
    <row r="71" spans="1:18" s="89" customFormat="1" ht="24" hidden="1" customHeight="1">
      <c r="A71" s="1185">
        <v>9149</v>
      </c>
      <c r="B71" s="1184" t="s">
        <v>192</v>
      </c>
      <c r="C71" s="1207">
        <v>0</v>
      </c>
      <c r="D71" s="1208">
        <v>0</v>
      </c>
      <c r="E71" s="1209"/>
      <c r="F71" s="1209"/>
      <c r="G71" s="1209"/>
      <c r="H71" s="1176">
        <f t="shared" si="1"/>
        <v>0</v>
      </c>
      <c r="I71" s="1209">
        <v>0</v>
      </c>
      <c r="J71" s="1209"/>
      <c r="K71" s="1209"/>
      <c r="L71" s="1209"/>
      <c r="M71" s="1176">
        <f t="shared" si="3"/>
        <v>0</v>
      </c>
      <c r="N71" s="1209">
        <v>0</v>
      </c>
      <c r="O71" s="1209"/>
      <c r="P71" s="1209"/>
      <c r="Q71" s="1209"/>
      <c r="R71" s="1176">
        <f t="shared" si="5"/>
        <v>0</v>
      </c>
    </row>
    <row r="72" spans="1:18" s="29" customFormat="1" ht="24">
      <c r="A72" s="1214">
        <v>9500</v>
      </c>
      <c r="B72" s="1184" t="s">
        <v>165</v>
      </c>
      <c r="C72" s="1179">
        <v>33071601</v>
      </c>
      <c r="D72" s="1180">
        <v>21625800</v>
      </c>
      <c r="E72" s="1181">
        <f>SUM(E73:E75)</f>
        <v>0</v>
      </c>
      <c r="F72" s="1181">
        <f t="shared" ref="F72:G72" si="76">SUM(F73:F75)</f>
        <v>0</v>
      </c>
      <c r="G72" s="1181">
        <f t="shared" si="76"/>
        <v>0</v>
      </c>
      <c r="H72" s="1176">
        <f t="shared" si="1"/>
        <v>21625800</v>
      </c>
      <c r="I72" s="1181">
        <v>3221210</v>
      </c>
      <c r="J72" s="1181">
        <f>SUM(J73:J75)</f>
        <v>0</v>
      </c>
      <c r="K72" s="1181">
        <f t="shared" ref="K72:L72" si="77">SUM(K73:K75)</f>
        <v>0</v>
      </c>
      <c r="L72" s="1181">
        <f t="shared" si="77"/>
        <v>0</v>
      </c>
      <c r="M72" s="1176">
        <f t="shared" si="3"/>
        <v>3221210</v>
      </c>
      <c r="N72" s="1181">
        <v>0</v>
      </c>
      <c r="O72" s="1181">
        <f>SUM(O73:O75)</f>
        <v>0</v>
      </c>
      <c r="P72" s="1181">
        <f t="shared" ref="P72:Q72" si="78">SUM(P73:P75)</f>
        <v>0</v>
      </c>
      <c r="Q72" s="1181">
        <f t="shared" si="78"/>
        <v>0</v>
      </c>
      <c r="R72" s="1176">
        <f t="shared" si="5"/>
        <v>0</v>
      </c>
    </row>
    <row r="73" spans="1:18" s="29" customFormat="1" ht="24" hidden="1" customHeight="1">
      <c r="A73" s="1183" t="s">
        <v>193</v>
      </c>
      <c r="B73" s="1184" t="s">
        <v>171</v>
      </c>
      <c r="C73" s="1179">
        <v>0</v>
      </c>
      <c r="D73" s="1180">
        <v>0</v>
      </c>
      <c r="E73" s="1181"/>
      <c r="F73" s="1181"/>
      <c r="G73" s="1181"/>
      <c r="H73" s="1176">
        <f t="shared" si="1"/>
        <v>0</v>
      </c>
      <c r="I73" s="1181">
        <v>0</v>
      </c>
      <c r="J73" s="1181"/>
      <c r="K73" s="1181"/>
      <c r="L73" s="1181"/>
      <c r="M73" s="1176">
        <f t="shared" si="3"/>
        <v>0</v>
      </c>
      <c r="N73" s="1181">
        <v>0</v>
      </c>
      <c r="O73" s="1181"/>
      <c r="P73" s="1181"/>
      <c r="Q73" s="1181"/>
      <c r="R73" s="1176">
        <f t="shared" si="5"/>
        <v>0</v>
      </c>
    </row>
    <row r="74" spans="1:18" s="28" customFormat="1" ht="48">
      <c r="A74" s="1183">
        <v>9580</v>
      </c>
      <c r="B74" s="1184" t="s">
        <v>166</v>
      </c>
      <c r="C74" s="1207">
        <v>33070821</v>
      </c>
      <c r="D74" s="1208">
        <v>21625800</v>
      </c>
      <c r="E74" s="1209">
        <f>E242</f>
        <v>0</v>
      </c>
      <c r="F74" s="1209"/>
      <c r="G74" s="1209"/>
      <c r="H74" s="1176">
        <f t="shared" ref="H74:H137" si="79">SUM(D74:G74)</f>
        <v>21625800</v>
      </c>
      <c r="I74" s="1209">
        <v>3221210</v>
      </c>
      <c r="J74" s="1209">
        <f>J242</f>
        <v>0</v>
      </c>
      <c r="K74" s="1209"/>
      <c r="L74" s="1209"/>
      <c r="M74" s="1176">
        <f t="shared" ref="M74:M137" si="80">SUM(I74:L74)</f>
        <v>3221210</v>
      </c>
      <c r="N74" s="1209">
        <v>0</v>
      </c>
      <c r="O74" s="1209">
        <f>O242</f>
        <v>0</v>
      </c>
      <c r="P74" s="1209"/>
      <c r="Q74" s="1209"/>
      <c r="R74" s="1176">
        <f t="shared" ref="R74:R137" si="81">SUM(N74:Q74)</f>
        <v>0</v>
      </c>
    </row>
    <row r="75" spans="1:18" s="4" customFormat="1" ht="36">
      <c r="A75" s="1183">
        <v>9590</v>
      </c>
      <c r="B75" s="1205" t="s">
        <v>172</v>
      </c>
      <c r="C75" s="1207">
        <v>780</v>
      </c>
      <c r="D75" s="1208">
        <v>0</v>
      </c>
      <c r="E75" s="1209">
        <f>E243</f>
        <v>0</v>
      </c>
      <c r="F75" s="1209"/>
      <c r="G75" s="1209"/>
      <c r="H75" s="1176">
        <f t="shared" si="79"/>
        <v>0</v>
      </c>
      <c r="I75" s="1209">
        <v>0</v>
      </c>
      <c r="J75" s="1209">
        <f>J243</f>
        <v>0</v>
      </c>
      <c r="K75" s="1209"/>
      <c r="L75" s="1209"/>
      <c r="M75" s="1176">
        <f t="shared" si="80"/>
        <v>0</v>
      </c>
      <c r="N75" s="1209">
        <v>0</v>
      </c>
      <c r="O75" s="1209">
        <f>O243</f>
        <v>0</v>
      </c>
      <c r="P75" s="1209"/>
      <c r="Q75" s="1209"/>
      <c r="R75" s="1176">
        <f t="shared" si="81"/>
        <v>0</v>
      </c>
    </row>
    <row r="76" spans="1:18" ht="24" hidden="1" customHeight="1">
      <c r="A76" s="1214">
        <v>9700</v>
      </c>
      <c r="B76" s="1215" t="s">
        <v>194</v>
      </c>
      <c r="C76" s="1179">
        <v>0</v>
      </c>
      <c r="D76" s="1180">
        <v>0</v>
      </c>
      <c r="E76" s="1181">
        <f>SUM(E77:E78)</f>
        <v>0</v>
      </c>
      <c r="F76" s="1181">
        <f t="shared" ref="F76:G76" si="82">SUM(F77:F78)</f>
        <v>0</v>
      </c>
      <c r="G76" s="1181">
        <f t="shared" si="82"/>
        <v>0</v>
      </c>
      <c r="H76" s="1176">
        <f t="shared" si="79"/>
        <v>0</v>
      </c>
      <c r="I76" s="1181">
        <v>0</v>
      </c>
      <c r="J76" s="1181">
        <f>SUM(J77:J78)</f>
        <v>0</v>
      </c>
      <c r="K76" s="1181">
        <f t="shared" ref="K76:L76" si="83">SUM(K77:K78)</f>
        <v>0</v>
      </c>
      <c r="L76" s="1181">
        <f t="shared" si="83"/>
        <v>0</v>
      </c>
      <c r="M76" s="1176">
        <f t="shared" si="80"/>
        <v>0</v>
      </c>
      <c r="N76" s="1181">
        <v>0</v>
      </c>
      <c r="O76" s="1181">
        <f>SUM(O77:O78)</f>
        <v>0</v>
      </c>
      <c r="P76" s="1181">
        <f t="shared" ref="P76:Q76" si="84">SUM(P77:P78)</f>
        <v>0</v>
      </c>
      <c r="Q76" s="1181">
        <f t="shared" si="84"/>
        <v>0</v>
      </c>
      <c r="R76" s="1176">
        <f t="shared" si="81"/>
        <v>0</v>
      </c>
    </row>
    <row r="77" spans="1:18" ht="24" hidden="1" customHeight="1">
      <c r="A77" s="1183">
        <v>9710</v>
      </c>
      <c r="B77" s="1216" t="s">
        <v>195</v>
      </c>
      <c r="C77" s="1207">
        <v>0</v>
      </c>
      <c r="D77" s="1208">
        <v>0</v>
      </c>
      <c r="E77" s="1209"/>
      <c r="F77" s="1209"/>
      <c r="G77" s="1209"/>
      <c r="H77" s="1176">
        <f t="shared" si="79"/>
        <v>0</v>
      </c>
      <c r="I77" s="1209">
        <v>0</v>
      </c>
      <c r="J77" s="1209"/>
      <c r="K77" s="1209"/>
      <c r="L77" s="1209"/>
      <c r="M77" s="1176">
        <f t="shared" si="80"/>
        <v>0</v>
      </c>
      <c r="N77" s="1209">
        <v>0</v>
      </c>
      <c r="O77" s="1209"/>
      <c r="P77" s="1209"/>
      <c r="Q77" s="1209"/>
      <c r="R77" s="1176">
        <f t="shared" si="81"/>
        <v>0</v>
      </c>
    </row>
    <row r="78" spans="1:18" ht="48" hidden="1" customHeight="1">
      <c r="A78" s="1217">
        <v>9720</v>
      </c>
      <c r="B78" s="1215" t="s">
        <v>196</v>
      </c>
      <c r="C78" s="1207">
        <v>0</v>
      </c>
      <c r="D78" s="1208">
        <v>0</v>
      </c>
      <c r="E78" s="1209"/>
      <c r="F78" s="1209"/>
      <c r="G78" s="1209"/>
      <c r="H78" s="1176">
        <f t="shared" si="79"/>
        <v>0</v>
      </c>
      <c r="I78" s="1209">
        <v>0</v>
      </c>
      <c r="J78" s="1209"/>
      <c r="K78" s="1209"/>
      <c r="L78" s="1209"/>
      <c r="M78" s="1176">
        <f t="shared" si="80"/>
        <v>0</v>
      </c>
      <c r="N78" s="1209">
        <v>0</v>
      </c>
      <c r="O78" s="1209"/>
      <c r="P78" s="1209"/>
      <c r="Q78" s="1209"/>
      <c r="R78" s="1176">
        <f t="shared" si="81"/>
        <v>0</v>
      </c>
    </row>
    <row r="79" spans="1:18" ht="24">
      <c r="A79" s="1214">
        <v>9600</v>
      </c>
      <c r="B79" s="1205" t="s">
        <v>134</v>
      </c>
      <c r="C79" s="1207">
        <v>9539216</v>
      </c>
      <c r="D79" s="1208">
        <v>7080098</v>
      </c>
      <c r="E79" s="1209">
        <f>E247</f>
        <v>29809</v>
      </c>
      <c r="F79" s="1209"/>
      <c r="G79" s="1209"/>
      <c r="H79" s="1176">
        <f t="shared" si="79"/>
        <v>7109907</v>
      </c>
      <c r="I79" s="1209">
        <v>3875966</v>
      </c>
      <c r="J79" s="1209">
        <f>J247</f>
        <v>0</v>
      </c>
      <c r="K79" s="1209"/>
      <c r="L79" s="1209"/>
      <c r="M79" s="1176">
        <f t="shared" si="80"/>
        <v>3875966</v>
      </c>
      <c r="N79" s="1209">
        <v>2054628</v>
      </c>
      <c r="O79" s="1209">
        <f>O247</f>
        <v>0</v>
      </c>
      <c r="P79" s="1209"/>
      <c r="Q79" s="1209"/>
      <c r="R79" s="1176">
        <f t="shared" si="81"/>
        <v>2054628</v>
      </c>
    </row>
    <row r="80" spans="1:18" ht="30.6">
      <c r="A80" s="1171" t="s">
        <v>197</v>
      </c>
      <c r="B80" s="1218" t="s">
        <v>47</v>
      </c>
      <c r="C80" s="1219">
        <v>-6902724</v>
      </c>
      <c r="D80" s="1220">
        <v>-60000</v>
      </c>
      <c r="E80" s="1221">
        <f>E10-E35</f>
        <v>0</v>
      </c>
      <c r="F80" s="1221">
        <f t="shared" ref="F80:G80" si="85">F10-F35</f>
        <v>0</v>
      </c>
      <c r="G80" s="1221">
        <f t="shared" si="85"/>
        <v>0</v>
      </c>
      <c r="H80" s="1176">
        <f t="shared" si="79"/>
        <v>-60000</v>
      </c>
      <c r="I80" s="1221">
        <v>0</v>
      </c>
      <c r="J80" s="1221">
        <f>J10-J35</f>
        <v>0</v>
      </c>
      <c r="K80" s="1221">
        <f t="shared" ref="K80:L80" si="86">K10-K35</f>
        <v>0</v>
      </c>
      <c r="L80" s="1221">
        <f t="shared" si="86"/>
        <v>0</v>
      </c>
      <c r="M80" s="1176">
        <f t="shared" si="80"/>
        <v>0</v>
      </c>
      <c r="N80" s="1221">
        <v>0</v>
      </c>
      <c r="O80" s="1175">
        <f>O10-O35</f>
        <v>0</v>
      </c>
      <c r="P80" s="1221">
        <f t="shared" ref="P80:Q80" si="87">P10-P35</f>
        <v>0</v>
      </c>
      <c r="Q80" s="1221">
        <f t="shared" si="87"/>
        <v>0</v>
      </c>
      <c r="R80" s="1176">
        <f t="shared" si="81"/>
        <v>0</v>
      </c>
    </row>
    <row r="81" spans="1:18" ht="12">
      <c r="A81" s="1222" t="s">
        <v>48</v>
      </c>
      <c r="B81" s="1218" t="s">
        <v>49</v>
      </c>
      <c r="C81" s="1219">
        <v>6902724</v>
      </c>
      <c r="D81" s="1220">
        <v>60000</v>
      </c>
      <c r="E81" s="1221">
        <f>E82+E85+E89+E88</f>
        <v>0</v>
      </c>
      <c r="F81" s="1221">
        <f t="shared" ref="F81:G81" si="88">F82+F85+F89+F88</f>
        <v>0</v>
      </c>
      <c r="G81" s="1221">
        <f t="shared" si="88"/>
        <v>0</v>
      </c>
      <c r="H81" s="1176">
        <f t="shared" si="79"/>
        <v>60000</v>
      </c>
      <c r="I81" s="1221">
        <v>0</v>
      </c>
      <c r="J81" s="1221">
        <f>J82+J85+J89+J88</f>
        <v>0</v>
      </c>
      <c r="K81" s="1221">
        <f t="shared" ref="K81:L81" si="89">K82+K85+K89+K88</f>
        <v>0</v>
      </c>
      <c r="L81" s="1221">
        <f t="shared" si="89"/>
        <v>0</v>
      </c>
      <c r="M81" s="1176">
        <f t="shared" si="80"/>
        <v>0</v>
      </c>
      <c r="N81" s="1221">
        <v>0</v>
      </c>
      <c r="O81" s="1175">
        <f>O82+O85+O89+O88</f>
        <v>0</v>
      </c>
      <c r="P81" s="1221">
        <f t="shared" ref="P81:Q81" si="90">P82+P85+P89+P88</f>
        <v>0</v>
      </c>
      <c r="Q81" s="1221">
        <f t="shared" si="90"/>
        <v>0</v>
      </c>
      <c r="R81" s="1176">
        <f t="shared" si="81"/>
        <v>0</v>
      </c>
    </row>
    <row r="82" spans="1:18" s="4" customFormat="1" ht="12" hidden="1" customHeight="1">
      <c r="A82" s="1214" t="s">
        <v>50</v>
      </c>
      <c r="B82" s="1205" t="s">
        <v>51</v>
      </c>
      <c r="C82" s="1173">
        <v>0</v>
      </c>
      <c r="D82" s="1174">
        <v>0</v>
      </c>
      <c r="E82" s="1175">
        <f>E83+E84</f>
        <v>0</v>
      </c>
      <c r="F82" s="1175">
        <f t="shared" ref="F82:G82" si="91">F83+F84</f>
        <v>0</v>
      </c>
      <c r="G82" s="1175">
        <f t="shared" si="91"/>
        <v>0</v>
      </c>
      <c r="H82" s="1176">
        <f t="shared" si="79"/>
        <v>0</v>
      </c>
      <c r="I82" s="1175">
        <v>0</v>
      </c>
      <c r="J82" s="1175">
        <f>J83+J84</f>
        <v>0</v>
      </c>
      <c r="K82" s="1175">
        <f t="shared" ref="K82:L82" si="92">K83+K84</f>
        <v>0</v>
      </c>
      <c r="L82" s="1175">
        <f t="shared" si="92"/>
        <v>0</v>
      </c>
      <c r="M82" s="1176">
        <f t="shared" si="80"/>
        <v>0</v>
      </c>
      <c r="N82" s="1175">
        <v>0</v>
      </c>
      <c r="O82" s="1175">
        <f>O83+O84</f>
        <v>0</v>
      </c>
      <c r="P82" s="1175">
        <f t="shared" ref="P82:Q82" si="93">P83+P84</f>
        <v>0</v>
      </c>
      <c r="Q82" s="1175">
        <f t="shared" si="93"/>
        <v>0</v>
      </c>
      <c r="R82" s="1176">
        <f t="shared" si="81"/>
        <v>0</v>
      </c>
    </row>
    <row r="83" spans="1:18" s="6" customFormat="1" ht="12" hidden="1" customHeight="1">
      <c r="A83" s="1214" t="s">
        <v>52</v>
      </c>
      <c r="B83" s="1205" t="s">
        <v>53</v>
      </c>
      <c r="C83" s="1173">
        <v>0</v>
      </c>
      <c r="D83" s="1174">
        <v>0</v>
      </c>
      <c r="E83" s="1175"/>
      <c r="F83" s="1175"/>
      <c r="G83" s="1175"/>
      <c r="H83" s="1176">
        <f t="shared" si="79"/>
        <v>0</v>
      </c>
      <c r="I83" s="1175">
        <v>0</v>
      </c>
      <c r="J83" s="1175"/>
      <c r="K83" s="1175"/>
      <c r="L83" s="1175"/>
      <c r="M83" s="1176">
        <f t="shared" si="80"/>
        <v>0</v>
      </c>
      <c r="N83" s="1175">
        <v>0</v>
      </c>
      <c r="O83" s="1175"/>
      <c r="P83" s="1175"/>
      <c r="Q83" s="1175"/>
      <c r="R83" s="1176">
        <f t="shared" si="81"/>
        <v>0</v>
      </c>
    </row>
    <row r="84" spans="1:18" s="6" customFormat="1" ht="12" hidden="1" customHeight="1">
      <c r="A84" s="1214" t="s">
        <v>54</v>
      </c>
      <c r="B84" s="1205" t="s">
        <v>55</v>
      </c>
      <c r="C84" s="1173">
        <v>0</v>
      </c>
      <c r="D84" s="1174">
        <v>0</v>
      </c>
      <c r="E84" s="1175"/>
      <c r="F84" s="1175"/>
      <c r="G84" s="1175"/>
      <c r="H84" s="1176">
        <f t="shared" si="79"/>
        <v>0</v>
      </c>
      <c r="I84" s="1175">
        <v>0</v>
      </c>
      <c r="J84" s="1175"/>
      <c r="K84" s="1175"/>
      <c r="L84" s="1175"/>
      <c r="M84" s="1176">
        <f t="shared" si="80"/>
        <v>0</v>
      </c>
      <c r="N84" s="1175">
        <v>0</v>
      </c>
      <c r="O84" s="1175"/>
      <c r="P84" s="1175"/>
      <c r="Q84" s="1175"/>
      <c r="R84" s="1176">
        <f t="shared" si="81"/>
        <v>0</v>
      </c>
    </row>
    <row r="85" spans="1:18" s="6" customFormat="1" ht="12" hidden="1" customHeight="1">
      <c r="A85" s="1214" t="s">
        <v>56</v>
      </c>
      <c r="B85" s="1205" t="s">
        <v>57</v>
      </c>
      <c r="C85" s="1173">
        <v>0</v>
      </c>
      <c r="D85" s="1174">
        <v>0</v>
      </c>
      <c r="E85" s="1175">
        <f>E86+E87</f>
        <v>0</v>
      </c>
      <c r="F85" s="1175">
        <f t="shared" ref="F85:G85" si="94">F86+F87</f>
        <v>0</v>
      </c>
      <c r="G85" s="1175">
        <f t="shared" si="94"/>
        <v>0</v>
      </c>
      <c r="H85" s="1176">
        <f t="shared" si="79"/>
        <v>0</v>
      </c>
      <c r="I85" s="1175">
        <v>0</v>
      </c>
      <c r="J85" s="1175">
        <f>J86+J87</f>
        <v>0</v>
      </c>
      <c r="K85" s="1175">
        <f t="shared" ref="K85:L85" si="95">K86+K87</f>
        <v>0</v>
      </c>
      <c r="L85" s="1175">
        <f t="shared" si="95"/>
        <v>0</v>
      </c>
      <c r="M85" s="1176">
        <f t="shared" si="80"/>
        <v>0</v>
      </c>
      <c r="N85" s="1175">
        <v>0</v>
      </c>
      <c r="O85" s="1175">
        <f>O86+O87</f>
        <v>0</v>
      </c>
      <c r="P85" s="1175">
        <f t="shared" ref="P85:Q85" si="96">P86+P87</f>
        <v>0</v>
      </c>
      <c r="Q85" s="1175">
        <f t="shared" si="96"/>
        <v>0</v>
      </c>
      <c r="R85" s="1176">
        <f t="shared" si="81"/>
        <v>0</v>
      </c>
    </row>
    <row r="86" spans="1:18" s="6" customFormat="1" ht="12" hidden="1" customHeight="1">
      <c r="A86" s="1214" t="s">
        <v>58</v>
      </c>
      <c r="B86" s="1205" t="s">
        <v>59</v>
      </c>
      <c r="C86" s="1173">
        <v>0</v>
      </c>
      <c r="D86" s="1174">
        <v>0</v>
      </c>
      <c r="E86" s="1175"/>
      <c r="F86" s="1175"/>
      <c r="G86" s="1175"/>
      <c r="H86" s="1176">
        <f t="shared" si="79"/>
        <v>0</v>
      </c>
      <c r="I86" s="1175">
        <v>0</v>
      </c>
      <c r="J86" s="1175"/>
      <c r="K86" s="1175"/>
      <c r="L86" s="1175"/>
      <c r="M86" s="1176">
        <f t="shared" si="80"/>
        <v>0</v>
      </c>
      <c r="N86" s="1175">
        <v>0</v>
      </c>
      <c r="O86" s="1175"/>
      <c r="P86" s="1175"/>
      <c r="Q86" s="1175"/>
      <c r="R86" s="1176">
        <f t="shared" si="81"/>
        <v>0</v>
      </c>
    </row>
    <row r="87" spans="1:18" s="6" customFormat="1" ht="12" hidden="1" customHeight="1">
      <c r="A87" s="1214" t="s">
        <v>60</v>
      </c>
      <c r="B87" s="1205" t="s">
        <v>61</v>
      </c>
      <c r="C87" s="1173">
        <v>0</v>
      </c>
      <c r="D87" s="1174">
        <v>0</v>
      </c>
      <c r="E87" s="1175"/>
      <c r="F87" s="1175"/>
      <c r="G87" s="1175"/>
      <c r="H87" s="1176">
        <f t="shared" si="79"/>
        <v>0</v>
      </c>
      <c r="I87" s="1175">
        <v>0</v>
      </c>
      <c r="J87" s="1175"/>
      <c r="K87" s="1175"/>
      <c r="L87" s="1175"/>
      <c r="M87" s="1176">
        <f t="shared" si="80"/>
        <v>0</v>
      </c>
      <c r="N87" s="1175">
        <v>0</v>
      </c>
      <c r="O87" s="1175"/>
      <c r="P87" s="1175"/>
      <c r="Q87" s="1175"/>
      <c r="R87" s="1176">
        <f t="shared" si="81"/>
        <v>0</v>
      </c>
    </row>
    <row r="88" spans="1:18" s="6" customFormat="1" ht="12" hidden="1" customHeight="1">
      <c r="A88" s="1214" t="s">
        <v>198</v>
      </c>
      <c r="B88" s="1223" t="s">
        <v>168</v>
      </c>
      <c r="C88" s="1173">
        <v>0</v>
      </c>
      <c r="D88" s="1174">
        <v>0</v>
      </c>
      <c r="E88" s="1175"/>
      <c r="F88" s="1175"/>
      <c r="G88" s="1175"/>
      <c r="H88" s="1176">
        <f t="shared" si="79"/>
        <v>0</v>
      </c>
      <c r="I88" s="1175">
        <v>0</v>
      </c>
      <c r="J88" s="1175"/>
      <c r="K88" s="1175"/>
      <c r="L88" s="1175"/>
      <c r="M88" s="1176">
        <f t="shared" si="80"/>
        <v>0</v>
      </c>
      <c r="N88" s="1175">
        <v>0</v>
      </c>
      <c r="O88" s="1175"/>
      <c r="P88" s="1175"/>
      <c r="Q88" s="1175"/>
      <c r="R88" s="1176">
        <f t="shared" si="81"/>
        <v>0</v>
      </c>
    </row>
    <row r="89" spans="1:18" s="6" customFormat="1" ht="12">
      <c r="A89" s="1224" t="s">
        <v>62</v>
      </c>
      <c r="B89" s="1178" t="s">
        <v>63</v>
      </c>
      <c r="C89" s="1179">
        <v>6902724</v>
      </c>
      <c r="D89" s="1180">
        <v>60000</v>
      </c>
      <c r="E89" s="1181">
        <f t="shared" ref="E89:G89" si="97">E90+E91+E92</f>
        <v>0</v>
      </c>
      <c r="F89" s="1181">
        <f t="shared" si="97"/>
        <v>0</v>
      </c>
      <c r="G89" s="1181">
        <f t="shared" si="97"/>
        <v>0</v>
      </c>
      <c r="H89" s="1176">
        <f t="shared" si="79"/>
        <v>60000</v>
      </c>
      <c r="I89" s="1181">
        <v>0</v>
      </c>
      <c r="J89" s="1181">
        <f t="shared" ref="J89:L89" si="98">J90+J91+J92</f>
        <v>0</v>
      </c>
      <c r="K89" s="1181">
        <f t="shared" si="98"/>
        <v>0</v>
      </c>
      <c r="L89" s="1181">
        <f t="shared" si="98"/>
        <v>0</v>
      </c>
      <c r="M89" s="1176">
        <f t="shared" si="80"/>
        <v>0</v>
      </c>
      <c r="N89" s="1181">
        <v>0</v>
      </c>
      <c r="O89" s="1181">
        <f t="shared" ref="O89:Q89" si="99">O90+O91+O92</f>
        <v>0</v>
      </c>
      <c r="P89" s="1181">
        <f t="shared" si="99"/>
        <v>0</v>
      </c>
      <c r="Q89" s="1181">
        <f t="shared" si="99"/>
        <v>0</v>
      </c>
      <c r="R89" s="1176">
        <f t="shared" si="81"/>
        <v>0</v>
      </c>
    </row>
    <row r="90" spans="1:18" s="6" customFormat="1" ht="36" hidden="1" customHeight="1">
      <c r="A90" s="1224" t="s">
        <v>64</v>
      </c>
      <c r="B90" s="1205" t="s">
        <v>65</v>
      </c>
      <c r="C90" s="1173">
        <v>0</v>
      </c>
      <c r="D90" s="1174">
        <v>0</v>
      </c>
      <c r="E90" s="1175"/>
      <c r="F90" s="1175"/>
      <c r="G90" s="1175"/>
      <c r="H90" s="1176">
        <f t="shared" si="79"/>
        <v>0</v>
      </c>
      <c r="I90" s="1175">
        <v>0</v>
      </c>
      <c r="J90" s="1175"/>
      <c r="K90" s="1175"/>
      <c r="L90" s="1175"/>
      <c r="M90" s="1176">
        <f t="shared" si="80"/>
        <v>0</v>
      </c>
      <c r="N90" s="1175">
        <v>0</v>
      </c>
      <c r="O90" s="1175"/>
      <c r="P90" s="1175"/>
      <c r="Q90" s="1175"/>
      <c r="R90" s="1176">
        <f t="shared" si="81"/>
        <v>0</v>
      </c>
    </row>
    <row r="91" spans="1:18" s="6" customFormat="1" ht="24">
      <c r="A91" s="1224" t="s">
        <v>66</v>
      </c>
      <c r="B91" s="1205" t="s">
        <v>67</v>
      </c>
      <c r="C91" s="1173">
        <v>6902724</v>
      </c>
      <c r="D91" s="1174">
        <v>60000</v>
      </c>
      <c r="E91" s="1175">
        <f>-E80</f>
        <v>0</v>
      </c>
      <c r="F91" s="1175"/>
      <c r="G91" s="1175"/>
      <c r="H91" s="1176">
        <f t="shared" si="79"/>
        <v>60000</v>
      </c>
      <c r="I91" s="1175">
        <v>0</v>
      </c>
      <c r="J91" s="1175">
        <f>-J80</f>
        <v>0</v>
      </c>
      <c r="K91" s="1175"/>
      <c r="L91" s="1175"/>
      <c r="M91" s="1176">
        <f t="shared" si="80"/>
        <v>0</v>
      </c>
      <c r="N91" s="1175">
        <v>0</v>
      </c>
      <c r="O91" s="1175">
        <f>-O80</f>
        <v>0</v>
      </c>
      <c r="P91" s="1175"/>
      <c r="Q91" s="1175"/>
      <c r="R91" s="1176">
        <f t="shared" si="81"/>
        <v>0</v>
      </c>
    </row>
    <row r="92" spans="1:18" s="6" customFormat="1" ht="24" hidden="1" customHeight="1">
      <c r="A92" s="1224" t="s">
        <v>68</v>
      </c>
      <c r="B92" s="1178" t="s">
        <v>69</v>
      </c>
      <c r="C92" s="1173">
        <v>0</v>
      </c>
      <c r="D92" s="1174">
        <v>0</v>
      </c>
      <c r="E92" s="1175"/>
      <c r="F92" s="1175"/>
      <c r="G92" s="1175"/>
      <c r="H92" s="1176">
        <f t="shared" si="79"/>
        <v>0</v>
      </c>
      <c r="I92" s="1175">
        <v>0</v>
      </c>
      <c r="J92" s="1175"/>
      <c r="K92" s="1175"/>
      <c r="L92" s="1175"/>
      <c r="M92" s="1176">
        <f t="shared" si="80"/>
        <v>0</v>
      </c>
      <c r="N92" s="1175">
        <v>0</v>
      </c>
      <c r="O92" s="1175"/>
      <c r="P92" s="1175"/>
      <c r="Q92" s="1175"/>
      <c r="R92" s="1176">
        <f t="shared" si="81"/>
        <v>0</v>
      </c>
    </row>
    <row r="93" spans="1:18" s="6" customFormat="1" ht="12">
      <c r="A93" s="1225"/>
      <c r="B93" s="1226" t="s">
        <v>199</v>
      </c>
      <c r="C93" s="1227"/>
      <c r="D93" s="1228">
        <v>0</v>
      </c>
      <c r="E93" s="1229"/>
      <c r="F93" s="1229"/>
      <c r="G93" s="1229"/>
      <c r="H93" s="1230">
        <f t="shared" si="79"/>
        <v>0</v>
      </c>
      <c r="I93" s="1231">
        <v>0</v>
      </c>
      <c r="J93" s="1229"/>
      <c r="K93" s="1229"/>
      <c r="L93" s="1229"/>
      <c r="M93" s="1230">
        <f t="shared" si="80"/>
        <v>0</v>
      </c>
      <c r="N93" s="1231">
        <v>0</v>
      </c>
      <c r="O93" s="1229"/>
      <c r="P93" s="1229"/>
      <c r="Q93" s="1229"/>
      <c r="R93" s="1230">
        <f t="shared" si="81"/>
        <v>0</v>
      </c>
    </row>
    <row r="94" spans="1:18" s="6" customFormat="1" ht="20.399999999999999">
      <c r="A94" s="1168" t="s">
        <v>201</v>
      </c>
      <c r="B94" s="1169" t="s">
        <v>88</v>
      </c>
      <c r="C94" s="431">
        <v>78141066</v>
      </c>
      <c r="D94" s="432">
        <v>83587668</v>
      </c>
      <c r="E94" s="228">
        <f t="shared" ref="E94:G94" si="100">E95+E96+E98+E116</f>
        <v>-3012135</v>
      </c>
      <c r="F94" s="228">
        <f t="shared" si="100"/>
        <v>413639</v>
      </c>
      <c r="G94" s="228">
        <f t="shared" si="100"/>
        <v>2605776</v>
      </c>
      <c r="H94" s="1170">
        <f t="shared" si="79"/>
        <v>83594948</v>
      </c>
      <c r="I94" s="228">
        <v>53560757</v>
      </c>
      <c r="J94" s="228">
        <f t="shared" ref="J94:L94" si="101">J95+J96+J98+J116</f>
        <v>7994930</v>
      </c>
      <c r="K94" s="228">
        <f t="shared" si="101"/>
        <v>131300</v>
      </c>
      <c r="L94" s="228">
        <f t="shared" si="101"/>
        <v>2389926</v>
      </c>
      <c r="M94" s="1170">
        <f t="shared" si="80"/>
        <v>64076913</v>
      </c>
      <c r="N94" s="228">
        <v>34822943</v>
      </c>
      <c r="O94" s="228">
        <f t="shared" ref="O94:Q94" si="102">O95+O96+O98+O116</f>
        <v>-568590</v>
      </c>
      <c r="P94" s="228">
        <f t="shared" si="102"/>
        <v>45327</v>
      </c>
      <c r="Q94" s="228">
        <f t="shared" si="102"/>
        <v>2412836</v>
      </c>
      <c r="R94" s="1170">
        <f t="shared" si="81"/>
        <v>36712516</v>
      </c>
    </row>
    <row r="95" spans="1:18" s="6" customFormat="1" ht="22.8">
      <c r="A95" s="1171" t="s">
        <v>177</v>
      </c>
      <c r="B95" s="1172" t="s">
        <v>90</v>
      </c>
      <c r="C95" s="1173">
        <v>1046750</v>
      </c>
      <c r="D95" s="1174">
        <v>1011750</v>
      </c>
      <c r="E95" s="1175"/>
      <c r="F95" s="1175"/>
      <c r="G95" s="1175"/>
      <c r="H95" s="1176">
        <f t="shared" si="79"/>
        <v>1011750</v>
      </c>
      <c r="I95" s="1175">
        <v>1011750</v>
      </c>
      <c r="J95" s="1175"/>
      <c r="K95" s="1175"/>
      <c r="L95" s="1175"/>
      <c r="M95" s="1176">
        <f t="shared" si="80"/>
        <v>1011750</v>
      </c>
      <c r="N95" s="1175">
        <v>1011750</v>
      </c>
      <c r="O95" s="1175"/>
      <c r="P95" s="1175"/>
      <c r="Q95" s="1175"/>
      <c r="R95" s="1176">
        <f t="shared" si="81"/>
        <v>1011750</v>
      </c>
    </row>
    <row r="96" spans="1:18" s="6" customFormat="1" ht="12" hidden="1" customHeight="1">
      <c r="A96" s="1171" t="s">
        <v>91</v>
      </c>
      <c r="B96" s="1172" t="s">
        <v>92</v>
      </c>
      <c r="C96" s="1173">
        <v>0</v>
      </c>
      <c r="D96" s="1174">
        <v>0</v>
      </c>
      <c r="E96" s="1175"/>
      <c r="F96" s="1175"/>
      <c r="G96" s="1175"/>
      <c r="H96" s="1176">
        <f t="shared" si="79"/>
        <v>0</v>
      </c>
      <c r="I96" s="1175">
        <v>0</v>
      </c>
      <c r="J96" s="1175"/>
      <c r="K96" s="1175"/>
      <c r="L96" s="1175"/>
      <c r="M96" s="1176">
        <f t="shared" si="80"/>
        <v>0</v>
      </c>
      <c r="N96" s="1175">
        <v>0</v>
      </c>
      <c r="O96" s="1175"/>
      <c r="P96" s="1175"/>
      <c r="Q96" s="1175"/>
      <c r="R96" s="1176">
        <f t="shared" si="81"/>
        <v>0</v>
      </c>
    </row>
    <row r="97" spans="1:18" s="6" customFormat="1" ht="24" hidden="1" customHeight="1">
      <c r="A97" s="1177">
        <v>21210</v>
      </c>
      <c r="B97" s="1178" t="s">
        <v>93</v>
      </c>
      <c r="C97" s="1173">
        <v>0</v>
      </c>
      <c r="D97" s="1174">
        <v>0</v>
      </c>
      <c r="E97" s="1175"/>
      <c r="F97" s="1175"/>
      <c r="G97" s="1175"/>
      <c r="H97" s="1176">
        <f t="shared" si="79"/>
        <v>0</v>
      </c>
      <c r="I97" s="1175">
        <v>0</v>
      </c>
      <c r="J97" s="1175"/>
      <c r="K97" s="1175"/>
      <c r="L97" s="1175"/>
      <c r="M97" s="1176">
        <f t="shared" si="80"/>
        <v>0</v>
      </c>
      <c r="N97" s="1175">
        <v>0</v>
      </c>
      <c r="O97" s="1175"/>
      <c r="P97" s="1175"/>
      <c r="Q97" s="1175"/>
      <c r="R97" s="1176">
        <f t="shared" si="81"/>
        <v>0</v>
      </c>
    </row>
    <row r="98" spans="1:18" s="6" customFormat="1" ht="20.399999999999999">
      <c r="A98" s="1171" t="s">
        <v>178</v>
      </c>
      <c r="B98" s="1172" t="s">
        <v>94</v>
      </c>
      <c r="C98" s="1179">
        <v>33922</v>
      </c>
      <c r="D98" s="1180">
        <v>0</v>
      </c>
      <c r="E98" s="1181">
        <f t="shared" ref="E98:G98" si="103">E99+E105</f>
        <v>0</v>
      </c>
      <c r="F98" s="1181">
        <f t="shared" si="103"/>
        <v>0</v>
      </c>
      <c r="G98" s="1181">
        <f t="shared" si="103"/>
        <v>0</v>
      </c>
      <c r="H98" s="1176">
        <f t="shared" si="79"/>
        <v>0</v>
      </c>
      <c r="I98" s="1181">
        <v>0</v>
      </c>
      <c r="J98" s="1181">
        <f t="shared" ref="J98:L98" si="104">J99+J105</f>
        <v>0</v>
      </c>
      <c r="K98" s="1181">
        <f t="shared" si="104"/>
        <v>0</v>
      </c>
      <c r="L98" s="1181">
        <f t="shared" si="104"/>
        <v>0</v>
      </c>
      <c r="M98" s="1176">
        <f t="shared" si="80"/>
        <v>0</v>
      </c>
      <c r="N98" s="1181">
        <v>0</v>
      </c>
      <c r="O98" s="1181">
        <f t="shared" ref="O98:Q98" si="105">O99+O105</f>
        <v>0</v>
      </c>
      <c r="P98" s="1181">
        <f t="shared" si="105"/>
        <v>0</v>
      </c>
      <c r="Q98" s="1181">
        <f t="shared" si="105"/>
        <v>0</v>
      </c>
      <c r="R98" s="1176">
        <f t="shared" si="81"/>
        <v>0</v>
      </c>
    </row>
    <row r="99" spans="1:18" s="6" customFormat="1" ht="12">
      <c r="A99" s="1182">
        <v>18000</v>
      </c>
      <c r="B99" s="1178" t="s">
        <v>95</v>
      </c>
      <c r="C99" s="1179">
        <v>33922</v>
      </c>
      <c r="D99" s="1180">
        <v>0</v>
      </c>
      <c r="E99" s="1181">
        <f t="shared" ref="E99:L100" si="106">E100</f>
        <v>0</v>
      </c>
      <c r="F99" s="1181">
        <f t="shared" si="106"/>
        <v>0</v>
      </c>
      <c r="G99" s="1181">
        <f t="shared" si="106"/>
        <v>0</v>
      </c>
      <c r="H99" s="1176">
        <f t="shared" si="79"/>
        <v>0</v>
      </c>
      <c r="I99" s="1181">
        <v>0</v>
      </c>
      <c r="J99" s="1181">
        <f t="shared" si="106"/>
        <v>0</v>
      </c>
      <c r="K99" s="1181">
        <f t="shared" si="106"/>
        <v>0</v>
      </c>
      <c r="L99" s="1181">
        <f t="shared" si="106"/>
        <v>0</v>
      </c>
      <c r="M99" s="1176">
        <f t="shared" si="80"/>
        <v>0</v>
      </c>
      <c r="N99" s="1181">
        <v>0</v>
      </c>
      <c r="O99" s="1181">
        <f t="shared" ref="O99:Q100" si="107">O100</f>
        <v>0</v>
      </c>
      <c r="P99" s="1181">
        <f t="shared" si="107"/>
        <v>0</v>
      </c>
      <c r="Q99" s="1181">
        <f t="shared" si="107"/>
        <v>0</v>
      </c>
      <c r="R99" s="1176">
        <f t="shared" si="81"/>
        <v>0</v>
      </c>
    </row>
    <row r="100" spans="1:18" s="6" customFormat="1" ht="12">
      <c r="A100" s="1182">
        <v>18100</v>
      </c>
      <c r="B100" s="1178" t="s">
        <v>96</v>
      </c>
      <c r="C100" s="1179">
        <v>33922</v>
      </c>
      <c r="D100" s="1180">
        <v>0</v>
      </c>
      <c r="E100" s="1181">
        <f t="shared" si="106"/>
        <v>0</v>
      </c>
      <c r="F100" s="1181">
        <f t="shared" si="106"/>
        <v>0</v>
      </c>
      <c r="G100" s="1181">
        <f t="shared" si="106"/>
        <v>0</v>
      </c>
      <c r="H100" s="1176">
        <f t="shared" si="79"/>
        <v>0</v>
      </c>
      <c r="I100" s="1181">
        <v>0</v>
      </c>
      <c r="J100" s="1181">
        <f t="shared" si="106"/>
        <v>0</v>
      </c>
      <c r="K100" s="1181">
        <f t="shared" si="106"/>
        <v>0</v>
      </c>
      <c r="L100" s="1181">
        <f t="shared" si="106"/>
        <v>0</v>
      </c>
      <c r="M100" s="1176">
        <f t="shared" si="80"/>
        <v>0</v>
      </c>
      <c r="N100" s="1181">
        <v>0</v>
      </c>
      <c r="O100" s="1181">
        <f t="shared" si="107"/>
        <v>0</v>
      </c>
      <c r="P100" s="1181">
        <f t="shared" si="107"/>
        <v>0</v>
      </c>
      <c r="Q100" s="1181">
        <f t="shared" si="107"/>
        <v>0</v>
      </c>
      <c r="R100" s="1176">
        <f t="shared" si="81"/>
        <v>0</v>
      </c>
    </row>
    <row r="101" spans="1:18" s="6" customFormat="1" ht="24">
      <c r="A101" s="1183">
        <v>18130</v>
      </c>
      <c r="B101" s="1184" t="s">
        <v>159</v>
      </c>
      <c r="C101" s="1179">
        <v>33922</v>
      </c>
      <c r="D101" s="1180">
        <v>0</v>
      </c>
      <c r="E101" s="1181">
        <f t="shared" ref="E101:G101" si="108">SUM(E102:E104)</f>
        <v>0</v>
      </c>
      <c r="F101" s="1181">
        <f t="shared" ref="F101" si="109">SUM(F102:F104)</f>
        <v>0</v>
      </c>
      <c r="G101" s="1181">
        <f t="shared" si="108"/>
        <v>0</v>
      </c>
      <c r="H101" s="1176">
        <f t="shared" si="79"/>
        <v>0</v>
      </c>
      <c r="I101" s="1181">
        <v>0</v>
      </c>
      <c r="J101" s="1181">
        <f t="shared" ref="J101:L101" si="110">SUM(J102:J104)</f>
        <v>0</v>
      </c>
      <c r="K101" s="1181">
        <f t="shared" si="110"/>
        <v>0</v>
      </c>
      <c r="L101" s="1181">
        <f t="shared" si="110"/>
        <v>0</v>
      </c>
      <c r="M101" s="1176">
        <f t="shared" si="80"/>
        <v>0</v>
      </c>
      <c r="N101" s="1181">
        <v>0</v>
      </c>
      <c r="O101" s="1181">
        <f t="shared" ref="O101:Q101" si="111">SUM(O102:O104)</f>
        <v>0</v>
      </c>
      <c r="P101" s="1181">
        <f t="shared" si="111"/>
        <v>0</v>
      </c>
      <c r="Q101" s="1181">
        <f t="shared" si="111"/>
        <v>0</v>
      </c>
      <c r="R101" s="1176">
        <f t="shared" si="81"/>
        <v>0</v>
      </c>
    </row>
    <row r="102" spans="1:18" s="6" customFormat="1" ht="24">
      <c r="A102" s="1185">
        <v>18131</v>
      </c>
      <c r="B102" s="1184" t="s">
        <v>160</v>
      </c>
      <c r="C102" s="1179">
        <v>33922</v>
      </c>
      <c r="D102" s="1180">
        <v>0</v>
      </c>
      <c r="E102" s="1181"/>
      <c r="F102" s="1181"/>
      <c r="G102" s="1181"/>
      <c r="H102" s="1176">
        <f t="shared" si="79"/>
        <v>0</v>
      </c>
      <c r="I102" s="1181">
        <v>0</v>
      </c>
      <c r="J102" s="1181"/>
      <c r="K102" s="1181"/>
      <c r="L102" s="1181"/>
      <c r="M102" s="1176">
        <f t="shared" si="80"/>
        <v>0</v>
      </c>
      <c r="N102" s="1181">
        <v>0</v>
      </c>
      <c r="O102" s="1181"/>
      <c r="P102" s="1181"/>
      <c r="Q102" s="1181"/>
      <c r="R102" s="1176">
        <f t="shared" si="81"/>
        <v>0</v>
      </c>
    </row>
    <row r="103" spans="1:18" s="6" customFormat="1" ht="24" hidden="1" customHeight="1">
      <c r="A103" s="1185">
        <v>18132</v>
      </c>
      <c r="B103" s="1184" t="s">
        <v>169</v>
      </c>
      <c r="C103" s="1179">
        <v>0</v>
      </c>
      <c r="D103" s="1180">
        <v>0</v>
      </c>
      <c r="E103" s="1181"/>
      <c r="F103" s="1181"/>
      <c r="G103" s="1181"/>
      <c r="H103" s="1176">
        <f t="shared" si="79"/>
        <v>0</v>
      </c>
      <c r="I103" s="1181">
        <v>0</v>
      </c>
      <c r="J103" s="1181"/>
      <c r="K103" s="1181"/>
      <c r="L103" s="1181"/>
      <c r="M103" s="1176">
        <f t="shared" si="80"/>
        <v>0</v>
      </c>
      <c r="N103" s="1181">
        <v>0</v>
      </c>
      <c r="O103" s="1181"/>
      <c r="P103" s="1181"/>
      <c r="Q103" s="1181"/>
      <c r="R103" s="1176">
        <f t="shared" si="81"/>
        <v>0</v>
      </c>
    </row>
    <row r="104" spans="1:18" s="6" customFormat="1" ht="24" hidden="1" customHeight="1">
      <c r="A104" s="1185">
        <v>18139</v>
      </c>
      <c r="B104" s="1184" t="s">
        <v>179</v>
      </c>
      <c r="C104" s="1179">
        <v>0</v>
      </c>
      <c r="D104" s="1180">
        <v>0</v>
      </c>
      <c r="E104" s="1181"/>
      <c r="F104" s="1181"/>
      <c r="G104" s="1181"/>
      <c r="H104" s="1176">
        <f t="shared" si="79"/>
        <v>0</v>
      </c>
      <c r="I104" s="1181">
        <v>0</v>
      </c>
      <c r="J104" s="1181"/>
      <c r="K104" s="1181"/>
      <c r="L104" s="1181"/>
      <c r="M104" s="1176">
        <f t="shared" si="80"/>
        <v>0</v>
      </c>
      <c r="N104" s="1181">
        <v>0</v>
      </c>
      <c r="O104" s="1181"/>
      <c r="P104" s="1181"/>
      <c r="Q104" s="1181"/>
      <c r="R104" s="1176">
        <f t="shared" si="81"/>
        <v>0</v>
      </c>
    </row>
    <row r="105" spans="1:18" s="6" customFormat="1" ht="12" hidden="1" customHeight="1">
      <c r="A105" s="1186" t="s">
        <v>180</v>
      </c>
      <c r="B105" s="1187" t="s">
        <v>173</v>
      </c>
      <c r="C105" s="435">
        <v>0</v>
      </c>
      <c r="D105" s="436">
        <v>0</v>
      </c>
      <c r="E105" s="238">
        <f t="shared" ref="E105:L105" si="112">E106</f>
        <v>0</v>
      </c>
      <c r="F105" s="238">
        <f t="shared" si="112"/>
        <v>0</v>
      </c>
      <c r="G105" s="238">
        <f t="shared" si="112"/>
        <v>0</v>
      </c>
      <c r="H105" s="1176">
        <f t="shared" si="79"/>
        <v>0</v>
      </c>
      <c r="I105" s="238">
        <v>0</v>
      </c>
      <c r="J105" s="238">
        <f t="shared" si="112"/>
        <v>0</v>
      </c>
      <c r="K105" s="238">
        <f t="shared" si="112"/>
        <v>0</v>
      </c>
      <c r="L105" s="238">
        <f t="shared" si="112"/>
        <v>0</v>
      </c>
      <c r="M105" s="1176">
        <f t="shared" si="80"/>
        <v>0</v>
      </c>
      <c r="N105" s="238">
        <v>0</v>
      </c>
      <c r="O105" s="238">
        <f t="shared" ref="O105:Q105" si="113">O106</f>
        <v>0</v>
      </c>
      <c r="P105" s="238">
        <f t="shared" si="113"/>
        <v>0</v>
      </c>
      <c r="Q105" s="238">
        <f t="shared" si="113"/>
        <v>0</v>
      </c>
      <c r="R105" s="1176">
        <f t="shared" si="81"/>
        <v>0</v>
      </c>
    </row>
    <row r="106" spans="1:18" s="6" customFormat="1" ht="24" hidden="1" customHeight="1">
      <c r="A106" s="1186">
        <v>19500</v>
      </c>
      <c r="B106" s="1184" t="s">
        <v>174</v>
      </c>
      <c r="C106" s="1179">
        <v>0</v>
      </c>
      <c r="D106" s="1180">
        <v>0</v>
      </c>
      <c r="E106" s="1181">
        <f t="shared" ref="E106:G106" si="114">SUM(E107:E109)</f>
        <v>0</v>
      </c>
      <c r="F106" s="1181">
        <f t="shared" si="114"/>
        <v>0</v>
      </c>
      <c r="G106" s="1181">
        <f t="shared" si="114"/>
        <v>0</v>
      </c>
      <c r="H106" s="1176">
        <f t="shared" si="79"/>
        <v>0</v>
      </c>
      <c r="I106" s="1181">
        <v>0</v>
      </c>
      <c r="J106" s="1181">
        <f t="shared" ref="J106:L106" si="115">SUM(J107:J109)</f>
        <v>0</v>
      </c>
      <c r="K106" s="1181">
        <f t="shared" si="115"/>
        <v>0</v>
      </c>
      <c r="L106" s="1181">
        <f t="shared" si="115"/>
        <v>0</v>
      </c>
      <c r="M106" s="1176">
        <f t="shared" si="80"/>
        <v>0</v>
      </c>
      <c r="N106" s="1181">
        <v>0</v>
      </c>
      <c r="O106" s="1181">
        <f t="shared" ref="O106:Q106" si="116">SUM(O107:O109)</f>
        <v>0</v>
      </c>
      <c r="P106" s="1181">
        <f t="shared" si="116"/>
        <v>0</v>
      </c>
      <c r="Q106" s="1181">
        <f t="shared" si="116"/>
        <v>0</v>
      </c>
      <c r="R106" s="1176">
        <f t="shared" si="81"/>
        <v>0</v>
      </c>
    </row>
    <row r="107" spans="1:18" s="6" customFormat="1" ht="24" hidden="1" customHeight="1">
      <c r="A107" s="1188">
        <v>19550</v>
      </c>
      <c r="B107" s="1184" t="s">
        <v>175</v>
      </c>
      <c r="C107" s="1179">
        <v>0</v>
      </c>
      <c r="D107" s="1180">
        <v>0</v>
      </c>
      <c r="E107" s="1181"/>
      <c r="F107" s="1181"/>
      <c r="G107" s="1181"/>
      <c r="H107" s="1176">
        <f t="shared" si="79"/>
        <v>0</v>
      </c>
      <c r="I107" s="1181">
        <v>0</v>
      </c>
      <c r="J107" s="1181"/>
      <c r="K107" s="1181"/>
      <c r="L107" s="1181"/>
      <c r="M107" s="1176">
        <f t="shared" si="80"/>
        <v>0</v>
      </c>
      <c r="N107" s="1181">
        <v>0</v>
      </c>
      <c r="O107" s="1181"/>
      <c r="P107" s="1181"/>
      <c r="Q107" s="1181"/>
      <c r="R107" s="1176">
        <f t="shared" si="81"/>
        <v>0</v>
      </c>
    </row>
    <row r="108" spans="1:18" s="6" customFormat="1" ht="36" hidden="1" customHeight="1">
      <c r="A108" s="1188">
        <v>19560</v>
      </c>
      <c r="B108" s="1184" t="s">
        <v>181</v>
      </c>
      <c r="C108" s="1179">
        <v>0</v>
      </c>
      <c r="D108" s="1180">
        <v>0</v>
      </c>
      <c r="E108" s="1181"/>
      <c r="F108" s="1181"/>
      <c r="G108" s="1181"/>
      <c r="H108" s="1176">
        <f t="shared" si="79"/>
        <v>0</v>
      </c>
      <c r="I108" s="1181">
        <v>0</v>
      </c>
      <c r="J108" s="1181"/>
      <c r="K108" s="1181"/>
      <c r="L108" s="1181"/>
      <c r="M108" s="1176">
        <f t="shared" si="80"/>
        <v>0</v>
      </c>
      <c r="N108" s="1181">
        <v>0</v>
      </c>
      <c r="O108" s="1181"/>
      <c r="P108" s="1181"/>
      <c r="Q108" s="1181"/>
      <c r="R108" s="1176">
        <f t="shared" si="81"/>
        <v>0</v>
      </c>
    </row>
    <row r="109" spans="1:18" s="6" customFormat="1" ht="72" hidden="1" customHeight="1">
      <c r="A109" s="1188">
        <v>19570</v>
      </c>
      <c r="B109" s="1184" t="s">
        <v>182</v>
      </c>
      <c r="C109" s="1179">
        <v>0</v>
      </c>
      <c r="D109" s="1180">
        <v>0</v>
      </c>
      <c r="E109" s="1181"/>
      <c r="F109" s="1181"/>
      <c r="G109" s="1181"/>
      <c r="H109" s="1176">
        <f t="shared" si="79"/>
        <v>0</v>
      </c>
      <c r="I109" s="1181">
        <v>0</v>
      </c>
      <c r="J109" s="1181"/>
      <c r="K109" s="1181"/>
      <c r="L109" s="1181"/>
      <c r="M109" s="1176">
        <f t="shared" si="80"/>
        <v>0</v>
      </c>
      <c r="N109" s="1181">
        <v>0</v>
      </c>
      <c r="O109" s="1181"/>
      <c r="P109" s="1181"/>
      <c r="Q109" s="1181"/>
      <c r="R109" s="1176">
        <f t="shared" si="81"/>
        <v>0</v>
      </c>
    </row>
    <row r="110" spans="1:18" s="6" customFormat="1" ht="24" hidden="1" customHeight="1">
      <c r="A110" s="1189" t="s">
        <v>222</v>
      </c>
      <c r="B110" s="1190" t="s">
        <v>216</v>
      </c>
      <c r="C110" s="1176">
        <f>C111</f>
        <v>0</v>
      </c>
      <c r="D110" s="1176">
        <v>0</v>
      </c>
      <c r="E110" s="1176">
        <f t="shared" ref="E110:L110" si="117">E111</f>
        <v>0</v>
      </c>
      <c r="F110" s="1176">
        <f t="shared" si="117"/>
        <v>0</v>
      </c>
      <c r="G110" s="1176">
        <f t="shared" si="117"/>
        <v>0</v>
      </c>
      <c r="H110" s="1176">
        <f t="shared" si="79"/>
        <v>0</v>
      </c>
      <c r="I110" s="1181">
        <v>0</v>
      </c>
      <c r="J110" s="1176">
        <f t="shared" si="117"/>
        <v>0</v>
      </c>
      <c r="K110" s="1176">
        <f t="shared" si="117"/>
        <v>0</v>
      </c>
      <c r="L110" s="1176">
        <f t="shared" si="117"/>
        <v>0</v>
      </c>
      <c r="M110" s="1176">
        <f t="shared" si="80"/>
        <v>0</v>
      </c>
      <c r="N110" s="1181">
        <v>0</v>
      </c>
      <c r="O110" s="1176">
        <f t="shared" ref="O110:Q110" si="118">O111</f>
        <v>0</v>
      </c>
      <c r="P110" s="1176">
        <f t="shared" si="118"/>
        <v>0</v>
      </c>
      <c r="Q110" s="1176">
        <f t="shared" si="118"/>
        <v>0</v>
      </c>
      <c r="R110" s="1176">
        <f t="shared" si="81"/>
        <v>0</v>
      </c>
    </row>
    <row r="111" spans="1:18" s="6" customFormat="1" ht="36" hidden="1" customHeight="1">
      <c r="A111" s="1189">
        <v>17100</v>
      </c>
      <c r="B111" s="1190" t="s">
        <v>217</v>
      </c>
      <c r="C111" s="1176">
        <f>SUM(C112:C115)</f>
        <v>0</v>
      </c>
      <c r="D111" s="1176">
        <v>0</v>
      </c>
      <c r="E111" s="1176">
        <f t="shared" ref="E111:G111" si="119">SUM(E112:E115)</f>
        <v>0</v>
      </c>
      <c r="F111" s="1176">
        <f t="shared" si="119"/>
        <v>0</v>
      </c>
      <c r="G111" s="1176">
        <f t="shared" si="119"/>
        <v>0</v>
      </c>
      <c r="H111" s="1176">
        <f t="shared" si="79"/>
        <v>0</v>
      </c>
      <c r="I111" s="1181">
        <v>0</v>
      </c>
      <c r="J111" s="1176">
        <f t="shared" ref="J111:L111" si="120">SUM(J112:J115)</f>
        <v>0</v>
      </c>
      <c r="K111" s="1176">
        <f t="shared" si="120"/>
        <v>0</v>
      </c>
      <c r="L111" s="1176">
        <f t="shared" si="120"/>
        <v>0</v>
      </c>
      <c r="M111" s="1176">
        <f t="shared" si="80"/>
        <v>0</v>
      </c>
      <c r="N111" s="1181">
        <v>0</v>
      </c>
      <c r="O111" s="1176">
        <f t="shared" ref="O111:Q111" si="121">SUM(O112:O115)</f>
        <v>0</v>
      </c>
      <c r="P111" s="1176">
        <f t="shared" si="121"/>
        <v>0</v>
      </c>
      <c r="Q111" s="1176">
        <f t="shared" si="121"/>
        <v>0</v>
      </c>
      <c r="R111" s="1176">
        <f t="shared" si="81"/>
        <v>0</v>
      </c>
    </row>
    <row r="112" spans="1:18" s="6" customFormat="1" ht="60" hidden="1" customHeight="1">
      <c r="A112" s="1191">
        <v>17110</v>
      </c>
      <c r="B112" s="1190" t="s">
        <v>218</v>
      </c>
      <c r="C112" s="1176"/>
      <c r="D112" s="1181">
        <v>0</v>
      </c>
      <c r="E112" s="1181"/>
      <c r="F112" s="1181"/>
      <c r="G112" s="1181"/>
      <c r="H112" s="1176">
        <f t="shared" si="79"/>
        <v>0</v>
      </c>
      <c r="I112" s="1181">
        <v>0</v>
      </c>
      <c r="J112" s="1181"/>
      <c r="K112" s="1181"/>
      <c r="L112" s="1181"/>
      <c r="M112" s="1176">
        <f t="shared" si="80"/>
        <v>0</v>
      </c>
      <c r="N112" s="1181">
        <v>0</v>
      </c>
      <c r="O112" s="1181"/>
      <c r="P112" s="1181"/>
      <c r="Q112" s="1181"/>
      <c r="R112" s="1176">
        <f t="shared" si="81"/>
        <v>0</v>
      </c>
    </row>
    <row r="113" spans="1:18" s="6" customFormat="1" ht="60" hidden="1" customHeight="1">
      <c r="A113" s="1191">
        <v>17120</v>
      </c>
      <c r="B113" s="1190" t="s">
        <v>219</v>
      </c>
      <c r="C113" s="1176"/>
      <c r="D113" s="1181">
        <v>0</v>
      </c>
      <c r="E113" s="1181"/>
      <c r="F113" s="1181"/>
      <c r="G113" s="1181"/>
      <c r="H113" s="1176">
        <f t="shared" si="79"/>
        <v>0</v>
      </c>
      <c r="I113" s="1181">
        <v>0</v>
      </c>
      <c r="J113" s="1181"/>
      <c r="K113" s="1181"/>
      <c r="L113" s="1181"/>
      <c r="M113" s="1176">
        <f t="shared" si="80"/>
        <v>0</v>
      </c>
      <c r="N113" s="1181">
        <v>0</v>
      </c>
      <c r="O113" s="1181"/>
      <c r="P113" s="1181"/>
      <c r="Q113" s="1181"/>
      <c r="R113" s="1176">
        <f t="shared" si="81"/>
        <v>0</v>
      </c>
    </row>
    <row r="114" spans="1:18" s="6" customFormat="1" ht="108" hidden="1" customHeight="1">
      <c r="A114" s="1191">
        <v>17130</v>
      </c>
      <c r="B114" s="1190" t="s">
        <v>220</v>
      </c>
      <c r="C114" s="1176"/>
      <c r="D114" s="1181">
        <v>0</v>
      </c>
      <c r="E114" s="1181"/>
      <c r="F114" s="1181"/>
      <c r="G114" s="1181"/>
      <c r="H114" s="1176">
        <f t="shared" si="79"/>
        <v>0</v>
      </c>
      <c r="I114" s="1181">
        <v>0</v>
      </c>
      <c r="J114" s="1181"/>
      <c r="K114" s="1181"/>
      <c r="L114" s="1181"/>
      <c r="M114" s="1176">
        <f t="shared" si="80"/>
        <v>0</v>
      </c>
      <c r="N114" s="1181">
        <v>0</v>
      </c>
      <c r="O114" s="1181"/>
      <c r="P114" s="1181"/>
      <c r="Q114" s="1181"/>
      <c r="R114" s="1176">
        <f t="shared" si="81"/>
        <v>0</v>
      </c>
    </row>
    <row r="115" spans="1:18" s="6" customFormat="1" ht="96" hidden="1" customHeight="1">
      <c r="A115" s="1191">
        <v>17140</v>
      </c>
      <c r="B115" s="1190" t="s">
        <v>221</v>
      </c>
      <c r="C115" s="1176"/>
      <c r="D115" s="1181">
        <v>0</v>
      </c>
      <c r="E115" s="1181"/>
      <c r="F115" s="1181"/>
      <c r="G115" s="1181"/>
      <c r="H115" s="1176">
        <f t="shared" si="79"/>
        <v>0</v>
      </c>
      <c r="I115" s="1181">
        <v>0</v>
      </c>
      <c r="J115" s="1181"/>
      <c r="K115" s="1181"/>
      <c r="L115" s="1181"/>
      <c r="M115" s="1176">
        <f t="shared" si="80"/>
        <v>0</v>
      </c>
      <c r="N115" s="1181">
        <v>0</v>
      </c>
      <c r="O115" s="1181"/>
      <c r="P115" s="1181"/>
      <c r="Q115" s="1181"/>
      <c r="R115" s="1176">
        <f t="shared" si="81"/>
        <v>0</v>
      </c>
    </row>
    <row r="116" spans="1:18" s="6" customFormat="1" ht="12">
      <c r="A116" s="1192">
        <v>21700</v>
      </c>
      <c r="B116" s="1172" t="s">
        <v>97</v>
      </c>
      <c r="C116" s="1179">
        <v>77060394</v>
      </c>
      <c r="D116" s="1180">
        <v>82575918</v>
      </c>
      <c r="E116" s="1181">
        <f t="shared" ref="E116:G116" si="122">E117+E118</f>
        <v>-3012135</v>
      </c>
      <c r="F116" s="1181">
        <f t="shared" si="122"/>
        <v>413639</v>
      </c>
      <c r="G116" s="1181">
        <f t="shared" si="122"/>
        <v>2605776</v>
      </c>
      <c r="H116" s="1176">
        <f t="shared" si="79"/>
        <v>82583198</v>
      </c>
      <c r="I116" s="1181">
        <v>52549007</v>
      </c>
      <c r="J116" s="1181">
        <f t="shared" ref="J116:L116" si="123">J117+J118</f>
        <v>7994930</v>
      </c>
      <c r="K116" s="1181">
        <f t="shared" si="123"/>
        <v>131300</v>
      </c>
      <c r="L116" s="1181">
        <f t="shared" si="123"/>
        <v>2389926</v>
      </c>
      <c r="M116" s="1176">
        <f t="shared" si="80"/>
        <v>63065163</v>
      </c>
      <c r="N116" s="1181">
        <v>33811193</v>
      </c>
      <c r="O116" s="1181">
        <f t="shared" ref="O116:Q116" si="124">O117+O118</f>
        <v>-568590</v>
      </c>
      <c r="P116" s="1181">
        <f t="shared" si="124"/>
        <v>45327</v>
      </c>
      <c r="Q116" s="1181">
        <f t="shared" si="124"/>
        <v>2412836</v>
      </c>
      <c r="R116" s="1176">
        <f t="shared" si="81"/>
        <v>35700766</v>
      </c>
    </row>
    <row r="117" spans="1:18" s="6" customFormat="1" ht="24">
      <c r="A117" s="1193">
        <v>21710</v>
      </c>
      <c r="B117" s="1178" t="s">
        <v>98</v>
      </c>
      <c r="C117" s="1179">
        <v>77060394</v>
      </c>
      <c r="D117" s="1180">
        <v>82575918</v>
      </c>
      <c r="E117" s="1181">
        <v>-3012135</v>
      </c>
      <c r="F117" s="1181">
        <f>126000+53346+299074+135219-200000</f>
        <v>413639</v>
      </c>
      <c r="G117" s="1181">
        <v>2605776</v>
      </c>
      <c r="H117" s="1176">
        <f t="shared" si="79"/>
        <v>82583198</v>
      </c>
      <c r="I117" s="1181">
        <v>52549007</v>
      </c>
      <c r="J117" s="1181">
        <v>7994930</v>
      </c>
      <c r="K117" s="1181">
        <f>126000+48346+156954-200000</f>
        <v>131300</v>
      </c>
      <c r="L117" s="1181">
        <v>2389926</v>
      </c>
      <c r="M117" s="1176">
        <f t="shared" si="80"/>
        <v>63065163</v>
      </c>
      <c r="N117" s="1181">
        <v>33811193</v>
      </c>
      <c r="O117" s="1181">
        <v>-568590</v>
      </c>
      <c r="P117" s="1181">
        <f>126000+15169+104158-200000</f>
        <v>45327</v>
      </c>
      <c r="Q117" s="1181">
        <v>2412836</v>
      </c>
      <c r="R117" s="1176">
        <f t="shared" si="81"/>
        <v>35700766</v>
      </c>
    </row>
    <row r="118" spans="1:18" s="6" customFormat="1" ht="24" hidden="1" customHeight="1">
      <c r="A118" s="1193">
        <v>21720</v>
      </c>
      <c r="B118" s="1178" t="s">
        <v>99</v>
      </c>
      <c r="C118" s="1179">
        <v>0</v>
      </c>
      <c r="D118" s="1180">
        <v>0</v>
      </c>
      <c r="E118" s="1181"/>
      <c r="F118" s="1181"/>
      <c r="G118" s="1181"/>
      <c r="H118" s="1176">
        <f t="shared" si="79"/>
        <v>0</v>
      </c>
      <c r="I118" s="1181">
        <v>0</v>
      </c>
      <c r="J118" s="1181"/>
      <c r="K118" s="1181"/>
      <c r="L118" s="1181"/>
      <c r="M118" s="1176">
        <f t="shared" si="80"/>
        <v>0</v>
      </c>
      <c r="N118" s="1181">
        <v>0</v>
      </c>
      <c r="O118" s="1181"/>
      <c r="P118" s="1181"/>
      <c r="Q118" s="1181"/>
      <c r="R118" s="1176">
        <f t="shared" si="81"/>
        <v>0</v>
      </c>
    </row>
    <row r="119" spans="1:18" s="6" customFormat="1" ht="11.4">
      <c r="A119" s="1168" t="s">
        <v>100</v>
      </c>
      <c r="B119" s="1169" t="s">
        <v>101</v>
      </c>
      <c r="C119" s="1194">
        <v>78141066</v>
      </c>
      <c r="D119" s="1195">
        <v>83587668</v>
      </c>
      <c r="E119" s="1196">
        <f t="shared" ref="E119" si="125">E120+E147</f>
        <v>-3012135</v>
      </c>
      <c r="F119" s="1196">
        <f>F120+F147</f>
        <v>413639</v>
      </c>
      <c r="G119" s="1196">
        <f>G120+G147</f>
        <v>2605776</v>
      </c>
      <c r="H119" s="1170">
        <f t="shared" si="79"/>
        <v>83594948</v>
      </c>
      <c r="I119" s="1196">
        <v>53560757</v>
      </c>
      <c r="J119" s="1196">
        <f t="shared" ref="J119:L119" si="126">J120+J147</f>
        <v>7994930</v>
      </c>
      <c r="K119" s="1196">
        <f t="shared" si="126"/>
        <v>131300</v>
      </c>
      <c r="L119" s="1196">
        <f t="shared" si="126"/>
        <v>2389926</v>
      </c>
      <c r="M119" s="1170">
        <f t="shared" si="80"/>
        <v>64076913</v>
      </c>
      <c r="N119" s="1196">
        <v>34822943</v>
      </c>
      <c r="O119" s="1196">
        <f t="shared" ref="O119:Q119" si="127">O120+O147</f>
        <v>-568590</v>
      </c>
      <c r="P119" s="1196">
        <f t="shared" si="127"/>
        <v>45327</v>
      </c>
      <c r="Q119" s="1196">
        <f t="shared" si="127"/>
        <v>2412836</v>
      </c>
      <c r="R119" s="1170">
        <f t="shared" si="81"/>
        <v>36712516</v>
      </c>
    </row>
    <row r="120" spans="1:18" s="6" customFormat="1" ht="20.399999999999999">
      <c r="A120" s="1171" t="s">
        <v>102</v>
      </c>
      <c r="B120" s="1172" t="s">
        <v>103</v>
      </c>
      <c r="C120" s="1179">
        <v>77994452</v>
      </c>
      <c r="D120" s="1180">
        <v>83444554</v>
      </c>
      <c r="E120" s="1181">
        <f t="shared" ref="E120:G120" si="128">E121+E125+E126+E129+E132</f>
        <v>-2997135</v>
      </c>
      <c r="F120" s="1181">
        <f>F121+F125+F126+F129+F132</f>
        <v>405239</v>
      </c>
      <c r="G120" s="1181">
        <f t="shared" si="128"/>
        <v>2440636</v>
      </c>
      <c r="H120" s="1176">
        <f t="shared" si="79"/>
        <v>83293294</v>
      </c>
      <c r="I120" s="1181">
        <v>53430643</v>
      </c>
      <c r="J120" s="1181">
        <f t="shared" ref="J120:L120" si="129">J121+J125+J126+J129+J132</f>
        <v>8004930</v>
      </c>
      <c r="K120" s="1181">
        <f t="shared" si="129"/>
        <v>131300</v>
      </c>
      <c r="L120" s="1181">
        <f t="shared" si="129"/>
        <v>2289926</v>
      </c>
      <c r="M120" s="1176">
        <f t="shared" si="80"/>
        <v>63856799</v>
      </c>
      <c r="N120" s="1181">
        <v>34705829</v>
      </c>
      <c r="O120" s="1181">
        <f t="shared" ref="O120:Q120" si="130">O121+O125+O126+O129+O132</f>
        <v>-568590</v>
      </c>
      <c r="P120" s="1181">
        <f t="shared" si="130"/>
        <v>45327</v>
      </c>
      <c r="Q120" s="1181">
        <f t="shared" si="130"/>
        <v>2301996</v>
      </c>
      <c r="R120" s="1176">
        <f t="shared" si="81"/>
        <v>36484562</v>
      </c>
    </row>
    <row r="121" spans="1:18" s="6" customFormat="1" ht="12">
      <c r="A121" s="1171" t="s">
        <v>104</v>
      </c>
      <c r="B121" s="1172" t="s">
        <v>105</v>
      </c>
      <c r="C121" s="1179">
        <v>11845406</v>
      </c>
      <c r="D121" s="1180">
        <v>12517549</v>
      </c>
      <c r="E121" s="1181">
        <f t="shared" ref="E121:G121" si="131">E122+E124</f>
        <v>-478799</v>
      </c>
      <c r="F121" s="1181">
        <f t="shared" si="131"/>
        <v>605239</v>
      </c>
      <c r="G121" s="1181">
        <f t="shared" si="131"/>
        <v>1279258</v>
      </c>
      <c r="H121" s="1176">
        <f t="shared" si="79"/>
        <v>13923247</v>
      </c>
      <c r="I121" s="1181">
        <v>12534549</v>
      </c>
      <c r="J121" s="1181">
        <f t="shared" ref="J121:L121" si="132">J122+J124</f>
        <v>-508227</v>
      </c>
      <c r="K121" s="1181">
        <f t="shared" si="132"/>
        <v>331300</v>
      </c>
      <c r="L121" s="1181">
        <f t="shared" si="132"/>
        <v>1118148</v>
      </c>
      <c r="M121" s="1176">
        <f t="shared" si="80"/>
        <v>13475770</v>
      </c>
      <c r="N121" s="1181">
        <v>12568753</v>
      </c>
      <c r="O121" s="1181">
        <f t="shared" ref="O121:Q121" si="133">O122+O124</f>
        <v>-540727</v>
      </c>
      <c r="P121" s="1181">
        <f t="shared" si="133"/>
        <v>245327</v>
      </c>
      <c r="Q121" s="1181">
        <f t="shared" si="133"/>
        <v>1153218</v>
      </c>
      <c r="R121" s="1176">
        <f t="shared" si="81"/>
        <v>13426571</v>
      </c>
    </row>
    <row r="122" spans="1:18" s="29" customFormat="1" ht="12">
      <c r="A122" s="1182">
        <v>1000</v>
      </c>
      <c r="B122" s="1178" t="s">
        <v>106</v>
      </c>
      <c r="C122" s="1179">
        <v>7971116</v>
      </c>
      <c r="D122" s="1180">
        <v>8016335</v>
      </c>
      <c r="E122" s="1181">
        <f>E279</f>
        <v>-124766</v>
      </c>
      <c r="F122" s="1181">
        <f>43746+78855</f>
        <v>122601</v>
      </c>
      <c r="G122" s="1181">
        <v>204632</v>
      </c>
      <c r="H122" s="1176">
        <f t="shared" si="79"/>
        <v>8218802</v>
      </c>
      <c r="I122" s="1181">
        <v>8016335</v>
      </c>
      <c r="J122" s="1181">
        <f>J279</f>
        <v>-170194</v>
      </c>
      <c r="K122" s="1181">
        <f>43746+104890</f>
        <v>148636</v>
      </c>
      <c r="L122" s="1181">
        <v>189108</v>
      </c>
      <c r="M122" s="1176">
        <f t="shared" si="80"/>
        <v>8183885</v>
      </c>
      <c r="N122" s="1181">
        <v>8016335</v>
      </c>
      <c r="O122" s="1181">
        <f>O279</f>
        <v>-170194</v>
      </c>
      <c r="P122" s="1181">
        <f>14401+69927</f>
        <v>84328</v>
      </c>
      <c r="Q122" s="1181">
        <v>169108</v>
      </c>
      <c r="R122" s="1176">
        <f t="shared" si="81"/>
        <v>8099577</v>
      </c>
    </row>
    <row r="123" spans="1:18" s="89" customFormat="1" ht="12">
      <c r="A123" s="1198">
        <v>1100</v>
      </c>
      <c r="B123" s="1178" t="s">
        <v>107</v>
      </c>
      <c r="C123" s="1179">
        <v>6299974</v>
      </c>
      <c r="D123" s="1180">
        <v>6329839</v>
      </c>
      <c r="E123" s="1181">
        <f t="shared" ref="E123" si="134">E280</f>
        <v>-96515</v>
      </c>
      <c r="F123" s="1181">
        <f>33204+24246</f>
        <v>57450</v>
      </c>
      <c r="G123" s="1181">
        <v>144021</v>
      </c>
      <c r="H123" s="1176">
        <f t="shared" si="79"/>
        <v>6434795</v>
      </c>
      <c r="I123" s="1181">
        <v>6329839</v>
      </c>
      <c r="J123" s="1181">
        <f>J280</f>
        <v>-133124</v>
      </c>
      <c r="K123" s="1181">
        <f>33204+32328</f>
        <v>65532</v>
      </c>
      <c r="L123" s="1181">
        <v>131511</v>
      </c>
      <c r="M123" s="1176">
        <f t="shared" si="80"/>
        <v>6393758</v>
      </c>
      <c r="N123" s="1181">
        <v>6329839</v>
      </c>
      <c r="O123" s="1181">
        <f>O280</f>
        <v>-133124</v>
      </c>
      <c r="P123" s="1181">
        <f>11068+21552</f>
        <v>32620</v>
      </c>
      <c r="Q123" s="1181">
        <v>131511</v>
      </c>
      <c r="R123" s="1176">
        <f t="shared" si="81"/>
        <v>6360846</v>
      </c>
    </row>
    <row r="124" spans="1:18" s="89" customFormat="1" ht="12">
      <c r="A124" s="1182">
        <v>2000</v>
      </c>
      <c r="B124" s="1178" t="s">
        <v>108</v>
      </c>
      <c r="C124" s="1179">
        <v>3874290</v>
      </c>
      <c r="D124" s="1180">
        <v>4501214</v>
      </c>
      <c r="E124" s="1181">
        <f>E271+E281+E393</f>
        <v>-354033</v>
      </c>
      <c r="F124" s="1181">
        <f>F397+6200+299074+51364</f>
        <v>482638</v>
      </c>
      <c r="G124" s="1181">
        <f>G428+G444+G479+G489+G496</f>
        <v>1074626</v>
      </c>
      <c r="H124" s="1176">
        <f t="shared" si="79"/>
        <v>5704445</v>
      </c>
      <c r="I124" s="1181">
        <v>4518214</v>
      </c>
      <c r="J124" s="1181">
        <f>J271+J281</f>
        <v>-338033</v>
      </c>
      <c r="K124" s="1181">
        <f>K397+4600+52064</f>
        <v>182664</v>
      </c>
      <c r="L124" s="1181">
        <f>L428+L444+L479+L489+L496</f>
        <v>929040</v>
      </c>
      <c r="M124" s="1176">
        <f t="shared" si="80"/>
        <v>5291885</v>
      </c>
      <c r="N124" s="1181">
        <v>4552418</v>
      </c>
      <c r="O124" s="1181">
        <f>O271+O281</f>
        <v>-370533</v>
      </c>
      <c r="P124" s="1181">
        <f>P397+768+34231</f>
        <v>160999</v>
      </c>
      <c r="Q124" s="1181">
        <f>Q428+Q444+Q479+Q489+Q496</f>
        <v>984110</v>
      </c>
      <c r="R124" s="1176">
        <f t="shared" si="81"/>
        <v>5326994</v>
      </c>
    </row>
    <row r="125" spans="1:18" s="89" customFormat="1" ht="12" hidden="1" customHeight="1">
      <c r="A125" s="1199">
        <v>4000</v>
      </c>
      <c r="B125" s="1172" t="s">
        <v>132</v>
      </c>
      <c r="C125" s="1179">
        <v>0</v>
      </c>
      <c r="D125" s="1200">
        <v>0</v>
      </c>
      <c r="E125" s="1181"/>
      <c r="F125" s="1197"/>
      <c r="G125" s="1197"/>
      <c r="H125" s="1176">
        <f t="shared" si="79"/>
        <v>0</v>
      </c>
      <c r="I125" s="1181">
        <v>0</v>
      </c>
      <c r="J125" s="1181"/>
      <c r="K125" s="1197"/>
      <c r="L125" s="1197"/>
      <c r="M125" s="1176">
        <f t="shared" si="80"/>
        <v>0</v>
      </c>
      <c r="N125" s="1181">
        <v>0</v>
      </c>
      <c r="O125" s="1181"/>
      <c r="P125" s="1197"/>
      <c r="Q125" s="1197"/>
      <c r="R125" s="1176">
        <f t="shared" si="81"/>
        <v>0</v>
      </c>
    </row>
    <row r="126" spans="1:18" s="89" customFormat="1" ht="12">
      <c r="A126" s="1199" t="s">
        <v>109</v>
      </c>
      <c r="B126" s="1172" t="s">
        <v>110</v>
      </c>
      <c r="C126" s="1179">
        <v>47790834</v>
      </c>
      <c r="D126" s="1180">
        <v>50282471</v>
      </c>
      <c r="E126" s="1181">
        <f t="shared" ref="E126:G126" si="135">E127+E128</f>
        <v>2118959</v>
      </c>
      <c r="F126" s="1181">
        <f t="shared" si="135"/>
        <v>0</v>
      </c>
      <c r="G126" s="1181">
        <f t="shared" si="135"/>
        <v>1061378</v>
      </c>
      <c r="H126" s="1176">
        <f t="shared" si="79"/>
        <v>53462808</v>
      </c>
      <c r="I126" s="1181">
        <v>29435841</v>
      </c>
      <c r="J126" s="1181">
        <f t="shared" ref="J126:L126" si="136">J127+J128</f>
        <v>8513157</v>
      </c>
      <c r="K126" s="1181">
        <f t="shared" si="136"/>
        <v>0</v>
      </c>
      <c r="L126" s="1181">
        <f t="shared" si="136"/>
        <v>1096778</v>
      </c>
      <c r="M126" s="1176">
        <f t="shared" si="80"/>
        <v>39045776</v>
      </c>
      <c r="N126" s="1181">
        <v>19911447</v>
      </c>
      <c r="O126" s="1181">
        <f t="shared" ref="O126:Q126" si="137">O127+O128</f>
        <v>-27863</v>
      </c>
      <c r="P126" s="1181">
        <f t="shared" si="137"/>
        <v>0</v>
      </c>
      <c r="Q126" s="1181">
        <f t="shared" si="137"/>
        <v>1098778</v>
      </c>
      <c r="R126" s="1176">
        <f t="shared" si="81"/>
        <v>20982362</v>
      </c>
    </row>
    <row r="127" spans="1:18" s="89" customFormat="1" ht="12">
      <c r="A127" s="1182">
        <v>3000</v>
      </c>
      <c r="B127" s="1178" t="s">
        <v>111</v>
      </c>
      <c r="C127" s="1201">
        <v>47790834</v>
      </c>
      <c r="D127" s="1202">
        <v>50282471</v>
      </c>
      <c r="E127" s="1203">
        <f>E284+E342</f>
        <v>2118959</v>
      </c>
      <c r="F127" s="1204"/>
      <c r="G127" s="1203">
        <f>G437+G446</f>
        <v>1061378</v>
      </c>
      <c r="H127" s="1176">
        <f t="shared" si="79"/>
        <v>53462808</v>
      </c>
      <c r="I127" s="1203">
        <v>29435841</v>
      </c>
      <c r="J127" s="1203">
        <f>J284+J342</f>
        <v>8513157</v>
      </c>
      <c r="K127" s="1204"/>
      <c r="L127" s="1203">
        <v>1096778</v>
      </c>
      <c r="M127" s="1176">
        <f t="shared" si="80"/>
        <v>39045776</v>
      </c>
      <c r="N127" s="1203">
        <v>19911447</v>
      </c>
      <c r="O127" s="1203">
        <f>O284</f>
        <v>-27863</v>
      </c>
      <c r="P127" s="1204"/>
      <c r="Q127" s="1203">
        <v>1098778</v>
      </c>
      <c r="R127" s="1176">
        <f t="shared" si="81"/>
        <v>20982362</v>
      </c>
    </row>
    <row r="128" spans="1:18" s="89" customFormat="1" ht="12" hidden="1" customHeight="1">
      <c r="A128" s="1182">
        <v>6000</v>
      </c>
      <c r="B128" s="1178" t="s">
        <v>112</v>
      </c>
      <c r="C128" s="439">
        <v>0</v>
      </c>
      <c r="D128" s="440">
        <v>0</v>
      </c>
      <c r="E128" s="248"/>
      <c r="F128" s="248"/>
      <c r="G128" s="248"/>
      <c r="H128" s="1176">
        <f t="shared" si="79"/>
        <v>0</v>
      </c>
      <c r="I128" s="346">
        <v>0</v>
      </c>
      <c r="J128" s="248"/>
      <c r="K128" s="248"/>
      <c r="L128" s="248"/>
      <c r="M128" s="1176">
        <f t="shared" si="80"/>
        <v>0</v>
      </c>
      <c r="N128" s="346">
        <v>0</v>
      </c>
      <c r="O128" s="248"/>
      <c r="P128" s="248"/>
      <c r="Q128" s="248"/>
      <c r="R128" s="1176">
        <f t="shared" si="81"/>
        <v>0</v>
      </c>
    </row>
    <row r="129" spans="1:18" s="89" customFormat="1" ht="22.8">
      <c r="A129" s="1199" t="s">
        <v>113</v>
      </c>
      <c r="B129" s="1172" t="s">
        <v>183</v>
      </c>
      <c r="C129" s="1179">
        <v>634463</v>
      </c>
      <c r="D129" s="1180">
        <v>703084</v>
      </c>
      <c r="E129" s="1181">
        <f t="shared" ref="E129:G129" si="138">E130+E131</f>
        <v>0</v>
      </c>
      <c r="F129" s="1181">
        <f t="shared" si="138"/>
        <v>0</v>
      </c>
      <c r="G129" s="1181">
        <f t="shared" si="138"/>
        <v>0</v>
      </c>
      <c r="H129" s="1176">
        <f t="shared" si="79"/>
        <v>703084</v>
      </c>
      <c r="I129" s="1181">
        <v>738884</v>
      </c>
      <c r="J129" s="1181">
        <f t="shared" ref="J129:L129" si="139">J130+J131</f>
        <v>0</v>
      </c>
      <c r="K129" s="1181">
        <f t="shared" si="139"/>
        <v>0</v>
      </c>
      <c r="L129" s="1181">
        <f t="shared" si="139"/>
        <v>0</v>
      </c>
      <c r="M129" s="1176">
        <f t="shared" si="80"/>
        <v>738884</v>
      </c>
      <c r="N129" s="1181">
        <v>781084</v>
      </c>
      <c r="O129" s="1181">
        <f t="shared" ref="O129:Q129" si="140">O130+O131</f>
        <v>0</v>
      </c>
      <c r="P129" s="1181">
        <f t="shared" si="140"/>
        <v>0</v>
      </c>
      <c r="Q129" s="1181">
        <f t="shared" si="140"/>
        <v>0</v>
      </c>
      <c r="R129" s="1176">
        <f t="shared" si="81"/>
        <v>781084</v>
      </c>
    </row>
    <row r="130" spans="1:18" s="89" customFormat="1" ht="12" hidden="1" customHeight="1">
      <c r="A130" s="1182">
        <v>7600</v>
      </c>
      <c r="B130" s="1205" t="s">
        <v>184</v>
      </c>
      <c r="C130" s="1179">
        <v>0</v>
      </c>
      <c r="D130" s="1200">
        <v>0</v>
      </c>
      <c r="E130" s="1197"/>
      <c r="F130" s="1197"/>
      <c r="G130" s="1197"/>
      <c r="H130" s="1176">
        <f t="shared" si="79"/>
        <v>0</v>
      </c>
      <c r="I130" s="1181">
        <v>0</v>
      </c>
      <c r="J130" s="1197"/>
      <c r="K130" s="1197"/>
      <c r="L130" s="1197"/>
      <c r="M130" s="1176">
        <f t="shared" si="80"/>
        <v>0</v>
      </c>
      <c r="N130" s="1181">
        <v>0</v>
      </c>
      <c r="O130" s="1197"/>
      <c r="P130" s="1197"/>
      <c r="Q130" s="1197"/>
      <c r="R130" s="1176">
        <f t="shared" si="81"/>
        <v>0</v>
      </c>
    </row>
    <row r="131" spans="1:18" s="89" customFormat="1" ht="12">
      <c r="A131" s="1182">
        <v>7700</v>
      </c>
      <c r="B131" s="1206" t="s">
        <v>114</v>
      </c>
      <c r="C131" s="1179">
        <v>634463</v>
      </c>
      <c r="D131" s="1180">
        <v>703084</v>
      </c>
      <c r="E131" s="1197">
        <f>E273</f>
        <v>0</v>
      </c>
      <c r="F131" s="1197"/>
      <c r="G131" s="1197"/>
      <c r="H131" s="1176">
        <f t="shared" si="79"/>
        <v>703084</v>
      </c>
      <c r="I131" s="1181">
        <v>738884</v>
      </c>
      <c r="J131" s="1197">
        <f>J273</f>
        <v>0</v>
      </c>
      <c r="K131" s="1197"/>
      <c r="L131" s="1197"/>
      <c r="M131" s="1176">
        <f t="shared" si="80"/>
        <v>738884</v>
      </c>
      <c r="N131" s="1181">
        <v>781084</v>
      </c>
      <c r="O131" s="1197">
        <f>O273</f>
        <v>0</v>
      </c>
      <c r="P131" s="1197"/>
      <c r="Q131" s="1197"/>
      <c r="R131" s="1176">
        <f t="shared" si="81"/>
        <v>781084</v>
      </c>
    </row>
    <row r="132" spans="1:18" s="89" customFormat="1" ht="20.399999999999999">
      <c r="A132" s="1199" t="s">
        <v>185</v>
      </c>
      <c r="B132" s="1172" t="s">
        <v>115</v>
      </c>
      <c r="C132" s="1179">
        <v>17723749</v>
      </c>
      <c r="D132" s="1180">
        <v>19941450</v>
      </c>
      <c r="E132" s="1181">
        <f t="shared" ref="E132:G132" si="141">E133+E139+E143+E146</f>
        <v>-4637295</v>
      </c>
      <c r="F132" s="1181">
        <f t="shared" si="141"/>
        <v>-200000</v>
      </c>
      <c r="G132" s="1181">
        <f t="shared" si="141"/>
        <v>100000</v>
      </c>
      <c r="H132" s="1176">
        <f t="shared" si="79"/>
        <v>15204155</v>
      </c>
      <c r="I132" s="1181">
        <v>10721369</v>
      </c>
      <c r="J132" s="1181">
        <f t="shared" ref="J132:L132" si="142">J133+J139+J143+J146</f>
        <v>0</v>
      </c>
      <c r="K132" s="1181">
        <f t="shared" si="142"/>
        <v>-200000</v>
      </c>
      <c r="L132" s="1181">
        <f t="shared" si="142"/>
        <v>75000</v>
      </c>
      <c r="M132" s="1176">
        <f t="shared" si="80"/>
        <v>10596369</v>
      </c>
      <c r="N132" s="1181">
        <v>1444545</v>
      </c>
      <c r="O132" s="1181">
        <f t="shared" ref="O132:Q132" si="143">O133+O139+O143+O146</f>
        <v>0</v>
      </c>
      <c r="P132" s="1181">
        <f t="shared" si="143"/>
        <v>-200000</v>
      </c>
      <c r="Q132" s="1181">
        <f t="shared" si="143"/>
        <v>50000</v>
      </c>
      <c r="R132" s="1176">
        <f t="shared" si="81"/>
        <v>1294545</v>
      </c>
    </row>
    <row r="133" spans="1:18" s="89" customFormat="1" ht="12">
      <c r="A133" s="1182">
        <v>7100</v>
      </c>
      <c r="B133" s="1205" t="s">
        <v>116</v>
      </c>
      <c r="C133" s="1179">
        <v>1457004</v>
      </c>
      <c r="D133" s="1180">
        <v>0</v>
      </c>
      <c r="E133" s="1181">
        <f t="shared" ref="E133:G133" si="144">E134+E135</f>
        <v>0</v>
      </c>
      <c r="F133" s="1181">
        <f t="shared" si="144"/>
        <v>0</v>
      </c>
      <c r="G133" s="1181">
        <f t="shared" si="144"/>
        <v>0</v>
      </c>
      <c r="H133" s="1176">
        <f t="shared" si="79"/>
        <v>0</v>
      </c>
      <c r="I133" s="1181">
        <v>0</v>
      </c>
      <c r="J133" s="1181">
        <f t="shared" ref="J133:L133" si="145">J134+J135</f>
        <v>0</v>
      </c>
      <c r="K133" s="1181">
        <f t="shared" si="145"/>
        <v>0</v>
      </c>
      <c r="L133" s="1181">
        <f t="shared" si="145"/>
        <v>0</v>
      </c>
      <c r="M133" s="1176">
        <f t="shared" si="80"/>
        <v>0</v>
      </c>
      <c r="N133" s="1181">
        <v>0</v>
      </c>
      <c r="O133" s="1181">
        <f t="shared" ref="O133:Q133" si="146">O134+O135</f>
        <v>0</v>
      </c>
      <c r="P133" s="1181">
        <f t="shared" si="146"/>
        <v>0</v>
      </c>
      <c r="Q133" s="1181">
        <f t="shared" si="146"/>
        <v>0</v>
      </c>
      <c r="R133" s="1176">
        <f t="shared" si="81"/>
        <v>0</v>
      </c>
    </row>
    <row r="134" spans="1:18" s="89" customFormat="1" ht="24" hidden="1" customHeight="1">
      <c r="A134" s="1183" t="s">
        <v>117</v>
      </c>
      <c r="B134" s="1205" t="s">
        <v>118</v>
      </c>
      <c r="C134" s="1179">
        <v>0</v>
      </c>
      <c r="D134" s="1180">
        <v>0</v>
      </c>
      <c r="E134" s="1181"/>
      <c r="F134" s="1181"/>
      <c r="G134" s="1181"/>
      <c r="H134" s="1176">
        <f t="shared" si="79"/>
        <v>0</v>
      </c>
      <c r="I134" s="1181">
        <v>0</v>
      </c>
      <c r="J134" s="1181"/>
      <c r="K134" s="1181"/>
      <c r="L134" s="1181"/>
      <c r="M134" s="1176">
        <f t="shared" si="80"/>
        <v>0</v>
      </c>
      <c r="N134" s="1181">
        <v>0</v>
      </c>
      <c r="O134" s="1181"/>
      <c r="P134" s="1181"/>
      <c r="Q134" s="1181"/>
      <c r="R134" s="1176">
        <f t="shared" si="81"/>
        <v>0</v>
      </c>
    </row>
    <row r="135" spans="1:18" s="89" customFormat="1" ht="24">
      <c r="A135" s="1183">
        <v>7130</v>
      </c>
      <c r="B135" s="1205" t="s">
        <v>119</v>
      </c>
      <c r="C135" s="1179">
        <v>1457004</v>
      </c>
      <c r="D135" s="1180">
        <v>0</v>
      </c>
      <c r="E135" s="1181">
        <f t="shared" ref="E135:G135" si="147">SUM(E136:E138)</f>
        <v>0</v>
      </c>
      <c r="F135" s="1181">
        <f t="shared" ref="F135" si="148">SUM(F136:F138)</f>
        <v>0</v>
      </c>
      <c r="G135" s="1181">
        <f t="shared" si="147"/>
        <v>0</v>
      </c>
      <c r="H135" s="1176">
        <f t="shared" si="79"/>
        <v>0</v>
      </c>
      <c r="I135" s="1181">
        <v>0</v>
      </c>
      <c r="J135" s="1181">
        <f t="shared" ref="J135:L135" si="149">SUM(J136:J138)</f>
        <v>0</v>
      </c>
      <c r="K135" s="1181">
        <f t="shared" si="149"/>
        <v>0</v>
      </c>
      <c r="L135" s="1181">
        <f t="shared" si="149"/>
        <v>0</v>
      </c>
      <c r="M135" s="1176">
        <f t="shared" si="80"/>
        <v>0</v>
      </c>
      <c r="N135" s="1181">
        <v>0</v>
      </c>
      <c r="O135" s="1181">
        <f t="shared" ref="O135:Q135" si="150">SUM(O136:O138)</f>
        <v>0</v>
      </c>
      <c r="P135" s="1181">
        <f t="shared" si="150"/>
        <v>0</v>
      </c>
      <c r="Q135" s="1181">
        <f t="shared" si="150"/>
        <v>0</v>
      </c>
      <c r="R135" s="1176">
        <f t="shared" si="81"/>
        <v>0</v>
      </c>
    </row>
    <row r="136" spans="1:18" s="89" customFormat="1" ht="36">
      <c r="A136" s="1185">
        <v>7131</v>
      </c>
      <c r="B136" s="1205" t="s">
        <v>120</v>
      </c>
      <c r="C136" s="1179">
        <v>1457004</v>
      </c>
      <c r="D136" s="1180">
        <v>0</v>
      </c>
      <c r="E136" s="1181"/>
      <c r="F136" s="1181"/>
      <c r="G136" s="1181"/>
      <c r="H136" s="1176">
        <f t="shared" si="79"/>
        <v>0</v>
      </c>
      <c r="I136" s="1181">
        <v>0</v>
      </c>
      <c r="J136" s="1181"/>
      <c r="K136" s="1181"/>
      <c r="L136" s="1181"/>
      <c r="M136" s="1176">
        <f t="shared" si="80"/>
        <v>0</v>
      </c>
      <c r="N136" s="1181">
        <v>0</v>
      </c>
      <c r="O136" s="1181"/>
      <c r="P136" s="1181"/>
      <c r="Q136" s="1181"/>
      <c r="R136" s="1176">
        <f t="shared" si="81"/>
        <v>0</v>
      </c>
    </row>
    <row r="137" spans="1:18" s="29" customFormat="1" ht="36" hidden="1" customHeight="1">
      <c r="A137" s="1185">
        <v>7132</v>
      </c>
      <c r="B137" s="1205" t="s">
        <v>121</v>
      </c>
      <c r="C137" s="1179">
        <v>0</v>
      </c>
      <c r="D137" s="1180">
        <v>0</v>
      </c>
      <c r="E137" s="1181"/>
      <c r="F137" s="1181"/>
      <c r="G137" s="1181"/>
      <c r="H137" s="1176">
        <f t="shared" si="79"/>
        <v>0</v>
      </c>
      <c r="I137" s="1181">
        <v>0</v>
      </c>
      <c r="J137" s="1181"/>
      <c r="K137" s="1181"/>
      <c r="L137" s="1181"/>
      <c r="M137" s="1176">
        <f t="shared" si="80"/>
        <v>0</v>
      </c>
      <c r="N137" s="1181">
        <v>0</v>
      </c>
      <c r="O137" s="1181"/>
      <c r="P137" s="1181"/>
      <c r="Q137" s="1181"/>
      <c r="R137" s="1176">
        <f t="shared" si="81"/>
        <v>0</v>
      </c>
    </row>
    <row r="138" spans="1:18" s="29" customFormat="1" ht="24" hidden="1" customHeight="1">
      <c r="A138" s="1185" t="s">
        <v>186</v>
      </c>
      <c r="B138" s="1205" t="s">
        <v>187</v>
      </c>
      <c r="C138" s="1179">
        <v>0</v>
      </c>
      <c r="D138" s="1180">
        <v>0</v>
      </c>
      <c r="E138" s="1181"/>
      <c r="F138" s="1181"/>
      <c r="G138" s="1181"/>
      <c r="H138" s="1176">
        <f t="shared" ref="H138:H201" si="151">SUM(D138:G138)</f>
        <v>0</v>
      </c>
      <c r="I138" s="1181">
        <v>0</v>
      </c>
      <c r="J138" s="1181"/>
      <c r="K138" s="1181"/>
      <c r="L138" s="1181"/>
      <c r="M138" s="1176">
        <f t="shared" ref="M138:M201" si="152">SUM(I138:L138)</f>
        <v>0</v>
      </c>
      <c r="N138" s="1181">
        <v>0</v>
      </c>
      <c r="O138" s="1181"/>
      <c r="P138" s="1181"/>
      <c r="Q138" s="1181"/>
      <c r="R138" s="1176">
        <f t="shared" ref="R138:R201" si="153">SUM(N138:Q138)</f>
        <v>0</v>
      </c>
    </row>
    <row r="139" spans="1:18" s="29" customFormat="1" ht="24">
      <c r="A139" s="1182">
        <v>7300</v>
      </c>
      <c r="B139" s="1184" t="s">
        <v>155</v>
      </c>
      <c r="C139" s="1179">
        <v>15400826</v>
      </c>
      <c r="D139" s="1180">
        <v>19075531</v>
      </c>
      <c r="E139" s="1181">
        <f t="shared" ref="E139:G139" si="154">SUM(E140:E142)</f>
        <v>-4637295</v>
      </c>
      <c r="F139" s="1181">
        <f t="shared" si="154"/>
        <v>0</v>
      </c>
      <c r="G139" s="1181">
        <f t="shared" si="154"/>
        <v>0</v>
      </c>
      <c r="H139" s="1176">
        <f t="shared" si="151"/>
        <v>14438236</v>
      </c>
      <c r="I139" s="1181">
        <v>9855450</v>
      </c>
      <c r="J139" s="1181">
        <f t="shared" ref="J139:L139" si="155">SUM(J140:J142)</f>
        <v>0</v>
      </c>
      <c r="K139" s="1181">
        <f t="shared" si="155"/>
        <v>0</v>
      </c>
      <c r="L139" s="1181">
        <f t="shared" si="155"/>
        <v>0</v>
      </c>
      <c r="M139" s="1176">
        <f t="shared" si="152"/>
        <v>9855450</v>
      </c>
      <c r="N139" s="1181">
        <v>578626</v>
      </c>
      <c r="O139" s="1181">
        <f t="shared" ref="O139:Q139" si="156">SUM(O140:O142)</f>
        <v>0</v>
      </c>
      <c r="P139" s="1181">
        <f t="shared" si="156"/>
        <v>0</v>
      </c>
      <c r="Q139" s="1181">
        <f t="shared" si="156"/>
        <v>0</v>
      </c>
      <c r="R139" s="1176">
        <f t="shared" si="153"/>
        <v>578626</v>
      </c>
    </row>
    <row r="140" spans="1:18" s="4" customFormat="1" ht="24">
      <c r="A140" s="1183" t="s">
        <v>188</v>
      </c>
      <c r="B140" s="1205" t="s">
        <v>170</v>
      </c>
      <c r="C140" s="1207">
        <v>13135920</v>
      </c>
      <c r="D140" s="1208">
        <v>16554901</v>
      </c>
      <c r="E140" s="1209">
        <f>E355</f>
        <v>-3716212</v>
      </c>
      <c r="F140" s="1209"/>
      <c r="G140" s="1209"/>
      <c r="H140" s="1176">
        <f t="shared" si="151"/>
        <v>12838689</v>
      </c>
      <c r="I140" s="1209">
        <v>8849768</v>
      </c>
      <c r="J140" s="1209"/>
      <c r="K140" s="1209"/>
      <c r="L140" s="1209"/>
      <c r="M140" s="1176">
        <f t="shared" si="152"/>
        <v>8849768</v>
      </c>
      <c r="N140" s="1209">
        <v>508626</v>
      </c>
      <c r="O140" s="1209"/>
      <c r="P140" s="1209"/>
      <c r="Q140" s="1209"/>
      <c r="R140" s="1176">
        <f t="shared" si="153"/>
        <v>508626</v>
      </c>
    </row>
    <row r="141" spans="1:18" ht="48" hidden="1" customHeight="1">
      <c r="A141" s="1183" t="s">
        <v>189</v>
      </c>
      <c r="B141" s="1205" t="s">
        <v>156</v>
      </c>
      <c r="C141" s="1207">
        <v>0</v>
      </c>
      <c r="D141" s="1208">
        <v>0</v>
      </c>
      <c r="E141" s="1209"/>
      <c r="F141" s="1209"/>
      <c r="G141" s="1209"/>
      <c r="H141" s="1176">
        <f t="shared" si="151"/>
        <v>0</v>
      </c>
      <c r="I141" s="1209">
        <v>0</v>
      </c>
      <c r="J141" s="1209"/>
      <c r="K141" s="1209"/>
      <c r="L141" s="1209"/>
      <c r="M141" s="1176">
        <f t="shared" si="152"/>
        <v>0</v>
      </c>
      <c r="N141" s="1209">
        <v>0</v>
      </c>
      <c r="O141" s="1209"/>
      <c r="P141" s="1209"/>
      <c r="Q141" s="1209"/>
      <c r="R141" s="1176">
        <f t="shared" si="153"/>
        <v>0</v>
      </c>
    </row>
    <row r="142" spans="1:18" ht="36">
      <c r="A142" s="1183">
        <v>7350</v>
      </c>
      <c r="B142" s="1205" t="s">
        <v>163</v>
      </c>
      <c r="C142" s="1207">
        <v>2264906</v>
      </c>
      <c r="D142" s="1208">
        <v>2520630</v>
      </c>
      <c r="E142" s="1209">
        <f>E357</f>
        <v>-921083</v>
      </c>
      <c r="F142" s="1209"/>
      <c r="G142" s="1209"/>
      <c r="H142" s="1176">
        <f t="shared" si="151"/>
        <v>1599547</v>
      </c>
      <c r="I142" s="1209">
        <v>1005682</v>
      </c>
      <c r="J142" s="1209"/>
      <c r="K142" s="1209"/>
      <c r="L142" s="1209"/>
      <c r="M142" s="1176">
        <f t="shared" si="152"/>
        <v>1005682</v>
      </c>
      <c r="N142" s="1209">
        <v>70000</v>
      </c>
      <c r="O142" s="1209"/>
      <c r="P142" s="1209"/>
      <c r="Q142" s="1209"/>
      <c r="R142" s="1176">
        <f t="shared" si="153"/>
        <v>70000</v>
      </c>
    </row>
    <row r="143" spans="1:18" ht="24">
      <c r="A143" s="1182">
        <v>7400</v>
      </c>
      <c r="B143" s="1184" t="s">
        <v>161</v>
      </c>
      <c r="C143" s="1179">
        <v>865919</v>
      </c>
      <c r="D143" s="1180">
        <v>865919</v>
      </c>
      <c r="E143" s="1181">
        <f t="shared" ref="E143:G143" si="157">SUM(E144:E145)</f>
        <v>0</v>
      </c>
      <c r="F143" s="1181">
        <f t="shared" si="157"/>
        <v>-200000</v>
      </c>
      <c r="G143" s="1181">
        <f t="shared" si="157"/>
        <v>100000</v>
      </c>
      <c r="H143" s="1176">
        <f t="shared" si="151"/>
        <v>765919</v>
      </c>
      <c r="I143" s="1181">
        <v>865919</v>
      </c>
      <c r="J143" s="1181">
        <f t="shared" ref="J143:L143" si="158">SUM(J144:J145)</f>
        <v>0</v>
      </c>
      <c r="K143" s="1181">
        <f t="shared" si="158"/>
        <v>-200000</v>
      </c>
      <c r="L143" s="1181">
        <f t="shared" si="158"/>
        <v>75000</v>
      </c>
      <c r="M143" s="1176">
        <f t="shared" si="152"/>
        <v>740919</v>
      </c>
      <c r="N143" s="1181">
        <v>865919</v>
      </c>
      <c r="O143" s="1181">
        <f t="shared" ref="O143:Q143" si="159">SUM(O144:O145)</f>
        <v>0</v>
      </c>
      <c r="P143" s="1181">
        <f t="shared" si="159"/>
        <v>-200000</v>
      </c>
      <c r="Q143" s="1181">
        <f t="shared" si="159"/>
        <v>50000</v>
      </c>
      <c r="R143" s="1176">
        <f t="shared" si="153"/>
        <v>715919</v>
      </c>
    </row>
    <row r="144" spans="1:18" ht="24" hidden="1" customHeight="1">
      <c r="A144" s="1183">
        <v>7460</v>
      </c>
      <c r="B144" s="1184" t="s">
        <v>162</v>
      </c>
      <c r="C144" s="1207">
        <v>0</v>
      </c>
      <c r="D144" s="1208">
        <v>0</v>
      </c>
      <c r="E144" s="1209"/>
      <c r="F144" s="1209"/>
      <c r="G144" s="1209"/>
      <c r="H144" s="1176">
        <f t="shared" si="151"/>
        <v>0</v>
      </c>
      <c r="I144" s="1209">
        <v>0</v>
      </c>
      <c r="J144" s="1209"/>
      <c r="K144" s="1209"/>
      <c r="L144" s="1209"/>
      <c r="M144" s="1176">
        <f t="shared" si="152"/>
        <v>0</v>
      </c>
      <c r="N144" s="1209">
        <v>0</v>
      </c>
      <c r="O144" s="1209"/>
      <c r="P144" s="1209"/>
      <c r="Q144" s="1209"/>
      <c r="R144" s="1176">
        <f t="shared" si="153"/>
        <v>0</v>
      </c>
    </row>
    <row r="145" spans="1:18" ht="36">
      <c r="A145" s="1183">
        <v>7470</v>
      </c>
      <c r="B145" s="1205" t="s">
        <v>167</v>
      </c>
      <c r="C145" s="1207">
        <v>865919</v>
      </c>
      <c r="D145" s="1208">
        <v>865919</v>
      </c>
      <c r="E145" s="1209"/>
      <c r="F145" s="1209">
        <f>F417</f>
        <v>-200000</v>
      </c>
      <c r="G145" s="1209">
        <f>G482</f>
        <v>100000</v>
      </c>
      <c r="H145" s="1176">
        <f t="shared" si="151"/>
        <v>765919</v>
      </c>
      <c r="I145" s="1209">
        <v>865919</v>
      </c>
      <c r="J145" s="1209"/>
      <c r="K145" s="1209">
        <f>K417</f>
        <v>-200000</v>
      </c>
      <c r="L145" s="1209">
        <v>75000</v>
      </c>
      <c r="M145" s="1176">
        <f t="shared" si="152"/>
        <v>740919</v>
      </c>
      <c r="N145" s="1209">
        <v>865919</v>
      </c>
      <c r="O145" s="1209"/>
      <c r="P145" s="1209">
        <f>P417</f>
        <v>-200000</v>
      </c>
      <c r="Q145" s="1209">
        <v>50000</v>
      </c>
      <c r="R145" s="1176">
        <f t="shared" si="153"/>
        <v>715919</v>
      </c>
    </row>
    <row r="146" spans="1:18" ht="24" hidden="1" customHeight="1">
      <c r="A146" s="1182">
        <v>7500</v>
      </c>
      <c r="B146" s="1205" t="s">
        <v>157</v>
      </c>
      <c r="C146" s="1179">
        <v>0</v>
      </c>
      <c r="D146" s="1180">
        <v>0</v>
      </c>
      <c r="E146" s="1181"/>
      <c r="F146" s="1181"/>
      <c r="G146" s="1181"/>
      <c r="H146" s="1176">
        <f t="shared" si="151"/>
        <v>0</v>
      </c>
      <c r="I146" s="1181">
        <v>0</v>
      </c>
      <c r="J146" s="1181"/>
      <c r="K146" s="1181"/>
      <c r="L146" s="1181"/>
      <c r="M146" s="1176">
        <f t="shared" si="152"/>
        <v>0</v>
      </c>
      <c r="N146" s="1181">
        <v>0</v>
      </c>
      <c r="O146" s="1181"/>
      <c r="P146" s="1181"/>
      <c r="Q146" s="1181"/>
      <c r="R146" s="1176">
        <f t="shared" si="153"/>
        <v>0</v>
      </c>
    </row>
    <row r="147" spans="1:18" s="4" customFormat="1" ht="12">
      <c r="A147" s="1199" t="s">
        <v>133</v>
      </c>
      <c r="B147" s="1172" t="s">
        <v>122</v>
      </c>
      <c r="C147" s="1210">
        <v>146614</v>
      </c>
      <c r="D147" s="1211">
        <v>143114</v>
      </c>
      <c r="E147" s="1212">
        <f t="shared" ref="E147:F147" si="160">E148+E149</f>
        <v>-15000</v>
      </c>
      <c r="F147" s="1212">
        <f t="shared" si="160"/>
        <v>8400</v>
      </c>
      <c r="G147" s="1212">
        <f>G148+G149</f>
        <v>165140</v>
      </c>
      <c r="H147" s="1176">
        <f t="shared" si="151"/>
        <v>301654</v>
      </c>
      <c r="I147" s="1212">
        <v>130114</v>
      </c>
      <c r="J147" s="1212">
        <f t="shared" ref="J147:L147" si="161">J148+J149</f>
        <v>-10000</v>
      </c>
      <c r="K147" s="1212">
        <f t="shared" si="161"/>
        <v>0</v>
      </c>
      <c r="L147" s="1212">
        <f t="shared" si="161"/>
        <v>100000</v>
      </c>
      <c r="M147" s="1176">
        <f t="shared" si="152"/>
        <v>220114</v>
      </c>
      <c r="N147" s="1212">
        <v>117114</v>
      </c>
      <c r="O147" s="1212">
        <f t="shared" ref="O147:Q147" si="162">O148+O149</f>
        <v>0</v>
      </c>
      <c r="P147" s="1212">
        <f t="shared" si="162"/>
        <v>0</v>
      </c>
      <c r="Q147" s="1212">
        <f t="shared" si="162"/>
        <v>110840</v>
      </c>
      <c r="R147" s="1176">
        <f t="shared" si="153"/>
        <v>227954</v>
      </c>
    </row>
    <row r="148" spans="1:18" s="6" customFormat="1" ht="12">
      <c r="A148" s="1199">
        <v>5000</v>
      </c>
      <c r="B148" s="1172" t="s">
        <v>123</v>
      </c>
      <c r="C148" s="1179">
        <v>146614</v>
      </c>
      <c r="D148" s="1180">
        <v>143114</v>
      </c>
      <c r="E148" s="1181">
        <f>E305</f>
        <v>-15000</v>
      </c>
      <c r="F148" s="1181">
        <f>3400+5000</f>
        <v>8400</v>
      </c>
      <c r="G148" s="1181">
        <f>G432+G448+G498</f>
        <v>165140</v>
      </c>
      <c r="H148" s="1176">
        <f t="shared" si="151"/>
        <v>301654</v>
      </c>
      <c r="I148" s="1181">
        <v>130114</v>
      </c>
      <c r="J148" s="1181">
        <f>J305</f>
        <v>-10000</v>
      </c>
      <c r="K148" s="1181"/>
      <c r="L148" s="1181">
        <f>L432+L448+L498</f>
        <v>100000</v>
      </c>
      <c r="M148" s="1176">
        <f t="shared" si="152"/>
        <v>220114</v>
      </c>
      <c r="N148" s="1181">
        <v>117114</v>
      </c>
      <c r="O148" s="1197"/>
      <c r="P148" s="1197"/>
      <c r="Q148" s="1181">
        <f>Q432+Q448+Q498</f>
        <v>110840</v>
      </c>
      <c r="R148" s="1176">
        <f t="shared" si="153"/>
        <v>227954</v>
      </c>
    </row>
    <row r="149" spans="1:18" s="6" customFormat="1" ht="12" hidden="1" customHeight="1">
      <c r="A149" s="1199">
        <v>9000</v>
      </c>
      <c r="B149" s="1213" t="s">
        <v>164</v>
      </c>
      <c r="C149" s="1179">
        <v>0</v>
      </c>
      <c r="D149" s="1180">
        <v>0</v>
      </c>
      <c r="E149" s="1181">
        <f t="shared" ref="E149:G149" si="163">E150+E156+E160+E163</f>
        <v>0</v>
      </c>
      <c r="F149" s="1181">
        <f t="shared" si="163"/>
        <v>0</v>
      </c>
      <c r="G149" s="1181">
        <f t="shared" si="163"/>
        <v>0</v>
      </c>
      <c r="H149" s="1176">
        <f t="shared" si="151"/>
        <v>0</v>
      </c>
      <c r="I149" s="1181">
        <v>0</v>
      </c>
      <c r="J149" s="1181">
        <f t="shared" ref="J149:L149" si="164">J150+J156+J160+J163</f>
        <v>0</v>
      </c>
      <c r="K149" s="1181">
        <f t="shared" si="164"/>
        <v>0</v>
      </c>
      <c r="L149" s="1181">
        <f t="shared" si="164"/>
        <v>0</v>
      </c>
      <c r="M149" s="1176">
        <f t="shared" si="152"/>
        <v>0</v>
      </c>
      <c r="N149" s="1181">
        <v>0</v>
      </c>
      <c r="O149" s="1181">
        <f t="shared" ref="O149:Q149" si="165">O150+O156+O160+O163</f>
        <v>0</v>
      </c>
      <c r="P149" s="1181">
        <f t="shared" si="165"/>
        <v>0</v>
      </c>
      <c r="Q149" s="1181">
        <f t="shared" si="165"/>
        <v>0</v>
      </c>
      <c r="R149" s="1176">
        <f t="shared" si="153"/>
        <v>0</v>
      </c>
    </row>
    <row r="150" spans="1:18" s="6" customFormat="1" ht="12" hidden="1" customHeight="1">
      <c r="A150" s="1214">
        <v>9100</v>
      </c>
      <c r="B150" s="1205" t="s">
        <v>124</v>
      </c>
      <c r="C150" s="1179">
        <v>0</v>
      </c>
      <c r="D150" s="1180">
        <v>0</v>
      </c>
      <c r="E150" s="1181">
        <f t="shared" ref="E150:G150" si="166">SUM(E151:E152)</f>
        <v>0</v>
      </c>
      <c r="F150" s="1181">
        <f t="shared" ref="F150" si="167">SUM(F151:F152)</f>
        <v>0</v>
      </c>
      <c r="G150" s="1181">
        <f t="shared" si="166"/>
        <v>0</v>
      </c>
      <c r="H150" s="1176">
        <f t="shared" si="151"/>
        <v>0</v>
      </c>
      <c r="I150" s="1181">
        <v>0</v>
      </c>
      <c r="J150" s="1181">
        <f t="shared" ref="J150:L150" si="168">SUM(J151:J152)</f>
        <v>0</v>
      </c>
      <c r="K150" s="1181">
        <f t="shared" si="168"/>
        <v>0</v>
      </c>
      <c r="L150" s="1181">
        <f t="shared" si="168"/>
        <v>0</v>
      </c>
      <c r="M150" s="1176">
        <f t="shared" si="152"/>
        <v>0</v>
      </c>
      <c r="N150" s="1181">
        <v>0</v>
      </c>
      <c r="O150" s="1181">
        <f t="shared" ref="O150:Q150" si="169">SUM(O151:O152)</f>
        <v>0</v>
      </c>
      <c r="P150" s="1181">
        <f t="shared" si="169"/>
        <v>0</v>
      </c>
      <c r="Q150" s="1181">
        <f t="shared" si="169"/>
        <v>0</v>
      </c>
      <c r="R150" s="1176">
        <f t="shared" si="153"/>
        <v>0</v>
      </c>
    </row>
    <row r="151" spans="1:18" s="6" customFormat="1" ht="24" hidden="1" customHeight="1">
      <c r="A151" s="1183" t="s">
        <v>125</v>
      </c>
      <c r="B151" s="1205" t="s">
        <v>214</v>
      </c>
      <c r="C151" s="1179">
        <v>0</v>
      </c>
      <c r="D151" s="1180">
        <v>0</v>
      </c>
      <c r="E151" s="1181"/>
      <c r="F151" s="1181"/>
      <c r="G151" s="1181"/>
      <c r="H151" s="1176">
        <f t="shared" si="151"/>
        <v>0</v>
      </c>
      <c r="I151" s="1181">
        <v>0</v>
      </c>
      <c r="J151" s="1181"/>
      <c r="K151" s="1181"/>
      <c r="L151" s="1181"/>
      <c r="M151" s="1176">
        <f t="shared" si="152"/>
        <v>0</v>
      </c>
      <c r="N151" s="1181">
        <v>0</v>
      </c>
      <c r="O151" s="1181"/>
      <c r="P151" s="1181"/>
      <c r="Q151" s="1181"/>
      <c r="R151" s="1176">
        <f t="shared" si="153"/>
        <v>0</v>
      </c>
    </row>
    <row r="152" spans="1:18" s="6" customFormat="1" ht="24" hidden="1" customHeight="1">
      <c r="A152" s="1183">
        <v>9140</v>
      </c>
      <c r="B152" s="1205" t="s">
        <v>215</v>
      </c>
      <c r="C152" s="1179">
        <v>0</v>
      </c>
      <c r="D152" s="1180">
        <v>0</v>
      </c>
      <c r="E152" s="1181">
        <f t="shared" ref="E152:G152" si="170">SUM(E153:E155)</f>
        <v>0</v>
      </c>
      <c r="F152" s="1181">
        <f t="shared" si="170"/>
        <v>0</v>
      </c>
      <c r="G152" s="1181">
        <f t="shared" si="170"/>
        <v>0</v>
      </c>
      <c r="H152" s="1176">
        <f t="shared" si="151"/>
        <v>0</v>
      </c>
      <c r="I152" s="1181">
        <v>0</v>
      </c>
      <c r="J152" s="1181">
        <f t="shared" ref="J152:L152" si="171">SUM(J153:J155)</f>
        <v>0</v>
      </c>
      <c r="K152" s="1181">
        <f t="shared" si="171"/>
        <v>0</v>
      </c>
      <c r="L152" s="1181">
        <f t="shared" si="171"/>
        <v>0</v>
      </c>
      <c r="M152" s="1176">
        <f t="shared" si="152"/>
        <v>0</v>
      </c>
      <c r="N152" s="1181">
        <v>0</v>
      </c>
      <c r="O152" s="1181">
        <f t="shared" ref="O152:Q152" si="172">SUM(O153:O155)</f>
        <v>0</v>
      </c>
      <c r="P152" s="1181">
        <f t="shared" si="172"/>
        <v>0</v>
      </c>
      <c r="Q152" s="1181">
        <f t="shared" si="172"/>
        <v>0</v>
      </c>
      <c r="R152" s="1176">
        <f t="shared" si="153"/>
        <v>0</v>
      </c>
    </row>
    <row r="153" spans="1:18" s="6" customFormat="1" ht="36" hidden="1" customHeight="1">
      <c r="A153" s="1185">
        <v>9141</v>
      </c>
      <c r="B153" s="1184" t="s">
        <v>190</v>
      </c>
      <c r="C153" s="1207">
        <v>0</v>
      </c>
      <c r="D153" s="1208">
        <v>0</v>
      </c>
      <c r="E153" s="1209"/>
      <c r="F153" s="1209"/>
      <c r="G153" s="1209"/>
      <c r="H153" s="1176">
        <f t="shared" si="151"/>
        <v>0</v>
      </c>
      <c r="I153" s="1209">
        <v>0</v>
      </c>
      <c r="J153" s="1209"/>
      <c r="K153" s="1209"/>
      <c r="L153" s="1209"/>
      <c r="M153" s="1176">
        <f t="shared" si="152"/>
        <v>0</v>
      </c>
      <c r="N153" s="1209">
        <v>0</v>
      </c>
      <c r="O153" s="1209"/>
      <c r="P153" s="1209"/>
      <c r="Q153" s="1209"/>
      <c r="R153" s="1176">
        <f t="shared" si="153"/>
        <v>0</v>
      </c>
    </row>
    <row r="154" spans="1:18" s="6" customFormat="1" ht="36" hidden="1" customHeight="1">
      <c r="A154" s="1185">
        <v>9142</v>
      </c>
      <c r="B154" s="1184" t="s">
        <v>191</v>
      </c>
      <c r="C154" s="1207">
        <v>0</v>
      </c>
      <c r="D154" s="1208">
        <v>0</v>
      </c>
      <c r="E154" s="1209"/>
      <c r="F154" s="1209"/>
      <c r="G154" s="1209"/>
      <c r="H154" s="1176">
        <f t="shared" si="151"/>
        <v>0</v>
      </c>
      <c r="I154" s="1209">
        <v>0</v>
      </c>
      <c r="J154" s="1209"/>
      <c r="K154" s="1209"/>
      <c r="L154" s="1209"/>
      <c r="M154" s="1176">
        <f t="shared" si="152"/>
        <v>0</v>
      </c>
      <c r="N154" s="1209">
        <v>0</v>
      </c>
      <c r="O154" s="1209"/>
      <c r="P154" s="1209"/>
      <c r="Q154" s="1209"/>
      <c r="R154" s="1176">
        <f t="shared" si="153"/>
        <v>0</v>
      </c>
    </row>
    <row r="155" spans="1:18" s="6" customFormat="1" ht="24" hidden="1" customHeight="1">
      <c r="A155" s="1185">
        <v>9149</v>
      </c>
      <c r="B155" s="1184" t="s">
        <v>192</v>
      </c>
      <c r="C155" s="1207">
        <v>0</v>
      </c>
      <c r="D155" s="1208">
        <v>0</v>
      </c>
      <c r="E155" s="1209"/>
      <c r="F155" s="1209"/>
      <c r="G155" s="1209"/>
      <c r="H155" s="1176">
        <f t="shared" si="151"/>
        <v>0</v>
      </c>
      <c r="I155" s="1209">
        <v>0</v>
      </c>
      <c r="J155" s="1209"/>
      <c r="K155" s="1209"/>
      <c r="L155" s="1209"/>
      <c r="M155" s="1176">
        <f t="shared" si="152"/>
        <v>0</v>
      </c>
      <c r="N155" s="1209">
        <v>0</v>
      </c>
      <c r="O155" s="1209"/>
      <c r="P155" s="1209"/>
      <c r="Q155" s="1209"/>
      <c r="R155" s="1176">
        <f t="shared" si="153"/>
        <v>0</v>
      </c>
    </row>
    <row r="156" spans="1:18" s="6" customFormat="1" ht="24" hidden="1" customHeight="1">
      <c r="A156" s="1214">
        <v>9500</v>
      </c>
      <c r="B156" s="1184" t="s">
        <v>165</v>
      </c>
      <c r="C156" s="1179">
        <v>0</v>
      </c>
      <c r="D156" s="1180">
        <v>0</v>
      </c>
      <c r="E156" s="1181">
        <f t="shared" ref="E156:G156" si="173">SUM(E157:E159)</f>
        <v>0</v>
      </c>
      <c r="F156" s="1181">
        <f t="shared" si="173"/>
        <v>0</v>
      </c>
      <c r="G156" s="1181">
        <f t="shared" si="173"/>
        <v>0</v>
      </c>
      <c r="H156" s="1176">
        <f t="shared" si="151"/>
        <v>0</v>
      </c>
      <c r="I156" s="1181">
        <v>0</v>
      </c>
      <c r="J156" s="1181">
        <f t="shared" ref="J156:L156" si="174">SUM(J157:J159)</f>
        <v>0</v>
      </c>
      <c r="K156" s="1181">
        <f t="shared" si="174"/>
        <v>0</v>
      </c>
      <c r="L156" s="1181">
        <f t="shared" si="174"/>
        <v>0</v>
      </c>
      <c r="M156" s="1176">
        <f t="shared" si="152"/>
        <v>0</v>
      </c>
      <c r="N156" s="1181">
        <v>0</v>
      </c>
      <c r="O156" s="1181">
        <f t="shared" ref="O156:Q156" si="175">SUM(O157:O159)</f>
        <v>0</v>
      </c>
      <c r="P156" s="1181">
        <f t="shared" si="175"/>
        <v>0</v>
      </c>
      <c r="Q156" s="1181">
        <f t="shared" si="175"/>
        <v>0</v>
      </c>
      <c r="R156" s="1176">
        <f t="shared" si="153"/>
        <v>0</v>
      </c>
    </row>
    <row r="157" spans="1:18" s="6" customFormat="1" ht="24" hidden="1" customHeight="1">
      <c r="A157" s="1183" t="s">
        <v>193</v>
      </c>
      <c r="B157" s="1184" t="s">
        <v>171</v>
      </c>
      <c r="C157" s="1179">
        <v>0</v>
      </c>
      <c r="D157" s="1180">
        <v>0</v>
      </c>
      <c r="E157" s="1181"/>
      <c r="F157" s="1181"/>
      <c r="G157" s="1181"/>
      <c r="H157" s="1176">
        <f t="shared" si="151"/>
        <v>0</v>
      </c>
      <c r="I157" s="1181">
        <v>0</v>
      </c>
      <c r="J157" s="1181"/>
      <c r="K157" s="1181"/>
      <c r="L157" s="1181"/>
      <c r="M157" s="1176">
        <f t="shared" si="152"/>
        <v>0</v>
      </c>
      <c r="N157" s="1181">
        <v>0</v>
      </c>
      <c r="O157" s="1181"/>
      <c r="P157" s="1181"/>
      <c r="Q157" s="1181"/>
      <c r="R157" s="1176">
        <f t="shared" si="153"/>
        <v>0</v>
      </c>
    </row>
    <row r="158" spans="1:18" s="6" customFormat="1" ht="48" hidden="1" customHeight="1">
      <c r="A158" s="1183">
        <v>9580</v>
      </c>
      <c r="B158" s="1184" t="s">
        <v>166</v>
      </c>
      <c r="C158" s="1207">
        <v>0</v>
      </c>
      <c r="D158" s="1208">
        <v>0</v>
      </c>
      <c r="E158" s="1209"/>
      <c r="F158" s="1209"/>
      <c r="G158" s="1209"/>
      <c r="H158" s="1176">
        <f t="shared" si="151"/>
        <v>0</v>
      </c>
      <c r="I158" s="1209">
        <v>0</v>
      </c>
      <c r="J158" s="1209"/>
      <c r="K158" s="1209"/>
      <c r="L158" s="1209"/>
      <c r="M158" s="1176">
        <f t="shared" si="152"/>
        <v>0</v>
      </c>
      <c r="N158" s="1209">
        <v>0</v>
      </c>
      <c r="O158" s="1209"/>
      <c r="P158" s="1209"/>
      <c r="Q158" s="1209"/>
      <c r="R158" s="1176">
        <f t="shared" si="153"/>
        <v>0</v>
      </c>
    </row>
    <row r="159" spans="1:18" s="6" customFormat="1" ht="48" hidden="1" customHeight="1">
      <c r="A159" s="1183">
        <v>9590</v>
      </c>
      <c r="B159" s="1205" t="s">
        <v>172</v>
      </c>
      <c r="C159" s="1207">
        <v>0</v>
      </c>
      <c r="D159" s="1208">
        <v>0</v>
      </c>
      <c r="E159" s="1209"/>
      <c r="F159" s="1209"/>
      <c r="G159" s="1209"/>
      <c r="H159" s="1176">
        <f t="shared" si="151"/>
        <v>0</v>
      </c>
      <c r="I159" s="1209">
        <v>0</v>
      </c>
      <c r="J159" s="1209"/>
      <c r="K159" s="1209"/>
      <c r="L159" s="1209"/>
      <c r="M159" s="1176">
        <f t="shared" si="152"/>
        <v>0</v>
      </c>
      <c r="N159" s="1209">
        <v>0</v>
      </c>
      <c r="O159" s="1209"/>
      <c r="P159" s="1209"/>
      <c r="Q159" s="1209"/>
      <c r="R159" s="1176">
        <f t="shared" si="153"/>
        <v>0</v>
      </c>
    </row>
    <row r="160" spans="1:18" s="6" customFormat="1" ht="24" hidden="1" customHeight="1">
      <c r="A160" s="1214">
        <v>9700</v>
      </c>
      <c r="B160" s="1215" t="s">
        <v>194</v>
      </c>
      <c r="C160" s="1179">
        <v>0</v>
      </c>
      <c r="D160" s="1180">
        <v>0</v>
      </c>
      <c r="E160" s="1181">
        <f t="shared" ref="E160:G160" si="176">SUM(E161:E162)</f>
        <v>0</v>
      </c>
      <c r="F160" s="1181">
        <f t="shared" si="176"/>
        <v>0</v>
      </c>
      <c r="G160" s="1181">
        <f t="shared" si="176"/>
        <v>0</v>
      </c>
      <c r="H160" s="1176">
        <f t="shared" si="151"/>
        <v>0</v>
      </c>
      <c r="I160" s="1181">
        <v>0</v>
      </c>
      <c r="J160" s="1181">
        <f t="shared" ref="J160:L160" si="177">SUM(J161:J162)</f>
        <v>0</v>
      </c>
      <c r="K160" s="1181">
        <f t="shared" si="177"/>
        <v>0</v>
      </c>
      <c r="L160" s="1181">
        <f t="shared" si="177"/>
        <v>0</v>
      </c>
      <c r="M160" s="1176">
        <f t="shared" si="152"/>
        <v>0</v>
      </c>
      <c r="N160" s="1181">
        <v>0</v>
      </c>
      <c r="O160" s="1181">
        <f t="shared" ref="O160:Q160" si="178">SUM(O161:O162)</f>
        <v>0</v>
      </c>
      <c r="P160" s="1181">
        <f t="shared" si="178"/>
        <v>0</v>
      </c>
      <c r="Q160" s="1181">
        <f t="shared" si="178"/>
        <v>0</v>
      </c>
      <c r="R160" s="1176">
        <f t="shared" si="153"/>
        <v>0</v>
      </c>
    </row>
    <row r="161" spans="1:18" s="6" customFormat="1" ht="24" hidden="1" customHeight="1">
      <c r="A161" s="1183">
        <v>9710</v>
      </c>
      <c r="B161" s="1216" t="s">
        <v>195</v>
      </c>
      <c r="C161" s="1207">
        <v>0</v>
      </c>
      <c r="D161" s="1208">
        <v>0</v>
      </c>
      <c r="E161" s="1209"/>
      <c r="F161" s="1209"/>
      <c r="G161" s="1209"/>
      <c r="H161" s="1176">
        <f t="shared" si="151"/>
        <v>0</v>
      </c>
      <c r="I161" s="1209">
        <v>0</v>
      </c>
      <c r="J161" s="1209"/>
      <c r="K161" s="1209"/>
      <c r="L161" s="1209"/>
      <c r="M161" s="1176">
        <f t="shared" si="152"/>
        <v>0</v>
      </c>
      <c r="N161" s="1209">
        <v>0</v>
      </c>
      <c r="O161" s="1209"/>
      <c r="P161" s="1209"/>
      <c r="Q161" s="1209"/>
      <c r="R161" s="1176">
        <f t="shared" si="153"/>
        <v>0</v>
      </c>
    </row>
    <row r="162" spans="1:18" s="6" customFormat="1" ht="48" hidden="1" customHeight="1">
      <c r="A162" s="1217">
        <v>9720</v>
      </c>
      <c r="B162" s="1215" t="s">
        <v>196</v>
      </c>
      <c r="C162" s="1207">
        <v>0</v>
      </c>
      <c r="D162" s="1208">
        <v>0</v>
      </c>
      <c r="E162" s="1209"/>
      <c r="F162" s="1209"/>
      <c r="G162" s="1209"/>
      <c r="H162" s="1176">
        <f t="shared" si="151"/>
        <v>0</v>
      </c>
      <c r="I162" s="1209">
        <v>0</v>
      </c>
      <c r="J162" s="1209"/>
      <c r="K162" s="1209"/>
      <c r="L162" s="1209"/>
      <c r="M162" s="1176">
        <f t="shared" si="152"/>
        <v>0</v>
      </c>
      <c r="N162" s="1209">
        <v>0</v>
      </c>
      <c r="O162" s="1209"/>
      <c r="P162" s="1209"/>
      <c r="Q162" s="1209"/>
      <c r="R162" s="1176">
        <f t="shared" si="153"/>
        <v>0</v>
      </c>
    </row>
    <row r="163" spans="1:18" s="6" customFormat="1" ht="24" hidden="1" customHeight="1">
      <c r="A163" s="1214">
        <v>9600</v>
      </c>
      <c r="B163" s="1205" t="s">
        <v>134</v>
      </c>
      <c r="C163" s="1207">
        <v>0</v>
      </c>
      <c r="D163" s="1208">
        <v>0</v>
      </c>
      <c r="E163" s="1209"/>
      <c r="F163" s="1209"/>
      <c r="G163" s="1209"/>
      <c r="H163" s="1176">
        <f t="shared" si="151"/>
        <v>0</v>
      </c>
      <c r="I163" s="1209">
        <v>0</v>
      </c>
      <c r="J163" s="1209"/>
      <c r="K163" s="1209"/>
      <c r="L163" s="1209"/>
      <c r="M163" s="1176">
        <f t="shared" si="152"/>
        <v>0</v>
      </c>
      <c r="N163" s="1209">
        <v>0</v>
      </c>
      <c r="O163" s="1209"/>
      <c r="P163" s="1209"/>
      <c r="Q163" s="1209"/>
      <c r="R163" s="1176">
        <f t="shared" si="153"/>
        <v>0</v>
      </c>
    </row>
    <row r="164" spans="1:18" s="6" customFormat="1" ht="52.5" hidden="1" customHeight="1">
      <c r="A164" s="1171" t="s">
        <v>197</v>
      </c>
      <c r="B164" s="1218" t="s">
        <v>47</v>
      </c>
      <c r="C164" s="1219">
        <v>0</v>
      </c>
      <c r="D164" s="1220">
        <v>0</v>
      </c>
      <c r="E164" s="1221">
        <f t="shared" ref="E164:G164" si="179">E94-E119</f>
        <v>0</v>
      </c>
      <c r="F164" s="1221">
        <f t="shared" si="179"/>
        <v>0</v>
      </c>
      <c r="G164" s="1221">
        <f t="shared" si="179"/>
        <v>0</v>
      </c>
      <c r="H164" s="1176">
        <f t="shared" si="151"/>
        <v>0</v>
      </c>
      <c r="I164" s="1221">
        <v>0</v>
      </c>
      <c r="J164" s="1221">
        <f t="shared" ref="J164:L164" si="180">J94-J119</f>
        <v>0</v>
      </c>
      <c r="K164" s="1221">
        <f t="shared" si="180"/>
        <v>0</v>
      </c>
      <c r="L164" s="1221">
        <f t="shared" si="180"/>
        <v>0</v>
      </c>
      <c r="M164" s="1176">
        <f t="shared" si="152"/>
        <v>0</v>
      </c>
      <c r="N164" s="1221">
        <v>0</v>
      </c>
      <c r="O164" s="1221">
        <f t="shared" ref="O164:Q164" si="181">O94-O119</f>
        <v>0</v>
      </c>
      <c r="P164" s="1221">
        <f t="shared" si="181"/>
        <v>0</v>
      </c>
      <c r="Q164" s="1221">
        <f t="shared" si="181"/>
        <v>0</v>
      </c>
      <c r="R164" s="1176">
        <f t="shared" si="153"/>
        <v>0</v>
      </c>
    </row>
    <row r="165" spans="1:18" s="6" customFormat="1" ht="12" hidden="1" customHeight="1">
      <c r="A165" s="1222" t="s">
        <v>48</v>
      </c>
      <c r="B165" s="1218" t="s">
        <v>49</v>
      </c>
      <c r="C165" s="1219">
        <v>0</v>
      </c>
      <c r="D165" s="1220">
        <v>0</v>
      </c>
      <c r="E165" s="1221">
        <f t="shared" ref="E165:G165" si="182">E166+E169+E173+E172</f>
        <v>0</v>
      </c>
      <c r="F165" s="1221">
        <f t="shared" si="182"/>
        <v>0</v>
      </c>
      <c r="G165" s="1221">
        <f t="shared" si="182"/>
        <v>0</v>
      </c>
      <c r="H165" s="1176">
        <f t="shared" si="151"/>
        <v>0</v>
      </c>
      <c r="I165" s="1221">
        <v>0</v>
      </c>
      <c r="J165" s="1221">
        <f t="shared" ref="J165:L165" si="183">J166+J169+J173+J172</f>
        <v>0</v>
      </c>
      <c r="K165" s="1221">
        <f t="shared" si="183"/>
        <v>0</v>
      </c>
      <c r="L165" s="1221">
        <f t="shared" si="183"/>
        <v>0</v>
      </c>
      <c r="M165" s="1176">
        <f t="shared" si="152"/>
        <v>0</v>
      </c>
      <c r="N165" s="1221">
        <v>0</v>
      </c>
      <c r="O165" s="1221">
        <f t="shared" ref="O165:Q165" si="184">O166+O169+O173+O172</f>
        <v>0</v>
      </c>
      <c r="P165" s="1221">
        <f t="shared" si="184"/>
        <v>0</v>
      </c>
      <c r="Q165" s="1221">
        <f t="shared" si="184"/>
        <v>0</v>
      </c>
      <c r="R165" s="1176">
        <f t="shared" si="153"/>
        <v>0</v>
      </c>
    </row>
    <row r="166" spans="1:18" s="6" customFormat="1" ht="12" hidden="1" customHeight="1">
      <c r="A166" s="1214" t="s">
        <v>50</v>
      </c>
      <c r="B166" s="1205" t="s">
        <v>51</v>
      </c>
      <c r="C166" s="1173">
        <v>0</v>
      </c>
      <c r="D166" s="1174">
        <v>0</v>
      </c>
      <c r="E166" s="1175">
        <f t="shared" ref="E166:G166" si="185">E167+E168</f>
        <v>0</v>
      </c>
      <c r="F166" s="1175">
        <f t="shared" si="185"/>
        <v>0</v>
      </c>
      <c r="G166" s="1175">
        <f t="shared" si="185"/>
        <v>0</v>
      </c>
      <c r="H166" s="1176">
        <f t="shared" si="151"/>
        <v>0</v>
      </c>
      <c r="I166" s="1175">
        <v>0</v>
      </c>
      <c r="J166" s="1175">
        <f t="shared" ref="J166:L166" si="186">J167+J168</f>
        <v>0</v>
      </c>
      <c r="K166" s="1175">
        <f t="shared" si="186"/>
        <v>0</v>
      </c>
      <c r="L166" s="1175">
        <f t="shared" si="186"/>
        <v>0</v>
      </c>
      <c r="M166" s="1176">
        <f t="shared" si="152"/>
        <v>0</v>
      </c>
      <c r="N166" s="1175">
        <v>0</v>
      </c>
      <c r="O166" s="1175">
        <f t="shared" ref="O166:Q166" si="187">O167+O168</f>
        <v>0</v>
      </c>
      <c r="P166" s="1175">
        <f t="shared" si="187"/>
        <v>0</v>
      </c>
      <c r="Q166" s="1175">
        <f t="shared" si="187"/>
        <v>0</v>
      </c>
      <c r="R166" s="1176">
        <f t="shared" si="153"/>
        <v>0</v>
      </c>
    </row>
    <row r="167" spans="1:18" s="6" customFormat="1" ht="12" hidden="1" customHeight="1">
      <c r="A167" s="1214" t="s">
        <v>52</v>
      </c>
      <c r="B167" s="1205" t="s">
        <v>53</v>
      </c>
      <c r="C167" s="1173">
        <v>0</v>
      </c>
      <c r="D167" s="1174">
        <v>0</v>
      </c>
      <c r="E167" s="1175"/>
      <c r="F167" s="1175"/>
      <c r="G167" s="1175"/>
      <c r="H167" s="1176">
        <f t="shared" si="151"/>
        <v>0</v>
      </c>
      <c r="I167" s="1175">
        <v>0</v>
      </c>
      <c r="J167" s="1175"/>
      <c r="K167" s="1175"/>
      <c r="L167" s="1175"/>
      <c r="M167" s="1176">
        <f t="shared" si="152"/>
        <v>0</v>
      </c>
      <c r="N167" s="1175">
        <v>0</v>
      </c>
      <c r="O167" s="1175"/>
      <c r="P167" s="1175"/>
      <c r="Q167" s="1175"/>
      <c r="R167" s="1176">
        <f t="shared" si="153"/>
        <v>0</v>
      </c>
    </row>
    <row r="168" spans="1:18" s="6" customFormat="1" ht="12" hidden="1" customHeight="1">
      <c r="A168" s="1214" t="s">
        <v>54</v>
      </c>
      <c r="B168" s="1205" t="s">
        <v>55</v>
      </c>
      <c r="C168" s="1173">
        <v>0</v>
      </c>
      <c r="D168" s="1174">
        <v>0</v>
      </c>
      <c r="E168" s="1175"/>
      <c r="F168" s="1175"/>
      <c r="G168" s="1175"/>
      <c r="H168" s="1176">
        <f t="shared" si="151"/>
        <v>0</v>
      </c>
      <c r="I168" s="1175">
        <v>0</v>
      </c>
      <c r="J168" s="1175"/>
      <c r="K168" s="1175"/>
      <c r="L168" s="1175"/>
      <c r="M168" s="1176">
        <f t="shared" si="152"/>
        <v>0</v>
      </c>
      <c r="N168" s="1175">
        <v>0</v>
      </c>
      <c r="O168" s="1175"/>
      <c r="P168" s="1175"/>
      <c r="Q168" s="1175"/>
      <c r="R168" s="1176">
        <f t="shared" si="153"/>
        <v>0</v>
      </c>
    </row>
    <row r="169" spans="1:18" s="6" customFormat="1" ht="12" hidden="1" customHeight="1">
      <c r="A169" s="1214" t="s">
        <v>56</v>
      </c>
      <c r="B169" s="1205" t="s">
        <v>57</v>
      </c>
      <c r="C169" s="1173">
        <v>0</v>
      </c>
      <c r="D169" s="1174">
        <v>0</v>
      </c>
      <c r="E169" s="1175">
        <f t="shared" ref="E169:G169" si="188">E170+E171</f>
        <v>0</v>
      </c>
      <c r="F169" s="1175">
        <f t="shared" si="188"/>
        <v>0</v>
      </c>
      <c r="G169" s="1175">
        <f t="shared" si="188"/>
        <v>0</v>
      </c>
      <c r="H169" s="1176">
        <f t="shared" si="151"/>
        <v>0</v>
      </c>
      <c r="I169" s="1175">
        <v>0</v>
      </c>
      <c r="J169" s="1175">
        <f t="shared" ref="J169:L169" si="189">J170+J171</f>
        <v>0</v>
      </c>
      <c r="K169" s="1175">
        <f t="shared" si="189"/>
        <v>0</v>
      </c>
      <c r="L169" s="1175">
        <f t="shared" si="189"/>
        <v>0</v>
      </c>
      <c r="M169" s="1176">
        <f t="shared" si="152"/>
        <v>0</v>
      </c>
      <c r="N169" s="1175">
        <v>0</v>
      </c>
      <c r="O169" s="1175">
        <f t="shared" ref="O169:Q169" si="190">O170+O171</f>
        <v>0</v>
      </c>
      <c r="P169" s="1175">
        <f t="shared" si="190"/>
        <v>0</v>
      </c>
      <c r="Q169" s="1175">
        <f t="shared" si="190"/>
        <v>0</v>
      </c>
      <c r="R169" s="1176">
        <f t="shared" si="153"/>
        <v>0</v>
      </c>
    </row>
    <row r="170" spans="1:18" s="6" customFormat="1" ht="12" hidden="1" customHeight="1">
      <c r="A170" s="1214" t="s">
        <v>58</v>
      </c>
      <c r="B170" s="1205" t="s">
        <v>59</v>
      </c>
      <c r="C170" s="1173">
        <v>0</v>
      </c>
      <c r="D170" s="1174">
        <v>0</v>
      </c>
      <c r="E170" s="1175"/>
      <c r="F170" s="1175"/>
      <c r="G170" s="1175"/>
      <c r="H170" s="1176">
        <f t="shared" si="151"/>
        <v>0</v>
      </c>
      <c r="I170" s="1175">
        <v>0</v>
      </c>
      <c r="J170" s="1175"/>
      <c r="K170" s="1175"/>
      <c r="L170" s="1175"/>
      <c r="M170" s="1176">
        <f t="shared" si="152"/>
        <v>0</v>
      </c>
      <c r="N170" s="1175">
        <v>0</v>
      </c>
      <c r="O170" s="1175"/>
      <c r="P170" s="1175"/>
      <c r="Q170" s="1175"/>
      <c r="R170" s="1176">
        <f t="shared" si="153"/>
        <v>0</v>
      </c>
    </row>
    <row r="171" spans="1:18" s="6" customFormat="1" ht="12" hidden="1" customHeight="1">
      <c r="A171" s="1214" t="s">
        <v>60</v>
      </c>
      <c r="B171" s="1205" t="s">
        <v>61</v>
      </c>
      <c r="C171" s="1173">
        <v>0</v>
      </c>
      <c r="D171" s="1174">
        <v>0</v>
      </c>
      <c r="E171" s="1175"/>
      <c r="F171" s="1175"/>
      <c r="G171" s="1175"/>
      <c r="H171" s="1176">
        <f t="shared" si="151"/>
        <v>0</v>
      </c>
      <c r="I171" s="1175">
        <v>0</v>
      </c>
      <c r="J171" s="1175"/>
      <c r="K171" s="1175"/>
      <c r="L171" s="1175"/>
      <c r="M171" s="1176">
        <f t="shared" si="152"/>
        <v>0</v>
      </c>
      <c r="N171" s="1175">
        <v>0</v>
      </c>
      <c r="O171" s="1175"/>
      <c r="P171" s="1175"/>
      <c r="Q171" s="1175"/>
      <c r="R171" s="1176">
        <f t="shared" si="153"/>
        <v>0</v>
      </c>
    </row>
    <row r="172" spans="1:18" s="6" customFormat="1" ht="12" hidden="1" customHeight="1">
      <c r="A172" s="1214" t="s">
        <v>198</v>
      </c>
      <c r="B172" s="1223" t="s">
        <v>168</v>
      </c>
      <c r="C172" s="1173">
        <v>0</v>
      </c>
      <c r="D172" s="1174">
        <v>0</v>
      </c>
      <c r="E172" s="1175"/>
      <c r="F172" s="1175"/>
      <c r="G172" s="1175"/>
      <c r="H172" s="1176">
        <f t="shared" si="151"/>
        <v>0</v>
      </c>
      <c r="I172" s="1175">
        <v>0</v>
      </c>
      <c r="J172" s="1175"/>
      <c r="K172" s="1175"/>
      <c r="L172" s="1175"/>
      <c r="M172" s="1176">
        <f t="shared" si="152"/>
        <v>0</v>
      </c>
      <c r="N172" s="1175">
        <v>0</v>
      </c>
      <c r="O172" s="1175"/>
      <c r="P172" s="1175"/>
      <c r="Q172" s="1175"/>
      <c r="R172" s="1176">
        <f t="shared" si="153"/>
        <v>0</v>
      </c>
    </row>
    <row r="173" spans="1:18" s="6" customFormat="1" ht="12" hidden="1" customHeight="1">
      <c r="A173" s="1224" t="s">
        <v>62</v>
      </c>
      <c r="B173" s="1178" t="s">
        <v>63</v>
      </c>
      <c r="C173" s="1179">
        <v>0</v>
      </c>
      <c r="D173" s="1180">
        <v>0</v>
      </c>
      <c r="E173" s="1181">
        <f t="shared" ref="E173:G173" si="191">E174+E175+E176</f>
        <v>0</v>
      </c>
      <c r="F173" s="1181">
        <f t="shared" si="191"/>
        <v>0</v>
      </c>
      <c r="G173" s="1181">
        <f t="shared" si="191"/>
        <v>0</v>
      </c>
      <c r="H173" s="1176">
        <f t="shared" si="151"/>
        <v>0</v>
      </c>
      <c r="I173" s="1181">
        <v>0</v>
      </c>
      <c r="J173" s="1181">
        <f t="shared" ref="J173:L173" si="192">J174+J175+J176</f>
        <v>0</v>
      </c>
      <c r="K173" s="1181">
        <f t="shared" si="192"/>
        <v>0</v>
      </c>
      <c r="L173" s="1181">
        <f t="shared" si="192"/>
        <v>0</v>
      </c>
      <c r="M173" s="1176">
        <f t="shared" si="152"/>
        <v>0</v>
      </c>
      <c r="N173" s="1181">
        <v>0</v>
      </c>
      <c r="O173" s="1181">
        <f t="shared" ref="O173:Q173" si="193">O174+O175+O176</f>
        <v>0</v>
      </c>
      <c r="P173" s="1181">
        <f t="shared" si="193"/>
        <v>0</v>
      </c>
      <c r="Q173" s="1181">
        <f t="shared" si="193"/>
        <v>0</v>
      </c>
      <c r="R173" s="1176">
        <f t="shared" si="153"/>
        <v>0</v>
      </c>
    </row>
    <row r="174" spans="1:18" s="6" customFormat="1" ht="36" hidden="1" customHeight="1">
      <c r="A174" s="1224" t="s">
        <v>64</v>
      </c>
      <c r="B174" s="1205" t="s">
        <v>65</v>
      </c>
      <c r="C174" s="1173">
        <v>0</v>
      </c>
      <c r="D174" s="1174">
        <v>0</v>
      </c>
      <c r="E174" s="1175"/>
      <c r="F174" s="1175"/>
      <c r="G174" s="1175"/>
      <c r="H174" s="1176">
        <f t="shared" si="151"/>
        <v>0</v>
      </c>
      <c r="I174" s="1175">
        <v>0</v>
      </c>
      <c r="J174" s="1175"/>
      <c r="K174" s="1175"/>
      <c r="L174" s="1175"/>
      <c r="M174" s="1176">
        <f t="shared" si="152"/>
        <v>0</v>
      </c>
      <c r="N174" s="1175">
        <v>0</v>
      </c>
      <c r="O174" s="1175"/>
      <c r="P174" s="1175"/>
      <c r="Q174" s="1175"/>
      <c r="R174" s="1176">
        <f t="shared" si="153"/>
        <v>0</v>
      </c>
    </row>
    <row r="175" spans="1:18" s="6" customFormat="1" ht="24" hidden="1" customHeight="1">
      <c r="A175" s="1224" t="s">
        <v>66</v>
      </c>
      <c r="B175" s="1205" t="s">
        <v>67</v>
      </c>
      <c r="C175" s="1173">
        <v>0</v>
      </c>
      <c r="D175" s="1174">
        <v>0</v>
      </c>
      <c r="E175" s="1175"/>
      <c r="F175" s="1175"/>
      <c r="G175" s="1175"/>
      <c r="H175" s="1176">
        <f t="shared" si="151"/>
        <v>0</v>
      </c>
      <c r="I175" s="1175">
        <v>0</v>
      </c>
      <c r="J175" s="1175"/>
      <c r="K175" s="1175"/>
      <c r="L175" s="1175"/>
      <c r="M175" s="1176">
        <f t="shared" si="152"/>
        <v>0</v>
      </c>
      <c r="N175" s="1175">
        <v>0</v>
      </c>
      <c r="O175" s="1175"/>
      <c r="P175" s="1175"/>
      <c r="Q175" s="1175"/>
      <c r="R175" s="1176">
        <f t="shared" si="153"/>
        <v>0</v>
      </c>
    </row>
    <row r="176" spans="1:18" s="6" customFormat="1" ht="24" hidden="1" customHeight="1">
      <c r="A176" s="1224" t="s">
        <v>68</v>
      </c>
      <c r="B176" s="1178" t="s">
        <v>69</v>
      </c>
      <c r="C176" s="1173">
        <v>0</v>
      </c>
      <c r="D176" s="1174">
        <v>0</v>
      </c>
      <c r="E176" s="1175"/>
      <c r="F176" s="1175"/>
      <c r="G176" s="1175"/>
      <c r="H176" s="1176">
        <f t="shared" si="151"/>
        <v>0</v>
      </c>
      <c r="I176" s="1175">
        <v>0</v>
      </c>
      <c r="J176" s="1175"/>
      <c r="K176" s="1175"/>
      <c r="L176" s="1175"/>
      <c r="M176" s="1176">
        <f t="shared" si="152"/>
        <v>0</v>
      </c>
      <c r="N176" s="1175">
        <v>0</v>
      </c>
      <c r="O176" s="1175"/>
      <c r="P176" s="1175"/>
      <c r="Q176" s="1175"/>
      <c r="R176" s="1176">
        <f t="shared" si="153"/>
        <v>0</v>
      </c>
    </row>
    <row r="177" spans="1:18" s="6" customFormat="1" ht="34.200000000000003">
      <c r="A177" s="1225"/>
      <c r="B177" s="1226" t="s">
        <v>200</v>
      </c>
      <c r="C177" s="1227"/>
      <c r="D177" s="1228"/>
      <c r="E177" s="1229"/>
      <c r="F177" s="1229"/>
      <c r="G177" s="1229"/>
      <c r="H177" s="1230"/>
      <c r="I177" s="1231"/>
      <c r="J177" s="1229"/>
      <c r="K177" s="1229"/>
      <c r="L177" s="1229"/>
      <c r="M177" s="1230">
        <f t="shared" si="152"/>
        <v>0</v>
      </c>
      <c r="N177" s="1231">
        <v>0</v>
      </c>
      <c r="O177" s="1229"/>
      <c r="P177" s="1229"/>
      <c r="Q177" s="1229"/>
      <c r="R177" s="1230">
        <f t="shared" si="153"/>
        <v>0</v>
      </c>
    </row>
    <row r="178" spans="1:18" s="6" customFormat="1" ht="20.399999999999999">
      <c r="A178" s="1168" t="s">
        <v>201</v>
      </c>
      <c r="B178" s="1169" t="s">
        <v>88</v>
      </c>
      <c r="C178" s="431">
        <v>119663753</v>
      </c>
      <c r="D178" s="432">
        <v>113780593</v>
      </c>
      <c r="E178" s="228">
        <f t="shared" ref="E178:G178" si="194">E179+E180+E182+E200</f>
        <v>961313</v>
      </c>
      <c r="F178" s="228">
        <f t="shared" si="194"/>
        <v>0</v>
      </c>
      <c r="G178" s="228">
        <f t="shared" si="194"/>
        <v>0</v>
      </c>
      <c r="H178" s="1170">
        <f t="shared" si="151"/>
        <v>114741906</v>
      </c>
      <c r="I178" s="228">
        <v>43555251</v>
      </c>
      <c r="J178" s="228">
        <f t="shared" ref="J178:L178" si="195">J179+J180+J182+J200</f>
        <v>723096</v>
      </c>
      <c r="K178" s="228">
        <f t="shared" si="195"/>
        <v>0</v>
      </c>
      <c r="L178" s="228">
        <f t="shared" si="195"/>
        <v>0</v>
      </c>
      <c r="M178" s="1170">
        <f t="shared" si="152"/>
        <v>44278347</v>
      </c>
      <c r="N178" s="228">
        <v>15119523</v>
      </c>
      <c r="O178" s="228">
        <f t="shared" ref="O178:Q178" si="196">O179+O180+O182+O200</f>
        <v>255589</v>
      </c>
      <c r="P178" s="228">
        <f t="shared" si="196"/>
        <v>0</v>
      </c>
      <c r="Q178" s="228">
        <f t="shared" si="196"/>
        <v>0</v>
      </c>
      <c r="R178" s="1170">
        <f t="shared" si="153"/>
        <v>15375112</v>
      </c>
    </row>
    <row r="179" spans="1:18" s="6" customFormat="1" ht="24" hidden="1" customHeight="1">
      <c r="A179" s="1171" t="s">
        <v>177</v>
      </c>
      <c r="B179" s="1172" t="s">
        <v>90</v>
      </c>
      <c r="C179" s="1173">
        <v>0</v>
      </c>
      <c r="D179" s="1174">
        <v>0</v>
      </c>
      <c r="E179" s="1175"/>
      <c r="F179" s="1175"/>
      <c r="G179" s="1175"/>
      <c r="H179" s="1176">
        <f t="shared" si="151"/>
        <v>0</v>
      </c>
      <c r="I179" s="1175">
        <v>0</v>
      </c>
      <c r="J179" s="1175"/>
      <c r="K179" s="1175"/>
      <c r="L179" s="1175"/>
      <c r="M179" s="1176">
        <f t="shared" si="152"/>
        <v>0</v>
      </c>
      <c r="N179" s="1175">
        <v>0</v>
      </c>
      <c r="O179" s="1175"/>
      <c r="P179" s="1175"/>
      <c r="Q179" s="1175"/>
      <c r="R179" s="1176">
        <f t="shared" si="153"/>
        <v>0</v>
      </c>
    </row>
    <row r="180" spans="1:18" s="6" customFormat="1" ht="12">
      <c r="A180" s="1171" t="s">
        <v>91</v>
      </c>
      <c r="B180" s="1172" t="s">
        <v>92</v>
      </c>
      <c r="C180" s="1173">
        <v>19817411</v>
      </c>
      <c r="D180" s="1174">
        <v>25572295</v>
      </c>
      <c r="E180" s="1175">
        <v>86382</v>
      </c>
      <c r="F180" s="1175"/>
      <c r="G180" s="1175"/>
      <c r="H180" s="1176">
        <f t="shared" si="151"/>
        <v>25658677</v>
      </c>
      <c r="I180" s="1175">
        <v>11300925</v>
      </c>
      <c r="J180" s="1175">
        <v>13503</v>
      </c>
      <c r="K180" s="1175"/>
      <c r="L180" s="1175"/>
      <c r="M180" s="1176">
        <f t="shared" si="152"/>
        <v>11314428</v>
      </c>
      <c r="N180" s="1175">
        <v>4082579</v>
      </c>
      <c r="O180" s="1175">
        <v>0</v>
      </c>
      <c r="P180" s="1175"/>
      <c r="Q180" s="1175"/>
      <c r="R180" s="1176">
        <f t="shared" si="153"/>
        <v>4082579</v>
      </c>
    </row>
    <row r="181" spans="1:18" s="29" customFormat="1" ht="24">
      <c r="A181" s="1177">
        <v>21210</v>
      </c>
      <c r="B181" s="1178" t="s">
        <v>93</v>
      </c>
      <c r="C181" s="1173">
        <v>174097</v>
      </c>
      <c r="D181" s="1174">
        <v>259755</v>
      </c>
      <c r="E181" s="1175">
        <v>86382</v>
      </c>
      <c r="F181" s="1175"/>
      <c r="G181" s="1175"/>
      <c r="H181" s="1176">
        <f t="shared" si="151"/>
        <v>346137</v>
      </c>
      <c r="I181" s="1175">
        <v>116631</v>
      </c>
      <c r="J181" s="1175">
        <v>13503</v>
      </c>
      <c r="K181" s="1175"/>
      <c r="L181" s="1175"/>
      <c r="M181" s="1176">
        <f t="shared" si="152"/>
        <v>130134</v>
      </c>
      <c r="N181" s="1175">
        <v>0</v>
      </c>
      <c r="O181" s="1175">
        <v>0</v>
      </c>
      <c r="P181" s="1175"/>
      <c r="Q181" s="1175"/>
      <c r="R181" s="1176">
        <f t="shared" si="153"/>
        <v>0</v>
      </c>
    </row>
    <row r="182" spans="1:18" s="89" customFormat="1" ht="20.399999999999999">
      <c r="A182" s="1171" t="s">
        <v>178</v>
      </c>
      <c r="B182" s="1172" t="s">
        <v>94</v>
      </c>
      <c r="C182" s="1179">
        <v>113917</v>
      </c>
      <c r="D182" s="1180">
        <v>1225634</v>
      </c>
      <c r="E182" s="1181">
        <f>E183+E189+E194</f>
        <v>849608</v>
      </c>
      <c r="F182" s="1181">
        <f t="shared" ref="F182:G182" si="197">F183+F189</f>
        <v>0</v>
      </c>
      <c r="G182" s="1181">
        <f t="shared" si="197"/>
        <v>0</v>
      </c>
      <c r="H182" s="1176">
        <f t="shared" si="151"/>
        <v>2075242</v>
      </c>
      <c r="I182" s="1181">
        <v>691933</v>
      </c>
      <c r="J182" s="1181">
        <f>J183+J189+J194</f>
        <v>700472</v>
      </c>
      <c r="K182" s="1181">
        <f t="shared" ref="K182:L182" si="198">K183+K189</f>
        <v>0</v>
      </c>
      <c r="L182" s="1181">
        <f t="shared" si="198"/>
        <v>0</v>
      </c>
      <c r="M182" s="1176">
        <f t="shared" si="152"/>
        <v>1392405</v>
      </c>
      <c r="N182" s="1181">
        <v>162453</v>
      </c>
      <c r="O182" s="1181">
        <f>O183+O189+O194</f>
        <v>255589</v>
      </c>
      <c r="P182" s="1181">
        <f t="shared" ref="P182:Q182" si="199">P183+P189</f>
        <v>0</v>
      </c>
      <c r="Q182" s="1181">
        <f t="shared" si="199"/>
        <v>0</v>
      </c>
      <c r="R182" s="1176">
        <f t="shared" si="153"/>
        <v>418042</v>
      </c>
    </row>
    <row r="183" spans="1:18" s="89" customFormat="1" ht="12" hidden="1" customHeight="1">
      <c r="A183" s="1182">
        <v>18000</v>
      </c>
      <c r="B183" s="1178" t="s">
        <v>95</v>
      </c>
      <c r="C183" s="1179">
        <v>0</v>
      </c>
      <c r="D183" s="1180">
        <v>0</v>
      </c>
      <c r="E183" s="1181">
        <f t="shared" ref="E183:L184" si="200">E184</f>
        <v>0</v>
      </c>
      <c r="F183" s="1181">
        <f t="shared" si="200"/>
        <v>0</v>
      </c>
      <c r="G183" s="1181">
        <f t="shared" si="200"/>
        <v>0</v>
      </c>
      <c r="H183" s="1176">
        <f t="shared" si="151"/>
        <v>0</v>
      </c>
      <c r="I183" s="1181">
        <v>0</v>
      </c>
      <c r="J183" s="1181">
        <f t="shared" si="200"/>
        <v>0</v>
      </c>
      <c r="K183" s="1181">
        <f t="shared" si="200"/>
        <v>0</v>
      </c>
      <c r="L183" s="1181">
        <f t="shared" si="200"/>
        <v>0</v>
      </c>
      <c r="M183" s="1176">
        <f t="shared" si="152"/>
        <v>0</v>
      </c>
      <c r="N183" s="1181">
        <v>0</v>
      </c>
      <c r="O183" s="1181">
        <f t="shared" ref="O183:Q184" si="201">O184</f>
        <v>0</v>
      </c>
      <c r="P183" s="1181">
        <f t="shared" si="201"/>
        <v>0</v>
      </c>
      <c r="Q183" s="1181">
        <f t="shared" si="201"/>
        <v>0</v>
      </c>
      <c r="R183" s="1176">
        <f t="shared" si="153"/>
        <v>0</v>
      </c>
    </row>
    <row r="184" spans="1:18" s="89" customFormat="1" ht="12" hidden="1" customHeight="1">
      <c r="A184" s="1182">
        <v>18100</v>
      </c>
      <c r="B184" s="1178" t="s">
        <v>96</v>
      </c>
      <c r="C184" s="1179">
        <v>0</v>
      </c>
      <c r="D184" s="1180">
        <v>0</v>
      </c>
      <c r="E184" s="1181">
        <f t="shared" si="200"/>
        <v>0</v>
      </c>
      <c r="F184" s="1181">
        <f t="shared" si="200"/>
        <v>0</v>
      </c>
      <c r="G184" s="1181">
        <f t="shared" si="200"/>
        <v>0</v>
      </c>
      <c r="H184" s="1176">
        <f t="shared" si="151"/>
        <v>0</v>
      </c>
      <c r="I184" s="1181">
        <v>0</v>
      </c>
      <c r="J184" s="1181">
        <f t="shared" si="200"/>
        <v>0</v>
      </c>
      <c r="K184" s="1181">
        <f t="shared" si="200"/>
        <v>0</v>
      </c>
      <c r="L184" s="1181">
        <f t="shared" si="200"/>
        <v>0</v>
      </c>
      <c r="M184" s="1176">
        <f t="shared" si="152"/>
        <v>0</v>
      </c>
      <c r="N184" s="1181">
        <v>0</v>
      </c>
      <c r="O184" s="1181">
        <f t="shared" si="201"/>
        <v>0</v>
      </c>
      <c r="P184" s="1181">
        <f t="shared" si="201"/>
        <v>0</v>
      </c>
      <c r="Q184" s="1181">
        <f t="shared" si="201"/>
        <v>0</v>
      </c>
      <c r="R184" s="1176">
        <f t="shared" si="153"/>
        <v>0</v>
      </c>
    </row>
    <row r="185" spans="1:18" s="89" customFormat="1" ht="24" hidden="1" customHeight="1">
      <c r="A185" s="1183">
        <v>18130</v>
      </c>
      <c r="B185" s="1184" t="s">
        <v>159</v>
      </c>
      <c r="C185" s="1179">
        <v>0</v>
      </c>
      <c r="D185" s="1180">
        <v>0</v>
      </c>
      <c r="E185" s="1181">
        <f t="shared" ref="E185:G185" si="202">SUM(E186:E188)</f>
        <v>0</v>
      </c>
      <c r="F185" s="1181">
        <f t="shared" ref="F185" si="203">SUM(F186:F188)</f>
        <v>0</v>
      </c>
      <c r="G185" s="1181">
        <f t="shared" si="202"/>
        <v>0</v>
      </c>
      <c r="H185" s="1176">
        <f t="shared" si="151"/>
        <v>0</v>
      </c>
      <c r="I185" s="1181">
        <v>0</v>
      </c>
      <c r="J185" s="1181">
        <f t="shared" ref="J185:L185" si="204">SUM(J186:J188)</f>
        <v>0</v>
      </c>
      <c r="K185" s="1181">
        <f t="shared" si="204"/>
        <v>0</v>
      </c>
      <c r="L185" s="1181">
        <f t="shared" si="204"/>
        <v>0</v>
      </c>
      <c r="M185" s="1176">
        <f t="shared" si="152"/>
        <v>0</v>
      </c>
      <c r="N185" s="1181">
        <v>0</v>
      </c>
      <c r="O185" s="1181">
        <f t="shared" ref="O185:Q185" si="205">SUM(O186:O188)</f>
        <v>0</v>
      </c>
      <c r="P185" s="1181">
        <f t="shared" si="205"/>
        <v>0</v>
      </c>
      <c r="Q185" s="1181">
        <f t="shared" si="205"/>
        <v>0</v>
      </c>
      <c r="R185" s="1176">
        <f t="shared" si="153"/>
        <v>0</v>
      </c>
    </row>
    <row r="186" spans="1:18" s="89" customFormat="1" ht="36" hidden="1" customHeight="1">
      <c r="A186" s="1185">
        <v>18131</v>
      </c>
      <c r="B186" s="1184" t="s">
        <v>160</v>
      </c>
      <c r="C186" s="1179">
        <v>0</v>
      </c>
      <c r="D186" s="1180">
        <v>0</v>
      </c>
      <c r="E186" s="1181"/>
      <c r="F186" s="1181"/>
      <c r="G186" s="1181"/>
      <c r="H186" s="1176">
        <f t="shared" si="151"/>
        <v>0</v>
      </c>
      <c r="I186" s="1181">
        <v>0</v>
      </c>
      <c r="J186" s="1181"/>
      <c r="K186" s="1181"/>
      <c r="L186" s="1181"/>
      <c r="M186" s="1176">
        <f t="shared" si="152"/>
        <v>0</v>
      </c>
      <c r="N186" s="1181">
        <v>0</v>
      </c>
      <c r="O186" s="1181"/>
      <c r="P186" s="1181"/>
      <c r="Q186" s="1181"/>
      <c r="R186" s="1176">
        <f t="shared" si="153"/>
        <v>0</v>
      </c>
    </row>
    <row r="187" spans="1:18" s="89" customFormat="1" ht="24" hidden="1" customHeight="1">
      <c r="A187" s="1185">
        <v>18132</v>
      </c>
      <c r="B187" s="1184" t="s">
        <v>169</v>
      </c>
      <c r="C187" s="1179">
        <v>0</v>
      </c>
      <c r="D187" s="1180">
        <v>0</v>
      </c>
      <c r="E187" s="1181"/>
      <c r="F187" s="1181"/>
      <c r="G187" s="1181"/>
      <c r="H187" s="1176">
        <f t="shared" si="151"/>
        <v>0</v>
      </c>
      <c r="I187" s="1181">
        <v>0</v>
      </c>
      <c r="J187" s="1181"/>
      <c r="K187" s="1181"/>
      <c r="L187" s="1181"/>
      <c r="M187" s="1176">
        <f t="shared" si="152"/>
        <v>0</v>
      </c>
      <c r="N187" s="1181">
        <v>0</v>
      </c>
      <c r="O187" s="1181"/>
      <c r="P187" s="1181"/>
      <c r="Q187" s="1181"/>
      <c r="R187" s="1176">
        <f t="shared" si="153"/>
        <v>0</v>
      </c>
    </row>
    <row r="188" spans="1:18" s="89" customFormat="1" ht="24" hidden="1" customHeight="1">
      <c r="A188" s="1185">
        <v>18139</v>
      </c>
      <c r="B188" s="1184" t="s">
        <v>179</v>
      </c>
      <c r="C188" s="1179">
        <v>0</v>
      </c>
      <c r="D188" s="1180">
        <v>0</v>
      </c>
      <c r="E188" s="1181"/>
      <c r="F188" s="1181"/>
      <c r="G188" s="1181"/>
      <c r="H188" s="1176">
        <f t="shared" si="151"/>
        <v>0</v>
      </c>
      <c r="I188" s="1181">
        <v>0</v>
      </c>
      <c r="J188" s="1181"/>
      <c r="K188" s="1181"/>
      <c r="L188" s="1181"/>
      <c r="M188" s="1176">
        <f t="shared" si="152"/>
        <v>0</v>
      </c>
      <c r="N188" s="1181">
        <v>0</v>
      </c>
      <c r="O188" s="1181"/>
      <c r="P188" s="1181"/>
      <c r="Q188" s="1181"/>
      <c r="R188" s="1176">
        <f t="shared" si="153"/>
        <v>0</v>
      </c>
    </row>
    <row r="189" spans="1:18" s="89" customFormat="1" ht="12">
      <c r="A189" s="1186" t="s">
        <v>180</v>
      </c>
      <c r="B189" s="1187" t="s">
        <v>173</v>
      </c>
      <c r="C189" s="435">
        <v>113917</v>
      </c>
      <c r="D189" s="436">
        <v>342453</v>
      </c>
      <c r="E189" s="238">
        <f t="shared" ref="E189:L189" si="206">E190</f>
        <v>0</v>
      </c>
      <c r="F189" s="238">
        <f t="shared" si="206"/>
        <v>0</v>
      </c>
      <c r="G189" s="238">
        <f t="shared" si="206"/>
        <v>0</v>
      </c>
      <c r="H189" s="1176">
        <f t="shared" si="151"/>
        <v>342453</v>
      </c>
      <c r="I189" s="238">
        <v>262933</v>
      </c>
      <c r="J189" s="238">
        <f t="shared" si="206"/>
        <v>0</v>
      </c>
      <c r="K189" s="238">
        <f t="shared" si="206"/>
        <v>0</v>
      </c>
      <c r="L189" s="238">
        <f t="shared" si="206"/>
        <v>0</v>
      </c>
      <c r="M189" s="1176">
        <f t="shared" si="152"/>
        <v>262933</v>
      </c>
      <c r="N189" s="238">
        <v>162453</v>
      </c>
      <c r="O189" s="238">
        <f t="shared" ref="O189:Q189" si="207">O190</f>
        <v>0</v>
      </c>
      <c r="P189" s="238">
        <f t="shared" si="207"/>
        <v>0</v>
      </c>
      <c r="Q189" s="238">
        <f t="shared" si="207"/>
        <v>0</v>
      </c>
      <c r="R189" s="1176">
        <f t="shared" si="153"/>
        <v>162453</v>
      </c>
    </row>
    <row r="190" spans="1:18" s="89" customFormat="1" ht="12">
      <c r="A190" s="1186">
        <v>19500</v>
      </c>
      <c r="B190" s="1184" t="s">
        <v>174</v>
      </c>
      <c r="C190" s="1179">
        <v>113917</v>
      </c>
      <c r="D190" s="1180">
        <v>342453</v>
      </c>
      <c r="E190" s="1181">
        <f t="shared" ref="E190:G190" si="208">SUM(E191:E193)</f>
        <v>0</v>
      </c>
      <c r="F190" s="1181">
        <f t="shared" si="208"/>
        <v>0</v>
      </c>
      <c r="G190" s="1181">
        <f t="shared" si="208"/>
        <v>0</v>
      </c>
      <c r="H190" s="1176">
        <f t="shared" si="151"/>
        <v>342453</v>
      </c>
      <c r="I190" s="1181">
        <v>262933</v>
      </c>
      <c r="J190" s="1181">
        <f t="shared" ref="J190:L190" si="209">SUM(J191:J193)</f>
        <v>0</v>
      </c>
      <c r="K190" s="1181">
        <f t="shared" si="209"/>
        <v>0</v>
      </c>
      <c r="L190" s="1181">
        <f t="shared" si="209"/>
        <v>0</v>
      </c>
      <c r="M190" s="1176">
        <f t="shared" si="152"/>
        <v>262933</v>
      </c>
      <c r="N190" s="1181">
        <v>162453</v>
      </c>
      <c r="O190" s="1181">
        <f t="shared" ref="O190:Q190" si="210">SUM(O191:O193)</f>
        <v>0</v>
      </c>
      <c r="P190" s="1181">
        <f t="shared" si="210"/>
        <v>0</v>
      </c>
      <c r="Q190" s="1181">
        <f t="shared" si="210"/>
        <v>0</v>
      </c>
      <c r="R190" s="1176">
        <f t="shared" si="153"/>
        <v>162453</v>
      </c>
    </row>
    <row r="191" spans="1:18" s="89" customFormat="1" ht="24">
      <c r="A191" s="1188">
        <v>19550</v>
      </c>
      <c r="B191" s="1184" t="s">
        <v>175</v>
      </c>
      <c r="C191" s="1179">
        <v>113917</v>
      </c>
      <c r="D191" s="1180">
        <v>342453</v>
      </c>
      <c r="E191" s="1181"/>
      <c r="F191" s="1181"/>
      <c r="G191" s="1181"/>
      <c r="H191" s="1176">
        <f t="shared" si="151"/>
        <v>342453</v>
      </c>
      <c r="I191" s="1181">
        <v>262933</v>
      </c>
      <c r="J191" s="1181"/>
      <c r="K191" s="1181"/>
      <c r="L191" s="1181"/>
      <c r="M191" s="1176">
        <f t="shared" si="152"/>
        <v>262933</v>
      </c>
      <c r="N191" s="1181">
        <v>162453</v>
      </c>
      <c r="O191" s="1181"/>
      <c r="P191" s="1181"/>
      <c r="Q191" s="1181"/>
      <c r="R191" s="1176">
        <f t="shared" si="153"/>
        <v>162453</v>
      </c>
    </row>
    <row r="192" spans="1:18" s="89" customFormat="1" ht="36" hidden="1" customHeight="1">
      <c r="A192" s="1188">
        <v>19560</v>
      </c>
      <c r="B192" s="1184" t="s">
        <v>181</v>
      </c>
      <c r="C192" s="1179">
        <v>0</v>
      </c>
      <c r="D192" s="1180">
        <v>0</v>
      </c>
      <c r="E192" s="1181"/>
      <c r="F192" s="1181"/>
      <c r="G192" s="1181"/>
      <c r="H192" s="1176">
        <f t="shared" si="151"/>
        <v>0</v>
      </c>
      <c r="I192" s="1181">
        <v>0</v>
      </c>
      <c r="J192" s="1181"/>
      <c r="K192" s="1181"/>
      <c r="L192" s="1181"/>
      <c r="M192" s="1176">
        <f t="shared" si="152"/>
        <v>0</v>
      </c>
      <c r="N192" s="1181">
        <v>0</v>
      </c>
      <c r="O192" s="1181"/>
      <c r="P192" s="1181"/>
      <c r="Q192" s="1181"/>
      <c r="R192" s="1176">
        <f t="shared" si="153"/>
        <v>0</v>
      </c>
    </row>
    <row r="193" spans="1:18" s="89" customFormat="1" ht="72" hidden="1" customHeight="1">
      <c r="A193" s="1188">
        <v>19570</v>
      </c>
      <c r="B193" s="1184" t="s">
        <v>182</v>
      </c>
      <c r="C193" s="1179">
        <v>0</v>
      </c>
      <c r="D193" s="1180">
        <v>0</v>
      </c>
      <c r="E193" s="1181"/>
      <c r="F193" s="1181"/>
      <c r="G193" s="1181"/>
      <c r="H193" s="1176">
        <f t="shared" si="151"/>
        <v>0</v>
      </c>
      <c r="I193" s="1181">
        <v>0</v>
      </c>
      <c r="J193" s="1181"/>
      <c r="K193" s="1181"/>
      <c r="L193" s="1181"/>
      <c r="M193" s="1176">
        <f t="shared" si="152"/>
        <v>0</v>
      </c>
      <c r="N193" s="1181">
        <v>0</v>
      </c>
      <c r="O193" s="1181"/>
      <c r="P193" s="1181"/>
      <c r="Q193" s="1181"/>
      <c r="R193" s="1176">
        <f t="shared" si="153"/>
        <v>0</v>
      </c>
    </row>
    <row r="194" spans="1:18" s="6" customFormat="1" ht="24">
      <c r="A194" s="1189" t="s">
        <v>222</v>
      </c>
      <c r="B194" s="1190" t="s">
        <v>216</v>
      </c>
      <c r="C194" s="1176">
        <f>C195</f>
        <v>0</v>
      </c>
      <c r="D194" s="1176">
        <v>883181</v>
      </c>
      <c r="E194" s="1176">
        <f t="shared" ref="E194:L194" si="211">E195</f>
        <v>849608</v>
      </c>
      <c r="F194" s="1176">
        <f t="shared" si="211"/>
        <v>0</v>
      </c>
      <c r="G194" s="1176">
        <f t="shared" si="211"/>
        <v>0</v>
      </c>
      <c r="H194" s="1176">
        <f t="shared" si="151"/>
        <v>1732789</v>
      </c>
      <c r="I194" s="1181">
        <v>429000</v>
      </c>
      <c r="J194" s="1176">
        <f t="shared" si="211"/>
        <v>700472</v>
      </c>
      <c r="K194" s="1176">
        <f t="shared" si="211"/>
        <v>0</v>
      </c>
      <c r="L194" s="1176">
        <f t="shared" si="211"/>
        <v>0</v>
      </c>
      <c r="M194" s="1176">
        <f t="shared" si="152"/>
        <v>1129472</v>
      </c>
      <c r="N194" s="1181">
        <v>0</v>
      </c>
      <c r="O194" s="1176">
        <f t="shared" ref="O194:Q194" si="212">O195</f>
        <v>255589</v>
      </c>
      <c r="P194" s="1176">
        <f t="shared" si="212"/>
        <v>0</v>
      </c>
      <c r="Q194" s="1176">
        <f t="shared" si="212"/>
        <v>0</v>
      </c>
      <c r="R194" s="1176">
        <f t="shared" si="153"/>
        <v>255589</v>
      </c>
    </row>
    <row r="195" spans="1:18" s="6" customFormat="1" ht="36">
      <c r="A195" s="1189">
        <v>17100</v>
      </c>
      <c r="B195" s="1190" t="s">
        <v>217</v>
      </c>
      <c r="C195" s="1176">
        <f>SUM(C196:C199)</f>
        <v>0</v>
      </c>
      <c r="D195" s="1176">
        <v>883181</v>
      </c>
      <c r="E195" s="1176">
        <f t="shared" ref="E195:G195" si="213">SUM(E196:E199)</f>
        <v>849608</v>
      </c>
      <c r="F195" s="1176">
        <f t="shared" si="213"/>
        <v>0</v>
      </c>
      <c r="G195" s="1176">
        <f t="shared" si="213"/>
        <v>0</v>
      </c>
      <c r="H195" s="1176">
        <f t="shared" si="151"/>
        <v>1732789</v>
      </c>
      <c r="I195" s="1181">
        <v>429000</v>
      </c>
      <c r="J195" s="1176">
        <f t="shared" ref="J195:L195" si="214">SUM(J196:J199)</f>
        <v>700472</v>
      </c>
      <c r="K195" s="1176">
        <f t="shared" si="214"/>
        <v>0</v>
      </c>
      <c r="L195" s="1176">
        <f t="shared" si="214"/>
        <v>0</v>
      </c>
      <c r="M195" s="1176">
        <f t="shared" si="152"/>
        <v>1129472</v>
      </c>
      <c r="N195" s="1181">
        <v>0</v>
      </c>
      <c r="O195" s="1176">
        <f t="shared" ref="O195:Q195" si="215">SUM(O196:O199)</f>
        <v>255589</v>
      </c>
      <c r="P195" s="1176">
        <f t="shared" si="215"/>
        <v>0</v>
      </c>
      <c r="Q195" s="1176">
        <f t="shared" si="215"/>
        <v>0</v>
      </c>
      <c r="R195" s="1176">
        <f t="shared" si="153"/>
        <v>255589</v>
      </c>
    </row>
    <row r="196" spans="1:18" s="6" customFormat="1" ht="48" customHeight="1">
      <c r="A196" s="1191">
        <v>17110</v>
      </c>
      <c r="B196" s="1190" t="s">
        <v>218</v>
      </c>
      <c r="C196" s="1176"/>
      <c r="D196" s="1181">
        <v>883181</v>
      </c>
      <c r="E196" s="1181">
        <v>849608</v>
      </c>
      <c r="F196" s="1181"/>
      <c r="G196" s="1181"/>
      <c r="H196" s="1176">
        <f t="shared" si="151"/>
        <v>1732789</v>
      </c>
      <c r="I196" s="1181">
        <v>429000</v>
      </c>
      <c r="J196" s="1181">
        <v>700472</v>
      </c>
      <c r="K196" s="1181"/>
      <c r="L196" s="1181"/>
      <c r="M196" s="1176">
        <f t="shared" si="152"/>
        <v>1129472</v>
      </c>
      <c r="N196" s="1181">
        <v>0</v>
      </c>
      <c r="O196" s="1181">
        <v>255589</v>
      </c>
      <c r="P196" s="1181"/>
      <c r="Q196" s="1181"/>
      <c r="R196" s="1176">
        <f t="shared" si="153"/>
        <v>255589</v>
      </c>
    </row>
    <row r="197" spans="1:18" s="6" customFormat="1" ht="60" hidden="1" customHeight="1">
      <c r="A197" s="1191">
        <v>17120</v>
      </c>
      <c r="B197" s="1190" t="s">
        <v>219</v>
      </c>
      <c r="C197" s="1176"/>
      <c r="D197" s="1181">
        <v>0</v>
      </c>
      <c r="E197" s="1181"/>
      <c r="F197" s="1181"/>
      <c r="G197" s="1181"/>
      <c r="H197" s="1176">
        <f t="shared" si="151"/>
        <v>0</v>
      </c>
      <c r="I197" s="1181">
        <v>0</v>
      </c>
      <c r="J197" s="1181"/>
      <c r="K197" s="1181"/>
      <c r="L197" s="1181"/>
      <c r="M197" s="1176">
        <f t="shared" si="152"/>
        <v>0</v>
      </c>
      <c r="N197" s="1181">
        <v>0</v>
      </c>
      <c r="O197" s="1181"/>
      <c r="P197" s="1181"/>
      <c r="Q197" s="1181"/>
      <c r="R197" s="1176">
        <f t="shared" si="153"/>
        <v>0</v>
      </c>
    </row>
    <row r="198" spans="1:18" s="6" customFormat="1" ht="108" hidden="1" customHeight="1">
      <c r="A198" s="1191">
        <v>17130</v>
      </c>
      <c r="B198" s="1190" t="s">
        <v>220</v>
      </c>
      <c r="C198" s="1176"/>
      <c r="D198" s="1181">
        <v>0</v>
      </c>
      <c r="E198" s="1181"/>
      <c r="F198" s="1181"/>
      <c r="G198" s="1181"/>
      <c r="H198" s="1176">
        <f t="shared" si="151"/>
        <v>0</v>
      </c>
      <c r="I198" s="1181">
        <v>0</v>
      </c>
      <c r="J198" s="1181"/>
      <c r="K198" s="1181"/>
      <c r="L198" s="1181"/>
      <c r="M198" s="1176">
        <f t="shared" si="152"/>
        <v>0</v>
      </c>
      <c r="N198" s="1181">
        <v>0</v>
      </c>
      <c r="O198" s="1181"/>
      <c r="P198" s="1181"/>
      <c r="Q198" s="1181"/>
      <c r="R198" s="1176">
        <f t="shared" si="153"/>
        <v>0</v>
      </c>
    </row>
    <row r="199" spans="1:18" s="6" customFormat="1" ht="96" hidden="1" customHeight="1">
      <c r="A199" s="1191">
        <v>17140</v>
      </c>
      <c r="B199" s="1190" t="s">
        <v>221</v>
      </c>
      <c r="C199" s="1176"/>
      <c r="D199" s="1181">
        <v>0</v>
      </c>
      <c r="E199" s="1181"/>
      <c r="F199" s="1181"/>
      <c r="G199" s="1181"/>
      <c r="H199" s="1176">
        <f t="shared" si="151"/>
        <v>0</v>
      </c>
      <c r="I199" s="1181">
        <v>0</v>
      </c>
      <c r="J199" s="1181"/>
      <c r="K199" s="1181"/>
      <c r="L199" s="1181"/>
      <c r="M199" s="1176">
        <f t="shared" si="152"/>
        <v>0</v>
      </c>
      <c r="N199" s="1181">
        <v>0</v>
      </c>
      <c r="O199" s="1181"/>
      <c r="P199" s="1181"/>
      <c r="Q199" s="1181"/>
      <c r="R199" s="1176">
        <f t="shared" si="153"/>
        <v>0</v>
      </c>
    </row>
    <row r="200" spans="1:18" s="89" customFormat="1" ht="12">
      <c r="A200" s="1192">
        <v>21700</v>
      </c>
      <c r="B200" s="1172" t="s">
        <v>97</v>
      </c>
      <c r="C200" s="1179">
        <v>99732425</v>
      </c>
      <c r="D200" s="1180">
        <v>86982664</v>
      </c>
      <c r="E200" s="1181">
        <f t="shared" ref="E200:G200" si="216">E201+E202</f>
        <v>25323</v>
      </c>
      <c r="F200" s="1181">
        <f t="shared" si="216"/>
        <v>0</v>
      </c>
      <c r="G200" s="1181">
        <f t="shared" si="216"/>
        <v>0</v>
      </c>
      <c r="H200" s="1176">
        <f t="shared" si="151"/>
        <v>87007987</v>
      </c>
      <c r="I200" s="1181">
        <v>31562393</v>
      </c>
      <c r="J200" s="1181">
        <f t="shared" ref="J200:L200" si="217">J201+J202</f>
        <v>9121</v>
      </c>
      <c r="K200" s="1181">
        <f t="shared" si="217"/>
        <v>0</v>
      </c>
      <c r="L200" s="1181">
        <f t="shared" si="217"/>
        <v>0</v>
      </c>
      <c r="M200" s="1176">
        <f t="shared" si="152"/>
        <v>31571514</v>
      </c>
      <c r="N200" s="1181">
        <v>10874491</v>
      </c>
      <c r="O200" s="1181">
        <f t="shared" ref="O200:Q200" si="218">O201+O202</f>
        <v>0</v>
      </c>
      <c r="P200" s="1181">
        <f t="shared" si="218"/>
        <v>0</v>
      </c>
      <c r="Q200" s="1181">
        <f t="shared" si="218"/>
        <v>0</v>
      </c>
      <c r="R200" s="1176">
        <f t="shared" si="153"/>
        <v>10874491</v>
      </c>
    </row>
    <row r="201" spans="1:18" s="89" customFormat="1" ht="24">
      <c r="A201" s="1193">
        <v>21710</v>
      </c>
      <c r="B201" s="1178" t="s">
        <v>98</v>
      </c>
      <c r="C201" s="1179">
        <v>90074073</v>
      </c>
      <c r="D201" s="1180">
        <v>79901575</v>
      </c>
      <c r="E201" s="1181">
        <v>25323</v>
      </c>
      <c r="F201" s="1181"/>
      <c r="G201" s="1181"/>
      <c r="H201" s="1176">
        <f t="shared" si="151"/>
        <v>79926898</v>
      </c>
      <c r="I201" s="1181">
        <v>27686427</v>
      </c>
      <c r="J201" s="1181">
        <v>9121</v>
      </c>
      <c r="K201" s="1181"/>
      <c r="L201" s="1181"/>
      <c r="M201" s="1176">
        <f t="shared" si="152"/>
        <v>27695548</v>
      </c>
      <c r="N201" s="1181">
        <v>8819863</v>
      </c>
      <c r="O201" s="1181">
        <v>0</v>
      </c>
      <c r="P201" s="1181"/>
      <c r="Q201" s="1181"/>
      <c r="R201" s="1176">
        <f t="shared" si="153"/>
        <v>8819863</v>
      </c>
    </row>
    <row r="202" spans="1:18" s="29" customFormat="1" ht="24">
      <c r="A202" s="1193">
        <v>21720</v>
      </c>
      <c r="B202" s="1178" t="s">
        <v>99</v>
      </c>
      <c r="C202" s="1179">
        <v>9658352</v>
      </c>
      <c r="D202" s="1180">
        <v>7081089</v>
      </c>
      <c r="E202" s="1181">
        <v>0</v>
      </c>
      <c r="F202" s="1181"/>
      <c r="G202" s="1181"/>
      <c r="H202" s="1176">
        <f t="shared" ref="H202:H260" si="219">SUM(D202:G202)</f>
        <v>7081089</v>
      </c>
      <c r="I202" s="1181">
        <v>3875966</v>
      </c>
      <c r="J202" s="1181">
        <v>0</v>
      </c>
      <c r="K202" s="1181"/>
      <c r="L202" s="1181"/>
      <c r="M202" s="1176">
        <f t="shared" ref="M202:M260" si="220">SUM(I202:L202)</f>
        <v>3875966</v>
      </c>
      <c r="N202" s="1181">
        <v>2054628</v>
      </c>
      <c r="O202" s="1181">
        <v>0</v>
      </c>
      <c r="P202" s="1181"/>
      <c r="Q202" s="1181"/>
      <c r="R202" s="1176">
        <f t="shared" ref="R202:R260" si="221">SUM(N202:Q202)</f>
        <v>2054628</v>
      </c>
    </row>
    <row r="203" spans="1:18" s="29" customFormat="1" ht="11.4">
      <c r="A203" s="1168" t="s">
        <v>100</v>
      </c>
      <c r="B203" s="1169" t="s">
        <v>101</v>
      </c>
      <c r="C203" s="1194">
        <v>126566477</v>
      </c>
      <c r="D203" s="1195">
        <v>113840593</v>
      </c>
      <c r="E203" s="1196">
        <f t="shared" ref="E203:G203" si="222">E204+E231</f>
        <v>961313</v>
      </c>
      <c r="F203" s="1196">
        <f t="shared" si="222"/>
        <v>0</v>
      </c>
      <c r="G203" s="1196">
        <f t="shared" si="222"/>
        <v>0</v>
      </c>
      <c r="H203" s="1194">
        <f t="shared" si="219"/>
        <v>114801906</v>
      </c>
      <c r="I203" s="1196">
        <v>43555251</v>
      </c>
      <c r="J203" s="1196">
        <f t="shared" ref="J203:L203" si="223">J204+J231</f>
        <v>723096</v>
      </c>
      <c r="K203" s="1196">
        <f t="shared" si="223"/>
        <v>0</v>
      </c>
      <c r="L203" s="1196">
        <f t="shared" si="223"/>
        <v>0</v>
      </c>
      <c r="M203" s="1194">
        <f t="shared" si="220"/>
        <v>44278347</v>
      </c>
      <c r="N203" s="1196">
        <v>15119523</v>
      </c>
      <c r="O203" s="1196">
        <f t="shared" ref="O203:Q203" si="224">O204+O231</f>
        <v>255589</v>
      </c>
      <c r="P203" s="1196">
        <f t="shared" si="224"/>
        <v>0</v>
      </c>
      <c r="Q203" s="1196">
        <f t="shared" si="224"/>
        <v>0</v>
      </c>
      <c r="R203" s="1194">
        <f t="shared" si="221"/>
        <v>15375112</v>
      </c>
    </row>
    <row r="204" spans="1:18" s="29" customFormat="1" ht="20.399999999999999">
      <c r="A204" s="1171" t="s">
        <v>102</v>
      </c>
      <c r="B204" s="1172" t="s">
        <v>103</v>
      </c>
      <c r="C204" s="1179">
        <v>66345088</v>
      </c>
      <c r="D204" s="1180">
        <v>72367604</v>
      </c>
      <c r="E204" s="1181">
        <f t="shared" ref="E204:G204" si="225">E205+E209+E210+E213+E216</f>
        <v>916966</v>
      </c>
      <c r="F204" s="1181">
        <f t="shared" si="225"/>
        <v>0</v>
      </c>
      <c r="G204" s="1181">
        <f t="shared" si="225"/>
        <v>0</v>
      </c>
      <c r="H204" s="1176">
        <f t="shared" si="219"/>
        <v>73284570</v>
      </c>
      <c r="I204" s="1181">
        <v>30575985</v>
      </c>
      <c r="J204" s="1181">
        <f t="shared" ref="J204:L204" si="226">J205+J209+J210+J213+J216</f>
        <v>723096</v>
      </c>
      <c r="K204" s="1181">
        <f t="shared" si="226"/>
        <v>0</v>
      </c>
      <c r="L204" s="1181">
        <f t="shared" si="226"/>
        <v>0</v>
      </c>
      <c r="M204" s="1176">
        <f t="shared" si="220"/>
        <v>31299081</v>
      </c>
      <c r="N204" s="1181">
        <v>9164925</v>
      </c>
      <c r="O204" s="1181">
        <f t="shared" ref="O204:Q204" si="227">O205+O209+O210+O213+O216</f>
        <v>255589</v>
      </c>
      <c r="P204" s="1181">
        <f t="shared" si="227"/>
        <v>0</v>
      </c>
      <c r="Q204" s="1181">
        <f t="shared" si="227"/>
        <v>0</v>
      </c>
      <c r="R204" s="1176">
        <f t="shared" si="221"/>
        <v>9420514</v>
      </c>
    </row>
    <row r="205" spans="1:18" s="29" customFormat="1" ht="12">
      <c r="A205" s="1171" t="s">
        <v>104</v>
      </c>
      <c r="B205" s="1172" t="s">
        <v>105</v>
      </c>
      <c r="C205" s="1179">
        <v>7071335</v>
      </c>
      <c r="D205" s="1180">
        <v>4794032</v>
      </c>
      <c r="E205" s="1181">
        <f t="shared" ref="E205:G205" si="228">E206+E208</f>
        <v>10785</v>
      </c>
      <c r="F205" s="1181">
        <f t="shared" si="228"/>
        <v>0</v>
      </c>
      <c r="G205" s="1181">
        <f t="shared" si="228"/>
        <v>0</v>
      </c>
      <c r="H205" s="1176">
        <f t="shared" si="219"/>
        <v>4804817</v>
      </c>
      <c r="I205" s="1181">
        <v>3571334</v>
      </c>
      <c r="J205" s="1181">
        <f t="shared" ref="J205:L205" si="229">J206+J208</f>
        <v>9121</v>
      </c>
      <c r="K205" s="1181">
        <f t="shared" si="229"/>
        <v>0</v>
      </c>
      <c r="L205" s="1181">
        <f t="shared" si="229"/>
        <v>0</v>
      </c>
      <c r="M205" s="1176">
        <f t="shared" si="220"/>
        <v>3580455</v>
      </c>
      <c r="N205" s="1181">
        <v>3143191</v>
      </c>
      <c r="O205" s="1176">
        <f t="shared" ref="O205:Q205" si="230">O206+O208</f>
        <v>0</v>
      </c>
      <c r="P205" s="1181">
        <f t="shared" si="230"/>
        <v>0</v>
      </c>
      <c r="Q205" s="1181">
        <f t="shared" si="230"/>
        <v>0</v>
      </c>
      <c r="R205" s="1176">
        <f t="shared" si="221"/>
        <v>3143191</v>
      </c>
    </row>
    <row r="206" spans="1:18" s="29" customFormat="1" ht="12">
      <c r="A206" s="1182">
        <v>1000</v>
      </c>
      <c r="B206" s="1178" t="s">
        <v>106</v>
      </c>
      <c r="C206" s="1179">
        <v>2532231</v>
      </c>
      <c r="D206" s="1180">
        <v>2587012</v>
      </c>
      <c r="E206" s="1181">
        <v>-1724</v>
      </c>
      <c r="F206" s="1197"/>
      <c r="G206" s="1197"/>
      <c r="H206" s="1176">
        <f t="shared" si="219"/>
        <v>2585288</v>
      </c>
      <c r="I206" s="1181">
        <v>2333367</v>
      </c>
      <c r="J206" s="1181">
        <v>12864</v>
      </c>
      <c r="K206" s="1197"/>
      <c r="L206" s="1197"/>
      <c r="M206" s="1176">
        <f t="shared" si="220"/>
        <v>2346231</v>
      </c>
      <c r="N206" s="1181">
        <v>2261067</v>
      </c>
      <c r="O206" s="1176">
        <v>0</v>
      </c>
      <c r="P206" s="1197"/>
      <c r="Q206" s="1197"/>
      <c r="R206" s="1176">
        <f t="shared" si="221"/>
        <v>2261067</v>
      </c>
    </row>
    <row r="207" spans="1:18" s="29" customFormat="1" ht="12">
      <c r="A207" s="1198">
        <v>1100</v>
      </c>
      <c r="B207" s="1178" t="s">
        <v>107</v>
      </c>
      <c r="C207" s="1179">
        <v>1992129</v>
      </c>
      <c r="D207" s="1180">
        <v>2039231</v>
      </c>
      <c r="E207" s="1181">
        <v>-1391</v>
      </c>
      <c r="F207" s="1197"/>
      <c r="G207" s="1197"/>
      <c r="H207" s="1176">
        <f t="shared" si="219"/>
        <v>2037840</v>
      </c>
      <c r="I207" s="1181">
        <v>1834333</v>
      </c>
      <c r="J207" s="1181">
        <v>10265</v>
      </c>
      <c r="K207" s="1197"/>
      <c r="L207" s="1197"/>
      <c r="M207" s="1176">
        <f t="shared" si="220"/>
        <v>1844598</v>
      </c>
      <c r="N207" s="1181">
        <v>1786540</v>
      </c>
      <c r="O207" s="1176">
        <v>0</v>
      </c>
      <c r="P207" s="1197"/>
      <c r="Q207" s="1197"/>
      <c r="R207" s="1176">
        <f t="shared" si="221"/>
        <v>1786540</v>
      </c>
    </row>
    <row r="208" spans="1:18" s="29" customFormat="1" ht="12">
      <c r="A208" s="1182">
        <v>2000</v>
      </c>
      <c r="B208" s="1178" t="s">
        <v>108</v>
      </c>
      <c r="C208" s="1179">
        <v>4539104</v>
      </c>
      <c r="D208" s="1180">
        <v>2207020</v>
      </c>
      <c r="E208" s="1181">
        <v>12509</v>
      </c>
      <c r="F208" s="1197"/>
      <c r="G208" s="1197"/>
      <c r="H208" s="1176">
        <f t="shared" si="219"/>
        <v>2219529</v>
      </c>
      <c r="I208" s="1181">
        <v>1237967</v>
      </c>
      <c r="J208" s="1181">
        <v>-3743</v>
      </c>
      <c r="K208" s="1197"/>
      <c r="L208" s="1197"/>
      <c r="M208" s="1176">
        <f t="shared" si="220"/>
        <v>1234224</v>
      </c>
      <c r="N208" s="1181">
        <v>882124</v>
      </c>
      <c r="O208" s="1176">
        <v>0</v>
      </c>
      <c r="P208" s="1197"/>
      <c r="Q208" s="1197"/>
      <c r="R208" s="1176">
        <f t="shared" si="221"/>
        <v>882124</v>
      </c>
    </row>
    <row r="209" spans="1:18" s="29" customFormat="1" ht="12" hidden="1" customHeight="1">
      <c r="A209" s="1199">
        <v>4000</v>
      </c>
      <c r="B209" s="1172" t="s">
        <v>132</v>
      </c>
      <c r="C209" s="1179">
        <v>0</v>
      </c>
      <c r="D209" s="1200">
        <v>0</v>
      </c>
      <c r="E209" s="1181"/>
      <c r="F209" s="1197"/>
      <c r="G209" s="1197"/>
      <c r="H209" s="1176">
        <f t="shared" si="219"/>
        <v>0</v>
      </c>
      <c r="I209" s="1181">
        <v>0</v>
      </c>
      <c r="J209" s="1181"/>
      <c r="K209" s="1197"/>
      <c r="L209" s="1197"/>
      <c r="M209" s="1176">
        <f t="shared" si="220"/>
        <v>0</v>
      </c>
      <c r="N209" s="1181">
        <v>0</v>
      </c>
      <c r="O209" s="1176"/>
      <c r="P209" s="1197"/>
      <c r="Q209" s="1197"/>
      <c r="R209" s="1176">
        <f t="shared" si="221"/>
        <v>0</v>
      </c>
    </row>
    <row r="210" spans="1:18" s="29" customFormat="1" ht="12">
      <c r="A210" s="1199" t="s">
        <v>109</v>
      </c>
      <c r="B210" s="1172" t="s">
        <v>110</v>
      </c>
      <c r="C210" s="1179">
        <v>29078485</v>
      </c>
      <c r="D210" s="1180">
        <v>40624066</v>
      </c>
      <c r="E210" s="1181">
        <f t="shared" ref="E210:G210" si="231">E211+E212</f>
        <v>849608</v>
      </c>
      <c r="F210" s="1181">
        <f t="shared" si="231"/>
        <v>0</v>
      </c>
      <c r="G210" s="1181">
        <f t="shared" si="231"/>
        <v>0</v>
      </c>
      <c r="H210" s="1176">
        <f t="shared" si="219"/>
        <v>41473674</v>
      </c>
      <c r="I210" s="1181">
        <v>16804347</v>
      </c>
      <c r="J210" s="1181">
        <f t="shared" ref="J210:L210" si="232">J211+J212</f>
        <v>700472</v>
      </c>
      <c r="K210" s="1181">
        <f t="shared" si="232"/>
        <v>0</v>
      </c>
      <c r="L210" s="1181">
        <f t="shared" si="232"/>
        <v>0</v>
      </c>
      <c r="M210" s="1176">
        <f t="shared" si="220"/>
        <v>17504819</v>
      </c>
      <c r="N210" s="1181">
        <v>2299491</v>
      </c>
      <c r="O210" s="1176">
        <f t="shared" ref="O210:Q210" si="233">O211+O212</f>
        <v>255589</v>
      </c>
      <c r="P210" s="1181">
        <f t="shared" si="233"/>
        <v>0</v>
      </c>
      <c r="Q210" s="1181">
        <f t="shared" si="233"/>
        <v>0</v>
      </c>
      <c r="R210" s="1176">
        <f t="shared" si="221"/>
        <v>2555080</v>
      </c>
    </row>
    <row r="211" spans="1:18" s="29" customFormat="1" ht="12">
      <c r="A211" s="1182">
        <v>3000</v>
      </c>
      <c r="B211" s="1178" t="s">
        <v>111</v>
      </c>
      <c r="C211" s="1201">
        <v>29078485</v>
      </c>
      <c r="D211" s="1201">
        <v>40624066</v>
      </c>
      <c r="E211" s="1203">
        <v>849608</v>
      </c>
      <c r="F211" s="1204"/>
      <c r="G211" s="1204"/>
      <c r="H211" s="1176">
        <f t="shared" si="219"/>
        <v>41473674</v>
      </c>
      <c r="I211" s="1203">
        <v>16804347</v>
      </c>
      <c r="J211" s="1203">
        <v>700472</v>
      </c>
      <c r="K211" s="1204"/>
      <c r="L211" s="1204"/>
      <c r="M211" s="1176">
        <f t="shared" si="220"/>
        <v>17504819</v>
      </c>
      <c r="N211" s="1203">
        <v>2299491</v>
      </c>
      <c r="O211" s="1232">
        <v>255589</v>
      </c>
      <c r="P211" s="1204"/>
      <c r="Q211" s="1204"/>
      <c r="R211" s="1176">
        <f t="shared" si="221"/>
        <v>2555080</v>
      </c>
    </row>
    <row r="212" spans="1:18" s="29" customFormat="1" ht="12" hidden="1" customHeight="1">
      <c r="A212" s="1182">
        <v>6000</v>
      </c>
      <c r="B212" s="1178" t="s">
        <v>112</v>
      </c>
      <c r="C212" s="439">
        <v>0</v>
      </c>
      <c r="D212" s="440">
        <v>0</v>
      </c>
      <c r="E212" s="346"/>
      <c r="F212" s="248"/>
      <c r="G212" s="248"/>
      <c r="H212" s="1176">
        <f t="shared" si="219"/>
        <v>0</v>
      </c>
      <c r="I212" s="346">
        <v>0</v>
      </c>
      <c r="J212" s="346"/>
      <c r="K212" s="248"/>
      <c r="L212" s="248"/>
      <c r="M212" s="1176">
        <f t="shared" si="220"/>
        <v>0</v>
      </c>
      <c r="N212" s="346">
        <v>0</v>
      </c>
      <c r="O212" s="247"/>
      <c r="P212" s="248"/>
      <c r="Q212" s="248"/>
      <c r="R212" s="1176">
        <f t="shared" si="221"/>
        <v>0</v>
      </c>
    </row>
    <row r="213" spans="1:18" s="29" customFormat="1" ht="22.8">
      <c r="A213" s="1199" t="s">
        <v>113</v>
      </c>
      <c r="B213" s="1172" t="s">
        <v>183</v>
      </c>
      <c r="C213" s="1179">
        <v>10632061</v>
      </c>
      <c r="D213" s="1180">
        <v>14357287</v>
      </c>
      <c r="E213" s="1181">
        <f t="shared" ref="E213:G213" si="234">E214+E215</f>
        <v>0</v>
      </c>
      <c r="F213" s="1181">
        <f t="shared" si="234"/>
        <v>0</v>
      </c>
      <c r="G213" s="1181">
        <f t="shared" si="234"/>
        <v>0</v>
      </c>
      <c r="H213" s="1176">
        <f t="shared" si="219"/>
        <v>14357287</v>
      </c>
      <c r="I213" s="1181">
        <v>6001077</v>
      </c>
      <c r="J213" s="1181">
        <f t="shared" ref="J213:L213" si="235">J214+J215</f>
        <v>0</v>
      </c>
      <c r="K213" s="1181">
        <f t="shared" si="235"/>
        <v>0</v>
      </c>
      <c r="L213" s="1181">
        <f t="shared" si="235"/>
        <v>0</v>
      </c>
      <c r="M213" s="1176">
        <f t="shared" si="220"/>
        <v>6001077</v>
      </c>
      <c r="N213" s="1181">
        <v>2079636</v>
      </c>
      <c r="O213" s="1176">
        <f t="shared" ref="O213:Q213" si="236">O214+O215</f>
        <v>0</v>
      </c>
      <c r="P213" s="1181">
        <f t="shared" si="236"/>
        <v>0</v>
      </c>
      <c r="Q213" s="1181">
        <f t="shared" si="236"/>
        <v>0</v>
      </c>
      <c r="R213" s="1176">
        <f t="shared" si="221"/>
        <v>2079636</v>
      </c>
    </row>
    <row r="214" spans="1:18" s="29" customFormat="1" ht="12" hidden="1" customHeight="1">
      <c r="A214" s="1182">
        <v>7600</v>
      </c>
      <c r="B214" s="1205" t="s">
        <v>184</v>
      </c>
      <c r="C214" s="1179">
        <v>0</v>
      </c>
      <c r="D214" s="1200">
        <v>0</v>
      </c>
      <c r="E214" s="1181"/>
      <c r="F214" s="1197"/>
      <c r="G214" s="1197"/>
      <c r="H214" s="1176">
        <f t="shared" si="219"/>
        <v>0</v>
      </c>
      <c r="I214" s="1181">
        <v>0</v>
      </c>
      <c r="J214" s="1181"/>
      <c r="K214" s="1197"/>
      <c r="L214" s="1197"/>
      <c r="M214" s="1176">
        <f t="shared" si="220"/>
        <v>0</v>
      </c>
      <c r="N214" s="1181">
        <v>0</v>
      </c>
      <c r="O214" s="1176"/>
      <c r="P214" s="1197"/>
      <c r="Q214" s="1197"/>
      <c r="R214" s="1176">
        <f t="shared" si="221"/>
        <v>0</v>
      </c>
    </row>
    <row r="215" spans="1:18" s="29" customFormat="1" ht="12">
      <c r="A215" s="1182">
        <v>7700</v>
      </c>
      <c r="B215" s="1206" t="s">
        <v>114</v>
      </c>
      <c r="C215" s="1180">
        <v>10632061</v>
      </c>
      <c r="D215" s="1180">
        <v>14357287</v>
      </c>
      <c r="E215" s="1181">
        <v>0</v>
      </c>
      <c r="F215" s="1197"/>
      <c r="G215" s="1197"/>
      <c r="H215" s="1176">
        <f t="shared" si="219"/>
        <v>14357287</v>
      </c>
      <c r="I215" s="1181">
        <v>6001077</v>
      </c>
      <c r="J215" s="1181">
        <v>0</v>
      </c>
      <c r="K215" s="1197"/>
      <c r="L215" s="1197"/>
      <c r="M215" s="1176">
        <f t="shared" si="220"/>
        <v>6001077</v>
      </c>
      <c r="N215" s="1181">
        <v>2079636</v>
      </c>
      <c r="O215" s="1176">
        <v>0</v>
      </c>
      <c r="P215" s="1197"/>
      <c r="Q215" s="1197"/>
      <c r="R215" s="1176">
        <f t="shared" si="221"/>
        <v>2079636</v>
      </c>
    </row>
    <row r="216" spans="1:18" s="29" customFormat="1" ht="20.399999999999999">
      <c r="A216" s="1199" t="s">
        <v>185</v>
      </c>
      <c r="B216" s="1172" t="s">
        <v>115</v>
      </c>
      <c r="C216" s="1179">
        <v>19563207</v>
      </c>
      <c r="D216" s="1180">
        <v>12592219</v>
      </c>
      <c r="E216" s="1181">
        <f t="shared" ref="E216:G216" si="237">E217+E223+E227+E230</f>
        <v>56573</v>
      </c>
      <c r="F216" s="1181">
        <f t="shared" si="237"/>
        <v>0</v>
      </c>
      <c r="G216" s="1181">
        <f t="shared" si="237"/>
        <v>0</v>
      </c>
      <c r="H216" s="1176">
        <f t="shared" si="219"/>
        <v>12648792</v>
      </c>
      <c r="I216" s="1181">
        <v>4199227</v>
      </c>
      <c r="J216" s="1181">
        <f t="shared" ref="J216:L216" si="238">J217+J223+J227+J230</f>
        <v>13503</v>
      </c>
      <c r="K216" s="1181">
        <f t="shared" si="238"/>
        <v>0</v>
      </c>
      <c r="L216" s="1181">
        <f t="shared" si="238"/>
        <v>0</v>
      </c>
      <c r="M216" s="1176">
        <f t="shared" si="220"/>
        <v>4212730</v>
      </c>
      <c r="N216" s="1181">
        <v>1642607</v>
      </c>
      <c r="O216" s="1181">
        <f t="shared" ref="O216:Q216" si="239">O217+O223+O227+O230</f>
        <v>0</v>
      </c>
      <c r="P216" s="1181">
        <f t="shared" si="239"/>
        <v>0</v>
      </c>
      <c r="Q216" s="1181">
        <f t="shared" si="239"/>
        <v>0</v>
      </c>
      <c r="R216" s="1176">
        <f t="shared" si="221"/>
        <v>1642607</v>
      </c>
    </row>
    <row r="217" spans="1:18" s="29" customFormat="1" ht="12" hidden="1" customHeight="1">
      <c r="A217" s="1182">
        <v>7100</v>
      </c>
      <c r="B217" s="1205" t="s">
        <v>116</v>
      </c>
      <c r="C217" s="1179">
        <v>0</v>
      </c>
      <c r="D217" s="1180">
        <v>0</v>
      </c>
      <c r="E217" s="1181">
        <f t="shared" ref="E217:G217" si="240">E218+E219</f>
        <v>0</v>
      </c>
      <c r="F217" s="1181">
        <f t="shared" si="240"/>
        <v>0</v>
      </c>
      <c r="G217" s="1181">
        <f t="shared" si="240"/>
        <v>0</v>
      </c>
      <c r="H217" s="1176">
        <f t="shared" si="219"/>
        <v>0</v>
      </c>
      <c r="I217" s="1181">
        <v>0</v>
      </c>
      <c r="J217" s="1181">
        <f t="shared" ref="J217:L217" si="241">J218+J219</f>
        <v>0</v>
      </c>
      <c r="K217" s="1181">
        <f t="shared" si="241"/>
        <v>0</v>
      </c>
      <c r="L217" s="1181">
        <f t="shared" si="241"/>
        <v>0</v>
      </c>
      <c r="M217" s="1176">
        <f t="shared" si="220"/>
        <v>0</v>
      </c>
      <c r="N217" s="1181">
        <v>0</v>
      </c>
      <c r="O217" s="1181">
        <f t="shared" ref="O217:Q217" si="242">O218+O219</f>
        <v>0</v>
      </c>
      <c r="P217" s="1181">
        <f t="shared" si="242"/>
        <v>0</v>
      </c>
      <c r="Q217" s="1181">
        <f t="shared" si="242"/>
        <v>0</v>
      </c>
      <c r="R217" s="1176">
        <f t="shared" si="221"/>
        <v>0</v>
      </c>
    </row>
    <row r="218" spans="1:18" s="29" customFormat="1" ht="24" hidden="1" customHeight="1">
      <c r="A218" s="1183" t="s">
        <v>117</v>
      </c>
      <c r="B218" s="1205" t="s">
        <v>118</v>
      </c>
      <c r="C218" s="1179">
        <v>0</v>
      </c>
      <c r="D218" s="1180">
        <v>0</v>
      </c>
      <c r="E218" s="1181"/>
      <c r="F218" s="1181"/>
      <c r="G218" s="1181"/>
      <c r="H218" s="1176">
        <f t="shared" si="219"/>
        <v>0</v>
      </c>
      <c r="I218" s="1181">
        <v>0</v>
      </c>
      <c r="J218" s="1181"/>
      <c r="K218" s="1181"/>
      <c r="L218" s="1181"/>
      <c r="M218" s="1176">
        <f t="shared" si="220"/>
        <v>0</v>
      </c>
      <c r="N218" s="1181">
        <v>0</v>
      </c>
      <c r="O218" s="1181"/>
      <c r="P218" s="1181"/>
      <c r="Q218" s="1181"/>
      <c r="R218" s="1176">
        <f t="shared" si="221"/>
        <v>0</v>
      </c>
    </row>
    <row r="219" spans="1:18" s="29" customFormat="1" ht="24" hidden="1" customHeight="1">
      <c r="A219" s="1183">
        <v>7130</v>
      </c>
      <c r="B219" s="1205" t="s">
        <v>119</v>
      </c>
      <c r="C219" s="1179">
        <v>0</v>
      </c>
      <c r="D219" s="1180">
        <v>0</v>
      </c>
      <c r="E219" s="1181">
        <f t="shared" ref="E219:G219" si="243">SUM(E220:E222)</f>
        <v>0</v>
      </c>
      <c r="F219" s="1181">
        <f t="shared" ref="F219" si="244">SUM(F220:F222)</f>
        <v>0</v>
      </c>
      <c r="G219" s="1181">
        <f t="shared" si="243"/>
        <v>0</v>
      </c>
      <c r="H219" s="1176">
        <f t="shared" si="219"/>
        <v>0</v>
      </c>
      <c r="I219" s="1181">
        <v>0</v>
      </c>
      <c r="J219" s="1181">
        <f t="shared" ref="J219:L219" si="245">SUM(J220:J222)</f>
        <v>0</v>
      </c>
      <c r="K219" s="1181">
        <f t="shared" si="245"/>
        <v>0</v>
      </c>
      <c r="L219" s="1181">
        <f t="shared" si="245"/>
        <v>0</v>
      </c>
      <c r="M219" s="1176">
        <f t="shared" si="220"/>
        <v>0</v>
      </c>
      <c r="N219" s="1181">
        <v>0</v>
      </c>
      <c r="O219" s="1181">
        <f t="shared" ref="O219:Q219" si="246">SUM(O220:O222)</f>
        <v>0</v>
      </c>
      <c r="P219" s="1181">
        <f t="shared" si="246"/>
        <v>0</v>
      </c>
      <c r="Q219" s="1181">
        <f t="shared" si="246"/>
        <v>0</v>
      </c>
      <c r="R219" s="1176">
        <f t="shared" si="221"/>
        <v>0</v>
      </c>
    </row>
    <row r="220" spans="1:18" s="29" customFormat="1" ht="36" hidden="1" customHeight="1">
      <c r="A220" s="1185">
        <v>7131</v>
      </c>
      <c r="B220" s="1205" t="s">
        <v>120</v>
      </c>
      <c r="C220" s="1179">
        <v>0</v>
      </c>
      <c r="D220" s="1180">
        <v>0</v>
      </c>
      <c r="E220" s="1181"/>
      <c r="F220" s="1181"/>
      <c r="G220" s="1181"/>
      <c r="H220" s="1176">
        <f t="shared" si="219"/>
        <v>0</v>
      </c>
      <c r="I220" s="1181">
        <v>0</v>
      </c>
      <c r="J220" s="1181"/>
      <c r="K220" s="1181"/>
      <c r="L220" s="1181"/>
      <c r="M220" s="1176">
        <f t="shared" si="220"/>
        <v>0</v>
      </c>
      <c r="N220" s="1181">
        <v>0</v>
      </c>
      <c r="O220" s="1181"/>
      <c r="P220" s="1181"/>
      <c r="Q220" s="1181"/>
      <c r="R220" s="1176">
        <f t="shared" si="221"/>
        <v>0</v>
      </c>
    </row>
    <row r="221" spans="1:18" s="29" customFormat="1" ht="36" hidden="1" customHeight="1">
      <c r="A221" s="1185">
        <v>7132</v>
      </c>
      <c r="B221" s="1205" t="s">
        <v>121</v>
      </c>
      <c r="C221" s="1179">
        <v>0</v>
      </c>
      <c r="D221" s="1180">
        <v>0</v>
      </c>
      <c r="E221" s="1181"/>
      <c r="F221" s="1181"/>
      <c r="G221" s="1181"/>
      <c r="H221" s="1176">
        <f t="shared" si="219"/>
        <v>0</v>
      </c>
      <c r="I221" s="1181">
        <v>0</v>
      </c>
      <c r="J221" s="1181"/>
      <c r="K221" s="1181"/>
      <c r="L221" s="1181"/>
      <c r="M221" s="1176">
        <f t="shared" si="220"/>
        <v>0</v>
      </c>
      <c r="N221" s="1181">
        <v>0</v>
      </c>
      <c r="O221" s="1181"/>
      <c r="P221" s="1181"/>
      <c r="Q221" s="1181"/>
      <c r="R221" s="1176">
        <f t="shared" si="221"/>
        <v>0</v>
      </c>
    </row>
    <row r="222" spans="1:18" s="29" customFormat="1" ht="24" hidden="1" customHeight="1">
      <c r="A222" s="1185" t="s">
        <v>186</v>
      </c>
      <c r="B222" s="1205" t="s">
        <v>187</v>
      </c>
      <c r="C222" s="1179">
        <v>0</v>
      </c>
      <c r="D222" s="1180">
        <v>0</v>
      </c>
      <c r="E222" s="1181"/>
      <c r="F222" s="1181"/>
      <c r="G222" s="1181"/>
      <c r="H222" s="1176">
        <f t="shared" si="219"/>
        <v>0</v>
      </c>
      <c r="I222" s="1181">
        <v>0</v>
      </c>
      <c r="J222" s="1181"/>
      <c r="K222" s="1181"/>
      <c r="L222" s="1181"/>
      <c r="M222" s="1176">
        <f t="shared" si="220"/>
        <v>0</v>
      </c>
      <c r="N222" s="1181">
        <v>0</v>
      </c>
      <c r="O222" s="1181"/>
      <c r="P222" s="1181"/>
      <c r="Q222" s="1181"/>
      <c r="R222" s="1176">
        <f t="shared" si="221"/>
        <v>0</v>
      </c>
    </row>
    <row r="223" spans="1:18" s="29" customFormat="1" ht="24">
      <c r="A223" s="1182">
        <v>7300</v>
      </c>
      <c r="B223" s="1184" t="s">
        <v>155</v>
      </c>
      <c r="C223" s="1179">
        <v>19269974</v>
      </c>
      <c r="D223" s="1180">
        <v>12331473</v>
      </c>
      <c r="E223" s="1181">
        <f t="shared" ref="E223:G223" si="247">SUM(E224:E226)</f>
        <v>0</v>
      </c>
      <c r="F223" s="1181">
        <f t="shared" si="247"/>
        <v>0</v>
      </c>
      <c r="G223" s="1181">
        <f t="shared" si="247"/>
        <v>0</v>
      </c>
      <c r="H223" s="1176">
        <f t="shared" si="219"/>
        <v>12331473</v>
      </c>
      <c r="I223" s="1181">
        <v>4082596</v>
      </c>
      <c r="J223" s="1181">
        <f t="shared" ref="J223:L223" si="248">SUM(J224:J226)</f>
        <v>0</v>
      </c>
      <c r="K223" s="1181">
        <f t="shared" si="248"/>
        <v>0</v>
      </c>
      <c r="L223" s="1181">
        <f t="shared" si="248"/>
        <v>0</v>
      </c>
      <c r="M223" s="1176">
        <f t="shared" si="220"/>
        <v>4082596</v>
      </c>
      <c r="N223" s="1181">
        <v>1642607</v>
      </c>
      <c r="O223" s="1181">
        <f t="shared" ref="O223:Q223" si="249">SUM(O224:O226)</f>
        <v>0</v>
      </c>
      <c r="P223" s="1181">
        <f t="shared" si="249"/>
        <v>0</v>
      </c>
      <c r="Q223" s="1181">
        <f t="shared" si="249"/>
        <v>0</v>
      </c>
      <c r="R223" s="1176">
        <f t="shared" si="221"/>
        <v>1642607</v>
      </c>
    </row>
    <row r="224" spans="1:18" s="29" customFormat="1" ht="24" hidden="1" customHeight="1">
      <c r="A224" s="1183" t="s">
        <v>188</v>
      </c>
      <c r="B224" s="1205" t="s">
        <v>170</v>
      </c>
      <c r="C224" s="1207">
        <v>0</v>
      </c>
      <c r="D224" s="1208">
        <v>0</v>
      </c>
      <c r="E224" s="1209"/>
      <c r="F224" s="1209"/>
      <c r="G224" s="1209"/>
      <c r="H224" s="1176">
        <f t="shared" si="219"/>
        <v>0</v>
      </c>
      <c r="I224" s="1209">
        <v>0</v>
      </c>
      <c r="J224" s="1209"/>
      <c r="K224" s="1209"/>
      <c r="L224" s="1209"/>
      <c r="M224" s="1176">
        <f t="shared" si="220"/>
        <v>0</v>
      </c>
      <c r="N224" s="1209">
        <v>0</v>
      </c>
      <c r="O224" s="1209"/>
      <c r="P224" s="1209"/>
      <c r="Q224" s="1209"/>
      <c r="R224" s="1176">
        <f t="shared" si="221"/>
        <v>0</v>
      </c>
    </row>
    <row r="225" spans="1:18" s="29" customFormat="1" ht="48">
      <c r="A225" s="1183" t="s">
        <v>189</v>
      </c>
      <c r="B225" s="1205" t="s">
        <v>156</v>
      </c>
      <c r="C225" s="1207">
        <v>10516751</v>
      </c>
      <c r="D225" s="1208">
        <v>7675947</v>
      </c>
      <c r="E225" s="1209">
        <v>0</v>
      </c>
      <c r="F225" s="1209"/>
      <c r="G225" s="1209"/>
      <c r="H225" s="1176">
        <f t="shared" si="219"/>
        <v>7675947</v>
      </c>
      <c r="I225" s="1209">
        <v>2910596</v>
      </c>
      <c r="J225" s="1209">
        <v>0</v>
      </c>
      <c r="K225" s="1209"/>
      <c r="L225" s="1209"/>
      <c r="M225" s="1176">
        <f t="shared" si="220"/>
        <v>2910596</v>
      </c>
      <c r="N225" s="1209">
        <v>1642607</v>
      </c>
      <c r="O225" s="1209">
        <v>0</v>
      </c>
      <c r="P225" s="1209"/>
      <c r="Q225" s="1209"/>
      <c r="R225" s="1176">
        <f t="shared" si="221"/>
        <v>1642607</v>
      </c>
    </row>
    <row r="226" spans="1:18" s="29" customFormat="1" ht="36">
      <c r="A226" s="1183">
        <v>7350</v>
      </c>
      <c r="B226" s="1205" t="s">
        <v>163</v>
      </c>
      <c r="C226" s="1207">
        <v>8753223</v>
      </c>
      <c r="D226" s="1208">
        <v>4655526</v>
      </c>
      <c r="E226" s="1209">
        <v>0</v>
      </c>
      <c r="F226" s="1209"/>
      <c r="G226" s="1209"/>
      <c r="H226" s="1176">
        <f t="shared" si="219"/>
        <v>4655526</v>
      </c>
      <c r="I226" s="1209">
        <v>1172000</v>
      </c>
      <c r="J226" s="1209">
        <v>0</v>
      </c>
      <c r="K226" s="1209"/>
      <c r="L226" s="1209"/>
      <c r="M226" s="1176">
        <f t="shared" si="220"/>
        <v>1172000</v>
      </c>
      <c r="N226" s="1209">
        <v>0</v>
      </c>
      <c r="O226" s="1209">
        <v>0</v>
      </c>
      <c r="P226" s="1209"/>
      <c r="Q226" s="1209"/>
      <c r="R226" s="1176">
        <f t="shared" si="221"/>
        <v>0</v>
      </c>
    </row>
    <row r="227" spans="1:18" s="29" customFormat="1" ht="24" hidden="1" customHeight="1">
      <c r="A227" s="1182">
        <v>7400</v>
      </c>
      <c r="B227" s="1184" t="s">
        <v>161</v>
      </c>
      <c r="C227" s="1179">
        <v>0</v>
      </c>
      <c r="D227" s="1180">
        <v>0</v>
      </c>
      <c r="E227" s="1181">
        <f t="shared" ref="E227:G227" si="250">SUM(E228:E229)</f>
        <v>0</v>
      </c>
      <c r="F227" s="1181">
        <f t="shared" si="250"/>
        <v>0</v>
      </c>
      <c r="G227" s="1181">
        <f t="shared" si="250"/>
        <v>0</v>
      </c>
      <c r="H227" s="1176">
        <f t="shared" si="219"/>
        <v>0</v>
      </c>
      <c r="I227" s="1181">
        <v>0</v>
      </c>
      <c r="J227" s="1181">
        <f t="shared" ref="J227:L227" si="251">SUM(J228:J229)</f>
        <v>0</v>
      </c>
      <c r="K227" s="1181">
        <f t="shared" si="251"/>
        <v>0</v>
      </c>
      <c r="L227" s="1181">
        <f t="shared" si="251"/>
        <v>0</v>
      </c>
      <c r="M227" s="1176">
        <f t="shared" si="220"/>
        <v>0</v>
      </c>
      <c r="N227" s="1181">
        <v>0</v>
      </c>
      <c r="O227" s="1181">
        <f t="shared" ref="O227:Q227" si="252">SUM(O228:O229)</f>
        <v>0</v>
      </c>
      <c r="P227" s="1181">
        <f t="shared" si="252"/>
        <v>0</v>
      </c>
      <c r="Q227" s="1181">
        <f t="shared" si="252"/>
        <v>0</v>
      </c>
      <c r="R227" s="1176">
        <f t="shared" si="221"/>
        <v>0</v>
      </c>
    </row>
    <row r="228" spans="1:18" s="29" customFormat="1" ht="24" hidden="1" customHeight="1">
      <c r="A228" s="1183">
        <v>7460</v>
      </c>
      <c r="B228" s="1184" t="s">
        <v>162</v>
      </c>
      <c r="C228" s="1207">
        <v>0</v>
      </c>
      <c r="D228" s="1208">
        <v>0</v>
      </c>
      <c r="E228" s="1209"/>
      <c r="F228" s="1209"/>
      <c r="G228" s="1209"/>
      <c r="H228" s="1176">
        <f t="shared" si="219"/>
        <v>0</v>
      </c>
      <c r="I228" s="1209">
        <v>0</v>
      </c>
      <c r="J228" s="1209"/>
      <c r="K228" s="1209"/>
      <c r="L228" s="1209"/>
      <c r="M228" s="1176">
        <f t="shared" si="220"/>
        <v>0</v>
      </c>
      <c r="N228" s="1209">
        <v>0</v>
      </c>
      <c r="O228" s="1209"/>
      <c r="P228" s="1209"/>
      <c r="Q228" s="1209"/>
      <c r="R228" s="1176">
        <f t="shared" si="221"/>
        <v>0</v>
      </c>
    </row>
    <row r="229" spans="1:18" s="29" customFormat="1" ht="48" hidden="1" customHeight="1">
      <c r="A229" s="1183">
        <v>7470</v>
      </c>
      <c r="B229" s="1205" t="s">
        <v>167</v>
      </c>
      <c r="C229" s="1207">
        <v>0</v>
      </c>
      <c r="D229" s="1208">
        <v>0</v>
      </c>
      <c r="E229" s="1209"/>
      <c r="F229" s="1209"/>
      <c r="G229" s="1209"/>
      <c r="H229" s="1176">
        <f t="shared" si="219"/>
        <v>0</v>
      </c>
      <c r="I229" s="1209">
        <v>0</v>
      </c>
      <c r="J229" s="1209"/>
      <c r="K229" s="1209"/>
      <c r="L229" s="1209"/>
      <c r="M229" s="1176">
        <f t="shared" si="220"/>
        <v>0</v>
      </c>
      <c r="N229" s="1209">
        <v>0</v>
      </c>
      <c r="O229" s="1209"/>
      <c r="P229" s="1209"/>
      <c r="Q229" s="1209"/>
      <c r="R229" s="1176">
        <f t="shared" si="221"/>
        <v>0</v>
      </c>
    </row>
    <row r="230" spans="1:18" s="29" customFormat="1" ht="24">
      <c r="A230" s="1182">
        <v>7500</v>
      </c>
      <c r="B230" s="1205" t="s">
        <v>157</v>
      </c>
      <c r="C230" s="1179">
        <v>293233</v>
      </c>
      <c r="D230" s="1180">
        <v>260746</v>
      </c>
      <c r="E230" s="1181">
        <v>56573</v>
      </c>
      <c r="F230" s="1181"/>
      <c r="G230" s="1181"/>
      <c r="H230" s="1176">
        <f t="shared" si="219"/>
        <v>317319</v>
      </c>
      <c r="I230" s="1181">
        <v>116631</v>
      </c>
      <c r="J230" s="1181">
        <v>13503</v>
      </c>
      <c r="K230" s="1181"/>
      <c r="L230" s="1181"/>
      <c r="M230" s="1176">
        <f t="shared" si="220"/>
        <v>130134</v>
      </c>
      <c r="N230" s="1181">
        <v>0</v>
      </c>
      <c r="O230" s="1181">
        <v>0</v>
      </c>
      <c r="P230" s="1181"/>
      <c r="Q230" s="1181"/>
      <c r="R230" s="1176">
        <f t="shared" si="221"/>
        <v>0</v>
      </c>
    </row>
    <row r="231" spans="1:18" s="29" customFormat="1" ht="12">
      <c r="A231" s="1199" t="s">
        <v>133</v>
      </c>
      <c r="B231" s="1172" t="s">
        <v>122</v>
      </c>
      <c r="C231" s="1210">
        <v>60221389</v>
      </c>
      <c r="D231" s="1211">
        <v>41472989</v>
      </c>
      <c r="E231" s="1212">
        <f t="shared" ref="E231:G231" si="253">E232+E233</f>
        <v>44347</v>
      </c>
      <c r="F231" s="1212">
        <f t="shared" si="253"/>
        <v>0</v>
      </c>
      <c r="G231" s="1212">
        <f t="shared" si="253"/>
        <v>0</v>
      </c>
      <c r="H231" s="1176">
        <f t="shared" si="219"/>
        <v>41517336</v>
      </c>
      <c r="I231" s="1212">
        <v>12979266</v>
      </c>
      <c r="J231" s="1212">
        <f t="shared" ref="J231:L231" si="254">J232+J233</f>
        <v>0</v>
      </c>
      <c r="K231" s="1212">
        <f t="shared" si="254"/>
        <v>0</v>
      </c>
      <c r="L231" s="1212">
        <f t="shared" si="254"/>
        <v>0</v>
      </c>
      <c r="M231" s="1176">
        <f t="shared" si="220"/>
        <v>12979266</v>
      </c>
      <c r="N231" s="1212">
        <v>5954598</v>
      </c>
      <c r="O231" s="1212">
        <f t="shared" ref="O231:Q231" si="255">O232+O233</f>
        <v>0</v>
      </c>
      <c r="P231" s="1212">
        <f t="shared" si="255"/>
        <v>0</v>
      </c>
      <c r="Q231" s="1212">
        <f t="shared" si="255"/>
        <v>0</v>
      </c>
      <c r="R231" s="1176">
        <f t="shared" si="221"/>
        <v>5954598</v>
      </c>
    </row>
    <row r="232" spans="1:18" s="29" customFormat="1" ht="12">
      <c r="A232" s="1199">
        <v>5000</v>
      </c>
      <c r="B232" s="1172" t="s">
        <v>123</v>
      </c>
      <c r="C232" s="1179">
        <v>17610572</v>
      </c>
      <c r="D232" s="1180">
        <v>12767091</v>
      </c>
      <c r="E232" s="1181">
        <v>14538</v>
      </c>
      <c r="F232" s="1197"/>
      <c r="G232" s="1197"/>
      <c r="H232" s="1176">
        <f t="shared" si="219"/>
        <v>12781629</v>
      </c>
      <c r="I232" s="1181">
        <v>5882090</v>
      </c>
      <c r="J232" s="1181">
        <v>0</v>
      </c>
      <c r="K232" s="1197"/>
      <c r="L232" s="1197"/>
      <c r="M232" s="1176">
        <f t="shared" si="220"/>
        <v>5882090</v>
      </c>
      <c r="N232" s="1181">
        <v>3899970</v>
      </c>
      <c r="O232" s="1181">
        <v>0</v>
      </c>
      <c r="P232" s="1197"/>
      <c r="Q232" s="1197"/>
      <c r="R232" s="1176">
        <f t="shared" si="221"/>
        <v>3899970</v>
      </c>
    </row>
    <row r="233" spans="1:18" s="29" customFormat="1" ht="12">
      <c r="A233" s="1199">
        <v>9000</v>
      </c>
      <c r="B233" s="1213" t="s">
        <v>164</v>
      </c>
      <c r="C233" s="1179">
        <v>42610817</v>
      </c>
      <c r="D233" s="1180">
        <v>28705898</v>
      </c>
      <c r="E233" s="1181">
        <f>E234+E240+E244+E247</f>
        <v>29809</v>
      </c>
      <c r="F233" s="1181">
        <f t="shared" ref="F233:G233" si="256">F234+F240+F244+F247</f>
        <v>0</v>
      </c>
      <c r="G233" s="1181">
        <f t="shared" si="256"/>
        <v>0</v>
      </c>
      <c r="H233" s="1176">
        <f t="shared" si="219"/>
        <v>28735707</v>
      </c>
      <c r="I233" s="1181">
        <v>7097176</v>
      </c>
      <c r="J233" s="1181">
        <f t="shared" ref="J233:L233" si="257">J234+J240+J244+J247</f>
        <v>0</v>
      </c>
      <c r="K233" s="1181">
        <f t="shared" si="257"/>
        <v>0</v>
      </c>
      <c r="L233" s="1181">
        <f t="shared" si="257"/>
        <v>0</v>
      </c>
      <c r="M233" s="1176">
        <f t="shared" si="220"/>
        <v>7097176</v>
      </c>
      <c r="N233" s="1181">
        <v>2054628</v>
      </c>
      <c r="O233" s="1181">
        <f t="shared" ref="O233:Q233" si="258">O234+O240+O244+O247</f>
        <v>0</v>
      </c>
      <c r="P233" s="1181">
        <f t="shared" si="258"/>
        <v>0</v>
      </c>
      <c r="Q233" s="1181">
        <f t="shared" si="258"/>
        <v>0</v>
      </c>
      <c r="R233" s="1176">
        <f t="shared" si="221"/>
        <v>2054628</v>
      </c>
    </row>
    <row r="234" spans="1:18" s="29" customFormat="1" ht="12" hidden="1" customHeight="1">
      <c r="A234" s="1214">
        <v>9100</v>
      </c>
      <c r="B234" s="1205" t="s">
        <v>124</v>
      </c>
      <c r="C234" s="1179">
        <v>0</v>
      </c>
      <c r="D234" s="1180">
        <v>0</v>
      </c>
      <c r="E234" s="1181">
        <f t="shared" ref="E234:G234" si="259">SUM(E235:E236)</f>
        <v>0</v>
      </c>
      <c r="F234" s="1181">
        <f t="shared" ref="F234" si="260">SUM(F235:F236)</f>
        <v>0</v>
      </c>
      <c r="G234" s="1181">
        <f t="shared" si="259"/>
        <v>0</v>
      </c>
      <c r="H234" s="1176">
        <f t="shared" si="219"/>
        <v>0</v>
      </c>
      <c r="I234" s="1181">
        <v>0</v>
      </c>
      <c r="J234" s="1181">
        <f t="shared" ref="J234:L234" si="261">SUM(J235:J236)</f>
        <v>0</v>
      </c>
      <c r="K234" s="1181">
        <f t="shared" si="261"/>
        <v>0</v>
      </c>
      <c r="L234" s="1181">
        <f t="shared" si="261"/>
        <v>0</v>
      </c>
      <c r="M234" s="1176">
        <f t="shared" si="220"/>
        <v>0</v>
      </c>
      <c r="N234" s="1181">
        <v>0</v>
      </c>
      <c r="O234" s="1181">
        <f t="shared" ref="O234:Q234" si="262">SUM(O235:O236)</f>
        <v>0</v>
      </c>
      <c r="P234" s="1181">
        <f t="shared" si="262"/>
        <v>0</v>
      </c>
      <c r="Q234" s="1181">
        <f t="shared" si="262"/>
        <v>0</v>
      </c>
      <c r="R234" s="1176">
        <f t="shared" si="221"/>
        <v>0</v>
      </c>
    </row>
    <row r="235" spans="1:18" s="29" customFormat="1" ht="24" hidden="1" customHeight="1">
      <c r="A235" s="1183" t="s">
        <v>125</v>
      </c>
      <c r="B235" s="1205" t="s">
        <v>214</v>
      </c>
      <c r="C235" s="1179">
        <v>0</v>
      </c>
      <c r="D235" s="1180">
        <v>0</v>
      </c>
      <c r="E235" s="1181"/>
      <c r="F235" s="1181"/>
      <c r="G235" s="1181"/>
      <c r="H235" s="1176">
        <f t="shared" si="219"/>
        <v>0</v>
      </c>
      <c r="I235" s="1181">
        <v>0</v>
      </c>
      <c r="J235" s="1181"/>
      <c r="K235" s="1181"/>
      <c r="L235" s="1181"/>
      <c r="M235" s="1176">
        <f t="shared" si="220"/>
        <v>0</v>
      </c>
      <c r="N235" s="1181">
        <v>0</v>
      </c>
      <c r="O235" s="1181"/>
      <c r="P235" s="1181"/>
      <c r="Q235" s="1181"/>
      <c r="R235" s="1176">
        <f t="shared" si="221"/>
        <v>0</v>
      </c>
    </row>
    <row r="236" spans="1:18" s="29" customFormat="1" ht="24" hidden="1" customHeight="1">
      <c r="A236" s="1183">
        <v>9140</v>
      </c>
      <c r="B236" s="1205" t="s">
        <v>215</v>
      </c>
      <c r="C236" s="1179">
        <v>0</v>
      </c>
      <c r="D236" s="1180">
        <v>0</v>
      </c>
      <c r="E236" s="1181">
        <f t="shared" ref="E236:G236" si="263">SUM(E237:E239)</f>
        <v>0</v>
      </c>
      <c r="F236" s="1181">
        <f t="shared" si="263"/>
        <v>0</v>
      </c>
      <c r="G236" s="1181">
        <f t="shared" si="263"/>
        <v>0</v>
      </c>
      <c r="H236" s="1176">
        <f t="shared" si="219"/>
        <v>0</v>
      </c>
      <c r="I236" s="1181">
        <v>0</v>
      </c>
      <c r="J236" s="1181">
        <f t="shared" ref="J236:L236" si="264">SUM(J237:J239)</f>
        <v>0</v>
      </c>
      <c r="K236" s="1181">
        <f t="shared" si="264"/>
        <v>0</v>
      </c>
      <c r="L236" s="1181">
        <f t="shared" si="264"/>
        <v>0</v>
      </c>
      <c r="M236" s="1176">
        <f t="shared" si="220"/>
        <v>0</v>
      </c>
      <c r="N236" s="1181">
        <v>0</v>
      </c>
      <c r="O236" s="1181">
        <f t="shared" ref="O236:Q236" si="265">SUM(O237:O239)</f>
        <v>0</v>
      </c>
      <c r="P236" s="1181">
        <f t="shared" si="265"/>
        <v>0</v>
      </c>
      <c r="Q236" s="1181">
        <f t="shared" si="265"/>
        <v>0</v>
      </c>
      <c r="R236" s="1176">
        <f t="shared" si="221"/>
        <v>0</v>
      </c>
    </row>
    <row r="237" spans="1:18" s="29" customFormat="1" ht="36" hidden="1" customHeight="1">
      <c r="A237" s="1185">
        <v>9141</v>
      </c>
      <c r="B237" s="1184" t="s">
        <v>190</v>
      </c>
      <c r="C237" s="1207">
        <v>0</v>
      </c>
      <c r="D237" s="1208">
        <v>0</v>
      </c>
      <c r="E237" s="1209"/>
      <c r="F237" s="1209"/>
      <c r="G237" s="1209"/>
      <c r="H237" s="1176">
        <f t="shared" si="219"/>
        <v>0</v>
      </c>
      <c r="I237" s="1209">
        <v>0</v>
      </c>
      <c r="J237" s="1209"/>
      <c r="K237" s="1209"/>
      <c r="L237" s="1209"/>
      <c r="M237" s="1176">
        <f t="shared" si="220"/>
        <v>0</v>
      </c>
      <c r="N237" s="1209">
        <v>0</v>
      </c>
      <c r="O237" s="1209"/>
      <c r="P237" s="1209"/>
      <c r="Q237" s="1209"/>
      <c r="R237" s="1176">
        <f t="shared" si="221"/>
        <v>0</v>
      </c>
    </row>
    <row r="238" spans="1:18" s="29" customFormat="1" ht="36" hidden="1" customHeight="1">
      <c r="A238" s="1185">
        <v>9142</v>
      </c>
      <c r="B238" s="1184" t="s">
        <v>191</v>
      </c>
      <c r="C238" s="1207">
        <v>0</v>
      </c>
      <c r="D238" s="1208">
        <v>0</v>
      </c>
      <c r="E238" s="1209"/>
      <c r="F238" s="1209"/>
      <c r="G238" s="1209"/>
      <c r="H238" s="1176">
        <f t="shared" si="219"/>
        <v>0</v>
      </c>
      <c r="I238" s="1209">
        <v>0</v>
      </c>
      <c r="J238" s="1209"/>
      <c r="K238" s="1209"/>
      <c r="L238" s="1209"/>
      <c r="M238" s="1176">
        <f t="shared" si="220"/>
        <v>0</v>
      </c>
      <c r="N238" s="1209">
        <v>0</v>
      </c>
      <c r="O238" s="1209"/>
      <c r="P238" s="1209"/>
      <c r="Q238" s="1209"/>
      <c r="R238" s="1176">
        <f t="shared" si="221"/>
        <v>0</v>
      </c>
    </row>
    <row r="239" spans="1:18" s="29" customFormat="1" ht="24" hidden="1" customHeight="1">
      <c r="A239" s="1185">
        <v>9149</v>
      </c>
      <c r="B239" s="1184" t="s">
        <v>192</v>
      </c>
      <c r="C239" s="1207">
        <v>0</v>
      </c>
      <c r="D239" s="1208">
        <v>0</v>
      </c>
      <c r="E239" s="1209"/>
      <c r="F239" s="1209"/>
      <c r="G239" s="1209"/>
      <c r="H239" s="1176">
        <f t="shared" si="219"/>
        <v>0</v>
      </c>
      <c r="I239" s="1209">
        <v>0</v>
      </c>
      <c r="J239" s="1209"/>
      <c r="K239" s="1209"/>
      <c r="L239" s="1209"/>
      <c r="M239" s="1176">
        <f t="shared" si="220"/>
        <v>0</v>
      </c>
      <c r="N239" s="1209">
        <v>0</v>
      </c>
      <c r="O239" s="1209"/>
      <c r="P239" s="1209"/>
      <c r="Q239" s="1209"/>
      <c r="R239" s="1176">
        <f t="shared" si="221"/>
        <v>0</v>
      </c>
    </row>
    <row r="240" spans="1:18" s="29" customFormat="1" ht="24">
      <c r="A240" s="1214">
        <v>9500</v>
      </c>
      <c r="B240" s="1184" t="s">
        <v>165</v>
      </c>
      <c r="C240" s="1179">
        <v>33071601</v>
      </c>
      <c r="D240" s="1180">
        <v>21625800</v>
      </c>
      <c r="E240" s="1181">
        <f t="shared" ref="E240:G240" si="266">SUM(E241:E243)</f>
        <v>0</v>
      </c>
      <c r="F240" s="1181">
        <f t="shared" si="266"/>
        <v>0</v>
      </c>
      <c r="G240" s="1181">
        <f t="shared" si="266"/>
        <v>0</v>
      </c>
      <c r="H240" s="1176">
        <f t="shared" si="219"/>
        <v>21625800</v>
      </c>
      <c r="I240" s="1181">
        <v>3221210</v>
      </c>
      <c r="J240" s="1181">
        <f t="shared" ref="J240:L240" si="267">SUM(J241:J243)</f>
        <v>0</v>
      </c>
      <c r="K240" s="1181">
        <f t="shared" si="267"/>
        <v>0</v>
      </c>
      <c r="L240" s="1181">
        <f t="shared" si="267"/>
        <v>0</v>
      </c>
      <c r="M240" s="1176">
        <f t="shared" si="220"/>
        <v>3221210</v>
      </c>
      <c r="N240" s="1181">
        <v>0</v>
      </c>
      <c r="O240" s="1181">
        <f t="shared" ref="O240:Q240" si="268">SUM(O241:O243)</f>
        <v>0</v>
      </c>
      <c r="P240" s="1181">
        <f t="shared" si="268"/>
        <v>0</v>
      </c>
      <c r="Q240" s="1181">
        <f t="shared" si="268"/>
        <v>0</v>
      </c>
      <c r="R240" s="1176">
        <f t="shared" si="221"/>
        <v>0</v>
      </c>
    </row>
    <row r="241" spans="1:18" s="29" customFormat="1" ht="24" hidden="1" customHeight="1">
      <c r="A241" s="1183" t="s">
        <v>193</v>
      </c>
      <c r="B241" s="1184" t="s">
        <v>171</v>
      </c>
      <c r="C241" s="1179">
        <v>0</v>
      </c>
      <c r="D241" s="1180">
        <v>0</v>
      </c>
      <c r="E241" s="1181"/>
      <c r="F241" s="1181"/>
      <c r="G241" s="1181"/>
      <c r="H241" s="1176">
        <f t="shared" si="219"/>
        <v>0</v>
      </c>
      <c r="I241" s="1181">
        <v>0</v>
      </c>
      <c r="J241" s="1181"/>
      <c r="K241" s="1181"/>
      <c r="L241" s="1181"/>
      <c r="M241" s="1176">
        <f t="shared" si="220"/>
        <v>0</v>
      </c>
      <c r="N241" s="1181">
        <v>0</v>
      </c>
      <c r="O241" s="1181"/>
      <c r="P241" s="1181"/>
      <c r="Q241" s="1181"/>
      <c r="R241" s="1176">
        <f t="shared" si="221"/>
        <v>0</v>
      </c>
    </row>
    <row r="242" spans="1:18" s="29" customFormat="1" ht="48">
      <c r="A242" s="1183">
        <v>9580</v>
      </c>
      <c r="B242" s="1184" t="s">
        <v>166</v>
      </c>
      <c r="C242" s="1207">
        <v>33070821</v>
      </c>
      <c r="D242" s="1208">
        <v>21625800</v>
      </c>
      <c r="E242" s="1209">
        <v>0</v>
      </c>
      <c r="F242" s="1209"/>
      <c r="G242" s="1209"/>
      <c r="H242" s="1176">
        <f t="shared" si="219"/>
        <v>21625800</v>
      </c>
      <c r="I242" s="1209">
        <v>3221210</v>
      </c>
      <c r="J242" s="1209">
        <v>0</v>
      </c>
      <c r="K242" s="1209"/>
      <c r="L242" s="1209"/>
      <c r="M242" s="1176">
        <f t="shared" si="220"/>
        <v>3221210</v>
      </c>
      <c r="N242" s="1209">
        <v>0</v>
      </c>
      <c r="O242" s="1209"/>
      <c r="P242" s="1209"/>
      <c r="Q242" s="1209"/>
      <c r="R242" s="1176">
        <f t="shared" si="221"/>
        <v>0</v>
      </c>
    </row>
    <row r="243" spans="1:18" s="29" customFormat="1" ht="36">
      <c r="A243" s="1183">
        <v>9590</v>
      </c>
      <c r="B243" s="1205" t="s">
        <v>172</v>
      </c>
      <c r="C243" s="1207">
        <v>780</v>
      </c>
      <c r="D243" s="1208">
        <v>0</v>
      </c>
      <c r="E243" s="1209">
        <v>0</v>
      </c>
      <c r="F243" s="1209"/>
      <c r="G243" s="1209"/>
      <c r="H243" s="1176">
        <f t="shared" si="219"/>
        <v>0</v>
      </c>
      <c r="I243" s="1209">
        <v>0</v>
      </c>
      <c r="J243" s="1209"/>
      <c r="K243" s="1209"/>
      <c r="L243" s="1209"/>
      <c r="M243" s="1176">
        <f t="shared" si="220"/>
        <v>0</v>
      </c>
      <c r="N243" s="1209">
        <v>0</v>
      </c>
      <c r="O243" s="1209"/>
      <c r="P243" s="1209"/>
      <c r="Q243" s="1209"/>
      <c r="R243" s="1176">
        <f t="shared" si="221"/>
        <v>0</v>
      </c>
    </row>
    <row r="244" spans="1:18" s="29" customFormat="1" ht="24" hidden="1" customHeight="1">
      <c r="A244" s="1214">
        <v>9700</v>
      </c>
      <c r="B244" s="1215" t="s">
        <v>194</v>
      </c>
      <c r="C244" s="1179">
        <v>0</v>
      </c>
      <c r="D244" s="1180">
        <v>0</v>
      </c>
      <c r="E244" s="1181">
        <f t="shared" ref="E244:G244" si="269">SUM(E245:E246)</f>
        <v>0</v>
      </c>
      <c r="F244" s="1181">
        <f t="shared" si="269"/>
        <v>0</v>
      </c>
      <c r="G244" s="1181">
        <f t="shared" si="269"/>
        <v>0</v>
      </c>
      <c r="H244" s="1176">
        <f t="shared" si="219"/>
        <v>0</v>
      </c>
      <c r="I244" s="1181">
        <v>0</v>
      </c>
      <c r="J244" s="1181">
        <f t="shared" ref="J244:L244" si="270">SUM(J245:J246)</f>
        <v>0</v>
      </c>
      <c r="K244" s="1181">
        <f t="shared" si="270"/>
        <v>0</v>
      </c>
      <c r="L244" s="1181">
        <f t="shared" si="270"/>
        <v>0</v>
      </c>
      <c r="M244" s="1176">
        <f t="shared" si="220"/>
        <v>0</v>
      </c>
      <c r="N244" s="1181">
        <v>0</v>
      </c>
      <c r="O244" s="1181">
        <f t="shared" ref="O244:Q244" si="271">SUM(O245:O246)</f>
        <v>0</v>
      </c>
      <c r="P244" s="1181">
        <f t="shared" si="271"/>
        <v>0</v>
      </c>
      <c r="Q244" s="1181">
        <f t="shared" si="271"/>
        <v>0</v>
      </c>
      <c r="R244" s="1176">
        <f t="shared" si="221"/>
        <v>0</v>
      </c>
    </row>
    <row r="245" spans="1:18" s="29" customFormat="1" ht="24" hidden="1" customHeight="1">
      <c r="A245" s="1183">
        <v>9710</v>
      </c>
      <c r="B245" s="1216" t="s">
        <v>195</v>
      </c>
      <c r="C245" s="1207">
        <v>0</v>
      </c>
      <c r="D245" s="1208">
        <v>0</v>
      </c>
      <c r="E245" s="1209"/>
      <c r="F245" s="1209"/>
      <c r="G245" s="1209"/>
      <c r="H245" s="1176">
        <f t="shared" si="219"/>
        <v>0</v>
      </c>
      <c r="I245" s="1209">
        <v>0</v>
      </c>
      <c r="J245" s="1209"/>
      <c r="K245" s="1209"/>
      <c r="L245" s="1209"/>
      <c r="M245" s="1176">
        <f t="shared" si="220"/>
        <v>0</v>
      </c>
      <c r="N245" s="1209">
        <v>0</v>
      </c>
      <c r="O245" s="1209"/>
      <c r="P245" s="1209"/>
      <c r="Q245" s="1209"/>
      <c r="R245" s="1176">
        <f t="shared" si="221"/>
        <v>0</v>
      </c>
    </row>
    <row r="246" spans="1:18" s="29" customFormat="1" ht="48" hidden="1" customHeight="1">
      <c r="A246" s="1217">
        <v>9720</v>
      </c>
      <c r="B246" s="1215" t="s">
        <v>196</v>
      </c>
      <c r="C246" s="1207">
        <v>0</v>
      </c>
      <c r="D246" s="1208">
        <v>0</v>
      </c>
      <c r="E246" s="1209"/>
      <c r="F246" s="1209"/>
      <c r="G246" s="1209"/>
      <c r="H246" s="1176">
        <f t="shared" si="219"/>
        <v>0</v>
      </c>
      <c r="I246" s="1209">
        <v>0</v>
      </c>
      <c r="J246" s="1209"/>
      <c r="K246" s="1209"/>
      <c r="L246" s="1209"/>
      <c r="M246" s="1176">
        <f t="shared" si="220"/>
        <v>0</v>
      </c>
      <c r="N246" s="1209">
        <v>0</v>
      </c>
      <c r="O246" s="1209"/>
      <c r="P246" s="1209"/>
      <c r="Q246" s="1209"/>
      <c r="R246" s="1176">
        <f t="shared" si="221"/>
        <v>0</v>
      </c>
    </row>
    <row r="247" spans="1:18" s="29" customFormat="1" ht="24">
      <c r="A247" s="1214">
        <v>9600</v>
      </c>
      <c r="B247" s="1205" t="s">
        <v>134</v>
      </c>
      <c r="C247" s="1207">
        <v>9539216</v>
      </c>
      <c r="D247" s="1208">
        <v>7080098</v>
      </c>
      <c r="E247" s="1209">
        <v>29809</v>
      </c>
      <c r="F247" s="1209"/>
      <c r="G247" s="1209"/>
      <c r="H247" s="1176">
        <f t="shared" si="219"/>
        <v>7109907</v>
      </c>
      <c r="I247" s="1209">
        <v>3875966</v>
      </c>
      <c r="J247" s="1209">
        <v>0</v>
      </c>
      <c r="K247" s="1209"/>
      <c r="L247" s="1209"/>
      <c r="M247" s="1176">
        <f t="shared" si="220"/>
        <v>3875966</v>
      </c>
      <c r="N247" s="1209">
        <v>2054628</v>
      </c>
      <c r="O247" s="1209">
        <v>0</v>
      </c>
      <c r="P247" s="1209"/>
      <c r="Q247" s="1209"/>
      <c r="R247" s="1176">
        <f t="shared" si="221"/>
        <v>2054628</v>
      </c>
    </row>
    <row r="248" spans="1:18" s="29" customFormat="1" ht="30.6">
      <c r="A248" s="1171" t="s">
        <v>197</v>
      </c>
      <c r="B248" s="1218" t="s">
        <v>47</v>
      </c>
      <c r="C248" s="1219">
        <v>-6902724</v>
      </c>
      <c r="D248" s="1220">
        <v>-60000</v>
      </c>
      <c r="E248" s="1221">
        <f t="shared" ref="E248:G248" si="272">E178-E203</f>
        <v>0</v>
      </c>
      <c r="F248" s="1221">
        <f t="shared" si="272"/>
        <v>0</v>
      </c>
      <c r="G248" s="1221">
        <f t="shared" si="272"/>
        <v>0</v>
      </c>
      <c r="H248" s="1176">
        <f t="shared" si="219"/>
        <v>-60000</v>
      </c>
      <c r="I248" s="1221">
        <v>0</v>
      </c>
      <c r="J248" s="1221">
        <f t="shared" ref="J248:L248" si="273">J178-J203</f>
        <v>0</v>
      </c>
      <c r="K248" s="1221">
        <f t="shared" si="273"/>
        <v>0</v>
      </c>
      <c r="L248" s="1221">
        <f t="shared" si="273"/>
        <v>0</v>
      </c>
      <c r="M248" s="1176">
        <f t="shared" si="220"/>
        <v>0</v>
      </c>
      <c r="N248" s="1221">
        <v>0</v>
      </c>
      <c r="O248" s="1221">
        <f t="shared" ref="O248:Q248" si="274">O178-O203</f>
        <v>0</v>
      </c>
      <c r="P248" s="1221">
        <f t="shared" si="274"/>
        <v>0</v>
      </c>
      <c r="Q248" s="1221">
        <f t="shared" si="274"/>
        <v>0</v>
      </c>
      <c r="R248" s="1176">
        <f t="shared" si="221"/>
        <v>0</v>
      </c>
    </row>
    <row r="249" spans="1:18" s="29" customFormat="1" ht="12">
      <c r="A249" s="1222" t="s">
        <v>48</v>
      </c>
      <c r="B249" s="1218" t="s">
        <v>49</v>
      </c>
      <c r="C249" s="1219">
        <v>6902724</v>
      </c>
      <c r="D249" s="1220">
        <v>60000</v>
      </c>
      <c r="E249" s="1221">
        <f t="shared" ref="E249:G249" si="275">E250+E253+E257+E256</f>
        <v>0</v>
      </c>
      <c r="F249" s="1221">
        <f t="shared" si="275"/>
        <v>0</v>
      </c>
      <c r="G249" s="1221">
        <f t="shared" si="275"/>
        <v>0</v>
      </c>
      <c r="H249" s="1176">
        <f t="shared" si="219"/>
        <v>60000</v>
      </c>
      <c r="I249" s="1221">
        <v>0</v>
      </c>
      <c r="J249" s="1221">
        <f t="shared" ref="J249:L249" si="276">J250+J253+J257+J256</f>
        <v>0</v>
      </c>
      <c r="K249" s="1221">
        <f t="shared" si="276"/>
        <v>0</v>
      </c>
      <c r="L249" s="1221">
        <f t="shared" si="276"/>
        <v>0</v>
      </c>
      <c r="M249" s="1176">
        <f t="shared" si="220"/>
        <v>0</v>
      </c>
      <c r="N249" s="1221">
        <v>0</v>
      </c>
      <c r="O249" s="1221">
        <f t="shared" ref="O249:Q249" si="277">O250+O253+O257+O256</f>
        <v>0</v>
      </c>
      <c r="P249" s="1221">
        <f t="shared" si="277"/>
        <v>0</v>
      </c>
      <c r="Q249" s="1221">
        <f t="shared" si="277"/>
        <v>0</v>
      </c>
      <c r="R249" s="1176">
        <f t="shared" si="221"/>
        <v>0</v>
      </c>
    </row>
    <row r="250" spans="1:18" s="29" customFormat="1" ht="12" hidden="1" customHeight="1">
      <c r="A250" s="1214" t="s">
        <v>50</v>
      </c>
      <c r="B250" s="1205" t="s">
        <v>51</v>
      </c>
      <c r="C250" s="1173">
        <v>0</v>
      </c>
      <c r="D250" s="1174">
        <v>0</v>
      </c>
      <c r="E250" s="1175">
        <f t="shared" ref="E250:G250" si="278">E251+E252</f>
        <v>0</v>
      </c>
      <c r="F250" s="1175">
        <f t="shared" si="278"/>
        <v>0</v>
      </c>
      <c r="G250" s="1175">
        <f t="shared" si="278"/>
        <v>0</v>
      </c>
      <c r="H250" s="1176">
        <f t="shared" si="219"/>
        <v>0</v>
      </c>
      <c r="I250" s="1175">
        <v>0</v>
      </c>
      <c r="J250" s="1175">
        <f t="shared" ref="J250:L250" si="279">J251+J252</f>
        <v>0</v>
      </c>
      <c r="K250" s="1175">
        <f t="shared" si="279"/>
        <v>0</v>
      </c>
      <c r="L250" s="1175">
        <f t="shared" si="279"/>
        <v>0</v>
      </c>
      <c r="M250" s="1176">
        <f t="shared" si="220"/>
        <v>0</v>
      </c>
      <c r="N250" s="1175">
        <v>0</v>
      </c>
      <c r="O250" s="1175">
        <f t="shared" ref="O250:Q250" si="280">O251+O252</f>
        <v>0</v>
      </c>
      <c r="P250" s="1175">
        <f t="shared" si="280"/>
        <v>0</v>
      </c>
      <c r="Q250" s="1175">
        <f t="shared" si="280"/>
        <v>0</v>
      </c>
      <c r="R250" s="1176">
        <f t="shared" si="221"/>
        <v>0</v>
      </c>
    </row>
    <row r="251" spans="1:18" s="29" customFormat="1" ht="12" hidden="1" customHeight="1">
      <c r="A251" s="1214" t="s">
        <v>52</v>
      </c>
      <c r="B251" s="1205" t="s">
        <v>53</v>
      </c>
      <c r="C251" s="1173">
        <v>0</v>
      </c>
      <c r="D251" s="1174">
        <v>0</v>
      </c>
      <c r="E251" s="1175"/>
      <c r="F251" s="1175"/>
      <c r="G251" s="1175"/>
      <c r="H251" s="1176">
        <f t="shared" si="219"/>
        <v>0</v>
      </c>
      <c r="I251" s="1175">
        <v>0</v>
      </c>
      <c r="J251" s="1175"/>
      <c r="K251" s="1175"/>
      <c r="L251" s="1175"/>
      <c r="M251" s="1176">
        <f t="shared" si="220"/>
        <v>0</v>
      </c>
      <c r="N251" s="1175">
        <v>0</v>
      </c>
      <c r="O251" s="1175"/>
      <c r="P251" s="1175"/>
      <c r="Q251" s="1175"/>
      <c r="R251" s="1176">
        <f t="shared" si="221"/>
        <v>0</v>
      </c>
    </row>
    <row r="252" spans="1:18" s="29" customFormat="1" ht="12" hidden="1" customHeight="1">
      <c r="A252" s="1214" t="s">
        <v>54</v>
      </c>
      <c r="B252" s="1205" t="s">
        <v>55</v>
      </c>
      <c r="C252" s="1173">
        <v>0</v>
      </c>
      <c r="D252" s="1174">
        <v>0</v>
      </c>
      <c r="E252" s="1175"/>
      <c r="F252" s="1175"/>
      <c r="G252" s="1175"/>
      <c r="H252" s="1176">
        <f t="shared" si="219"/>
        <v>0</v>
      </c>
      <c r="I252" s="1175">
        <v>0</v>
      </c>
      <c r="J252" s="1175"/>
      <c r="K252" s="1175"/>
      <c r="L252" s="1175"/>
      <c r="M252" s="1176">
        <f t="shared" si="220"/>
        <v>0</v>
      </c>
      <c r="N252" s="1175">
        <v>0</v>
      </c>
      <c r="O252" s="1175"/>
      <c r="P252" s="1175"/>
      <c r="Q252" s="1175"/>
      <c r="R252" s="1176">
        <f t="shared" si="221"/>
        <v>0</v>
      </c>
    </row>
    <row r="253" spans="1:18" s="29" customFormat="1" ht="12" hidden="1" customHeight="1">
      <c r="A253" s="1214" t="s">
        <v>56</v>
      </c>
      <c r="B253" s="1205" t="s">
        <v>57</v>
      </c>
      <c r="C253" s="1173">
        <v>0</v>
      </c>
      <c r="D253" s="1174">
        <v>0</v>
      </c>
      <c r="E253" s="1175">
        <f t="shared" ref="E253:G253" si="281">E254+E255</f>
        <v>0</v>
      </c>
      <c r="F253" s="1175">
        <f t="shared" si="281"/>
        <v>0</v>
      </c>
      <c r="G253" s="1175">
        <f t="shared" si="281"/>
        <v>0</v>
      </c>
      <c r="H253" s="1176">
        <f t="shared" si="219"/>
        <v>0</v>
      </c>
      <c r="I253" s="1175">
        <v>0</v>
      </c>
      <c r="J253" s="1175">
        <f t="shared" ref="J253:L253" si="282">J254+J255</f>
        <v>0</v>
      </c>
      <c r="K253" s="1175">
        <f t="shared" si="282"/>
        <v>0</v>
      </c>
      <c r="L253" s="1175">
        <f t="shared" si="282"/>
        <v>0</v>
      </c>
      <c r="M253" s="1176">
        <f t="shared" si="220"/>
        <v>0</v>
      </c>
      <c r="N253" s="1175">
        <v>0</v>
      </c>
      <c r="O253" s="1175">
        <f t="shared" ref="O253:Q253" si="283">O254+O255</f>
        <v>0</v>
      </c>
      <c r="P253" s="1175">
        <f t="shared" si="283"/>
        <v>0</v>
      </c>
      <c r="Q253" s="1175">
        <f t="shared" si="283"/>
        <v>0</v>
      </c>
      <c r="R253" s="1176">
        <f t="shared" si="221"/>
        <v>0</v>
      </c>
    </row>
    <row r="254" spans="1:18" s="29" customFormat="1" ht="12" hidden="1" customHeight="1">
      <c r="A254" s="1214" t="s">
        <v>58</v>
      </c>
      <c r="B254" s="1205" t="s">
        <v>59</v>
      </c>
      <c r="C254" s="1173">
        <v>0</v>
      </c>
      <c r="D254" s="1174">
        <v>0</v>
      </c>
      <c r="E254" s="1175"/>
      <c r="F254" s="1175"/>
      <c r="G254" s="1175"/>
      <c r="H254" s="1176">
        <f t="shared" si="219"/>
        <v>0</v>
      </c>
      <c r="I254" s="1175">
        <v>0</v>
      </c>
      <c r="J254" s="1175"/>
      <c r="K254" s="1175"/>
      <c r="L254" s="1175"/>
      <c r="M254" s="1176">
        <f t="shared" si="220"/>
        <v>0</v>
      </c>
      <c r="N254" s="1175">
        <v>0</v>
      </c>
      <c r="O254" s="1175"/>
      <c r="P254" s="1175"/>
      <c r="Q254" s="1175"/>
      <c r="R254" s="1176">
        <f t="shared" si="221"/>
        <v>0</v>
      </c>
    </row>
    <row r="255" spans="1:18" s="29" customFormat="1" ht="12" hidden="1" customHeight="1">
      <c r="A255" s="1214" t="s">
        <v>60</v>
      </c>
      <c r="B255" s="1205" t="s">
        <v>61</v>
      </c>
      <c r="C255" s="1173">
        <v>0</v>
      </c>
      <c r="D255" s="1174">
        <v>0</v>
      </c>
      <c r="E255" s="1175"/>
      <c r="F255" s="1175"/>
      <c r="G255" s="1175"/>
      <c r="H255" s="1176">
        <f t="shared" si="219"/>
        <v>0</v>
      </c>
      <c r="I255" s="1175">
        <v>0</v>
      </c>
      <c r="J255" s="1175"/>
      <c r="K255" s="1175"/>
      <c r="L255" s="1175"/>
      <c r="M255" s="1176">
        <f t="shared" si="220"/>
        <v>0</v>
      </c>
      <c r="N255" s="1175">
        <v>0</v>
      </c>
      <c r="O255" s="1175"/>
      <c r="P255" s="1175"/>
      <c r="Q255" s="1175"/>
      <c r="R255" s="1176">
        <f t="shared" si="221"/>
        <v>0</v>
      </c>
    </row>
    <row r="256" spans="1:18" s="29" customFormat="1" ht="12" hidden="1" customHeight="1">
      <c r="A256" s="1214" t="s">
        <v>198</v>
      </c>
      <c r="B256" s="1223" t="s">
        <v>168</v>
      </c>
      <c r="C256" s="1173">
        <v>0</v>
      </c>
      <c r="D256" s="1174">
        <v>0</v>
      </c>
      <c r="E256" s="1175"/>
      <c r="F256" s="1175"/>
      <c r="G256" s="1175"/>
      <c r="H256" s="1176">
        <f t="shared" si="219"/>
        <v>0</v>
      </c>
      <c r="I256" s="1175">
        <v>0</v>
      </c>
      <c r="J256" s="1175"/>
      <c r="K256" s="1175"/>
      <c r="L256" s="1175"/>
      <c r="M256" s="1176">
        <f t="shared" si="220"/>
        <v>0</v>
      </c>
      <c r="N256" s="1175">
        <v>0</v>
      </c>
      <c r="O256" s="1175"/>
      <c r="P256" s="1175"/>
      <c r="Q256" s="1175"/>
      <c r="R256" s="1176">
        <f t="shared" si="221"/>
        <v>0</v>
      </c>
    </row>
    <row r="257" spans="1:18" s="29" customFormat="1" ht="12">
      <c r="A257" s="1224" t="s">
        <v>62</v>
      </c>
      <c r="B257" s="1178" t="s">
        <v>63</v>
      </c>
      <c r="C257" s="1179">
        <v>6902724</v>
      </c>
      <c r="D257" s="1180">
        <v>60000</v>
      </c>
      <c r="E257" s="1181">
        <f t="shared" ref="E257:G257" si="284">E258+E259+E260</f>
        <v>0</v>
      </c>
      <c r="F257" s="1181">
        <f t="shared" si="284"/>
        <v>0</v>
      </c>
      <c r="G257" s="1181">
        <f t="shared" si="284"/>
        <v>0</v>
      </c>
      <c r="H257" s="1176">
        <f t="shared" si="219"/>
        <v>60000</v>
      </c>
      <c r="I257" s="1181">
        <v>0</v>
      </c>
      <c r="J257" s="1181">
        <f t="shared" ref="J257:L257" si="285">J258+J259+J260</f>
        <v>0</v>
      </c>
      <c r="K257" s="1181">
        <f t="shared" si="285"/>
        <v>0</v>
      </c>
      <c r="L257" s="1181">
        <f t="shared" si="285"/>
        <v>0</v>
      </c>
      <c r="M257" s="1176">
        <f t="shared" si="220"/>
        <v>0</v>
      </c>
      <c r="N257" s="1181">
        <v>0</v>
      </c>
      <c r="O257" s="1181">
        <f t="shared" ref="O257:Q257" si="286">O258+O259+O260</f>
        <v>0</v>
      </c>
      <c r="P257" s="1181">
        <f t="shared" si="286"/>
        <v>0</v>
      </c>
      <c r="Q257" s="1181">
        <f t="shared" si="286"/>
        <v>0</v>
      </c>
      <c r="R257" s="1176">
        <f t="shared" si="221"/>
        <v>0</v>
      </c>
    </row>
    <row r="258" spans="1:18" s="29" customFormat="1" ht="36" hidden="1" customHeight="1">
      <c r="A258" s="1224" t="s">
        <v>64</v>
      </c>
      <c r="B258" s="1205" t="s">
        <v>65</v>
      </c>
      <c r="C258" s="1173">
        <v>0</v>
      </c>
      <c r="D258" s="1174">
        <v>0</v>
      </c>
      <c r="E258" s="1175"/>
      <c r="F258" s="1175"/>
      <c r="G258" s="1175"/>
      <c r="H258" s="1176">
        <f t="shared" si="219"/>
        <v>0</v>
      </c>
      <c r="I258" s="1175">
        <v>0</v>
      </c>
      <c r="J258" s="1175"/>
      <c r="K258" s="1175"/>
      <c r="L258" s="1175"/>
      <c r="M258" s="1176">
        <f t="shared" si="220"/>
        <v>0</v>
      </c>
      <c r="N258" s="1175">
        <v>0</v>
      </c>
      <c r="O258" s="1175"/>
      <c r="P258" s="1175"/>
      <c r="Q258" s="1175"/>
      <c r="R258" s="1176">
        <f t="shared" si="221"/>
        <v>0</v>
      </c>
    </row>
    <row r="259" spans="1:18" s="29" customFormat="1" ht="24">
      <c r="A259" s="1224" t="s">
        <v>66</v>
      </c>
      <c r="B259" s="1205" t="s">
        <v>67</v>
      </c>
      <c r="C259" s="1173">
        <v>6902724</v>
      </c>
      <c r="D259" s="1174">
        <v>60000</v>
      </c>
      <c r="E259" s="1221"/>
      <c r="F259" s="1175"/>
      <c r="G259" s="1175"/>
      <c r="H259" s="1176">
        <f t="shared" si="219"/>
        <v>60000</v>
      </c>
      <c r="I259" s="1175">
        <v>0</v>
      </c>
      <c r="J259" s="1175">
        <f>-J248</f>
        <v>0</v>
      </c>
      <c r="K259" s="1175"/>
      <c r="L259" s="1175"/>
      <c r="M259" s="1176">
        <f t="shared" si="220"/>
        <v>0</v>
      </c>
      <c r="N259" s="1175">
        <v>0</v>
      </c>
      <c r="O259" s="1175">
        <f>-O248</f>
        <v>0</v>
      </c>
      <c r="P259" s="1175"/>
      <c r="Q259" s="1175"/>
      <c r="R259" s="1176">
        <f t="shared" si="221"/>
        <v>0</v>
      </c>
    </row>
    <row r="260" spans="1:18" s="29" customFormat="1" ht="24" hidden="1" customHeight="1">
      <c r="A260" s="1224" t="s">
        <v>68</v>
      </c>
      <c r="B260" s="1178" t="s">
        <v>69</v>
      </c>
      <c r="C260" s="1173">
        <v>0</v>
      </c>
      <c r="D260" s="1174">
        <v>0</v>
      </c>
      <c r="E260" s="1175"/>
      <c r="F260" s="1175"/>
      <c r="G260" s="1175"/>
      <c r="H260" s="1176">
        <f t="shared" si="219"/>
        <v>0</v>
      </c>
      <c r="I260" s="1175">
        <v>0</v>
      </c>
      <c r="J260" s="1175"/>
      <c r="K260" s="1175"/>
      <c r="L260" s="1175"/>
      <c r="M260" s="1176">
        <f t="shared" si="220"/>
        <v>0</v>
      </c>
      <c r="N260" s="1175">
        <v>0</v>
      </c>
      <c r="O260" s="1175"/>
      <c r="P260" s="1175"/>
      <c r="Q260" s="1175"/>
      <c r="R260" s="1176">
        <f t="shared" si="221"/>
        <v>0</v>
      </c>
    </row>
    <row r="261" spans="1:18" s="29" customFormat="1" ht="12">
      <c r="A261" s="1233"/>
      <c r="B261" s="1234"/>
      <c r="C261" s="1235"/>
      <c r="D261" s="1212"/>
      <c r="E261" s="1236"/>
      <c r="F261" s="1235"/>
      <c r="G261" s="1235"/>
      <c r="H261" s="1176"/>
      <c r="I261" s="1212"/>
      <c r="J261" s="1237"/>
      <c r="K261" s="1235"/>
      <c r="L261" s="1235"/>
      <c r="M261" s="1176"/>
      <c r="N261" s="1212"/>
      <c r="O261" s="1237"/>
      <c r="P261" s="1235"/>
      <c r="Q261" s="1235"/>
      <c r="R261" s="1176"/>
    </row>
    <row r="262" spans="1:18" ht="12">
      <c r="A262" s="33"/>
      <c r="B262" s="164"/>
      <c r="C262" s="165"/>
      <c r="D262" s="163"/>
      <c r="E262" s="165"/>
      <c r="F262" s="163"/>
      <c r="G262" s="163"/>
      <c r="H262" s="163"/>
      <c r="I262" s="163"/>
      <c r="J262" s="165"/>
      <c r="K262" s="163"/>
      <c r="L262" s="163"/>
      <c r="M262" s="163"/>
      <c r="N262" s="163"/>
      <c r="O262" s="165"/>
      <c r="P262" s="163"/>
      <c r="Q262" s="163"/>
      <c r="R262" s="163"/>
    </row>
    <row r="263" spans="1:18" ht="12">
      <c r="A263" s="33"/>
      <c r="B263" s="164"/>
      <c r="C263" s="165"/>
      <c r="D263" s="163"/>
      <c r="E263" s="165"/>
      <c r="F263" s="163"/>
      <c r="G263" s="163"/>
      <c r="H263" s="163"/>
      <c r="I263" s="163"/>
      <c r="J263" s="165"/>
      <c r="K263" s="163"/>
      <c r="L263" s="163"/>
      <c r="M263" s="163"/>
      <c r="N263" s="163"/>
      <c r="O263" s="165"/>
      <c r="P263" s="163"/>
      <c r="Q263" s="163"/>
      <c r="R263" s="163"/>
    </row>
    <row r="264" spans="1:18" ht="13.2">
      <c r="A264" s="369" t="s">
        <v>236</v>
      </c>
      <c r="B264" s="370" t="s">
        <v>237</v>
      </c>
      <c r="C264" s="165"/>
      <c r="D264" s="163"/>
      <c r="E264" s="165"/>
      <c r="F264" s="163"/>
      <c r="G264" s="163"/>
      <c r="H264" s="163"/>
      <c r="I264" s="163"/>
      <c r="J264" s="165"/>
      <c r="K264" s="163"/>
      <c r="L264" s="163"/>
      <c r="M264" s="163"/>
      <c r="N264" s="163"/>
      <c r="O264" s="165"/>
      <c r="P264" s="163"/>
      <c r="Q264" s="163"/>
      <c r="R264" s="163"/>
    </row>
    <row r="265" spans="1:18" ht="13.2">
      <c r="A265" s="371"/>
      <c r="B265" s="372" t="s">
        <v>238</v>
      </c>
      <c r="C265" s="165"/>
      <c r="D265" s="163"/>
      <c r="E265" s="165"/>
      <c r="F265" s="165"/>
      <c r="G265" s="165"/>
      <c r="H265" s="165"/>
      <c r="I265" s="165"/>
      <c r="J265" s="165"/>
      <c r="K265" s="165"/>
      <c r="L265" s="165"/>
      <c r="M265" s="165"/>
      <c r="N265" s="165"/>
      <c r="O265" s="165"/>
      <c r="P265" s="163"/>
      <c r="Q265" s="163"/>
      <c r="R265" s="163"/>
    </row>
    <row r="266" spans="1:18" ht="13.2">
      <c r="A266" s="373" t="s">
        <v>223</v>
      </c>
      <c r="B266" s="374" t="s">
        <v>239</v>
      </c>
      <c r="C266" s="165"/>
      <c r="D266" s="163"/>
      <c r="E266" s="424">
        <f>E268+E276+E334+E390</f>
        <v>-3012135</v>
      </c>
      <c r="F266" s="424"/>
      <c r="G266" s="424"/>
      <c r="H266" s="424"/>
      <c r="I266" s="424"/>
      <c r="J266" s="424">
        <f t="shared" ref="J266:O266" si="287">J268+J276+J334+J390</f>
        <v>7994930</v>
      </c>
      <c r="K266" s="424"/>
      <c r="L266" s="424"/>
      <c r="M266" s="424"/>
      <c r="N266" s="424"/>
      <c r="O266" s="424">
        <f t="shared" si="287"/>
        <v>-568590</v>
      </c>
      <c r="P266" s="163"/>
      <c r="Q266" s="163"/>
      <c r="R266" s="163"/>
    </row>
    <row r="267" spans="1:18" ht="132" hidden="1">
      <c r="A267" s="415" t="s">
        <v>240</v>
      </c>
      <c r="B267" s="964" t="s">
        <v>1018</v>
      </c>
      <c r="C267" s="165"/>
      <c r="D267" s="462"/>
      <c r="E267" s="461"/>
      <c r="F267" s="462"/>
      <c r="G267" s="1345"/>
      <c r="H267" s="462"/>
      <c r="I267" s="1345"/>
      <c r="J267" s="461"/>
      <c r="K267" s="462"/>
      <c r="L267" s="462"/>
      <c r="M267" s="1345"/>
      <c r="N267" s="462"/>
      <c r="O267" s="461"/>
      <c r="P267" s="462"/>
      <c r="Q267" s="1345"/>
      <c r="R267" s="163"/>
    </row>
    <row r="268" spans="1:18" ht="12" hidden="1">
      <c r="A268" s="965" t="s">
        <v>100</v>
      </c>
      <c r="B268" s="471" t="s">
        <v>101</v>
      </c>
      <c r="C268" s="519"/>
      <c r="D268" s="465"/>
      <c r="E268" s="458">
        <v>0</v>
      </c>
      <c r="F268" s="465"/>
      <c r="G268" s="1346"/>
      <c r="H268" s="465"/>
      <c r="I268" s="1346"/>
      <c r="J268" s="458">
        <v>0</v>
      </c>
      <c r="K268" s="465"/>
      <c r="L268" s="465"/>
      <c r="M268" s="1346"/>
      <c r="N268" s="465"/>
      <c r="O268" s="458">
        <v>0</v>
      </c>
      <c r="P268" s="462"/>
      <c r="Q268" s="1345"/>
      <c r="R268" s="163"/>
    </row>
    <row r="269" spans="1:18" ht="20.399999999999999" hidden="1">
      <c r="A269" s="965" t="s">
        <v>102</v>
      </c>
      <c r="B269" s="471" t="s">
        <v>103</v>
      </c>
      <c r="C269" s="165"/>
      <c r="D269" s="462"/>
      <c r="E269" s="461">
        <v>0</v>
      </c>
      <c r="F269" s="462"/>
      <c r="G269" s="1345"/>
      <c r="H269" s="462"/>
      <c r="I269" s="1345"/>
      <c r="J269" s="461">
        <v>0</v>
      </c>
      <c r="K269" s="462"/>
      <c r="L269" s="462"/>
      <c r="M269" s="1345"/>
      <c r="N269" s="462"/>
      <c r="O269" s="461">
        <v>0</v>
      </c>
      <c r="P269" s="462"/>
      <c r="Q269" s="1345"/>
      <c r="R269" s="163"/>
    </row>
    <row r="270" spans="1:18" ht="12" hidden="1">
      <c r="A270" s="965" t="s">
        <v>104</v>
      </c>
      <c r="B270" s="471" t="s">
        <v>105</v>
      </c>
      <c r="C270" s="165"/>
      <c r="D270" s="462"/>
      <c r="E270" s="461">
        <f>E271</f>
        <v>0</v>
      </c>
      <c r="F270" s="462"/>
      <c r="G270" s="1345"/>
      <c r="H270" s="462"/>
      <c r="I270" s="1345"/>
      <c r="J270" s="461">
        <f>J271</f>
        <v>0</v>
      </c>
      <c r="K270" s="462"/>
      <c r="L270" s="462"/>
      <c r="M270" s="1345"/>
      <c r="N270" s="462"/>
      <c r="O270" s="461">
        <f>O271</f>
        <v>0</v>
      </c>
      <c r="P270" s="462"/>
      <c r="Q270" s="1345"/>
      <c r="R270" s="163"/>
    </row>
    <row r="271" spans="1:18" ht="12" hidden="1">
      <c r="A271" s="767">
        <v>2000</v>
      </c>
      <c r="B271" s="471" t="s">
        <v>108</v>
      </c>
      <c r="C271" s="165"/>
      <c r="D271" s="462"/>
      <c r="E271" s="461">
        <f>247836-247836</f>
        <v>0</v>
      </c>
      <c r="F271" s="462"/>
      <c r="G271" s="1345"/>
      <c r="H271" s="462"/>
      <c r="I271" s="1345"/>
      <c r="J271" s="461">
        <f>265669-265669</f>
        <v>0</v>
      </c>
      <c r="K271" s="462"/>
      <c r="L271" s="462"/>
      <c r="M271" s="1345"/>
      <c r="N271" s="462"/>
      <c r="O271" s="461">
        <f>265669-265669</f>
        <v>0</v>
      </c>
      <c r="P271" s="462"/>
      <c r="Q271" s="1345"/>
      <c r="R271" s="163"/>
    </row>
    <row r="272" spans="1:18" ht="24" hidden="1">
      <c r="A272" s="966" t="s">
        <v>113</v>
      </c>
      <c r="B272" s="471" t="s">
        <v>183</v>
      </c>
      <c r="C272" s="165"/>
      <c r="D272" s="462"/>
      <c r="E272" s="461">
        <f>E273</f>
        <v>0</v>
      </c>
      <c r="F272" s="462"/>
      <c r="G272" s="1345"/>
      <c r="H272" s="462"/>
      <c r="I272" s="1345"/>
      <c r="J272" s="461">
        <f>J273</f>
        <v>0</v>
      </c>
      <c r="K272" s="462"/>
      <c r="L272" s="462"/>
      <c r="M272" s="1345"/>
      <c r="N272" s="462"/>
      <c r="O272" s="461">
        <f>O273</f>
        <v>0</v>
      </c>
      <c r="P272" s="462"/>
      <c r="Q272" s="1345"/>
      <c r="R272" s="163"/>
    </row>
    <row r="273" spans="1:18" ht="12" hidden="1">
      <c r="A273" s="767">
        <v>7700</v>
      </c>
      <c r="B273" s="967" t="s">
        <v>114</v>
      </c>
      <c r="C273" s="165"/>
      <c r="D273" s="462"/>
      <c r="E273" s="461">
        <f>-247836+247836</f>
        <v>0</v>
      </c>
      <c r="F273" s="462"/>
      <c r="G273" s="1345"/>
      <c r="H273" s="462"/>
      <c r="I273" s="1345"/>
      <c r="J273" s="461">
        <f>-265669+265669</f>
        <v>0</v>
      </c>
      <c r="K273" s="462"/>
      <c r="L273" s="462"/>
      <c r="M273" s="1345"/>
      <c r="N273" s="462"/>
      <c r="O273" s="461">
        <f>-265669+265669</f>
        <v>0</v>
      </c>
      <c r="P273" s="462"/>
      <c r="Q273" s="1345"/>
      <c r="R273" s="163"/>
    </row>
    <row r="274" spans="1:18" ht="12" hidden="1">
      <c r="A274" s="767"/>
      <c r="B274" s="967"/>
      <c r="C274" s="165"/>
      <c r="D274" s="462"/>
      <c r="E274" s="461"/>
      <c r="F274" s="462"/>
      <c r="G274" s="1345"/>
      <c r="H274" s="462"/>
      <c r="I274" s="1345"/>
      <c r="J274" s="461"/>
      <c r="K274" s="462"/>
      <c r="L274" s="462"/>
      <c r="M274" s="1345"/>
      <c r="N274" s="462"/>
      <c r="O274" s="461"/>
      <c r="P274" s="462"/>
      <c r="Q274" s="1345"/>
      <c r="R274" s="163"/>
    </row>
    <row r="275" spans="1:18" ht="66">
      <c r="A275" s="968" t="s">
        <v>240</v>
      </c>
      <c r="B275" s="964" t="s">
        <v>1019</v>
      </c>
      <c r="C275" s="165"/>
      <c r="D275" s="462"/>
      <c r="E275" s="458"/>
      <c r="F275" s="465"/>
      <c r="G275" s="465"/>
      <c r="H275" s="465"/>
      <c r="I275" s="465"/>
      <c r="J275" s="458"/>
      <c r="K275" s="465"/>
      <c r="L275" s="465"/>
      <c r="M275" s="465"/>
      <c r="N275" s="465"/>
      <c r="O275" s="458"/>
      <c r="P275" s="465"/>
      <c r="Q275" s="462"/>
      <c r="R275" s="163"/>
    </row>
    <row r="276" spans="1:18" ht="12">
      <c r="A276" s="965" t="s">
        <v>100</v>
      </c>
      <c r="B276" s="471" t="s">
        <v>101</v>
      </c>
      <c r="C276" s="969"/>
      <c r="D276" s="970"/>
      <c r="E276" s="971">
        <f t="shared" ref="E276" si="288">E277+E304</f>
        <v>-374760</v>
      </c>
      <c r="F276" s="971"/>
      <c r="G276" s="971"/>
      <c r="H276" s="972"/>
      <c r="I276" s="971"/>
      <c r="J276" s="971">
        <f t="shared" ref="J276" si="289">J277+J304</f>
        <v>-531419</v>
      </c>
      <c r="K276" s="971"/>
      <c r="L276" s="869"/>
      <c r="M276" s="972"/>
      <c r="N276" s="971"/>
      <c r="O276" s="971">
        <f t="shared" ref="O276" si="290">O277+O304</f>
        <v>-568590</v>
      </c>
      <c r="P276" s="474"/>
      <c r="Q276" s="971"/>
      <c r="R276" s="969"/>
    </row>
    <row r="277" spans="1:18" ht="20.399999999999999">
      <c r="A277" s="965" t="s">
        <v>102</v>
      </c>
      <c r="B277" s="471" t="s">
        <v>103</v>
      </c>
      <c r="C277" s="973"/>
      <c r="D277" s="974"/>
      <c r="E277" s="474">
        <f t="shared" ref="E277" si="291">E278+E282+E283+E286+E289</f>
        <v>-359760</v>
      </c>
      <c r="F277" s="474"/>
      <c r="G277" s="474"/>
      <c r="H277" s="473"/>
      <c r="I277" s="474"/>
      <c r="J277" s="474">
        <f t="shared" ref="J277" si="292">J278+J282+J283+J286+J289</f>
        <v>-521419</v>
      </c>
      <c r="K277" s="474"/>
      <c r="L277" s="869"/>
      <c r="M277" s="473"/>
      <c r="N277" s="474"/>
      <c r="O277" s="474">
        <f t="shared" ref="O277" si="293">O278+O282+O283+O286+O289</f>
        <v>-568590</v>
      </c>
      <c r="P277" s="474"/>
      <c r="Q277" s="474"/>
      <c r="R277" s="473"/>
    </row>
    <row r="278" spans="1:18" ht="12">
      <c r="A278" s="965" t="s">
        <v>104</v>
      </c>
      <c r="B278" s="471" t="s">
        <v>105</v>
      </c>
      <c r="C278" s="973"/>
      <c r="D278" s="974"/>
      <c r="E278" s="474">
        <f t="shared" ref="E278" si="294">E279+E281</f>
        <v>-478799</v>
      </c>
      <c r="F278" s="474"/>
      <c r="G278" s="474"/>
      <c r="H278" s="473"/>
      <c r="I278" s="474"/>
      <c r="J278" s="474">
        <f t="shared" ref="J278" si="295">J279+J281</f>
        <v>-508227</v>
      </c>
      <c r="K278" s="474"/>
      <c r="L278" s="869"/>
      <c r="M278" s="473"/>
      <c r="N278" s="474"/>
      <c r="O278" s="474">
        <f t="shared" ref="O278" si="296">O279+O281</f>
        <v>-540727</v>
      </c>
      <c r="P278" s="474"/>
      <c r="Q278" s="474"/>
      <c r="R278" s="473"/>
    </row>
    <row r="279" spans="1:18" ht="12">
      <c r="A279" s="767">
        <v>1000</v>
      </c>
      <c r="B279" s="768" t="s">
        <v>106</v>
      </c>
      <c r="C279" s="973"/>
      <c r="D279" s="974"/>
      <c r="E279" s="474">
        <v>-124766</v>
      </c>
      <c r="F279" s="472"/>
      <c r="G279" s="472"/>
      <c r="H279" s="473"/>
      <c r="I279" s="474"/>
      <c r="J279" s="474">
        <v>-170194</v>
      </c>
      <c r="K279" s="472"/>
      <c r="L279" s="869"/>
      <c r="M279" s="473"/>
      <c r="N279" s="474"/>
      <c r="O279" s="474">
        <v>-170194</v>
      </c>
      <c r="P279" s="472"/>
      <c r="Q279" s="472"/>
      <c r="R279" s="473"/>
    </row>
    <row r="280" spans="1:18" ht="12">
      <c r="A280" s="891">
        <v>1100</v>
      </c>
      <c r="B280" s="768" t="s">
        <v>107</v>
      </c>
      <c r="C280" s="973"/>
      <c r="D280" s="974"/>
      <c r="E280" s="474">
        <v>-96515</v>
      </c>
      <c r="F280" s="472"/>
      <c r="G280" s="472"/>
      <c r="H280" s="473"/>
      <c r="I280" s="474"/>
      <c r="J280" s="474">
        <v>-133124</v>
      </c>
      <c r="K280" s="472"/>
      <c r="L280" s="869"/>
      <c r="M280" s="473"/>
      <c r="N280" s="474"/>
      <c r="O280" s="474">
        <v>-133124</v>
      </c>
      <c r="P280" s="472"/>
      <c r="Q280" s="472"/>
      <c r="R280" s="473"/>
    </row>
    <row r="281" spans="1:18" ht="12">
      <c r="A281" s="478">
        <v>2000</v>
      </c>
      <c r="B281" s="471" t="s">
        <v>108</v>
      </c>
      <c r="C281" s="973"/>
      <c r="D281" s="974"/>
      <c r="E281" s="474">
        <v>-354033</v>
      </c>
      <c r="F281" s="472"/>
      <c r="G281" s="472"/>
      <c r="H281" s="473"/>
      <c r="I281" s="474"/>
      <c r="J281" s="474">
        <v>-338033</v>
      </c>
      <c r="K281" s="472"/>
      <c r="L281" s="465"/>
      <c r="M281" s="473"/>
      <c r="N281" s="474"/>
      <c r="O281" s="474">
        <v>-370533</v>
      </c>
      <c r="P281" s="472"/>
      <c r="Q281" s="472"/>
      <c r="R281" s="473"/>
    </row>
    <row r="282" spans="1:18" ht="12">
      <c r="A282" s="478">
        <v>4000</v>
      </c>
      <c r="B282" s="471" t="s">
        <v>132</v>
      </c>
      <c r="C282" s="973"/>
      <c r="D282" s="975"/>
      <c r="E282" s="472"/>
      <c r="F282" s="472"/>
      <c r="G282" s="472"/>
      <c r="H282" s="473"/>
      <c r="I282" s="474"/>
      <c r="J282" s="472"/>
      <c r="K282" s="472"/>
      <c r="L282" s="465"/>
      <c r="M282" s="473"/>
      <c r="N282" s="474"/>
      <c r="O282" s="472"/>
      <c r="P282" s="472"/>
      <c r="Q282" s="472"/>
      <c r="R282" s="473"/>
    </row>
    <row r="283" spans="1:18" ht="12">
      <c r="A283" s="478" t="s">
        <v>109</v>
      </c>
      <c r="B283" s="471" t="s">
        <v>110</v>
      </c>
      <c r="C283" s="973"/>
      <c r="D283" s="974"/>
      <c r="E283" s="474">
        <f t="shared" ref="E283" si="297">E284+E285</f>
        <v>119039</v>
      </c>
      <c r="F283" s="474"/>
      <c r="G283" s="474"/>
      <c r="H283" s="473"/>
      <c r="I283" s="474"/>
      <c r="J283" s="474">
        <f t="shared" ref="J283" si="298">J284+J285</f>
        <v>-13192</v>
      </c>
      <c r="K283" s="474"/>
      <c r="L283" s="465"/>
      <c r="M283" s="473"/>
      <c r="N283" s="474"/>
      <c r="O283" s="474">
        <f t="shared" ref="O283" si="299">O284+O285</f>
        <v>-27863</v>
      </c>
      <c r="P283" s="474"/>
      <c r="Q283" s="474"/>
      <c r="R283" s="473"/>
    </row>
    <row r="284" spans="1:18" ht="12">
      <c r="A284" s="478">
        <v>3000</v>
      </c>
      <c r="B284" s="471" t="s">
        <v>111</v>
      </c>
      <c r="C284" s="976"/>
      <c r="D284" s="976"/>
      <c r="E284" s="977">
        <v>119039</v>
      </c>
      <c r="F284" s="978"/>
      <c r="G284" s="978"/>
      <c r="H284" s="473"/>
      <c r="I284" s="977"/>
      <c r="J284" s="977">
        <v>-13192</v>
      </c>
      <c r="K284" s="978"/>
      <c r="L284" s="465"/>
      <c r="M284" s="473"/>
      <c r="N284" s="977"/>
      <c r="O284" s="977">
        <v>-27863</v>
      </c>
      <c r="P284" s="978"/>
      <c r="Q284" s="978"/>
      <c r="R284" s="473"/>
    </row>
    <row r="285" spans="1:18" ht="12" hidden="1" customHeight="1">
      <c r="A285" s="478">
        <v>6000</v>
      </c>
      <c r="B285" s="471" t="s">
        <v>112</v>
      </c>
      <c r="C285" s="973"/>
      <c r="D285" s="975"/>
      <c r="E285" s="472"/>
      <c r="F285" s="472"/>
      <c r="G285" s="472"/>
      <c r="H285" s="473"/>
      <c r="I285" s="474"/>
      <c r="J285" s="472"/>
      <c r="K285" s="472"/>
      <c r="L285" s="869"/>
      <c r="M285" s="473"/>
      <c r="N285" s="474"/>
      <c r="O285" s="472"/>
      <c r="P285" s="472"/>
      <c r="Q285" s="472"/>
      <c r="R285" s="473"/>
    </row>
    <row r="286" spans="1:18" ht="24" hidden="1" customHeight="1">
      <c r="A286" s="478" t="s">
        <v>113</v>
      </c>
      <c r="B286" s="471" t="s">
        <v>183</v>
      </c>
      <c r="C286" s="973"/>
      <c r="D286" s="974"/>
      <c r="E286" s="474">
        <f t="shared" ref="E286" si="300">E287+E288</f>
        <v>0</v>
      </c>
      <c r="F286" s="474"/>
      <c r="G286" s="474"/>
      <c r="H286" s="473"/>
      <c r="I286" s="474"/>
      <c r="J286" s="474">
        <f t="shared" ref="J286" si="301">J287+J288</f>
        <v>0</v>
      </c>
      <c r="K286" s="474"/>
      <c r="L286" s="869"/>
      <c r="M286" s="473"/>
      <c r="N286" s="474"/>
      <c r="O286" s="474">
        <f t="shared" ref="O286" si="302">O287+O288</f>
        <v>0</v>
      </c>
      <c r="P286" s="474"/>
      <c r="Q286" s="474"/>
      <c r="R286" s="473"/>
    </row>
    <row r="287" spans="1:18" ht="12" hidden="1" customHeight="1">
      <c r="A287" s="478">
        <v>7600</v>
      </c>
      <c r="B287" s="979" t="s">
        <v>184</v>
      </c>
      <c r="C287" s="973"/>
      <c r="D287" s="975"/>
      <c r="E287" s="472"/>
      <c r="F287" s="472"/>
      <c r="G287" s="472"/>
      <c r="H287" s="473"/>
      <c r="I287" s="474"/>
      <c r="J287" s="472"/>
      <c r="K287" s="472"/>
      <c r="L287" s="869"/>
      <c r="M287" s="473"/>
      <c r="N287" s="474"/>
      <c r="O287" s="472"/>
      <c r="P287" s="472"/>
      <c r="Q287" s="472"/>
      <c r="R287" s="473"/>
    </row>
    <row r="288" spans="1:18" ht="12" hidden="1" customHeight="1">
      <c r="A288" s="478">
        <v>7700</v>
      </c>
      <c r="B288" s="967" t="s">
        <v>114</v>
      </c>
      <c r="C288" s="974"/>
      <c r="D288" s="974"/>
      <c r="E288" s="474"/>
      <c r="F288" s="472"/>
      <c r="G288" s="472"/>
      <c r="H288" s="473"/>
      <c r="I288" s="474"/>
      <c r="J288" s="474"/>
      <c r="K288" s="472"/>
      <c r="L288" s="869"/>
      <c r="M288" s="473"/>
      <c r="N288" s="474"/>
      <c r="O288" s="474"/>
      <c r="P288" s="472"/>
      <c r="Q288" s="472"/>
      <c r="R288" s="473"/>
    </row>
    <row r="289" spans="1:18" ht="12" hidden="1" customHeight="1">
      <c r="A289" s="478" t="s">
        <v>185</v>
      </c>
      <c r="B289" s="471" t="s">
        <v>115</v>
      </c>
      <c r="C289" s="973"/>
      <c r="D289" s="974"/>
      <c r="E289" s="474">
        <f t="shared" ref="E289" si="303">E290+E296+E300+E303</f>
        <v>0</v>
      </c>
      <c r="F289" s="474"/>
      <c r="G289" s="474"/>
      <c r="H289" s="473"/>
      <c r="I289" s="474"/>
      <c r="J289" s="474">
        <f t="shared" ref="J289" si="304">J290+J296+J300+J303</f>
        <v>0</v>
      </c>
      <c r="K289" s="474"/>
      <c r="L289" s="869"/>
      <c r="M289" s="473"/>
      <c r="N289" s="474"/>
      <c r="O289" s="474">
        <f t="shared" ref="O289" si="305">O290+O296+O300+O303</f>
        <v>0</v>
      </c>
      <c r="P289" s="474"/>
      <c r="Q289" s="474"/>
      <c r="R289" s="473"/>
    </row>
    <row r="290" spans="1:18" ht="12" hidden="1" customHeight="1">
      <c r="A290" s="478">
        <v>7100</v>
      </c>
      <c r="B290" s="979" t="s">
        <v>116</v>
      </c>
      <c r="C290" s="973"/>
      <c r="D290" s="974"/>
      <c r="E290" s="474">
        <f t="shared" ref="E290" si="306">E291+E292</f>
        <v>0</v>
      </c>
      <c r="F290" s="474"/>
      <c r="G290" s="474"/>
      <c r="H290" s="473"/>
      <c r="I290" s="474"/>
      <c r="J290" s="474">
        <f t="shared" ref="J290" si="307">J291+J292</f>
        <v>0</v>
      </c>
      <c r="K290" s="474"/>
      <c r="L290" s="869"/>
      <c r="M290" s="473"/>
      <c r="N290" s="474"/>
      <c r="O290" s="474">
        <f t="shared" ref="O290" si="308">O291+O292</f>
        <v>0</v>
      </c>
      <c r="P290" s="474"/>
      <c r="Q290" s="474"/>
      <c r="R290" s="473"/>
    </row>
    <row r="291" spans="1:18" ht="24" hidden="1" customHeight="1">
      <c r="A291" s="980" t="s">
        <v>117</v>
      </c>
      <c r="B291" s="979" t="s">
        <v>118</v>
      </c>
      <c r="C291" s="973"/>
      <c r="D291" s="974"/>
      <c r="E291" s="474"/>
      <c r="F291" s="474"/>
      <c r="G291" s="474"/>
      <c r="H291" s="473"/>
      <c r="I291" s="474"/>
      <c r="J291" s="474"/>
      <c r="K291" s="474"/>
      <c r="L291" s="869"/>
      <c r="M291" s="473"/>
      <c r="N291" s="474"/>
      <c r="O291" s="474"/>
      <c r="P291" s="474"/>
      <c r="Q291" s="474"/>
      <c r="R291" s="473"/>
    </row>
    <row r="292" spans="1:18" ht="24" hidden="1" customHeight="1">
      <c r="A292" s="980">
        <v>7130</v>
      </c>
      <c r="B292" s="979" t="s">
        <v>119</v>
      </c>
      <c r="C292" s="973"/>
      <c r="D292" s="974"/>
      <c r="E292" s="474">
        <f t="shared" ref="E292" si="309">SUM(E293:E295)</f>
        <v>0</v>
      </c>
      <c r="F292" s="474"/>
      <c r="G292" s="474"/>
      <c r="H292" s="473"/>
      <c r="I292" s="474"/>
      <c r="J292" s="474">
        <f t="shared" ref="J292" si="310">SUM(J293:J295)</f>
        <v>0</v>
      </c>
      <c r="K292" s="474"/>
      <c r="L292" s="869"/>
      <c r="M292" s="473"/>
      <c r="N292" s="474"/>
      <c r="O292" s="474">
        <f t="shared" ref="O292" si="311">SUM(O293:O295)</f>
        <v>0</v>
      </c>
      <c r="P292" s="474"/>
      <c r="Q292" s="474"/>
      <c r="R292" s="473"/>
    </row>
    <row r="293" spans="1:18" ht="36" hidden="1" customHeight="1">
      <c r="A293" s="981">
        <v>7131</v>
      </c>
      <c r="B293" s="979" t="s">
        <v>120</v>
      </c>
      <c r="C293" s="973"/>
      <c r="D293" s="974"/>
      <c r="E293" s="474"/>
      <c r="F293" s="474"/>
      <c r="G293" s="474"/>
      <c r="H293" s="473"/>
      <c r="I293" s="474"/>
      <c r="J293" s="474"/>
      <c r="K293" s="474"/>
      <c r="L293" s="869"/>
      <c r="M293" s="473"/>
      <c r="N293" s="474"/>
      <c r="O293" s="474"/>
      <c r="P293" s="474"/>
      <c r="Q293" s="474"/>
      <c r="R293" s="473"/>
    </row>
    <row r="294" spans="1:18" ht="36" hidden="1" customHeight="1">
      <c r="A294" s="981">
        <v>7132</v>
      </c>
      <c r="B294" s="979" t="s">
        <v>121</v>
      </c>
      <c r="C294" s="973"/>
      <c r="D294" s="974"/>
      <c r="E294" s="474"/>
      <c r="F294" s="474"/>
      <c r="G294" s="474"/>
      <c r="H294" s="473"/>
      <c r="I294" s="474"/>
      <c r="J294" s="474"/>
      <c r="K294" s="474"/>
      <c r="L294" s="869"/>
      <c r="M294" s="473"/>
      <c r="N294" s="474"/>
      <c r="O294" s="474"/>
      <c r="P294" s="474"/>
      <c r="Q294" s="474"/>
      <c r="R294" s="473"/>
    </row>
    <row r="295" spans="1:18" ht="24" hidden="1" customHeight="1">
      <c r="A295" s="981" t="s">
        <v>186</v>
      </c>
      <c r="B295" s="979" t="s">
        <v>187</v>
      </c>
      <c r="C295" s="973"/>
      <c r="D295" s="974"/>
      <c r="E295" s="474"/>
      <c r="F295" s="474"/>
      <c r="G295" s="474"/>
      <c r="H295" s="473"/>
      <c r="I295" s="474"/>
      <c r="J295" s="474"/>
      <c r="K295" s="474"/>
      <c r="L295" s="869"/>
      <c r="M295" s="473"/>
      <c r="N295" s="474"/>
      <c r="O295" s="474"/>
      <c r="P295" s="474"/>
      <c r="Q295" s="474"/>
      <c r="R295" s="473"/>
    </row>
    <row r="296" spans="1:18" ht="24" hidden="1" customHeight="1">
      <c r="A296" s="478">
        <v>7300</v>
      </c>
      <c r="B296" s="982" t="s">
        <v>155</v>
      </c>
      <c r="C296" s="973"/>
      <c r="D296" s="974"/>
      <c r="E296" s="474">
        <f t="shared" ref="E296" si="312">SUM(E297:E299)</f>
        <v>0</v>
      </c>
      <c r="F296" s="474"/>
      <c r="G296" s="474"/>
      <c r="H296" s="473"/>
      <c r="I296" s="474"/>
      <c r="J296" s="474">
        <f t="shared" ref="J296" si="313">SUM(J297:J299)</f>
        <v>0</v>
      </c>
      <c r="K296" s="474"/>
      <c r="L296" s="869"/>
      <c r="M296" s="473"/>
      <c r="N296" s="474"/>
      <c r="O296" s="474">
        <f t="shared" ref="O296" si="314">SUM(O297:O299)</f>
        <v>0</v>
      </c>
      <c r="P296" s="474"/>
      <c r="Q296" s="474"/>
      <c r="R296" s="473"/>
    </row>
    <row r="297" spans="1:18" ht="24" hidden="1" customHeight="1">
      <c r="A297" s="980" t="s">
        <v>188</v>
      </c>
      <c r="B297" s="979" t="s">
        <v>170</v>
      </c>
      <c r="C297" s="983"/>
      <c r="D297" s="984"/>
      <c r="E297" s="985"/>
      <c r="F297" s="985"/>
      <c r="G297" s="985"/>
      <c r="H297" s="473"/>
      <c r="I297" s="985"/>
      <c r="J297" s="985"/>
      <c r="K297" s="985"/>
      <c r="L297" s="869"/>
      <c r="M297" s="473"/>
      <c r="N297" s="985"/>
      <c r="O297" s="985"/>
      <c r="P297" s="985"/>
      <c r="Q297" s="985"/>
      <c r="R297" s="473"/>
    </row>
    <row r="298" spans="1:18" ht="48" hidden="1" customHeight="1">
      <c r="A298" s="980" t="s">
        <v>189</v>
      </c>
      <c r="B298" s="979" t="s">
        <v>156</v>
      </c>
      <c r="C298" s="983"/>
      <c r="D298" s="984"/>
      <c r="E298" s="985"/>
      <c r="F298" s="985"/>
      <c r="G298" s="985"/>
      <c r="H298" s="473"/>
      <c r="I298" s="985"/>
      <c r="J298" s="985"/>
      <c r="K298" s="985"/>
      <c r="L298" s="869"/>
      <c r="M298" s="473"/>
      <c r="N298" s="985"/>
      <c r="O298" s="985"/>
      <c r="P298" s="985"/>
      <c r="Q298" s="985"/>
      <c r="R298" s="473"/>
    </row>
    <row r="299" spans="1:18" ht="36" hidden="1" customHeight="1">
      <c r="A299" s="980">
        <v>7350</v>
      </c>
      <c r="B299" s="979" t="s">
        <v>163</v>
      </c>
      <c r="C299" s="983"/>
      <c r="D299" s="984"/>
      <c r="E299" s="985"/>
      <c r="F299" s="985"/>
      <c r="G299" s="985"/>
      <c r="H299" s="473"/>
      <c r="I299" s="985"/>
      <c r="J299" s="985"/>
      <c r="K299" s="985"/>
      <c r="L299" s="869"/>
      <c r="M299" s="473"/>
      <c r="N299" s="985"/>
      <c r="O299" s="985"/>
      <c r="P299" s="985"/>
      <c r="Q299" s="985"/>
      <c r="R299" s="473"/>
    </row>
    <row r="300" spans="1:18" ht="24" hidden="1" customHeight="1">
      <c r="A300" s="478">
        <v>7400</v>
      </c>
      <c r="B300" s="982" t="s">
        <v>161</v>
      </c>
      <c r="C300" s="973"/>
      <c r="D300" s="974"/>
      <c r="E300" s="474">
        <f t="shared" ref="E300" si="315">SUM(E301:E302)</f>
        <v>0</v>
      </c>
      <c r="F300" s="474"/>
      <c r="G300" s="474"/>
      <c r="H300" s="473"/>
      <c r="I300" s="474"/>
      <c r="J300" s="474">
        <f t="shared" ref="J300" si="316">SUM(J301:J302)</f>
        <v>0</v>
      </c>
      <c r="K300" s="474"/>
      <c r="L300" s="869"/>
      <c r="M300" s="473"/>
      <c r="N300" s="474"/>
      <c r="O300" s="474">
        <f t="shared" ref="O300" si="317">SUM(O301:O302)</f>
        <v>0</v>
      </c>
      <c r="P300" s="474"/>
      <c r="Q300" s="474"/>
      <c r="R300" s="473"/>
    </row>
    <row r="301" spans="1:18" ht="24" hidden="1" customHeight="1">
      <c r="A301" s="980">
        <v>7460</v>
      </c>
      <c r="B301" s="982" t="s">
        <v>162</v>
      </c>
      <c r="C301" s="983"/>
      <c r="D301" s="984"/>
      <c r="E301" s="985"/>
      <c r="F301" s="985"/>
      <c r="G301" s="985"/>
      <c r="H301" s="473"/>
      <c r="I301" s="985"/>
      <c r="J301" s="985"/>
      <c r="K301" s="985"/>
      <c r="L301" s="869"/>
      <c r="M301" s="473"/>
      <c r="N301" s="985"/>
      <c r="O301" s="985"/>
      <c r="P301" s="985"/>
      <c r="Q301" s="985"/>
      <c r="R301" s="473"/>
    </row>
    <row r="302" spans="1:18" ht="36" hidden="1" customHeight="1">
      <c r="A302" s="980">
        <v>7470</v>
      </c>
      <c r="B302" s="979" t="s">
        <v>167</v>
      </c>
      <c r="C302" s="983"/>
      <c r="D302" s="984"/>
      <c r="E302" s="985"/>
      <c r="F302" s="985"/>
      <c r="G302" s="985"/>
      <c r="H302" s="473"/>
      <c r="I302" s="985"/>
      <c r="J302" s="985"/>
      <c r="K302" s="985"/>
      <c r="L302" s="869"/>
      <c r="M302" s="473"/>
      <c r="N302" s="985"/>
      <c r="O302" s="985"/>
      <c r="P302" s="985"/>
      <c r="Q302" s="985"/>
      <c r="R302" s="473"/>
    </row>
    <row r="303" spans="1:18" ht="24" hidden="1" customHeight="1">
      <c r="A303" s="478">
        <v>7500</v>
      </c>
      <c r="B303" s="979" t="s">
        <v>157</v>
      </c>
      <c r="C303" s="973"/>
      <c r="D303" s="974"/>
      <c r="E303" s="474"/>
      <c r="F303" s="474"/>
      <c r="G303" s="474"/>
      <c r="H303" s="473"/>
      <c r="I303" s="474"/>
      <c r="J303" s="474"/>
      <c r="K303" s="474"/>
      <c r="L303" s="869"/>
      <c r="M303" s="473"/>
      <c r="N303" s="474"/>
      <c r="O303" s="474"/>
      <c r="P303" s="474"/>
      <c r="Q303" s="474"/>
      <c r="R303" s="473"/>
    </row>
    <row r="304" spans="1:18" ht="12">
      <c r="A304" s="478" t="s">
        <v>133</v>
      </c>
      <c r="B304" s="471" t="s">
        <v>122</v>
      </c>
      <c r="C304" s="969"/>
      <c r="D304" s="970"/>
      <c r="E304" s="474">
        <f t="shared" ref="E304" si="318">E305+E306</f>
        <v>-15000</v>
      </c>
      <c r="F304" s="474"/>
      <c r="G304" s="474"/>
      <c r="H304" s="473"/>
      <c r="I304" s="474"/>
      <c r="J304" s="474">
        <f t="shared" ref="J304" si="319">J305+J306</f>
        <v>-10000</v>
      </c>
      <c r="K304" s="474"/>
      <c r="L304" s="869"/>
      <c r="M304" s="473"/>
      <c r="N304" s="474"/>
      <c r="O304" s="474">
        <f t="shared" ref="O304" si="320">O305+O306</f>
        <v>0</v>
      </c>
      <c r="P304" s="474"/>
      <c r="Q304" s="971"/>
      <c r="R304" s="473"/>
    </row>
    <row r="305" spans="1:18" ht="12">
      <c r="A305" s="478">
        <v>5000</v>
      </c>
      <c r="B305" s="471" t="s">
        <v>123</v>
      </c>
      <c r="C305" s="973"/>
      <c r="D305" s="974"/>
      <c r="E305" s="474">
        <v>-15000</v>
      </c>
      <c r="F305" s="472"/>
      <c r="G305" s="472"/>
      <c r="H305" s="473"/>
      <c r="I305" s="474"/>
      <c r="J305" s="474">
        <v>-10000</v>
      </c>
      <c r="K305" s="472"/>
      <c r="L305" s="869"/>
      <c r="M305" s="473"/>
      <c r="N305" s="474"/>
      <c r="O305" s="474"/>
      <c r="P305" s="472"/>
      <c r="Q305" s="472"/>
      <c r="R305" s="473"/>
    </row>
    <row r="306" spans="1:18" ht="12" hidden="1" customHeight="1">
      <c r="A306" s="966">
        <v>9000</v>
      </c>
      <c r="B306" s="986" t="s">
        <v>164</v>
      </c>
      <c r="C306" s="973"/>
      <c r="D306" s="974"/>
      <c r="E306" s="474">
        <f t="shared" ref="E306" si="321">E307+E313+E317+E320</f>
        <v>0</v>
      </c>
      <c r="F306" s="474"/>
      <c r="G306" s="474"/>
      <c r="H306" s="473"/>
      <c r="I306" s="474"/>
      <c r="J306" s="474">
        <f t="shared" ref="J306" si="322">J307+J313+J317+J320</f>
        <v>0</v>
      </c>
      <c r="K306" s="474"/>
      <c r="L306" s="869"/>
      <c r="M306" s="473"/>
      <c r="N306" s="474"/>
      <c r="O306" s="474">
        <f t="shared" ref="O306" si="323">O307+O313+O317+O320</f>
        <v>0</v>
      </c>
      <c r="P306" s="474"/>
      <c r="Q306" s="474"/>
      <c r="R306" s="473"/>
    </row>
    <row r="307" spans="1:18" ht="12" hidden="1" customHeight="1">
      <c r="A307" s="987">
        <v>9100</v>
      </c>
      <c r="B307" s="988" t="s">
        <v>124</v>
      </c>
      <c r="C307" s="973"/>
      <c r="D307" s="974"/>
      <c r="E307" s="474">
        <f t="shared" ref="E307" si="324">SUM(E308:E309)</f>
        <v>0</v>
      </c>
      <c r="F307" s="474"/>
      <c r="G307" s="474"/>
      <c r="H307" s="473"/>
      <c r="I307" s="474"/>
      <c r="J307" s="474">
        <f t="shared" ref="J307" si="325">SUM(J308:J309)</f>
        <v>0</v>
      </c>
      <c r="K307" s="474"/>
      <c r="L307" s="869"/>
      <c r="M307" s="473"/>
      <c r="N307" s="474"/>
      <c r="O307" s="474">
        <f t="shared" ref="O307" si="326">SUM(O308:O309)</f>
        <v>0</v>
      </c>
      <c r="P307" s="474"/>
      <c r="Q307" s="474"/>
      <c r="R307" s="473"/>
    </row>
    <row r="308" spans="1:18" ht="24" hidden="1" customHeight="1">
      <c r="A308" s="989" t="s">
        <v>125</v>
      </c>
      <c r="B308" s="988" t="s">
        <v>214</v>
      </c>
      <c r="C308" s="973"/>
      <c r="D308" s="974"/>
      <c r="E308" s="474"/>
      <c r="F308" s="474"/>
      <c r="G308" s="474"/>
      <c r="H308" s="473"/>
      <c r="I308" s="474"/>
      <c r="J308" s="474"/>
      <c r="K308" s="474"/>
      <c r="L308" s="869"/>
      <c r="M308" s="473"/>
      <c r="N308" s="474"/>
      <c r="O308" s="474"/>
      <c r="P308" s="474"/>
      <c r="Q308" s="474"/>
      <c r="R308" s="473"/>
    </row>
    <row r="309" spans="1:18" ht="24" hidden="1" customHeight="1">
      <c r="A309" s="989">
        <v>9140</v>
      </c>
      <c r="B309" s="988" t="s">
        <v>215</v>
      </c>
      <c r="C309" s="973"/>
      <c r="D309" s="974"/>
      <c r="E309" s="474">
        <f t="shared" ref="E309" si="327">SUM(E310:E312)</f>
        <v>0</v>
      </c>
      <c r="F309" s="474"/>
      <c r="G309" s="474"/>
      <c r="H309" s="473"/>
      <c r="I309" s="474"/>
      <c r="J309" s="474">
        <f t="shared" ref="J309" si="328">SUM(J310:J312)</f>
        <v>0</v>
      </c>
      <c r="K309" s="474"/>
      <c r="L309" s="869"/>
      <c r="M309" s="473"/>
      <c r="N309" s="474"/>
      <c r="O309" s="474">
        <f t="shared" ref="O309" si="329">SUM(O310:O312)</f>
        <v>0</v>
      </c>
      <c r="P309" s="474"/>
      <c r="Q309" s="474"/>
      <c r="R309" s="473"/>
    </row>
    <row r="310" spans="1:18" ht="36" hidden="1" customHeight="1">
      <c r="A310" s="990">
        <v>9141</v>
      </c>
      <c r="B310" s="991" t="s">
        <v>190</v>
      </c>
      <c r="C310" s="983"/>
      <c r="D310" s="984"/>
      <c r="E310" s="985"/>
      <c r="F310" s="985"/>
      <c r="G310" s="985"/>
      <c r="H310" s="473"/>
      <c r="I310" s="985"/>
      <c r="J310" s="985"/>
      <c r="K310" s="985"/>
      <c r="L310" s="869"/>
      <c r="M310" s="473"/>
      <c r="N310" s="985"/>
      <c r="O310" s="985"/>
      <c r="P310" s="985"/>
      <c r="Q310" s="985"/>
      <c r="R310" s="473"/>
    </row>
    <row r="311" spans="1:18" ht="36" hidden="1" customHeight="1">
      <c r="A311" s="990">
        <v>9142</v>
      </c>
      <c r="B311" s="991" t="s">
        <v>191</v>
      </c>
      <c r="C311" s="983"/>
      <c r="D311" s="984"/>
      <c r="E311" s="985"/>
      <c r="F311" s="985"/>
      <c r="G311" s="985"/>
      <c r="H311" s="473"/>
      <c r="I311" s="985"/>
      <c r="J311" s="985"/>
      <c r="K311" s="985"/>
      <c r="L311" s="869"/>
      <c r="M311" s="473"/>
      <c r="N311" s="985"/>
      <c r="O311" s="985"/>
      <c r="P311" s="985"/>
      <c r="Q311" s="985"/>
      <c r="R311" s="473"/>
    </row>
    <row r="312" spans="1:18" ht="24" hidden="1" customHeight="1">
      <c r="A312" s="990">
        <v>9149</v>
      </c>
      <c r="B312" s="991" t="s">
        <v>192</v>
      </c>
      <c r="C312" s="983"/>
      <c r="D312" s="984"/>
      <c r="E312" s="985"/>
      <c r="F312" s="985"/>
      <c r="G312" s="985"/>
      <c r="H312" s="473"/>
      <c r="I312" s="985"/>
      <c r="J312" s="985"/>
      <c r="K312" s="985"/>
      <c r="L312" s="869"/>
      <c r="M312" s="473"/>
      <c r="N312" s="985"/>
      <c r="O312" s="985"/>
      <c r="P312" s="985"/>
      <c r="Q312" s="985"/>
      <c r="R312" s="473"/>
    </row>
    <row r="313" spans="1:18" ht="24" hidden="1" customHeight="1">
      <c r="A313" s="987">
        <v>9500</v>
      </c>
      <c r="B313" s="991" t="s">
        <v>165</v>
      </c>
      <c r="C313" s="973"/>
      <c r="D313" s="974"/>
      <c r="E313" s="474">
        <f t="shared" ref="E313" si="330">SUM(E314:E316)</f>
        <v>0</v>
      </c>
      <c r="F313" s="474"/>
      <c r="G313" s="474"/>
      <c r="H313" s="473"/>
      <c r="I313" s="474"/>
      <c r="J313" s="474">
        <f t="shared" ref="J313" si="331">SUM(J314:J316)</f>
        <v>0</v>
      </c>
      <c r="K313" s="474"/>
      <c r="L313" s="869"/>
      <c r="M313" s="473"/>
      <c r="N313" s="474"/>
      <c r="O313" s="474">
        <f t="shared" ref="O313" si="332">SUM(O314:O316)</f>
        <v>0</v>
      </c>
      <c r="P313" s="474"/>
      <c r="Q313" s="474"/>
      <c r="R313" s="473"/>
    </row>
    <row r="314" spans="1:18" ht="24" hidden="1" customHeight="1">
      <c r="A314" s="989" t="s">
        <v>193</v>
      </c>
      <c r="B314" s="991" t="s">
        <v>171</v>
      </c>
      <c r="C314" s="973"/>
      <c r="D314" s="974"/>
      <c r="E314" s="474"/>
      <c r="F314" s="474"/>
      <c r="G314" s="474"/>
      <c r="H314" s="473"/>
      <c r="I314" s="474"/>
      <c r="J314" s="474"/>
      <c r="K314" s="474"/>
      <c r="L314" s="869"/>
      <c r="M314" s="473"/>
      <c r="N314" s="474"/>
      <c r="O314" s="474"/>
      <c r="P314" s="474"/>
      <c r="Q314" s="474"/>
      <c r="R314" s="473"/>
    </row>
    <row r="315" spans="1:18" ht="48" hidden="1" customHeight="1">
      <c r="A315" s="989">
        <v>9580</v>
      </c>
      <c r="B315" s="991" t="s">
        <v>166</v>
      </c>
      <c r="C315" s="983"/>
      <c r="D315" s="984"/>
      <c r="E315" s="985"/>
      <c r="F315" s="985"/>
      <c r="G315" s="985"/>
      <c r="H315" s="473"/>
      <c r="I315" s="985"/>
      <c r="J315" s="985"/>
      <c r="K315" s="985"/>
      <c r="L315" s="869"/>
      <c r="M315" s="473"/>
      <c r="N315" s="985"/>
      <c r="O315" s="985"/>
      <c r="P315" s="985"/>
      <c r="Q315" s="985"/>
      <c r="R315" s="473"/>
    </row>
    <row r="316" spans="1:18" ht="36" hidden="1" customHeight="1">
      <c r="A316" s="989">
        <v>9590</v>
      </c>
      <c r="B316" s="988" t="s">
        <v>172</v>
      </c>
      <c r="C316" s="983"/>
      <c r="D316" s="984"/>
      <c r="E316" s="985"/>
      <c r="F316" s="985"/>
      <c r="G316" s="985"/>
      <c r="H316" s="473"/>
      <c r="I316" s="985"/>
      <c r="J316" s="985"/>
      <c r="K316" s="985"/>
      <c r="L316" s="869"/>
      <c r="M316" s="473"/>
      <c r="N316" s="985"/>
      <c r="O316" s="985"/>
      <c r="P316" s="985"/>
      <c r="Q316" s="985"/>
      <c r="R316" s="473"/>
    </row>
    <row r="317" spans="1:18" ht="24" hidden="1" customHeight="1">
      <c r="A317" s="987">
        <v>9700</v>
      </c>
      <c r="B317" s="992" t="s">
        <v>194</v>
      </c>
      <c r="C317" s="973"/>
      <c r="D317" s="974"/>
      <c r="E317" s="474">
        <f t="shared" ref="E317" si="333">SUM(E318:E319)</f>
        <v>0</v>
      </c>
      <c r="F317" s="474"/>
      <c r="G317" s="474"/>
      <c r="H317" s="473"/>
      <c r="I317" s="474"/>
      <c r="J317" s="474">
        <f t="shared" ref="J317" si="334">SUM(J318:J319)</f>
        <v>0</v>
      </c>
      <c r="K317" s="474"/>
      <c r="L317" s="869"/>
      <c r="M317" s="473"/>
      <c r="N317" s="474"/>
      <c r="O317" s="474">
        <f t="shared" ref="O317" si="335">SUM(O318:O319)</f>
        <v>0</v>
      </c>
      <c r="P317" s="474"/>
      <c r="Q317" s="474"/>
      <c r="R317" s="473"/>
    </row>
    <row r="318" spans="1:18" ht="24" hidden="1" customHeight="1">
      <c r="A318" s="989">
        <v>9710</v>
      </c>
      <c r="B318" s="993" t="s">
        <v>195</v>
      </c>
      <c r="C318" s="983"/>
      <c r="D318" s="984"/>
      <c r="E318" s="985"/>
      <c r="F318" s="985"/>
      <c r="G318" s="985"/>
      <c r="H318" s="473"/>
      <c r="I318" s="985"/>
      <c r="J318" s="985"/>
      <c r="K318" s="985"/>
      <c r="L318" s="869"/>
      <c r="M318" s="473"/>
      <c r="N318" s="985"/>
      <c r="O318" s="985"/>
      <c r="P318" s="985"/>
      <c r="Q318" s="985"/>
      <c r="R318" s="473"/>
    </row>
    <row r="319" spans="1:18" ht="36" hidden="1" customHeight="1">
      <c r="A319" s="994">
        <v>9720</v>
      </c>
      <c r="B319" s="992" t="s">
        <v>196</v>
      </c>
      <c r="C319" s="983"/>
      <c r="D319" s="984"/>
      <c r="E319" s="985"/>
      <c r="F319" s="985"/>
      <c r="G319" s="985"/>
      <c r="H319" s="473"/>
      <c r="I319" s="985"/>
      <c r="J319" s="985"/>
      <c r="K319" s="985"/>
      <c r="L319" s="869"/>
      <c r="M319" s="473"/>
      <c r="N319" s="985"/>
      <c r="O319" s="985"/>
      <c r="P319" s="985"/>
      <c r="Q319" s="985"/>
      <c r="R319" s="473"/>
    </row>
    <row r="320" spans="1:18" ht="24" hidden="1" customHeight="1">
      <c r="A320" s="987">
        <v>9600</v>
      </c>
      <c r="B320" s="988" t="s">
        <v>134</v>
      </c>
      <c r="C320" s="983"/>
      <c r="D320" s="984"/>
      <c r="E320" s="985"/>
      <c r="F320" s="985"/>
      <c r="G320" s="985"/>
      <c r="H320" s="473"/>
      <c r="I320" s="985"/>
      <c r="J320" s="985"/>
      <c r="K320" s="985"/>
      <c r="L320" s="869"/>
      <c r="M320" s="473"/>
      <c r="N320" s="985"/>
      <c r="O320" s="985"/>
      <c r="P320" s="985"/>
      <c r="Q320" s="985"/>
      <c r="R320" s="473"/>
    </row>
    <row r="321" spans="1:18" ht="30.6" hidden="1" customHeight="1">
      <c r="A321" s="965" t="s">
        <v>197</v>
      </c>
      <c r="B321" s="995" t="s">
        <v>47</v>
      </c>
      <c r="C321" s="996"/>
      <c r="D321" s="997"/>
      <c r="E321" s="998">
        <v>0</v>
      </c>
      <c r="F321" s="998"/>
      <c r="G321" s="998"/>
      <c r="H321" s="473"/>
      <c r="I321" s="998"/>
      <c r="J321" s="998"/>
      <c r="K321" s="998"/>
      <c r="L321" s="869"/>
      <c r="M321" s="473"/>
      <c r="N321" s="998"/>
      <c r="O321" s="998"/>
      <c r="P321" s="998"/>
      <c r="Q321" s="998"/>
      <c r="R321" s="473"/>
    </row>
    <row r="322" spans="1:18" ht="12" hidden="1" customHeight="1">
      <c r="A322" s="999" t="s">
        <v>48</v>
      </c>
      <c r="B322" s="995" t="s">
        <v>49</v>
      </c>
      <c r="C322" s="996"/>
      <c r="D322" s="997"/>
      <c r="E322" s="998">
        <f t="shared" ref="E322" si="336">E323+E326+E330+E329</f>
        <v>0</v>
      </c>
      <c r="F322" s="998"/>
      <c r="G322" s="998"/>
      <c r="H322" s="473"/>
      <c r="I322" s="998"/>
      <c r="J322" s="998">
        <f t="shared" ref="J322" si="337">J323+J326+J330+J329</f>
        <v>0</v>
      </c>
      <c r="K322" s="998"/>
      <c r="L322" s="869"/>
      <c r="M322" s="473"/>
      <c r="N322" s="998"/>
      <c r="O322" s="998">
        <f t="shared" ref="O322" si="338">O323+O326+O330+O329</f>
        <v>0</v>
      </c>
      <c r="P322" s="998"/>
      <c r="Q322" s="998"/>
      <c r="R322" s="473"/>
    </row>
    <row r="323" spans="1:18" ht="12" hidden="1" customHeight="1">
      <c r="A323" s="987" t="s">
        <v>50</v>
      </c>
      <c r="B323" s="988" t="s">
        <v>51</v>
      </c>
      <c r="C323" s="1000"/>
      <c r="D323" s="1001"/>
      <c r="E323" s="1002">
        <f t="shared" ref="E323" si="339">E324+E325</f>
        <v>0</v>
      </c>
      <c r="F323" s="1002"/>
      <c r="G323" s="1002"/>
      <c r="H323" s="473"/>
      <c r="I323" s="1002"/>
      <c r="J323" s="1002">
        <f t="shared" ref="J323" si="340">J324+J325</f>
        <v>0</v>
      </c>
      <c r="K323" s="1002"/>
      <c r="L323" s="869"/>
      <c r="M323" s="473"/>
      <c r="N323" s="1002"/>
      <c r="O323" s="1002">
        <f t="shared" ref="O323" si="341">O324+O325</f>
        <v>0</v>
      </c>
      <c r="P323" s="1002"/>
      <c r="Q323" s="1002"/>
      <c r="R323" s="473"/>
    </row>
    <row r="324" spans="1:18" ht="12" hidden="1" customHeight="1">
      <c r="A324" s="987" t="s">
        <v>52</v>
      </c>
      <c r="B324" s="988" t="s">
        <v>53</v>
      </c>
      <c r="C324" s="1000"/>
      <c r="D324" s="1001"/>
      <c r="E324" s="1002"/>
      <c r="F324" s="1002"/>
      <c r="G324" s="1002"/>
      <c r="H324" s="473"/>
      <c r="I324" s="1002"/>
      <c r="J324" s="1002"/>
      <c r="K324" s="1002"/>
      <c r="L324" s="869"/>
      <c r="M324" s="473"/>
      <c r="N324" s="1002"/>
      <c r="O324" s="1002"/>
      <c r="P324" s="1002"/>
      <c r="Q324" s="1002"/>
      <c r="R324" s="473"/>
    </row>
    <row r="325" spans="1:18" ht="12" hidden="1" customHeight="1">
      <c r="A325" s="987" t="s">
        <v>54</v>
      </c>
      <c r="B325" s="988" t="s">
        <v>55</v>
      </c>
      <c r="C325" s="1000"/>
      <c r="D325" s="1001"/>
      <c r="E325" s="1002"/>
      <c r="F325" s="1002"/>
      <c r="G325" s="1002"/>
      <c r="H325" s="473"/>
      <c r="I325" s="1002"/>
      <c r="J325" s="1002"/>
      <c r="K325" s="1002"/>
      <c r="L325" s="869"/>
      <c r="M325" s="473"/>
      <c r="N325" s="1002"/>
      <c r="O325" s="1002"/>
      <c r="P325" s="1002"/>
      <c r="Q325" s="1002"/>
      <c r="R325" s="473"/>
    </row>
    <row r="326" spans="1:18" ht="12" hidden="1" customHeight="1">
      <c r="A326" s="987" t="s">
        <v>56</v>
      </c>
      <c r="B326" s="988" t="s">
        <v>57</v>
      </c>
      <c r="C326" s="1000"/>
      <c r="D326" s="1001"/>
      <c r="E326" s="1002">
        <f t="shared" ref="E326" si="342">E327+E328</f>
        <v>0</v>
      </c>
      <c r="F326" s="1002"/>
      <c r="G326" s="1002"/>
      <c r="H326" s="473"/>
      <c r="I326" s="1002"/>
      <c r="J326" s="1002">
        <f t="shared" ref="J326" si="343">J327+J328</f>
        <v>0</v>
      </c>
      <c r="K326" s="1002"/>
      <c r="L326" s="869"/>
      <c r="M326" s="473"/>
      <c r="N326" s="1002"/>
      <c r="O326" s="1002">
        <f t="shared" ref="O326" si="344">O327+O328</f>
        <v>0</v>
      </c>
      <c r="P326" s="1002"/>
      <c r="Q326" s="1002"/>
      <c r="R326" s="473"/>
    </row>
    <row r="327" spans="1:18" ht="12" hidden="1" customHeight="1">
      <c r="A327" s="987" t="s">
        <v>58</v>
      </c>
      <c r="B327" s="988" t="s">
        <v>59</v>
      </c>
      <c r="C327" s="1000"/>
      <c r="D327" s="1001"/>
      <c r="E327" s="1002"/>
      <c r="F327" s="1002"/>
      <c r="G327" s="1002"/>
      <c r="H327" s="473"/>
      <c r="I327" s="1002"/>
      <c r="J327" s="1002"/>
      <c r="K327" s="1002"/>
      <c r="L327" s="869"/>
      <c r="M327" s="473"/>
      <c r="N327" s="1002"/>
      <c r="O327" s="1002"/>
      <c r="P327" s="1002"/>
      <c r="Q327" s="1002"/>
      <c r="R327" s="473"/>
    </row>
    <row r="328" spans="1:18" ht="12" hidden="1" customHeight="1">
      <c r="A328" s="987" t="s">
        <v>60</v>
      </c>
      <c r="B328" s="988" t="s">
        <v>61</v>
      </c>
      <c r="C328" s="1000"/>
      <c r="D328" s="1001"/>
      <c r="E328" s="1002"/>
      <c r="F328" s="1002"/>
      <c r="G328" s="1002"/>
      <c r="H328" s="473"/>
      <c r="I328" s="1002"/>
      <c r="J328" s="1002"/>
      <c r="K328" s="1002"/>
      <c r="L328" s="869"/>
      <c r="M328" s="473"/>
      <c r="N328" s="1002"/>
      <c r="O328" s="1002"/>
      <c r="P328" s="1002"/>
      <c r="Q328" s="1002"/>
      <c r="R328" s="473"/>
    </row>
    <row r="329" spans="1:18" ht="12" hidden="1" customHeight="1">
      <c r="A329" s="987" t="s">
        <v>198</v>
      </c>
      <c r="B329" s="1003" t="s">
        <v>168</v>
      </c>
      <c r="C329" s="1000"/>
      <c r="D329" s="1001"/>
      <c r="E329" s="1002"/>
      <c r="F329" s="1002"/>
      <c r="G329" s="1002"/>
      <c r="H329" s="473"/>
      <c r="I329" s="1002"/>
      <c r="J329" s="1002"/>
      <c r="K329" s="1002"/>
      <c r="L329" s="869"/>
      <c r="M329" s="473"/>
      <c r="N329" s="1002"/>
      <c r="O329" s="1002"/>
      <c r="P329" s="1002"/>
      <c r="Q329" s="1002"/>
      <c r="R329" s="473"/>
    </row>
    <row r="330" spans="1:18" ht="12" hidden="1" customHeight="1">
      <c r="A330" s="1004" t="s">
        <v>62</v>
      </c>
      <c r="B330" s="768" t="s">
        <v>63</v>
      </c>
      <c r="C330" s="973"/>
      <c r="D330" s="974"/>
      <c r="E330" s="474">
        <v>0</v>
      </c>
      <c r="F330" s="474"/>
      <c r="G330" s="474"/>
      <c r="H330" s="473"/>
      <c r="I330" s="474"/>
      <c r="J330" s="474"/>
      <c r="K330" s="474"/>
      <c r="L330" s="869"/>
      <c r="M330" s="473"/>
      <c r="N330" s="474"/>
      <c r="O330" s="474">
        <f t="shared" ref="O330" si="345">O331+O332+O333</f>
        <v>0</v>
      </c>
      <c r="P330" s="474"/>
      <c r="Q330" s="474"/>
      <c r="R330" s="473"/>
    </row>
    <row r="331" spans="1:18" ht="36" hidden="1" customHeight="1">
      <c r="A331" s="1004" t="s">
        <v>64</v>
      </c>
      <c r="B331" s="988" t="s">
        <v>65</v>
      </c>
      <c r="C331" s="1000"/>
      <c r="D331" s="1001"/>
      <c r="E331" s="1002"/>
      <c r="F331" s="1002"/>
      <c r="G331" s="1002"/>
      <c r="H331" s="473"/>
      <c r="I331" s="1002"/>
      <c r="J331" s="1002"/>
      <c r="K331" s="1002"/>
      <c r="L331" s="869"/>
      <c r="M331" s="473"/>
      <c r="N331" s="1002"/>
      <c r="O331" s="1002"/>
      <c r="P331" s="1002"/>
      <c r="Q331" s="1002"/>
      <c r="R331" s="473"/>
    </row>
    <row r="332" spans="1:18" ht="24" hidden="1" customHeight="1">
      <c r="A332" s="1004" t="s">
        <v>66</v>
      </c>
      <c r="B332" s="988" t="s">
        <v>67</v>
      </c>
      <c r="C332" s="1000"/>
      <c r="D332" s="1001"/>
      <c r="E332" s="1002"/>
      <c r="F332" s="1002"/>
      <c r="G332" s="1002"/>
      <c r="H332" s="473"/>
      <c r="I332" s="1002"/>
      <c r="J332" s="1002"/>
      <c r="K332" s="1002"/>
      <c r="L332" s="869"/>
      <c r="M332" s="473"/>
      <c r="N332" s="1002"/>
      <c r="O332" s="1002"/>
      <c r="P332" s="1002"/>
      <c r="Q332" s="1002"/>
      <c r="R332" s="473"/>
    </row>
    <row r="333" spans="1:18" ht="66">
      <c r="A333" s="889" t="s">
        <v>253</v>
      </c>
      <c r="B333" s="1005" t="s">
        <v>1020</v>
      </c>
      <c r="C333" s="469"/>
      <c r="D333" s="470"/>
      <c r="E333" s="1006"/>
      <c r="F333" s="1007"/>
      <c r="G333" s="1007"/>
      <c r="H333" s="1007"/>
      <c r="I333" s="1007"/>
      <c r="J333" s="1006"/>
      <c r="K333" s="1007"/>
      <c r="L333" s="869"/>
      <c r="M333" s="1007"/>
      <c r="N333" s="1007"/>
      <c r="O333" s="1006"/>
      <c r="P333" s="470"/>
      <c r="Q333" s="470"/>
      <c r="R333" s="470"/>
    </row>
    <row r="334" spans="1:18" ht="11.4">
      <c r="A334" s="965" t="s">
        <v>100</v>
      </c>
      <c r="B334" s="1008" t="s">
        <v>101</v>
      </c>
      <c r="C334" s="969"/>
      <c r="D334" s="970"/>
      <c r="E334" s="971">
        <f t="shared" ref="E334" si="346">E335+E362</f>
        <v>-2637375</v>
      </c>
      <c r="F334" s="971"/>
      <c r="G334" s="971"/>
      <c r="H334" s="972"/>
      <c r="I334" s="971"/>
      <c r="J334" s="971">
        <f t="shared" ref="J334" si="347">J335+J362</f>
        <v>8526349</v>
      </c>
      <c r="K334" s="971"/>
      <c r="L334" s="869"/>
      <c r="M334" s="972"/>
      <c r="N334" s="971"/>
      <c r="O334" s="971"/>
      <c r="P334" s="971"/>
      <c r="Q334" s="971"/>
      <c r="R334" s="969"/>
    </row>
    <row r="335" spans="1:18" ht="20.399999999999999">
      <c r="A335" s="965" t="s">
        <v>102</v>
      </c>
      <c r="B335" s="1008" t="s">
        <v>103</v>
      </c>
      <c r="C335" s="973"/>
      <c r="D335" s="974"/>
      <c r="E335" s="474">
        <f t="shared" ref="E335" si="348">E336+E340+E341+E344+E347</f>
        <v>-2637375</v>
      </c>
      <c r="F335" s="474"/>
      <c r="G335" s="474"/>
      <c r="H335" s="473"/>
      <c r="I335" s="474"/>
      <c r="J335" s="474">
        <f t="shared" ref="J335" si="349">J336+J340+J341+J344+J347</f>
        <v>8526349</v>
      </c>
      <c r="K335" s="474"/>
      <c r="L335" s="869"/>
      <c r="M335" s="473"/>
      <c r="N335" s="474"/>
      <c r="O335" s="474"/>
      <c r="P335" s="474"/>
      <c r="Q335" s="474"/>
      <c r="R335" s="473"/>
    </row>
    <row r="336" spans="1:18" ht="12" hidden="1" customHeight="1">
      <c r="A336" s="965" t="s">
        <v>104</v>
      </c>
      <c r="B336" s="1008" t="s">
        <v>105</v>
      </c>
      <c r="C336" s="973"/>
      <c r="D336" s="974"/>
      <c r="E336" s="474">
        <f t="shared" ref="E336" si="350">E337+E339</f>
        <v>0</v>
      </c>
      <c r="F336" s="474"/>
      <c r="G336" s="474"/>
      <c r="H336" s="473"/>
      <c r="I336" s="474"/>
      <c r="J336" s="474">
        <f t="shared" ref="J336" si="351">J337+J339</f>
        <v>0</v>
      </c>
      <c r="K336" s="474"/>
      <c r="L336" s="869"/>
      <c r="M336" s="473"/>
      <c r="N336" s="474"/>
      <c r="O336" s="474"/>
      <c r="P336" s="474"/>
      <c r="Q336" s="474"/>
      <c r="R336" s="473"/>
    </row>
    <row r="337" spans="1:18" ht="12" hidden="1" customHeight="1">
      <c r="A337" s="767">
        <v>1000</v>
      </c>
      <c r="B337" s="768" t="s">
        <v>106</v>
      </c>
      <c r="C337" s="973"/>
      <c r="D337" s="974"/>
      <c r="E337" s="474"/>
      <c r="F337" s="472"/>
      <c r="G337" s="472"/>
      <c r="H337" s="473"/>
      <c r="I337" s="474"/>
      <c r="J337" s="474"/>
      <c r="K337" s="472"/>
      <c r="L337" s="869"/>
      <c r="M337" s="473"/>
      <c r="N337" s="474"/>
      <c r="O337" s="474"/>
      <c r="P337" s="472"/>
      <c r="Q337" s="472"/>
      <c r="R337" s="473"/>
    </row>
    <row r="338" spans="1:18" ht="12" hidden="1" customHeight="1">
      <c r="A338" s="891">
        <v>1100</v>
      </c>
      <c r="B338" s="768" t="s">
        <v>107</v>
      </c>
      <c r="C338" s="973"/>
      <c r="D338" s="974"/>
      <c r="E338" s="474"/>
      <c r="F338" s="472"/>
      <c r="G338" s="472"/>
      <c r="H338" s="473"/>
      <c r="I338" s="474"/>
      <c r="J338" s="474"/>
      <c r="K338" s="472"/>
      <c r="L338" s="869"/>
      <c r="M338" s="473"/>
      <c r="N338" s="474"/>
      <c r="O338" s="474"/>
      <c r="P338" s="472"/>
      <c r="Q338" s="472"/>
      <c r="R338" s="473"/>
    </row>
    <row r="339" spans="1:18" ht="12" hidden="1" customHeight="1">
      <c r="A339" s="767">
        <v>2000</v>
      </c>
      <c r="B339" s="768" t="s">
        <v>108</v>
      </c>
      <c r="C339" s="973"/>
      <c r="D339" s="974"/>
      <c r="E339" s="474"/>
      <c r="F339" s="472"/>
      <c r="G339" s="472"/>
      <c r="H339" s="473"/>
      <c r="I339" s="474"/>
      <c r="J339" s="474"/>
      <c r="K339" s="472"/>
      <c r="L339" s="869"/>
      <c r="M339" s="473"/>
      <c r="N339" s="474"/>
      <c r="O339" s="474"/>
      <c r="P339" s="472"/>
      <c r="Q339" s="472"/>
      <c r="R339" s="473"/>
    </row>
    <row r="340" spans="1:18" ht="12" hidden="1" customHeight="1">
      <c r="A340" s="966">
        <v>4000</v>
      </c>
      <c r="B340" s="1008" t="s">
        <v>132</v>
      </c>
      <c r="C340" s="973"/>
      <c r="D340" s="975"/>
      <c r="E340" s="472"/>
      <c r="F340" s="472"/>
      <c r="G340" s="472"/>
      <c r="H340" s="473"/>
      <c r="I340" s="474"/>
      <c r="J340" s="472"/>
      <c r="K340" s="472"/>
      <c r="L340" s="869"/>
      <c r="M340" s="473"/>
      <c r="N340" s="474"/>
      <c r="O340" s="472"/>
      <c r="P340" s="472"/>
      <c r="Q340" s="472"/>
      <c r="R340" s="473"/>
    </row>
    <row r="341" spans="1:18" ht="12">
      <c r="A341" s="966" t="s">
        <v>109</v>
      </c>
      <c r="B341" s="1008" t="s">
        <v>110</v>
      </c>
      <c r="C341" s="973"/>
      <c r="D341" s="974"/>
      <c r="E341" s="474">
        <f t="shared" ref="E341" si="352">E342+E343</f>
        <v>1999920</v>
      </c>
      <c r="F341" s="474"/>
      <c r="G341" s="474"/>
      <c r="H341" s="473"/>
      <c r="I341" s="474"/>
      <c r="J341" s="474">
        <f t="shared" ref="J341" si="353">J342+J343</f>
        <v>8526349</v>
      </c>
      <c r="K341" s="474"/>
      <c r="L341" s="869"/>
      <c r="M341" s="473"/>
      <c r="N341" s="474"/>
      <c r="O341" s="474"/>
      <c r="P341" s="474"/>
      <c r="Q341" s="474"/>
      <c r="R341" s="473"/>
    </row>
    <row r="342" spans="1:18" ht="12">
      <c r="A342" s="767">
        <v>3000</v>
      </c>
      <c r="B342" s="768" t="s">
        <v>111</v>
      </c>
      <c r="C342" s="976"/>
      <c r="D342" s="976"/>
      <c r="E342" s="977">
        <v>1999920</v>
      </c>
      <c r="F342" s="978"/>
      <c r="G342" s="978"/>
      <c r="H342" s="473"/>
      <c r="I342" s="977"/>
      <c r="J342" s="977">
        <v>8526349</v>
      </c>
      <c r="K342" s="978"/>
      <c r="L342" s="869"/>
      <c r="M342" s="473"/>
      <c r="N342" s="977"/>
      <c r="O342" s="977"/>
      <c r="P342" s="978"/>
      <c r="Q342" s="978"/>
      <c r="R342" s="473"/>
    </row>
    <row r="343" spans="1:18" ht="12" hidden="1" customHeight="1">
      <c r="A343" s="767">
        <v>6000</v>
      </c>
      <c r="B343" s="768" t="s">
        <v>112</v>
      </c>
      <c r="C343" s="973"/>
      <c r="D343" s="975"/>
      <c r="E343" s="472"/>
      <c r="F343" s="472"/>
      <c r="G343" s="472"/>
      <c r="H343" s="473"/>
      <c r="I343" s="474"/>
      <c r="J343" s="472"/>
      <c r="K343" s="472"/>
      <c r="L343" s="869"/>
      <c r="M343" s="473"/>
      <c r="N343" s="474"/>
      <c r="O343" s="472"/>
      <c r="P343" s="472"/>
      <c r="Q343" s="472"/>
      <c r="R343" s="473"/>
    </row>
    <row r="344" spans="1:18" ht="22.8" hidden="1" customHeight="1">
      <c r="A344" s="966" t="s">
        <v>113</v>
      </c>
      <c r="B344" s="1008" t="s">
        <v>183</v>
      </c>
      <c r="C344" s="973"/>
      <c r="D344" s="974"/>
      <c r="E344" s="474">
        <f t="shared" ref="E344" si="354">E345+E346</f>
        <v>0</v>
      </c>
      <c r="F344" s="474"/>
      <c r="G344" s="474"/>
      <c r="H344" s="473"/>
      <c r="I344" s="474"/>
      <c r="J344" s="474">
        <f t="shared" ref="J344" si="355">J345+J346</f>
        <v>0</v>
      </c>
      <c r="K344" s="474"/>
      <c r="L344" s="869"/>
      <c r="M344" s="473"/>
      <c r="N344" s="474"/>
      <c r="O344" s="474"/>
      <c r="P344" s="474"/>
      <c r="Q344" s="474"/>
      <c r="R344" s="473"/>
    </row>
    <row r="345" spans="1:18" ht="12" hidden="1" customHeight="1">
      <c r="A345" s="767">
        <v>7600</v>
      </c>
      <c r="B345" s="988" t="s">
        <v>184</v>
      </c>
      <c r="C345" s="973"/>
      <c r="D345" s="975"/>
      <c r="E345" s="472"/>
      <c r="F345" s="472"/>
      <c r="G345" s="472"/>
      <c r="H345" s="473"/>
      <c r="I345" s="474"/>
      <c r="J345" s="472"/>
      <c r="K345" s="472"/>
      <c r="L345" s="869"/>
      <c r="M345" s="473"/>
      <c r="N345" s="474"/>
      <c r="O345" s="472"/>
      <c r="P345" s="472"/>
      <c r="Q345" s="472"/>
      <c r="R345" s="473"/>
    </row>
    <row r="346" spans="1:18" ht="12" hidden="1" customHeight="1">
      <c r="A346" s="767">
        <v>7700</v>
      </c>
      <c r="B346" s="1009" t="s">
        <v>114</v>
      </c>
      <c r="C346" s="974"/>
      <c r="D346" s="974"/>
      <c r="E346" s="474"/>
      <c r="F346" s="472"/>
      <c r="G346" s="472"/>
      <c r="H346" s="473"/>
      <c r="I346" s="474"/>
      <c r="J346" s="474"/>
      <c r="K346" s="472"/>
      <c r="L346" s="869"/>
      <c r="M346" s="473"/>
      <c r="N346" s="474"/>
      <c r="O346" s="474"/>
      <c r="P346" s="472"/>
      <c r="Q346" s="472"/>
      <c r="R346" s="473"/>
    </row>
    <row r="347" spans="1:18" ht="20.399999999999999">
      <c r="A347" s="966" t="s">
        <v>185</v>
      </c>
      <c r="B347" s="1008" t="s">
        <v>115</v>
      </c>
      <c r="C347" s="973"/>
      <c r="D347" s="974"/>
      <c r="E347" s="474">
        <f t="shared" ref="E347" si="356">E348+E354+E358+E361</f>
        <v>-4637295</v>
      </c>
      <c r="F347" s="474"/>
      <c r="G347" s="474"/>
      <c r="H347" s="473"/>
      <c r="I347" s="474"/>
      <c r="J347" s="474">
        <f t="shared" ref="J347" si="357">J348+J354+J358+J361</f>
        <v>0</v>
      </c>
      <c r="K347" s="474"/>
      <c r="L347" s="869"/>
      <c r="M347" s="473"/>
      <c r="N347" s="474"/>
      <c r="O347" s="474"/>
      <c r="P347" s="474"/>
      <c r="Q347" s="474"/>
      <c r="R347" s="473"/>
    </row>
    <row r="348" spans="1:18" ht="12" hidden="1" customHeight="1">
      <c r="A348" s="767">
        <v>7100</v>
      </c>
      <c r="B348" s="988" t="s">
        <v>116</v>
      </c>
      <c r="C348" s="973"/>
      <c r="D348" s="974"/>
      <c r="E348" s="474">
        <f t="shared" ref="E348" si="358">E349+E350</f>
        <v>0</v>
      </c>
      <c r="F348" s="474"/>
      <c r="G348" s="474"/>
      <c r="H348" s="473"/>
      <c r="I348" s="474"/>
      <c r="J348" s="474">
        <f t="shared" ref="J348" si="359">J349+J350</f>
        <v>0</v>
      </c>
      <c r="K348" s="474"/>
      <c r="L348" s="869"/>
      <c r="M348" s="473"/>
      <c r="N348" s="474"/>
      <c r="O348" s="474"/>
      <c r="P348" s="474"/>
      <c r="Q348" s="474"/>
      <c r="R348" s="473"/>
    </row>
    <row r="349" spans="1:18" ht="24" hidden="1" customHeight="1">
      <c r="A349" s="989" t="s">
        <v>117</v>
      </c>
      <c r="B349" s="988" t="s">
        <v>118</v>
      </c>
      <c r="C349" s="973"/>
      <c r="D349" s="974"/>
      <c r="E349" s="474"/>
      <c r="F349" s="474"/>
      <c r="G349" s="474"/>
      <c r="H349" s="473"/>
      <c r="I349" s="474"/>
      <c r="J349" s="474"/>
      <c r="K349" s="474"/>
      <c r="L349" s="869"/>
      <c r="M349" s="473"/>
      <c r="N349" s="474"/>
      <c r="O349" s="474"/>
      <c r="P349" s="474"/>
      <c r="Q349" s="474"/>
      <c r="R349" s="473"/>
    </row>
    <row r="350" spans="1:18" ht="24" hidden="1" customHeight="1">
      <c r="A350" s="989">
        <v>7130</v>
      </c>
      <c r="B350" s="988" t="s">
        <v>119</v>
      </c>
      <c r="C350" s="973"/>
      <c r="D350" s="974"/>
      <c r="E350" s="474">
        <f t="shared" ref="E350" si="360">SUM(E351:E353)</f>
        <v>0</v>
      </c>
      <c r="F350" s="474"/>
      <c r="G350" s="474"/>
      <c r="H350" s="473"/>
      <c r="I350" s="474"/>
      <c r="J350" s="474">
        <f t="shared" ref="J350" si="361">SUM(J351:J353)</f>
        <v>0</v>
      </c>
      <c r="K350" s="474"/>
      <c r="L350" s="869"/>
      <c r="M350" s="473"/>
      <c r="N350" s="474"/>
      <c r="O350" s="474"/>
      <c r="P350" s="474"/>
      <c r="Q350" s="474"/>
      <c r="R350" s="473"/>
    </row>
    <row r="351" spans="1:18" ht="36" hidden="1" customHeight="1">
      <c r="A351" s="990">
        <v>7131</v>
      </c>
      <c r="B351" s="988" t="s">
        <v>120</v>
      </c>
      <c r="C351" s="973"/>
      <c r="D351" s="974"/>
      <c r="E351" s="474"/>
      <c r="F351" s="474"/>
      <c r="G351" s="474"/>
      <c r="H351" s="473"/>
      <c r="I351" s="474"/>
      <c r="J351" s="474"/>
      <c r="K351" s="474"/>
      <c r="L351" s="869"/>
      <c r="M351" s="473"/>
      <c r="N351" s="474"/>
      <c r="O351" s="474"/>
      <c r="P351" s="474"/>
      <c r="Q351" s="474"/>
      <c r="R351" s="473"/>
    </row>
    <row r="352" spans="1:18" ht="36" hidden="1" customHeight="1">
      <c r="A352" s="990">
        <v>7132</v>
      </c>
      <c r="B352" s="988" t="s">
        <v>121</v>
      </c>
      <c r="C352" s="973"/>
      <c r="D352" s="974"/>
      <c r="E352" s="474"/>
      <c r="F352" s="474"/>
      <c r="G352" s="474"/>
      <c r="H352" s="473"/>
      <c r="I352" s="474"/>
      <c r="J352" s="474"/>
      <c r="K352" s="474"/>
      <c r="L352" s="869"/>
      <c r="M352" s="473"/>
      <c r="N352" s="474"/>
      <c r="O352" s="474"/>
      <c r="P352" s="474"/>
      <c r="Q352" s="474"/>
      <c r="R352" s="473"/>
    </row>
    <row r="353" spans="1:18" ht="24" hidden="1" customHeight="1">
      <c r="A353" s="990" t="s">
        <v>186</v>
      </c>
      <c r="B353" s="988" t="s">
        <v>187</v>
      </c>
      <c r="C353" s="973"/>
      <c r="D353" s="974"/>
      <c r="E353" s="474"/>
      <c r="F353" s="474"/>
      <c r="G353" s="474"/>
      <c r="H353" s="473"/>
      <c r="I353" s="474"/>
      <c r="J353" s="474"/>
      <c r="K353" s="474"/>
      <c r="L353" s="869"/>
      <c r="M353" s="473"/>
      <c r="N353" s="474"/>
      <c r="O353" s="474"/>
      <c r="P353" s="474"/>
      <c r="Q353" s="474"/>
      <c r="R353" s="473"/>
    </row>
    <row r="354" spans="1:18" ht="24">
      <c r="A354" s="767">
        <v>7300</v>
      </c>
      <c r="B354" s="991" t="s">
        <v>155</v>
      </c>
      <c r="C354" s="973"/>
      <c r="D354" s="974"/>
      <c r="E354" s="474">
        <f t="shared" ref="E354" si="362">SUM(E355:E357)</f>
        <v>-4637295</v>
      </c>
      <c r="F354" s="474"/>
      <c r="G354" s="474"/>
      <c r="H354" s="473"/>
      <c r="I354" s="474"/>
      <c r="J354" s="474">
        <f t="shared" ref="J354" si="363">SUM(J355:J357)</f>
        <v>0</v>
      </c>
      <c r="K354" s="474"/>
      <c r="L354" s="869"/>
      <c r="M354" s="473"/>
      <c r="N354" s="474"/>
      <c r="O354" s="474"/>
      <c r="P354" s="474"/>
      <c r="Q354" s="474"/>
      <c r="R354" s="473"/>
    </row>
    <row r="355" spans="1:18" ht="24">
      <c r="A355" s="989" t="s">
        <v>188</v>
      </c>
      <c r="B355" s="988" t="s">
        <v>170</v>
      </c>
      <c r="C355" s="983"/>
      <c r="D355" s="984"/>
      <c r="E355" s="985">
        <v>-3716212</v>
      </c>
      <c r="F355" s="985"/>
      <c r="G355" s="985"/>
      <c r="H355" s="473"/>
      <c r="I355" s="985"/>
      <c r="J355" s="985"/>
      <c r="K355" s="985"/>
      <c r="L355" s="985"/>
      <c r="M355" s="473"/>
      <c r="N355" s="985"/>
      <c r="O355" s="985"/>
      <c r="P355" s="985"/>
      <c r="Q355" s="985"/>
      <c r="R355" s="473"/>
    </row>
    <row r="356" spans="1:18" ht="48" hidden="1" customHeight="1">
      <c r="A356" s="989" t="s">
        <v>189</v>
      </c>
      <c r="B356" s="988" t="s">
        <v>156</v>
      </c>
      <c r="C356" s="983"/>
      <c r="D356" s="984"/>
      <c r="E356" s="985"/>
      <c r="F356" s="985"/>
      <c r="G356" s="985"/>
      <c r="H356" s="473"/>
      <c r="I356" s="985"/>
      <c r="J356" s="985"/>
      <c r="K356" s="985"/>
      <c r="L356" s="985"/>
      <c r="M356" s="473"/>
      <c r="N356" s="985"/>
      <c r="O356" s="985"/>
      <c r="P356" s="985"/>
      <c r="Q356" s="985"/>
      <c r="R356" s="473"/>
    </row>
    <row r="357" spans="1:18" ht="36">
      <c r="A357" s="989">
        <v>7350</v>
      </c>
      <c r="B357" s="988" t="s">
        <v>163</v>
      </c>
      <c r="C357" s="983"/>
      <c r="D357" s="984"/>
      <c r="E357" s="985">
        <v>-921083</v>
      </c>
      <c r="F357" s="985"/>
      <c r="G357" s="985"/>
      <c r="H357" s="473"/>
      <c r="I357" s="985"/>
      <c r="J357" s="985"/>
      <c r="K357" s="985"/>
      <c r="L357" s="985"/>
      <c r="M357" s="473"/>
      <c r="N357" s="985"/>
      <c r="O357" s="985"/>
      <c r="P357" s="985"/>
      <c r="Q357" s="985"/>
      <c r="R357" s="473"/>
    </row>
    <row r="358" spans="1:18" ht="12" hidden="1" customHeight="1">
      <c r="A358" s="767"/>
      <c r="B358" s="967"/>
      <c r="C358" s="165"/>
      <c r="D358" s="163"/>
      <c r="E358" s="165"/>
      <c r="F358" s="163"/>
      <c r="G358" s="219"/>
      <c r="H358" s="163"/>
      <c r="I358" s="219"/>
      <c r="J358" s="165"/>
      <c r="K358" s="163"/>
      <c r="L358" s="163"/>
      <c r="M358" s="219"/>
      <c r="N358" s="163"/>
      <c r="O358" s="165"/>
      <c r="P358" s="163"/>
      <c r="Q358" s="219"/>
      <c r="R358" s="163"/>
    </row>
    <row r="359" spans="1:18" ht="12" hidden="1" customHeight="1">
      <c r="A359" s="767"/>
      <c r="B359" s="967"/>
      <c r="C359" s="165"/>
      <c r="D359" s="163"/>
      <c r="E359" s="165"/>
      <c r="F359" s="163"/>
      <c r="G359" s="219"/>
      <c r="H359" s="163"/>
      <c r="I359" s="219"/>
      <c r="J359" s="165"/>
      <c r="K359" s="163"/>
      <c r="L359" s="163"/>
      <c r="M359" s="219"/>
      <c r="N359" s="163"/>
      <c r="O359" s="165"/>
      <c r="P359" s="163"/>
      <c r="Q359" s="219"/>
      <c r="R359" s="163"/>
    </row>
    <row r="360" spans="1:18" ht="12" hidden="1" customHeight="1">
      <c r="A360" s="767"/>
      <c r="B360" s="967"/>
      <c r="C360" s="165"/>
      <c r="D360" s="163"/>
      <c r="E360" s="165"/>
      <c r="F360" s="163"/>
      <c r="G360" s="219"/>
      <c r="H360" s="163"/>
      <c r="I360" s="219"/>
      <c r="J360" s="165"/>
      <c r="K360" s="163"/>
      <c r="L360" s="163"/>
      <c r="M360" s="219"/>
      <c r="N360" s="163"/>
      <c r="O360" s="165"/>
      <c r="P360" s="163"/>
      <c r="Q360" s="219"/>
      <c r="R360" s="163"/>
    </row>
    <row r="361" spans="1:18" ht="12" hidden="1" customHeight="1">
      <c r="A361" s="767"/>
      <c r="B361" s="967"/>
      <c r="C361" s="165"/>
      <c r="D361" s="163"/>
      <c r="E361" s="165"/>
      <c r="F361" s="163"/>
      <c r="G361" s="219"/>
      <c r="H361" s="163"/>
      <c r="I361" s="219"/>
      <c r="J361" s="165"/>
      <c r="K361" s="163"/>
      <c r="L361" s="163"/>
      <c r="M361" s="219"/>
      <c r="N361" s="163"/>
      <c r="O361" s="165"/>
      <c r="P361" s="163"/>
      <c r="Q361" s="219"/>
      <c r="R361" s="163"/>
    </row>
    <row r="362" spans="1:18" ht="12" hidden="1" customHeight="1">
      <c r="A362" s="767"/>
      <c r="B362" s="967"/>
      <c r="C362" s="165"/>
      <c r="D362" s="163"/>
      <c r="E362" s="165"/>
      <c r="F362" s="163"/>
      <c r="G362" s="219"/>
      <c r="H362" s="163"/>
      <c r="I362" s="219"/>
      <c r="J362" s="165"/>
      <c r="K362" s="163"/>
      <c r="L362" s="163"/>
      <c r="M362" s="219"/>
      <c r="N362" s="163"/>
      <c r="O362" s="165"/>
      <c r="P362" s="163"/>
      <c r="Q362" s="219"/>
      <c r="R362" s="163"/>
    </row>
    <row r="363" spans="1:18" ht="12" hidden="1" customHeight="1">
      <c r="A363" s="767"/>
      <c r="B363" s="967"/>
      <c r="C363" s="165"/>
      <c r="D363" s="163"/>
      <c r="E363" s="165"/>
      <c r="F363" s="163"/>
      <c r="G363" s="219"/>
      <c r="H363" s="163"/>
      <c r="I363" s="219"/>
      <c r="J363" s="165"/>
      <c r="K363" s="163"/>
      <c r="L363" s="163"/>
      <c r="M363" s="219"/>
      <c r="N363" s="163"/>
      <c r="O363" s="165"/>
      <c r="P363" s="163"/>
      <c r="Q363" s="219"/>
      <c r="R363" s="163"/>
    </row>
    <row r="364" spans="1:18" ht="12" hidden="1" customHeight="1">
      <c r="A364" s="767"/>
      <c r="B364" s="967"/>
      <c r="C364" s="165"/>
      <c r="D364" s="163"/>
      <c r="E364" s="165"/>
      <c r="F364" s="163"/>
      <c r="G364" s="219"/>
      <c r="H364" s="163"/>
      <c r="I364" s="219"/>
      <c r="J364" s="165"/>
      <c r="K364" s="163"/>
      <c r="L364" s="163"/>
      <c r="M364" s="219"/>
      <c r="N364" s="163"/>
      <c r="O364" s="165"/>
      <c r="P364" s="163"/>
      <c r="Q364" s="219"/>
      <c r="R364" s="163"/>
    </row>
    <row r="365" spans="1:18" ht="12" hidden="1" customHeight="1">
      <c r="A365" s="767"/>
      <c r="B365" s="967"/>
      <c r="C365" s="165"/>
      <c r="D365" s="163"/>
      <c r="E365" s="165"/>
      <c r="F365" s="163"/>
      <c r="G365" s="219"/>
      <c r="H365" s="163"/>
      <c r="I365" s="219"/>
      <c r="J365" s="165"/>
      <c r="K365" s="163"/>
      <c r="L365" s="163"/>
      <c r="M365" s="219"/>
      <c r="N365" s="163"/>
      <c r="O365" s="165"/>
      <c r="P365" s="163"/>
      <c r="Q365" s="219"/>
      <c r="R365" s="163"/>
    </row>
    <row r="366" spans="1:18" ht="12" hidden="1" customHeight="1">
      <c r="A366" s="767"/>
      <c r="B366" s="967"/>
      <c r="C366" s="165"/>
      <c r="D366" s="163"/>
      <c r="E366" s="165"/>
      <c r="F366" s="163"/>
      <c r="G366" s="219"/>
      <c r="H366" s="163"/>
      <c r="I366" s="219"/>
      <c r="J366" s="165"/>
      <c r="K366" s="163"/>
      <c r="L366" s="163"/>
      <c r="M366" s="219"/>
      <c r="N366" s="163"/>
      <c r="O366" s="165"/>
      <c r="P366" s="163"/>
      <c r="Q366" s="219"/>
      <c r="R366" s="163"/>
    </row>
    <row r="367" spans="1:18" ht="12" hidden="1" customHeight="1">
      <c r="A367" s="767"/>
      <c r="B367" s="967"/>
      <c r="C367" s="165"/>
      <c r="D367" s="163"/>
      <c r="E367" s="165"/>
      <c r="F367" s="163"/>
      <c r="G367" s="219"/>
      <c r="H367" s="163"/>
      <c r="I367" s="219"/>
      <c r="J367" s="165"/>
      <c r="K367" s="163"/>
      <c r="L367" s="163"/>
      <c r="M367" s="219"/>
      <c r="N367" s="163"/>
      <c r="O367" s="165"/>
      <c r="P367" s="163"/>
      <c r="Q367" s="219"/>
      <c r="R367" s="163"/>
    </row>
    <row r="368" spans="1:18" ht="12" hidden="1" customHeight="1">
      <c r="A368" s="767"/>
      <c r="B368" s="967"/>
      <c r="C368" s="165"/>
      <c r="D368" s="163"/>
      <c r="E368" s="165"/>
      <c r="F368" s="163"/>
      <c r="G368" s="219"/>
      <c r="H368" s="163"/>
      <c r="I368" s="219"/>
      <c r="J368" s="165"/>
      <c r="K368" s="163"/>
      <c r="L368" s="163"/>
      <c r="M368" s="219"/>
      <c r="N368" s="163"/>
      <c r="O368" s="165"/>
      <c r="P368" s="163"/>
      <c r="Q368" s="219"/>
      <c r="R368" s="163"/>
    </row>
    <row r="369" spans="1:18" ht="12" hidden="1" customHeight="1">
      <c r="A369" s="767"/>
      <c r="B369" s="967"/>
      <c r="C369" s="165"/>
      <c r="D369" s="163"/>
      <c r="E369" s="165"/>
      <c r="F369" s="163"/>
      <c r="G369" s="219"/>
      <c r="H369" s="163"/>
      <c r="I369" s="219"/>
      <c r="J369" s="165"/>
      <c r="K369" s="163"/>
      <c r="L369" s="163"/>
      <c r="M369" s="219"/>
      <c r="N369" s="163"/>
      <c r="O369" s="165"/>
      <c r="P369" s="163"/>
      <c r="Q369" s="219"/>
      <c r="R369" s="163"/>
    </row>
    <row r="370" spans="1:18" ht="12" hidden="1" customHeight="1">
      <c r="A370" s="767"/>
      <c r="B370" s="967"/>
      <c r="C370" s="165"/>
      <c r="D370" s="163"/>
      <c r="E370" s="165"/>
      <c r="F370" s="163"/>
      <c r="G370" s="219"/>
      <c r="H370" s="163"/>
      <c r="I370" s="219"/>
      <c r="J370" s="165"/>
      <c r="K370" s="163"/>
      <c r="L370" s="163"/>
      <c r="M370" s="219"/>
      <c r="N370" s="163"/>
      <c r="O370" s="165"/>
      <c r="P370" s="163"/>
      <c r="Q370" s="219"/>
      <c r="R370" s="163"/>
    </row>
    <row r="371" spans="1:18" ht="12" hidden="1" customHeight="1">
      <c r="A371" s="767"/>
      <c r="B371" s="967"/>
      <c r="C371" s="165"/>
      <c r="D371" s="163"/>
      <c r="E371" s="165"/>
      <c r="F371" s="163"/>
      <c r="G371" s="219"/>
      <c r="H371" s="163"/>
      <c r="I371" s="219"/>
      <c r="J371" s="165"/>
      <c r="K371" s="163"/>
      <c r="L371" s="163"/>
      <c r="M371" s="219"/>
      <c r="N371" s="163"/>
      <c r="O371" s="165"/>
      <c r="P371" s="163"/>
      <c r="Q371" s="219"/>
      <c r="R371" s="163"/>
    </row>
    <row r="372" spans="1:18" ht="12" hidden="1" customHeight="1">
      <c r="A372" s="767"/>
      <c r="B372" s="967"/>
      <c r="C372" s="165"/>
      <c r="D372" s="163"/>
      <c r="E372" s="165"/>
      <c r="F372" s="163"/>
      <c r="G372" s="219"/>
      <c r="H372" s="163"/>
      <c r="I372" s="219"/>
      <c r="J372" s="165"/>
      <c r="K372" s="163"/>
      <c r="L372" s="163"/>
      <c r="M372" s="219"/>
      <c r="N372" s="163"/>
      <c r="O372" s="165"/>
      <c r="P372" s="163"/>
      <c r="Q372" s="219"/>
      <c r="R372" s="163"/>
    </row>
    <row r="373" spans="1:18" ht="12" hidden="1" customHeight="1">
      <c r="A373" s="767"/>
      <c r="B373" s="967"/>
      <c r="C373" s="165"/>
      <c r="D373" s="163"/>
      <c r="E373" s="165"/>
      <c r="F373" s="163"/>
      <c r="G373" s="219"/>
      <c r="H373" s="163"/>
      <c r="I373" s="219"/>
      <c r="J373" s="165"/>
      <c r="K373" s="163"/>
      <c r="L373" s="163"/>
      <c r="M373" s="219"/>
      <c r="N373" s="163"/>
      <c r="O373" s="165"/>
      <c r="P373" s="163"/>
      <c r="Q373" s="219"/>
      <c r="R373" s="163"/>
    </row>
    <row r="374" spans="1:18" ht="12" hidden="1" customHeight="1">
      <c r="A374" s="767"/>
      <c r="B374" s="967"/>
      <c r="C374" s="165"/>
      <c r="D374" s="163"/>
      <c r="E374" s="165"/>
      <c r="F374" s="163"/>
      <c r="G374" s="219"/>
      <c r="H374" s="163"/>
      <c r="I374" s="219"/>
      <c r="J374" s="165"/>
      <c r="K374" s="163"/>
      <c r="L374" s="163"/>
      <c r="M374" s="219"/>
      <c r="N374" s="163"/>
      <c r="O374" s="165"/>
      <c r="P374" s="163"/>
      <c r="Q374" s="219"/>
      <c r="R374" s="163"/>
    </row>
    <row r="375" spans="1:18" ht="12" hidden="1" customHeight="1">
      <c r="A375" s="767"/>
      <c r="B375" s="967"/>
      <c r="C375" s="165"/>
      <c r="D375" s="163"/>
      <c r="E375" s="165"/>
      <c r="F375" s="163"/>
      <c r="G375" s="219"/>
      <c r="H375" s="163"/>
      <c r="I375" s="219"/>
      <c r="J375" s="165"/>
      <c r="K375" s="163"/>
      <c r="L375" s="163"/>
      <c r="M375" s="219"/>
      <c r="N375" s="163"/>
      <c r="O375" s="165"/>
      <c r="P375" s="163"/>
      <c r="Q375" s="219"/>
      <c r="R375" s="163"/>
    </row>
    <row r="376" spans="1:18" ht="12" hidden="1" customHeight="1">
      <c r="A376" s="767"/>
      <c r="B376" s="967"/>
      <c r="C376" s="165"/>
      <c r="D376" s="163"/>
      <c r="E376" s="165"/>
      <c r="F376" s="163"/>
      <c r="G376" s="219"/>
      <c r="H376" s="163"/>
      <c r="I376" s="219"/>
      <c r="J376" s="165"/>
      <c r="K376" s="163"/>
      <c r="L376" s="163"/>
      <c r="M376" s="219"/>
      <c r="N376" s="163"/>
      <c r="O376" s="165"/>
      <c r="P376" s="163"/>
      <c r="Q376" s="219"/>
      <c r="R376" s="163"/>
    </row>
    <row r="377" spans="1:18" ht="12" hidden="1" customHeight="1">
      <c r="A377" s="767"/>
      <c r="B377" s="967"/>
      <c r="C377" s="165"/>
      <c r="D377" s="163"/>
      <c r="E377" s="165"/>
      <c r="F377" s="163"/>
      <c r="G377" s="219"/>
      <c r="H377" s="163"/>
      <c r="I377" s="219"/>
      <c r="J377" s="165"/>
      <c r="K377" s="163"/>
      <c r="L377" s="163"/>
      <c r="M377" s="219"/>
      <c r="N377" s="163"/>
      <c r="O377" s="165"/>
      <c r="P377" s="163"/>
      <c r="Q377" s="219"/>
      <c r="R377" s="163"/>
    </row>
    <row r="378" spans="1:18" ht="12" hidden="1" customHeight="1">
      <c r="A378" s="767"/>
      <c r="B378" s="967"/>
      <c r="C378" s="165"/>
      <c r="D378" s="163"/>
      <c r="E378" s="165"/>
      <c r="F378" s="163"/>
      <c r="G378" s="219"/>
      <c r="H378" s="163"/>
      <c r="I378" s="219"/>
      <c r="J378" s="165"/>
      <c r="K378" s="163"/>
      <c r="L378" s="163"/>
      <c r="M378" s="219"/>
      <c r="N378" s="163"/>
      <c r="O378" s="165"/>
      <c r="P378" s="163"/>
      <c r="Q378" s="219"/>
      <c r="R378" s="163"/>
    </row>
    <row r="379" spans="1:18" ht="12" hidden="1" customHeight="1">
      <c r="A379" s="767"/>
      <c r="B379" s="967"/>
      <c r="C379" s="165"/>
      <c r="D379" s="163"/>
      <c r="E379" s="165"/>
      <c r="F379" s="163"/>
      <c r="G379" s="219"/>
      <c r="H379" s="163"/>
      <c r="I379" s="219"/>
      <c r="J379" s="165"/>
      <c r="K379" s="163"/>
      <c r="L379" s="163"/>
      <c r="M379" s="219"/>
      <c r="N379" s="163"/>
      <c r="O379" s="165"/>
      <c r="P379" s="163"/>
      <c r="Q379" s="219"/>
      <c r="R379" s="163"/>
    </row>
    <row r="380" spans="1:18" ht="12" hidden="1" customHeight="1">
      <c r="A380" s="767"/>
      <c r="B380" s="967"/>
      <c r="C380" s="165"/>
      <c r="D380" s="163"/>
      <c r="E380" s="165"/>
      <c r="F380" s="163"/>
      <c r="G380" s="219"/>
      <c r="H380" s="163"/>
      <c r="I380" s="219"/>
      <c r="J380" s="165"/>
      <c r="K380" s="163"/>
      <c r="L380" s="163"/>
      <c r="M380" s="219"/>
      <c r="N380" s="163"/>
      <c r="O380" s="165"/>
      <c r="P380" s="163"/>
      <c r="Q380" s="219"/>
      <c r="R380" s="163"/>
    </row>
    <row r="381" spans="1:18" ht="12" hidden="1" customHeight="1">
      <c r="A381" s="767"/>
      <c r="B381" s="967"/>
      <c r="C381" s="165"/>
      <c r="D381" s="163"/>
      <c r="E381" s="165"/>
      <c r="F381" s="163"/>
      <c r="G381" s="219"/>
      <c r="H381" s="163"/>
      <c r="I381" s="219"/>
      <c r="J381" s="165"/>
      <c r="K381" s="163"/>
      <c r="L381" s="163"/>
      <c r="M381" s="219"/>
      <c r="N381" s="163"/>
      <c r="O381" s="165"/>
      <c r="P381" s="163"/>
      <c r="Q381" s="219"/>
      <c r="R381" s="163"/>
    </row>
    <row r="382" spans="1:18" ht="12" hidden="1" customHeight="1">
      <c r="A382" s="767"/>
      <c r="B382" s="967"/>
      <c r="C382" s="165"/>
      <c r="D382" s="163"/>
      <c r="E382" s="165"/>
      <c r="F382" s="163"/>
      <c r="G382" s="219"/>
      <c r="H382" s="163"/>
      <c r="I382" s="219"/>
      <c r="J382" s="165"/>
      <c r="K382" s="163"/>
      <c r="L382" s="163"/>
      <c r="M382" s="219"/>
      <c r="N382" s="163"/>
      <c r="O382" s="165"/>
      <c r="P382" s="163"/>
      <c r="Q382" s="219"/>
      <c r="R382" s="163"/>
    </row>
    <row r="383" spans="1:18" ht="12" hidden="1" customHeight="1">
      <c r="A383" s="767"/>
      <c r="B383" s="967"/>
      <c r="C383" s="165"/>
      <c r="D383" s="163"/>
      <c r="E383" s="165"/>
      <c r="F383" s="163"/>
      <c r="G383" s="219"/>
      <c r="H383" s="163"/>
      <c r="I383" s="219"/>
      <c r="J383" s="165"/>
      <c r="K383" s="163"/>
      <c r="L383" s="163"/>
      <c r="M383" s="219"/>
      <c r="N383" s="163"/>
      <c r="O383" s="165"/>
      <c r="P383" s="163"/>
      <c r="Q383" s="219"/>
      <c r="R383" s="163"/>
    </row>
    <row r="384" spans="1:18" ht="12" hidden="1" customHeight="1">
      <c r="A384" s="767"/>
      <c r="B384" s="967"/>
      <c r="C384" s="165"/>
      <c r="D384" s="163"/>
      <c r="E384" s="165"/>
      <c r="F384" s="163"/>
      <c r="G384" s="219"/>
      <c r="H384" s="163"/>
      <c r="I384" s="219"/>
      <c r="J384" s="165"/>
      <c r="K384" s="163"/>
      <c r="L384" s="163"/>
      <c r="M384" s="219"/>
      <c r="N384" s="163"/>
      <c r="O384" s="165"/>
      <c r="P384" s="163"/>
      <c r="Q384" s="219"/>
      <c r="R384" s="163"/>
    </row>
    <row r="385" spans="1:18" ht="12" hidden="1" customHeight="1">
      <c r="A385" s="767"/>
      <c r="B385" s="967"/>
      <c r="C385" s="165"/>
      <c r="D385" s="163"/>
      <c r="E385" s="165"/>
      <c r="F385" s="163"/>
      <c r="G385" s="219"/>
      <c r="H385" s="163"/>
      <c r="I385" s="219"/>
      <c r="J385" s="165"/>
      <c r="K385" s="163"/>
      <c r="L385" s="163"/>
      <c r="M385" s="219"/>
      <c r="N385" s="163"/>
      <c r="O385" s="165"/>
      <c r="P385" s="163"/>
      <c r="Q385" s="219"/>
      <c r="R385" s="163"/>
    </row>
    <row r="386" spans="1:18" ht="12" hidden="1" customHeight="1">
      <c r="A386" s="767"/>
      <c r="B386" s="967"/>
      <c r="C386" s="165"/>
      <c r="D386" s="163"/>
      <c r="E386" s="165"/>
      <c r="F386" s="163"/>
      <c r="G386" s="219"/>
      <c r="H386" s="163"/>
      <c r="I386" s="219"/>
      <c r="J386" s="165"/>
      <c r="K386" s="163"/>
      <c r="L386" s="163"/>
      <c r="M386" s="219"/>
      <c r="N386" s="163"/>
      <c r="O386" s="165"/>
      <c r="P386" s="163"/>
      <c r="Q386" s="219"/>
      <c r="R386" s="163"/>
    </row>
    <row r="387" spans="1:18" ht="12" hidden="1" customHeight="1">
      <c r="A387" s="767"/>
      <c r="B387" s="967"/>
      <c r="C387" s="165"/>
      <c r="D387" s="163"/>
      <c r="E387" s="165"/>
      <c r="F387" s="163"/>
      <c r="G387" s="219"/>
      <c r="H387" s="163"/>
      <c r="I387" s="219"/>
      <c r="J387" s="165"/>
      <c r="K387" s="163"/>
      <c r="L387" s="163"/>
      <c r="M387" s="219"/>
      <c r="N387" s="163"/>
      <c r="O387" s="165"/>
      <c r="P387" s="163"/>
      <c r="Q387" s="219"/>
      <c r="R387" s="163"/>
    </row>
    <row r="388" spans="1:18" ht="12">
      <c r="A388" s="767"/>
      <c r="B388" s="967"/>
      <c r="C388" s="165"/>
      <c r="D388" s="163"/>
      <c r="E388" s="165"/>
      <c r="F388" s="163"/>
      <c r="G388" s="219"/>
      <c r="H388" s="163"/>
      <c r="I388" s="219"/>
      <c r="J388" s="165"/>
      <c r="K388" s="163"/>
      <c r="L388" s="163"/>
      <c r="M388" s="219"/>
      <c r="N388" s="163"/>
      <c r="O388" s="165"/>
      <c r="P388" s="163"/>
      <c r="Q388" s="219"/>
      <c r="R388" s="163"/>
    </row>
    <row r="389" spans="1:18" ht="39.6" hidden="1">
      <c r="A389" s="1010" t="s">
        <v>281</v>
      </c>
      <c r="B389" s="964" t="s">
        <v>1058</v>
      </c>
      <c r="C389" s="165"/>
      <c r="D389" s="163"/>
      <c r="E389" s="165"/>
      <c r="F389" s="163"/>
      <c r="G389" s="219"/>
      <c r="H389" s="163"/>
      <c r="I389" s="165"/>
      <c r="J389" s="163"/>
      <c r="K389" s="163"/>
      <c r="L389" s="163"/>
      <c r="M389" s="165"/>
      <c r="N389" s="163"/>
      <c r="O389" s="165"/>
      <c r="P389" s="163"/>
      <c r="Q389" s="163"/>
      <c r="R389" s="163"/>
    </row>
    <row r="390" spans="1:18" ht="12" hidden="1">
      <c r="A390" s="965" t="s">
        <v>100</v>
      </c>
      <c r="B390" s="471" t="s">
        <v>101</v>
      </c>
      <c r="C390" s="165"/>
      <c r="D390" s="163"/>
      <c r="E390" s="458">
        <f>E391</f>
        <v>0</v>
      </c>
      <c r="F390" s="869"/>
      <c r="G390" s="869"/>
      <c r="H390" s="869"/>
      <c r="I390" s="869"/>
      <c r="J390" s="519">
        <v>0</v>
      </c>
      <c r="K390" s="869"/>
      <c r="L390" s="869"/>
      <c r="M390" s="869"/>
      <c r="N390" s="869"/>
      <c r="O390" s="519">
        <v>0</v>
      </c>
      <c r="P390" s="163"/>
      <c r="Q390" s="163"/>
      <c r="R390" s="163"/>
    </row>
    <row r="391" spans="1:18" ht="20.399999999999999" hidden="1">
      <c r="A391" s="965" t="s">
        <v>102</v>
      </c>
      <c r="B391" s="471" t="s">
        <v>103</v>
      </c>
      <c r="C391" s="165"/>
      <c r="D391" s="163"/>
      <c r="E391" s="461">
        <f>E392</f>
        <v>0</v>
      </c>
      <c r="F391" s="163"/>
      <c r="G391" s="163"/>
      <c r="H391" s="163"/>
      <c r="I391" s="163"/>
      <c r="J391" s="165">
        <v>0</v>
      </c>
      <c r="K391" s="163"/>
      <c r="L391" s="163"/>
      <c r="M391" s="163"/>
      <c r="N391" s="163"/>
      <c r="O391" s="165">
        <v>0</v>
      </c>
      <c r="P391" s="163"/>
      <c r="Q391" s="163"/>
      <c r="R391" s="163"/>
    </row>
    <row r="392" spans="1:18" ht="12" hidden="1">
      <c r="A392" s="965" t="s">
        <v>104</v>
      </c>
      <c r="B392" s="471" t="s">
        <v>105</v>
      </c>
      <c r="C392" s="165"/>
      <c r="D392" s="163"/>
      <c r="E392" s="461">
        <f>E393</f>
        <v>0</v>
      </c>
      <c r="F392" s="163"/>
      <c r="G392" s="163"/>
      <c r="H392" s="163"/>
      <c r="I392" s="163"/>
      <c r="J392" s="165">
        <v>0</v>
      </c>
      <c r="K392" s="163"/>
      <c r="L392" s="163"/>
      <c r="M392" s="163"/>
      <c r="N392" s="163"/>
      <c r="O392" s="165">
        <v>0</v>
      </c>
      <c r="P392" s="163"/>
      <c r="Q392" s="163"/>
      <c r="R392" s="163"/>
    </row>
    <row r="393" spans="1:18" ht="12" hidden="1">
      <c r="A393" s="767">
        <v>2000</v>
      </c>
      <c r="B393" s="768" t="s">
        <v>108</v>
      </c>
      <c r="C393" s="165"/>
      <c r="D393" s="163"/>
      <c r="E393" s="461">
        <f>12626-12626</f>
        <v>0</v>
      </c>
      <c r="F393" s="163"/>
      <c r="G393" s="163"/>
      <c r="H393" s="163"/>
      <c r="I393" s="163"/>
      <c r="J393" s="165">
        <v>0</v>
      </c>
      <c r="K393" s="163"/>
      <c r="L393" s="163"/>
      <c r="M393" s="163"/>
      <c r="N393" s="163"/>
      <c r="O393" s="165">
        <v>0</v>
      </c>
      <c r="P393" s="163"/>
      <c r="Q393" s="163"/>
      <c r="R393" s="163"/>
    </row>
    <row r="394" spans="1:18" ht="13.2">
      <c r="A394" s="498"/>
      <c r="B394" s="418"/>
      <c r="C394" s="461"/>
      <c r="D394" s="462"/>
      <c r="E394" s="461"/>
      <c r="F394" s="462"/>
      <c r="G394" s="462"/>
      <c r="H394" s="462"/>
      <c r="I394" s="462"/>
      <c r="J394" s="461"/>
      <c r="K394" s="462"/>
      <c r="L394" s="462"/>
      <c r="M394" s="462"/>
      <c r="N394" s="462"/>
      <c r="O394" s="461"/>
      <c r="P394" s="462"/>
      <c r="Q394" s="462"/>
      <c r="R394" s="462"/>
    </row>
    <row r="395" spans="1:18" ht="13.2">
      <c r="A395" s="425" t="s">
        <v>224</v>
      </c>
      <c r="B395" s="374" t="s">
        <v>242</v>
      </c>
      <c r="C395" s="165"/>
      <c r="D395" s="163"/>
      <c r="E395" s="165"/>
      <c r="F395" s="424">
        <f>F397+F402+F413</f>
        <v>413639</v>
      </c>
      <c r="G395" s="424">
        <f>G419</f>
        <v>2605776</v>
      </c>
      <c r="H395" s="424"/>
      <c r="I395" s="424"/>
      <c r="J395" s="424"/>
      <c r="K395" s="424">
        <f>K397+K402+K413</f>
        <v>131300</v>
      </c>
      <c r="L395" s="424">
        <f>L419</f>
        <v>2389926</v>
      </c>
      <c r="M395" s="424"/>
      <c r="N395" s="424"/>
      <c r="O395" s="424"/>
      <c r="P395" s="424">
        <f>P397+P402+P413</f>
        <v>45327</v>
      </c>
      <c r="Q395" s="424">
        <f>Q419</f>
        <v>2412836</v>
      </c>
      <c r="R395" s="163"/>
    </row>
    <row r="396" spans="1:18" ht="52.8">
      <c r="A396" s="1011" t="s">
        <v>243</v>
      </c>
      <c r="B396" s="1012" t="s">
        <v>262</v>
      </c>
      <c r="C396" s="165"/>
      <c r="D396" s="163"/>
      <c r="E396" s="461"/>
      <c r="F396" s="461"/>
      <c r="G396" s="461"/>
      <c r="H396" s="462"/>
      <c r="I396" s="462"/>
      <c r="J396" s="461"/>
      <c r="K396" s="461"/>
      <c r="L396" s="461"/>
      <c r="M396" s="462"/>
      <c r="N396" s="462"/>
      <c r="O396" s="461"/>
      <c r="P396" s="461"/>
      <c r="Q396" s="461"/>
      <c r="R396" s="163"/>
    </row>
    <row r="397" spans="1:18" ht="12">
      <c r="A397" s="965" t="s">
        <v>100</v>
      </c>
      <c r="B397" s="1008" t="s">
        <v>101</v>
      </c>
      <c r="D397" s="1013"/>
      <c r="E397" s="1013"/>
      <c r="F397" s="1013">
        <v>126000</v>
      </c>
      <c r="G397" s="1014"/>
      <c r="H397" s="1015"/>
      <c r="I397" s="1015"/>
      <c r="J397" s="1016"/>
      <c r="K397" s="1013">
        <v>126000</v>
      </c>
      <c r="L397" s="1014"/>
      <c r="M397" s="1015"/>
      <c r="N397" s="1015"/>
      <c r="O397" s="1016"/>
      <c r="P397" s="1013">
        <v>126000</v>
      </c>
      <c r="Q397" s="1014"/>
      <c r="R397" s="470"/>
    </row>
    <row r="398" spans="1:18" ht="20.399999999999999">
      <c r="A398" s="965" t="s">
        <v>102</v>
      </c>
      <c r="B398" s="1008" t="s">
        <v>103</v>
      </c>
      <c r="D398" s="1016"/>
      <c r="E398" s="1016"/>
      <c r="F398" s="1016">
        <v>126000</v>
      </c>
      <c r="G398" s="1014"/>
      <c r="H398" s="1015"/>
      <c r="I398" s="1015"/>
      <c r="J398" s="1016"/>
      <c r="K398" s="1016">
        <v>126000</v>
      </c>
      <c r="L398" s="1014"/>
      <c r="M398" s="1015"/>
      <c r="N398" s="1015"/>
      <c r="O398" s="1016"/>
      <c r="P398" s="1016">
        <v>126000</v>
      </c>
      <c r="Q398" s="1014"/>
      <c r="R398" s="470"/>
    </row>
    <row r="399" spans="1:18" ht="12">
      <c r="A399" s="965" t="s">
        <v>104</v>
      </c>
      <c r="B399" s="1008" t="s">
        <v>105</v>
      </c>
      <c r="D399" s="1016"/>
      <c r="E399" s="1016"/>
      <c r="F399" s="1016">
        <v>126000</v>
      </c>
      <c r="G399" s="1014"/>
      <c r="H399" s="1015"/>
      <c r="I399" s="1015"/>
      <c r="J399" s="1016"/>
      <c r="K399" s="1016">
        <v>126000</v>
      </c>
      <c r="L399" s="1014"/>
      <c r="M399" s="1015"/>
      <c r="N399" s="1015"/>
      <c r="O399" s="1016"/>
      <c r="P399" s="1016">
        <v>126000</v>
      </c>
      <c r="Q399" s="1014"/>
      <c r="R399" s="470"/>
    </row>
    <row r="400" spans="1:18" ht="12">
      <c r="A400" s="767">
        <v>2000</v>
      </c>
      <c r="B400" s="768" t="s">
        <v>108</v>
      </c>
      <c r="D400" s="1016"/>
      <c r="E400" s="1016"/>
      <c r="F400" s="1016">
        <v>126000</v>
      </c>
      <c r="G400" s="1014"/>
      <c r="H400" s="1015"/>
      <c r="I400" s="1015"/>
      <c r="J400" s="1016"/>
      <c r="K400" s="1016">
        <v>126000</v>
      </c>
      <c r="L400" s="1014"/>
      <c r="M400" s="1015"/>
      <c r="N400" s="1015"/>
      <c r="O400" s="1016"/>
      <c r="P400" s="1016">
        <v>126000</v>
      </c>
      <c r="Q400" s="1014"/>
      <c r="R400" s="1015"/>
    </row>
    <row r="401" spans="1:18" ht="118.8">
      <c r="A401" s="889" t="s">
        <v>250</v>
      </c>
      <c r="B401" s="1017" t="s">
        <v>1021</v>
      </c>
      <c r="D401" s="1016"/>
      <c r="E401" s="1016"/>
      <c r="F401" s="1016"/>
      <c r="G401" s="1014"/>
      <c r="H401" s="1015"/>
      <c r="I401" s="1015"/>
      <c r="J401" s="1016"/>
      <c r="K401" s="1016"/>
      <c r="L401" s="1014"/>
      <c r="M401" s="1015"/>
      <c r="N401" s="1015"/>
      <c r="O401" s="1016"/>
      <c r="P401" s="1016"/>
      <c r="Q401" s="1014"/>
      <c r="R401" s="1015"/>
    </row>
    <row r="402" spans="1:18" ht="12">
      <c r="A402" s="965" t="s">
        <v>100</v>
      </c>
      <c r="B402" s="1008" t="s">
        <v>101</v>
      </c>
      <c r="D402" s="971"/>
      <c r="E402" s="971"/>
      <c r="F402" s="971">
        <v>487639</v>
      </c>
      <c r="G402" s="1014"/>
      <c r="H402" s="1015"/>
      <c r="I402" s="1015"/>
      <c r="J402" s="1016"/>
      <c r="K402" s="971">
        <v>205300</v>
      </c>
      <c r="L402" s="1014"/>
      <c r="M402" s="1015"/>
      <c r="N402" s="1015"/>
      <c r="O402" s="1016"/>
      <c r="P402" s="971">
        <v>119327</v>
      </c>
      <c r="Q402" s="1014"/>
      <c r="R402" s="1015"/>
    </row>
    <row r="403" spans="1:18" ht="20.399999999999999">
      <c r="A403" s="965" t="s">
        <v>102</v>
      </c>
      <c r="B403" s="1008" t="s">
        <v>103</v>
      </c>
      <c r="D403" s="474"/>
      <c r="E403" s="474"/>
      <c r="F403" s="474">
        <v>479239</v>
      </c>
      <c r="G403" s="1014"/>
      <c r="H403" s="1015"/>
      <c r="I403" s="1015"/>
      <c r="J403" s="1016"/>
      <c r="K403" s="474">
        <v>205300</v>
      </c>
      <c r="L403" s="1014"/>
      <c r="M403" s="1015"/>
      <c r="N403" s="1015"/>
      <c r="O403" s="1016"/>
      <c r="P403" s="474">
        <v>119327</v>
      </c>
      <c r="Q403" s="1014"/>
      <c r="R403" s="1015"/>
    </row>
    <row r="404" spans="1:18" ht="12">
      <c r="A404" s="965" t="s">
        <v>104</v>
      </c>
      <c r="B404" s="1008" t="s">
        <v>105</v>
      </c>
      <c r="D404" s="474"/>
      <c r="E404" s="474"/>
      <c r="F404" s="474">
        <v>479239</v>
      </c>
      <c r="G404" s="1014"/>
      <c r="H404" s="1015"/>
      <c r="I404" s="1015"/>
      <c r="J404" s="1016"/>
      <c r="K404" s="474">
        <v>205300</v>
      </c>
      <c r="L404" s="1014"/>
      <c r="M404" s="1015"/>
      <c r="N404" s="1015"/>
      <c r="O404" s="1016"/>
      <c r="P404" s="474">
        <v>119327</v>
      </c>
      <c r="Q404" s="1014"/>
      <c r="R404" s="1015"/>
    </row>
    <row r="405" spans="1:18" ht="12">
      <c r="A405" s="767">
        <v>1000</v>
      </c>
      <c r="B405" s="768" t="s">
        <v>106</v>
      </c>
      <c r="D405" s="474"/>
      <c r="E405" s="474"/>
      <c r="F405" s="474">
        <v>122601</v>
      </c>
      <c r="G405" s="1014"/>
      <c r="H405" s="1015"/>
      <c r="I405" s="1015"/>
      <c r="J405" s="1016"/>
      <c r="K405" s="474">
        <v>148636</v>
      </c>
      <c r="L405" s="1014"/>
      <c r="M405" s="1015"/>
      <c r="N405" s="1015"/>
      <c r="O405" s="1016"/>
      <c r="P405" s="474">
        <v>84328</v>
      </c>
      <c r="Q405" s="1014"/>
      <c r="R405" s="1015"/>
    </row>
    <row r="406" spans="1:18" ht="12">
      <c r="A406" s="891">
        <v>1100</v>
      </c>
      <c r="B406" s="768" t="s">
        <v>107</v>
      </c>
      <c r="D406" s="474"/>
      <c r="E406" s="474"/>
      <c r="F406" s="474">
        <v>57450</v>
      </c>
      <c r="G406" s="1014"/>
      <c r="H406" s="1015"/>
      <c r="I406" s="1015"/>
      <c r="J406" s="1016"/>
      <c r="K406" s="474">
        <v>65532</v>
      </c>
      <c r="L406" s="1014"/>
      <c r="M406" s="1015"/>
      <c r="N406" s="1015"/>
      <c r="O406" s="1016"/>
      <c r="P406" s="474">
        <v>32620</v>
      </c>
      <c r="Q406" s="1014"/>
      <c r="R406" s="1015"/>
    </row>
    <row r="407" spans="1:18" ht="12">
      <c r="A407" s="767">
        <v>2000</v>
      </c>
      <c r="B407" s="768" t="s">
        <v>108</v>
      </c>
      <c r="D407" s="474"/>
      <c r="E407" s="474"/>
      <c r="F407" s="474">
        <v>356638</v>
      </c>
      <c r="G407" s="1014"/>
      <c r="H407" s="1015"/>
      <c r="I407" s="1015"/>
      <c r="J407" s="1016"/>
      <c r="K407" s="474">
        <v>56664</v>
      </c>
      <c r="L407" s="1014"/>
      <c r="M407" s="1015"/>
      <c r="N407" s="1015"/>
      <c r="O407" s="1016"/>
      <c r="P407" s="474">
        <v>34999</v>
      </c>
      <c r="Q407" s="1014"/>
      <c r="R407" s="1015"/>
    </row>
    <row r="408" spans="1:18" ht="12">
      <c r="A408" s="966" t="s">
        <v>109</v>
      </c>
      <c r="B408" s="1008" t="s">
        <v>110</v>
      </c>
      <c r="D408" s="966"/>
      <c r="E408" s="1008"/>
      <c r="F408" s="1018"/>
      <c r="G408" s="1014"/>
      <c r="H408" s="1015"/>
      <c r="I408" s="1015"/>
      <c r="J408" s="1016"/>
      <c r="K408" s="1018"/>
      <c r="L408" s="1014"/>
      <c r="M408" s="1015"/>
      <c r="N408" s="1015"/>
      <c r="O408" s="1016"/>
      <c r="P408" s="1019"/>
      <c r="Q408" s="1014"/>
      <c r="R408" s="1015"/>
    </row>
    <row r="409" spans="1:18" ht="12">
      <c r="A409" s="767">
        <v>3000</v>
      </c>
      <c r="B409" s="768" t="s">
        <v>111</v>
      </c>
      <c r="D409" s="767"/>
      <c r="E409" s="768"/>
      <c r="F409" s="1020"/>
      <c r="G409" s="1014"/>
      <c r="H409" s="1015"/>
      <c r="I409" s="1015"/>
      <c r="J409" s="1016"/>
      <c r="K409" s="1020"/>
      <c r="L409" s="1014"/>
      <c r="M409" s="1015"/>
      <c r="N409" s="1015"/>
      <c r="O409" s="1016"/>
      <c r="P409" s="471"/>
      <c r="Q409" s="1014"/>
      <c r="R409" s="1015"/>
    </row>
    <row r="410" spans="1:18" ht="12">
      <c r="A410" s="966" t="s">
        <v>133</v>
      </c>
      <c r="B410" s="1008" t="s">
        <v>122</v>
      </c>
      <c r="D410" s="1021"/>
      <c r="E410" s="1022"/>
      <c r="F410" s="1022">
        <v>8400</v>
      </c>
      <c r="G410" s="1014"/>
      <c r="H410" s="1015"/>
      <c r="I410" s="1015"/>
      <c r="J410" s="1016"/>
      <c r="K410" s="1022"/>
      <c r="L410" s="1014"/>
      <c r="M410" s="1015"/>
      <c r="N410" s="1015"/>
      <c r="O410" s="1016"/>
      <c r="P410" s="1022"/>
      <c r="Q410" s="1014"/>
      <c r="R410" s="1015"/>
    </row>
    <row r="411" spans="1:18" ht="12">
      <c r="A411" s="966">
        <v>5000</v>
      </c>
      <c r="B411" s="1008" t="s">
        <v>123</v>
      </c>
      <c r="D411" s="1021"/>
      <c r="E411" s="1022"/>
      <c r="F411" s="1022">
        <v>8400</v>
      </c>
      <c r="G411" s="1014"/>
      <c r="H411" s="1015"/>
      <c r="I411" s="1015"/>
      <c r="J411" s="1016"/>
      <c r="K411" s="1022"/>
      <c r="L411" s="1014"/>
      <c r="M411" s="1015"/>
      <c r="N411" s="1015"/>
      <c r="O411" s="1016"/>
      <c r="P411" s="1022"/>
      <c r="Q411" s="1014"/>
      <c r="R411" s="1015"/>
    </row>
    <row r="412" spans="1:18" ht="39.6" customHeight="1">
      <c r="A412" s="1023" t="s">
        <v>257</v>
      </c>
      <c r="B412" s="1024" t="s">
        <v>1022</v>
      </c>
      <c r="D412" s="1025"/>
      <c r="E412" s="1025"/>
      <c r="F412" s="470"/>
      <c r="G412" s="1016"/>
      <c r="H412" s="470"/>
      <c r="I412" s="470"/>
      <c r="J412" s="469"/>
      <c r="K412" s="470"/>
      <c r="L412" s="1026"/>
      <c r="M412" s="470"/>
      <c r="N412" s="470"/>
      <c r="O412" s="469"/>
      <c r="P412" s="470"/>
      <c r="Q412" s="1014"/>
      <c r="R412" s="1015"/>
    </row>
    <row r="413" spans="1:18" ht="13.2">
      <c r="A413" s="965" t="s">
        <v>100</v>
      </c>
      <c r="B413" s="1008" t="s">
        <v>101</v>
      </c>
      <c r="D413" s="1025"/>
      <c r="E413" s="1025"/>
      <c r="F413" s="1013">
        <f>F414</f>
        <v>-200000</v>
      </c>
      <c r="G413" s="1016"/>
      <c r="H413" s="1015"/>
      <c r="I413" s="1015"/>
      <c r="J413" s="1016"/>
      <c r="K413" s="1013">
        <f>K414</f>
        <v>-200000</v>
      </c>
      <c r="L413" s="1027"/>
      <c r="M413" s="1028"/>
      <c r="N413" s="1028"/>
      <c r="O413" s="1013"/>
      <c r="P413" s="1013">
        <f>P414</f>
        <v>-200000</v>
      </c>
      <c r="Q413" s="1029"/>
      <c r="R413" s="1015"/>
    </row>
    <row r="414" spans="1:18" ht="20.399999999999999">
      <c r="A414" s="965" t="s">
        <v>102</v>
      </c>
      <c r="B414" s="1008" t="s">
        <v>103</v>
      </c>
      <c r="D414" s="1025"/>
      <c r="E414" s="1025"/>
      <c r="F414" s="1016">
        <f>F415</f>
        <v>-200000</v>
      </c>
      <c r="G414" s="1016"/>
      <c r="H414" s="1015"/>
      <c r="I414" s="1015"/>
      <c r="J414" s="1016"/>
      <c r="K414" s="1016">
        <f>K415</f>
        <v>-200000</v>
      </c>
      <c r="L414" s="1030"/>
      <c r="M414" s="1015"/>
      <c r="N414" s="1015"/>
      <c r="O414" s="1016"/>
      <c r="P414" s="1016">
        <f>P415</f>
        <v>-200000</v>
      </c>
      <c r="Q414" s="1029"/>
      <c r="R414" s="1015"/>
    </row>
    <row r="415" spans="1:18" ht="20.399999999999999">
      <c r="A415" s="966" t="s">
        <v>185</v>
      </c>
      <c r="B415" s="1008" t="s">
        <v>115</v>
      </c>
      <c r="D415" s="1025"/>
      <c r="E415" s="1025"/>
      <c r="F415" s="1016">
        <f>F416</f>
        <v>-200000</v>
      </c>
      <c r="G415" s="1016"/>
      <c r="H415" s="1015"/>
      <c r="I415" s="1015"/>
      <c r="J415" s="1016"/>
      <c r="K415" s="1016">
        <f>K416</f>
        <v>-200000</v>
      </c>
      <c r="L415" s="1030"/>
      <c r="M415" s="1015"/>
      <c r="N415" s="1015"/>
      <c r="O415" s="1016"/>
      <c r="P415" s="1016">
        <f>P416</f>
        <v>-200000</v>
      </c>
      <c r="Q415" s="1029"/>
      <c r="R415" s="1015"/>
    </row>
    <row r="416" spans="1:18" ht="24">
      <c r="A416" s="767">
        <v>7400</v>
      </c>
      <c r="B416" s="991" t="s">
        <v>161</v>
      </c>
      <c r="D416" s="1025"/>
      <c r="E416" s="1025"/>
      <c r="F416" s="1016">
        <f>F417</f>
        <v>-200000</v>
      </c>
      <c r="G416" s="1016"/>
      <c r="H416" s="1015"/>
      <c r="I416" s="1015"/>
      <c r="J416" s="1016"/>
      <c r="K416" s="1016">
        <f>K417</f>
        <v>-200000</v>
      </c>
      <c r="L416" s="1030"/>
      <c r="M416" s="1015"/>
      <c r="N416" s="1015"/>
      <c r="O416" s="1016"/>
      <c r="P416" s="1016">
        <f>P417</f>
        <v>-200000</v>
      </c>
      <c r="Q416" s="1029"/>
      <c r="R416" s="1015"/>
    </row>
    <row r="417" spans="1:18" ht="36">
      <c r="A417" s="989">
        <v>7470</v>
      </c>
      <c r="B417" s="988" t="s">
        <v>167</v>
      </c>
      <c r="D417" s="1025"/>
      <c r="E417" s="1025"/>
      <c r="F417" s="1016">
        <v>-200000</v>
      </c>
      <c r="G417" s="1016"/>
      <c r="H417" s="1015"/>
      <c r="I417" s="1015"/>
      <c r="J417" s="1016"/>
      <c r="K417" s="1016">
        <v>-200000</v>
      </c>
      <c r="L417" s="1030"/>
      <c r="M417" s="1015"/>
      <c r="N417" s="1015"/>
      <c r="O417" s="1016"/>
      <c r="P417" s="1016">
        <v>-200000</v>
      </c>
      <c r="Q417" s="1029"/>
      <c r="R417" s="1015"/>
    </row>
    <row r="418" spans="1:18" ht="13.2">
      <c r="A418" s="889" t="s">
        <v>324</v>
      </c>
      <c r="B418" s="1031" t="s">
        <v>1023</v>
      </c>
      <c r="D418" s="1032"/>
      <c r="E418" s="1032"/>
      <c r="F418" s="470"/>
      <c r="G418" s="1033"/>
      <c r="H418" s="1015"/>
      <c r="I418" s="1015"/>
      <c r="J418" s="1015"/>
      <c r="K418" s="1015"/>
      <c r="L418" s="1033"/>
      <c r="M418" s="1015"/>
      <c r="N418" s="1015"/>
      <c r="O418" s="469"/>
      <c r="P418" s="470"/>
      <c r="Q418" s="1033"/>
      <c r="R418" s="470"/>
    </row>
    <row r="419" spans="1:18" ht="12">
      <c r="A419" s="965" t="s">
        <v>100</v>
      </c>
      <c r="B419" s="1008" t="s">
        <v>101</v>
      </c>
      <c r="D419" s="1006"/>
      <c r="E419" s="1006"/>
      <c r="F419" s="470"/>
      <c r="G419" s="1006">
        <f>G423+G434+G439+G474+G484+G491+G500</f>
        <v>2605776</v>
      </c>
      <c r="H419" s="1015"/>
      <c r="I419" s="1015"/>
      <c r="J419" s="1015"/>
      <c r="K419" s="1015"/>
      <c r="L419" s="1006">
        <f>L423+L434+L439+L474+L484+L491+L500</f>
        <v>2389926</v>
      </c>
      <c r="M419" s="1015"/>
      <c r="N419" s="1015"/>
      <c r="O419" s="469"/>
      <c r="P419" s="470"/>
      <c r="Q419" s="1006">
        <f>Q423+Q434+Q439+Q474+Q484+Q491+Q500</f>
        <v>2412836</v>
      </c>
      <c r="R419" s="470"/>
    </row>
    <row r="420" spans="1:18" ht="12">
      <c r="A420" s="767">
        <v>1000</v>
      </c>
      <c r="B420" s="768" t="s">
        <v>106</v>
      </c>
      <c r="D420" s="1006"/>
      <c r="E420" s="1006"/>
      <c r="F420" s="470"/>
      <c r="G420" s="1006">
        <f>G426+G442+G487+G503</f>
        <v>204632</v>
      </c>
      <c r="H420" s="1015"/>
      <c r="I420" s="1015"/>
      <c r="J420" s="1015"/>
      <c r="K420" s="1015"/>
      <c r="L420" s="1006">
        <f>L426+L442+L487+L503</f>
        <v>189108</v>
      </c>
      <c r="M420" s="1015"/>
      <c r="N420" s="1015"/>
      <c r="O420" s="469"/>
      <c r="P420" s="470"/>
      <c r="Q420" s="1006">
        <f>Q426+Q442+Q487+Q503</f>
        <v>169108</v>
      </c>
      <c r="R420" s="470"/>
    </row>
    <row r="421" spans="1:18" ht="12">
      <c r="A421" s="767"/>
      <c r="B421" s="768" t="s">
        <v>1024</v>
      </c>
      <c r="D421" s="469"/>
      <c r="E421" s="469"/>
      <c r="F421" s="470"/>
      <c r="G421" s="469"/>
      <c r="H421" s="1015"/>
      <c r="I421" s="1015"/>
      <c r="J421" s="1015"/>
      <c r="K421" s="1015"/>
      <c r="L421" s="469"/>
      <c r="M421" s="1015"/>
      <c r="N421" s="1015"/>
      <c r="O421" s="469"/>
      <c r="P421" s="470"/>
      <c r="Q421" s="469"/>
      <c r="R421" s="470"/>
    </row>
    <row r="422" spans="1:18" ht="26.4">
      <c r="A422" s="1034" t="s">
        <v>1025</v>
      </c>
      <c r="B422" s="1035" t="s">
        <v>1026</v>
      </c>
      <c r="D422" s="1036"/>
      <c r="E422" s="1036"/>
      <c r="F422" s="1014"/>
      <c r="G422" s="1037"/>
      <c r="H422" s="1015"/>
      <c r="I422" s="1015"/>
      <c r="J422" s="1015"/>
      <c r="K422" s="1015"/>
      <c r="L422" s="1037"/>
      <c r="M422" s="1015"/>
      <c r="N422" s="1015"/>
      <c r="O422" s="469"/>
      <c r="P422" s="470"/>
      <c r="Q422" s="1037"/>
      <c r="R422" s="470"/>
    </row>
    <row r="423" spans="1:18" ht="13.2">
      <c r="A423" s="965" t="s">
        <v>100</v>
      </c>
      <c r="B423" s="1008" t="s">
        <v>101</v>
      </c>
      <c r="C423" s="1038"/>
      <c r="D423" s="1039"/>
      <c r="E423" s="1039"/>
      <c r="F423" s="1029"/>
      <c r="G423" s="1040">
        <v>246198</v>
      </c>
      <c r="H423" s="1015"/>
      <c r="I423" s="1015"/>
      <c r="J423" s="1015"/>
      <c r="K423" s="1015"/>
      <c r="L423" s="1040">
        <v>88708</v>
      </c>
      <c r="M423" s="1015"/>
      <c r="N423" s="1015"/>
      <c r="O423" s="1016"/>
      <c r="P423" s="1015"/>
      <c r="Q423" s="1040">
        <v>146948</v>
      </c>
      <c r="R423" s="1015"/>
    </row>
    <row r="424" spans="1:18" ht="20.399999999999999">
      <c r="A424" s="965" t="s">
        <v>102</v>
      </c>
      <c r="B424" s="1008" t="s">
        <v>103</v>
      </c>
      <c r="D424" s="1041"/>
      <c r="E424" s="1041"/>
      <c r="F424" s="470"/>
      <c r="G424" s="1042">
        <v>236058</v>
      </c>
      <c r="H424" s="1015"/>
      <c r="I424" s="1015"/>
      <c r="J424" s="1015"/>
      <c r="K424" s="1015"/>
      <c r="L424" s="1042">
        <v>88708</v>
      </c>
      <c r="M424" s="1015"/>
      <c r="N424" s="1015"/>
      <c r="O424" s="469"/>
      <c r="P424" s="470"/>
      <c r="Q424" s="1042">
        <v>136108</v>
      </c>
      <c r="R424" s="470"/>
    </row>
    <row r="425" spans="1:18" ht="13.2">
      <c r="A425" s="965" t="s">
        <v>104</v>
      </c>
      <c r="B425" s="1008" t="s">
        <v>105</v>
      </c>
      <c r="D425" s="1041"/>
      <c r="E425" s="1041"/>
      <c r="F425" s="470"/>
      <c r="G425" s="1042">
        <v>236058</v>
      </c>
      <c r="H425" s="1015"/>
      <c r="I425" s="1015"/>
      <c r="J425" s="1015"/>
      <c r="K425" s="1015"/>
      <c r="L425" s="1042">
        <v>88708</v>
      </c>
      <c r="M425" s="1015"/>
      <c r="N425" s="1015"/>
      <c r="O425" s="469"/>
      <c r="P425" s="470"/>
      <c r="Q425" s="1042">
        <v>136108</v>
      </c>
      <c r="R425" s="470"/>
    </row>
    <row r="426" spans="1:18" ht="13.2">
      <c r="A426" s="767">
        <v>1000</v>
      </c>
      <c r="B426" s="768" t="s">
        <v>106</v>
      </c>
      <c r="D426" s="1041"/>
      <c r="E426" s="1041"/>
      <c r="F426" s="1014"/>
      <c r="G426" s="1042">
        <v>85708</v>
      </c>
      <c r="H426" s="1015"/>
      <c r="I426" s="1015"/>
      <c r="J426" s="1015"/>
      <c r="K426" s="1015"/>
      <c r="L426" s="1042">
        <v>85708</v>
      </c>
      <c r="M426" s="1015"/>
      <c r="N426" s="1015"/>
      <c r="O426" s="469"/>
      <c r="P426" s="470"/>
      <c r="Q426" s="1042">
        <v>85708</v>
      </c>
      <c r="R426" s="470"/>
    </row>
    <row r="427" spans="1:18" ht="13.2">
      <c r="A427" s="891">
        <v>1100</v>
      </c>
      <c r="B427" s="768" t="s">
        <v>107</v>
      </c>
      <c r="D427" s="1041"/>
      <c r="E427" s="1041"/>
      <c r="F427" s="1014"/>
      <c r="G427" s="1042">
        <v>64311</v>
      </c>
      <c r="H427" s="1015"/>
      <c r="I427" s="1015"/>
      <c r="J427" s="1015"/>
      <c r="K427" s="1015"/>
      <c r="L427" s="1042">
        <v>64311</v>
      </c>
      <c r="M427" s="1015"/>
      <c r="N427" s="1015"/>
      <c r="O427" s="469"/>
      <c r="P427" s="470"/>
      <c r="Q427" s="1042">
        <v>64311</v>
      </c>
      <c r="R427" s="470"/>
    </row>
    <row r="428" spans="1:18" ht="13.2">
      <c r="A428" s="767">
        <v>2000</v>
      </c>
      <c r="B428" s="768" t="s">
        <v>108</v>
      </c>
      <c r="D428" s="1041"/>
      <c r="E428" s="1041"/>
      <c r="F428" s="1014"/>
      <c r="G428" s="1042">
        <v>150350</v>
      </c>
      <c r="H428" s="1015"/>
      <c r="I428" s="1015"/>
      <c r="J428" s="1015"/>
      <c r="K428" s="1015"/>
      <c r="L428" s="1042">
        <v>3000</v>
      </c>
      <c r="M428" s="1015"/>
      <c r="N428" s="1015"/>
      <c r="O428" s="469"/>
      <c r="P428" s="470"/>
      <c r="Q428" s="1042">
        <v>50400</v>
      </c>
      <c r="R428" s="470"/>
    </row>
    <row r="429" spans="1:18" ht="13.2">
      <c r="A429" s="966" t="s">
        <v>109</v>
      </c>
      <c r="B429" s="1008" t="s">
        <v>110</v>
      </c>
      <c r="D429" s="1041"/>
      <c r="E429" s="1041"/>
      <c r="F429" s="1014"/>
      <c r="G429" s="1042"/>
      <c r="H429" s="1015"/>
      <c r="I429" s="1015"/>
      <c r="J429" s="1015"/>
      <c r="K429" s="1015"/>
      <c r="L429" s="1042"/>
      <c r="M429" s="1015"/>
      <c r="N429" s="1015"/>
      <c r="O429" s="469"/>
      <c r="P429" s="470"/>
      <c r="Q429" s="1042"/>
      <c r="R429" s="470"/>
    </row>
    <row r="430" spans="1:18" ht="13.2">
      <c r="A430" s="767">
        <v>3000</v>
      </c>
      <c r="B430" s="768" t="s">
        <v>111</v>
      </c>
      <c r="D430" s="1041"/>
      <c r="E430" s="1041"/>
      <c r="F430" s="1014"/>
      <c r="G430" s="1042"/>
      <c r="H430" s="1015"/>
      <c r="I430" s="1015"/>
      <c r="J430" s="1015"/>
      <c r="K430" s="1015"/>
      <c r="L430" s="1042"/>
      <c r="M430" s="1015"/>
      <c r="N430" s="1015"/>
      <c r="O430" s="469"/>
      <c r="P430" s="470"/>
      <c r="Q430" s="1042"/>
      <c r="R430" s="470"/>
    </row>
    <row r="431" spans="1:18" ht="13.2">
      <c r="A431" s="966" t="s">
        <v>133</v>
      </c>
      <c r="B431" s="1008" t="s">
        <v>122</v>
      </c>
      <c r="D431" s="1041"/>
      <c r="E431" s="1041"/>
      <c r="F431" s="470"/>
      <c r="G431" s="1042">
        <v>10140</v>
      </c>
      <c r="H431" s="1015"/>
      <c r="I431" s="1015"/>
      <c r="J431" s="1015"/>
      <c r="K431" s="1015"/>
      <c r="L431" s="1042">
        <v>0</v>
      </c>
      <c r="M431" s="1015"/>
      <c r="N431" s="1015"/>
      <c r="O431" s="469"/>
      <c r="P431" s="470"/>
      <c r="Q431" s="1042">
        <v>10840</v>
      </c>
      <c r="R431" s="470"/>
    </row>
    <row r="432" spans="1:18" ht="13.2">
      <c r="A432" s="966">
        <v>5000</v>
      </c>
      <c r="B432" s="1008" t="s">
        <v>123</v>
      </c>
      <c r="D432" s="1041"/>
      <c r="E432" s="1041"/>
      <c r="F432" s="470"/>
      <c r="G432" s="1042">
        <v>10140</v>
      </c>
      <c r="H432" s="1015"/>
      <c r="I432" s="1015"/>
      <c r="J432" s="1015"/>
      <c r="K432" s="1015"/>
      <c r="L432" s="1042">
        <v>0</v>
      </c>
      <c r="M432" s="1015"/>
      <c r="N432" s="1015"/>
      <c r="O432" s="469"/>
      <c r="P432" s="470"/>
      <c r="Q432" s="1042">
        <v>10840</v>
      </c>
      <c r="R432" s="470"/>
    </row>
    <row r="433" spans="1:18" ht="13.2">
      <c r="A433" s="1034" t="s">
        <v>1027</v>
      </c>
      <c r="B433" s="1043" t="s">
        <v>1028</v>
      </c>
      <c r="D433" s="1041"/>
      <c r="E433" s="1041"/>
      <c r="F433" s="1042"/>
      <c r="G433" s="1019"/>
      <c r="H433" s="1015"/>
      <c r="I433" s="1015"/>
      <c r="J433" s="1015"/>
      <c r="K433" s="1015"/>
      <c r="L433" s="1042"/>
      <c r="M433" s="1015"/>
      <c r="N433" s="1015"/>
      <c r="O433" s="469"/>
      <c r="P433" s="470"/>
      <c r="Q433" s="1042"/>
      <c r="R433" s="470"/>
    </row>
    <row r="434" spans="1:18" ht="12">
      <c r="A434" s="965" t="s">
        <v>100</v>
      </c>
      <c r="B434" s="1008" t="s">
        <v>101</v>
      </c>
      <c r="D434" s="1044"/>
      <c r="E434" s="1044"/>
      <c r="F434" s="1042"/>
      <c r="G434" s="1044">
        <v>462870</v>
      </c>
      <c r="H434" s="1015"/>
      <c r="I434" s="1015"/>
      <c r="J434" s="1015"/>
      <c r="K434" s="1015"/>
      <c r="L434" s="1044">
        <v>462870</v>
      </c>
      <c r="M434" s="1015"/>
      <c r="N434" s="1015"/>
      <c r="O434" s="469"/>
      <c r="P434" s="470"/>
      <c r="Q434" s="1044">
        <v>462870</v>
      </c>
      <c r="R434" s="470"/>
    </row>
    <row r="435" spans="1:18" ht="20.399999999999999">
      <c r="A435" s="965" t="s">
        <v>102</v>
      </c>
      <c r="B435" s="1008" t="s">
        <v>103</v>
      </c>
      <c r="D435" s="1045"/>
      <c r="E435" s="1045"/>
      <c r="F435" s="470"/>
      <c r="G435" s="1045">
        <v>462870</v>
      </c>
      <c r="H435" s="1015"/>
      <c r="I435" s="1015"/>
      <c r="J435" s="1015"/>
      <c r="K435" s="1015"/>
      <c r="L435" s="1045">
        <v>462870</v>
      </c>
      <c r="M435" s="1015"/>
      <c r="N435" s="1015"/>
      <c r="O435" s="469"/>
      <c r="P435" s="470"/>
      <c r="Q435" s="1045">
        <v>462870</v>
      </c>
      <c r="R435" s="470"/>
    </row>
    <row r="436" spans="1:18" ht="12">
      <c r="A436" s="966" t="s">
        <v>109</v>
      </c>
      <c r="B436" s="1008" t="s">
        <v>110</v>
      </c>
      <c r="D436" s="473"/>
      <c r="E436" s="473"/>
      <c r="F436" s="470"/>
      <c r="G436" s="473">
        <f>G437+G438</f>
        <v>462870</v>
      </c>
      <c r="H436" s="1015"/>
      <c r="I436" s="1015"/>
      <c r="J436" s="1015"/>
      <c r="K436" s="1015"/>
      <c r="L436" s="473">
        <f t="shared" ref="L436" si="364">L437+L438</f>
        <v>462870</v>
      </c>
      <c r="M436" s="1015"/>
      <c r="N436" s="1015"/>
      <c r="O436" s="469"/>
      <c r="P436" s="470"/>
      <c r="Q436" s="473">
        <f t="shared" ref="Q436" si="365">Q437+Q438</f>
        <v>462870</v>
      </c>
      <c r="R436" s="470"/>
    </row>
    <row r="437" spans="1:18" ht="12">
      <c r="A437" s="767">
        <v>3000</v>
      </c>
      <c r="B437" s="768" t="s">
        <v>111</v>
      </c>
      <c r="D437" s="1045"/>
      <c r="E437" s="1045"/>
      <c r="F437" s="470"/>
      <c r="G437" s="1045">
        <v>462870</v>
      </c>
      <c r="H437" s="1015"/>
      <c r="I437" s="1015"/>
      <c r="J437" s="1015"/>
      <c r="K437" s="1015"/>
      <c r="L437" s="1045">
        <v>462870</v>
      </c>
      <c r="M437" s="1015"/>
      <c r="N437" s="1015"/>
      <c r="O437" s="469"/>
      <c r="P437" s="470"/>
      <c r="Q437" s="1045">
        <v>462870</v>
      </c>
      <c r="R437" s="470"/>
    </row>
    <row r="438" spans="1:18" ht="13.2">
      <c r="A438" s="1046" t="s">
        <v>1029</v>
      </c>
      <c r="B438" s="1043" t="s">
        <v>1030</v>
      </c>
      <c r="D438" s="1036"/>
      <c r="E438" s="1036"/>
      <c r="F438" s="1014"/>
      <c r="G438" s="1037"/>
      <c r="H438" s="1015"/>
      <c r="I438" s="1015"/>
      <c r="J438" s="1015"/>
      <c r="K438" s="1015"/>
      <c r="L438" s="1037"/>
      <c r="M438" s="1015"/>
      <c r="N438" s="1015"/>
      <c r="O438" s="469"/>
      <c r="P438" s="470"/>
      <c r="Q438" s="1037"/>
      <c r="R438" s="470"/>
    </row>
    <row r="439" spans="1:18" ht="12">
      <c r="A439" s="965" t="s">
        <v>100</v>
      </c>
      <c r="B439" s="1008" t="s">
        <v>101</v>
      </c>
      <c r="D439" s="971"/>
      <c r="E439" s="971"/>
      <c r="F439" s="1042"/>
      <c r="G439" s="971">
        <v>1612918</v>
      </c>
      <c r="H439" s="1015"/>
      <c r="I439" s="1015"/>
      <c r="J439" s="1015"/>
      <c r="K439" s="1015"/>
      <c r="L439" s="971">
        <v>1646018</v>
      </c>
      <c r="M439" s="1015"/>
      <c r="N439" s="1015"/>
      <c r="O439" s="469"/>
      <c r="P439" s="470"/>
      <c r="Q439" s="971">
        <v>1648018</v>
      </c>
      <c r="R439" s="470"/>
    </row>
    <row r="440" spans="1:18" ht="20.399999999999999">
      <c r="A440" s="965" t="s">
        <v>102</v>
      </c>
      <c r="B440" s="1008" t="s">
        <v>103</v>
      </c>
      <c r="D440" s="474"/>
      <c r="E440" s="474"/>
      <c r="F440" s="1042"/>
      <c r="G440" s="474">
        <f>1612918-120000</f>
        <v>1492918</v>
      </c>
      <c r="H440" s="1015"/>
      <c r="I440" s="1015"/>
      <c r="J440" s="1015"/>
      <c r="K440" s="1015"/>
      <c r="L440" s="474">
        <f>1646018-100000</f>
        <v>1546018</v>
      </c>
      <c r="M440" s="1015"/>
      <c r="N440" s="1015"/>
      <c r="O440" s="469"/>
      <c r="P440" s="470"/>
      <c r="Q440" s="474">
        <f>1648018-100000</f>
        <v>1548018</v>
      </c>
      <c r="R440" s="470"/>
    </row>
    <row r="441" spans="1:18" ht="12">
      <c r="A441" s="965" t="s">
        <v>104</v>
      </c>
      <c r="B441" s="1008" t="s">
        <v>105</v>
      </c>
      <c r="D441" s="474"/>
      <c r="E441" s="474"/>
      <c r="F441" s="1042"/>
      <c r="G441" s="474">
        <f>1014410-120000</f>
        <v>894410</v>
      </c>
      <c r="H441" s="1015"/>
      <c r="I441" s="1015"/>
      <c r="J441" s="1015"/>
      <c r="K441" s="1015"/>
      <c r="L441" s="474">
        <f>1012110-100000</f>
        <v>912110</v>
      </c>
      <c r="M441" s="1015"/>
      <c r="N441" s="1015"/>
      <c r="O441" s="469"/>
      <c r="P441" s="470"/>
      <c r="Q441" s="474">
        <f>1012110-100000</f>
        <v>912110</v>
      </c>
      <c r="R441" s="470"/>
    </row>
    <row r="442" spans="1:18" ht="12">
      <c r="A442" s="767">
        <v>1000</v>
      </c>
      <c r="B442" s="768" t="s">
        <v>106</v>
      </c>
      <c r="D442" s="474"/>
      <c r="E442" s="474"/>
      <c r="F442" s="1042"/>
      <c r="G442" s="474">
        <v>83400</v>
      </c>
      <c r="H442" s="1015"/>
      <c r="I442" s="1015"/>
      <c r="J442" s="1015"/>
      <c r="K442" s="1015"/>
      <c r="L442" s="474">
        <v>83400</v>
      </c>
      <c r="M442" s="1015"/>
      <c r="N442" s="1015"/>
      <c r="O442" s="469"/>
      <c r="P442" s="470"/>
      <c r="Q442" s="474">
        <v>83400</v>
      </c>
      <c r="R442" s="470"/>
    </row>
    <row r="443" spans="1:18" ht="12">
      <c r="A443" s="891">
        <v>1100</v>
      </c>
      <c r="B443" s="768" t="s">
        <v>107</v>
      </c>
      <c r="D443" s="474"/>
      <c r="E443" s="474"/>
      <c r="F443" s="1042"/>
      <c r="G443" s="474">
        <v>67200</v>
      </c>
      <c r="H443" s="1015"/>
      <c r="I443" s="1015"/>
      <c r="J443" s="1015"/>
      <c r="K443" s="1015"/>
      <c r="L443" s="474">
        <v>67200</v>
      </c>
      <c r="M443" s="1015"/>
      <c r="N443" s="1015"/>
      <c r="O443" s="469"/>
      <c r="P443" s="470"/>
      <c r="Q443" s="474">
        <v>67200</v>
      </c>
      <c r="R443" s="470"/>
    </row>
    <row r="444" spans="1:18" ht="12">
      <c r="A444" s="767">
        <v>2000</v>
      </c>
      <c r="B444" s="768" t="s">
        <v>108</v>
      </c>
      <c r="D444" s="474"/>
      <c r="E444" s="474"/>
      <c r="F444" s="1042"/>
      <c r="G444" s="474">
        <f>931010-120000</f>
        <v>811010</v>
      </c>
      <c r="H444" s="1015"/>
      <c r="I444" s="1015"/>
      <c r="J444" s="1015"/>
      <c r="K444" s="1015"/>
      <c r="L444" s="474">
        <f>928710-100000</f>
        <v>828710</v>
      </c>
      <c r="M444" s="1015"/>
      <c r="N444" s="1015"/>
      <c r="O444" s="469"/>
      <c r="P444" s="470"/>
      <c r="Q444" s="474">
        <f>928710-100000</f>
        <v>828710</v>
      </c>
      <c r="R444" s="470"/>
    </row>
    <row r="445" spans="1:18" ht="12">
      <c r="A445" s="966" t="s">
        <v>109</v>
      </c>
      <c r="B445" s="1008" t="s">
        <v>110</v>
      </c>
      <c r="D445" s="474"/>
      <c r="E445" s="474"/>
      <c r="F445" s="1042"/>
      <c r="G445" s="474">
        <v>598508</v>
      </c>
      <c r="H445" s="1015"/>
      <c r="I445" s="1015"/>
      <c r="J445" s="1015"/>
      <c r="K445" s="1015"/>
      <c r="L445" s="474">
        <v>633908</v>
      </c>
      <c r="M445" s="1015"/>
      <c r="N445" s="1015"/>
      <c r="O445" s="469"/>
      <c r="P445" s="470"/>
      <c r="Q445" s="474">
        <v>635908</v>
      </c>
      <c r="R445" s="470"/>
    </row>
    <row r="446" spans="1:18" ht="12">
      <c r="A446" s="767">
        <v>3000</v>
      </c>
      <c r="B446" s="768" t="s">
        <v>111</v>
      </c>
      <c r="D446" s="474"/>
      <c r="E446" s="474"/>
      <c r="F446" s="1042"/>
      <c r="G446" s="474">
        <v>598508</v>
      </c>
      <c r="H446" s="1015"/>
      <c r="I446" s="1015"/>
      <c r="J446" s="1015"/>
      <c r="K446" s="1015"/>
      <c r="L446" s="474">
        <v>633908</v>
      </c>
      <c r="M446" s="1015"/>
      <c r="N446" s="1015"/>
      <c r="O446" s="469"/>
      <c r="P446" s="470"/>
      <c r="Q446" s="474">
        <v>635908</v>
      </c>
      <c r="R446" s="470"/>
    </row>
    <row r="447" spans="1:18" ht="13.2">
      <c r="A447" s="966" t="s">
        <v>133</v>
      </c>
      <c r="B447" s="1008" t="s">
        <v>122</v>
      </c>
      <c r="D447" s="1041"/>
      <c r="E447" s="1041"/>
      <c r="F447" s="1042"/>
      <c r="G447" s="474">
        <f>G448</f>
        <v>120000</v>
      </c>
      <c r="H447" s="1015"/>
      <c r="I447" s="1015"/>
      <c r="J447" s="1015"/>
      <c r="K447" s="1015"/>
      <c r="L447" s="474">
        <f>L448</f>
        <v>100000</v>
      </c>
      <c r="M447" s="1015"/>
      <c r="N447" s="1015"/>
      <c r="O447" s="1016"/>
      <c r="P447" s="1015"/>
      <c r="Q447" s="474">
        <f>Q448</f>
        <v>100000</v>
      </c>
      <c r="R447" s="1015"/>
    </row>
    <row r="448" spans="1:18" ht="13.2">
      <c r="A448" s="966">
        <v>5000</v>
      </c>
      <c r="B448" s="1008" t="s">
        <v>123</v>
      </c>
      <c r="D448" s="1041"/>
      <c r="E448" s="1041"/>
      <c r="F448" s="470"/>
      <c r="G448" s="474">
        <v>120000</v>
      </c>
      <c r="H448" s="1015"/>
      <c r="I448" s="1015"/>
      <c r="J448" s="1015"/>
      <c r="K448" s="1015"/>
      <c r="L448" s="474">
        <v>100000</v>
      </c>
      <c r="M448" s="1015"/>
      <c r="N448" s="1015"/>
      <c r="O448" s="1016"/>
      <c r="P448" s="1015"/>
      <c r="Q448" s="474">
        <v>100000</v>
      </c>
      <c r="R448" s="1015"/>
    </row>
    <row r="449" spans="1:18" ht="26.4">
      <c r="A449" s="1047" t="s">
        <v>1031</v>
      </c>
      <c r="B449" s="1043" t="s">
        <v>1032</v>
      </c>
      <c r="D449" s="1041"/>
      <c r="E449" s="1041"/>
      <c r="F449" s="470"/>
      <c r="G449" s="1042"/>
      <c r="H449" s="1015"/>
      <c r="I449" s="1015"/>
      <c r="J449" s="1015"/>
      <c r="K449" s="1015"/>
      <c r="L449" s="1042"/>
      <c r="M449" s="1015"/>
      <c r="N449" s="1015"/>
      <c r="O449" s="1016"/>
      <c r="P449" s="1015"/>
      <c r="Q449" s="1042"/>
      <c r="R449" s="1015"/>
    </row>
    <row r="450" spans="1:18" ht="12">
      <c r="A450" s="1048" t="s">
        <v>100</v>
      </c>
      <c r="B450" s="1008" t="s">
        <v>101</v>
      </c>
      <c r="D450" s="971"/>
      <c r="E450" s="971"/>
      <c r="F450" s="470"/>
      <c r="G450" s="971">
        <f>G451+G456</f>
        <v>686410</v>
      </c>
      <c r="H450" s="1015"/>
      <c r="I450" s="1015"/>
      <c r="J450" s="1015"/>
      <c r="K450" s="1015"/>
      <c r="L450" s="971">
        <f>L451+L456</f>
        <v>686410</v>
      </c>
      <c r="M450" s="1015"/>
      <c r="N450" s="1015"/>
      <c r="O450" s="1016"/>
      <c r="P450" s="1015"/>
      <c r="Q450" s="971">
        <f>Q451+Q456</f>
        <v>686410</v>
      </c>
      <c r="R450" s="1015"/>
    </row>
    <row r="451" spans="1:18" ht="20.399999999999999">
      <c r="A451" s="1048" t="s">
        <v>102</v>
      </c>
      <c r="B451" s="1008" t="s">
        <v>103</v>
      </c>
      <c r="D451" s="474"/>
      <c r="E451" s="474"/>
      <c r="F451" s="470"/>
      <c r="G451" s="474">
        <f>G452</f>
        <v>566410</v>
      </c>
      <c r="H451" s="1015"/>
      <c r="I451" s="1015"/>
      <c r="J451" s="1015"/>
      <c r="K451" s="1015"/>
      <c r="L451" s="474">
        <f>L452</f>
        <v>586410</v>
      </c>
      <c r="M451" s="1015"/>
      <c r="N451" s="1015"/>
      <c r="O451" s="1016"/>
      <c r="P451" s="1015"/>
      <c r="Q451" s="474">
        <f>Q452</f>
        <v>586410</v>
      </c>
      <c r="R451" s="1015"/>
    </row>
    <row r="452" spans="1:18" ht="12">
      <c r="A452" s="1048" t="s">
        <v>104</v>
      </c>
      <c r="B452" s="1008" t="s">
        <v>105</v>
      </c>
      <c r="D452" s="474"/>
      <c r="E452" s="474"/>
      <c r="F452" s="470"/>
      <c r="G452" s="474">
        <f>G453+G455</f>
        <v>566410</v>
      </c>
      <c r="H452" s="1015"/>
      <c r="I452" s="1015"/>
      <c r="J452" s="1015"/>
      <c r="K452" s="1015"/>
      <c r="L452" s="474">
        <f>L453+L455</f>
        <v>586410</v>
      </c>
      <c r="M452" s="1015"/>
      <c r="N452" s="1015"/>
      <c r="O452" s="1016"/>
      <c r="P452" s="1015"/>
      <c r="Q452" s="474">
        <f>Q453+Q455</f>
        <v>586410</v>
      </c>
      <c r="R452" s="1015"/>
    </row>
    <row r="453" spans="1:18" ht="12">
      <c r="A453" s="1049">
        <v>1000</v>
      </c>
      <c r="B453" s="768" t="s">
        <v>106</v>
      </c>
      <c r="D453" s="474"/>
      <c r="E453" s="474"/>
      <c r="F453" s="470"/>
      <c r="G453" s="474">
        <v>83400</v>
      </c>
      <c r="H453" s="1015"/>
      <c r="I453" s="1015"/>
      <c r="J453" s="1015"/>
      <c r="K453" s="1015"/>
      <c r="L453" s="474">
        <v>83400</v>
      </c>
      <c r="M453" s="1015"/>
      <c r="N453" s="1015"/>
      <c r="O453" s="1016"/>
      <c r="P453" s="1015"/>
      <c r="Q453" s="474">
        <v>83400</v>
      </c>
      <c r="R453" s="1015"/>
    </row>
    <row r="454" spans="1:18" ht="12">
      <c r="A454" s="1049">
        <v>1100</v>
      </c>
      <c r="B454" s="768" t="s">
        <v>107</v>
      </c>
      <c r="D454" s="474"/>
      <c r="E454" s="474"/>
      <c r="F454" s="470"/>
      <c r="G454" s="474">
        <v>67200</v>
      </c>
      <c r="H454" s="1015"/>
      <c r="I454" s="1015"/>
      <c r="J454" s="1015"/>
      <c r="K454" s="1015"/>
      <c r="L454" s="474">
        <v>67200</v>
      </c>
      <c r="M454" s="1015"/>
      <c r="N454" s="1015"/>
      <c r="O454" s="1016"/>
      <c r="P454" s="1015"/>
      <c r="Q454" s="474">
        <v>67200</v>
      </c>
      <c r="R454" s="1015"/>
    </row>
    <row r="455" spans="1:18" ht="12">
      <c r="A455" s="1049">
        <v>2000</v>
      </c>
      <c r="B455" s="768" t="s">
        <v>108</v>
      </c>
      <c r="D455" s="474"/>
      <c r="E455" s="474"/>
      <c r="F455" s="470"/>
      <c r="G455" s="474">
        <v>483010</v>
      </c>
      <c r="H455" s="1015"/>
      <c r="I455" s="1015"/>
      <c r="J455" s="1015"/>
      <c r="K455" s="1015"/>
      <c r="L455" s="474">
        <v>503010</v>
      </c>
      <c r="M455" s="1015"/>
      <c r="N455" s="1015"/>
      <c r="O455" s="1016"/>
      <c r="P455" s="1015"/>
      <c r="Q455" s="474">
        <v>503010</v>
      </c>
      <c r="R455" s="1015"/>
    </row>
    <row r="456" spans="1:18" ht="12">
      <c r="A456" s="1048" t="s">
        <v>133</v>
      </c>
      <c r="B456" s="1008" t="s">
        <v>122</v>
      </c>
      <c r="D456" s="474"/>
      <c r="E456" s="474"/>
      <c r="F456" s="470"/>
      <c r="G456" s="474">
        <f>G457</f>
        <v>120000</v>
      </c>
      <c r="H456" s="1015"/>
      <c r="I456" s="1015"/>
      <c r="J456" s="1015"/>
      <c r="K456" s="1015"/>
      <c r="L456" s="474">
        <f>L457</f>
        <v>100000</v>
      </c>
      <c r="M456" s="1015"/>
      <c r="N456" s="1015"/>
      <c r="O456" s="1016"/>
      <c r="P456" s="1015"/>
      <c r="Q456" s="474">
        <f>Q457</f>
        <v>100000</v>
      </c>
      <c r="R456" s="1015"/>
    </row>
    <row r="457" spans="1:18" ht="12">
      <c r="A457" s="1048">
        <v>5000</v>
      </c>
      <c r="B457" s="1008" t="s">
        <v>123</v>
      </c>
      <c r="D457" s="474"/>
      <c r="E457" s="474"/>
      <c r="F457" s="470"/>
      <c r="G457" s="474">
        <v>120000</v>
      </c>
      <c r="H457" s="1015"/>
      <c r="I457" s="1015"/>
      <c r="J457" s="1015"/>
      <c r="K457" s="1015"/>
      <c r="L457" s="474">
        <v>100000</v>
      </c>
      <c r="M457" s="1015"/>
      <c r="N457" s="1015"/>
      <c r="O457" s="1016"/>
      <c r="P457" s="1015"/>
      <c r="Q457" s="474">
        <v>100000</v>
      </c>
      <c r="R457" s="1015"/>
    </row>
    <row r="458" spans="1:18" ht="26.4">
      <c r="A458" s="1047" t="s">
        <v>1033</v>
      </c>
      <c r="B458" s="1043" t="s">
        <v>1032</v>
      </c>
      <c r="D458" s="1041"/>
      <c r="E458" s="1041"/>
      <c r="F458" s="470"/>
      <c r="G458" s="1042"/>
      <c r="H458" s="1015"/>
      <c r="I458" s="1015"/>
      <c r="J458" s="1015"/>
      <c r="K458" s="1015"/>
      <c r="L458" s="1042"/>
      <c r="M458" s="1015"/>
      <c r="N458" s="1015"/>
      <c r="O458" s="1016"/>
      <c r="P458" s="1015"/>
      <c r="Q458" s="1042"/>
      <c r="R458" s="1015"/>
    </row>
    <row r="459" spans="1:18" ht="13.2">
      <c r="A459" s="1048" t="s">
        <v>100</v>
      </c>
      <c r="B459" s="1008" t="s">
        <v>101</v>
      </c>
      <c r="D459" s="1039"/>
      <c r="E459" s="1039"/>
      <c r="F459" s="470"/>
      <c r="G459" s="1040">
        <v>73400</v>
      </c>
      <c r="H459" s="1015"/>
      <c r="I459" s="1015"/>
      <c r="J459" s="1015"/>
      <c r="K459" s="1015"/>
      <c r="L459" s="1040">
        <v>71100</v>
      </c>
      <c r="M459" s="1015"/>
      <c r="N459" s="1015"/>
      <c r="O459" s="469"/>
      <c r="P459" s="470"/>
      <c r="Q459" s="1040">
        <v>71100</v>
      </c>
      <c r="R459" s="470"/>
    </row>
    <row r="460" spans="1:18" ht="20.399999999999999">
      <c r="A460" s="1048" t="s">
        <v>102</v>
      </c>
      <c r="B460" s="1008" t="s">
        <v>103</v>
      </c>
      <c r="D460" s="1041"/>
      <c r="E460" s="1041"/>
      <c r="F460" s="470"/>
      <c r="G460" s="1042">
        <v>73400</v>
      </c>
      <c r="H460" s="1015"/>
      <c r="I460" s="1015"/>
      <c r="J460" s="1015"/>
      <c r="K460" s="1015"/>
      <c r="L460" s="1042">
        <v>71100</v>
      </c>
      <c r="M460" s="1015"/>
      <c r="N460" s="1015"/>
      <c r="O460" s="469"/>
      <c r="P460" s="470"/>
      <c r="Q460" s="1042">
        <v>71100</v>
      </c>
      <c r="R460" s="470"/>
    </row>
    <row r="461" spans="1:18" ht="13.2">
      <c r="A461" s="1048" t="s">
        <v>104</v>
      </c>
      <c r="B461" s="1008" t="s">
        <v>105</v>
      </c>
      <c r="D461" s="1041"/>
      <c r="E461" s="1041"/>
      <c r="F461" s="470"/>
      <c r="G461" s="1042">
        <v>73400</v>
      </c>
      <c r="H461" s="1015"/>
      <c r="I461" s="1015"/>
      <c r="J461" s="1015"/>
      <c r="K461" s="1015"/>
      <c r="L461" s="1042">
        <v>71100</v>
      </c>
      <c r="M461" s="1015"/>
      <c r="N461" s="1015"/>
      <c r="O461" s="469"/>
      <c r="P461" s="470"/>
      <c r="Q461" s="1042">
        <v>71100</v>
      </c>
      <c r="R461" s="470"/>
    </row>
    <row r="462" spans="1:18" ht="13.2">
      <c r="A462" s="1049">
        <v>2000</v>
      </c>
      <c r="B462" s="768" t="s">
        <v>108</v>
      </c>
      <c r="D462" s="1041"/>
      <c r="E462" s="1041"/>
      <c r="F462" s="470"/>
      <c r="G462" s="1042">
        <v>73400</v>
      </c>
      <c r="H462" s="1015"/>
      <c r="I462" s="1015"/>
      <c r="J462" s="1015"/>
      <c r="K462" s="1015"/>
      <c r="L462" s="1042">
        <v>71100</v>
      </c>
      <c r="M462" s="1015"/>
      <c r="N462" s="1015"/>
      <c r="O462" s="469"/>
      <c r="P462" s="470"/>
      <c r="Q462" s="1042">
        <v>71100</v>
      </c>
      <c r="R462" s="470"/>
    </row>
    <row r="463" spans="1:18" ht="13.2">
      <c r="A463" s="1047" t="s">
        <v>1034</v>
      </c>
      <c r="B463" s="1043" t="s">
        <v>1035</v>
      </c>
      <c r="D463" s="1041"/>
      <c r="E463" s="1041"/>
      <c r="F463" s="470"/>
      <c r="G463" s="1042"/>
      <c r="H463" s="1015"/>
      <c r="I463" s="1015"/>
      <c r="J463" s="1015"/>
      <c r="K463" s="1015"/>
      <c r="L463" s="1042"/>
      <c r="M463" s="1015"/>
      <c r="N463" s="1015"/>
      <c r="O463" s="469"/>
      <c r="P463" s="470"/>
      <c r="Q463" s="1042"/>
      <c r="R463" s="470"/>
    </row>
    <row r="464" spans="1:18" ht="13.2">
      <c r="A464" s="1048" t="s">
        <v>100</v>
      </c>
      <c r="B464" s="1008" t="s">
        <v>101</v>
      </c>
      <c r="D464" s="1039"/>
      <c r="E464" s="1039"/>
      <c r="F464" s="470"/>
      <c r="G464" s="1040">
        <v>254600</v>
      </c>
      <c r="H464" s="1015"/>
      <c r="I464" s="1015"/>
      <c r="J464" s="1015"/>
      <c r="K464" s="1015"/>
      <c r="L464" s="1040">
        <v>254600</v>
      </c>
      <c r="M464" s="1015"/>
      <c r="N464" s="1015"/>
      <c r="O464" s="469"/>
      <c r="P464" s="470"/>
      <c r="Q464" s="1040">
        <v>254600</v>
      </c>
      <c r="R464" s="470"/>
    </row>
    <row r="465" spans="1:18" ht="20.399999999999999">
      <c r="A465" s="1048" t="s">
        <v>102</v>
      </c>
      <c r="B465" s="1008" t="s">
        <v>103</v>
      </c>
      <c r="D465" s="1041"/>
      <c r="E465" s="1041"/>
      <c r="F465" s="470"/>
      <c r="G465" s="1042">
        <v>254600</v>
      </c>
      <c r="H465" s="1015"/>
      <c r="I465" s="1015"/>
      <c r="J465" s="1015"/>
      <c r="K465" s="1015"/>
      <c r="L465" s="1042">
        <v>254600</v>
      </c>
      <c r="M465" s="1015"/>
      <c r="N465" s="1015"/>
      <c r="O465" s="469"/>
      <c r="P465" s="470"/>
      <c r="Q465" s="1042">
        <v>254600</v>
      </c>
      <c r="R465" s="470"/>
    </row>
    <row r="466" spans="1:18" ht="13.2">
      <c r="A466" s="1048" t="s">
        <v>104</v>
      </c>
      <c r="B466" s="1008" t="s">
        <v>105</v>
      </c>
      <c r="D466" s="1041"/>
      <c r="E466" s="1041"/>
      <c r="F466" s="470"/>
      <c r="G466" s="1042">
        <v>254600</v>
      </c>
      <c r="H466" s="1015"/>
      <c r="I466" s="1015"/>
      <c r="J466" s="1015"/>
      <c r="K466" s="1015"/>
      <c r="L466" s="1042">
        <v>254600</v>
      </c>
      <c r="M466" s="1015"/>
      <c r="N466" s="1015"/>
      <c r="O466" s="469"/>
      <c r="P466" s="470"/>
      <c r="Q466" s="1042">
        <v>254600</v>
      </c>
      <c r="R466" s="470"/>
    </row>
    <row r="467" spans="1:18" ht="13.2">
      <c r="A467" s="1049">
        <v>2000</v>
      </c>
      <c r="B467" s="768" t="s">
        <v>108</v>
      </c>
      <c r="D467" s="1041"/>
      <c r="E467" s="1041"/>
      <c r="F467" s="470"/>
      <c r="G467" s="1042">
        <v>254600</v>
      </c>
      <c r="H467" s="1015"/>
      <c r="I467" s="1015"/>
      <c r="J467" s="1015"/>
      <c r="K467" s="1015"/>
      <c r="L467" s="1042">
        <v>254600</v>
      </c>
      <c r="M467" s="1015"/>
      <c r="N467" s="1015"/>
      <c r="O467" s="469"/>
      <c r="P467" s="470"/>
      <c r="Q467" s="1042">
        <v>254600</v>
      </c>
      <c r="R467" s="470"/>
    </row>
    <row r="468" spans="1:18" ht="13.2">
      <c r="A468" s="1047" t="s">
        <v>1036</v>
      </c>
      <c r="B468" s="1050" t="s">
        <v>1037</v>
      </c>
      <c r="D468" s="1041"/>
      <c r="E468" s="1041"/>
      <c r="F468" s="470"/>
      <c r="G468" s="1042"/>
      <c r="H468" s="1015"/>
      <c r="I468" s="1015"/>
      <c r="J468" s="1015"/>
      <c r="K468" s="1015"/>
      <c r="L468" s="1042"/>
      <c r="M468" s="1015"/>
      <c r="N468" s="1015"/>
      <c r="O468" s="469"/>
      <c r="P468" s="470"/>
      <c r="Q468" s="1042"/>
      <c r="R468" s="470"/>
    </row>
    <row r="469" spans="1:18" ht="13.2">
      <c r="A469" s="1048" t="s">
        <v>100</v>
      </c>
      <c r="B469" s="1008" t="s">
        <v>101</v>
      </c>
      <c r="D469" s="1039"/>
      <c r="E469" s="1039"/>
      <c r="F469" s="470"/>
      <c r="G469" s="1040">
        <v>598508</v>
      </c>
      <c r="H469" s="1015"/>
      <c r="I469" s="1015"/>
      <c r="J469" s="1015"/>
      <c r="K469" s="1015"/>
      <c r="L469" s="1040">
        <v>633908</v>
      </c>
      <c r="M469" s="1015"/>
      <c r="N469" s="1015"/>
      <c r="O469" s="469"/>
      <c r="P469" s="470"/>
      <c r="Q469" s="1040">
        <v>635908</v>
      </c>
      <c r="R469" s="470"/>
    </row>
    <row r="470" spans="1:18" ht="20.399999999999999">
      <c r="A470" s="1048" t="s">
        <v>102</v>
      </c>
      <c r="B470" s="1008" t="s">
        <v>103</v>
      </c>
      <c r="D470" s="1041"/>
      <c r="E470" s="1041"/>
      <c r="F470" s="470"/>
      <c r="G470" s="1042">
        <v>598508</v>
      </c>
      <c r="H470" s="1015"/>
      <c r="I470" s="1015"/>
      <c r="J470" s="1015"/>
      <c r="K470" s="1015"/>
      <c r="L470" s="1042">
        <v>633908</v>
      </c>
      <c r="M470" s="1015"/>
      <c r="N470" s="1015"/>
      <c r="O470" s="469"/>
      <c r="P470" s="470"/>
      <c r="Q470" s="1042">
        <v>635908</v>
      </c>
      <c r="R470" s="470"/>
    </row>
    <row r="471" spans="1:18" ht="13.2">
      <c r="A471" s="1048" t="s">
        <v>109</v>
      </c>
      <c r="B471" s="1008" t="s">
        <v>110</v>
      </c>
      <c r="D471" s="1041"/>
      <c r="E471" s="1041"/>
      <c r="F471" s="470"/>
      <c r="G471" s="1042">
        <v>598508</v>
      </c>
      <c r="H471" s="1015"/>
      <c r="I471" s="1015"/>
      <c r="J471" s="1015"/>
      <c r="K471" s="1015"/>
      <c r="L471" s="1042">
        <v>633908</v>
      </c>
      <c r="M471" s="1015"/>
      <c r="N471" s="1015"/>
      <c r="O471" s="469"/>
      <c r="P471" s="470"/>
      <c r="Q471" s="1042">
        <v>635908</v>
      </c>
      <c r="R471" s="470"/>
    </row>
    <row r="472" spans="1:18" ht="13.2">
      <c r="A472" s="1049">
        <v>3000</v>
      </c>
      <c r="B472" s="768" t="s">
        <v>111</v>
      </c>
      <c r="D472" s="1041"/>
      <c r="E472" s="1041"/>
      <c r="F472" s="470"/>
      <c r="G472" s="1042">
        <v>598508</v>
      </c>
      <c r="H472" s="1015"/>
      <c r="I472" s="1015"/>
      <c r="J472" s="1015"/>
      <c r="K472" s="1015"/>
      <c r="L472" s="1042">
        <v>633908</v>
      </c>
      <c r="M472" s="1015"/>
      <c r="N472" s="1015"/>
      <c r="O472" s="469"/>
      <c r="P472" s="470"/>
      <c r="Q472" s="1042">
        <v>635908</v>
      </c>
      <c r="R472" s="470"/>
    </row>
    <row r="473" spans="1:18" ht="26.4">
      <c r="A473" s="1051" t="s">
        <v>1038</v>
      </c>
      <c r="B473" s="1043" t="s">
        <v>1039</v>
      </c>
      <c r="D473" s="1041"/>
      <c r="E473" s="1041"/>
      <c r="F473" s="470"/>
      <c r="G473" s="1042"/>
      <c r="H473" s="1015"/>
      <c r="I473" s="1015"/>
      <c r="J473" s="1015"/>
      <c r="K473" s="1015"/>
      <c r="L473" s="1042"/>
      <c r="M473" s="1015"/>
      <c r="N473" s="1015"/>
      <c r="O473" s="469"/>
      <c r="P473" s="470"/>
      <c r="Q473" s="1042"/>
      <c r="R473" s="470"/>
    </row>
    <row r="474" spans="1:18" ht="13.2">
      <c r="A474" s="965" t="s">
        <v>100</v>
      </c>
      <c r="B474" s="1008" t="s">
        <v>101</v>
      </c>
      <c r="D474" s="1039"/>
      <c r="E474" s="1039"/>
      <c r="F474" s="470"/>
      <c r="G474" s="1040">
        <v>150000</v>
      </c>
      <c r="H474" s="1015"/>
      <c r="I474" s="1015"/>
      <c r="J474" s="1015"/>
      <c r="K474" s="1015"/>
      <c r="L474" s="1040">
        <v>150000</v>
      </c>
      <c r="M474" s="1015"/>
      <c r="N474" s="1015"/>
      <c r="O474" s="469"/>
      <c r="P474" s="470"/>
      <c r="Q474" s="1040">
        <v>150000</v>
      </c>
      <c r="R474" s="470"/>
    </row>
    <row r="475" spans="1:18" ht="20.399999999999999">
      <c r="A475" s="965" t="s">
        <v>102</v>
      </c>
      <c r="B475" s="1008" t="s">
        <v>103</v>
      </c>
      <c r="D475" s="1041"/>
      <c r="E475" s="1041"/>
      <c r="F475" s="470"/>
      <c r="G475" s="1042">
        <f>G476+G480</f>
        <v>150000</v>
      </c>
      <c r="H475" s="1015"/>
      <c r="I475" s="1015"/>
      <c r="J475" s="1015"/>
      <c r="K475" s="1015"/>
      <c r="L475" s="1042">
        <f t="shared" ref="L475" si="366">L476+L480</f>
        <v>150000</v>
      </c>
      <c r="M475" s="1015"/>
      <c r="N475" s="1015"/>
      <c r="O475" s="469"/>
      <c r="P475" s="470"/>
      <c r="Q475" s="1042">
        <f t="shared" ref="Q475" si="367">Q476+Q480</f>
        <v>150000</v>
      </c>
      <c r="R475" s="470"/>
    </row>
    <row r="476" spans="1:18" ht="12">
      <c r="A476" s="965" t="s">
        <v>104</v>
      </c>
      <c r="B476" s="1008" t="s">
        <v>105</v>
      </c>
      <c r="D476" s="471"/>
      <c r="E476" s="471"/>
      <c r="F476" s="470"/>
      <c r="G476" s="471">
        <f>G479</f>
        <v>50000</v>
      </c>
      <c r="H476" s="1015"/>
      <c r="I476" s="1015"/>
      <c r="J476" s="1015"/>
      <c r="K476" s="1015"/>
      <c r="L476" s="471">
        <f t="shared" ref="L476" si="368">L479</f>
        <v>75000</v>
      </c>
      <c r="M476" s="1015"/>
      <c r="N476" s="1015"/>
      <c r="O476" s="469"/>
      <c r="P476" s="470"/>
      <c r="Q476" s="471">
        <f t="shared" ref="Q476" si="369">Q479</f>
        <v>100000</v>
      </c>
      <c r="R476" s="470"/>
    </row>
    <row r="477" spans="1:18" ht="12">
      <c r="A477" s="767">
        <v>1000</v>
      </c>
      <c r="B477" s="768" t="s">
        <v>106</v>
      </c>
      <c r="D477" s="471"/>
      <c r="E477" s="471"/>
      <c r="F477" s="470"/>
      <c r="G477" s="471"/>
      <c r="H477" s="1015"/>
      <c r="I477" s="1015"/>
      <c r="J477" s="1015"/>
      <c r="K477" s="1015"/>
      <c r="L477" s="471"/>
      <c r="M477" s="1015"/>
      <c r="N477" s="1015"/>
      <c r="O477" s="469"/>
      <c r="P477" s="470"/>
      <c r="Q477" s="471"/>
      <c r="R477" s="470"/>
    </row>
    <row r="478" spans="1:18" ht="12">
      <c r="A478" s="891">
        <v>1100</v>
      </c>
      <c r="B478" s="768" t="s">
        <v>107</v>
      </c>
      <c r="D478" s="471"/>
      <c r="E478" s="471"/>
      <c r="F478" s="470"/>
      <c r="G478" s="471"/>
      <c r="H478" s="1015"/>
      <c r="I478" s="1015"/>
      <c r="J478" s="1015"/>
      <c r="K478" s="1015"/>
      <c r="L478" s="471"/>
      <c r="M478" s="1015"/>
      <c r="N478" s="1015"/>
      <c r="O478" s="469"/>
      <c r="P478" s="470"/>
      <c r="Q478" s="471"/>
      <c r="R478" s="470"/>
    </row>
    <row r="479" spans="1:18" ht="12">
      <c r="A479" s="767">
        <v>2000</v>
      </c>
      <c r="B479" s="768" t="s">
        <v>108</v>
      </c>
      <c r="D479" s="471"/>
      <c r="E479" s="471"/>
      <c r="F479" s="470"/>
      <c r="G479" s="471">
        <v>50000</v>
      </c>
      <c r="H479" s="1015"/>
      <c r="I479" s="1015"/>
      <c r="J479" s="1015"/>
      <c r="K479" s="1015"/>
      <c r="L479" s="471">
        <v>75000</v>
      </c>
      <c r="M479" s="1015"/>
      <c r="N479" s="1015"/>
      <c r="O479" s="469"/>
      <c r="P479" s="470"/>
      <c r="Q479" s="471">
        <v>100000</v>
      </c>
      <c r="R479" s="470"/>
    </row>
    <row r="480" spans="1:18" ht="20.399999999999999">
      <c r="A480" s="966" t="s">
        <v>185</v>
      </c>
      <c r="B480" s="1008" t="s">
        <v>115</v>
      </c>
      <c r="D480" s="471"/>
      <c r="E480" s="471"/>
      <c r="F480" s="470"/>
      <c r="G480" s="471">
        <f>G481</f>
        <v>100000</v>
      </c>
      <c r="H480" s="1015"/>
      <c r="I480" s="1015"/>
      <c r="J480" s="1015"/>
      <c r="K480" s="1015"/>
      <c r="L480" s="471">
        <f t="shared" ref="L480:L481" si="370">L481</f>
        <v>75000</v>
      </c>
      <c r="M480" s="1015"/>
      <c r="N480" s="1015"/>
      <c r="O480" s="469"/>
      <c r="P480" s="470"/>
      <c r="Q480" s="471">
        <f t="shared" ref="Q480:Q481" si="371">Q481</f>
        <v>50000</v>
      </c>
      <c r="R480" s="470"/>
    </row>
    <row r="481" spans="1:18" ht="24">
      <c r="A481" s="767">
        <v>7400</v>
      </c>
      <c r="B481" s="991" t="s">
        <v>161</v>
      </c>
      <c r="D481" s="991"/>
      <c r="E481" s="991"/>
      <c r="F481" s="470"/>
      <c r="G481" s="982">
        <f>G482</f>
        <v>100000</v>
      </c>
      <c r="H481" s="1015"/>
      <c r="I481" s="1015"/>
      <c r="J481" s="1015"/>
      <c r="K481" s="1015"/>
      <c r="L481" s="982">
        <f t="shared" si="370"/>
        <v>75000</v>
      </c>
      <c r="M481" s="1015"/>
      <c r="N481" s="1015"/>
      <c r="O481" s="469"/>
      <c r="P481" s="470"/>
      <c r="Q481" s="982">
        <f t="shared" si="371"/>
        <v>50000</v>
      </c>
      <c r="R481" s="470"/>
    </row>
    <row r="482" spans="1:18" ht="36">
      <c r="A482" s="989">
        <v>7470</v>
      </c>
      <c r="B482" s="988" t="s">
        <v>167</v>
      </c>
      <c r="D482" s="988"/>
      <c r="E482" s="988"/>
      <c r="F482" s="470"/>
      <c r="G482" s="979">
        <v>100000</v>
      </c>
      <c r="H482" s="1015"/>
      <c r="I482" s="1015"/>
      <c r="J482" s="1015"/>
      <c r="K482" s="1015"/>
      <c r="L482" s="979">
        <v>75000</v>
      </c>
      <c r="M482" s="1015"/>
      <c r="N482" s="1015"/>
      <c r="O482" s="469"/>
      <c r="P482" s="470"/>
      <c r="Q482" s="979">
        <v>50000</v>
      </c>
      <c r="R482" s="470"/>
    </row>
    <row r="483" spans="1:18" ht="13.2">
      <c r="A483" s="1052" t="s">
        <v>1040</v>
      </c>
      <c r="B483" s="1053" t="s">
        <v>1041</v>
      </c>
      <c r="D483" s="1054"/>
      <c r="E483" s="1054"/>
      <c r="F483" s="470"/>
      <c r="G483" s="1055"/>
      <c r="H483" s="1015"/>
      <c r="I483" s="1015"/>
      <c r="J483" s="1015"/>
      <c r="K483" s="1015"/>
      <c r="L483" s="1055"/>
      <c r="M483" s="1015"/>
      <c r="N483" s="1015"/>
      <c r="O483" s="469"/>
      <c r="P483" s="470"/>
      <c r="Q483" s="1055"/>
      <c r="R483" s="470"/>
    </row>
    <row r="484" spans="1:18" ht="12">
      <c r="A484" s="965" t="s">
        <v>100</v>
      </c>
      <c r="B484" s="1008" t="s">
        <v>101</v>
      </c>
      <c r="D484" s="971"/>
      <c r="E484" s="971"/>
      <c r="F484" s="470"/>
      <c r="G484" s="971">
        <f>G485+G494</f>
        <v>39266</v>
      </c>
      <c r="H484" s="1015"/>
      <c r="I484" s="1015"/>
      <c r="J484" s="1015"/>
      <c r="K484" s="1015"/>
      <c r="L484" s="971">
        <f>L485+L494</f>
        <v>37330</v>
      </c>
      <c r="M484" s="1015"/>
      <c r="N484" s="1015"/>
      <c r="O484" s="469"/>
      <c r="P484" s="470"/>
      <c r="Q484" s="971">
        <f>Q485+Q494</f>
        <v>0</v>
      </c>
      <c r="R484" s="470"/>
    </row>
    <row r="485" spans="1:18" ht="20.399999999999999">
      <c r="A485" s="965" t="s">
        <v>102</v>
      </c>
      <c r="B485" s="1008" t="s">
        <v>103</v>
      </c>
      <c r="D485" s="474"/>
      <c r="E485" s="474"/>
      <c r="F485" s="470"/>
      <c r="G485" s="474">
        <f>G486</f>
        <v>39266</v>
      </c>
      <c r="H485" s="1015"/>
      <c r="I485" s="1015"/>
      <c r="J485" s="1015"/>
      <c r="K485" s="1015"/>
      <c r="L485" s="474">
        <f t="shared" ref="L485" si="372">L486</f>
        <v>37330</v>
      </c>
      <c r="M485" s="1015"/>
      <c r="N485" s="1015"/>
      <c r="O485" s="469"/>
      <c r="P485" s="470"/>
      <c r="Q485" s="474">
        <f t="shared" ref="Q485" si="373">Q486</f>
        <v>0</v>
      </c>
      <c r="R485" s="470"/>
    </row>
    <row r="486" spans="1:18" ht="12">
      <c r="A486" s="965" t="s">
        <v>104</v>
      </c>
      <c r="B486" s="1008" t="s">
        <v>105</v>
      </c>
      <c r="D486" s="474"/>
      <c r="E486" s="474"/>
      <c r="F486" s="470"/>
      <c r="G486" s="474">
        <f>G487+G489</f>
        <v>39266</v>
      </c>
      <c r="H486" s="1015"/>
      <c r="I486" s="1015"/>
      <c r="J486" s="1015"/>
      <c r="K486" s="1015"/>
      <c r="L486" s="474">
        <f t="shared" ref="L486" si="374">L487+L489</f>
        <v>37330</v>
      </c>
      <c r="M486" s="1015"/>
      <c r="N486" s="1015"/>
      <c r="O486" s="469"/>
      <c r="P486" s="470"/>
      <c r="Q486" s="474">
        <f t="shared" ref="Q486" si="375">Q487+Q489</f>
        <v>0</v>
      </c>
      <c r="R486" s="470"/>
    </row>
    <row r="487" spans="1:18" ht="12">
      <c r="A487" s="767">
        <v>1000</v>
      </c>
      <c r="B487" s="768" t="s">
        <v>106</v>
      </c>
      <c r="D487" s="474"/>
      <c r="E487" s="474"/>
      <c r="F487" s="470"/>
      <c r="G487" s="474">
        <v>20000</v>
      </c>
      <c r="H487" s="470"/>
      <c r="I487" s="470"/>
      <c r="J487" s="469"/>
      <c r="K487" s="470"/>
      <c r="L487" s="474">
        <v>20000</v>
      </c>
      <c r="M487" s="470"/>
      <c r="N487" s="470"/>
      <c r="O487" s="469"/>
      <c r="P487" s="470"/>
      <c r="Q487" s="474"/>
      <c r="R487" s="470"/>
    </row>
    <row r="488" spans="1:18" ht="12">
      <c r="A488" s="891">
        <v>1100</v>
      </c>
      <c r="B488" s="768" t="s">
        <v>107</v>
      </c>
      <c r="D488" s="474"/>
      <c r="E488" s="474"/>
      <c r="F488" s="470"/>
      <c r="G488" s="474"/>
      <c r="H488" s="470"/>
      <c r="I488" s="470"/>
      <c r="J488" s="469"/>
      <c r="K488" s="470"/>
      <c r="L488" s="474"/>
      <c r="M488" s="470"/>
      <c r="N488" s="470"/>
      <c r="O488" s="469"/>
      <c r="P488" s="470"/>
      <c r="Q488" s="474"/>
      <c r="R488" s="470"/>
    </row>
    <row r="489" spans="1:18" ht="12">
      <c r="A489" s="767">
        <v>2000</v>
      </c>
      <c r="B489" s="768" t="s">
        <v>108</v>
      </c>
      <c r="D489" s="474"/>
      <c r="E489" s="474"/>
      <c r="F489" s="470"/>
      <c r="G489" s="474">
        <v>19266</v>
      </c>
      <c r="H489" s="470"/>
      <c r="I489" s="470"/>
      <c r="J489" s="469"/>
      <c r="K489" s="470"/>
      <c r="L489" s="474">
        <v>17330</v>
      </c>
      <c r="M489" s="470"/>
      <c r="N489" s="470"/>
      <c r="O489" s="469"/>
      <c r="P489" s="470"/>
      <c r="Q489" s="474"/>
      <c r="R489" s="470"/>
    </row>
    <row r="490" spans="1:18" ht="39.6">
      <c r="A490" s="1052" t="s">
        <v>1042</v>
      </c>
      <c r="B490" s="1056" t="s">
        <v>1043</v>
      </c>
      <c r="D490" s="1057"/>
      <c r="E490" s="1057"/>
      <c r="F490" s="470"/>
      <c r="G490" s="1058"/>
      <c r="H490" s="470"/>
      <c r="I490" s="470"/>
      <c r="J490" s="469"/>
      <c r="K490" s="470"/>
      <c r="L490" s="1058"/>
      <c r="M490" s="470"/>
      <c r="N490" s="470"/>
      <c r="O490" s="469"/>
      <c r="P490" s="470"/>
      <c r="Q490" s="1058"/>
      <c r="R490" s="470"/>
    </row>
    <row r="491" spans="1:18" ht="13.2">
      <c r="A491" s="965" t="s">
        <v>100</v>
      </c>
      <c r="B491" s="1008" t="s">
        <v>101</v>
      </c>
      <c r="D491" s="1059"/>
      <c r="E491" s="1059"/>
      <c r="F491" s="470"/>
      <c r="G491" s="1060">
        <v>79000</v>
      </c>
      <c r="H491" s="470"/>
      <c r="I491" s="470"/>
      <c r="J491" s="469"/>
      <c r="K491" s="470"/>
      <c r="L491" s="1060">
        <v>5000</v>
      </c>
      <c r="M491" s="470"/>
      <c r="N491" s="470"/>
      <c r="O491" s="469"/>
      <c r="P491" s="470"/>
      <c r="Q491" s="1060">
        <v>5000</v>
      </c>
      <c r="R491" s="470"/>
    </row>
    <row r="492" spans="1:18" ht="20.399999999999999">
      <c r="A492" s="965" t="s">
        <v>102</v>
      </c>
      <c r="B492" s="1008" t="s">
        <v>103</v>
      </c>
      <c r="D492" s="1061"/>
      <c r="E492" s="1061"/>
      <c r="F492" s="470"/>
      <c r="G492" s="1062">
        <v>44000</v>
      </c>
      <c r="H492" s="470"/>
      <c r="I492" s="470"/>
      <c r="J492" s="469"/>
      <c r="K492" s="470"/>
      <c r="L492" s="1062">
        <v>5000</v>
      </c>
      <c r="M492" s="470"/>
      <c r="N492" s="470"/>
      <c r="O492" s="469"/>
      <c r="P492" s="470"/>
      <c r="Q492" s="1062">
        <v>5000</v>
      </c>
      <c r="R492" s="470"/>
    </row>
    <row r="493" spans="1:18" ht="13.2">
      <c r="A493" s="965" t="s">
        <v>104</v>
      </c>
      <c r="B493" s="1008" t="s">
        <v>105</v>
      </c>
      <c r="D493" s="1061"/>
      <c r="E493" s="1061"/>
      <c r="F493" s="470"/>
      <c r="G493" s="1062">
        <v>44000</v>
      </c>
      <c r="H493" s="470"/>
      <c r="I493" s="470"/>
      <c r="J493" s="469"/>
      <c r="K493" s="470"/>
      <c r="L493" s="1062">
        <v>5000</v>
      </c>
      <c r="M493" s="470"/>
      <c r="N493" s="470"/>
      <c r="O493" s="469"/>
      <c r="P493" s="470"/>
      <c r="Q493" s="1062">
        <v>5000</v>
      </c>
      <c r="R493" s="470"/>
    </row>
    <row r="494" spans="1:18" ht="13.2">
      <c r="A494" s="767">
        <v>1000</v>
      </c>
      <c r="B494" s="768" t="s">
        <v>106</v>
      </c>
      <c r="D494" s="1061"/>
      <c r="E494" s="1061"/>
      <c r="F494" s="470"/>
      <c r="G494" s="1062"/>
      <c r="H494" s="470"/>
      <c r="I494" s="470"/>
      <c r="J494" s="469"/>
      <c r="K494" s="470"/>
      <c r="L494" s="1062"/>
      <c r="M494" s="470"/>
      <c r="N494" s="470"/>
      <c r="O494" s="469"/>
      <c r="P494" s="470"/>
      <c r="Q494" s="1062"/>
      <c r="R494" s="470"/>
    </row>
    <row r="495" spans="1:18" ht="13.2">
      <c r="A495" s="891">
        <v>1100</v>
      </c>
      <c r="B495" s="768" t="s">
        <v>107</v>
      </c>
      <c r="D495" s="1061"/>
      <c r="E495" s="1061"/>
      <c r="F495" s="470"/>
      <c r="G495" s="1062"/>
      <c r="H495" s="470"/>
      <c r="I495" s="470"/>
      <c r="J495" s="469"/>
      <c r="K495" s="470"/>
      <c r="L495" s="1062"/>
      <c r="M495" s="470"/>
      <c r="N495" s="470"/>
      <c r="O495" s="469"/>
      <c r="P495" s="470"/>
      <c r="Q495" s="1062"/>
      <c r="R495" s="470"/>
    </row>
    <row r="496" spans="1:18" ht="13.2">
      <c r="A496" s="767">
        <v>2000</v>
      </c>
      <c r="B496" s="768" t="s">
        <v>108</v>
      </c>
      <c r="D496" s="1061"/>
      <c r="E496" s="1061"/>
      <c r="F496" s="470"/>
      <c r="G496" s="1062">
        <v>44000</v>
      </c>
      <c r="H496" s="470"/>
      <c r="I496" s="470"/>
      <c r="J496" s="469"/>
      <c r="K496" s="470"/>
      <c r="L496" s="1062">
        <v>5000</v>
      </c>
      <c r="M496" s="470"/>
      <c r="N496" s="470"/>
      <c r="O496" s="469"/>
      <c r="P496" s="470"/>
      <c r="Q496" s="1062">
        <v>5000</v>
      </c>
      <c r="R496" s="470"/>
    </row>
    <row r="497" spans="1:18" ht="12">
      <c r="A497" s="966" t="s">
        <v>133</v>
      </c>
      <c r="B497" s="1008" t="s">
        <v>122</v>
      </c>
      <c r="D497" s="971"/>
      <c r="E497" s="971"/>
      <c r="F497" s="470"/>
      <c r="G497" s="971">
        <f>G498</f>
        <v>35000</v>
      </c>
      <c r="H497" s="470"/>
      <c r="I497" s="470"/>
      <c r="J497" s="469"/>
      <c r="K497" s="470"/>
      <c r="L497" s="971">
        <f t="shared" ref="L497" si="376">L498</f>
        <v>0</v>
      </c>
      <c r="M497" s="470"/>
      <c r="N497" s="470"/>
      <c r="O497" s="469"/>
      <c r="P497" s="470"/>
      <c r="Q497" s="971">
        <f t="shared" ref="Q497" si="377">Q498</f>
        <v>0</v>
      </c>
      <c r="R497" s="470"/>
    </row>
    <row r="498" spans="1:18" ht="12">
      <c r="A498" s="966">
        <v>5000</v>
      </c>
      <c r="B498" s="1008" t="s">
        <v>123</v>
      </c>
      <c r="D498" s="474"/>
      <c r="E498" s="474"/>
      <c r="F498" s="470"/>
      <c r="G498" s="474">
        <v>35000</v>
      </c>
      <c r="H498" s="470"/>
      <c r="I498" s="470"/>
      <c r="J498" s="469"/>
      <c r="K498" s="470"/>
      <c r="L498" s="474"/>
      <c r="M498" s="470"/>
      <c r="N498" s="470"/>
      <c r="O498" s="469"/>
      <c r="P498" s="470"/>
      <c r="Q498" s="474"/>
      <c r="R498" s="470"/>
    </row>
    <row r="499" spans="1:18" ht="39.6">
      <c r="A499" s="1052" t="s">
        <v>1044</v>
      </c>
      <c r="B499" s="1063" t="s">
        <v>1045</v>
      </c>
      <c r="D499" s="1025"/>
      <c r="E499" s="1025"/>
      <c r="F499" s="470"/>
      <c r="G499" s="1026"/>
      <c r="H499" s="470"/>
      <c r="I499" s="470"/>
      <c r="J499" s="469"/>
      <c r="K499" s="470"/>
      <c r="L499" s="1026"/>
      <c r="M499" s="470"/>
      <c r="N499" s="470"/>
      <c r="O499" s="469"/>
      <c r="P499" s="470"/>
      <c r="Q499" s="1026"/>
      <c r="R499" s="470"/>
    </row>
    <row r="500" spans="1:18" ht="13.2">
      <c r="A500" s="965" t="s">
        <v>100</v>
      </c>
      <c r="B500" s="1008" t="s">
        <v>101</v>
      </c>
      <c r="D500" s="1064"/>
      <c r="E500" s="1064"/>
      <c r="F500" s="470"/>
      <c r="G500" s="1065">
        <v>15524</v>
      </c>
      <c r="H500" s="470"/>
      <c r="I500" s="470"/>
      <c r="J500" s="469"/>
      <c r="K500" s="470"/>
      <c r="L500" s="1065">
        <v>0</v>
      </c>
      <c r="M500" s="470"/>
      <c r="N500" s="470"/>
      <c r="O500" s="469"/>
      <c r="P500" s="470"/>
      <c r="Q500" s="1065">
        <v>0</v>
      </c>
      <c r="R500" s="470"/>
    </row>
    <row r="501" spans="1:18" ht="20.399999999999999">
      <c r="A501" s="965" t="s">
        <v>102</v>
      </c>
      <c r="B501" s="1008" t="s">
        <v>103</v>
      </c>
      <c r="D501" s="1025"/>
      <c r="E501" s="1025"/>
      <c r="F501" s="470"/>
      <c r="G501" s="1026">
        <v>15524</v>
      </c>
      <c r="H501" s="470"/>
      <c r="I501" s="470"/>
      <c r="J501" s="469"/>
      <c r="K501" s="470"/>
      <c r="L501" s="1026">
        <v>0</v>
      </c>
      <c r="M501" s="470"/>
      <c r="N501" s="470"/>
      <c r="O501" s="469"/>
      <c r="P501" s="470"/>
      <c r="Q501" s="1026">
        <v>0</v>
      </c>
      <c r="R501" s="470"/>
    </row>
    <row r="502" spans="1:18" ht="13.2">
      <c r="A502" s="965" t="s">
        <v>104</v>
      </c>
      <c r="B502" s="1008" t="s">
        <v>105</v>
      </c>
      <c r="D502" s="1025"/>
      <c r="E502" s="1025"/>
      <c r="F502" s="470"/>
      <c r="G502" s="1026">
        <v>15524</v>
      </c>
      <c r="H502" s="470"/>
      <c r="I502" s="470"/>
      <c r="J502" s="469"/>
      <c r="K502" s="470"/>
      <c r="L502" s="1026">
        <v>0</v>
      </c>
      <c r="M502" s="470"/>
      <c r="N502" s="470"/>
      <c r="O502" s="469"/>
      <c r="P502" s="470"/>
      <c r="Q502" s="1026">
        <v>0</v>
      </c>
      <c r="R502" s="470"/>
    </row>
    <row r="503" spans="1:18" ht="13.2">
      <c r="A503" s="767">
        <v>1000</v>
      </c>
      <c r="B503" s="768" t="s">
        <v>106</v>
      </c>
      <c r="D503" s="1025"/>
      <c r="E503" s="1025"/>
      <c r="F503" s="470"/>
      <c r="G503" s="1026">
        <v>15524</v>
      </c>
      <c r="H503" s="470"/>
      <c r="I503" s="470"/>
      <c r="J503" s="469"/>
      <c r="K503" s="470"/>
      <c r="L503" s="1026">
        <v>0</v>
      </c>
      <c r="M503" s="470"/>
      <c r="N503" s="470"/>
      <c r="O503" s="469"/>
      <c r="P503" s="470"/>
      <c r="Q503" s="1026">
        <v>0</v>
      </c>
      <c r="R503" s="470"/>
    </row>
    <row r="504" spans="1:18" ht="13.2">
      <c r="A504" s="891">
        <v>1100</v>
      </c>
      <c r="B504" s="768" t="s">
        <v>107</v>
      </c>
      <c r="D504" s="1025"/>
      <c r="E504" s="1025"/>
      <c r="F504" s="470"/>
      <c r="G504" s="1016">
        <v>12510</v>
      </c>
      <c r="H504" s="470"/>
      <c r="I504" s="470"/>
      <c r="J504" s="469"/>
      <c r="K504" s="470"/>
      <c r="L504" s="1026">
        <v>0</v>
      </c>
      <c r="M504" s="470"/>
      <c r="N504" s="470"/>
      <c r="O504" s="469"/>
      <c r="P504" s="470"/>
      <c r="Q504" s="1026">
        <v>0</v>
      </c>
      <c r="R504" s="470"/>
    </row>
    <row r="505" spans="1:18" ht="13.2">
      <c r="A505" s="369" t="s">
        <v>245</v>
      </c>
      <c r="B505" s="370" t="s">
        <v>140</v>
      </c>
      <c r="C505" s="469"/>
      <c r="D505" s="470"/>
      <c r="E505" s="469"/>
      <c r="F505" s="470"/>
      <c r="G505" s="470"/>
      <c r="H505" s="470"/>
      <c r="I505" s="470"/>
      <c r="J505" s="469"/>
      <c r="K505" s="470"/>
      <c r="L505" s="470"/>
      <c r="M505" s="470"/>
      <c r="N505" s="470"/>
      <c r="O505" s="469"/>
      <c r="P505" s="470"/>
      <c r="Q505" s="163"/>
      <c r="R505" s="163"/>
    </row>
    <row r="506" spans="1:18" ht="13.2">
      <c r="A506" s="409"/>
      <c r="B506" s="477" t="s">
        <v>238</v>
      </c>
      <c r="C506" s="469"/>
      <c r="D506" s="470"/>
      <c r="E506" s="469"/>
      <c r="F506" s="470"/>
      <c r="G506" s="470"/>
      <c r="H506" s="470"/>
      <c r="I506" s="470"/>
      <c r="J506" s="469"/>
      <c r="K506" s="470"/>
      <c r="L506" s="470"/>
      <c r="M506" s="470"/>
      <c r="N506" s="470"/>
      <c r="O506" s="469"/>
      <c r="P506" s="470"/>
      <c r="Q506" s="163"/>
      <c r="R506" s="163"/>
    </row>
    <row r="507" spans="1:18" ht="13.2">
      <c r="A507" s="959" t="s">
        <v>223</v>
      </c>
      <c r="B507" s="932" t="s">
        <v>239</v>
      </c>
      <c r="C507" s="1066"/>
      <c r="D507" s="1067"/>
      <c r="E507" s="1068">
        <f>E508+E567+E625+E683+E741+E799</f>
        <v>961313</v>
      </c>
      <c r="F507" s="1067"/>
      <c r="G507" s="1067"/>
      <c r="H507" s="1067"/>
      <c r="I507" s="1067"/>
      <c r="J507" s="1068">
        <f>J508+J567+J625+J683+J741+J799</f>
        <v>723096</v>
      </c>
      <c r="K507" s="1069"/>
      <c r="L507" s="1067"/>
      <c r="M507" s="1067"/>
      <c r="N507" s="1067"/>
      <c r="O507" s="1068">
        <f>O508+O567+O625+O683+O741+O799</f>
        <v>255589</v>
      </c>
      <c r="P507" s="1066"/>
      <c r="Q507" s="163"/>
      <c r="R507" s="163"/>
    </row>
    <row r="508" spans="1:18" ht="66.599999999999994" hidden="1" customHeight="1">
      <c r="A508" s="888" t="s">
        <v>1046</v>
      </c>
      <c r="B508" s="1070" t="s">
        <v>1047</v>
      </c>
      <c r="C508" s="469"/>
      <c r="D508" s="470"/>
      <c r="E508" s="1006"/>
      <c r="F508" s="470"/>
      <c r="G508" s="470"/>
      <c r="H508" s="470"/>
      <c r="I508" s="470"/>
      <c r="J508" s="469"/>
      <c r="K508" s="1071"/>
      <c r="L508" s="470"/>
      <c r="M508" s="470"/>
      <c r="N508" s="470"/>
      <c r="O508" s="469"/>
      <c r="P508" s="470"/>
      <c r="Q508" s="163"/>
      <c r="R508" s="163"/>
    </row>
    <row r="509" spans="1:18" ht="12" hidden="1" customHeight="1">
      <c r="A509" s="1072" t="s">
        <v>100</v>
      </c>
      <c r="B509" s="1073" t="s">
        <v>101</v>
      </c>
      <c r="C509" s="969"/>
      <c r="D509" s="970"/>
      <c r="E509" s="474">
        <f t="shared" ref="E509" si="378">E510+E537</f>
        <v>0</v>
      </c>
      <c r="F509" s="971"/>
      <c r="G509" s="971"/>
      <c r="H509" s="969"/>
      <c r="I509" s="971"/>
      <c r="J509" s="971"/>
      <c r="K509" s="971"/>
      <c r="L509" s="971"/>
      <c r="M509" s="969"/>
      <c r="N509" s="971"/>
      <c r="O509" s="971"/>
      <c r="P509" s="971"/>
      <c r="Q509" s="163"/>
      <c r="R509" s="163"/>
    </row>
    <row r="510" spans="1:18" ht="20.399999999999999" hidden="1" customHeight="1">
      <c r="A510" s="965" t="s">
        <v>102</v>
      </c>
      <c r="B510" s="1008" t="s">
        <v>103</v>
      </c>
      <c r="C510" s="973"/>
      <c r="D510" s="974"/>
      <c r="E510" s="474">
        <f t="shared" ref="E510" si="379">E511+E515+E516+E519+E522</f>
        <v>0</v>
      </c>
      <c r="F510" s="474"/>
      <c r="G510" s="474"/>
      <c r="H510" s="473"/>
      <c r="I510" s="474"/>
      <c r="J510" s="474"/>
      <c r="K510" s="474"/>
      <c r="L510" s="474"/>
      <c r="M510" s="473"/>
      <c r="N510" s="474"/>
      <c r="O510" s="474"/>
      <c r="P510" s="474"/>
      <c r="Q510" s="163"/>
      <c r="R510" s="163"/>
    </row>
    <row r="511" spans="1:18" ht="12" hidden="1" customHeight="1">
      <c r="A511" s="965" t="s">
        <v>104</v>
      </c>
      <c r="B511" s="1008" t="s">
        <v>105</v>
      </c>
      <c r="C511" s="973"/>
      <c r="D511" s="974"/>
      <c r="E511" s="474">
        <f t="shared" ref="E511" si="380">E512+E514</f>
        <v>0</v>
      </c>
      <c r="F511" s="474"/>
      <c r="G511" s="474"/>
      <c r="H511" s="473"/>
      <c r="I511" s="474"/>
      <c r="J511" s="474"/>
      <c r="K511" s="474"/>
      <c r="L511" s="474"/>
      <c r="M511" s="473"/>
      <c r="N511" s="474"/>
      <c r="O511" s="474"/>
      <c r="P511" s="474"/>
      <c r="Q511" s="163"/>
      <c r="R511" s="163"/>
    </row>
    <row r="512" spans="1:18" ht="12" hidden="1" customHeight="1">
      <c r="A512" s="767">
        <v>1000</v>
      </c>
      <c r="B512" s="768" t="s">
        <v>106</v>
      </c>
      <c r="C512" s="973"/>
      <c r="D512" s="974"/>
      <c r="E512" s="474"/>
      <c r="F512" s="472"/>
      <c r="G512" s="472"/>
      <c r="H512" s="473"/>
      <c r="I512" s="474"/>
      <c r="J512" s="474"/>
      <c r="K512" s="472"/>
      <c r="L512" s="472"/>
      <c r="M512" s="473"/>
      <c r="N512" s="474"/>
      <c r="O512" s="474"/>
      <c r="P512" s="472"/>
      <c r="Q512" s="163"/>
      <c r="R512" s="163"/>
    </row>
    <row r="513" spans="1:18" ht="12" hidden="1" customHeight="1">
      <c r="A513" s="891">
        <v>1100</v>
      </c>
      <c r="B513" s="768" t="s">
        <v>107</v>
      </c>
      <c r="C513" s="973"/>
      <c r="D513" s="974"/>
      <c r="E513" s="474"/>
      <c r="F513" s="472"/>
      <c r="G513" s="472"/>
      <c r="H513" s="473"/>
      <c r="I513" s="474"/>
      <c r="J513" s="474"/>
      <c r="K513" s="472"/>
      <c r="L513" s="472"/>
      <c r="M513" s="473"/>
      <c r="N513" s="474"/>
      <c r="O513" s="474"/>
      <c r="P513" s="472"/>
      <c r="Q513" s="163"/>
      <c r="R513" s="163"/>
    </row>
    <row r="514" spans="1:18" ht="12" hidden="1" customHeight="1">
      <c r="A514" s="767">
        <v>2000</v>
      </c>
      <c r="B514" s="768" t="s">
        <v>108</v>
      </c>
      <c r="C514" s="973"/>
      <c r="D514" s="974"/>
      <c r="E514" s="474"/>
      <c r="F514" s="472"/>
      <c r="G514" s="472"/>
      <c r="H514" s="473"/>
      <c r="I514" s="474"/>
      <c r="J514" s="474"/>
      <c r="K514" s="472"/>
      <c r="L514" s="472"/>
      <c r="M514" s="473"/>
      <c r="N514" s="474"/>
      <c r="O514" s="474"/>
      <c r="P514" s="472"/>
      <c r="Q514" s="163"/>
      <c r="R514" s="163"/>
    </row>
    <row r="515" spans="1:18" ht="12" hidden="1" customHeight="1">
      <c r="A515" s="966">
        <v>4000</v>
      </c>
      <c r="B515" s="1008" t="s">
        <v>132</v>
      </c>
      <c r="C515" s="973"/>
      <c r="D515" s="975"/>
      <c r="E515" s="472"/>
      <c r="F515" s="472"/>
      <c r="G515" s="472"/>
      <c r="H515" s="473"/>
      <c r="I515" s="474"/>
      <c r="J515" s="472"/>
      <c r="K515" s="472"/>
      <c r="L515" s="472"/>
      <c r="M515" s="473"/>
      <c r="N515" s="474"/>
      <c r="O515" s="472"/>
      <c r="P515" s="472"/>
      <c r="Q515" s="163"/>
      <c r="R515" s="163"/>
    </row>
    <row r="516" spans="1:18" ht="12" hidden="1" customHeight="1">
      <c r="A516" s="966" t="s">
        <v>109</v>
      </c>
      <c r="B516" s="1008" t="s">
        <v>110</v>
      </c>
      <c r="C516" s="973"/>
      <c r="D516" s="974"/>
      <c r="E516" s="474">
        <f t="shared" ref="E516" si="381">E517+E518</f>
        <v>0</v>
      </c>
      <c r="F516" s="474"/>
      <c r="G516" s="474"/>
      <c r="H516" s="473"/>
      <c r="I516" s="474"/>
      <c r="J516" s="474">
        <f t="shared" ref="J516" si="382">J517+J518</f>
        <v>0</v>
      </c>
      <c r="K516" s="474"/>
      <c r="L516" s="474"/>
      <c r="M516" s="473"/>
      <c r="N516" s="474"/>
      <c r="O516" s="474">
        <f t="shared" ref="O516" si="383">O517+O518</f>
        <v>0</v>
      </c>
      <c r="P516" s="474"/>
      <c r="Q516" s="163"/>
      <c r="R516" s="163"/>
    </row>
    <row r="517" spans="1:18" ht="12" hidden="1" customHeight="1">
      <c r="A517" s="767">
        <v>3000</v>
      </c>
      <c r="B517" s="768" t="s">
        <v>111</v>
      </c>
      <c r="C517" s="976"/>
      <c r="D517" s="976"/>
      <c r="E517" s="977"/>
      <c r="F517" s="978"/>
      <c r="G517" s="978"/>
      <c r="H517" s="473"/>
      <c r="I517" s="977"/>
      <c r="J517" s="977"/>
      <c r="K517" s="978"/>
      <c r="L517" s="978"/>
      <c r="M517" s="473"/>
      <c r="N517" s="977"/>
      <c r="O517" s="977"/>
      <c r="P517" s="978"/>
      <c r="Q517" s="163"/>
      <c r="R517" s="163"/>
    </row>
    <row r="518" spans="1:18" ht="12" hidden="1" customHeight="1">
      <c r="A518" s="767">
        <v>6000</v>
      </c>
      <c r="B518" s="768" t="s">
        <v>112</v>
      </c>
      <c r="C518" s="973"/>
      <c r="D518" s="975"/>
      <c r="E518" s="472"/>
      <c r="F518" s="472"/>
      <c r="G518" s="472"/>
      <c r="H518" s="473"/>
      <c r="I518" s="474"/>
      <c r="J518" s="472"/>
      <c r="K518" s="472"/>
      <c r="L518" s="472"/>
      <c r="M518" s="473"/>
      <c r="N518" s="474"/>
      <c r="O518" s="472"/>
      <c r="P518" s="472"/>
      <c r="Q518" s="163"/>
      <c r="R518" s="163"/>
    </row>
    <row r="519" spans="1:18" ht="22.8" hidden="1" customHeight="1">
      <c r="A519" s="966" t="s">
        <v>113</v>
      </c>
      <c r="B519" s="1008" t="s">
        <v>183</v>
      </c>
      <c r="C519" s="973"/>
      <c r="D519" s="974"/>
      <c r="E519" s="474">
        <f t="shared" ref="E519" si="384">E520+E521</f>
        <v>0</v>
      </c>
      <c r="F519" s="474"/>
      <c r="G519" s="474"/>
      <c r="H519" s="473"/>
      <c r="I519" s="474"/>
      <c r="J519" s="474">
        <f t="shared" ref="J519" si="385">J520+J521</f>
        <v>0</v>
      </c>
      <c r="K519" s="474"/>
      <c r="L519" s="474"/>
      <c r="M519" s="473"/>
      <c r="N519" s="474"/>
      <c r="O519" s="474">
        <f t="shared" ref="O519" si="386">O520+O521</f>
        <v>0</v>
      </c>
      <c r="P519" s="474"/>
      <c r="Q519" s="163"/>
      <c r="R519" s="163"/>
    </row>
    <row r="520" spans="1:18" ht="12" hidden="1" customHeight="1">
      <c r="A520" s="767">
        <v>7600</v>
      </c>
      <c r="B520" s="988" t="s">
        <v>184</v>
      </c>
      <c r="C520" s="973"/>
      <c r="D520" s="975"/>
      <c r="E520" s="472"/>
      <c r="F520" s="472"/>
      <c r="G520" s="472"/>
      <c r="H520" s="473"/>
      <c r="I520" s="474"/>
      <c r="J520" s="472"/>
      <c r="K520" s="472"/>
      <c r="L520" s="472"/>
      <c r="M520" s="473"/>
      <c r="N520" s="474"/>
      <c r="O520" s="472"/>
      <c r="P520" s="472"/>
      <c r="Q520" s="163"/>
      <c r="R520" s="163"/>
    </row>
    <row r="521" spans="1:18" ht="12" hidden="1" customHeight="1">
      <c r="A521" s="767">
        <v>7700</v>
      </c>
      <c r="B521" s="1009" t="s">
        <v>114</v>
      </c>
      <c r="C521" s="974"/>
      <c r="D521" s="974"/>
      <c r="E521" s="474"/>
      <c r="F521" s="472"/>
      <c r="G521" s="472"/>
      <c r="H521" s="473"/>
      <c r="I521" s="474"/>
      <c r="J521" s="474"/>
      <c r="K521" s="472"/>
      <c r="L521" s="472"/>
      <c r="M521" s="473"/>
      <c r="N521" s="474"/>
      <c r="O521" s="474"/>
      <c r="P521" s="472"/>
      <c r="Q521" s="163"/>
      <c r="R521" s="163"/>
    </row>
    <row r="522" spans="1:18" ht="20.399999999999999" hidden="1" customHeight="1">
      <c r="A522" s="966" t="s">
        <v>185</v>
      </c>
      <c r="B522" s="1008" t="s">
        <v>115</v>
      </c>
      <c r="C522" s="973"/>
      <c r="D522" s="974"/>
      <c r="E522" s="474">
        <f t="shared" ref="E522" si="387">E523+E529+E533+E536</f>
        <v>0</v>
      </c>
      <c r="F522" s="474"/>
      <c r="G522" s="474"/>
      <c r="H522" s="473"/>
      <c r="I522" s="474"/>
      <c r="J522" s="474">
        <f t="shared" ref="J522" si="388">J523+J529+J533+J536</f>
        <v>0</v>
      </c>
      <c r="K522" s="474"/>
      <c r="L522" s="474"/>
      <c r="M522" s="473"/>
      <c r="N522" s="474"/>
      <c r="O522" s="474">
        <f t="shared" ref="O522" si="389">O523+O529+O533+O536</f>
        <v>0</v>
      </c>
      <c r="P522" s="474"/>
      <c r="Q522" s="163"/>
      <c r="R522" s="163"/>
    </row>
    <row r="523" spans="1:18" ht="12" hidden="1" customHeight="1">
      <c r="A523" s="767">
        <v>7100</v>
      </c>
      <c r="B523" s="988" t="s">
        <v>116</v>
      </c>
      <c r="C523" s="973"/>
      <c r="D523" s="974"/>
      <c r="E523" s="474">
        <f t="shared" ref="E523" si="390">E524+E525</f>
        <v>0</v>
      </c>
      <c r="F523" s="474"/>
      <c r="G523" s="474"/>
      <c r="H523" s="473"/>
      <c r="I523" s="474"/>
      <c r="J523" s="474">
        <f t="shared" ref="J523" si="391">J524+J525</f>
        <v>0</v>
      </c>
      <c r="K523" s="474"/>
      <c r="L523" s="474"/>
      <c r="M523" s="473"/>
      <c r="N523" s="474"/>
      <c r="O523" s="474">
        <f t="shared" ref="O523" si="392">O524+O525</f>
        <v>0</v>
      </c>
      <c r="P523" s="474"/>
      <c r="Q523" s="163"/>
      <c r="R523" s="163"/>
    </row>
    <row r="524" spans="1:18" ht="24" hidden="1" customHeight="1">
      <c r="A524" s="989" t="s">
        <v>117</v>
      </c>
      <c r="B524" s="988" t="s">
        <v>118</v>
      </c>
      <c r="C524" s="973"/>
      <c r="D524" s="974"/>
      <c r="E524" s="474"/>
      <c r="F524" s="474"/>
      <c r="G524" s="474"/>
      <c r="H524" s="473"/>
      <c r="I524" s="474"/>
      <c r="J524" s="474"/>
      <c r="K524" s="474"/>
      <c r="L524" s="474"/>
      <c r="M524" s="473"/>
      <c r="N524" s="474"/>
      <c r="O524" s="474"/>
      <c r="P524" s="474"/>
      <c r="Q524" s="163"/>
      <c r="R524" s="163"/>
    </row>
    <row r="525" spans="1:18" ht="24" hidden="1" customHeight="1">
      <c r="A525" s="989">
        <v>7130</v>
      </c>
      <c r="B525" s="988" t="s">
        <v>119</v>
      </c>
      <c r="C525" s="973"/>
      <c r="D525" s="974"/>
      <c r="E525" s="474">
        <f t="shared" ref="E525" si="393">SUM(E526:E528)</f>
        <v>0</v>
      </c>
      <c r="F525" s="474"/>
      <c r="G525" s="474"/>
      <c r="H525" s="473"/>
      <c r="I525" s="474"/>
      <c r="J525" s="474">
        <f t="shared" ref="J525" si="394">SUM(J526:J528)</f>
        <v>0</v>
      </c>
      <c r="K525" s="474"/>
      <c r="L525" s="474"/>
      <c r="M525" s="473"/>
      <c r="N525" s="474"/>
      <c r="O525" s="474">
        <f t="shared" ref="O525" si="395">SUM(O526:O528)</f>
        <v>0</v>
      </c>
      <c r="P525" s="474"/>
      <c r="Q525" s="163"/>
      <c r="R525" s="163"/>
    </row>
    <row r="526" spans="1:18" ht="36" hidden="1" customHeight="1">
      <c r="A526" s="990">
        <v>7131</v>
      </c>
      <c r="B526" s="988" t="s">
        <v>120</v>
      </c>
      <c r="C526" s="973"/>
      <c r="D526" s="974"/>
      <c r="E526" s="474"/>
      <c r="F526" s="474"/>
      <c r="G526" s="474"/>
      <c r="H526" s="473"/>
      <c r="I526" s="474"/>
      <c r="J526" s="474"/>
      <c r="K526" s="474"/>
      <c r="L526" s="474"/>
      <c r="M526" s="473"/>
      <c r="N526" s="474"/>
      <c r="O526" s="474"/>
      <c r="P526" s="474"/>
      <c r="Q526" s="163"/>
      <c r="R526" s="163"/>
    </row>
    <row r="527" spans="1:18" ht="36" hidden="1" customHeight="1">
      <c r="A527" s="990">
        <v>7132</v>
      </c>
      <c r="B527" s="988" t="s">
        <v>121</v>
      </c>
      <c r="C527" s="973"/>
      <c r="D527" s="974"/>
      <c r="E527" s="474"/>
      <c r="F527" s="474"/>
      <c r="G527" s="474"/>
      <c r="H527" s="473"/>
      <c r="I527" s="474"/>
      <c r="J527" s="474"/>
      <c r="K527" s="474"/>
      <c r="L527" s="474"/>
      <c r="M527" s="473"/>
      <c r="N527" s="474"/>
      <c r="O527" s="474"/>
      <c r="P527" s="474"/>
      <c r="Q527" s="163"/>
      <c r="R527" s="163"/>
    </row>
    <row r="528" spans="1:18" ht="24" hidden="1" customHeight="1">
      <c r="A528" s="990" t="s">
        <v>186</v>
      </c>
      <c r="B528" s="988" t="s">
        <v>187</v>
      </c>
      <c r="C528" s="973"/>
      <c r="D528" s="974"/>
      <c r="E528" s="474"/>
      <c r="F528" s="474"/>
      <c r="G528" s="474"/>
      <c r="H528" s="473"/>
      <c r="I528" s="474"/>
      <c r="J528" s="474"/>
      <c r="K528" s="474"/>
      <c r="L528" s="474"/>
      <c r="M528" s="473"/>
      <c r="N528" s="474"/>
      <c r="O528" s="474"/>
      <c r="P528" s="474"/>
      <c r="Q528" s="163"/>
      <c r="R528" s="163"/>
    </row>
    <row r="529" spans="1:18" ht="24" hidden="1" customHeight="1">
      <c r="A529" s="767">
        <v>7300</v>
      </c>
      <c r="B529" s="991" t="s">
        <v>155</v>
      </c>
      <c r="C529" s="973"/>
      <c r="D529" s="974"/>
      <c r="E529" s="474">
        <f t="shared" ref="E529" si="396">SUM(E530:E532)</f>
        <v>0</v>
      </c>
      <c r="F529" s="474"/>
      <c r="G529" s="474"/>
      <c r="H529" s="473"/>
      <c r="I529" s="474"/>
      <c r="J529" s="474">
        <f t="shared" ref="J529" si="397">SUM(J530:J532)</f>
        <v>0</v>
      </c>
      <c r="K529" s="474"/>
      <c r="L529" s="474"/>
      <c r="M529" s="473"/>
      <c r="N529" s="474"/>
      <c r="O529" s="474">
        <f t="shared" ref="O529" si="398">SUM(O530:O532)</f>
        <v>0</v>
      </c>
      <c r="P529" s="474"/>
      <c r="Q529" s="163"/>
      <c r="R529" s="163"/>
    </row>
    <row r="530" spans="1:18" ht="24" hidden="1" customHeight="1">
      <c r="A530" s="989" t="s">
        <v>188</v>
      </c>
      <c r="B530" s="988" t="s">
        <v>170</v>
      </c>
      <c r="C530" s="983"/>
      <c r="D530" s="984"/>
      <c r="E530" s="985"/>
      <c r="F530" s="985"/>
      <c r="G530" s="985"/>
      <c r="H530" s="473"/>
      <c r="I530" s="985"/>
      <c r="J530" s="985"/>
      <c r="K530" s="985"/>
      <c r="L530" s="985"/>
      <c r="M530" s="473"/>
      <c r="N530" s="985"/>
      <c r="O530" s="985"/>
      <c r="P530" s="985"/>
      <c r="Q530" s="163"/>
      <c r="R530" s="163"/>
    </row>
    <row r="531" spans="1:18" ht="48" hidden="1" customHeight="1">
      <c r="A531" s="989" t="s">
        <v>189</v>
      </c>
      <c r="B531" s="988" t="s">
        <v>156</v>
      </c>
      <c r="C531" s="983"/>
      <c r="D531" s="984"/>
      <c r="E531" s="985"/>
      <c r="F531" s="985"/>
      <c r="G531" s="985"/>
      <c r="H531" s="473"/>
      <c r="I531" s="985"/>
      <c r="J531" s="985"/>
      <c r="K531" s="985"/>
      <c r="L531" s="985"/>
      <c r="M531" s="473"/>
      <c r="N531" s="985"/>
      <c r="O531" s="985"/>
      <c r="P531" s="985"/>
      <c r="Q531" s="163"/>
      <c r="R531" s="163"/>
    </row>
    <row r="532" spans="1:18" ht="36" hidden="1" customHeight="1">
      <c r="A532" s="989">
        <v>7350</v>
      </c>
      <c r="B532" s="988" t="s">
        <v>163</v>
      </c>
      <c r="C532" s="983"/>
      <c r="D532" s="984"/>
      <c r="E532" s="985"/>
      <c r="F532" s="985"/>
      <c r="G532" s="985"/>
      <c r="H532" s="473"/>
      <c r="I532" s="985"/>
      <c r="J532" s="985"/>
      <c r="K532" s="985"/>
      <c r="L532" s="985"/>
      <c r="M532" s="473"/>
      <c r="N532" s="985"/>
      <c r="O532" s="985"/>
      <c r="P532" s="985"/>
      <c r="Q532" s="163"/>
      <c r="R532" s="163"/>
    </row>
    <row r="533" spans="1:18" ht="24" hidden="1" customHeight="1">
      <c r="A533" s="767">
        <v>7400</v>
      </c>
      <c r="B533" s="991" t="s">
        <v>161</v>
      </c>
      <c r="C533" s="973"/>
      <c r="D533" s="974"/>
      <c r="E533" s="474">
        <f t="shared" ref="E533" si="399">SUM(E534:E535)</f>
        <v>0</v>
      </c>
      <c r="F533" s="474"/>
      <c r="G533" s="474"/>
      <c r="H533" s="473"/>
      <c r="I533" s="474"/>
      <c r="J533" s="474">
        <f t="shared" ref="J533" si="400">SUM(J534:J535)</f>
        <v>0</v>
      </c>
      <c r="K533" s="474"/>
      <c r="L533" s="474"/>
      <c r="M533" s="473"/>
      <c r="N533" s="474"/>
      <c r="O533" s="474">
        <f t="shared" ref="O533" si="401">SUM(O534:O535)</f>
        <v>0</v>
      </c>
      <c r="P533" s="474"/>
      <c r="Q533" s="163"/>
      <c r="R533" s="163"/>
    </row>
    <row r="534" spans="1:18" ht="24" hidden="1" customHeight="1">
      <c r="A534" s="989">
        <v>7460</v>
      </c>
      <c r="B534" s="991" t="s">
        <v>162</v>
      </c>
      <c r="C534" s="983"/>
      <c r="D534" s="984"/>
      <c r="E534" s="985"/>
      <c r="F534" s="985"/>
      <c r="G534" s="985"/>
      <c r="H534" s="473"/>
      <c r="I534" s="985"/>
      <c r="J534" s="985"/>
      <c r="K534" s="985"/>
      <c r="L534" s="985"/>
      <c r="M534" s="473"/>
      <c r="N534" s="985"/>
      <c r="O534" s="985"/>
      <c r="P534" s="985"/>
      <c r="Q534" s="163"/>
      <c r="R534" s="163"/>
    </row>
    <row r="535" spans="1:18" ht="36" hidden="1" customHeight="1">
      <c r="A535" s="989">
        <v>7470</v>
      </c>
      <c r="B535" s="988" t="s">
        <v>167</v>
      </c>
      <c r="C535" s="983"/>
      <c r="D535" s="984"/>
      <c r="E535" s="985"/>
      <c r="F535" s="985"/>
      <c r="G535" s="985"/>
      <c r="H535" s="473"/>
      <c r="I535" s="985"/>
      <c r="J535" s="985"/>
      <c r="K535" s="985"/>
      <c r="L535" s="985"/>
      <c r="M535" s="473"/>
      <c r="N535" s="985"/>
      <c r="O535" s="985"/>
      <c r="P535" s="985"/>
      <c r="Q535" s="163"/>
      <c r="R535" s="163"/>
    </row>
    <row r="536" spans="1:18" ht="24" hidden="1" customHeight="1">
      <c r="A536" s="767">
        <v>7500</v>
      </c>
      <c r="B536" s="988" t="s">
        <v>157</v>
      </c>
      <c r="C536" s="973"/>
      <c r="D536" s="974"/>
      <c r="E536" s="474"/>
      <c r="F536" s="474"/>
      <c r="G536" s="474"/>
      <c r="H536" s="473"/>
      <c r="I536" s="474"/>
      <c r="J536" s="474"/>
      <c r="K536" s="474"/>
      <c r="L536" s="474"/>
      <c r="M536" s="473"/>
      <c r="N536" s="474"/>
      <c r="O536" s="474"/>
      <c r="P536" s="474"/>
      <c r="Q536" s="163"/>
      <c r="R536" s="163"/>
    </row>
    <row r="537" spans="1:18" ht="12" hidden="1" customHeight="1">
      <c r="A537" s="966" t="s">
        <v>133</v>
      </c>
      <c r="B537" s="1008" t="s">
        <v>122</v>
      </c>
      <c r="C537" s="969"/>
      <c r="D537" s="970"/>
      <c r="E537" s="971">
        <f t="shared" ref="E537" si="402">E538+E539</f>
        <v>0</v>
      </c>
      <c r="F537" s="971"/>
      <c r="G537" s="971"/>
      <c r="H537" s="473"/>
      <c r="I537" s="971"/>
      <c r="J537" s="971">
        <f t="shared" ref="J537" si="403">J538+J539</f>
        <v>0</v>
      </c>
      <c r="K537" s="971"/>
      <c r="L537" s="971"/>
      <c r="M537" s="473"/>
      <c r="N537" s="971"/>
      <c r="O537" s="971">
        <f t="shared" ref="O537" si="404">O538+O539</f>
        <v>0</v>
      </c>
      <c r="P537" s="971"/>
      <c r="Q537" s="163"/>
      <c r="R537" s="163"/>
    </row>
    <row r="538" spans="1:18" ht="12" hidden="1" customHeight="1">
      <c r="A538" s="966">
        <v>5000</v>
      </c>
      <c r="B538" s="1008" t="s">
        <v>123</v>
      </c>
      <c r="C538" s="973"/>
      <c r="D538" s="974"/>
      <c r="E538" s="474"/>
      <c r="F538" s="472"/>
      <c r="G538" s="472"/>
      <c r="H538" s="473"/>
      <c r="I538" s="474"/>
      <c r="J538" s="474"/>
      <c r="K538" s="472"/>
      <c r="L538" s="472"/>
      <c r="M538" s="473"/>
      <c r="N538" s="474"/>
      <c r="O538" s="474"/>
      <c r="P538" s="472"/>
      <c r="Q538" s="163"/>
      <c r="R538" s="163"/>
    </row>
    <row r="539" spans="1:18" ht="12" hidden="1" customHeight="1">
      <c r="A539" s="966">
        <v>9000</v>
      </c>
      <c r="B539" s="986" t="s">
        <v>164</v>
      </c>
      <c r="C539" s="973"/>
      <c r="D539" s="974"/>
      <c r="E539" s="474">
        <f t="shared" ref="E539" si="405">E540+E546+E550+E553</f>
        <v>0</v>
      </c>
      <c r="F539" s="474"/>
      <c r="G539" s="474"/>
      <c r="H539" s="473"/>
      <c r="I539" s="474"/>
      <c r="J539" s="474">
        <f t="shared" ref="J539" si="406">J540+J546+J550+J553</f>
        <v>0</v>
      </c>
      <c r="K539" s="474"/>
      <c r="L539" s="474"/>
      <c r="M539" s="473"/>
      <c r="N539" s="474"/>
      <c r="O539" s="474">
        <f t="shared" ref="O539" si="407">O540+O546+O550+O553</f>
        <v>0</v>
      </c>
      <c r="P539" s="474"/>
      <c r="Q539" s="163"/>
      <c r="R539" s="163"/>
    </row>
    <row r="540" spans="1:18" ht="12" hidden="1" customHeight="1">
      <c r="A540" s="987">
        <v>9100</v>
      </c>
      <c r="B540" s="988" t="s">
        <v>124</v>
      </c>
      <c r="C540" s="973"/>
      <c r="D540" s="974"/>
      <c r="E540" s="474">
        <f t="shared" ref="E540" si="408">SUM(E541:E542)</f>
        <v>0</v>
      </c>
      <c r="F540" s="474"/>
      <c r="G540" s="474"/>
      <c r="H540" s="473"/>
      <c r="I540" s="474"/>
      <c r="J540" s="474">
        <f t="shared" ref="J540" si="409">SUM(J541:J542)</f>
        <v>0</v>
      </c>
      <c r="K540" s="474"/>
      <c r="L540" s="474"/>
      <c r="M540" s="473"/>
      <c r="N540" s="474"/>
      <c r="O540" s="474">
        <f t="shared" ref="O540" si="410">SUM(O541:O542)</f>
        <v>0</v>
      </c>
      <c r="P540" s="474"/>
      <c r="Q540" s="163"/>
      <c r="R540" s="163"/>
    </row>
    <row r="541" spans="1:18" ht="24" hidden="1" customHeight="1">
      <c r="A541" s="989" t="s">
        <v>125</v>
      </c>
      <c r="B541" s="988" t="s">
        <v>214</v>
      </c>
      <c r="C541" s="973"/>
      <c r="D541" s="974"/>
      <c r="E541" s="474"/>
      <c r="F541" s="474"/>
      <c r="G541" s="474"/>
      <c r="H541" s="473"/>
      <c r="I541" s="474"/>
      <c r="J541" s="474"/>
      <c r="K541" s="474"/>
      <c r="L541" s="474"/>
      <c r="M541" s="473"/>
      <c r="N541" s="474"/>
      <c r="O541" s="474"/>
      <c r="P541" s="474"/>
      <c r="Q541" s="163"/>
      <c r="R541" s="163"/>
    </row>
    <row r="542" spans="1:18" ht="24" hidden="1" customHeight="1">
      <c r="A542" s="989">
        <v>9140</v>
      </c>
      <c r="B542" s="988" t="s">
        <v>215</v>
      </c>
      <c r="C542" s="973"/>
      <c r="D542" s="974"/>
      <c r="E542" s="474">
        <f t="shared" ref="E542" si="411">SUM(E543:E545)</f>
        <v>0</v>
      </c>
      <c r="F542" s="474"/>
      <c r="G542" s="474"/>
      <c r="H542" s="473"/>
      <c r="I542" s="474"/>
      <c r="J542" s="474">
        <f t="shared" ref="J542" si="412">SUM(J543:J545)</f>
        <v>0</v>
      </c>
      <c r="K542" s="474"/>
      <c r="L542" s="474"/>
      <c r="M542" s="473"/>
      <c r="N542" s="474"/>
      <c r="O542" s="474">
        <f t="shared" ref="O542" si="413">SUM(O543:O545)</f>
        <v>0</v>
      </c>
      <c r="P542" s="474"/>
      <c r="Q542" s="163"/>
      <c r="R542" s="163"/>
    </row>
    <row r="543" spans="1:18" ht="36" hidden="1" customHeight="1">
      <c r="A543" s="990">
        <v>9141</v>
      </c>
      <c r="B543" s="991" t="s">
        <v>190</v>
      </c>
      <c r="C543" s="983"/>
      <c r="D543" s="984"/>
      <c r="E543" s="985"/>
      <c r="F543" s="985"/>
      <c r="G543" s="985"/>
      <c r="H543" s="473"/>
      <c r="I543" s="985"/>
      <c r="J543" s="985"/>
      <c r="K543" s="985"/>
      <c r="L543" s="985"/>
      <c r="M543" s="473"/>
      <c r="N543" s="985"/>
      <c r="O543" s="985"/>
      <c r="P543" s="985"/>
      <c r="Q543" s="163"/>
      <c r="R543" s="163"/>
    </row>
    <row r="544" spans="1:18" ht="36" hidden="1" customHeight="1">
      <c r="A544" s="990">
        <v>9142</v>
      </c>
      <c r="B544" s="991" t="s">
        <v>191</v>
      </c>
      <c r="C544" s="983"/>
      <c r="D544" s="984"/>
      <c r="E544" s="985"/>
      <c r="F544" s="985"/>
      <c r="G544" s="985"/>
      <c r="H544" s="473"/>
      <c r="I544" s="985"/>
      <c r="J544" s="985"/>
      <c r="K544" s="985"/>
      <c r="L544" s="985"/>
      <c r="M544" s="473"/>
      <c r="N544" s="985"/>
      <c r="O544" s="985"/>
      <c r="P544" s="985"/>
      <c r="Q544" s="163"/>
      <c r="R544" s="163"/>
    </row>
    <row r="545" spans="1:18" ht="24" hidden="1" customHeight="1">
      <c r="A545" s="990">
        <v>9149</v>
      </c>
      <c r="B545" s="991" t="s">
        <v>192</v>
      </c>
      <c r="C545" s="983"/>
      <c r="D545" s="984"/>
      <c r="E545" s="985"/>
      <c r="F545" s="985"/>
      <c r="G545" s="985"/>
      <c r="H545" s="473"/>
      <c r="I545" s="985"/>
      <c r="J545" s="985"/>
      <c r="K545" s="985"/>
      <c r="L545" s="985"/>
      <c r="M545" s="473"/>
      <c r="N545" s="985"/>
      <c r="O545" s="985"/>
      <c r="P545" s="985"/>
      <c r="Q545" s="163"/>
      <c r="R545" s="163"/>
    </row>
    <row r="546" spans="1:18" ht="24" hidden="1" customHeight="1">
      <c r="A546" s="987">
        <v>9500</v>
      </c>
      <c r="B546" s="991" t="s">
        <v>165</v>
      </c>
      <c r="C546" s="973"/>
      <c r="D546" s="974"/>
      <c r="E546" s="474">
        <f t="shared" ref="E546" si="414">SUM(E547:E549)</f>
        <v>0</v>
      </c>
      <c r="F546" s="474"/>
      <c r="G546" s="474"/>
      <c r="H546" s="473"/>
      <c r="I546" s="474"/>
      <c r="J546" s="474">
        <f t="shared" ref="J546" si="415">SUM(J547:J549)</f>
        <v>0</v>
      </c>
      <c r="K546" s="474"/>
      <c r="L546" s="474"/>
      <c r="M546" s="473"/>
      <c r="N546" s="474"/>
      <c r="O546" s="474">
        <f t="shared" ref="O546" si="416">SUM(O547:O549)</f>
        <v>0</v>
      </c>
      <c r="P546" s="474"/>
      <c r="Q546" s="163"/>
      <c r="R546" s="163"/>
    </row>
    <row r="547" spans="1:18" ht="24" hidden="1" customHeight="1">
      <c r="A547" s="989" t="s">
        <v>193</v>
      </c>
      <c r="B547" s="991" t="s">
        <v>171</v>
      </c>
      <c r="C547" s="973"/>
      <c r="D547" s="974"/>
      <c r="E547" s="474"/>
      <c r="F547" s="474"/>
      <c r="G547" s="474"/>
      <c r="H547" s="473"/>
      <c r="I547" s="474"/>
      <c r="J547" s="474"/>
      <c r="K547" s="474"/>
      <c r="L547" s="474"/>
      <c r="M547" s="473"/>
      <c r="N547" s="474"/>
      <c r="O547" s="474"/>
      <c r="P547" s="474"/>
      <c r="Q547" s="163"/>
      <c r="R547" s="163"/>
    </row>
    <row r="548" spans="1:18" ht="48" hidden="1" customHeight="1">
      <c r="A548" s="989">
        <v>9580</v>
      </c>
      <c r="B548" s="991" t="s">
        <v>166</v>
      </c>
      <c r="C548" s="983"/>
      <c r="D548" s="984"/>
      <c r="E548" s="985"/>
      <c r="F548" s="985"/>
      <c r="G548" s="985"/>
      <c r="H548" s="473"/>
      <c r="I548" s="985"/>
      <c r="J548" s="985"/>
      <c r="K548" s="985"/>
      <c r="L548" s="985"/>
      <c r="M548" s="473"/>
      <c r="N548" s="985"/>
      <c r="O548" s="985"/>
      <c r="P548" s="985"/>
      <c r="Q548" s="163"/>
      <c r="R548" s="163"/>
    </row>
    <row r="549" spans="1:18" ht="36" hidden="1" customHeight="1">
      <c r="A549" s="989">
        <v>9590</v>
      </c>
      <c r="B549" s="988" t="s">
        <v>172</v>
      </c>
      <c r="C549" s="983"/>
      <c r="D549" s="984"/>
      <c r="E549" s="985"/>
      <c r="F549" s="985"/>
      <c r="G549" s="985"/>
      <c r="H549" s="473"/>
      <c r="I549" s="985"/>
      <c r="J549" s="985"/>
      <c r="K549" s="985"/>
      <c r="L549" s="985"/>
      <c r="M549" s="473"/>
      <c r="N549" s="985"/>
      <c r="O549" s="985"/>
      <c r="P549" s="985"/>
      <c r="Q549" s="163"/>
      <c r="R549" s="163"/>
    </row>
    <row r="550" spans="1:18" ht="24" hidden="1" customHeight="1">
      <c r="A550" s="987">
        <v>9700</v>
      </c>
      <c r="B550" s="992" t="s">
        <v>194</v>
      </c>
      <c r="C550" s="973"/>
      <c r="D550" s="974"/>
      <c r="E550" s="474">
        <f t="shared" ref="E550" si="417">SUM(E551:E552)</f>
        <v>0</v>
      </c>
      <c r="F550" s="474"/>
      <c r="G550" s="474"/>
      <c r="H550" s="473"/>
      <c r="I550" s="474"/>
      <c r="J550" s="474">
        <f t="shared" ref="J550" si="418">SUM(J551:J552)</f>
        <v>0</v>
      </c>
      <c r="K550" s="474"/>
      <c r="L550" s="474"/>
      <c r="M550" s="473"/>
      <c r="N550" s="474"/>
      <c r="O550" s="474">
        <f t="shared" ref="O550" si="419">SUM(O551:O552)</f>
        <v>0</v>
      </c>
      <c r="P550" s="474"/>
      <c r="Q550" s="163"/>
      <c r="R550" s="163"/>
    </row>
    <row r="551" spans="1:18" ht="24" hidden="1" customHeight="1">
      <c r="A551" s="989">
        <v>9710</v>
      </c>
      <c r="B551" s="993" t="s">
        <v>195</v>
      </c>
      <c r="C551" s="983"/>
      <c r="D551" s="984"/>
      <c r="E551" s="985"/>
      <c r="F551" s="985"/>
      <c r="G551" s="985"/>
      <c r="H551" s="473"/>
      <c r="I551" s="985"/>
      <c r="J551" s="985"/>
      <c r="K551" s="985"/>
      <c r="L551" s="985"/>
      <c r="M551" s="473"/>
      <c r="N551" s="985"/>
      <c r="O551" s="985"/>
      <c r="P551" s="985"/>
      <c r="Q551" s="163"/>
      <c r="R551" s="163"/>
    </row>
    <row r="552" spans="1:18" ht="36" hidden="1" customHeight="1">
      <c r="A552" s="994">
        <v>9720</v>
      </c>
      <c r="B552" s="992" t="s">
        <v>196</v>
      </c>
      <c r="C552" s="983"/>
      <c r="D552" s="984"/>
      <c r="E552" s="985"/>
      <c r="F552" s="985"/>
      <c r="G552" s="985"/>
      <c r="H552" s="473"/>
      <c r="I552" s="985"/>
      <c r="J552" s="985"/>
      <c r="K552" s="985"/>
      <c r="L552" s="985"/>
      <c r="M552" s="473"/>
      <c r="N552" s="985"/>
      <c r="O552" s="985"/>
      <c r="P552" s="985"/>
      <c r="Q552" s="163"/>
      <c r="R552" s="163"/>
    </row>
    <row r="553" spans="1:18" ht="24" hidden="1" customHeight="1">
      <c r="A553" s="987">
        <v>9600</v>
      </c>
      <c r="B553" s="988" t="s">
        <v>134</v>
      </c>
      <c r="C553" s="983"/>
      <c r="D553" s="984"/>
      <c r="E553" s="985">
        <v>0</v>
      </c>
      <c r="F553" s="985"/>
      <c r="G553" s="985"/>
      <c r="H553" s="473"/>
      <c r="I553" s="985"/>
      <c r="J553" s="985"/>
      <c r="K553" s="985"/>
      <c r="L553" s="985"/>
      <c r="M553" s="473"/>
      <c r="N553" s="985"/>
      <c r="O553" s="985"/>
      <c r="P553" s="985"/>
      <c r="Q553" s="163"/>
      <c r="R553" s="163"/>
    </row>
    <row r="554" spans="1:18" ht="30.6" hidden="1" customHeight="1">
      <c r="A554" s="965" t="s">
        <v>197</v>
      </c>
      <c r="B554" s="995" t="s">
        <v>47</v>
      </c>
      <c r="C554" s="996"/>
      <c r="D554" s="997"/>
      <c r="E554" s="998">
        <v>0</v>
      </c>
      <c r="F554" s="998"/>
      <c r="G554" s="998"/>
      <c r="H554" s="473"/>
      <c r="I554" s="998"/>
      <c r="J554" s="998"/>
      <c r="K554" s="998"/>
      <c r="L554" s="998"/>
      <c r="M554" s="473"/>
      <c r="N554" s="998"/>
      <c r="O554" s="998">
        <v>0</v>
      </c>
      <c r="P554" s="998"/>
      <c r="Q554" s="163"/>
      <c r="R554" s="163"/>
    </row>
    <row r="555" spans="1:18" ht="12" hidden="1" customHeight="1">
      <c r="A555" s="999" t="s">
        <v>48</v>
      </c>
      <c r="B555" s="995" t="s">
        <v>49</v>
      </c>
      <c r="C555" s="996"/>
      <c r="D555" s="997"/>
      <c r="E555" s="998">
        <f t="shared" ref="E555" si="420">E556+E559+E563+E562</f>
        <v>0</v>
      </c>
      <c r="F555" s="998"/>
      <c r="G555" s="998"/>
      <c r="H555" s="473"/>
      <c r="I555" s="998"/>
      <c r="J555" s="998">
        <f t="shared" ref="J555" si="421">J556+J559+J563+J562</f>
        <v>0</v>
      </c>
      <c r="K555" s="998"/>
      <c r="L555" s="998"/>
      <c r="M555" s="473"/>
      <c r="N555" s="998"/>
      <c r="O555" s="998">
        <f t="shared" ref="O555" si="422">O556+O559+O563+O562</f>
        <v>0</v>
      </c>
      <c r="P555" s="998"/>
      <c r="Q555" s="163"/>
      <c r="R555" s="163"/>
    </row>
    <row r="556" spans="1:18" ht="12" hidden="1" customHeight="1">
      <c r="A556" s="987" t="s">
        <v>50</v>
      </c>
      <c r="B556" s="988" t="s">
        <v>51</v>
      </c>
      <c r="C556" s="1000"/>
      <c r="D556" s="1001"/>
      <c r="E556" s="1002">
        <f t="shared" ref="E556" si="423">E557+E558</f>
        <v>0</v>
      </c>
      <c r="F556" s="1002"/>
      <c r="G556" s="1002"/>
      <c r="H556" s="473"/>
      <c r="I556" s="1002"/>
      <c r="J556" s="1002">
        <f t="shared" ref="J556" si="424">J557+J558</f>
        <v>0</v>
      </c>
      <c r="K556" s="1002"/>
      <c r="L556" s="1002"/>
      <c r="M556" s="473"/>
      <c r="N556" s="1002"/>
      <c r="O556" s="1002">
        <f t="shared" ref="O556" si="425">O557+O558</f>
        <v>0</v>
      </c>
      <c r="P556" s="1002"/>
      <c r="Q556" s="163"/>
      <c r="R556" s="163"/>
    </row>
    <row r="557" spans="1:18" ht="12" hidden="1" customHeight="1">
      <c r="A557" s="987" t="s">
        <v>52</v>
      </c>
      <c r="B557" s="988" t="s">
        <v>53</v>
      </c>
      <c r="C557" s="1000"/>
      <c r="D557" s="1001"/>
      <c r="E557" s="1002"/>
      <c r="F557" s="1002"/>
      <c r="G557" s="1002"/>
      <c r="H557" s="473"/>
      <c r="I557" s="1002"/>
      <c r="J557" s="1002"/>
      <c r="K557" s="1002"/>
      <c r="L557" s="1002"/>
      <c r="M557" s="473"/>
      <c r="N557" s="1002"/>
      <c r="O557" s="1002"/>
      <c r="P557" s="1002"/>
      <c r="Q557" s="163"/>
      <c r="R557" s="163"/>
    </row>
    <row r="558" spans="1:18" ht="12" hidden="1" customHeight="1">
      <c r="A558" s="987" t="s">
        <v>54</v>
      </c>
      <c r="B558" s="988" t="s">
        <v>55</v>
      </c>
      <c r="C558" s="1000"/>
      <c r="D558" s="1001"/>
      <c r="E558" s="1002"/>
      <c r="F558" s="1002"/>
      <c r="G558" s="1002"/>
      <c r="H558" s="473"/>
      <c r="I558" s="1002"/>
      <c r="J558" s="1002"/>
      <c r="K558" s="1002"/>
      <c r="L558" s="1002"/>
      <c r="M558" s="473"/>
      <c r="N558" s="1002"/>
      <c r="O558" s="1002"/>
      <c r="P558" s="1002"/>
      <c r="Q558" s="163"/>
      <c r="R558" s="163"/>
    </row>
    <row r="559" spans="1:18" ht="12" hidden="1" customHeight="1">
      <c r="A559" s="987" t="s">
        <v>56</v>
      </c>
      <c r="B559" s="988" t="s">
        <v>57</v>
      </c>
      <c r="C559" s="1000"/>
      <c r="D559" s="1001"/>
      <c r="E559" s="1002">
        <f t="shared" ref="E559" si="426">E560+E561</f>
        <v>0</v>
      </c>
      <c r="F559" s="1002"/>
      <c r="G559" s="1002"/>
      <c r="H559" s="473"/>
      <c r="I559" s="1002"/>
      <c r="J559" s="1002">
        <f t="shared" ref="J559" si="427">J560+J561</f>
        <v>0</v>
      </c>
      <c r="K559" s="1002"/>
      <c r="L559" s="1002"/>
      <c r="M559" s="473"/>
      <c r="N559" s="1002"/>
      <c r="O559" s="1002">
        <f t="shared" ref="O559" si="428">O560+O561</f>
        <v>0</v>
      </c>
      <c r="P559" s="1002"/>
      <c r="Q559" s="163"/>
      <c r="R559" s="163"/>
    </row>
    <row r="560" spans="1:18" ht="12" hidden="1" customHeight="1">
      <c r="A560" s="987" t="s">
        <v>58</v>
      </c>
      <c r="B560" s="988" t="s">
        <v>59</v>
      </c>
      <c r="C560" s="1000"/>
      <c r="D560" s="1001"/>
      <c r="E560" s="1002"/>
      <c r="F560" s="1002"/>
      <c r="G560" s="1002"/>
      <c r="H560" s="473"/>
      <c r="I560" s="1002"/>
      <c r="J560" s="1002"/>
      <c r="K560" s="1002"/>
      <c r="L560" s="1002"/>
      <c r="M560" s="473"/>
      <c r="N560" s="1002"/>
      <c r="O560" s="1002"/>
      <c r="P560" s="1002"/>
      <c r="Q560" s="163"/>
      <c r="R560" s="163"/>
    </row>
    <row r="561" spans="1:18" ht="12" hidden="1" customHeight="1">
      <c r="A561" s="987" t="s">
        <v>60</v>
      </c>
      <c r="B561" s="988" t="s">
        <v>61</v>
      </c>
      <c r="C561" s="1000"/>
      <c r="D561" s="1001"/>
      <c r="E561" s="1002"/>
      <c r="F561" s="1002"/>
      <c r="G561" s="1002"/>
      <c r="H561" s="473"/>
      <c r="I561" s="1002"/>
      <c r="J561" s="1002"/>
      <c r="K561" s="1002"/>
      <c r="L561" s="1002"/>
      <c r="M561" s="473"/>
      <c r="N561" s="1002"/>
      <c r="O561" s="1002"/>
      <c r="P561" s="1002"/>
      <c r="Q561" s="163"/>
      <c r="R561" s="163"/>
    </row>
    <row r="562" spans="1:18" ht="12" hidden="1" customHeight="1">
      <c r="A562" s="987" t="s">
        <v>198</v>
      </c>
      <c r="B562" s="1003" t="s">
        <v>168</v>
      </c>
      <c r="C562" s="1000"/>
      <c r="D562" s="1001"/>
      <c r="E562" s="1002"/>
      <c r="F562" s="1002"/>
      <c r="G562" s="1002"/>
      <c r="H562" s="473"/>
      <c r="I562" s="1002"/>
      <c r="J562" s="1002"/>
      <c r="K562" s="1002"/>
      <c r="L562" s="1002"/>
      <c r="M562" s="473"/>
      <c r="N562" s="1002"/>
      <c r="O562" s="1002"/>
      <c r="P562" s="1002"/>
      <c r="Q562" s="163"/>
      <c r="R562" s="163"/>
    </row>
    <row r="563" spans="1:18" ht="12" hidden="1" customHeight="1">
      <c r="A563" s="1004" t="s">
        <v>62</v>
      </c>
      <c r="B563" s="768" t="s">
        <v>63</v>
      </c>
      <c r="C563" s="973"/>
      <c r="D563" s="974"/>
      <c r="E563" s="474">
        <v>0</v>
      </c>
      <c r="F563" s="474"/>
      <c r="G563" s="474"/>
      <c r="H563" s="473"/>
      <c r="I563" s="474"/>
      <c r="J563" s="474"/>
      <c r="K563" s="474"/>
      <c r="L563" s="474"/>
      <c r="M563" s="473"/>
      <c r="N563" s="474"/>
      <c r="O563" s="474"/>
      <c r="P563" s="474"/>
      <c r="Q563" s="163"/>
      <c r="R563" s="163"/>
    </row>
    <row r="564" spans="1:18" ht="36" hidden="1" customHeight="1">
      <c r="A564" s="1004" t="s">
        <v>64</v>
      </c>
      <c r="B564" s="988" t="s">
        <v>65</v>
      </c>
      <c r="C564" s="1000"/>
      <c r="D564" s="1001"/>
      <c r="E564" s="1002"/>
      <c r="F564" s="1002"/>
      <c r="G564" s="1002"/>
      <c r="H564" s="473"/>
      <c r="I564" s="1002"/>
      <c r="J564" s="1002"/>
      <c r="K564" s="1002"/>
      <c r="L564" s="1002"/>
      <c r="M564" s="473"/>
      <c r="N564" s="1002"/>
      <c r="O564" s="1002"/>
      <c r="P564" s="1002"/>
      <c r="Q564" s="163"/>
      <c r="R564" s="163"/>
    </row>
    <row r="565" spans="1:18" ht="24" hidden="1" customHeight="1">
      <c r="A565" s="1004" t="s">
        <v>66</v>
      </c>
      <c r="B565" s="988" t="s">
        <v>67</v>
      </c>
      <c r="C565" s="1000"/>
      <c r="D565" s="1001"/>
      <c r="E565" s="1002"/>
      <c r="F565" s="1002"/>
      <c r="G565" s="1002"/>
      <c r="H565" s="473"/>
      <c r="I565" s="1002"/>
      <c r="J565" s="1002"/>
      <c r="K565" s="1002"/>
      <c r="L565" s="1002"/>
      <c r="M565" s="473"/>
      <c r="N565" s="1002"/>
      <c r="O565" s="1002"/>
      <c r="P565" s="1002"/>
      <c r="Q565" s="163"/>
      <c r="R565" s="163"/>
    </row>
    <row r="566" spans="1:18" ht="13.2" hidden="1" customHeight="1">
      <c r="A566" s="931"/>
      <c r="B566" s="932"/>
      <c r="C566" s="469"/>
      <c r="D566" s="470"/>
      <c r="E566" s="469"/>
      <c r="F566" s="470"/>
      <c r="G566" s="470"/>
      <c r="H566" s="470"/>
      <c r="I566" s="470"/>
      <c r="J566" s="469"/>
      <c r="K566" s="470"/>
      <c r="L566" s="470"/>
      <c r="M566" s="470"/>
      <c r="N566" s="470"/>
      <c r="O566" s="469"/>
      <c r="P566" s="470"/>
      <c r="Q566" s="163"/>
      <c r="R566" s="163"/>
    </row>
    <row r="567" spans="1:18" ht="66" hidden="1">
      <c r="A567" s="888" t="s">
        <v>285</v>
      </c>
      <c r="B567" s="1070" t="s">
        <v>1048</v>
      </c>
      <c r="C567" s="469"/>
      <c r="D567" s="470"/>
      <c r="E567" s="1006"/>
      <c r="F567" s="470"/>
      <c r="G567" s="470"/>
      <c r="H567" s="470"/>
      <c r="I567" s="470"/>
      <c r="J567" s="469"/>
      <c r="K567" s="1071"/>
      <c r="L567" s="470"/>
      <c r="M567" s="470"/>
      <c r="N567" s="470"/>
      <c r="O567" s="469"/>
      <c r="P567" s="470"/>
      <c r="Q567" s="163"/>
      <c r="R567" s="163"/>
    </row>
    <row r="568" spans="1:18" ht="12" hidden="1" customHeight="1">
      <c r="A568" s="1072" t="s">
        <v>100</v>
      </c>
      <c r="B568" s="1073" t="s">
        <v>101</v>
      </c>
      <c r="C568" s="969"/>
      <c r="D568" s="970"/>
      <c r="E568" s="474">
        <f t="shared" ref="E568" si="429">E569+E596</f>
        <v>0</v>
      </c>
      <c r="F568" s="971"/>
      <c r="G568" s="971"/>
      <c r="H568" s="969"/>
      <c r="I568" s="971"/>
      <c r="J568" s="971"/>
      <c r="K568" s="971"/>
      <c r="L568" s="971"/>
      <c r="M568" s="969"/>
      <c r="N568" s="971"/>
      <c r="O568" s="971"/>
      <c r="P568" s="971"/>
      <c r="Q568" s="163"/>
      <c r="R568" s="163"/>
    </row>
    <row r="569" spans="1:18" ht="20.399999999999999" hidden="1" customHeight="1">
      <c r="A569" s="965" t="s">
        <v>102</v>
      </c>
      <c r="B569" s="1008" t="s">
        <v>103</v>
      </c>
      <c r="C569" s="973"/>
      <c r="D569" s="974"/>
      <c r="E569" s="474">
        <f t="shared" ref="E569" si="430">E570+E574+E575+E578+E581</f>
        <v>0</v>
      </c>
      <c r="F569" s="474"/>
      <c r="G569" s="474"/>
      <c r="H569" s="473"/>
      <c r="I569" s="474"/>
      <c r="J569" s="474"/>
      <c r="K569" s="474"/>
      <c r="L569" s="474"/>
      <c r="M569" s="473"/>
      <c r="N569" s="474"/>
      <c r="O569" s="474"/>
      <c r="P569" s="474"/>
      <c r="Q569" s="163"/>
      <c r="R569" s="163"/>
    </row>
    <row r="570" spans="1:18" ht="12" hidden="1" customHeight="1">
      <c r="A570" s="965" t="s">
        <v>104</v>
      </c>
      <c r="B570" s="1008" t="s">
        <v>105</v>
      </c>
      <c r="C570" s="973"/>
      <c r="D570" s="974"/>
      <c r="E570" s="474">
        <f t="shared" ref="E570" si="431">E571+E573</f>
        <v>0</v>
      </c>
      <c r="F570" s="474"/>
      <c r="G570" s="474"/>
      <c r="H570" s="473"/>
      <c r="I570" s="474"/>
      <c r="J570" s="474"/>
      <c r="K570" s="474"/>
      <c r="L570" s="474"/>
      <c r="M570" s="473"/>
      <c r="N570" s="474"/>
      <c r="O570" s="474"/>
      <c r="P570" s="474"/>
      <c r="Q570" s="163"/>
      <c r="R570" s="163"/>
    </row>
    <row r="571" spans="1:18" ht="12" hidden="1" customHeight="1">
      <c r="A571" s="767">
        <v>1000</v>
      </c>
      <c r="B571" s="768" t="s">
        <v>106</v>
      </c>
      <c r="C571" s="973"/>
      <c r="D571" s="974"/>
      <c r="E571" s="474"/>
      <c r="F571" s="472"/>
      <c r="G571" s="472"/>
      <c r="H571" s="473"/>
      <c r="I571" s="474"/>
      <c r="J571" s="474"/>
      <c r="K571" s="472"/>
      <c r="L571" s="472"/>
      <c r="M571" s="473"/>
      <c r="N571" s="474"/>
      <c r="O571" s="474"/>
      <c r="P571" s="472"/>
      <c r="Q571" s="163"/>
      <c r="R571" s="163"/>
    </row>
    <row r="572" spans="1:18" ht="12" hidden="1" customHeight="1">
      <c r="A572" s="891">
        <v>1100</v>
      </c>
      <c r="B572" s="768" t="s">
        <v>107</v>
      </c>
      <c r="C572" s="973"/>
      <c r="D572" s="974"/>
      <c r="E572" s="474"/>
      <c r="F572" s="472"/>
      <c r="G572" s="472"/>
      <c r="H572" s="473"/>
      <c r="I572" s="474"/>
      <c r="J572" s="474"/>
      <c r="K572" s="472"/>
      <c r="L572" s="472"/>
      <c r="M572" s="473"/>
      <c r="N572" s="474"/>
      <c r="O572" s="474"/>
      <c r="P572" s="472"/>
      <c r="Q572" s="163"/>
      <c r="R572" s="163"/>
    </row>
    <row r="573" spans="1:18" ht="12" hidden="1" customHeight="1">
      <c r="A573" s="767">
        <v>2000</v>
      </c>
      <c r="B573" s="768" t="s">
        <v>108</v>
      </c>
      <c r="C573" s="973"/>
      <c r="D573" s="974"/>
      <c r="E573" s="474"/>
      <c r="F573" s="472"/>
      <c r="G573" s="472"/>
      <c r="H573" s="473"/>
      <c r="I573" s="474"/>
      <c r="J573" s="474"/>
      <c r="K573" s="472"/>
      <c r="L573" s="472"/>
      <c r="M573" s="473"/>
      <c r="N573" s="474"/>
      <c r="O573" s="474"/>
      <c r="P573" s="472"/>
      <c r="Q573" s="163"/>
      <c r="R573" s="163"/>
    </row>
    <row r="574" spans="1:18" ht="12" hidden="1" customHeight="1">
      <c r="A574" s="966">
        <v>4000</v>
      </c>
      <c r="B574" s="1008" t="s">
        <v>132</v>
      </c>
      <c r="C574" s="973"/>
      <c r="D574" s="975"/>
      <c r="E574" s="472"/>
      <c r="F574" s="472"/>
      <c r="G574" s="472"/>
      <c r="H574" s="473"/>
      <c r="I574" s="474"/>
      <c r="J574" s="472"/>
      <c r="K574" s="472"/>
      <c r="L574" s="472"/>
      <c r="M574" s="473"/>
      <c r="N574" s="474"/>
      <c r="O574" s="472"/>
      <c r="P574" s="472"/>
      <c r="Q574" s="163"/>
      <c r="R574" s="163"/>
    </row>
    <row r="575" spans="1:18" ht="12" hidden="1" customHeight="1">
      <c r="A575" s="966" t="s">
        <v>109</v>
      </c>
      <c r="B575" s="1008" t="s">
        <v>110</v>
      </c>
      <c r="C575" s="973"/>
      <c r="D575" s="974"/>
      <c r="E575" s="474">
        <f t="shared" ref="E575" si="432">E576+E577</f>
        <v>0</v>
      </c>
      <c r="F575" s="474"/>
      <c r="G575" s="474"/>
      <c r="H575" s="473"/>
      <c r="I575" s="474"/>
      <c r="J575" s="474"/>
      <c r="K575" s="474"/>
      <c r="L575" s="474"/>
      <c r="M575" s="473"/>
      <c r="N575" s="474"/>
      <c r="O575" s="474"/>
      <c r="P575" s="474"/>
      <c r="Q575" s="163"/>
      <c r="R575" s="163"/>
    </row>
    <row r="576" spans="1:18" ht="12" hidden="1" customHeight="1">
      <c r="A576" s="767">
        <v>3000</v>
      </c>
      <c r="B576" s="768" t="s">
        <v>111</v>
      </c>
      <c r="C576" s="976"/>
      <c r="D576" s="976"/>
      <c r="E576" s="977"/>
      <c r="F576" s="978"/>
      <c r="G576" s="978"/>
      <c r="H576" s="473"/>
      <c r="I576" s="977"/>
      <c r="J576" s="977"/>
      <c r="K576" s="978"/>
      <c r="L576" s="978"/>
      <c r="M576" s="473"/>
      <c r="N576" s="977"/>
      <c r="O576" s="977"/>
      <c r="P576" s="978"/>
      <c r="Q576" s="163"/>
      <c r="R576" s="163"/>
    </row>
    <row r="577" spans="1:18" ht="12" hidden="1" customHeight="1">
      <c r="A577" s="767">
        <v>6000</v>
      </c>
      <c r="B577" s="768" t="s">
        <v>112</v>
      </c>
      <c r="C577" s="973"/>
      <c r="D577" s="975"/>
      <c r="E577" s="472"/>
      <c r="F577" s="472"/>
      <c r="G577" s="472"/>
      <c r="H577" s="473"/>
      <c r="I577" s="474"/>
      <c r="J577" s="472"/>
      <c r="K577" s="472"/>
      <c r="L577" s="472"/>
      <c r="M577" s="473"/>
      <c r="N577" s="474"/>
      <c r="O577" s="472"/>
      <c r="P577" s="472"/>
      <c r="Q577" s="163"/>
      <c r="R577" s="163"/>
    </row>
    <row r="578" spans="1:18" ht="22.8" hidden="1" customHeight="1">
      <c r="A578" s="966" t="s">
        <v>113</v>
      </c>
      <c r="B578" s="1008" t="s">
        <v>183</v>
      </c>
      <c r="C578" s="973"/>
      <c r="D578" s="974"/>
      <c r="E578" s="474">
        <f t="shared" ref="E578" si="433">E579+E580</f>
        <v>0</v>
      </c>
      <c r="F578" s="474"/>
      <c r="G578" s="474"/>
      <c r="H578" s="473"/>
      <c r="I578" s="474"/>
      <c r="J578" s="474"/>
      <c r="K578" s="474"/>
      <c r="L578" s="474"/>
      <c r="M578" s="473"/>
      <c r="N578" s="474"/>
      <c r="O578" s="474"/>
      <c r="P578" s="474"/>
      <c r="Q578" s="163"/>
      <c r="R578" s="163"/>
    </row>
    <row r="579" spans="1:18" ht="12" hidden="1" customHeight="1">
      <c r="A579" s="767">
        <v>7600</v>
      </c>
      <c r="B579" s="988" t="s">
        <v>184</v>
      </c>
      <c r="C579" s="973"/>
      <c r="D579" s="975"/>
      <c r="E579" s="472"/>
      <c r="F579" s="472"/>
      <c r="G579" s="472"/>
      <c r="H579" s="473"/>
      <c r="I579" s="474"/>
      <c r="J579" s="472"/>
      <c r="K579" s="472"/>
      <c r="L579" s="472"/>
      <c r="M579" s="473"/>
      <c r="N579" s="474"/>
      <c r="O579" s="472"/>
      <c r="P579" s="472"/>
      <c r="Q579" s="163"/>
      <c r="R579" s="163"/>
    </row>
    <row r="580" spans="1:18" ht="12" hidden="1" customHeight="1">
      <c r="A580" s="767">
        <v>7700</v>
      </c>
      <c r="B580" s="1009" t="s">
        <v>114</v>
      </c>
      <c r="C580" s="974"/>
      <c r="D580" s="974"/>
      <c r="E580" s="474"/>
      <c r="F580" s="472"/>
      <c r="G580" s="472"/>
      <c r="H580" s="473"/>
      <c r="I580" s="474"/>
      <c r="J580" s="474"/>
      <c r="K580" s="472"/>
      <c r="L580" s="472"/>
      <c r="M580" s="473"/>
      <c r="N580" s="474"/>
      <c r="O580" s="474"/>
      <c r="P580" s="472"/>
      <c r="Q580" s="163"/>
      <c r="R580" s="163"/>
    </row>
    <row r="581" spans="1:18" ht="20.399999999999999" hidden="1" customHeight="1">
      <c r="A581" s="966" t="s">
        <v>185</v>
      </c>
      <c r="B581" s="1008" t="s">
        <v>115</v>
      </c>
      <c r="C581" s="973"/>
      <c r="D581" s="974"/>
      <c r="E581" s="474">
        <f t="shared" ref="E581" si="434">E582+E588+E592+E595</f>
        <v>0</v>
      </c>
      <c r="F581" s="474"/>
      <c r="G581" s="474"/>
      <c r="H581" s="473"/>
      <c r="I581" s="474"/>
      <c r="J581" s="474"/>
      <c r="K581" s="474"/>
      <c r="L581" s="474"/>
      <c r="M581" s="473"/>
      <c r="N581" s="474"/>
      <c r="O581" s="474"/>
      <c r="P581" s="474"/>
      <c r="Q581" s="163"/>
      <c r="R581" s="163"/>
    </row>
    <row r="582" spans="1:18" ht="12" hidden="1" customHeight="1">
      <c r="A582" s="767">
        <v>7100</v>
      </c>
      <c r="B582" s="988" t="s">
        <v>116</v>
      </c>
      <c r="C582" s="973"/>
      <c r="D582" s="974"/>
      <c r="E582" s="474">
        <f t="shared" ref="E582" si="435">E583+E584</f>
        <v>0</v>
      </c>
      <c r="F582" s="474"/>
      <c r="G582" s="474"/>
      <c r="H582" s="473"/>
      <c r="I582" s="474"/>
      <c r="J582" s="474"/>
      <c r="K582" s="474"/>
      <c r="L582" s="474"/>
      <c r="M582" s="473"/>
      <c r="N582" s="474"/>
      <c r="O582" s="474"/>
      <c r="P582" s="474"/>
      <c r="Q582" s="163"/>
      <c r="R582" s="163"/>
    </row>
    <row r="583" spans="1:18" ht="24" hidden="1" customHeight="1">
      <c r="A583" s="989" t="s">
        <v>117</v>
      </c>
      <c r="B583" s="988" t="s">
        <v>118</v>
      </c>
      <c r="C583" s="973"/>
      <c r="D583" s="974"/>
      <c r="E583" s="474"/>
      <c r="F583" s="474"/>
      <c r="G583" s="474"/>
      <c r="H583" s="473"/>
      <c r="I583" s="474"/>
      <c r="J583" s="474"/>
      <c r="K583" s="474"/>
      <c r="L583" s="474"/>
      <c r="M583" s="473"/>
      <c r="N583" s="474"/>
      <c r="O583" s="474"/>
      <c r="P583" s="474"/>
      <c r="Q583" s="163"/>
      <c r="R583" s="163"/>
    </row>
    <row r="584" spans="1:18" ht="24" hidden="1" customHeight="1">
      <c r="A584" s="989">
        <v>7130</v>
      </c>
      <c r="B584" s="988" t="s">
        <v>119</v>
      </c>
      <c r="C584" s="973"/>
      <c r="D584" s="974"/>
      <c r="E584" s="474">
        <f t="shared" ref="E584" si="436">SUM(E585:E587)</f>
        <v>0</v>
      </c>
      <c r="F584" s="474"/>
      <c r="G584" s="474"/>
      <c r="H584" s="473"/>
      <c r="I584" s="474"/>
      <c r="J584" s="474"/>
      <c r="K584" s="474"/>
      <c r="L584" s="474"/>
      <c r="M584" s="473"/>
      <c r="N584" s="474"/>
      <c r="O584" s="474"/>
      <c r="P584" s="474"/>
      <c r="Q584" s="163"/>
      <c r="R584" s="163"/>
    </row>
    <row r="585" spans="1:18" ht="36" hidden="1" customHeight="1">
      <c r="A585" s="990">
        <v>7131</v>
      </c>
      <c r="B585" s="988" t="s">
        <v>120</v>
      </c>
      <c r="C585" s="973"/>
      <c r="D585" s="974"/>
      <c r="E585" s="474"/>
      <c r="F585" s="474"/>
      <c r="G585" s="474"/>
      <c r="H585" s="473"/>
      <c r="I585" s="474"/>
      <c r="J585" s="474"/>
      <c r="K585" s="474"/>
      <c r="L585" s="474"/>
      <c r="M585" s="473"/>
      <c r="N585" s="474"/>
      <c r="O585" s="474"/>
      <c r="P585" s="474"/>
      <c r="Q585" s="163"/>
      <c r="R585" s="163"/>
    </row>
    <row r="586" spans="1:18" ht="36" hidden="1" customHeight="1">
      <c r="A586" s="990">
        <v>7132</v>
      </c>
      <c r="B586" s="988" t="s">
        <v>121</v>
      </c>
      <c r="C586" s="973"/>
      <c r="D586" s="974"/>
      <c r="E586" s="474"/>
      <c r="F586" s="474"/>
      <c r="G586" s="474"/>
      <c r="H586" s="473"/>
      <c r="I586" s="474"/>
      <c r="J586" s="474"/>
      <c r="K586" s="474"/>
      <c r="L586" s="474"/>
      <c r="M586" s="473"/>
      <c r="N586" s="474"/>
      <c r="O586" s="474"/>
      <c r="P586" s="474"/>
      <c r="Q586" s="163"/>
      <c r="R586" s="163"/>
    </row>
    <row r="587" spans="1:18" ht="24" hidden="1" customHeight="1">
      <c r="A587" s="990" t="s">
        <v>186</v>
      </c>
      <c r="B587" s="988" t="s">
        <v>187</v>
      </c>
      <c r="C587" s="973"/>
      <c r="D587" s="974"/>
      <c r="E587" s="474"/>
      <c r="F587" s="474"/>
      <c r="G587" s="474"/>
      <c r="H587" s="473"/>
      <c r="I587" s="474"/>
      <c r="J587" s="474"/>
      <c r="K587" s="474"/>
      <c r="L587" s="474"/>
      <c r="M587" s="473"/>
      <c r="N587" s="474"/>
      <c r="O587" s="474"/>
      <c r="P587" s="474"/>
      <c r="Q587" s="163"/>
      <c r="R587" s="163"/>
    </row>
    <row r="588" spans="1:18" ht="24" hidden="1" customHeight="1">
      <c r="A588" s="767">
        <v>7300</v>
      </c>
      <c r="B588" s="991" t="s">
        <v>155</v>
      </c>
      <c r="C588" s="973"/>
      <c r="D588" s="974"/>
      <c r="E588" s="474">
        <f t="shared" ref="E588" si="437">SUM(E589:E591)</f>
        <v>0</v>
      </c>
      <c r="F588" s="474"/>
      <c r="G588" s="474"/>
      <c r="H588" s="473"/>
      <c r="I588" s="474"/>
      <c r="J588" s="474"/>
      <c r="K588" s="474"/>
      <c r="L588" s="474"/>
      <c r="M588" s="473"/>
      <c r="N588" s="474"/>
      <c r="O588" s="474"/>
      <c r="P588" s="474"/>
      <c r="Q588" s="163"/>
      <c r="R588" s="163"/>
    </row>
    <row r="589" spans="1:18" ht="24" hidden="1" customHeight="1">
      <c r="A589" s="989" t="s">
        <v>188</v>
      </c>
      <c r="B589" s="988" t="s">
        <v>170</v>
      </c>
      <c r="C589" s="983"/>
      <c r="D589" s="984"/>
      <c r="E589" s="985"/>
      <c r="F589" s="985"/>
      <c r="G589" s="985"/>
      <c r="H589" s="473"/>
      <c r="I589" s="985"/>
      <c r="J589" s="985"/>
      <c r="K589" s="985"/>
      <c r="L589" s="985"/>
      <c r="M589" s="473"/>
      <c r="N589" s="985"/>
      <c r="O589" s="985"/>
      <c r="P589" s="985"/>
      <c r="Q589" s="163"/>
      <c r="R589" s="163"/>
    </row>
    <row r="590" spans="1:18" ht="48" hidden="1" customHeight="1">
      <c r="A590" s="989" t="s">
        <v>189</v>
      </c>
      <c r="B590" s="988" t="s">
        <v>156</v>
      </c>
      <c r="C590" s="983"/>
      <c r="D590" s="984"/>
      <c r="E590" s="985"/>
      <c r="F590" s="985"/>
      <c r="G590" s="985"/>
      <c r="H590" s="473"/>
      <c r="I590" s="985"/>
      <c r="J590" s="985"/>
      <c r="K590" s="985"/>
      <c r="L590" s="985"/>
      <c r="M590" s="473"/>
      <c r="N590" s="985"/>
      <c r="O590" s="985"/>
      <c r="P590" s="985"/>
      <c r="Q590" s="163"/>
      <c r="R590" s="163"/>
    </row>
    <row r="591" spans="1:18" ht="36" hidden="1" customHeight="1">
      <c r="A591" s="989">
        <v>7350</v>
      </c>
      <c r="B591" s="988" t="s">
        <v>163</v>
      </c>
      <c r="C591" s="983"/>
      <c r="D591" s="984"/>
      <c r="E591" s="985"/>
      <c r="F591" s="985"/>
      <c r="G591" s="985"/>
      <c r="H591" s="473"/>
      <c r="I591" s="985"/>
      <c r="J591" s="985"/>
      <c r="K591" s="985"/>
      <c r="L591" s="985"/>
      <c r="M591" s="473"/>
      <c r="N591" s="985"/>
      <c r="O591" s="985"/>
      <c r="P591" s="985"/>
      <c r="Q591" s="163"/>
      <c r="R591" s="163"/>
    </row>
    <row r="592" spans="1:18" ht="24" hidden="1" customHeight="1">
      <c r="A592" s="767">
        <v>7400</v>
      </c>
      <c r="B592" s="991" t="s">
        <v>161</v>
      </c>
      <c r="C592" s="973"/>
      <c r="D592" s="974"/>
      <c r="E592" s="474">
        <f t="shared" ref="E592" si="438">SUM(E593:E594)</f>
        <v>0</v>
      </c>
      <c r="F592" s="474"/>
      <c r="G592" s="474"/>
      <c r="H592" s="473"/>
      <c r="I592" s="474"/>
      <c r="J592" s="474">
        <f t="shared" ref="J592" si="439">SUM(J593:J594)</f>
        <v>0</v>
      </c>
      <c r="K592" s="474"/>
      <c r="L592" s="474"/>
      <c r="M592" s="473"/>
      <c r="N592" s="474"/>
      <c r="O592" s="474">
        <f t="shared" ref="O592" si="440">SUM(O593:O594)</f>
        <v>0</v>
      </c>
      <c r="P592" s="474"/>
      <c r="Q592" s="163"/>
      <c r="R592" s="163"/>
    </row>
    <row r="593" spans="1:18" ht="24" hidden="1" customHeight="1">
      <c r="A593" s="989">
        <v>7460</v>
      </c>
      <c r="B593" s="991" t="s">
        <v>162</v>
      </c>
      <c r="C593" s="983"/>
      <c r="D593" s="984"/>
      <c r="E593" s="985"/>
      <c r="F593" s="985"/>
      <c r="G593" s="985"/>
      <c r="H593" s="473"/>
      <c r="I593" s="985"/>
      <c r="J593" s="985"/>
      <c r="K593" s="985"/>
      <c r="L593" s="985"/>
      <c r="M593" s="473"/>
      <c r="N593" s="985"/>
      <c r="O593" s="985"/>
      <c r="P593" s="985"/>
      <c r="Q593" s="163"/>
      <c r="R593" s="163"/>
    </row>
    <row r="594" spans="1:18" ht="36" hidden="1" customHeight="1">
      <c r="A594" s="989">
        <v>7470</v>
      </c>
      <c r="B594" s="988" t="s">
        <v>167</v>
      </c>
      <c r="C594" s="983"/>
      <c r="D594" s="984"/>
      <c r="E594" s="985"/>
      <c r="F594" s="985"/>
      <c r="G594" s="985"/>
      <c r="H594" s="473"/>
      <c r="I594" s="985"/>
      <c r="J594" s="985"/>
      <c r="K594" s="985"/>
      <c r="L594" s="985"/>
      <c r="M594" s="473"/>
      <c r="N594" s="985"/>
      <c r="O594" s="985"/>
      <c r="P594" s="985"/>
      <c r="Q594" s="163"/>
      <c r="R594" s="163"/>
    </row>
    <row r="595" spans="1:18" ht="24" hidden="1" customHeight="1">
      <c r="A595" s="767">
        <v>7500</v>
      </c>
      <c r="B595" s="988" t="s">
        <v>157</v>
      </c>
      <c r="C595" s="973"/>
      <c r="D595" s="974"/>
      <c r="E595" s="474"/>
      <c r="F595" s="474"/>
      <c r="G595" s="474"/>
      <c r="H595" s="473"/>
      <c r="I595" s="474"/>
      <c r="J595" s="474"/>
      <c r="K595" s="474"/>
      <c r="L595" s="474"/>
      <c r="M595" s="473"/>
      <c r="N595" s="474"/>
      <c r="O595" s="474"/>
      <c r="P595" s="474"/>
      <c r="Q595" s="163"/>
      <c r="R595" s="163"/>
    </row>
    <row r="596" spans="1:18" ht="12" hidden="1" customHeight="1">
      <c r="A596" s="966" t="s">
        <v>133</v>
      </c>
      <c r="B596" s="1008" t="s">
        <v>122</v>
      </c>
      <c r="C596" s="969"/>
      <c r="D596" s="970"/>
      <c r="E596" s="971">
        <f t="shared" ref="E596" si="441">E597+E598</f>
        <v>0</v>
      </c>
      <c r="F596" s="971"/>
      <c r="G596" s="971"/>
      <c r="H596" s="473"/>
      <c r="I596" s="971"/>
      <c r="J596" s="971">
        <f t="shared" ref="J596" si="442">J597+J598</f>
        <v>0</v>
      </c>
      <c r="K596" s="971"/>
      <c r="L596" s="971"/>
      <c r="M596" s="473"/>
      <c r="N596" s="971"/>
      <c r="O596" s="971">
        <f t="shared" ref="O596" si="443">O597+O598</f>
        <v>0</v>
      </c>
      <c r="P596" s="971"/>
      <c r="Q596" s="163"/>
      <c r="R596" s="163"/>
    </row>
    <row r="597" spans="1:18" ht="12" hidden="1" customHeight="1">
      <c r="A597" s="966">
        <v>5000</v>
      </c>
      <c r="B597" s="1008" t="s">
        <v>123</v>
      </c>
      <c r="C597" s="973"/>
      <c r="D597" s="974"/>
      <c r="E597" s="474">
        <v>0</v>
      </c>
      <c r="F597" s="472"/>
      <c r="G597" s="472"/>
      <c r="H597" s="473"/>
      <c r="I597" s="474"/>
      <c r="J597" s="474">
        <v>0</v>
      </c>
      <c r="K597" s="472"/>
      <c r="L597" s="472"/>
      <c r="M597" s="473"/>
      <c r="N597" s="474"/>
      <c r="O597" s="474"/>
      <c r="P597" s="472"/>
      <c r="Q597" s="163"/>
      <c r="R597" s="163"/>
    </row>
    <row r="598" spans="1:18" ht="12" hidden="1" customHeight="1">
      <c r="A598" s="966">
        <v>9000</v>
      </c>
      <c r="B598" s="986" t="s">
        <v>164</v>
      </c>
      <c r="C598" s="973"/>
      <c r="D598" s="974"/>
      <c r="E598" s="474">
        <f t="shared" ref="E598" si="444">E599+E605+E609+E612</f>
        <v>0</v>
      </c>
      <c r="F598" s="474"/>
      <c r="G598" s="474"/>
      <c r="H598" s="473"/>
      <c r="I598" s="474"/>
      <c r="J598" s="474">
        <f t="shared" ref="J598" si="445">J599+J605+J609+J612</f>
        <v>0</v>
      </c>
      <c r="K598" s="474"/>
      <c r="L598" s="474"/>
      <c r="M598" s="473"/>
      <c r="N598" s="474"/>
      <c r="O598" s="474">
        <f t="shared" ref="O598" si="446">O599+O605+O609+O612</f>
        <v>0</v>
      </c>
      <c r="P598" s="474"/>
      <c r="Q598" s="163"/>
      <c r="R598" s="163"/>
    </row>
    <row r="599" spans="1:18" ht="12" hidden="1" customHeight="1">
      <c r="A599" s="987">
        <v>9100</v>
      </c>
      <c r="B599" s="988" t="s">
        <v>124</v>
      </c>
      <c r="C599" s="973"/>
      <c r="D599" s="974"/>
      <c r="E599" s="474">
        <f t="shared" ref="E599" si="447">SUM(E600:E601)</f>
        <v>0</v>
      </c>
      <c r="F599" s="474"/>
      <c r="G599" s="474"/>
      <c r="H599" s="473"/>
      <c r="I599" s="474"/>
      <c r="J599" s="474">
        <f t="shared" ref="J599" si="448">SUM(J600:J601)</f>
        <v>0</v>
      </c>
      <c r="K599" s="474"/>
      <c r="L599" s="474"/>
      <c r="M599" s="473"/>
      <c r="N599" s="474"/>
      <c r="O599" s="474">
        <f t="shared" ref="O599" si="449">SUM(O600:O601)</f>
        <v>0</v>
      </c>
      <c r="P599" s="474"/>
      <c r="Q599" s="163"/>
      <c r="R599" s="163"/>
    </row>
    <row r="600" spans="1:18" ht="24" hidden="1" customHeight="1">
      <c r="A600" s="989" t="s">
        <v>125</v>
      </c>
      <c r="B600" s="988" t="s">
        <v>214</v>
      </c>
      <c r="C600" s="973"/>
      <c r="D600" s="974"/>
      <c r="E600" s="474"/>
      <c r="F600" s="474"/>
      <c r="G600" s="474"/>
      <c r="H600" s="473"/>
      <c r="I600" s="474"/>
      <c r="J600" s="474"/>
      <c r="K600" s="474"/>
      <c r="L600" s="474"/>
      <c r="M600" s="473"/>
      <c r="N600" s="474"/>
      <c r="O600" s="474"/>
      <c r="P600" s="474"/>
      <c r="Q600" s="163"/>
      <c r="R600" s="163"/>
    </row>
    <row r="601" spans="1:18" ht="24" hidden="1" customHeight="1">
      <c r="A601" s="989">
        <v>9140</v>
      </c>
      <c r="B601" s="988" t="s">
        <v>215</v>
      </c>
      <c r="C601" s="973"/>
      <c r="D601" s="974"/>
      <c r="E601" s="474">
        <f t="shared" ref="E601" si="450">SUM(E602:E604)</f>
        <v>0</v>
      </c>
      <c r="F601" s="474"/>
      <c r="G601" s="474"/>
      <c r="H601" s="473"/>
      <c r="I601" s="474"/>
      <c r="J601" s="474">
        <f t="shared" ref="J601" si="451">SUM(J602:J604)</f>
        <v>0</v>
      </c>
      <c r="K601" s="474"/>
      <c r="L601" s="474"/>
      <c r="M601" s="473"/>
      <c r="N601" s="474"/>
      <c r="O601" s="474">
        <f t="shared" ref="O601" si="452">SUM(O602:O604)</f>
        <v>0</v>
      </c>
      <c r="P601" s="474"/>
      <c r="Q601" s="163"/>
      <c r="R601" s="163"/>
    </row>
    <row r="602" spans="1:18" ht="36" hidden="1" customHeight="1">
      <c r="A602" s="990">
        <v>9141</v>
      </c>
      <c r="B602" s="991" t="s">
        <v>190</v>
      </c>
      <c r="C602" s="983"/>
      <c r="D602" s="984"/>
      <c r="E602" s="985"/>
      <c r="F602" s="985"/>
      <c r="G602" s="985"/>
      <c r="H602" s="473"/>
      <c r="I602" s="985"/>
      <c r="J602" s="985"/>
      <c r="K602" s="985"/>
      <c r="L602" s="985"/>
      <c r="M602" s="473"/>
      <c r="N602" s="985"/>
      <c r="O602" s="985"/>
      <c r="P602" s="985"/>
      <c r="Q602" s="163"/>
      <c r="R602" s="163"/>
    </row>
    <row r="603" spans="1:18" ht="36" hidden="1" customHeight="1">
      <c r="A603" s="990">
        <v>9142</v>
      </c>
      <c r="B603" s="991" t="s">
        <v>191</v>
      </c>
      <c r="C603" s="983"/>
      <c r="D603" s="984"/>
      <c r="E603" s="985"/>
      <c r="F603" s="985"/>
      <c r="G603" s="985"/>
      <c r="H603" s="473"/>
      <c r="I603" s="985"/>
      <c r="J603" s="985"/>
      <c r="K603" s="985"/>
      <c r="L603" s="985"/>
      <c r="M603" s="473"/>
      <c r="N603" s="985"/>
      <c r="O603" s="985"/>
      <c r="P603" s="985"/>
      <c r="Q603" s="163"/>
      <c r="R603" s="163"/>
    </row>
    <row r="604" spans="1:18" ht="24" hidden="1" customHeight="1">
      <c r="A604" s="990">
        <v>9149</v>
      </c>
      <c r="B604" s="991" t="s">
        <v>192</v>
      </c>
      <c r="C604" s="983"/>
      <c r="D604" s="984"/>
      <c r="E604" s="985"/>
      <c r="F604" s="985"/>
      <c r="G604" s="985"/>
      <c r="H604" s="473"/>
      <c r="I604" s="985"/>
      <c r="J604" s="985"/>
      <c r="K604" s="985"/>
      <c r="L604" s="985"/>
      <c r="M604" s="473"/>
      <c r="N604" s="985"/>
      <c r="O604" s="985"/>
      <c r="P604" s="985"/>
      <c r="Q604" s="163"/>
      <c r="R604" s="163"/>
    </row>
    <row r="605" spans="1:18" ht="24" hidden="1" customHeight="1">
      <c r="A605" s="987">
        <v>9500</v>
      </c>
      <c r="B605" s="991" t="s">
        <v>165</v>
      </c>
      <c r="C605" s="973"/>
      <c r="D605" s="974"/>
      <c r="E605" s="474">
        <f t="shared" ref="E605" si="453">SUM(E606:E608)</f>
        <v>0</v>
      </c>
      <c r="F605" s="474"/>
      <c r="G605" s="474"/>
      <c r="H605" s="473"/>
      <c r="I605" s="474"/>
      <c r="J605" s="474">
        <f t="shared" ref="J605" si="454">SUM(J606:J608)</f>
        <v>0</v>
      </c>
      <c r="K605" s="474"/>
      <c r="L605" s="474"/>
      <c r="M605" s="473"/>
      <c r="N605" s="474"/>
      <c r="O605" s="474">
        <f t="shared" ref="O605" si="455">SUM(O606:O608)</f>
        <v>0</v>
      </c>
      <c r="P605" s="474"/>
      <c r="Q605" s="163"/>
      <c r="R605" s="163"/>
    </row>
    <row r="606" spans="1:18" ht="24" hidden="1" customHeight="1">
      <c r="A606" s="989" t="s">
        <v>193</v>
      </c>
      <c r="B606" s="991" t="s">
        <v>171</v>
      </c>
      <c r="C606" s="973"/>
      <c r="D606" s="974"/>
      <c r="E606" s="474"/>
      <c r="F606" s="474"/>
      <c r="G606" s="474"/>
      <c r="H606" s="473"/>
      <c r="I606" s="474"/>
      <c r="J606" s="474"/>
      <c r="K606" s="474"/>
      <c r="L606" s="474"/>
      <c r="M606" s="473"/>
      <c r="N606" s="474"/>
      <c r="O606" s="474"/>
      <c r="P606" s="474"/>
      <c r="Q606" s="163"/>
      <c r="R606" s="163"/>
    </row>
    <row r="607" spans="1:18" ht="48" hidden="1" customHeight="1">
      <c r="A607" s="989">
        <v>9580</v>
      </c>
      <c r="B607" s="991" t="s">
        <v>166</v>
      </c>
      <c r="C607" s="983"/>
      <c r="D607" s="984"/>
      <c r="E607" s="985"/>
      <c r="F607" s="985"/>
      <c r="G607" s="985"/>
      <c r="H607" s="473"/>
      <c r="I607" s="985"/>
      <c r="J607" s="985"/>
      <c r="K607" s="985"/>
      <c r="L607" s="985"/>
      <c r="M607" s="473"/>
      <c r="N607" s="985"/>
      <c r="O607" s="985"/>
      <c r="P607" s="985"/>
      <c r="Q607" s="163"/>
      <c r="R607" s="163"/>
    </row>
    <row r="608" spans="1:18" ht="36" hidden="1" customHeight="1">
      <c r="A608" s="989">
        <v>9590</v>
      </c>
      <c r="B608" s="988" t="s">
        <v>172</v>
      </c>
      <c r="C608" s="983"/>
      <c r="D608" s="984"/>
      <c r="E608" s="985"/>
      <c r="F608" s="985"/>
      <c r="G608" s="985"/>
      <c r="H608" s="473"/>
      <c r="I608" s="985"/>
      <c r="J608" s="985"/>
      <c r="K608" s="985"/>
      <c r="L608" s="985"/>
      <c r="M608" s="473"/>
      <c r="N608" s="985"/>
      <c r="O608" s="985"/>
      <c r="P608" s="985"/>
      <c r="Q608" s="163"/>
      <c r="R608" s="163"/>
    </row>
    <row r="609" spans="1:18" ht="24" hidden="1" customHeight="1">
      <c r="A609" s="987">
        <v>9700</v>
      </c>
      <c r="B609" s="992" t="s">
        <v>194</v>
      </c>
      <c r="C609" s="973"/>
      <c r="D609" s="974"/>
      <c r="E609" s="474">
        <f t="shared" ref="E609" si="456">SUM(E610:E611)</f>
        <v>0</v>
      </c>
      <c r="F609" s="474"/>
      <c r="G609" s="474"/>
      <c r="H609" s="473"/>
      <c r="I609" s="474"/>
      <c r="J609" s="474">
        <f t="shared" ref="J609" si="457">SUM(J610:J611)</f>
        <v>0</v>
      </c>
      <c r="K609" s="474"/>
      <c r="L609" s="474"/>
      <c r="M609" s="473"/>
      <c r="N609" s="474"/>
      <c r="O609" s="474">
        <f t="shared" ref="O609" si="458">SUM(O610:O611)</f>
        <v>0</v>
      </c>
      <c r="P609" s="474"/>
      <c r="Q609" s="163"/>
      <c r="R609" s="163"/>
    </row>
    <row r="610" spans="1:18" ht="24" hidden="1" customHeight="1">
      <c r="A610" s="989">
        <v>9710</v>
      </c>
      <c r="B610" s="993" t="s">
        <v>195</v>
      </c>
      <c r="C610" s="983"/>
      <c r="D610" s="984"/>
      <c r="E610" s="985"/>
      <c r="F610" s="985"/>
      <c r="G610" s="985"/>
      <c r="H610" s="473"/>
      <c r="I610" s="985"/>
      <c r="J610" s="985"/>
      <c r="K610" s="985"/>
      <c r="L610" s="985"/>
      <c r="M610" s="473"/>
      <c r="N610" s="985"/>
      <c r="O610" s="985"/>
      <c r="P610" s="985"/>
      <c r="Q610" s="163"/>
      <c r="R610" s="163"/>
    </row>
    <row r="611" spans="1:18" ht="36" hidden="1" customHeight="1">
      <c r="A611" s="994">
        <v>9720</v>
      </c>
      <c r="B611" s="992" t="s">
        <v>196</v>
      </c>
      <c r="C611" s="983"/>
      <c r="D611" s="984"/>
      <c r="E611" s="985"/>
      <c r="F611" s="985"/>
      <c r="G611" s="985"/>
      <c r="H611" s="473"/>
      <c r="I611" s="985"/>
      <c r="J611" s="985"/>
      <c r="K611" s="985"/>
      <c r="L611" s="985"/>
      <c r="M611" s="473"/>
      <c r="N611" s="985"/>
      <c r="O611" s="985"/>
      <c r="P611" s="985"/>
      <c r="Q611" s="163"/>
      <c r="R611" s="163"/>
    </row>
    <row r="612" spans="1:18" ht="24" hidden="1" customHeight="1">
      <c r="A612" s="987">
        <v>9600</v>
      </c>
      <c r="B612" s="988" t="s">
        <v>134</v>
      </c>
      <c r="C612" s="983"/>
      <c r="D612" s="984"/>
      <c r="E612" s="985"/>
      <c r="F612" s="985"/>
      <c r="G612" s="985"/>
      <c r="H612" s="473"/>
      <c r="I612" s="985"/>
      <c r="J612" s="985"/>
      <c r="K612" s="985"/>
      <c r="L612" s="985"/>
      <c r="M612" s="473"/>
      <c r="N612" s="985"/>
      <c r="O612" s="985"/>
      <c r="P612" s="985"/>
      <c r="Q612" s="163"/>
      <c r="R612" s="163"/>
    </row>
    <row r="613" spans="1:18" ht="30.6" hidden="1" customHeight="1">
      <c r="A613" s="965" t="s">
        <v>197</v>
      </c>
      <c r="B613" s="995" t="s">
        <v>47</v>
      </c>
      <c r="C613" s="996"/>
      <c r="D613" s="997"/>
      <c r="E613" s="998">
        <v>0</v>
      </c>
      <c r="F613" s="998"/>
      <c r="G613" s="998"/>
      <c r="H613" s="473"/>
      <c r="I613" s="998"/>
      <c r="J613" s="998"/>
      <c r="K613" s="998"/>
      <c r="L613" s="998"/>
      <c r="M613" s="473"/>
      <c r="N613" s="998"/>
      <c r="O613" s="998">
        <f>O495-O568</f>
        <v>0</v>
      </c>
      <c r="P613" s="998"/>
      <c r="Q613" s="163"/>
      <c r="R613" s="163"/>
    </row>
    <row r="614" spans="1:18" ht="12" hidden="1" customHeight="1">
      <c r="A614" s="999" t="s">
        <v>48</v>
      </c>
      <c r="B614" s="995" t="s">
        <v>49</v>
      </c>
      <c r="C614" s="996"/>
      <c r="D614" s="997"/>
      <c r="E614" s="998">
        <f t="shared" ref="E614" si="459">E615+E618+E622+E621</f>
        <v>0</v>
      </c>
      <c r="F614" s="998"/>
      <c r="G614" s="998"/>
      <c r="H614" s="473"/>
      <c r="I614" s="998"/>
      <c r="J614" s="998">
        <f t="shared" ref="J614" si="460">J615+J618+J622+J621</f>
        <v>0</v>
      </c>
      <c r="K614" s="998"/>
      <c r="L614" s="998"/>
      <c r="M614" s="473"/>
      <c r="N614" s="998"/>
      <c r="O614" s="998">
        <f t="shared" ref="O614" si="461">O615+O618+O622+O621</f>
        <v>0</v>
      </c>
      <c r="P614" s="998"/>
      <c r="Q614" s="163"/>
      <c r="R614" s="163"/>
    </row>
    <row r="615" spans="1:18" ht="12" hidden="1" customHeight="1">
      <c r="A615" s="987" t="s">
        <v>50</v>
      </c>
      <c r="B615" s="988" t="s">
        <v>51</v>
      </c>
      <c r="C615" s="1000"/>
      <c r="D615" s="1001"/>
      <c r="E615" s="1002">
        <f t="shared" ref="E615" si="462">E616+E617</f>
        <v>0</v>
      </c>
      <c r="F615" s="1002"/>
      <c r="G615" s="1002"/>
      <c r="H615" s="473"/>
      <c r="I615" s="1002"/>
      <c r="J615" s="1002">
        <f t="shared" ref="J615" si="463">J616+J617</f>
        <v>0</v>
      </c>
      <c r="K615" s="1002"/>
      <c r="L615" s="1002"/>
      <c r="M615" s="473"/>
      <c r="N615" s="1002"/>
      <c r="O615" s="1002">
        <f t="shared" ref="O615" si="464">O616+O617</f>
        <v>0</v>
      </c>
      <c r="P615" s="1002"/>
      <c r="Q615" s="163"/>
      <c r="R615" s="163"/>
    </row>
    <row r="616" spans="1:18" ht="12" hidden="1" customHeight="1">
      <c r="A616" s="987" t="s">
        <v>52</v>
      </c>
      <c r="B616" s="988" t="s">
        <v>53</v>
      </c>
      <c r="C616" s="1000"/>
      <c r="D616" s="1001"/>
      <c r="E616" s="1002"/>
      <c r="F616" s="1002"/>
      <c r="G616" s="1002"/>
      <c r="H616" s="473"/>
      <c r="I616" s="1002"/>
      <c r="J616" s="1002"/>
      <c r="K616" s="1002"/>
      <c r="L616" s="1002"/>
      <c r="M616" s="473"/>
      <c r="N616" s="1002"/>
      <c r="O616" s="1002"/>
      <c r="P616" s="1002"/>
      <c r="Q616" s="163"/>
      <c r="R616" s="163"/>
    </row>
    <row r="617" spans="1:18" ht="12" hidden="1" customHeight="1">
      <c r="A617" s="987" t="s">
        <v>54</v>
      </c>
      <c r="B617" s="988" t="s">
        <v>55</v>
      </c>
      <c r="C617" s="1000"/>
      <c r="D617" s="1001"/>
      <c r="E617" s="1002"/>
      <c r="F617" s="1002"/>
      <c r="G617" s="1002"/>
      <c r="H617" s="473"/>
      <c r="I617" s="1002"/>
      <c r="J617" s="1002"/>
      <c r="K617" s="1002"/>
      <c r="L617" s="1002"/>
      <c r="M617" s="473"/>
      <c r="N617" s="1002"/>
      <c r="O617" s="1002"/>
      <c r="P617" s="1002"/>
      <c r="Q617" s="163"/>
      <c r="R617" s="163"/>
    </row>
    <row r="618" spans="1:18" ht="12" hidden="1" customHeight="1">
      <c r="A618" s="987" t="s">
        <v>56</v>
      </c>
      <c r="B618" s="988" t="s">
        <v>57</v>
      </c>
      <c r="C618" s="1000"/>
      <c r="D618" s="1001"/>
      <c r="E618" s="1002">
        <f t="shared" ref="E618" si="465">E619+E620</f>
        <v>0</v>
      </c>
      <c r="F618" s="1002"/>
      <c r="G618" s="1002"/>
      <c r="H618" s="473"/>
      <c r="I618" s="1002"/>
      <c r="J618" s="1002">
        <f t="shared" ref="J618" si="466">J619+J620</f>
        <v>0</v>
      </c>
      <c r="K618" s="1002"/>
      <c r="L618" s="1002"/>
      <c r="M618" s="473"/>
      <c r="N618" s="1002"/>
      <c r="O618" s="1002">
        <f t="shared" ref="O618" si="467">O619+O620</f>
        <v>0</v>
      </c>
      <c r="P618" s="1002"/>
      <c r="Q618" s="163"/>
      <c r="R618" s="163"/>
    </row>
    <row r="619" spans="1:18" ht="12" hidden="1" customHeight="1">
      <c r="A619" s="987" t="s">
        <v>58</v>
      </c>
      <c r="B619" s="988" t="s">
        <v>59</v>
      </c>
      <c r="C619" s="1000"/>
      <c r="D619" s="1001"/>
      <c r="E619" s="1002"/>
      <c r="F619" s="1002"/>
      <c r="G619" s="1002"/>
      <c r="H619" s="473"/>
      <c r="I619" s="1002"/>
      <c r="J619" s="1002"/>
      <c r="K619" s="1002"/>
      <c r="L619" s="1002"/>
      <c r="M619" s="473"/>
      <c r="N619" s="1002"/>
      <c r="O619" s="1002"/>
      <c r="P619" s="1002"/>
      <c r="Q619" s="163"/>
      <c r="R619" s="163"/>
    </row>
    <row r="620" spans="1:18" ht="12" hidden="1" customHeight="1">
      <c r="A620" s="987" t="s">
        <v>60</v>
      </c>
      <c r="B620" s="988" t="s">
        <v>61</v>
      </c>
      <c r="C620" s="1000"/>
      <c r="D620" s="1001"/>
      <c r="E620" s="1002"/>
      <c r="F620" s="1002"/>
      <c r="G620" s="1002"/>
      <c r="H620" s="473"/>
      <c r="I620" s="1002"/>
      <c r="J620" s="1002"/>
      <c r="K620" s="1002"/>
      <c r="L620" s="1002"/>
      <c r="M620" s="473"/>
      <c r="N620" s="1002"/>
      <c r="O620" s="1002"/>
      <c r="P620" s="1002"/>
      <c r="Q620" s="163"/>
      <c r="R620" s="163"/>
    </row>
    <row r="621" spans="1:18" ht="12" hidden="1" customHeight="1">
      <c r="A621" s="987" t="s">
        <v>198</v>
      </c>
      <c r="B621" s="1003" t="s">
        <v>168</v>
      </c>
      <c r="C621" s="1000"/>
      <c r="D621" s="1001"/>
      <c r="E621" s="1002"/>
      <c r="F621" s="1002"/>
      <c r="G621" s="1002"/>
      <c r="H621" s="473"/>
      <c r="I621" s="1002"/>
      <c r="J621" s="1002"/>
      <c r="K621" s="1002"/>
      <c r="L621" s="1002"/>
      <c r="M621" s="473"/>
      <c r="N621" s="1002"/>
      <c r="O621" s="1002"/>
      <c r="P621" s="1002"/>
      <c r="Q621" s="163"/>
      <c r="R621" s="163"/>
    </row>
    <row r="622" spans="1:18" ht="12" hidden="1" customHeight="1">
      <c r="A622" s="1004" t="s">
        <v>62</v>
      </c>
      <c r="B622" s="768" t="s">
        <v>63</v>
      </c>
      <c r="C622" s="973"/>
      <c r="D622" s="974"/>
      <c r="E622" s="474">
        <v>0</v>
      </c>
      <c r="F622" s="474"/>
      <c r="G622" s="474"/>
      <c r="H622" s="473"/>
      <c r="I622" s="474"/>
      <c r="J622" s="474"/>
      <c r="K622" s="474"/>
      <c r="L622" s="474"/>
      <c r="M622" s="473"/>
      <c r="N622" s="474"/>
      <c r="O622" s="474"/>
      <c r="P622" s="474"/>
      <c r="Q622" s="163"/>
      <c r="R622" s="163"/>
    </row>
    <row r="623" spans="1:18" ht="36" hidden="1" customHeight="1">
      <c r="A623" s="1004" t="s">
        <v>64</v>
      </c>
      <c r="B623" s="988" t="s">
        <v>65</v>
      </c>
      <c r="C623" s="1000"/>
      <c r="D623" s="1001"/>
      <c r="E623" s="1002"/>
      <c r="F623" s="1002"/>
      <c r="G623" s="1002"/>
      <c r="H623" s="473"/>
      <c r="I623" s="1002"/>
      <c r="J623" s="1002"/>
      <c r="K623" s="1002"/>
      <c r="L623" s="1002"/>
      <c r="M623" s="473"/>
      <c r="N623" s="1002"/>
      <c r="O623" s="1002"/>
      <c r="P623" s="1002"/>
      <c r="Q623" s="163"/>
      <c r="R623" s="163"/>
    </row>
    <row r="624" spans="1:18" ht="24" hidden="1" customHeight="1">
      <c r="A624" s="1004" t="s">
        <v>66</v>
      </c>
      <c r="B624" s="988" t="s">
        <v>67</v>
      </c>
      <c r="C624" s="1000"/>
      <c r="D624" s="1001"/>
      <c r="E624" s="1002"/>
      <c r="F624" s="1002"/>
      <c r="G624" s="1002"/>
      <c r="H624" s="473"/>
      <c r="I624" s="1002"/>
      <c r="J624" s="1002"/>
      <c r="K624" s="1002"/>
      <c r="L624" s="1002"/>
      <c r="M624" s="473"/>
      <c r="N624" s="1002"/>
      <c r="O624" s="1002"/>
      <c r="P624" s="1002"/>
      <c r="Q624" s="163"/>
      <c r="R624" s="163"/>
    </row>
    <row r="625" spans="1:18" ht="216" customHeight="1">
      <c r="A625" s="888" t="s">
        <v>240</v>
      </c>
      <c r="B625" s="1070" t="s">
        <v>1062</v>
      </c>
      <c r="C625" s="469"/>
      <c r="D625" s="470"/>
      <c r="E625" s="1006">
        <v>935990</v>
      </c>
      <c r="F625" s="1007"/>
      <c r="G625" s="1007"/>
      <c r="H625" s="1007"/>
      <c r="I625" s="1007"/>
      <c r="J625" s="1006">
        <v>713975</v>
      </c>
      <c r="K625" s="1074"/>
      <c r="L625" s="1007"/>
      <c r="M625" s="1007"/>
      <c r="N625" s="1007"/>
      <c r="O625" s="1006">
        <v>255589</v>
      </c>
      <c r="P625" s="470"/>
      <c r="Q625" s="163"/>
      <c r="R625" s="163"/>
    </row>
    <row r="626" spans="1:18" ht="12">
      <c r="A626" s="1072" t="s">
        <v>100</v>
      </c>
      <c r="B626" s="1073" t="s">
        <v>101</v>
      </c>
      <c r="C626" s="969"/>
      <c r="D626" s="970"/>
      <c r="E626" s="474">
        <f t="shared" ref="E626" si="468">E627+E654</f>
        <v>935990</v>
      </c>
      <c r="F626" s="474"/>
      <c r="G626" s="474"/>
      <c r="H626" s="473"/>
      <c r="I626" s="474"/>
      <c r="J626" s="474">
        <f t="shared" ref="J626" si="469">J627+J654</f>
        <v>713975</v>
      </c>
      <c r="K626" s="474"/>
      <c r="L626" s="474"/>
      <c r="M626" s="473"/>
      <c r="N626" s="474"/>
      <c r="O626" s="474">
        <f t="shared" ref="O626" si="470">O627+O654</f>
        <v>255589</v>
      </c>
      <c r="P626" s="971"/>
      <c r="Q626" s="163"/>
      <c r="R626" s="163"/>
    </row>
    <row r="627" spans="1:18" ht="20.399999999999999">
      <c r="A627" s="965" t="s">
        <v>102</v>
      </c>
      <c r="B627" s="1008" t="s">
        <v>103</v>
      </c>
      <c r="C627" s="973"/>
      <c r="D627" s="974"/>
      <c r="E627" s="474">
        <f t="shared" ref="E627" si="471">E628+E632+E633+E636+E639</f>
        <v>906181</v>
      </c>
      <c r="F627" s="474"/>
      <c r="G627" s="474"/>
      <c r="H627" s="473"/>
      <c r="I627" s="474"/>
      <c r="J627" s="474">
        <f t="shared" ref="J627" si="472">J628+J632+J633+J636+J639</f>
        <v>713975</v>
      </c>
      <c r="K627" s="474"/>
      <c r="L627" s="474"/>
      <c r="M627" s="473"/>
      <c r="N627" s="474"/>
      <c r="O627" s="474">
        <f t="shared" ref="O627" si="473">O628+O632+O633+O636+O639</f>
        <v>255589</v>
      </c>
      <c r="P627" s="474"/>
      <c r="Q627" s="163"/>
      <c r="R627" s="163"/>
    </row>
    <row r="628" spans="1:18" ht="12" hidden="1" customHeight="1">
      <c r="A628" s="965" t="s">
        <v>104</v>
      </c>
      <c r="B628" s="1008" t="s">
        <v>105</v>
      </c>
      <c r="C628" s="973"/>
      <c r="D628" s="974"/>
      <c r="E628" s="474">
        <f t="shared" ref="E628" si="474">E629+E631</f>
        <v>0</v>
      </c>
      <c r="F628" s="474"/>
      <c r="G628" s="474"/>
      <c r="H628" s="473"/>
      <c r="I628" s="474"/>
      <c r="J628" s="474">
        <f t="shared" ref="J628" si="475">J629+J631</f>
        <v>0</v>
      </c>
      <c r="K628" s="474"/>
      <c r="L628" s="474"/>
      <c r="M628" s="473"/>
      <c r="N628" s="474"/>
      <c r="O628" s="474">
        <f t="shared" ref="O628" si="476">O629+O631</f>
        <v>0</v>
      </c>
      <c r="P628" s="474"/>
      <c r="Q628" s="163"/>
      <c r="R628" s="163"/>
    </row>
    <row r="629" spans="1:18" ht="12" hidden="1" customHeight="1">
      <c r="A629" s="767">
        <v>1000</v>
      </c>
      <c r="B629" s="768" t="s">
        <v>106</v>
      </c>
      <c r="C629" s="973"/>
      <c r="D629" s="974"/>
      <c r="E629" s="474"/>
      <c r="F629" s="472"/>
      <c r="G629" s="472"/>
      <c r="H629" s="473"/>
      <c r="I629" s="474"/>
      <c r="J629" s="474"/>
      <c r="K629" s="472"/>
      <c r="L629" s="472"/>
      <c r="M629" s="473"/>
      <c r="N629" s="474"/>
      <c r="O629" s="474"/>
      <c r="P629" s="472"/>
      <c r="Q629" s="163"/>
      <c r="R629" s="163"/>
    </row>
    <row r="630" spans="1:18" ht="12" hidden="1" customHeight="1">
      <c r="A630" s="891">
        <v>1100</v>
      </c>
      <c r="B630" s="768" t="s">
        <v>107</v>
      </c>
      <c r="C630" s="973"/>
      <c r="D630" s="974"/>
      <c r="E630" s="474"/>
      <c r="F630" s="472"/>
      <c r="G630" s="472"/>
      <c r="H630" s="473"/>
      <c r="I630" s="474"/>
      <c r="J630" s="474"/>
      <c r="K630" s="472"/>
      <c r="L630" s="472"/>
      <c r="M630" s="473"/>
      <c r="N630" s="474"/>
      <c r="O630" s="474"/>
      <c r="P630" s="472"/>
      <c r="Q630" s="163"/>
      <c r="R630" s="163"/>
    </row>
    <row r="631" spans="1:18" ht="12" hidden="1" customHeight="1">
      <c r="A631" s="767">
        <v>2000</v>
      </c>
      <c r="B631" s="768" t="s">
        <v>108</v>
      </c>
      <c r="C631" s="973"/>
      <c r="D631" s="974"/>
      <c r="E631" s="474"/>
      <c r="F631" s="472"/>
      <c r="G631" s="472"/>
      <c r="H631" s="473"/>
      <c r="I631" s="474"/>
      <c r="J631" s="474"/>
      <c r="K631" s="472"/>
      <c r="L631" s="472"/>
      <c r="M631" s="473"/>
      <c r="N631" s="474"/>
      <c r="O631" s="474"/>
      <c r="P631" s="472"/>
      <c r="Q631" s="163"/>
      <c r="R631" s="163"/>
    </row>
    <row r="632" spans="1:18" ht="12" hidden="1" customHeight="1">
      <c r="A632" s="966">
        <v>4000</v>
      </c>
      <c r="B632" s="1008" t="s">
        <v>132</v>
      </c>
      <c r="C632" s="973"/>
      <c r="D632" s="975"/>
      <c r="E632" s="472"/>
      <c r="F632" s="472"/>
      <c r="G632" s="472"/>
      <c r="H632" s="473"/>
      <c r="I632" s="474"/>
      <c r="J632" s="472"/>
      <c r="K632" s="472"/>
      <c r="L632" s="472"/>
      <c r="M632" s="473"/>
      <c r="N632" s="474"/>
      <c r="O632" s="472"/>
      <c r="P632" s="472"/>
      <c r="Q632" s="163"/>
      <c r="R632" s="163"/>
    </row>
    <row r="633" spans="1:18" ht="12">
      <c r="A633" s="966" t="s">
        <v>109</v>
      </c>
      <c r="B633" s="1008" t="s">
        <v>110</v>
      </c>
      <c r="C633" s="973"/>
      <c r="D633" s="974"/>
      <c r="E633" s="474">
        <f t="shared" ref="E633" si="477">E634+E635</f>
        <v>849608</v>
      </c>
      <c r="F633" s="474"/>
      <c r="G633" s="474"/>
      <c r="H633" s="473"/>
      <c r="I633" s="474"/>
      <c r="J633" s="474">
        <f t="shared" ref="J633" si="478">J634+J635</f>
        <v>700472</v>
      </c>
      <c r="K633" s="474"/>
      <c r="L633" s="474"/>
      <c r="M633" s="473"/>
      <c r="N633" s="474"/>
      <c r="O633" s="474">
        <f t="shared" ref="O633" si="479">O634+O635</f>
        <v>255589</v>
      </c>
      <c r="P633" s="474"/>
      <c r="Q633" s="163"/>
      <c r="R633" s="163"/>
    </row>
    <row r="634" spans="1:18" ht="12">
      <c r="A634" s="767">
        <v>3000</v>
      </c>
      <c r="B634" s="768" t="s">
        <v>111</v>
      </c>
      <c r="C634" s="976"/>
      <c r="D634" s="976"/>
      <c r="E634" s="977">
        <v>849608</v>
      </c>
      <c r="F634" s="978"/>
      <c r="G634" s="978"/>
      <c r="H634" s="473"/>
      <c r="I634" s="977"/>
      <c r="J634" s="977">
        <v>700472</v>
      </c>
      <c r="K634" s="978"/>
      <c r="L634" s="978"/>
      <c r="M634" s="473"/>
      <c r="N634" s="977"/>
      <c r="O634" s="977">
        <v>255589</v>
      </c>
      <c r="P634" s="978"/>
      <c r="Q634" s="163"/>
      <c r="R634" s="163"/>
    </row>
    <row r="635" spans="1:18" ht="12" hidden="1" customHeight="1">
      <c r="A635" s="767">
        <v>6000</v>
      </c>
      <c r="B635" s="768" t="s">
        <v>112</v>
      </c>
      <c r="C635" s="973"/>
      <c r="D635" s="975"/>
      <c r="E635" s="472"/>
      <c r="F635" s="472"/>
      <c r="G635" s="472"/>
      <c r="H635" s="473"/>
      <c r="I635" s="474"/>
      <c r="J635" s="472"/>
      <c r="K635" s="472"/>
      <c r="L635" s="472"/>
      <c r="M635" s="473"/>
      <c r="N635" s="474"/>
      <c r="O635" s="472"/>
      <c r="P635" s="472"/>
      <c r="Q635" s="163"/>
      <c r="R635" s="163"/>
    </row>
    <row r="636" spans="1:18" ht="22.8" hidden="1" customHeight="1">
      <c r="A636" s="966" t="s">
        <v>113</v>
      </c>
      <c r="B636" s="1008" t="s">
        <v>183</v>
      </c>
      <c r="C636" s="973"/>
      <c r="D636" s="974"/>
      <c r="E636" s="474">
        <f t="shared" ref="E636" si="480">E637+E638</f>
        <v>0</v>
      </c>
      <c r="F636" s="474"/>
      <c r="G636" s="474"/>
      <c r="H636" s="473"/>
      <c r="I636" s="474"/>
      <c r="J636" s="474">
        <f t="shared" ref="J636" si="481">J637+J638</f>
        <v>0</v>
      </c>
      <c r="K636" s="474"/>
      <c r="L636" s="474"/>
      <c r="M636" s="473"/>
      <c r="N636" s="474"/>
      <c r="O636" s="474">
        <f t="shared" ref="O636" si="482">O637+O638</f>
        <v>0</v>
      </c>
      <c r="P636" s="474"/>
      <c r="Q636" s="163"/>
      <c r="R636" s="163"/>
    </row>
    <row r="637" spans="1:18" ht="12" hidden="1" customHeight="1">
      <c r="A637" s="767">
        <v>7600</v>
      </c>
      <c r="B637" s="988" t="s">
        <v>184</v>
      </c>
      <c r="C637" s="973"/>
      <c r="D637" s="975"/>
      <c r="E637" s="472"/>
      <c r="F637" s="472"/>
      <c r="G637" s="472"/>
      <c r="H637" s="473"/>
      <c r="I637" s="474"/>
      <c r="J637" s="472"/>
      <c r="K637" s="472"/>
      <c r="L637" s="472"/>
      <c r="M637" s="473"/>
      <c r="N637" s="474"/>
      <c r="O637" s="472"/>
      <c r="P637" s="472"/>
      <c r="Q637" s="163"/>
      <c r="R637" s="163"/>
    </row>
    <row r="638" spans="1:18" ht="12" hidden="1" customHeight="1">
      <c r="A638" s="767">
        <v>7700</v>
      </c>
      <c r="B638" s="1009" t="s">
        <v>114</v>
      </c>
      <c r="C638" s="974"/>
      <c r="D638" s="974"/>
      <c r="E638" s="474"/>
      <c r="F638" s="472"/>
      <c r="G638" s="472"/>
      <c r="H638" s="473"/>
      <c r="I638" s="474"/>
      <c r="J638" s="474"/>
      <c r="K638" s="472"/>
      <c r="L638" s="472"/>
      <c r="M638" s="473"/>
      <c r="N638" s="474"/>
      <c r="O638" s="474"/>
      <c r="P638" s="472"/>
      <c r="Q638" s="163"/>
      <c r="R638" s="163"/>
    </row>
    <row r="639" spans="1:18" ht="20.399999999999999">
      <c r="A639" s="966" t="s">
        <v>185</v>
      </c>
      <c r="B639" s="1008" t="s">
        <v>115</v>
      </c>
      <c r="C639" s="973"/>
      <c r="D639" s="974"/>
      <c r="E639" s="474">
        <f t="shared" ref="E639" si="483">E640+E646+E650+E653</f>
        <v>56573</v>
      </c>
      <c r="F639" s="474"/>
      <c r="G639" s="474"/>
      <c r="H639" s="473"/>
      <c r="I639" s="474"/>
      <c r="J639" s="474">
        <f t="shared" ref="J639" si="484">J640+J646+J650+J653</f>
        <v>13503</v>
      </c>
      <c r="K639" s="474"/>
      <c r="L639" s="474"/>
      <c r="M639" s="473"/>
      <c r="N639" s="474"/>
      <c r="O639" s="474">
        <f t="shared" ref="O639" si="485">O640+O646+O650+O653</f>
        <v>0</v>
      </c>
      <c r="P639" s="474"/>
      <c r="Q639" s="163"/>
      <c r="R639" s="163"/>
    </row>
    <row r="640" spans="1:18" ht="12" hidden="1" customHeight="1">
      <c r="A640" s="767">
        <v>7100</v>
      </c>
      <c r="B640" s="988" t="s">
        <v>116</v>
      </c>
      <c r="C640" s="973"/>
      <c r="D640" s="974"/>
      <c r="E640" s="474">
        <f t="shared" ref="E640" si="486">E641+E642</f>
        <v>0</v>
      </c>
      <c r="F640" s="474"/>
      <c r="G640" s="474"/>
      <c r="H640" s="473"/>
      <c r="I640" s="474"/>
      <c r="J640" s="474">
        <f t="shared" ref="J640" si="487">J641+J642</f>
        <v>0</v>
      </c>
      <c r="K640" s="474"/>
      <c r="L640" s="474"/>
      <c r="M640" s="473"/>
      <c r="N640" s="474"/>
      <c r="O640" s="474">
        <f t="shared" ref="O640" si="488">O641+O642</f>
        <v>0</v>
      </c>
      <c r="P640" s="474"/>
      <c r="Q640" s="163"/>
      <c r="R640" s="163"/>
    </row>
    <row r="641" spans="1:18" ht="24" hidden="1" customHeight="1">
      <c r="A641" s="989" t="s">
        <v>117</v>
      </c>
      <c r="B641" s="988" t="s">
        <v>118</v>
      </c>
      <c r="C641" s="973"/>
      <c r="D641" s="974"/>
      <c r="E641" s="474"/>
      <c r="F641" s="474"/>
      <c r="G641" s="474"/>
      <c r="H641" s="473"/>
      <c r="I641" s="474"/>
      <c r="J641" s="474"/>
      <c r="K641" s="474"/>
      <c r="L641" s="474"/>
      <c r="M641" s="473"/>
      <c r="N641" s="474"/>
      <c r="O641" s="474"/>
      <c r="P641" s="474"/>
      <c r="Q641" s="163"/>
      <c r="R641" s="163"/>
    </row>
    <row r="642" spans="1:18" ht="24" hidden="1" customHeight="1">
      <c r="A642" s="989">
        <v>7130</v>
      </c>
      <c r="B642" s="988" t="s">
        <v>119</v>
      </c>
      <c r="C642" s="973"/>
      <c r="D642" s="974"/>
      <c r="E642" s="474">
        <f t="shared" ref="E642" si="489">SUM(E643:E645)</f>
        <v>0</v>
      </c>
      <c r="F642" s="474"/>
      <c r="G642" s="474"/>
      <c r="H642" s="473"/>
      <c r="I642" s="474"/>
      <c r="J642" s="474">
        <f t="shared" ref="J642" si="490">SUM(J643:J645)</f>
        <v>0</v>
      </c>
      <c r="K642" s="474"/>
      <c r="L642" s="474"/>
      <c r="M642" s="473"/>
      <c r="N642" s="474"/>
      <c r="O642" s="474">
        <f t="shared" ref="O642" si="491">SUM(O643:O645)</f>
        <v>0</v>
      </c>
      <c r="P642" s="474"/>
      <c r="Q642" s="163"/>
      <c r="R642" s="163"/>
    </row>
    <row r="643" spans="1:18" ht="36" hidden="1" customHeight="1">
      <c r="A643" s="990">
        <v>7131</v>
      </c>
      <c r="B643" s="988" t="s">
        <v>120</v>
      </c>
      <c r="C643" s="973"/>
      <c r="D643" s="974"/>
      <c r="E643" s="474"/>
      <c r="F643" s="474"/>
      <c r="G643" s="474"/>
      <c r="H643" s="473"/>
      <c r="I643" s="474"/>
      <c r="J643" s="474"/>
      <c r="K643" s="474"/>
      <c r="L643" s="474"/>
      <c r="M643" s="473"/>
      <c r="N643" s="474"/>
      <c r="O643" s="474"/>
      <c r="P643" s="474"/>
      <c r="Q643" s="163"/>
      <c r="R643" s="163"/>
    </row>
    <row r="644" spans="1:18" ht="36" hidden="1" customHeight="1">
      <c r="A644" s="990">
        <v>7132</v>
      </c>
      <c r="B644" s="988" t="s">
        <v>121</v>
      </c>
      <c r="C644" s="973"/>
      <c r="D644" s="974"/>
      <c r="E644" s="474"/>
      <c r="F644" s="474"/>
      <c r="G644" s="474"/>
      <c r="H644" s="473"/>
      <c r="I644" s="474"/>
      <c r="J644" s="474"/>
      <c r="K644" s="474"/>
      <c r="L644" s="474"/>
      <c r="M644" s="473"/>
      <c r="N644" s="474"/>
      <c r="O644" s="474"/>
      <c r="P644" s="474"/>
      <c r="Q644" s="163"/>
      <c r="R644" s="163"/>
    </row>
    <row r="645" spans="1:18" ht="24" hidden="1" customHeight="1">
      <c r="A645" s="990" t="s">
        <v>186</v>
      </c>
      <c r="B645" s="988" t="s">
        <v>187</v>
      </c>
      <c r="C645" s="973"/>
      <c r="D645" s="974"/>
      <c r="E645" s="474"/>
      <c r="F645" s="474"/>
      <c r="G645" s="474"/>
      <c r="H645" s="473"/>
      <c r="I645" s="474"/>
      <c r="J645" s="474"/>
      <c r="K645" s="474"/>
      <c r="L645" s="474"/>
      <c r="M645" s="473"/>
      <c r="N645" s="474"/>
      <c r="O645" s="474"/>
      <c r="P645" s="474"/>
      <c r="Q645" s="163"/>
      <c r="R645" s="163"/>
    </row>
    <row r="646" spans="1:18" ht="24" hidden="1" customHeight="1">
      <c r="A646" s="767">
        <v>7300</v>
      </c>
      <c r="B646" s="991" t="s">
        <v>155</v>
      </c>
      <c r="C646" s="973"/>
      <c r="D646" s="974"/>
      <c r="E646" s="474">
        <f t="shared" ref="E646" si="492">SUM(E647:E649)</f>
        <v>0</v>
      </c>
      <c r="F646" s="474"/>
      <c r="G646" s="474"/>
      <c r="H646" s="473"/>
      <c r="I646" s="474"/>
      <c r="J646" s="474">
        <f t="shared" ref="J646" si="493">SUM(J647:J649)</f>
        <v>0</v>
      </c>
      <c r="K646" s="474"/>
      <c r="L646" s="474"/>
      <c r="M646" s="473"/>
      <c r="N646" s="474"/>
      <c r="O646" s="474">
        <f t="shared" ref="O646" si="494">SUM(O647:O649)</f>
        <v>0</v>
      </c>
      <c r="P646" s="474"/>
      <c r="Q646" s="163"/>
      <c r="R646" s="163"/>
    </row>
    <row r="647" spans="1:18" ht="24" hidden="1" customHeight="1">
      <c r="A647" s="989" t="s">
        <v>188</v>
      </c>
      <c r="B647" s="988" t="s">
        <v>170</v>
      </c>
      <c r="C647" s="983"/>
      <c r="D647" s="984"/>
      <c r="E647" s="985"/>
      <c r="F647" s="985"/>
      <c r="G647" s="985"/>
      <c r="H647" s="473"/>
      <c r="I647" s="985"/>
      <c r="J647" s="985"/>
      <c r="K647" s="985"/>
      <c r="L647" s="985"/>
      <c r="M647" s="473"/>
      <c r="N647" s="985"/>
      <c r="O647" s="985"/>
      <c r="P647" s="985"/>
      <c r="Q647" s="163"/>
      <c r="R647" s="163"/>
    </row>
    <row r="648" spans="1:18" ht="48" hidden="1" customHeight="1">
      <c r="A648" s="989" t="s">
        <v>189</v>
      </c>
      <c r="B648" s="988" t="s">
        <v>156</v>
      </c>
      <c r="C648" s="983"/>
      <c r="D648" s="984"/>
      <c r="E648" s="985"/>
      <c r="F648" s="985"/>
      <c r="G648" s="985"/>
      <c r="H648" s="473"/>
      <c r="I648" s="985"/>
      <c r="J648" s="985"/>
      <c r="K648" s="985"/>
      <c r="L648" s="985"/>
      <c r="M648" s="473"/>
      <c r="N648" s="985"/>
      <c r="O648" s="985"/>
      <c r="P648" s="985"/>
      <c r="Q648" s="163"/>
      <c r="R648" s="163"/>
    </row>
    <row r="649" spans="1:18" ht="36" hidden="1" customHeight="1">
      <c r="A649" s="989">
        <v>7350</v>
      </c>
      <c r="B649" s="988" t="s">
        <v>163</v>
      </c>
      <c r="C649" s="983"/>
      <c r="D649" s="984"/>
      <c r="E649" s="985"/>
      <c r="F649" s="985"/>
      <c r="G649" s="985"/>
      <c r="H649" s="473"/>
      <c r="I649" s="985"/>
      <c r="J649" s="985"/>
      <c r="K649" s="985"/>
      <c r="L649" s="985"/>
      <c r="M649" s="473"/>
      <c r="N649" s="985"/>
      <c r="O649" s="985"/>
      <c r="P649" s="985"/>
      <c r="Q649" s="163"/>
      <c r="R649" s="163"/>
    </row>
    <row r="650" spans="1:18" ht="24" hidden="1" customHeight="1">
      <c r="A650" s="767">
        <v>7400</v>
      </c>
      <c r="B650" s="991" t="s">
        <v>161</v>
      </c>
      <c r="C650" s="973"/>
      <c r="D650" s="974"/>
      <c r="E650" s="474">
        <f t="shared" ref="E650" si="495">SUM(E651:E652)</f>
        <v>0</v>
      </c>
      <c r="F650" s="474"/>
      <c r="G650" s="474"/>
      <c r="H650" s="473"/>
      <c r="I650" s="474"/>
      <c r="J650" s="474">
        <f t="shared" ref="J650" si="496">SUM(J651:J652)</f>
        <v>0</v>
      </c>
      <c r="K650" s="474"/>
      <c r="L650" s="474"/>
      <c r="M650" s="473"/>
      <c r="N650" s="474"/>
      <c r="O650" s="474">
        <f t="shared" ref="O650" si="497">SUM(O651:O652)</f>
        <v>0</v>
      </c>
      <c r="P650" s="474"/>
      <c r="Q650" s="163"/>
      <c r="R650" s="163"/>
    </row>
    <row r="651" spans="1:18" ht="24" hidden="1" customHeight="1">
      <c r="A651" s="989">
        <v>7460</v>
      </c>
      <c r="B651" s="991" t="s">
        <v>162</v>
      </c>
      <c r="C651" s="983"/>
      <c r="D651" s="984"/>
      <c r="E651" s="985"/>
      <c r="F651" s="985"/>
      <c r="G651" s="985"/>
      <c r="H651" s="473"/>
      <c r="I651" s="985"/>
      <c r="J651" s="985"/>
      <c r="K651" s="985"/>
      <c r="L651" s="985"/>
      <c r="M651" s="473"/>
      <c r="N651" s="985"/>
      <c r="O651" s="985"/>
      <c r="P651" s="985"/>
      <c r="Q651" s="163"/>
      <c r="R651" s="163"/>
    </row>
    <row r="652" spans="1:18" ht="36" hidden="1" customHeight="1">
      <c r="A652" s="989">
        <v>7470</v>
      </c>
      <c r="B652" s="988" t="s">
        <v>167</v>
      </c>
      <c r="C652" s="983"/>
      <c r="D652" s="984"/>
      <c r="E652" s="985"/>
      <c r="F652" s="985"/>
      <c r="G652" s="985"/>
      <c r="H652" s="473"/>
      <c r="I652" s="985"/>
      <c r="J652" s="985"/>
      <c r="K652" s="985"/>
      <c r="L652" s="985"/>
      <c r="M652" s="473"/>
      <c r="N652" s="985"/>
      <c r="O652" s="985"/>
      <c r="P652" s="985"/>
      <c r="Q652" s="163"/>
      <c r="R652" s="163"/>
    </row>
    <row r="653" spans="1:18" ht="24">
      <c r="A653" s="767">
        <v>7500</v>
      </c>
      <c r="B653" s="988" t="s">
        <v>157</v>
      </c>
      <c r="C653" s="973"/>
      <c r="D653" s="974"/>
      <c r="E653" s="474">
        <v>56573</v>
      </c>
      <c r="F653" s="474"/>
      <c r="G653" s="474"/>
      <c r="H653" s="473"/>
      <c r="I653" s="474"/>
      <c r="J653" s="474">
        <v>13503</v>
      </c>
      <c r="K653" s="474"/>
      <c r="L653" s="474"/>
      <c r="M653" s="473"/>
      <c r="N653" s="474"/>
      <c r="O653" s="474"/>
      <c r="P653" s="474"/>
      <c r="Q653" s="163"/>
      <c r="R653" s="163"/>
    </row>
    <row r="654" spans="1:18" ht="12">
      <c r="A654" s="966" t="s">
        <v>133</v>
      </c>
      <c r="B654" s="1008" t="s">
        <v>122</v>
      </c>
      <c r="C654" s="969"/>
      <c r="D654" s="970"/>
      <c r="E654" s="971">
        <f t="shared" ref="E654" si="498">E655+E656</f>
        <v>29809</v>
      </c>
      <c r="F654" s="971"/>
      <c r="G654" s="971"/>
      <c r="H654" s="473"/>
      <c r="I654" s="971"/>
      <c r="J654" s="971">
        <f t="shared" ref="J654" si="499">J655+J656</f>
        <v>0</v>
      </c>
      <c r="K654" s="971"/>
      <c r="L654" s="971"/>
      <c r="M654" s="473"/>
      <c r="N654" s="971"/>
      <c r="O654" s="971">
        <f t="shared" ref="O654" si="500">O655+O656</f>
        <v>0</v>
      </c>
      <c r="P654" s="971"/>
      <c r="Q654" s="163"/>
      <c r="R654" s="163"/>
    </row>
    <row r="655" spans="1:18" ht="12">
      <c r="A655" s="966">
        <v>5000</v>
      </c>
      <c r="B655" s="1008" t="s">
        <v>123</v>
      </c>
      <c r="C655" s="973"/>
      <c r="D655" s="974"/>
      <c r="E655" s="474">
        <v>0</v>
      </c>
      <c r="F655" s="472"/>
      <c r="G655" s="472"/>
      <c r="H655" s="473"/>
      <c r="I655" s="474"/>
      <c r="J655" s="474">
        <v>0</v>
      </c>
      <c r="K655" s="472"/>
      <c r="L655" s="472"/>
      <c r="M655" s="473"/>
      <c r="N655" s="474"/>
      <c r="O655" s="474"/>
      <c r="P655" s="472"/>
      <c r="Q655" s="163"/>
      <c r="R655" s="163"/>
    </row>
    <row r="656" spans="1:18" ht="12">
      <c r="A656" s="966">
        <v>9000</v>
      </c>
      <c r="B656" s="986" t="s">
        <v>164</v>
      </c>
      <c r="C656" s="973"/>
      <c r="D656" s="974"/>
      <c r="E656" s="474">
        <f t="shared" ref="E656" si="501">E657+E663+E667+E670</f>
        <v>29809</v>
      </c>
      <c r="F656" s="474"/>
      <c r="G656" s="474"/>
      <c r="H656" s="473"/>
      <c r="I656" s="474"/>
      <c r="J656" s="474">
        <f t="shared" ref="J656" si="502">J657+J663+J667+J670</f>
        <v>0</v>
      </c>
      <c r="K656" s="474"/>
      <c r="L656" s="474"/>
      <c r="M656" s="473"/>
      <c r="N656" s="474"/>
      <c r="O656" s="474">
        <f t="shared" ref="O656" si="503">O657+O663+O667+O670</f>
        <v>0</v>
      </c>
      <c r="P656" s="474"/>
      <c r="Q656" s="163"/>
      <c r="R656" s="163"/>
    </row>
    <row r="657" spans="1:18" ht="12" hidden="1" customHeight="1">
      <c r="A657" s="987">
        <v>9100</v>
      </c>
      <c r="B657" s="988" t="s">
        <v>124</v>
      </c>
      <c r="C657" s="973"/>
      <c r="D657" s="974"/>
      <c r="E657" s="474">
        <f t="shared" ref="E657" si="504">SUM(E658:E659)</f>
        <v>0</v>
      </c>
      <c r="F657" s="474"/>
      <c r="G657" s="474"/>
      <c r="H657" s="473"/>
      <c r="I657" s="474"/>
      <c r="J657" s="474">
        <f t="shared" ref="J657" si="505">SUM(J658:J659)</f>
        <v>0</v>
      </c>
      <c r="K657" s="474"/>
      <c r="L657" s="474"/>
      <c r="M657" s="473"/>
      <c r="N657" s="474"/>
      <c r="O657" s="474">
        <f t="shared" ref="O657" si="506">SUM(O658:O659)</f>
        <v>0</v>
      </c>
      <c r="P657" s="474"/>
      <c r="Q657" s="163"/>
      <c r="R657" s="163"/>
    </row>
    <row r="658" spans="1:18" ht="24" hidden="1" customHeight="1">
      <c r="A658" s="989" t="s">
        <v>125</v>
      </c>
      <c r="B658" s="988" t="s">
        <v>214</v>
      </c>
      <c r="C658" s="973"/>
      <c r="D658" s="974"/>
      <c r="E658" s="474"/>
      <c r="F658" s="474"/>
      <c r="G658" s="474"/>
      <c r="H658" s="473"/>
      <c r="I658" s="474"/>
      <c r="J658" s="474"/>
      <c r="K658" s="474"/>
      <c r="L658" s="474"/>
      <c r="M658" s="473"/>
      <c r="N658" s="474"/>
      <c r="O658" s="474"/>
      <c r="P658" s="474"/>
      <c r="Q658" s="163"/>
      <c r="R658" s="163"/>
    </row>
    <row r="659" spans="1:18" ht="24" hidden="1" customHeight="1">
      <c r="A659" s="989">
        <v>9140</v>
      </c>
      <c r="B659" s="988" t="s">
        <v>215</v>
      </c>
      <c r="C659" s="973"/>
      <c r="D659" s="974"/>
      <c r="E659" s="474">
        <f t="shared" ref="E659" si="507">SUM(E660:E662)</f>
        <v>0</v>
      </c>
      <c r="F659" s="474"/>
      <c r="G659" s="474"/>
      <c r="H659" s="473"/>
      <c r="I659" s="474"/>
      <c r="J659" s="474">
        <f t="shared" ref="J659" si="508">SUM(J660:J662)</f>
        <v>0</v>
      </c>
      <c r="K659" s="474"/>
      <c r="L659" s="474"/>
      <c r="M659" s="473"/>
      <c r="N659" s="474"/>
      <c r="O659" s="474">
        <f t="shared" ref="O659" si="509">SUM(O660:O662)</f>
        <v>0</v>
      </c>
      <c r="P659" s="474"/>
      <c r="Q659" s="163"/>
      <c r="R659" s="163"/>
    </row>
    <row r="660" spans="1:18" ht="36" hidden="1" customHeight="1">
      <c r="A660" s="990">
        <v>9141</v>
      </c>
      <c r="B660" s="991" t="s">
        <v>190</v>
      </c>
      <c r="C660" s="983"/>
      <c r="D660" s="984"/>
      <c r="E660" s="985"/>
      <c r="F660" s="985"/>
      <c r="G660" s="985"/>
      <c r="H660" s="473"/>
      <c r="I660" s="985"/>
      <c r="J660" s="985"/>
      <c r="K660" s="985"/>
      <c r="L660" s="985"/>
      <c r="M660" s="473"/>
      <c r="N660" s="985"/>
      <c r="O660" s="985"/>
      <c r="P660" s="985"/>
      <c r="Q660" s="163"/>
      <c r="R660" s="163"/>
    </row>
    <row r="661" spans="1:18" ht="36" hidden="1" customHeight="1">
      <c r="A661" s="990">
        <v>9142</v>
      </c>
      <c r="B661" s="991" t="s">
        <v>191</v>
      </c>
      <c r="C661" s="983"/>
      <c r="D661" s="984"/>
      <c r="E661" s="985"/>
      <c r="F661" s="985"/>
      <c r="G661" s="985"/>
      <c r="H661" s="473"/>
      <c r="I661" s="985"/>
      <c r="J661" s="985"/>
      <c r="K661" s="985"/>
      <c r="L661" s="985"/>
      <c r="M661" s="473"/>
      <c r="N661" s="985"/>
      <c r="O661" s="985"/>
      <c r="P661" s="985"/>
      <c r="Q661" s="163"/>
      <c r="R661" s="163"/>
    </row>
    <row r="662" spans="1:18" ht="24" hidden="1" customHeight="1">
      <c r="A662" s="990">
        <v>9149</v>
      </c>
      <c r="B662" s="991" t="s">
        <v>192</v>
      </c>
      <c r="C662" s="983"/>
      <c r="D662" s="984"/>
      <c r="E662" s="985"/>
      <c r="F662" s="985"/>
      <c r="G662" s="985"/>
      <c r="H662" s="473"/>
      <c r="I662" s="985"/>
      <c r="J662" s="985"/>
      <c r="K662" s="985"/>
      <c r="L662" s="985"/>
      <c r="M662" s="473"/>
      <c r="N662" s="985"/>
      <c r="O662" s="985"/>
      <c r="P662" s="985"/>
      <c r="Q662" s="163"/>
      <c r="R662" s="163"/>
    </row>
    <row r="663" spans="1:18" ht="24" hidden="1" customHeight="1">
      <c r="A663" s="987">
        <v>9500</v>
      </c>
      <c r="B663" s="991" t="s">
        <v>165</v>
      </c>
      <c r="C663" s="973"/>
      <c r="D663" s="974"/>
      <c r="E663" s="474">
        <f t="shared" ref="E663" si="510">SUM(E664:E666)</f>
        <v>0</v>
      </c>
      <c r="F663" s="474"/>
      <c r="G663" s="474"/>
      <c r="H663" s="473"/>
      <c r="I663" s="474"/>
      <c r="J663" s="474">
        <f t="shared" ref="J663" si="511">SUM(J664:J666)</f>
        <v>0</v>
      </c>
      <c r="K663" s="474"/>
      <c r="L663" s="474"/>
      <c r="M663" s="473"/>
      <c r="N663" s="474"/>
      <c r="O663" s="474">
        <f t="shared" ref="O663" si="512">SUM(O664:O666)</f>
        <v>0</v>
      </c>
      <c r="P663" s="474"/>
      <c r="Q663" s="163"/>
      <c r="R663" s="163"/>
    </row>
    <row r="664" spans="1:18" ht="24" hidden="1" customHeight="1">
      <c r="A664" s="989" t="s">
        <v>193</v>
      </c>
      <c r="B664" s="991" t="s">
        <v>171</v>
      </c>
      <c r="C664" s="973"/>
      <c r="D664" s="974"/>
      <c r="E664" s="474"/>
      <c r="F664" s="474"/>
      <c r="G664" s="474"/>
      <c r="H664" s="473"/>
      <c r="I664" s="474"/>
      <c r="J664" s="474"/>
      <c r="K664" s="474"/>
      <c r="L664" s="474"/>
      <c r="M664" s="473"/>
      <c r="N664" s="474"/>
      <c r="O664" s="474"/>
      <c r="P664" s="474"/>
      <c r="Q664" s="163"/>
      <c r="R664" s="163"/>
    </row>
    <row r="665" spans="1:18" ht="48" hidden="1" customHeight="1">
      <c r="A665" s="989">
        <v>9580</v>
      </c>
      <c r="B665" s="991" t="s">
        <v>166</v>
      </c>
      <c r="C665" s="983"/>
      <c r="D665" s="984"/>
      <c r="E665" s="985"/>
      <c r="F665" s="985"/>
      <c r="G665" s="985"/>
      <c r="H665" s="473"/>
      <c r="I665" s="985"/>
      <c r="J665" s="985"/>
      <c r="K665" s="985"/>
      <c r="L665" s="985"/>
      <c r="M665" s="473"/>
      <c r="N665" s="985"/>
      <c r="O665" s="985"/>
      <c r="P665" s="985"/>
      <c r="Q665" s="163"/>
      <c r="R665" s="163"/>
    </row>
    <row r="666" spans="1:18" ht="36" hidden="1" customHeight="1">
      <c r="A666" s="989">
        <v>9590</v>
      </c>
      <c r="B666" s="988" t="s">
        <v>172</v>
      </c>
      <c r="C666" s="983"/>
      <c r="D666" s="984"/>
      <c r="E666" s="985"/>
      <c r="F666" s="985"/>
      <c r="G666" s="985"/>
      <c r="H666" s="473"/>
      <c r="I666" s="985"/>
      <c r="J666" s="985"/>
      <c r="K666" s="985"/>
      <c r="L666" s="985"/>
      <c r="M666" s="473"/>
      <c r="N666" s="985"/>
      <c r="O666" s="985"/>
      <c r="P666" s="985"/>
      <c r="Q666" s="163"/>
      <c r="R666" s="163"/>
    </row>
    <row r="667" spans="1:18" ht="24" hidden="1" customHeight="1">
      <c r="A667" s="987">
        <v>9700</v>
      </c>
      <c r="B667" s="992" t="s">
        <v>194</v>
      </c>
      <c r="C667" s="973"/>
      <c r="D667" s="974"/>
      <c r="E667" s="474">
        <f t="shared" ref="E667" si="513">SUM(E668:E669)</f>
        <v>0</v>
      </c>
      <c r="F667" s="474"/>
      <c r="G667" s="474"/>
      <c r="H667" s="473"/>
      <c r="I667" s="474"/>
      <c r="J667" s="474">
        <f t="shared" ref="J667" si="514">SUM(J668:J669)</f>
        <v>0</v>
      </c>
      <c r="K667" s="474"/>
      <c r="L667" s="474"/>
      <c r="M667" s="473"/>
      <c r="N667" s="474"/>
      <c r="O667" s="474">
        <f t="shared" ref="O667" si="515">SUM(O668:O669)</f>
        <v>0</v>
      </c>
      <c r="P667" s="474"/>
      <c r="Q667" s="163"/>
      <c r="R667" s="163"/>
    </row>
    <row r="668" spans="1:18" ht="24" hidden="1" customHeight="1">
      <c r="A668" s="989">
        <v>9710</v>
      </c>
      <c r="B668" s="993" t="s">
        <v>195</v>
      </c>
      <c r="C668" s="983"/>
      <c r="D668" s="984"/>
      <c r="E668" s="985"/>
      <c r="F668" s="985"/>
      <c r="G668" s="985"/>
      <c r="H668" s="473"/>
      <c r="I668" s="985"/>
      <c r="J668" s="985"/>
      <c r="K668" s="985"/>
      <c r="L668" s="985"/>
      <c r="M668" s="473"/>
      <c r="N668" s="985"/>
      <c r="O668" s="985"/>
      <c r="P668" s="985"/>
      <c r="Q668" s="163"/>
      <c r="R668" s="163"/>
    </row>
    <row r="669" spans="1:18" ht="36" hidden="1" customHeight="1">
      <c r="A669" s="994">
        <v>9720</v>
      </c>
      <c r="B669" s="992" t="s">
        <v>196</v>
      </c>
      <c r="C669" s="983"/>
      <c r="D669" s="984"/>
      <c r="E669" s="985"/>
      <c r="F669" s="985"/>
      <c r="G669" s="985"/>
      <c r="H669" s="473"/>
      <c r="I669" s="985"/>
      <c r="J669" s="985"/>
      <c r="K669" s="985"/>
      <c r="L669" s="985"/>
      <c r="M669" s="473"/>
      <c r="N669" s="985"/>
      <c r="O669" s="985"/>
      <c r="P669" s="985"/>
      <c r="Q669" s="163"/>
      <c r="R669" s="163"/>
    </row>
    <row r="670" spans="1:18" ht="24">
      <c r="A670" s="987">
        <v>9600</v>
      </c>
      <c r="B670" s="988" t="s">
        <v>134</v>
      </c>
      <c r="C670" s="983"/>
      <c r="D670" s="984"/>
      <c r="E670" s="985">
        <v>29809</v>
      </c>
      <c r="F670" s="985"/>
      <c r="G670" s="985"/>
      <c r="H670" s="473"/>
      <c r="I670" s="985"/>
      <c r="J670" s="985"/>
      <c r="K670" s="985"/>
      <c r="L670" s="985"/>
      <c r="M670" s="473"/>
      <c r="N670" s="985"/>
      <c r="O670" s="985"/>
      <c r="P670" s="985"/>
      <c r="Q670" s="163"/>
      <c r="R670" s="163"/>
    </row>
    <row r="671" spans="1:18" ht="30.6" hidden="1" customHeight="1">
      <c r="A671" s="965" t="s">
        <v>197</v>
      </c>
      <c r="B671" s="995" t="s">
        <v>47</v>
      </c>
      <c r="C671" s="996"/>
      <c r="D671" s="997"/>
      <c r="E671" s="998">
        <v>0</v>
      </c>
      <c r="F671" s="998"/>
      <c r="G671" s="998"/>
      <c r="H671" s="473"/>
      <c r="I671" s="998"/>
      <c r="J671" s="998"/>
      <c r="K671" s="998"/>
      <c r="L671" s="998"/>
      <c r="M671" s="473"/>
      <c r="N671" s="998"/>
      <c r="O671" s="998">
        <v>0</v>
      </c>
      <c r="P671" s="998"/>
      <c r="Q671" s="163"/>
      <c r="R671" s="163"/>
    </row>
    <row r="672" spans="1:18" ht="12" hidden="1" customHeight="1">
      <c r="A672" s="999" t="s">
        <v>48</v>
      </c>
      <c r="B672" s="995" t="s">
        <v>49</v>
      </c>
      <c r="C672" s="996"/>
      <c r="D672" s="997"/>
      <c r="E672" s="998">
        <f t="shared" ref="E672" si="516">E673+E676+E680+E679</f>
        <v>0</v>
      </c>
      <c r="F672" s="998"/>
      <c r="G672" s="998"/>
      <c r="H672" s="473"/>
      <c r="I672" s="998"/>
      <c r="J672" s="998">
        <f t="shared" ref="J672" si="517">J673+J676+J680+J679</f>
        <v>0</v>
      </c>
      <c r="K672" s="998"/>
      <c r="L672" s="998"/>
      <c r="M672" s="473"/>
      <c r="N672" s="998"/>
      <c r="O672" s="998">
        <f t="shared" ref="O672" si="518">O673+O676+O680+O679</f>
        <v>0</v>
      </c>
      <c r="P672" s="998"/>
      <c r="Q672" s="163"/>
      <c r="R672" s="163"/>
    </row>
    <row r="673" spans="1:18" ht="12" hidden="1" customHeight="1">
      <c r="A673" s="987" t="s">
        <v>50</v>
      </c>
      <c r="B673" s="988" t="s">
        <v>51</v>
      </c>
      <c r="C673" s="1000"/>
      <c r="D673" s="1001"/>
      <c r="E673" s="1002">
        <f t="shared" ref="E673" si="519">E674+E675</f>
        <v>0</v>
      </c>
      <c r="F673" s="1002"/>
      <c r="G673" s="1002"/>
      <c r="H673" s="473"/>
      <c r="I673" s="1002"/>
      <c r="J673" s="1002">
        <f t="shared" ref="J673" si="520">J674+J675</f>
        <v>0</v>
      </c>
      <c r="K673" s="1002"/>
      <c r="L673" s="1002"/>
      <c r="M673" s="473"/>
      <c r="N673" s="1002"/>
      <c r="O673" s="1002">
        <f t="shared" ref="O673" si="521">O674+O675</f>
        <v>0</v>
      </c>
      <c r="P673" s="1002"/>
      <c r="Q673" s="163"/>
      <c r="R673" s="163"/>
    </row>
    <row r="674" spans="1:18" ht="12" hidden="1" customHeight="1">
      <c r="A674" s="987" t="s">
        <v>52</v>
      </c>
      <c r="B674" s="988" t="s">
        <v>53</v>
      </c>
      <c r="C674" s="1000"/>
      <c r="D674" s="1001"/>
      <c r="E674" s="1002"/>
      <c r="F674" s="1002"/>
      <c r="G674" s="1002"/>
      <c r="H674" s="473"/>
      <c r="I674" s="1002"/>
      <c r="J674" s="1002"/>
      <c r="K674" s="1002"/>
      <c r="L674" s="1002"/>
      <c r="M674" s="473"/>
      <c r="N674" s="1002"/>
      <c r="O674" s="1002"/>
      <c r="P674" s="1002"/>
      <c r="Q674" s="163"/>
      <c r="R674" s="163"/>
    </row>
    <row r="675" spans="1:18" ht="12" hidden="1" customHeight="1">
      <c r="A675" s="987" t="s">
        <v>54</v>
      </c>
      <c r="B675" s="988" t="s">
        <v>55</v>
      </c>
      <c r="C675" s="1000"/>
      <c r="D675" s="1001"/>
      <c r="E675" s="1002"/>
      <c r="F675" s="1002"/>
      <c r="G675" s="1002"/>
      <c r="H675" s="473"/>
      <c r="I675" s="1002"/>
      <c r="J675" s="1002"/>
      <c r="K675" s="1002"/>
      <c r="L675" s="1002"/>
      <c r="M675" s="473"/>
      <c r="N675" s="1002"/>
      <c r="O675" s="1002"/>
      <c r="P675" s="1002"/>
      <c r="Q675" s="163"/>
      <c r="R675" s="163"/>
    </row>
    <row r="676" spans="1:18" ht="12" hidden="1" customHeight="1">
      <c r="A676" s="987" t="s">
        <v>56</v>
      </c>
      <c r="B676" s="988" t="s">
        <v>57</v>
      </c>
      <c r="C676" s="1000"/>
      <c r="D676" s="1001"/>
      <c r="E676" s="1002">
        <f t="shared" ref="E676" si="522">E677+E678</f>
        <v>0</v>
      </c>
      <c r="F676" s="1002"/>
      <c r="G676" s="1002"/>
      <c r="H676" s="473"/>
      <c r="I676" s="1002"/>
      <c r="J676" s="1002">
        <f t="shared" ref="J676" si="523">J677+J678</f>
        <v>0</v>
      </c>
      <c r="K676" s="1002"/>
      <c r="L676" s="1002"/>
      <c r="M676" s="473"/>
      <c r="N676" s="1002"/>
      <c r="O676" s="1002">
        <f t="shared" ref="O676" si="524">O677+O678</f>
        <v>0</v>
      </c>
      <c r="P676" s="1002"/>
      <c r="Q676" s="163"/>
      <c r="R676" s="163"/>
    </row>
    <row r="677" spans="1:18" ht="12" hidden="1" customHeight="1">
      <c r="A677" s="987" t="s">
        <v>58</v>
      </c>
      <c r="B677" s="988" t="s">
        <v>59</v>
      </c>
      <c r="C677" s="1000"/>
      <c r="D677" s="1001"/>
      <c r="E677" s="1002"/>
      <c r="F677" s="1002"/>
      <c r="G677" s="1002"/>
      <c r="H677" s="473"/>
      <c r="I677" s="1002"/>
      <c r="J677" s="1002"/>
      <c r="K677" s="1002"/>
      <c r="L677" s="1002"/>
      <c r="M677" s="473"/>
      <c r="N677" s="1002"/>
      <c r="O677" s="1002"/>
      <c r="P677" s="1002"/>
      <c r="Q677" s="163"/>
      <c r="R677" s="163"/>
    </row>
    <row r="678" spans="1:18" ht="12" hidden="1" customHeight="1">
      <c r="A678" s="987" t="s">
        <v>60</v>
      </c>
      <c r="B678" s="988" t="s">
        <v>61</v>
      </c>
      <c r="C678" s="1000"/>
      <c r="D678" s="1001"/>
      <c r="E678" s="1002"/>
      <c r="F678" s="1002"/>
      <c r="G678" s="1002"/>
      <c r="H678" s="473"/>
      <c r="I678" s="1002"/>
      <c r="J678" s="1002"/>
      <c r="K678" s="1002"/>
      <c r="L678" s="1002"/>
      <c r="M678" s="473"/>
      <c r="N678" s="1002"/>
      <c r="O678" s="1002"/>
      <c r="P678" s="1002"/>
      <c r="Q678" s="163"/>
      <c r="R678" s="163"/>
    </row>
    <row r="679" spans="1:18" ht="12" hidden="1" customHeight="1">
      <c r="A679" s="987" t="s">
        <v>198</v>
      </c>
      <c r="B679" s="1003" t="s">
        <v>168</v>
      </c>
      <c r="C679" s="1000"/>
      <c r="D679" s="1001"/>
      <c r="E679" s="1002"/>
      <c r="F679" s="1002"/>
      <c r="G679" s="1002"/>
      <c r="H679" s="473"/>
      <c r="I679" s="1002"/>
      <c r="J679" s="1002"/>
      <c r="K679" s="1002"/>
      <c r="L679" s="1002"/>
      <c r="M679" s="473"/>
      <c r="N679" s="1002"/>
      <c r="O679" s="1002"/>
      <c r="P679" s="1002"/>
      <c r="Q679" s="163"/>
      <c r="R679" s="163"/>
    </row>
    <row r="680" spans="1:18" ht="12" hidden="1" customHeight="1">
      <c r="A680" s="1004" t="s">
        <v>62</v>
      </c>
      <c r="B680" s="768" t="s">
        <v>63</v>
      </c>
      <c r="C680" s="973"/>
      <c r="D680" s="974"/>
      <c r="E680" s="474">
        <v>0</v>
      </c>
      <c r="F680" s="474"/>
      <c r="G680" s="474"/>
      <c r="H680" s="473"/>
      <c r="I680" s="474"/>
      <c r="J680" s="474"/>
      <c r="K680" s="474"/>
      <c r="L680" s="474"/>
      <c r="M680" s="473"/>
      <c r="N680" s="474"/>
      <c r="O680" s="474">
        <f t="shared" ref="O680" si="525">O681+O682+O683</f>
        <v>0</v>
      </c>
      <c r="P680" s="474"/>
      <c r="Q680" s="163"/>
      <c r="R680" s="163"/>
    </row>
    <row r="681" spans="1:18" ht="36" hidden="1" customHeight="1">
      <c r="A681" s="1004" t="s">
        <v>64</v>
      </c>
      <c r="B681" s="988" t="s">
        <v>65</v>
      </c>
      <c r="C681" s="1000"/>
      <c r="D681" s="1001"/>
      <c r="E681" s="1002"/>
      <c r="F681" s="1002"/>
      <c r="G681" s="1002"/>
      <c r="H681" s="473"/>
      <c r="I681" s="1002"/>
      <c r="J681" s="1002"/>
      <c r="K681" s="1002"/>
      <c r="L681" s="1002"/>
      <c r="M681" s="473"/>
      <c r="N681" s="1002"/>
      <c r="O681" s="1002"/>
      <c r="P681" s="1002"/>
      <c r="Q681" s="163"/>
      <c r="R681" s="163"/>
    </row>
    <row r="682" spans="1:18" ht="24" hidden="1" customHeight="1">
      <c r="A682" s="1004" t="s">
        <v>66</v>
      </c>
      <c r="B682" s="988" t="s">
        <v>67</v>
      </c>
      <c r="C682" s="1000"/>
      <c r="D682" s="1001"/>
      <c r="E682" s="1002"/>
      <c r="F682" s="1002"/>
      <c r="G682" s="1002"/>
      <c r="H682" s="473"/>
      <c r="I682" s="1002"/>
      <c r="J682" s="1002"/>
      <c r="K682" s="1002"/>
      <c r="L682" s="1002"/>
      <c r="M682" s="473"/>
      <c r="N682" s="1002"/>
      <c r="O682" s="1002"/>
      <c r="P682" s="1002"/>
      <c r="Q682" s="163"/>
      <c r="R682" s="163"/>
    </row>
    <row r="683" spans="1:18" ht="145.19999999999999">
      <c r="A683" s="888" t="s">
        <v>253</v>
      </c>
      <c r="B683" s="1070" t="s">
        <v>1063</v>
      </c>
      <c r="C683" s="469"/>
      <c r="D683" s="470"/>
      <c r="E683" s="1006">
        <v>25323</v>
      </c>
      <c r="F683" s="1007"/>
      <c r="G683" s="1007"/>
      <c r="H683" s="1007"/>
      <c r="I683" s="1007"/>
      <c r="J683" s="1006">
        <v>9121</v>
      </c>
      <c r="K683" s="1074"/>
      <c r="L683" s="1007"/>
      <c r="M683" s="1007"/>
      <c r="N683" s="1007"/>
      <c r="O683" s="1006"/>
      <c r="P683" s="470"/>
      <c r="Q683" s="163"/>
      <c r="R683" s="163"/>
    </row>
    <row r="684" spans="1:18" ht="12">
      <c r="A684" s="1072" t="s">
        <v>100</v>
      </c>
      <c r="B684" s="1073" t="s">
        <v>101</v>
      </c>
      <c r="C684" s="969"/>
      <c r="D684" s="970"/>
      <c r="E684" s="474">
        <f t="shared" ref="E684" si="526">E685+E712</f>
        <v>25323</v>
      </c>
      <c r="F684" s="474"/>
      <c r="G684" s="474"/>
      <c r="H684" s="473"/>
      <c r="I684" s="474"/>
      <c r="J684" s="474">
        <f t="shared" ref="J684" si="527">J685+J712</f>
        <v>9121</v>
      </c>
      <c r="K684" s="474"/>
      <c r="L684" s="474"/>
      <c r="M684" s="473"/>
      <c r="N684" s="474"/>
      <c r="O684" s="474"/>
      <c r="P684" s="971"/>
      <c r="Q684" s="163"/>
      <c r="R684" s="163"/>
    </row>
    <row r="685" spans="1:18" ht="20.399999999999999">
      <c r="A685" s="965" t="s">
        <v>102</v>
      </c>
      <c r="B685" s="1008" t="s">
        <v>103</v>
      </c>
      <c r="C685" s="973"/>
      <c r="D685" s="974"/>
      <c r="E685" s="474">
        <f t="shared" ref="E685" si="528">E686+E690+E691+E694+E697</f>
        <v>10785</v>
      </c>
      <c r="F685" s="474"/>
      <c r="G685" s="474"/>
      <c r="H685" s="473"/>
      <c r="I685" s="474"/>
      <c r="J685" s="474">
        <f t="shared" ref="J685" si="529">J686+J690+J691+J694+J697</f>
        <v>9121</v>
      </c>
      <c r="K685" s="474"/>
      <c r="L685" s="474"/>
      <c r="M685" s="473"/>
      <c r="N685" s="474"/>
      <c r="O685" s="474"/>
      <c r="P685" s="474"/>
      <c r="Q685" s="163"/>
      <c r="R685" s="163"/>
    </row>
    <row r="686" spans="1:18" ht="12">
      <c r="A686" s="965" t="s">
        <v>104</v>
      </c>
      <c r="B686" s="1008" t="s">
        <v>105</v>
      </c>
      <c r="C686" s="973"/>
      <c r="D686" s="974"/>
      <c r="E686" s="474">
        <f t="shared" ref="E686" si="530">E687+E689</f>
        <v>10785</v>
      </c>
      <c r="F686" s="474"/>
      <c r="G686" s="474"/>
      <c r="H686" s="473"/>
      <c r="I686" s="474"/>
      <c r="J686" s="474">
        <f t="shared" ref="J686" si="531">J687+J689</f>
        <v>9121</v>
      </c>
      <c r="K686" s="474"/>
      <c r="L686" s="474"/>
      <c r="M686" s="473"/>
      <c r="N686" s="474"/>
      <c r="O686" s="474"/>
      <c r="P686" s="474"/>
      <c r="Q686" s="163"/>
      <c r="R686" s="163"/>
    </row>
    <row r="687" spans="1:18" ht="12">
      <c r="A687" s="767">
        <v>1000</v>
      </c>
      <c r="B687" s="768" t="s">
        <v>106</v>
      </c>
      <c r="C687" s="973"/>
      <c r="D687" s="974"/>
      <c r="E687" s="474">
        <v>-1724</v>
      </c>
      <c r="F687" s="472"/>
      <c r="G687" s="472"/>
      <c r="H687" s="473"/>
      <c r="I687" s="474"/>
      <c r="J687" s="474">
        <v>12864</v>
      </c>
      <c r="K687" s="472"/>
      <c r="L687" s="472"/>
      <c r="M687" s="473"/>
      <c r="N687" s="474"/>
      <c r="O687" s="474"/>
      <c r="P687" s="472"/>
      <c r="Q687" s="163"/>
      <c r="R687" s="163"/>
    </row>
    <row r="688" spans="1:18" ht="12">
      <c r="A688" s="891">
        <v>1100</v>
      </c>
      <c r="B688" s="768" t="s">
        <v>107</v>
      </c>
      <c r="C688" s="973"/>
      <c r="D688" s="974"/>
      <c r="E688" s="474">
        <v>-1391</v>
      </c>
      <c r="F688" s="472"/>
      <c r="G688" s="472"/>
      <c r="H688" s="473"/>
      <c r="I688" s="474"/>
      <c r="J688" s="474">
        <v>10265</v>
      </c>
      <c r="K688" s="472"/>
      <c r="L688" s="472"/>
      <c r="M688" s="473"/>
      <c r="N688" s="474"/>
      <c r="O688" s="474"/>
      <c r="P688" s="472"/>
      <c r="Q688" s="163"/>
      <c r="R688" s="163"/>
    </row>
    <row r="689" spans="1:18" ht="12">
      <c r="A689" s="767">
        <v>2000</v>
      </c>
      <c r="B689" s="768" t="s">
        <v>108</v>
      </c>
      <c r="C689" s="973"/>
      <c r="D689" s="974"/>
      <c r="E689" s="474">
        <v>12509</v>
      </c>
      <c r="F689" s="472"/>
      <c r="G689" s="472"/>
      <c r="H689" s="473"/>
      <c r="I689" s="474"/>
      <c r="J689" s="474">
        <v>-3743</v>
      </c>
      <c r="K689" s="472"/>
      <c r="L689" s="472"/>
      <c r="M689" s="473"/>
      <c r="N689" s="474"/>
      <c r="O689" s="474"/>
      <c r="P689" s="472"/>
      <c r="Q689" s="163"/>
      <c r="R689" s="163"/>
    </row>
    <row r="690" spans="1:18" ht="12" hidden="1" customHeight="1">
      <c r="A690" s="966">
        <v>4000</v>
      </c>
      <c r="B690" s="1008" t="s">
        <v>132</v>
      </c>
      <c r="C690" s="973"/>
      <c r="D690" s="975"/>
      <c r="E690" s="472"/>
      <c r="F690" s="472"/>
      <c r="G690" s="472"/>
      <c r="H690" s="473"/>
      <c r="I690" s="474"/>
      <c r="J690" s="472"/>
      <c r="K690" s="472"/>
      <c r="L690" s="472"/>
      <c r="M690" s="473"/>
      <c r="N690" s="474"/>
      <c r="O690" s="472"/>
      <c r="P690" s="472"/>
      <c r="Q690" s="163"/>
      <c r="R690" s="163"/>
    </row>
    <row r="691" spans="1:18" ht="12" hidden="1" customHeight="1">
      <c r="A691" s="966" t="s">
        <v>109</v>
      </c>
      <c r="B691" s="1008" t="s">
        <v>110</v>
      </c>
      <c r="C691" s="973"/>
      <c r="D691" s="974"/>
      <c r="E691" s="474">
        <f t="shared" ref="E691" si="532">E692+E693</f>
        <v>0</v>
      </c>
      <c r="F691" s="474"/>
      <c r="G691" s="474"/>
      <c r="H691" s="473"/>
      <c r="I691" s="474"/>
      <c r="J691" s="474">
        <f t="shared" ref="J691" si="533">J692+J693</f>
        <v>0</v>
      </c>
      <c r="K691" s="474"/>
      <c r="L691" s="474"/>
      <c r="M691" s="473"/>
      <c r="N691" s="474"/>
      <c r="O691" s="474"/>
      <c r="P691" s="474"/>
      <c r="Q691" s="163"/>
      <c r="R691" s="163"/>
    </row>
    <row r="692" spans="1:18" ht="12" hidden="1" customHeight="1">
      <c r="A692" s="767">
        <v>3000</v>
      </c>
      <c r="B692" s="768" t="s">
        <v>111</v>
      </c>
      <c r="C692" s="976"/>
      <c r="D692" s="976"/>
      <c r="E692" s="977"/>
      <c r="F692" s="978"/>
      <c r="G692" s="978"/>
      <c r="H692" s="473"/>
      <c r="I692" s="977"/>
      <c r="J692" s="977"/>
      <c r="K692" s="978"/>
      <c r="L692" s="978"/>
      <c r="M692" s="473"/>
      <c r="N692" s="977"/>
      <c r="O692" s="977"/>
      <c r="P692" s="978"/>
      <c r="Q692" s="33"/>
      <c r="R692" s="36"/>
    </row>
    <row r="693" spans="1:18" ht="12" hidden="1" customHeight="1">
      <c r="A693" s="767">
        <v>6000</v>
      </c>
      <c r="B693" s="768" t="s">
        <v>112</v>
      </c>
      <c r="C693" s="973"/>
      <c r="D693" s="975"/>
      <c r="E693" s="472"/>
      <c r="F693" s="472"/>
      <c r="G693" s="472"/>
      <c r="H693" s="473"/>
      <c r="I693" s="474"/>
      <c r="J693" s="472"/>
      <c r="K693" s="472"/>
      <c r="L693" s="472"/>
      <c r="M693" s="473"/>
      <c r="N693" s="474"/>
      <c r="O693" s="472"/>
      <c r="P693" s="472"/>
      <c r="Q693" s="33"/>
      <c r="R693" s="36"/>
    </row>
    <row r="694" spans="1:18" ht="22.8" hidden="1" customHeight="1">
      <c r="A694" s="966" t="s">
        <v>113</v>
      </c>
      <c r="B694" s="1008" t="s">
        <v>183</v>
      </c>
      <c r="C694" s="973"/>
      <c r="D694" s="974"/>
      <c r="E694" s="474">
        <f t="shared" ref="E694" si="534">E695+E696</f>
        <v>0</v>
      </c>
      <c r="F694" s="474"/>
      <c r="G694" s="474"/>
      <c r="H694" s="473"/>
      <c r="I694" s="474"/>
      <c r="J694" s="474">
        <f t="shared" ref="J694" si="535">J695+J696</f>
        <v>0</v>
      </c>
      <c r="K694" s="474"/>
      <c r="L694" s="474"/>
      <c r="M694" s="473"/>
      <c r="N694" s="474"/>
      <c r="O694" s="474"/>
      <c r="P694" s="474"/>
      <c r="Q694" s="33"/>
      <c r="R694" s="36"/>
    </row>
    <row r="695" spans="1:18" ht="12" hidden="1" customHeight="1">
      <c r="A695" s="767">
        <v>7600</v>
      </c>
      <c r="B695" s="988" t="s">
        <v>184</v>
      </c>
      <c r="C695" s="973"/>
      <c r="D695" s="975"/>
      <c r="E695" s="472"/>
      <c r="F695" s="472"/>
      <c r="G695" s="472"/>
      <c r="H695" s="473"/>
      <c r="I695" s="474"/>
      <c r="J695" s="472"/>
      <c r="K695" s="472"/>
      <c r="L695" s="472"/>
      <c r="M695" s="473"/>
      <c r="N695" s="474"/>
      <c r="O695" s="472"/>
      <c r="P695" s="472"/>
      <c r="Q695" s="33"/>
      <c r="R695" s="36"/>
    </row>
    <row r="696" spans="1:18" ht="12" hidden="1" customHeight="1">
      <c r="A696" s="767">
        <v>7700</v>
      </c>
      <c r="B696" s="1009" t="s">
        <v>114</v>
      </c>
      <c r="C696" s="974"/>
      <c r="D696" s="974"/>
      <c r="E696" s="474"/>
      <c r="F696" s="472"/>
      <c r="G696" s="472"/>
      <c r="H696" s="473"/>
      <c r="I696" s="474"/>
      <c r="J696" s="474"/>
      <c r="K696" s="472"/>
      <c r="L696" s="472"/>
      <c r="M696" s="473"/>
      <c r="N696" s="474"/>
      <c r="O696" s="474"/>
      <c r="P696" s="472"/>
      <c r="Q696" s="33"/>
      <c r="R696" s="36"/>
    </row>
    <row r="697" spans="1:18" ht="20.399999999999999" hidden="1" customHeight="1">
      <c r="A697" s="966" t="s">
        <v>185</v>
      </c>
      <c r="B697" s="1008" t="s">
        <v>115</v>
      </c>
      <c r="C697" s="973"/>
      <c r="D697" s="974"/>
      <c r="E697" s="474">
        <f t="shared" ref="E697" si="536">E698+E704+E708+E711</f>
        <v>0</v>
      </c>
      <c r="F697" s="474"/>
      <c r="G697" s="474"/>
      <c r="H697" s="473"/>
      <c r="I697" s="474"/>
      <c r="J697" s="474">
        <f t="shared" ref="J697" si="537">J698+J704+J708+J711</f>
        <v>0</v>
      </c>
      <c r="K697" s="474"/>
      <c r="L697" s="474"/>
      <c r="M697" s="473"/>
      <c r="N697" s="474"/>
      <c r="O697" s="474"/>
      <c r="P697" s="474"/>
      <c r="Q697" s="33"/>
      <c r="R697" s="36"/>
    </row>
    <row r="698" spans="1:18" ht="12" hidden="1" customHeight="1">
      <c r="A698" s="767">
        <v>7100</v>
      </c>
      <c r="B698" s="988" t="s">
        <v>116</v>
      </c>
      <c r="C698" s="973"/>
      <c r="D698" s="974"/>
      <c r="E698" s="474">
        <f t="shared" ref="E698" si="538">E699+E700</f>
        <v>0</v>
      </c>
      <c r="F698" s="474"/>
      <c r="G698" s="474"/>
      <c r="H698" s="473"/>
      <c r="I698" s="474"/>
      <c r="J698" s="474">
        <f t="shared" ref="J698" si="539">J699+J700</f>
        <v>0</v>
      </c>
      <c r="K698" s="474"/>
      <c r="L698" s="474"/>
      <c r="M698" s="473"/>
      <c r="N698" s="474"/>
      <c r="O698" s="474"/>
      <c r="P698" s="474"/>
      <c r="Q698" s="33"/>
      <c r="R698" s="36"/>
    </row>
    <row r="699" spans="1:18" ht="24" hidden="1" customHeight="1">
      <c r="A699" s="989" t="s">
        <v>117</v>
      </c>
      <c r="B699" s="988" t="s">
        <v>118</v>
      </c>
      <c r="C699" s="973"/>
      <c r="D699" s="974"/>
      <c r="E699" s="474"/>
      <c r="F699" s="474"/>
      <c r="G699" s="474"/>
      <c r="H699" s="473"/>
      <c r="I699" s="474"/>
      <c r="J699" s="474"/>
      <c r="K699" s="474"/>
      <c r="L699" s="474"/>
      <c r="M699" s="473"/>
      <c r="N699" s="474"/>
      <c r="O699" s="474"/>
      <c r="P699" s="474"/>
      <c r="Q699" s="33"/>
      <c r="R699" s="36"/>
    </row>
    <row r="700" spans="1:18" ht="24" hidden="1" customHeight="1">
      <c r="A700" s="989">
        <v>7130</v>
      </c>
      <c r="B700" s="988" t="s">
        <v>119</v>
      </c>
      <c r="C700" s="973"/>
      <c r="D700" s="974"/>
      <c r="E700" s="474">
        <f t="shared" ref="E700" si="540">SUM(E701:E703)</f>
        <v>0</v>
      </c>
      <c r="F700" s="474"/>
      <c r="G700" s="474"/>
      <c r="H700" s="473"/>
      <c r="I700" s="474"/>
      <c r="J700" s="474">
        <f t="shared" ref="J700" si="541">SUM(J701:J703)</f>
        <v>0</v>
      </c>
      <c r="K700" s="474"/>
      <c r="L700" s="474"/>
      <c r="M700" s="473"/>
      <c r="N700" s="474"/>
      <c r="O700" s="474"/>
      <c r="P700" s="474"/>
      <c r="Q700" s="33"/>
      <c r="R700" s="36"/>
    </row>
    <row r="701" spans="1:18" ht="36" hidden="1" customHeight="1">
      <c r="A701" s="990">
        <v>7131</v>
      </c>
      <c r="B701" s="988" t="s">
        <v>120</v>
      </c>
      <c r="C701" s="973"/>
      <c r="D701" s="974"/>
      <c r="E701" s="474"/>
      <c r="F701" s="474"/>
      <c r="G701" s="474"/>
      <c r="H701" s="473"/>
      <c r="I701" s="474"/>
      <c r="J701" s="474"/>
      <c r="K701" s="474"/>
      <c r="L701" s="474"/>
      <c r="M701" s="473"/>
      <c r="N701" s="474"/>
      <c r="O701" s="474"/>
      <c r="P701" s="474"/>
      <c r="Q701" s="33"/>
      <c r="R701" s="36"/>
    </row>
    <row r="702" spans="1:18" ht="36" hidden="1" customHeight="1">
      <c r="A702" s="990">
        <v>7132</v>
      </c>
      <c r="B702" s="988" t="s">
        <v>121</v>
      </c>
      <c r="C702" s="973"/>
      <c r="D702" s="974"/>
      <c r="E702" s="474"/>
      <c r="F702" s="474"/>
      <c r="G702" s="474"/>
      <c r="H702" s="473"/>
      <c r="I702" s="474"/>
      <c r="J702" s="474"/>
      <c r="K702" s="474"/>
      <c r="L702" s="474"/>
      <c r="M702" s="473"/>
      <c r="N702" s="474"/>
      <c r="O702" s="474"/>
      <c r="P702" s="474"/>
      <c r="Q702" s="33"/>
      <c r="R702" s="36"/>
    </row>
    <row r="703" spans="1:18" ht="24" hidden="1" customHeight="1">
      <c r="A703" s="990" t="s">
        <v>186</v>
      </c>
      <c r="B703" s="988" t="s">
        <v>187</v>
      </c>
      <c r="C703" s="973"/>
      <c r="D703" s="974"/>
      <c r="E703" s="474"/>
      <c r="F703" s="474"/>
      <c r="G703" s="474"/>
      <c r="H703" s="473"/>
      <c r="I703" s="474"/>
      <c r="J703" s="474"/>
      <c r="K703" s="474"/>
      <c r="L703" s="474"/>
      <c r="M703" s="473"/>
      <c r="N703" s="474"/>
      <c r="O703" s="474"/>
      <c r="P703" s="474"/>
      <c r="Q703" s="33"/>
      <c r="R703" s="36"/>
    </row>
    <row r="704" spans="1:18" ht="24" hidden="1" customHeight="1">
      <c r="A704" s="767">
        <v>7300</v>
      </c>
      <c r="B704" s="991" t="s">
        <v>155</v>
      </c>
      <c r="C704" s="973"/>
      <c r="D704" s="974"/>
      <c r="E704" s="474">
        <f t="shared" ref="E704" si="542">SUM(E705:E707)</f>
        <v>0</v>
      </c>
      <c r="F704" s="474"/>
      <c r="G704" s="474"/>
      <c r="H704" s="473"/>
      <c r="I704" s="474"/>
      <c r="J704" s="474">
        <f t="shared" ref="J704" si="543">SUM(J705:J707)</f>
        <v>0</v>
      </c>
      <c r="K704" s="474"/>
      <c r="L704" s="474"/>
      <c r="M704" s="473"/>
      <c r="N704" s="474"/>
      <c r="O704" s="474"/>
      <c r="P704" s="474"/>
      <c r="Q704" s="33"/>
      <c r="R704" s="36"/>
    </row>
    <row r="705" spans="1:18" ht="24" hidden="1" customHeight="1">
      <c r="A705" s="989" t="s">
        <v>188</v>
      </c>
      <c r="B705" s="988" t="s">
        <v>170</v>
      </c>
      <c r="C705" s="983"/>
      <c r="D705" s="984"/>
      <c r="E705" s="985"/>
      <c r="F705" s="985"/>
      <c r="G705" s="985"/>
      <c r="H705" s="473"/>
      <c r="I705" s="985"/>
      <c r="J705" s="985"/>
      <c r="K705" s="985"/>
      <c r="L705" s="985"/>
      <c r="M705" s="473"/>
      <c r="N705" s="985"/>
      <c r="O705" s="985"/>
      <c r="P705" s="985"/>
      <c r="Q705" s="33"/>
      <c r="R705" s="36"/>
    </row>
    <row r="706" spans="1:18" ht="48" hidden="1" customHeight="1">
      <c r="A706" s="989" t="s">
        <v>189</v>
      </c>
      <c r="B706" s="988" t="s">
        <v>156</v>
      </c>
      <c r="C706" s="983"/>
      <c r="D706" s="984"/>
      <c r="E706" s="985"/>
      <c r="F706" s="985"/>
      <c r="G706" s="985"/>
      <c r="H706" s="473"/>
      <c r="I706" s="985"/>
      <c r="J706" s="985"/>
      <c r="K706" s="985"/>
      <c r="L706" s="985"/>
      <c r="M706" s="473"/>
      <c r="N706" s="985"/>
      <c r="O706" s="985"/>
      <c r="P706" s="985"/>
      <c r="Q706" s="33"/>
      <c r="R706" s="36"/>
    </row>
    <row r="707" spans="1:18" ht="36" hidden="1" customHeight="1">
      <c r="A707" s="989">
        <v>7350</v>
      </c>
      <c r="B707" s="988" t="s">
        <v>163</v>
      </c>
      <c r="C707" s="983"/>
      <c r="D707" s="984"/>
      <c r="E707" s="985"/>
      <c r="F707" s="985"/>
      <c r="G707" s="985"/>
      <c r="H707" s="473"/>
      <c r="I707" s="985"/>
      <c r="J707" s="985"/>
      <c r="K707" s="985"/>
      <c r="L707" s="985"/>
      <c r="M707" s="473"/>
      <c r="N707" s="985"/>
      <c r="O707" s="985"/>
      <c r="P707" s="985"/>
      <c r="Q707" s="33"/>
      <c r="R707" s="36"/>
    </row>
    <row r="708" spans="1:18" ht="24" hidden="1" customHeight="1">
      <c r="A708" s="767">
        <v>7400</v>
      </c>
      <c r="B708" s="991" t="s">
        <v>161</v>
      </c>
      <c r="C708" s="973"/>
      <c r="D708" s="974"/>
      <c r="E708" s="474">
        <f t="shared" ref="E708" si="544">SUM(E709:E710)</f>
        <v>0</v>
      </c>
      <c r="F708" s="474"/>
      <c r="G708" s="474"/>
      <c r="H708" s="473"/>
      <c r="I708" s="474"/>
      <c r="J708" s="474">
        <f t="shared" ref="J708" si="545">SUM(J709:J710)</f>
        <v>0</v>
      </c>
      <c r="K708" s="474"/>
      <c r="L708" s="474"/>
      <c r="M708" s="473"/>
      <c r="N708" s="474"/>
      <c r="O708" s="474"/>
      <c r="P708" s="474"/>
      <c r="Q708" s="33"/>
      <c r="R708" s="36"/>
    </row>
    <row r="709" spans="1:18" ht="24" hidden="1" customHeight="1">
      <c r="A709" s="989">
        <v>7460</v>
      </c>
      <c r="B709" s="991" t="s">
        <v>162</v>
      </c>
      <c r="C709" s="983"/>
      <c r="D709" s="984"/>
      <c r="E709" s="985"/>
      <c r="F709" s="985"/>
      <c r="G709" s="985"/>
      <c r="H709" s="473"/>
      <c r="I709" s="985"/>
      <c r="J709" s="985"/>
      <c r="K709" s="985"/>
      <c r="L709" s="985"/>
      <c r="M709" s="473"/>
      <c r="N709" s="985"/>
      <c r="O709" s="985"/>
      <c r="P709" s="985"/>
      <c r="Q709" s="33"/>
      <c r="R709" s="36"/>
    </row>
    <row r="710" spans="1:18" ht="36" hidden="1" customHeight="1">
      <c r="A710" s="989">
        <v>7470</v>
      </c>
      <c r="B710" s="988" t="s">
        <v>167</v>
      </c>
      <c r="C710" s="983"/>
      <c r="D710" s="984"/>
      <c r="E710" s="985"/>
      <c r="F710" s="985"/>
      <c r="G710" s="985"/>
      <c r="H710" s="473"/>
      <c r="I710" s="985"/>
      <c r="J710" s="985"/>
      <c r="K710" s="985"/>
      <c r="L710" s="985"/>
      <c r="M710" s="473"/>
      <c r="N710" s="985"/>
      <c r="O710" s="985"/>
      <c r="P710" s="985"/>
      <c r="Q710" s="33"/>
      <c r="R710" s="36"/>
    </row>
    <row r="711" spans="1:18" ht="24" hidden="1" customHeight="1">
      <c r="A711" s="767">
        <v>7500</v>
      </c>
      <c r="B711" s="988" t="s">
        <v>157</v>
      </c>
      <c r="C711" s="973"/>
      <c r="D711" s="974"/>
      <c r="E711" s="474"/>
      <c r="F711" s="474"/>
      <c r="G711" s="474"/>
      <c r="H711" s="473"/>
      <c r="I711" s="474"/>
      <c r="J711" s="474"/>
      <c r="K711" s="474"/>
      <c r="L711" s="474"/>
      <c r="M711" s="473"/>
      <c r="N711" s="474"/>
      <c r="O711" s="474"/>
      <c r="P711" s="474"/>
      <c r="Q711" s="33"/>
      <c r="R711" s="36"/>
    </row>
    <row r="712" spans="1:18" ht="12">
      <c r="A712" s="966" t="s">
        <v>133</v>
      </c>
      <c r="B712" s="1008" t="s">
        <v>122</v>
      </c>
      <c r="C712" s="969"/>
      <c r="D712" s="970"/>
      <c r="E712" s="474">
        <f t="shared" ref="E712" si="546">E713+E714</f>
        <v>14538</v>
      </c>
      <c r="F712" s="971"/>
      <c r="G712" s="971"/>
      <c r="H712" s="473"/>
      <c r="I712" s="971"/>
      <c r="J712" s="971">
        <f t="shared" ref="J712" si="547">J713+J714</f>
        <v>0</v>
      </c>
      <c r="K712" s="971"/>
      <c r="L712" s="971"/>
      <c r="M712" s="473"/>
      <c r="N712" s="971"/>
      <c r="O712" s="971"/>
      <c r="P712" s="971"/>
      <c r="Q712" s="33"/>
      <c r="R712" s="36"/>
    </row>
    <row r="713" spans="1:18" ht="12">
      <c r="A713" s="966">
        <v>5000</v>
      </c>
      <c r="B713" s="1008" t="s">
        <v>123</v>
      </c>
      <c r="C713" s="973"/>
      <c r="D713" s="974"/>
      <c r="E713" s="474">
        <v>14538</v>
      </c>
      <c r="F713" s="472"/>
      <c r="G713" s="472"/>
      <c r="H713" s="473"/>
      <c r="I713" s="474"/>
      <c r="J713" s="474">
        <v>0</v>
      </c>
      <c r="K713" s="472"/>
      <c r="L713" s="472"/>
      <c r="M713" s="473"/>
      <c r="N713" s="474"/>
      <c r="O713" s="474"/>
      <c r="P713" s="472"/>
      <c r="Q713" s="33"/>
      <c r="R713" s="36"/>
    </row>
    <row r="714" spans="1:18" ht="12" hidden="1" customHeight="1">
      <c r="A714" s="966">
        <v>9000</v>
      </c>
      <c r="B714" s="986" t="s">
        <v>164</v>
      </c>
      <c r="C714" s="973"/>
      <c r="D714" s="974"/>
      <c r="E714" s="474">
        <f t="shared" ref="E714" si="548">E715+E721+E725+E728</f>
        <v>0</v>
      </c>
      <c r="F714" s="474"/>
      <c r="G714" s="474"/>
      <c r="H714" s="473"/>
      <c r="I714" s="474"/>
      <c r="J714" s="474">
        <f t="shared" ref="J714" si="549">J715+J721+J725+J728</f>
        <v>0</v>
      </c>
      <c r="K714" s="474"/>
      <c r="L714" s="474"/>
      <c r="M714" s="473"/>
      <c r="N714" s="474"/>
      <c r="O714" s="474">
        <f t="shared" ref="O714" si="550">O715+O721+O725+O728</f>
        <v>0</v>
      </c>
      <c r="P714" s="474"/>
      <c r="Q714" s="33"/>
      <c r="R714" s="36"/>
    </row>
    <row r="715" spans="1:18" ht="12" hidden="1" customHeight="1">
      <c r="A715" s="987">
        <v>9100</v>
      </c>
      <c r="B715" s="988" t="s">
        <v>124</v>
      </c>
      <c r="C715" s="973"/>
      <c r="D715" s="974"/>
      <c r="E715" s="474">
        <f t="shared" ref="E715" si="551">SUM(E716:E717)</f>
        <v>0</v>
      </c>
      <c r="F715" s="474"/>
      <c r="G715" s="474"/>
      <c r="H715" s="473"/>
      <c r="I715" s="474"/>
      <c r="J715" s="474">
        <f t="shared" ref="J715" si="552">SUM(J716:J717)</f>
        <v>0</v>
      </c>
      <c r="K715" s="474"/>
      <c r="L715" s="474"/>
      <c r="M715" s="473"/>
      <c r="N715" s="474"/>
      <c r="O715" s="474">
        <f t="shared" ref="O715" si="553">SUM(O716:O717)</f>
        <v>0</v>
      </c>
      <c r="P715" s="474"/>
      <c r="Q715" s="33"/>
      <c r="R715" s="36"/>
    </row>
    <row r="716" spans="1:18" ht="24" hidden="1" customHeight="1">
      <c r="A716" s="989" t="s">
        <v>125</v>
      </c>
      <c r="B716" s="988" t="s">
        <v>214</v>
      </c>
      <c r="C716" s="973"/>
      <c r="D716" s="974"/>
      <c r="E716" s="474"/>
      <c r="F716" s="474"/>
      <c r="G716" s="474"/>
      <c r="H716" s="473"/>
      <c r="I716" s="474"/>
      <c r="J716" s="474"/>
      <c r="K716" s="474"/>
      <c r="L716" s="474"/>
      <c r="M716" s="473"/>
      <c r="N716" s="474"/>
      <c r="O716" s="474"/>
      <c r="P716" s="474"/>
      <c r="Q716" s="33"/>
      <c r="R716" s="36"/>
    </row>
    <row r="717" spans="1:18" ht="24" hidden="1" customHeight="1">
      <c r="A717" s="989">
        <v>9140</v>
      </c>
      <c r="B717" s="988" t="s">
        <v>215</v>
      </c>
      <c r="C717" s="973"/>
      <c r="D717" s="974"/>
      <c r="E717" s="474">
        <f t="shared" ref="E717" si="554">SUM(E718:E720)</f>
        <v>0</v>
      </c>
      <c r="F717" s="474"/>
      <c r="G717" s="474"/>
      <c r="H717" s="473"/>
      <c r="I717" s="474"/>
      <c r="J717" s="474">
        <f t="shared" ref="J717" si="555">SUM(J718:J720)</f>
        <v>0</v>
      </c>
      <c r="K717" s="474"/>
      <c r="L717" s="474"/>
      <c r="M717" s="473"/>
      <c r="N717" s="474"/>
      <c r="O717" s="474">
        <f t="shared" ref="O717" si="556">SUM(O718:O720)</f>
        <v>0</v>
      </c>
      <c r="P717" s="474"/>
      <c r="Q717" s="33"/>
      <c r="R717" s="36"/>
    </row>
    <row r="718" spans="1:18" ht="36" hidden="1" customHeight="1">
      <c r="A718" s="990">
        <v>9141</v>
      </c>
      <c r="B718" s="991" t="s">
        <v>190</v>
      </c>
      <c r="C718" s="983"/>
      <c r="D718" s="984"/>
      <c r="E718" s="985"/>
      <c r="F718" s="985"/>
      <c r="G718" s="985"/>
      <c r="H718" s="473"/>
      <c r="I718" s="985"/>
      <c r="J718" s="985"/>
      <c r="K718" s="985"/>
      <c r="L718" s="985"/>
      <c r="M718" s="473"/>
      <c r="N718" s="985"/>
      <c r="O718" s="985"/>
      <c r="P718" s="985"/>
      <c r="Q718" s="33"/>
      <c r="R718" s="36"/>
    </row>
    <row r="719" spans="1:18" ht="36" hidden="1" customHeight="1">
      <c r="A719" s="990">
        <v>9142</v>
      </c>
      <c r="B719" s="991" t="s">
        <v>191</v>
      </c>
      <c r="C719" s="983"/>
      <c r="D719" s="984"/>
      <c r="E719" s="985"/>
      <c r="F719" s="985"/>
      <c r="G719" s="985"/>
      <c r="H719" s="473"/>
      <c r="I719" s="985"/>
      <c r="J719" s="985"/>
      <c r="K719" s="985"/>
      <c r="L719" s="985"/>
      <c r="M719" s="473"/>
      <c r="N719" s="985"/>
      <c r="O719" s="985"/>
      <c r="P719" s="985"/>
      <c r="Q719" s="33"/>
      <c r="R719" s="36"/>
    </row>
    <row r="720" spans="1:18" ht="24" hidden="1" customHeight="1">
      <c r="A720" s="990">
        <v>9149</v>
      </c>
      <c r="B720" s="991" t="s">
        <v>192</v>
      </c>
      <c r="C720" s="983"/>
      <c r="D720" s="984"/>
      <c r="E720" s="985"/>
      <c r="F720" s="985"/>
      <c r="G720" s="985"/>
      <c r="H720" s="473"/>
      <c r="I720" s="985"/>
      <c r="J720" s="985"/>
      <c r="K720" s="985"/>
      <c r="L720" s="985"/>
      <c r="M720" s="473"/>
      <c r="N720" s="985"/>
      <c r="O720" s="985"/>
      <c r="P720" s="985"/>
      <c r="Q720" s="33"/>
      <c r="R720" s="36"/>
    </row>
    <row r="721" spans="1:18" ht="24" hidden="1" customHeight="1">
      <c r="A721" s="987">
        <v>9500</v>
      </c>
      <c r="B721" s="991" t="s">
        <v>165</v>
      </c>
      <c r="C721" s="973"/>
      <c r="D721" s="974"/>
      <c r="E721" s="474">
        <f t="shared" ref="E721" si="557">SUM(E722:E724)</f>
        <v>0</v>
      </c>
      <c r="F721" s="474"/>
      <c r="G721" s="474"/>
      <c r="H721" s="473"/>
      <c r="I721" s="474"/>
      <c r="J721" s="474">
        <f t="shared" ref="J721" si="558">SUM(J722:J724)</f>
        <v>0</v>
      </c>
      <c r="K721" s="474"/>
      <c r="L721" s="474"/>
      <c r="M721" s="473"/>
      <c r="N721" s="474"/>
      <c r="O721" s="474">
        <f t="shared" ref="O721" si="559">SUM(O722:O724)</f>
        <v>0</v>
      </c>
      <c r="P721" s="474"/>
      <c r="Q721" s="33"/>
      <c r="R721" s="36"/>
    </row>
    <row r="722" spans="1:18" ht="24" hidden="1" customHeight="1">
      <c r="A722" s="989" t="s">
        <v>193</v>
      </c>
      <c r="B722" s="991" t="s">
        <v>171</v>
      </c>
      <c r="C722" s="973"/>
      <c r="D722" s="974"/>
      <c r="E722" s="474"/>
      <c r="F722" s="474"/>
      <c r="G722" s="474"/>
      <c r="H722" s="473"/>
      <c r="I722" s="474"/>
      <c r="J722" s="474"/>
      <c r="K722" s="474"/>
      <c r="L722" s="474"/>
      <c r="M722" s="473"/>
      <c r="N722" s="474"/>
      <c r="O722" s="474"/>
      <c r="P722" s="474"/>
      <c r="Q722" s="33"/>
      <c r="R722" s="36"/>
    </row>
    <row r="723" spans="1:18" ht="48" hidden="1" customHeight="1">
      <c r="A723" s="989">
        <v>9580</v>
      </c>
      <c r="B723" s="991" t="s">
        <v>166</v>
      </c>
      <c r="C723" s="983"/>
      <c r="D723" s="984"/>
      <c r="E723" s="985"/>
      <c r="F723" s="985"/>
      <c r="G723" s="985"/>
      <c r="H723" s="473"/>
      <c r="I723" s="985"/>
      <c r="J723" s="985"/>
      <c r="K723" s="985"/>
      <c r="L723" s="985"/>
      <c r="M723" s="473"/>
      <c r="N723" s="985"/>
      <c r="O723" s="985"/>
      <c r="P723" s="985"/>
      <c r="Q723" s="33"/>
      <c r="R723" s="36"/>
    </row>
    <row r="724" spans="1:18" ht="36" hidden="1" customHeight="1">
      <c r="A724" s="989">
        <v>9590</v>
      </c>
      <c r="B724" s="988" t="s">
        <v>172</v>
      </c>
      <c r="C724" s="983"/>
      <c r="D724" s="984"/>
      <c r="E724" s="985"/>
      <c r="F724" s="985"/>
      <c r="G724" s="985"/>
      <c r="H724" s="473"/>
      <c r="I724" s="985"/>
      <c r="J724" s="985"/>
      <c r="K724" s="985"/>
      <c r="L724" s="985"/>
      <c r="M724" s="473"/>
      <c r="N724" s="985"/>
      <c r="O724" s="985"/>
      <c r="P724" s="985"/>
      <c r="Q724" s="33"/>
      <c r="R724" s="36"/>
    </row>
    <row r="725" spans="1:18" ht="24" hidden="1" customHeight="1">
      <c r="A725" s="987">
        <v>9700</v>
      </c>
      <c r="B725" s="992" t="s">
        <v>194</v>
      </c>
      <c r="C725" s="973"/>
      <c r="D725" s="974"/>
      <c r="E725" s="474">
        <f t="shared" ref="E725" si="560">SUM(E726:E727)</f>
        <v>0</v>
      </c>
      <c r="F725" s="474"/>
      <c r="G725" s="474"/>
      <c r="H725" s="473"/>
      <c r="I725" s="474"/>
      <c r="J725" s="474">
        <f t="shared" ref="J725" si="561">SUM(J726:J727)</f>
        <v>0</v>
      </c>
      <c r="K725" s="474"/>
      <c r="L725" s="474"/>
      <c r="M725" s="473"/>
      <c r="N725" s="474"/>
      <c r="O725" s="474">
        <f t="shared" ref="O725" si="562">SUM(O726:O727)</f>
        <v>0</v>
      </c>
      <c r="P725" s="474"/>
      <c r="Q725" s="33"/>
      <c r="R725" s="36"/>
    </row>
    <row r="726" spans="1:18" ht="24" hidden="1" customHeight="1">
      <c r="A726" s="989">
        <v>9710</v>
      </c>
      <c r="B726" s="993" t="s">
        <v>195</v>
      </c>
      <c r="C726" s="983"/>
      <c r="D726" s="984"/>
      <c r="E726" s="985"/>
      <c r="F726" s="985"/>
      <c r="G726" s="985"/>
      <c r="H726" s="473"/>
      <c r="I726" s="985"/>
      <c r="J726" s="985"/>
      <c r="K726" s="985"/>
      <c r="L726" s="985"/>
      <c r="M726" s="473"/>
      <c r="N726" s="985"/>
      <c r="O726" s="985"/>
      <c r="P726" s="985"/>
      <c r="Q726" s="33"/>
      <c r="R726" s="36"/>
    </row>
    <row r="727" spans="1:18" ht="36" hidden="1" customHeight="1">
      <c r="A727" s="994">
        <v>9720</v>
      </c>
      <c r="B727" s="992" t="s">
        <v>196</v>
      </c>
      <c r="C727" s="983"/>
      <c r="D727" s="984"/>
      <c r="E727" s="985"/>
      <c r="F727" s="985"/>
      <c r="G727" s="985"/>
      <c r="H727" s="473"/>
      <c r="I727" s="985"/>
      <c r="J727" s="985"/>
      <c r="K727" s="985"/>
      <c r="L727" s="985"/>
      <c r="M727" s="473"/>
      <c r="N727" s="985"/>
      <c r="O727" s="985"/>
      <c r="P727" s="985"/>
      <c r="Q727" s="33"/>
      <c r="R727" s="36"/>
    </row>
    <row r="728" spans="1:18" ht="24" hidden="1" customHeight="1">
      <c r="A728" s="987">
        <v>9600</v>
      </c>
      <c r="B728" s="988" t="s">
        <v>134</v>
      </c>
      <c r="C728" s="983"/>
      <c r="D728" s="984"/>
      <c r="E728" s="985">
        <v>0</v>
      </c>
      <c r="F728" s="985"/>
      <c r="G728" s="985"/>
      <c r="H728" s="473"/>
      <c r="I728" s="985"/>
      <c r="J728" s="985"/>
      <c r="K728" s="985"/>
      <c r="L728" s="985"/>
      <c r="M728" s="473"/>
      <c r="N728" s="985"/>
      <c r="O728" s="985"/>
      <c r="P728" s="985"/>
      <c r="Q728" s="33"/>
      <c r="R728" s="36"/>
    </row>
    <row r="729" spans="1:18" ht="30.6" hidden="1" customHeight="1">
      <c r="A729" s="965" t="s">
        <v>197</v>
      </c>
      <c r="B729" s="995" t="s">
        <v>47</v>
      </c>
      <c r="C729" s="996"/>
      <c r="D729" s="997"/>
      <c r="E729" s="998">
        <v>0</v>
      </c>
      <c r="F729" s="998"/>
      <c r="G729" s="998"/>
      <c r="H729" s="473"/>
      <c r="I729" s="998"/>
      <c r="J729" s="998"/>
      <c r="K729" s="998"/>
      <c r="L729" s="998"/>
      <c r="M729" s="473"/>
      <c r="N729" s="998"/>
      <c r="O729" s="998">
        <v>0</v>
      </c>
      <c r="P729" s="998"/>
      <c r="Q729" s="33"/>
      <c r="R729" s="36"/>
    </row>
    <row r="730" spans="1:18" ht="12" hidden="1" customHeight="1">
      <c r="A730" s="999" t="s">
        <v>48</v>
      </c>
      <c r="B730" s="995" t="s">
        <v>49</v>
      </c>
      <c r="C730" s="996"/>
      <c r="D730" s="997"/>
      <c r="E730" s="998">
        <f t="shared" ref="E730" si="563">E731+E734+E738+E737</f>
        <v>0</v>
      </c>
      <c r="F730" s="998"/>
      <c r="G730" s="998"/>
      <c r="H730" s="473"/>
      <c r="I730" s="998"/>
      <c r="J730" s="998">
        <f t="shared" ref="J730" si="564">J731+J734+J738+J737</f>
        <v>0</v>
      </c>
      <c r="K730" s="998"/>
      <c r="L730" s="998"/>
      <c r="M730" s="473"/>
      <c r="N730" s="998"/>
      <c r="O730" s="998">
        <f t="shared" ref="O730" si="565">O731+O734+O738+O737</f>
        <v>0</v>
      </c>
      <c r="P730" s="998"/>
      <c r="Q730" s="33"/>
      <c r="R730" s="36"/>
    </row>
    <row r="731" spans="1:18" ht="12" hidden="1" customHeight="1">
      <c r="A731" s="987" t="s">
        <v>50</v>
      </c>
      <c r="B731" s="988" t="s">
        <v>51</v>
      </c>
      <c r="C731" s="1000"/>
      <c r="D731" s="1001"/>
      <c r="E731" s="1002">
        <f t="shared" ref="E731" si="566">E732+E733</f>
        <v>0</v>
      </c>
      <c r="F731" s="1002"/>
      <c r="G731" s="1002"/>
      <c r="H731" s="473"/>
      <c r="I731" s="1002"/>
      <c r="J731" s="1002">
        <f t="shared" ref="J731" si="567">J732+J733</f>
        <v>0</v>
      </c>
      <c r="K731" s="1002"/>
      <c r="L731" s="1002"/>
      <c r="M731" s="473"/>
      <c r="N731" s="1002"/>
      <c r="O731" s="1002">
        <f t="shared" ref="O731" si="568">O732+O733</f>
        <v>0</v>
      </c>
      <c r="P731" s="1002"/>
      <c r="Q731" s="33"/>
      <c r="R731" s="36"/>
    </row>
    <row r="732" spans="1:18" ht="12" hidden="1" customHeight="1">
      <c r="A732" s="987" t="s">
        <v>52</v>
      </c>
      <c r="B732" s="988" t="s">
        <v>53</v>
      </c>
      <c r="C732" s="1000"/>
      <c r="D732" s="1001"/>
      <c r="E732" s="1002"/>
      <c r="F732" s="1002"/>
      <c r="G732" s="1002"/>
      <c r="H732" s="473"/>
      <c r="I732" s="1002"/>
      <c r="J732" s="1002"/>
      <c r="K732" s="1002"/>
      <c r="L732" s="1002"/>
      <c r="M732" s="473"/>
      <c r="N732" s="1002"/>
      <c r="O732" s="1002"/>
      <c r="P732" s="1002"/>
      <c r="Q732" s="33"/>
      <c r="R732" s="36"/>
    </row>
    <row r="733" spans="1:18" ht="12" hidden="1" customHeight="1">
      <c r="A733" s="987" t="s">
        <v>54</v>
      </c>
      <c r="B733" s="988" t="s">
        <v>55</v>
      </c>
      <c r="C733" s="1000"/>
      <c r="D733" s="1001"/>
      <c r="E733" s="1002"/>
      <c r="F733" s="1002"/>
      <c r="G733" s="1002"/>
      <c r="H733" s="473"/>
      <c r="I733" s="1002"/>
      <c r="J733" s="1002"/>
      <c r="K733" s="1002"/>
      <c r="L733" s="1002"/>
      <c r="M733" s="473"/>
      <c r="N733" s="1002"/>
      <c r="O733" s="1002"/>
      <c r="P733" s="1002"/>
      <c r="Q733" s="33"/>
      <c r="R733" s="36"/>
    </row>
    <row r="734" spans="1:18" ht="12" hidden="1" customHeight="1">
      <c r="A734" s="987" t="s">
        <v>56</v>
      </c>
      <c r="B734" s="988" t="s">
        <v>57</v>
      </c>
      <c r="C734" s="1000"/>
      <c r="D734" s="1001"/>
      <c r="E734" s="1002">
        <f t="shared" ref="E734" si="569">E735+E736</f>
        <v>0</v>
      </c>
      <c r="F734" s="1002"/>
      <c r="G734" s="1002"/>
      <c r="H734" s="473"/>
      <c r="I734" s="1002"/>
      <c r="J734" s="1002">
        <f t="shared" ref="J734" si="570">J735+J736</f>
        <v>0</v>
      </c>
      <c r="K734" s="1002"/>
      <c r="L734" s="1002"/>
      <c r="M734" s="473"/>
      <c r="N734" s="1002"/>
      <c r="O734" s="1002">
        <f t="shared" ref="O734" si="571">O735+O736</f>
        <v>0</v>
      </c>
      <c r="P734" s="1002"/>
      <c r="Q734" s="33"/>
      <c r="R734" s="36"/>
    </row>
    <row r="735" spans="1:18" ht="12" hidden="1" customHeight="1">
      <c r="A735" s="987" t="s">
        <v>58</v>
      </c>
      <c r="B735" s="988" t="s">
        <v>59</v>
      </c>
      <c r="C735" s="1000"/>
      <c r="D735" s="1001"/>
      <c r="E735" s="1002"/>
      <c r="F735" s="1002"/>
      <c r="G735" s="1002"/>
      <c r="H735" s="473"/>
      <c r="I735" s="1002"/>
      <c r="J735" s="1002"/>
      <c r="K735" s="1002"/>
      <c r="L735" s="1002"/>
      <c r="M735" s="473"/>
      <c r="N735" s="1002"/>
      <c r="O735" s="1002"/>
      <c r="P735" s="1002"/>
      <c r="Q735" s="33"/>
      <c r="R735" s="36"/>
    </row>
    <row r="736" spans="1:18" ht="12" hidden="1" customHeight="1">
      <c r="A736" s="987" t="s">
        <v>60</v>
      </c>
      <c r="B736" s="988" t="s">
        <v>61</v>
      </c>
      <c r="C736" s="1000"/>
      <c r="D736" s="1001"/>
      <c r="E736" s="1002"/>
      <c r="F736" s="1002"/>
      <c r="G736" s="1002"/>
      <c r="H736" s="473"/>
      <c r="I736" s="1002"/>
      <c r="J736" s="1002"/>
      <c r="K736" s="1002"/>
      <c r="L736" s="1002"/>
      <c r="M736" s="473"/>
      <c r="N736" s="1002"/>
      <c r="O736" s="1002"/>
      <c r="P736" s="1002"/>
      <c r="Q736" s="33"/>
      <c r="R736" s="36"/>
    </row>
    <row r="737" spans="1:18" ht="12" hidden="1" customHeight="1">
      <c r="A737" s="987" t="s">
        <v>198</v>
      </c>
      <c r="B737" s="1003" t="s">
        <v>168</v>
      </c>
      <c r="C737" s="1000"/>
      <c r="D737" s="1001"/>
      <c r="E737" s="1002"/>
      <c r="F737" s="1002"/>
      <c r="G737" s="1002"/>
      <c r="H737" s="473"/>
      <c r="I737" s="1002"/>
      <c r="J737" s="1002"/>
      <c r="K737" s="1002"/>
      <c r="L737" s="1002"/>
      <c r="M737" s="473"/>
      <c r="N737" s="1002"/>
      <c r="O737" s="1002"/>
      <c r="P737" s="1002"/>
      <c r="Q737" s="33"/>
      <c r="R737" s="36"/>
    </row>
    <row r="738" spans="1:18" ht="12" hidden="1" customHeight="1">
      <c r="A738" s="1004" t="s">
        <v>62</v>
      </c>
      <c r="B738" s="768" t="s">
        <v>63</v>
      </c>
      <c r="C738" s="973"/>
      <c r="D738" s="974"/>
      <c r="E738" s="474">
        <v>0</v>
      </c>
      <c r="F738" s="474"/>
      <c r="G738" s="474"/>
      <c r="H738" s="473"/>
      <c r="I738" s="474"/>
      <c r="J738" s="474"/>
      <c r="K738" s="474"/>
      <c r="L738" s="474"/>
      <c r="M738" s="473"/>
      <c r="N738" s="474"/>
      <c r="O738" s="474"/>
      <c r="P738" s="474"/>
      <c r="Q738" s="33"/>
      <c r="R738" s="36"/>
    </row>
    <row r="739" spans="1:18" ht="36" hidden="1" customHeight="1">
      <c r="A739" s="1004" t="s">
        <v>64</v>
      </c>
      <c r="B739" s="988" t="s">
        <v>65</v>
      </c>
      <c r="C739" s="1000"/>
      <c r="D739" s="1001"/>
      <c r="E739" s="1002"/>
      <c r="F739" s="1002"/>
      <c r="G739" s="1002"/>
      <c r="H739" s="473"/>
      <c r="I739" s="1002"/>
      <c r="J739" s="1002"/>
      <c r="K739" s="1002"/>
      <c r="L739" s="1002"/>
      <c r="M739" s="473"/>
      <c r="N739" s="1002"/>
      <c r="O739" s="1002"/>
      <c r="P739" s="1002"/>
      <c r="Q739" s="33"/>
      <c r="R739" s="36"/>
    </row>
    <row r="740" spans="1:18" ht="24" hidden="1" customHeight="1">
      <c r="A740" s="1004" t="s">
        <v>66</v>
      </c>
      <c r="B740" s="988" t="s">
        <v>67</v>
      </c>
      <c r="C740" s="1000"/>
      <c r="D740" s="1001"/>
      <c r="E740" s="1002"/>
      <c r="F740" s="1002"/>
      <c r="G740" s="1002"/>
      <c r="H740" s="473"/>
      <c r="I740" s="1002"/>
      <c r="J740" s="1002"/>
      <c r="K740" s="1002"/>
      <c r="L740" s="1002"/>
      <c r="M740" s="473"/>
      <c r="N740" s="1002"/>
      <c r="O740" s="1002"/>
      <c r="P740" s="1002"/>
      <c r="Q740" s="33"/>
      <c r="R740" s="36"/>
    </row>
    <row r="741" spans="1:18" ht="184.8" hidden="1">
      <c r="A741" s="888" t="s">
        <v>255</v>
      </c>
      <c r="B741" s="1070" t="s">
        <v>1064</v>
      </c>
      <c r="C741" s="469"/>
      <c r="D741" s="470"/>
      <c r="E741" s="1006">
        <v>0</v>
      </c>
      <c r="F741" s="1007"/>
      <c r="G741" s="1007"/>
      <c r="H741" s="1007"/>
      <c r="I741" s="1007"/>
      <c r="J741" s="1006">
        <v>0</v>
      </c>
      <c r="K741" s="1074"/>
      <c r="L741" s="1007"/>
      <c r="M741" s="1007"/>
      <c r="N741" s="1007"/>
      <c r="O741" s="1006">
        <v>0</v>
      </c>
      <c r="P741" s="470"/>
      <c r="Q741" s="33"/>
      <c r="R741" s="36"/>
    </row>
    <row r="742" spans="1:18" ht="12" hidden="1">
      <c r="A742" s="1072" t="s">
        <v>100</v>
      </c>
      <c r="B742" s="1073" t="s">
        <v>101</v>
      </c>
      <c r="C742" s="969"/>
      <c r="D742" s="970"/>
      <c r="E742" s="474">
        <f t="shared" ref="E742" si="572">E743+E770</f>
        <v>0</v>
      </c>
      <c r="F742" s="474"/>
      <c r="G742" s="474"/>
      <c r="H742" s="473"/>
      <c r="I742" s="474"/>
      <c r="J742" s="474">
        <f t="shared" ref="J742" si="573">J743+J770</f>
        <v>0</v>
      </c>
      <c r="K742" s="474"/>
      <c r="L742" s="474"/>
      <c r="M742" s="473"/>
      <c r="N742" s="474"/>
      <c r="O742" s="474">
        <f t="shared" ref="O742" si="574">O743+O770</f>
        <v>0</v>
      </c>
      <c r="P742" s="971"/>
      <c r="Q742" s="33"/>
      <c r="R742" s="36"/>
    </row>
    <row r="743" spans="1:18" ht="20.399999999999999" hidden="1">
      <c r="A743" s="965" t="s">
        <v>102</v>
      </c>
      <c r="B743" s="1008" t="s">
        <v>103</v>
      </c>
      <c r="C743" s="973"/>
      <c r="D743" s="974"/>
      <c r="E743" s="474">
        <f t="shared" ref="E743" si="575">E744+E748+E749+E752+E755</f>
        <v>0</v>
      </c>
      <c r="F743" s="474"/>
      <c r="G743" s="474"/>
      <c r="H743" s="473"/>
      <c r="I743" s="474"/>
      <c r="J743" s="474">
        <f t="shared" ref="J743" si="576">J744+J748+J749+J752+J755</f>
        <v>0</v>
      </c>
      <c r="K743" s="474"/>
      <c r="L743" s="474"/>
      <c r="M743" s="473"/>
      <c r="N743" s="474"/>
      <c r="O743" s="474">
        <f t="shared" ref="O743" si="577">O744+O748+O749+O752+O755</f>
        <v>0</v>
      </c>
      <c r="P743" s="474"/>
      <c r="Q743" s="33"/>
      <c r="R743" s="36"/>
    </row>
    <row r="744" spans="1:18" ht="12" hidden="1">
      <c r="A744" s="965" t="s">
        <v>104</v>
      </c>
      <c r="B744" s="1008" t="s">
        <v>105</v>
      </c>
      <c r="C744" s="973"/>
      <c r="D744" s="974"/>
      <c r="E744" s="474">
        <f t="shared" ref="E744" si="578">E745+E747</f>
        <v>0</v>
      </c>
      <c r="F744" s="474"/>
      <c r="G744" s="474"/>
      <c r="H744" s="473"/>
      <c r="I744" s="474"/>
      <c r="J744" s="474">
        <f t="shared" ref="J744" si="579">J745+J747</f>
        <v>0</v>
      </c>
      <c r="K744" s="474"/>
      <c r="L744" s="474"/>
      <c r="M744" s="473"/>
      <c r="N744" s="474"/>
      <c r="O744" s="474">
        <f t="shared" ref="O744" si="580">O745+O747</f>
        <v>0</v>
      </c>
      <c r="P744" s="474"/>
      <c r="Q744" s="33"/>
      <c r="R744" s="36"/>
    </row>
    <row r="745" spans="1:18" ht="12" hidden="1">
      <c r="A745" s="767">
        <v>1000</v>
      </c>
      <c r="B745" s="768" t="s">
        <v>106</v>
      </c>
      <c r="C745" s="973"/>
      <c r="D745" s="974"/>
      <c r="E745" s="474">
        <v>0</v>
      </c>
      <c r="F745" s="472"/>
      <c r="G745" s="472"/>
      <c r="H745" s="473"/>
      <c r="I745" s="474"/>
      <c r="J745" s="474">
        <v>0</v>
      </c>
      <c r="K745" s="472"/>
      <c r="L745" s="472"/>
      <c r="M745" s="473"/>
      <c r="N745" s="474"/>
      <c r="O745" s="474">
        <v>0</v>
      </c>
      <c r="P745" s="472"/>
      <c r="Q745" s="33"/>
      <c r="R745" s="36"/>
    </row>
    <row r="746" spans="1:18" ht="12" hidden="1">
      <c r="A746" s="891">
        <v>1100</v>
      </c>
      <c r="B746" s="768" t="s">
        <v>107</v>
      </c>
      <c r="C746" s="973"/>
      <c r="D746" s="974"/>
      <c r="E746" s="474">
        <v>0</v>
      </c>
      <c r="F746" s="472"/>
      <c r="G746" s="472"/>
      <c r="H746" s="473"/>
      <c r="I746" s="474"/>
      <c r="J746" s="474">
        <v>0</v>
      </c>
      <c r="K746" s="472"/>
      <c r="L746" s="472"/>
      <c r="M746" s="473"/>
      <c r="N746" s="474"/>
      <c r="O746" s="474">
        <v>0</v>
      </c>
      <c r="P746" s="472"/>
    </row>
    <row r="747" spans="1:18" ht="12" hidden="1">
      <c r="A747" s="767">
        <v>2000</v>
      </c>
      <c r="B747" s="768" t="s">
        <v>108</v>
      </c>
      <c r="C747" s="973"/>
      <c r="D747" s="974"/>
      <c r="E747" s="474">
        <v>0</v>
      </c>
      <c r="F747" s="472"/>
      <c r="G747" s="472"/>
      <c r="H747" s="473"/>
      <c r="I747" s="474"/>
      <c r="J747" s="474">
        <v>0</v>
      </c>
      <c r="K747" s="472"/>
      <c r="L747" s="472"/>
      <c r="M747" s="473"/>
      <c r="N747" s="474"/>
      <c r="O747" s="474">
        <v>0</v>
      </c>
      <c r="P747" s="472"/>
    </row>
    <row r="748" spans="1:18" ht="12" hidden="1">
      <c r="A748" s="966">
        <v>4000</v>
      </c>
      <c r="B748" s="1008" t="s">
        <v>132</v>
      </c>
      <c r="C748" s="973"/>
      <c r="D748" s="975"/>
      <c r="E748" s="472"/>
      <c r="F748" s="472"/>
      <c r="G748" s="472"/>
      <c r="H748" s="473"/>
      <c r="I748" s="474"/>
      <c r="J748" s="472"/>
      <c r="K748" s="472"/>
      <c r="L748" s="472"/>
      <c r="M748" s="473"/>
      <c r="N748" s="474"/>
      <c r="O748" s="472"/>
      <c r="P748" s="472"/>
    </row>
    <row r="749" spans="1:18" ht="12" hidden="1">
      <c r="A749" s="966" t="s">
        <v>109</v>
      </c>
      <c r="B749" s="1008" t="s">
        <v>110</v>
      </c>
      <c r="C749" s="973"/>
      <c r="D749" s="974"/>
      <c r="E749" s="474">
        <f t="shared" ref="E749" si="581">E750+E751</f>
        <v>0</v>
      </c>
      <c r="F749" s="474"/>
      <c r="G749" s="474"/>
      <c r="H749" s="473"/>
      <c r="I749" s="474"/>
      <c r="J749" s="474">
        <f t="shared" ref="J749" si="582">J750+J751</f>
        <v>0</v>
      </c>
      <c r="K749" s="474"/>
      <c r="L749" s="474"/>
      <c r="M749" s="473"/>
      <c r="N749" s="474"/>
      <c r="O749" s="474">
        <f t="shared" ref="O749" si="583">O750+O751</f>
        <v>0</v>
      </c>
      <c r="P749" s="474"/>
    </row>
    <row r="750" spans="1:18" ht="12" hidden="1">
      <c r="A750" s="767">
        <v>3000</v>
      </c>
      <c r="B750" s="768" t="s">
        <v>111</v>
      </c>
      <c r="C750" s="976"/>
      <c r="D750" s="976"/>
      <c r="E750" s="977">
        <v>0</v>
      </c>
      <c r="F750" s="978"/>
      <c r="G750" s="978"/>
      <c r="H750" s="473"/>
      <c r="I750" s="977"/>
      <c r="J750" s="977"/>
      <c r="K750" s="978"/>
      <c r="L750" s="978"/>
      <c r="M750" s="473"/>
      <c r="N750" s="977"/>
      <c r="O750" s="977"/>
      <c r="P750" s="978"/>
    </row>
    <row r="751" spans="1:18" ht="12" hidden="1">
      <c r="A751" s="767">
        <v>6000</v>
      </c>
      <c r="B751" s="768" t="s">
        <v>112</v>
      </c>
      <c r="C751" s="973"/>
      <c r="D751" s="975"/>
      <c r="E751" s="472"/>
      <c r="F751" s="472"/>
      <c r="G751" s="472"/>
      <c r="H751" s="473"/>
      <c r="I751" s="474"/>
      <c r="J751" s="472"/>
      <c r="K751" s="472"/>
      <c r="L751" s="472"/>
      <c r="M751" s="473"/>
      <c r="N751" s="474"/>
      <c r="O751" s="472"/>
      <c r="P751" s="472"/>
    </row>
    <row r="752" spans="1:18" ht="22.8" hidden="1">
      <c r="A752" s="966" t="s">
        <v>113</v>
      </c>
      <c r="B752" s="1008" t="s">
        <v>183</v>
      </c>
      <c r="C752" s="973"/>
      <c r="D752" s="974"/>
      <c r="E752" s="474">
        <f t="shared" ref="E752" si="584">E753+E754</f>
        <v>0</v>
      </c>
      <c r="F752" s="474"/>
      <c r="G752" s="474"/>
      <c r="H752" s="473"/>
      <c r="I752" s="474"/>
      <c r="J752" s="474">
        <f t="shared" ref="J752" si="585">J753+J754</f>
        <v>0</v>
      </c>
      <c r="K752" s="474"/>
      <c r="L752" s="474"/>
      <c r="M752" s="473"/>
      <c r="N752" s="474"/>
      <c r="O752" s="474">
        <f t="shared" ref="O752" si="586">O753+O754</f>
        <v>0</v>
      </c>
      <c r="P752" s="474"/>
    </row>
    <row r="753" spans="1:18" ht="12" hidden="1">
      <c r="A753" s="767">
        <v>7600</v>
      </c>
      <c r="B753" s="988" t="s">
        <v>184</v>
      </c>
      <c r="C753" s="973"/>
      <c r="D753" s="975"/>
      <c r="E753" s="472"/>
      <c r="F753" s="472"/>
      <c r="G753" s="472"/>
      <c r="H753" s="473"/>
      <c r="I753" s="474"/>
      <c r="J753" s="472"/>
      <c r="K753" s="472"/>
      <c r="L753" s="472"/>
      <c r="M753" s="473"/>
      <c r="N753" s="474"/>
      <c r="O753" s="472"/>
      <c r="P753" s="472"/>
      <c r="Q753" s="219"/>
      <c r="R753" s="219"/>
    </row>
    <row r="754" spans="1:18" ht="12" hidden="1">
      <c r="A754" s="767">
        <v>7700</v>
      </c>
      <c r="B754" s="1009" t="s">
        <v>114</v>
      </c>
      <c r="C754" s="974"/>
      <c r="D754" s="974"/>
      <c r="E754" s="474">
        <v>0</v>
      </c>
      <c r="F754" s="472"/>
      <c r="G754" s="472"/>
      <c r="H754" s="473"/>
      <c r="I754" s="474"/>
      <c r="J754" s="474">
        <v>0</v>
      </c>
      <c r="K754" s="472"/>
      <c r="L754" s="472"/>
      <c r="M754" s="473"/>
      <c r="N754" s="474"/>
      <c r="O754" s="474">
        <v>0</v>
      </c>
      <c r="P754" s="472"/>
      <c r="Q754" s="219"/>
      <c r="R754" s="219"/>
    </row>
    <row r="755" spans="1:18" ht="20.399999999999999" hidden="1">
      <c r="A755" s="966" t="s">
        <v>185</v>
      </c>
      <c r="B755" s="1008" t="s">
        <v>115</v>
      </c>
      <c r="C755" s="973"/>
      <c r="D755" s="974"/>
      <c r="E755" s="474">
        <f t="shared" ref="E755" si="587">E756+E762+E766+E769</f>
        <v>0</v>
      </c>
      <c r="F755" s="474"/>
      <c r="G755" s="474"/>
      <c r="H755" s="473"/>
      <c r="I755" s="474"/>
      <c r="J755" s="474">
        <f t="shared" ref="J755" si="588">J756+J762+J766+J769</f>
        <v>0</v>
      </c>
      <c r="K755" s="474"/>
      <c r="L755" s="474"/>
      <c r="M755" s="473"/>
      <c r="N755" s="474"/>
      <c r="O755" s="474">
        <f t="shared" ref="O755" si="589">O756+O762+O766+O769</f>
        <v>0</v>
      </c>
      <c r="P755" s="474"/>
      <c r="Q755" s="219"/>
      <c r="R755" s="219"/>
    </row>
    <row r="756" spans="1:18" ht="12" hidden="1" customHeight="1">
      <c r="A756" s="767">
        <v>7100</v>
      </c>
      <c r="B756" s="988" t="s">
        <v>116</v>
      </c>
      <c r="C756" s="973"/>
      <c r="D756" s="974"/>
      <c r="E756" s="474">
        <f t="shared" ref="E756" si="590">E757+E758</f>
        <v>0</v>
      </c>
      <c r="F756" s="474"/>
      <c r="G756" s="474"/>
      <c r="H756" s="473"/>
      <c r="I756" s="474"/>
      <c r="J756" s="474">
        <f t="shared" ref="J756" si="591">J757+J758</f>
        <v>0</v>
      </c>
      <c r="K756" s="474"/>
      <c r="L756" s="474"/>
      <c r="M756" s="473"/>
      <c r="N756" s="474"/>
      <c r="O756" s="474">
        <f t="shared" ref="O756" si="592">O757+O758</f>
        <v>0</v>
      </c>
      <c r="P756" s="474"/>
      <c r="Q756" s="219"/>
      <c r="R756" s="219"/>
    </row>
    <row r="757" spans="1:18" ht="24" hidden="1" customHeight="1">
      <c r="A757" s="989" t="s">
        <v>117</v>
      </c>
      <c r="B757" s="988" t="s">
        <v>118</v>
      </c>
      <c r="C757" s="973"/>
      <c r="D757" s="974"/>
      <c r="E757" s="474"/>
      <c r="F757" s="474"/>
      <c r="G757" s="474"/>
      <c r="H757" s="473"/>
      <c r="I757" s="474"/>
      <c r="J757" s="474"/>
      <c r="K757" s="474"/>
      <c r="L757" s="474"/>
      <c r="M757" s="473"/>
      <c r="N757" s="474"/>
      <c r="O757" s="474"/>
      <c r="P757" s="474"/>
      <c r="Q757" s="219"/>
      <c r="R757" s="219"/>
    </row>
    <row r="758" spans="1:18" ht="24" hidden="1" customHeight="1">
      <c r="A758" s="989">
        <v>7130</v>
      </c>
      <c r="B758" s="988" t="s">
        <v>119</v>
      </c>
      <c r="C758" s="973"/>
      <c r="D758" s="974"/>
      <c r="E758" s="474">
        <f t="shared" ref="E758" si="593">SUM(E759:E761)</f>
        <v>0</v>
      </c>
      <c r="F758" s="474"/>
      <c r="G758" s="474"/>
      <c r="H758" s="473"/>
      <c r="I758" s="474"/>
      <c r="J758" s="474">
        <f t="shared" ref="J758" si="594">SUM(J759:J761)</f>
        <v>0</v>
      </c>
      <c r="K758" s="474"/>
      <c r="L758" s="474"/>
      <c r="M758" s="473"/>
      <c r="N758" s="474"/>
      <c r="O758" s="474">
        <f t="shared" ref="O758" si="595">SUM(O759:O761)</f>
        <v>0</v>
      </c>
      <c r="P758" s="474"/>
      <c r="Q758" s="219"/>
      <c r="R758" s="219"/>
    </row>
    <row r="759" spans="1:18" ht="36" hidden="1" customHeight="1">
      <c r="A759" s="990">
        <v>7131</v>
      </c>
      <c r="B759" s="988" t="s">
        <v>120</v>
      </c>
      <c r="C759" s="973"/>
      <c r="D759" s="974"/>
      <c r="E759" s="474"/>
      <c r="F759" s="474"/>
      <c r="G759" s="474"/>
      <c r="H759" s="473"/>
      <c r="I759" s="474"/>
      <c r="J759" s="474"/>
      <c r="K759" s="474"/>
      <c r="L759" s="474"/>
      <c r="M759" s="473"/>
      <c r="N759" s="474"/>
      <c r="O759" s="474"/>
      <c r="P759" s="474"/>
      <c r="Q759" s="219"/>
      <c r="R759" s="219"/>
    </row>
    <row r="760" spans="1:18" ht="36" hidden="1" customHeight="1">
      <c r="A760" s="990">
        <v>7132</v>
      </c>
      <c r="B760" s="988" t="s">
        <v>121</v>
      </c>
      <c r="C760" s="973"/>
      <c r="D760" s="974"/>
      <c r="E760" s="474"/>
      <c r="F760" s="474"/>
      <c r="G760" s="474"/>
      <c r="H760" s="473"/>
      <c r="I760" s="474"/>
      <c r="J760" s="474"/>
      <c r="K760" s="474"/>
      <c r="L760" s="474"/>
      <c r="M760" s="473"/>
      <c r="N760" s="474"/>
      <c r="O760" s="474"/>
      <c r="P760" s="474"/>
      <c r="Q760" s="219"/>
      <c r="R760" s="219"/>
    </row>
    <row r="761" spans="1:18" ht="24" hidden="1" customHeight="1">
      <c r="A761" s="990" t="s">
        <v>186</v>
      </c>
      <c r="B761" s="988" t="s">
        <v>187</v>
      </c>
      <c r="C761" s="973"/>
      <c r="D761" s="974"/>
      <c r="E761" s="474"/>
      <c r="F761" s="474"/>
      <c r="G761" s="474"/>
      <c r="H761" s="473"/>
      <c r="I761" s="474"/>
      <c r="J761" s="474"/>
      <c r="K761" s="474"/>
      <c r="L761" s="474"/>
      <c r="M761" s="473"/>
      <c r="N761" s="474"/>
      <c r="O761" s="474"/>
      <c r="P761" s="474"/>
      <c r="Q761" s="219"/>
      <c r="R761" s="219"/>
    </row>
    <row r="762" spans="1:18" ht="24" hidden="1">
      <c r="A762" s="767">
        <v>7300</v>
      </c>
      <c r="B762" s="991" t="s">
        <v>155</v>
      </c>
      <c r="C762" s="973"/>
      <c r="D762" s="974"/>
      <c r="E762" s="474">
        <f t="shared" ref="E762" si="596">SUM(E763:E765)</f>
        <v>0</v>
      </c>
      <c r="F762" s="474"/>
      <c r="G762" s="474"/>
      <c r="H762" s="473"/>
      <c r="I762" s="474"/>
      <c r="J762" s="474">
        <f t="shared" ref="J762" si="597">SUM(J763:J765)</f>
        <v>0</v>
      </c>
      <c r="K762" s="474"/>
      <c r="L762" s="474"/>
      <c r="M762" s="473"/>
      <c r="N762" s="474"/>
      <c r="O762" s="474">
        <f t="shared" ref="O762" si="598">SUM(O763:O765)</f>
        <v>0</v>
      </c>
      <c r="P762" s="474"/>
      <c r="Q762" s="219"/>
      <c r="R762" s="219"/>
    </row>
    <row r="763" spans="1:18" ht="24" hidden="1" customHeight="1">
      <c r="A763" s="989" t="s">
        <v>188</v>
      </c>
      <c r="B763" s="988" t="s">
        <v>170</v>
      </c>
      <c r="C763" s="983"/>
      <c r="D763" s="984"/>
      <c r="E763" s="985"/>
      <c r="F763" s="985"/>
      <c r="G763" s="985"/>
      <c r="H763" s="473"/>
      <c r="I763" s="985"/>
      <c r="J763" s="985"/>
      <c r="K763" s="985"/>
      <c r="L763" s="985"/>
      <c r="M763" s="473"/>
      <c r="N763" s="985"/>
      <c r="O763" s="985"/>
      <c r="P763" s="985"/>
      <c r="Q763" s="219"/>
      <c r="R763" s="219"/>
    </row>
    <row r="764" spans="1:18" ht="48" hidden="1">
      <c r="A764" s="989" t="s">
        <v>189</v>
      </c>
      <c r="B764" s="988" t="s">
        <v>156</v>
      </c>
      <c r="C764" s="983"/>
      <c r="D764" s="984"/>
      <c r="E764" s="985">
        <v>0</v>
      </c>
      <c r="F764" s="985"/>
      <c r="G764" s="985"/>
      <c r="H764" s="473"/>
      <c r="I764" s="985"/>
      <c r="J764" s="985"/>
      <c r="K764" s="985"/>
      <c r="L764" s="985"/>
      <c r="M764" s="473"/>
      <c r="N764" s="985"/>
      <c r="O764" s="985"/>
      <c r="P764" s="985"/>
      <c r="Q764" s="219"/>
      <c r="R764" s="219"/>
    </row>
    <row r="765" spans="1:18" ht="36" hidden="1">
      <c r="A765" s="989">
        <v>7350</v>
      </c>
      <c r="B765" s="988" t="s">
        <v>163</v>
      </c>
      <c r="C765" s="983"/>
      <c r="D765" s="984"/>
      <c r="E765" s="985">
        <v>0</v>
      </c>
      <c r="F765" s="985"/>
      <c r="G765" s="985"/>
      <c r="H765" s="473"/>
      <c r="I765" s="985"/>
      <c r="J765" s="985">
        <v>0</v>
      </c>
      <c r="K765" s="985"/>
      <c r="L765" s="985"/>
      <c r="M765" s="473"/>
      <c r="N765" s="985"/>
      <c r="O765" s="985"/>
      <c r="P765" s="985"/>
      <c r="Q765" s="219"/>
      <c r="R765" s="219"/>
    </row>
    <row r="766" spans="1:18" ht="24" hidden="1" customHeight="1">
      <c r="A766" s="767">
        <v>7400</v>
      </c>
      <c r="B766" s="991" t="s">
        <v>161</v>
      </c>
      <c r="C766" s="973"/>
      <c r="D766" s="974"/>
      <c r="E766" s="474">
        <f t="shared" ref="E766" si="599">SUM(E767:E768)</f>
        <v>0</v>
      </c>
      <c r="F766" s="474"/>
      <c r="G766" s="474"/>
      <c r="H766" s="473"/>
      <c r="I766" s="474"/>
      <c r="J766" s="474">
        <f t="shared" ref="J766" si="600">SUM(J767:J768)</f>
        <v>0</v>
      </c>
      <c r="K766" s="474"/>
      <c r="L766" s="474"/>
      <c r="M766" s="473"/>
      <c r="N766" s="474"/>
      <c r="O766" s="474">
        <f t="shared" ref="O766" si="601">SUM(O767:O768)</f>
        <v>0</v>
      </c>
      <c r="P766" s="474"/>
      <c r="Q766" s="219"/>
      <c r="R766" s="219"/>
    </row>
    <row r="767" spans="1:18" ht="24" hidden="1" customHeight="1">
      <c r="A767" s="989">
        <v>7460</v>
      </c>
      <c r="B767" s="991" t="s">
        <v>162</v>
      </c>
      <c r="C767" s="983"/>
      <c r="D767" s="984"/>
      <c r="E767" s="985"/>
      <c r="F767" s="985"/>
      <c r="G767" s="985"/>
      <c r="H767" s="473"/>
      <c r="I767" s="985"/>
      <c r="J767" s="985"/>
      <c r="K767" s="985"/>
      <c r="L767" s="985"/>
      <c r="M767" s="473"/>
      <c r="N767" s="985"/>
      <c r="O767" s="985"/>
      <c r="P767" s="985"/>
      <c r="Q767" s="219"/>
      <c r="R767" s="219"/>
    </row>
    <row r="768" spans="1:18" ht="36" hidden="1" customHeight="1">
      <c r="A768" s="989">
        <v>7470</v>
      </c>
      <c r="B768" s="988" t="s">
        <v>167</v>
      </c>
      <c r="C768" s="983"/>
      <c r="D768" s="984"/>
      <c r="E768" s="985"/>
      <c r="F768" s="985"/>
      <c r="G768" s="985"/>
      <c r="H768" s="473"/>
      <c r="I768" s="985"/>
      <c r="J768" s="985"/>
      <c r="K768" s="985"/>
      <c r="L768" s="985"/>
      <c r="M768" s="473"/>
      <c r="N768" s="985"/>
      <c r="O768" s="985"/>
      <c r="P768" s="985"/>
      <c r="Q768" s="219"/>
      <c r="R768" s="219"/>
    </row>
    <row r="769" spans="1:18" ht="24" hidden="1" customHeight="1">
      <c r="A769" s="767">
        <v>7500</v>
      </c>
      <c r="B769" s="988" t="s">
        <v>157</v>
      </c>
      <c r="C769" s="973"/>
      <c r="D769" s="974"/>
      <c r="E769" s="474"/>
      <c r="F769" s="474"/>
      <c r="G769" s="474"/>
      <c r="H769" s="473"/>
      <c r="I769" s="474"/>
      <c r="J769" s="474"/>
      <c r="K769" s="474"/>
      <c r="L769" s="474"/>
      <c r="M769" s="473"/>
      <c r="N769" s="474"/>
      <c r="O769" s="474"/>
      <c r="P769" s="474"/>
      <c r="Q769" s="219"/>
      <c r="R769" s="219"/>
    </row>
    <row r="770" spans="1:18" ht="12" hidden="1">
      <c r="A770" s="966" t="s">
        <v>133</v>
      </c>
      <c r="B770" s="1008" t="s">
        <v>122</v>
      </c>
      <c r="C770" s="969"/>
      <c r="D770" s="970"/>
      <c r="E770" s="474">
        <f t="shared" ref="E770" si="602">E771+E772</f>
        <v>0</v>
      </c>
      <c r="F770" s="474"/>
      <c r="G770" s="474"/>
      <c r="H770" s="473"/>
      <c r="I770" s="474"/>
      <c r="J770" s="474">
        <f t="shared" ref="J770" si="603">J771+J772</f>
        <v>0</v>
      </c>
      <c r="K770" s="474"/>
      <c r="L770" s="474"/>
      <c r="M770" s="473"/>
      <c r="N770" s="474"/>
      <c r="O770" s="474">
        <f t="shared" ref="O770" si="604">O771+O772</f>
        <v>0</v>
      </c>
      <c r="P770" s="971"/>
      <c r="Q770" s="219"/>
      <c r="R770" s="219"/>
    </row>
    <row r="771" spans="1:18" ht="12" hidden="1">
      <c r="A771" s="966">
        <v>5000</v>
      </c>
      <c r="B771" s="1008" t="s">
        <v>123</v>
      </c>
      <c r="C771" s="973"/>
      <c r="D771" s="974"/>
      <c r="E771" s="474">
        <v>0</v>
      </c>
      <c r="F771" s="472"/>
      <c r="G771" s="472"/>
      <c r="H771" s="473"/>
      <c r="I771" s="474"/>
      <c r="J771" s="474">
        <v>0</v>
      </c>
      <c r="K771" s="472"/>
      <c r="L771" s="472"/>
      <c r="M771" s="473"/>
      <c r="N771" s="474"/>
      <c r="O771" s="474">
        <v>0</v>
      </c>
      <c r="P771" s="472"/>
      <c r="Q771" s="219"/>
      <c r="R771" s="219"/>
    </row>
    <row r="772" spans="1:18" ht="12" hidden="1" customHeight="1">
      <c r="A772" s="966">
        <v>9000</v>
      </c>
      <c r="B772" s="986" t="s">
        <v>164</v>
      </c>
      <c r="C772" s="973"/>
      <c r="D772" s="974"/>
      <c r="E772" s="474">
        <f t="shared" ref="E772" si="605">E773+E779+E783+E786</f>
        <v>0</v>
      </c>
      <c r="F772" s="474"/>
      <c r="G772" s="474"/>
      <c r="H772" s="473"/>
      <c r="I772" s="474"/>
      <c r="J772" s="474">
        <f t="shared" ref="J772" si="606">J773+J779+J783+J786</f>
        <v>0</v>
      </c>
      <c r="K772" s="474"/>
      <c r="L772" s="474"/>
      <c r="M772" s="473"/>
      <c r="N772" s="474"/>
      <c r="O772" s="474">
        <f t="shared" ref="O772" si="607">O773+O779+O783+O786</f>
        <v>0</v>
      </c>
      <c r="P772" s="474"/>
      <c r="Q772" s="219"/>
      <c r="R772" s="219"/>
    </row>
    <row r="773" spans="1:18" ht="12" hidden="1" customHeight="1">
      <c r="A773" s="987">
        <v>9100</v>
      </c>
      <c r="B773" s="988" t="s">
        <v>124</v>
      </c>
      <c r="C773" s="973"/>
      <c r="D773" s="974"/>
      <c r="E773" s="474">
        <f t="shared" ref="E773" si="608">SUM(E774:E775)</f>
        <v>0</v>
      </c>
      <c r="F773" s="474"/>
      <c r="G773" s="474"/>
      <c r="H773" s="473"/>
      <c r="I773" s="474"/>
      <c r="J773" s="474">
        <f t="shared" ref="J773" si="609">SUM(J774:J775)</f>
        <v>0</v>
      </c>
      <c r="K773" s="474"/>
      <c r="L773" s="474"/>
      <c r="M773" s="473"/>
      <c r="N773" s="474"/>
      <c r="O773" s="474">
        <f t="shared" ref="O773" si="610">SUM(O774:O775)</f>
        <v>0</v>
      </c>
      <c r="P773" s="474"/>
      <c r="Q773" s="219"/>
      <c r="R773" s="219"/>
    </row>
    <row r="774" spans="1:18" ht="24" hidden="1" customHeight="1">
      <c r="A774" s="989" t="s">
        <v>125</v>
      </c>
      <c r="B774" s="988" t="s">
        <v>214</v>
      </c>
      <c r="C774" s="973"/>
      <c r="D774" s="974"/>
      <c r="E774" s="474"/>
      <c r="F774" s="474"/>
      <c r="G774" s="474"/>
      <c r="H774" s="473"/>
      <c r="I774" s="474"/>
      <c r="J774" s="474"/>
      <c r="K774" s="474"/>
      <c r="L774" s="474"/>
      <c r="M774" s="473"/>
      <c r="N774" s="474"/>
      <c r="O774" s="474"/>
      <c r="P774" s="474"/>
      <c r="Q774" s="219"/>
      <c r="R774" s="219"/>
    </row>
    <row r="775" spans="1:18" ht="24" hidden="1" customHeight="1">
      <c r="A775" s="989">
        <v>9140</v>
      </c>
      <c r="B775" s="988" t="s">
        <v>215</v>
      </c>
      <c r="C775" s="973"/>
      <c r="D775" s="974"/>
      <c r="E775" s="474">
        <f t="shared" ref="E775" si="611">SUM(E776:E778)</f>
        <v>0</v>
      </c>
      <c r="F775" s="474"/>
      <c r="G775" s="474"/>
      <c r="H775" s="473"/>
      <c r="I775" s="474"/>
      <c r="J775" s="474">
        <f t="shared" ref="J775" si="612">SUM(J776:J778)</f>
        <v>0</v>
      </c>
      <c r="K775" s="474"/>
      <c r="L775" s="474"/>
      <c r="M775" s="473"/>
      <c r="N775" s="474"/>
      <c r="O775" s="474">
        <f t="shared" ref="O775" si="613">SUM(O776:O778)</f>
        <v>0</v>
      </c>
      <c r="P775" s="474"/>
      <c r="Q775" s="219"/>
      <c r="R775" s="219"/>
    </row>
    <row r="776" spans="1:18" ht="36" hidden="1" customHeight="1">
      <c r="A776" s="990">
        <v>9141</v>
      </c>
      <c r="B776" s="991" t="s">
        <v>190</v>
      </c>
      <c r="C776" s="983"/>
      <c r="D776" s="984"/>
      <c r="E776" s="985"/>
      <c r="F776" s="985"/>
      <c r="G776" s="985"/>
      <c r="H776" s="473"/>
      <c r="I776" s="985"/>
      <c r="J776" s="985"/>
      <c r="K776" s="985"/>
      <c r="L776" s="985"/>
      <c r="M776" s="473"/>
      <c r="N776" s="985"/>
      <c r="O776" s="985"/>
      <c r="P776" s="985"/>
      <c r="Q776" s="219"/>
      <c r="R776" s="219"/>
    </row>
    <row r="777" spans="1:18" ht="36" hidden="1" customHeight="1">
      <c r="A777" s="990">
        <v>9142</v>
      </c>
      <c r="B777" s="991" t="s">
        <v>191</v>
      </c>
      <c r="C777" s="983"/>
      <c r="D777" s="984"/>
      <c r="E777" s="985"/>
      <c r="F777" s="985"/>
      <c r="G777" s="985"/>
      <c r="H777" s="473"/>
      <c r="I777" s="985"/>
      <c r="J777" s="985"/>
      <c r="K777" s="985"/>
      <c r="L777" s="985"/>
      <c r="M777" s="473"/>
      <c r="N777" s="985"/>
      <c r="O777" s="985"/>
      <c r="P777" s="985"/>
      <c r="Q777" s="219"/>
      <c r="R777" s="219"/>
    </row>
    <row r="778" spans="1:18" ht="24" hidden="1" customHeight="1">
      <c r="A778" s="990">
        <v>9149</v>
      </c>
      <c r="B778" s="991" t="s">
        <v>192</v>
      </c>
      <c r="C778" s="983"/>
      <c r="D778" s="984"/>
      <c r="E778" s="985"/>
      <c r="F778" s="985"/>
      <c r="G778" s="985"/>
      <c r="H778" s="473"/>
      <c r="I778" s="985"/>
      <c r="J778" s="985"/>
      <c r="K778" s="985"/>
      <c r="L778" s="985"/>
      <c r="M778" s="473"/>
      <c r="N778" s="985"/>
      <c r="O778" s="985"/>
      <c r="P778" s="985"/>
      <c r="Q778" s="219"/>
      <c r="R778" s="219"/>
    </row>
    <row r="779" spans="1:18" ht="24" hidden="1" customHeight="1">
      <c r="A779" s="987">
        <v>9500</v>
      </c>
      <c r="B779" s="991" t="s">
        <v>165</v>
      </c>
      <c r="C779" s="973"/>
      <c r="D779" s="974"/>
      <c r="E779" s="474">
        <f t="shared" ref="E779" si="614">SUM(E780:E782)</f>
        <v>0</v>
      </c>
      <c r="F779" s="474"/>
      <c r="G779" s="474"/>
      <c r="H779" s="473"/>
      <c r="I779" s="474"/>
      <c r="J779" s="474">
        <f t="shared" ref="J779" si="615">SUM(J780:J782)</f>
        <v>0</v>
      </c>
      <c r="K779" s="474"/>
      <c r="L779" s="474"/>
      <c r="M779" s="473"/>
      <c r="N779" s="474"/>
      <c r="O779" s="474">
        <f t="shared" ref="O779" si="616">SUM(O780:O782)</f>
        <v>0</v>
      </c>
      <c r="P779" s="474"/>
      <c r="Q779" s="219"/>
      <c r="R779" s="219"/>
    </row>
    <row r="780" spans="1:18" ht="24" hidden="1" customHeight="1">
      <c r="A780" s="989" t="s">
        <v>193</v>
      </c>
      <c r="B780" s="991" t="s">
        <v>171</v>
      </c>
      <c r="C780" s="973"/>
      <c r="D780" s="974"/>
      <c r="E780" s="474"/>
      <c r="F780" s="474"/>
      <c r="G780" s="474"/>
      <c r="H780" s="473"/>
      <c r="I780" s="474"/>
      <c r="J780" s="474"/>
      <c r="K780" s="474"/>
      <c r="L780" s="474"/>
      <c r="M780" s="473"/>
      <c r="N780" s="474"/>
      <c r="O780" s="474"/>
      <c r="P780" s="474"/>
      <c r="Q780" s="219"/>
      <c r="R780" s="219"/>
    </row>
    <row r="781" spans="1:18" ht="48" hidden="1" customHeight="1">
      <c r="A781" s="989">
        <v>9580</v>
      </c>
      <c r="B781" s="991" t="s">
        <v>166</v>
      </c>
      <c r="C781" s="983"/>
      <c r="D781" s="984"/>
      <c r="E781" s="985"/>
      <c r="F781" s="985"/>
      <c r="G781" s="985"/>
      <c r="H781" s="473"/>
      <c r="I781" s="985"/>
      <c r="J781" s="985"/>
      <c r="K781" s="985"/>
      <c r="L781" s="985"/>
      <c r="M781" s="473"/>
      <c r="N781" s="985"/>
      <c r="O781" s="985"/>
      <c r="P781" s="985"/>
      <c r="Q781" s="219"/>
      <c r="R781" s="219"/>
    </row>
    <row r="782" spans="1:18" ht="36" hidden="1" customHeight="1">
      <c r="A782" s="989">
        <v>9590</v>
      </c>
      <c r="B782" s="988" t="s">
        <v>172</v>
      </c>
      <c r="C782" s="983"/>
      <c r="D782" s="984"/>
      <c r="E782" s="985"/>
      <c r="F782" s="985"/>
      <c r="G782" s="985"/>
      <c r="H782" s="473"/>
      <c r="I782" s="985"/>
      <c r="J782" s="985"/>
      <c r="K782" s="985"/>
      <c r="L782" s="985"/>
      <c r="M782" s="473"/>
      <c r="N782" s="985"/>
      <c r="O782" s="985"/>
      <c r="P782" s="985"/>
      <c r="Q782" s="219"/>
      <c r="R782" s="219"/>
    </row>
    <row r="783" spans="1:18" ht="24" hidden="1" customHeight="1">
      <c r="A783" s="987">
        <v>9700</v>
      </c>
      <c r="B783" s="992" t="s">
        <v>194</v>
      </c>
      <c r="C783" s="973"/>
      <c r="D783" s="974"/>
      <c r="E783" s="474">
        <f t="shared" ref="E783" si="617">SUM(E784:E785)</f>
        <v>0</v>
      </c>
      <c r="F783" s="474"/>
      <c r="G783" s="474"/>
      <c r="H783" s="473"/>
      <c r="I783" s="474"/>
      <c r="J783" s="474">
        <f t="shared" ref="J783" si="618">SUM(J784:J785)</f>
        <v>0</v>
      </c>
      <c r="K783" s="474"/>
      <c r="L783" s="474"/>
      <c r="M783" s="473"/>
      <c r="N783" s="474"/>
      <c r="O783" s="474">
        <f t="shared" ref="O783" si="619">SUM(O784:O785)</f>
        <v>0</v>
      </c>
      <c r="P783" s="474"/>
      <c r="Q783" s="219"/>
      <c r="R783" s="219"/>
    </row>
    <row r="784" spans="1:18" ht="24" hidden="1" customHeight="1">
      <c r="A784" s="989">
        <v>9710</v>
      </c>
      <c r="B784" s="993" t="s">
        <v>195</v>
      </c>
      <c r="C784" s="983"/>
      <c r="D784" s="984"/>
      <c r="E784" s="985"/>
      <c r="F784" s="985"/>
      <c r="G784" s="985"/>
      <c r="H784" s="473"/>
      <c r="I784" s="985"/>
      <c r="J784" s="985"/>
      <c r="K784" s="985"/>
      <c r="L784" s="985"/>
      <c r="M784" s="473"/>
      <c r="N784" s="985"/>
      <c r="O784" s="985"/>
      <c r="P784" s="985"/>
      <c r="Q784" s="219"/>
      <c r="R784" s="219"/>
    </row>
    <row r="785" spans="1:18" ht="36" hidden="1" customHeight="1">
      <c r="A785" s="994">
        <v>9720</v>
      </c>
      <c r="B785" s="992" t="s">
        <v>196</v>
      </c>
      <c r="C785" s="983"/>
      <c r="D785" s="984"/>
      <c r="E785" s="985"/>
      <c r="F785" s="985"/>
      <c r="G785" s="985"/>
      <c r="H785" s="473"/>
      <c r="I785" s="985"/>
      <c r="J785" s="985"/>
      <c r="K785" s="985"/>
      <c r="L785" s="985"/>
      <c r="M785" s="473"/>
      <c r="N785" s="985"/>
      <c r="O785" s="985"/>
      <c r="P785" s="985"/>
      <c r="Q785" s="219"/>
      <c r="R785" s="219"/>
    </row>
    <row r="786" spans="1:18" ht="24" hidden="1" customHeight="1">
      <c r="A786" s="987">
        <v>9600</v>
      </c>
      <c r="B786" s="988" t="s">
        <v>134</v>
      </c>
      <c r="C786" s="983"/>
      <c r="D786" s="984"/>
      <c r="E786" s="985">
        <v>0</v>
      </c>
      <c r="F786" s="985"/>
      <c r="G786" s="985"/>
      <c r="H786" s="473"/>
      <c r="I786" s="985"/>
      <c r="J786" s="985"/>
      <c r="K786" s="985"/>
      <c r="L786" s="985"/>
      <c r="M786" s="473"/>
      <c r="N786" s="985"/>
      <c r="O786" s="985"/>
      <c r="P786" s="985"/>
      <c r="Q786" s="219"/>
      <c r="R786" s="219"/>
    </row>
    <row r="787" spans="1:18" ht="30.6" hidden="1" customHeight="1">
      <c r="A787" s="965" t="s">
        <v>197</v>
      </c>
      <c r="B787" s="995" t="s">
        <v>47</v>
      </c>
      <c r="C787" s="996"/>
      <c r="D787" s="997"/>
      <c r="E787" s="998">
        <v>0</v>
      </c>
      <c r="F787" s="998"/>
      <c r="G787" s="998"/>
      <c r="H787" s="473"/>
      <c r="I787" s="998"/>
      <c r="J787" s="998"/>
      <c r="K787" s="998"/>
      <c r="L787" s="998"/>
      <c r="M787" s="473"/>
      <c r="N787" s="998"/>
      <c r="O787" s="998">
        <v>0</v>
      </c>
      <c r="P787" s="998"/>
      <c r="Q787" s="219"/>
      <c r="R787" s="219"/>
    </row>
    <row r="788" spans="1:18" ht="12" hidden="1" customHeight="1">
      <c r="A788" s="999" t="s">
        <v>48</v>
      </c>
      <c r="B788" s="995" t="s">
        <v>49</v>
      </c>
      <c r="C788" s="996"/>
      <c r="D788" s="997"/>
      <c r="E788" s="998">
        <f t="shared" ref="E788" si="620">E789+E792+E796+E795</f>
        <v>0</v>
      </c>
      <c r="F788" s="998"/>
      <c r="G788" s="998"/>
      <c r="H788" s="473"/>
      <c r="I788" s="998"/>
      <c r="J788" s="998">
        <f t="shared" ref="J788" si="621">J789+J792+J796+J795</f>
        <v>0</v>
      </c>
      <c r="K788" s="998"/>
      <c r="L788" s="998"/>
      <c r="M788" s="473"/>
      <c r="N788" s="998"/>
      <c r="O788" s="998">
        <f t="shared" ref="O788" si="622">O789+O792+O796+O795</f>
        <v>0</v>
      </c>
      <c r="P788" s="998"/>
      <c r="Q788" s="219"/>
      <c r="R788" s="219"/>
    </row>
    <row r="789" spans="1:18" ht="12" hidden="1" customHeight="1">
      <c r="A789" s="987" t="s">
        <v>50</v>
      </c>
      <c r="B789" s="988" t="s">
        <v>51</v>
      </c>
      <c r="C789" s="1000"/>
      <c r="D789" s="1001"/>
      <c r="E789" s="1002">
        <f t="shared" ref="E789" si="623">E790+E791</f>
        <v>0</v>
      </c>
      <c r="F789" s="1002"/>
      <c r="G789" s="1002"/>
      <c r="H789" s="473"/>
      <c r="I789" s="1002"/>
      <c r="J789" s="1002">
        <f t="shared" ref="J789" si="624">J790+J791</f>
        <v>0</v>
      </c>
      <c r="K789" s="1002"/>
      <c r="L789" s="1002"/>
      <c r="M789" s="473"/>
      <c r="N789" s="1002"/>
      <c r="O789" s="1002">
        <f t="shared" ref="O789" si="625">O790+O791</f>
        <v>0</v>
      </c>
      <c r="P789" s="1002"/>
      <c r="Q789" s="219"/>
      <c r="R789" s="219"/>
    </row>
    <row r="790" spans="1:18" ht="12" hidden="1" customHeight="1">
      <c r="A790" s="987" t="s">
        <v>52</v>
      </c>
      <c r="B790" s="988" t="s">
        <v>53</v>
      </c>
      <c r="C790" s="1000"/>
      <c r="D790" s="1001"/>
      <c r="E790" s="1002"/>
      <c r="F790" s="1002"/>
      <c r="G790" s="1002"/>
      <c r="H790" s="473"/>
      <c r="I790" s="1002"/>
      <c r="J790" s="1002"/>
      <c r="K790" s="1002"/>
      <c r="L790" s="1002"/>
      <c r="M790" s="473"/>
      <c r="N790" s="1002"/>
      <c r="O790" s="1002"/>
      <c r="P790" s="1002"/>
      <c r="Q790" s="219"/>
      <c r="R790" s="219"/>
    </row>
    <row r="791" spans="1:18" ht="12" hidden="1" customHeight="1">
      <c r="A791" s="987" t="s">
        <v>54</v>
      </c>
      <c r="B791" s="988" t="s">
        <v>55</v>
      </c>
      <c r="C791" s="1000"/>
      <c r="D791" s="1001"/>
      <c r="E791" s="1002"/>
      <c r="F791" s="1002"/>
      <c r="G791" s="1002"/>
      <c r="H791" s="473"/>
      <c r="I791" s="1002"/>
      <c r="J791" s="1002"/>
      <c r="K791" s="1002"/>
      <c r="L791" s="1002"/>
      <c r="M791" s="473"/>
      <c r="N791" s="1002"/>
      <c r="O791" s="1002"/>
      <c r="P791" s="1002"/>
      <c r="Q791" s="219"/>
      <c r="R791" s="219"/>
    </row>
    <row r="792" spans="1:18" ht="12" hidden="1" customHeight="1">
      <c r="A792" s="987" t="s">
        <v>56</v>
      </c>
      <c r="B792" s="988" t="s">
        <v>57</v>
      </c>
      <c r="C792" s="1000"/>
      <c r="D792" s="1001"/>
      <c r="E792" s="1002">
        <f t="shared" ref="E792" si="626">E793+E794</f>
        <v>0</v>
      </c>
      <c r="F792" s="1002"/>
      <c r="G792" s="1002"/>
      <c r="H792" s="473"/>
      <c r="I792" s="1002"/>
      <c r="J792" s="1002">
        <f t="shared" ref="J792" si="627">J793+J794</f>
        <v>0</v>
      </c>
      <c r="K792" s="1002"/>
      <c r="L792" s="1002"/>
      <c r="M792" s="473"/>
      <c r="N792" s="1002"/>
      <c r="O792" s="1002">
        <f t="shared" ref="O792" si="628">O793+O794</f>
        <v>0</v>
      </c>
      <c r="P792" s="1002"/>
      <c r="Q792" s="219"/>
      <c r="R792" s="219"/>
    </row>
    <row r="793" spans="1:18" ht="12" hidden="1" customHeight="1">
      <c r="A793" s="987" t="s">
        <v>58</v>
      </c>
      <c r="B793" s="988" t="s">
        <v>59</v>
      </c>
      <c r="C793" s="1000"/>
      <c r="D793" s="1001"/>
      <c r="E793" s="1002"/>
      <c r="F793" s="1002"/>
      <c r="G793" s="1002"/>
      <c r="H793" s="473"/>
      <c r="I793" s="1002"/>
      <c r="J793" s="1002"/>
      <c r="K793" s="1002"/>
      <c r="L793" s="1002"/>
      <c r="M793" s="473"/>
      <c r="N793" s="1002"/>
      <c r="O793" s="1002"/>
      <c r="P793" s="1002"/>
      <c r="Q793" s="219"/>
      <c r="R793" s="219"/>
    </row>
    <row r="794" spans="1:18" ht="12" hidden="1" customHeight="1">
      <c r="A794" s="987" t="s">
        <v>60</v>
      </c>
      <c r="B794" s="988" t="s">
        <v>61</v>
      </c>
      <c r="C794" s="1000"/>
      <c r="D794" s="1001"/>
      <c r="E794" s="1002"/>
      <c r="F794" s="1002"/>
      <c r="G794" s="1002"/>
      <c r="H794" s="473"/>
      <c r="I794" s="1002"/>
      <c r="J794" s="1002"/>
      <c r="K794" s="1002"/>
      <c r="L794" s="1002"/>
      <c r="M794" s="473"/>
      <c r="N794" s="1002"/>
      <c r="O794" s="1002"/>
      <c r="P794" s="1002"/>
      <c r="Q794" s="219"/>
      <c r="R794" s="219"/>
    </row>
    <row r="795" spans="1:18" ht="12" hidden="1" customHeight="1">
      <c r="A795" s="987" t="s">
        <v>198</v>
      </c>
      <c r="B795" s="1003" t="s">
        <v>168</v>
      </c>
      <c r="C795" s="1000"/>
      <c r="D795" s="1001"/>
      <c r="E795" s="1002"/>
      <c r="F795" s="1002"/>
      <c r="G795" s="1002"/>
      <c r="H795" s="473"/>
      <c r="I795" s="1002"/>
      <c r="J795" s="1002"/>
      <c r="K795" s="1002"/>
      <c r="L795" s="1002"/>
      <c r="M795" s="473"/>
      <c r="N795" s="1002"/>
      <c r="O795" s="1002"/>
      <c r="P795" s="1002"/>
      <c r="Q795" s="219"/>
      <c r="R795" s="219"/>
    </row>
    <row r="796" spans="1:18" ht="12" hidden="1" customHeight="1">
      <c r="A796" s="1004" t="s">
        <v>62</v>
      </c>
      <c r="B796" s="768" t="s">
        <v>63</v>
      </c>
      <c r="C796" s="973"/>
      <c r="D796" s="974"/>
      <c r="E796" s="474">
        <v>0</v>
      </c>
      <c r="F796" s="474"/>
      <c r="G796" s="474"/>
      <c r="H796" s="473"/>
      <c r="I796" s="474"/>
      <c r="J796" s="474"/>
      <c r="K796" s="474"/>
      <c r="L796" s="474"/>
      <c r="M796" s="473"/>
      <c r="N796" s="474"/>
      <c r="O796" s="474"/>
      <c r="P796" s="474"/>
      <c r="Q796" s="219"/>
      <c r="R796" s="219"/>
    </row>
    <row r="797" spans="1:18" ht="36" hidden="1" customHeight="1">
      <c r="A797" s="1004" t="s">
        <v>64</v>
      </c>
      <c r="B797" s="988" t="s">
        <v>65</v>
      </c>
      <c r="C797" s="1000"/>
      <c r="D797" s="1001"/>
      <c r="E797" s="1002"/>
      <c r="F797" s="1002"/>
      <c r="G797" s="1002"/>
      <c r="H797" s="473"/>
      <c r="I797" s="1002"/>
      <c r="J797" s="1002"/>
      <c r="K797" s="1002"/>
      <c r="L797" s="1002"/>
      <c r="M797" s="473"/>
      <c r="N797" s="1002"/>
      <c r="O797" s="1002"/>
      <c r="P797" s="1002"/>
      <c r="Q797" s="219"/>
      <c r="R797" s="219"/>
    </row>
    <row r="798" spans="1:18" ht="24" hidden="1" customHeight="1">
      <c r="A798" s="1004" t="s">
        <v>66</v>
      </c>
      <c r="B798" s="988" t="s">
        <v>67</v>
      </c>
      <c r="C798" s="1000"/>
      <c r="D798" s="1001"/>
      <c r="E798" s="1002"/>
      <c r="F798" s="1002"/>
      <c r="G798" s="1002"/>
      <c r="H798" s="473"/>
      <c r="I798" s="1002"/>
      <c r="J798" s="1002"/>
      <c r="K798" s="1002"/>
      <c r="L798" s="1002"/>
      <c r="M798" s="473"/>
      <c r="N798" s="1002"/>
      <c r="O798" s="1002"/>
      <c r="P798" s="1002"/>
      <c r="Q798" s="219"/>
      <c r="R798" s="219"/>
    </row>
    <row r="799" spans="1:18" ht="13.2" hidden="1">
      <c r="A799" s="888"/>
      <c r="B799" s="1070"/>
      <c r="C799" s="469"/>
      <c r="D799" s="470"/>
      <c r="E799" s="1006"/>
      <c r="F799" s="470"/>
      <c r="G799" s="470"/>
      <c r="H799" s="470"/>
      <c r="I799" s="470"/>
      <c r="J799" s="469"/>
      <c r="K799" s="1071"/>
      <c r="L799" s="470"/>
      <c r="M799" s="470"/>
      <c r="N799" s="470"/>
      <c r="O799" s="469"/>
      <c r="P799" s="470"/>
      <c r="Q799" s="219"/>
      <c r="R799" s="219"/>
    </row>
    <row r="800" spans="1:18" ht="12" hidden="1">
      <c r="A800" s="1072"/>
      <c r="B800" s="1073"/>
      <c r="C800" s="969"/>
      <c r="D800" s="970"/>
      <c r="E800" s="474"/>
      <c r="F800" s="971"/>
      <c r="G800" s="971"/>
      <c r="H800" s="969"/>
      <c r="I800" s="971"/>
      <c r="J800" s="971"/>
      <c r="K800" s="971"/>
      <c r="L800" s="971"/>
      <c r="M800" s="969"/>
      <c r="N800" s="971"/>
      <c r="O800" s="971"/>
      <c r="P800" s="971"/>
      <c r="Q800" s="219"/>
      <c r="R800" s="219"/>
    </row>
    <row r="801" spans="1:18" ht="12">
      <c r="A801" s="965"/>
      <c r="B801" s="1008"/>
      <c r="C801" s="973"/>
      <c r="D801" s="974"/>
      <c r="E801" s="474"/>
      <c r="F801" s="474"/>
      <c r="G801" s="474"/>
      <c r="H801" s="473"/>
      <c r="I801" s="474"/>
      <c r="J801" s="474"/>
      <c r="K801" s="474"/>
      <c r="L801" s="474"/>
      <c r="M801" s="473"/>
      <c r="N801" s="474"/>
      <c r="O801" s="474"/>
      <c r="P801" s="474"/>
      <c r="Q801" s="219"/>
      <c r="R801" s="219"/>
    </row>
    <row r="802" spans="1:18" ht="12">
      <c r="A802" s="965"/>
      <c r="B802" s="1008"/>
      <c r="C802" s="973"/>
      <c r="D802" s="974"/>
      <c r="E802" s="474"/>
      <c r="F802" s="474"/>
      <c r="G802" s="474"/>
      <c r="H802" s="473"/>
      <c r="I802" s="474"/>
      <c r="J802" s="474"/>
      <c r="K802" s="474"/>
      <c r="L802" s="474"/>
      <c r="M802" s="473"/>
      <c r="N802" s="474"/>
      <c r="O802" s="474"/>
      <c r="P802" s="474"/>
      <c r="Q802" s="219"/>
      <c r="R802" s="219"/>
    </row>
    <row r="803" spans="1:18" ht="12" hidden="1" customHeight="1">
      <c r="A803" s="767"/>
      <c r="B803" s="768"/>
      <c r="C803" s="973"/>
      <c r="D803" s="974"/>
      <c r="E803" s="474"/>
      <c r="F803" s="472"/>
      <c r="G803" s="472"/>
      <c r="H803" s="473"/>
      <c r="I803" s="474"/>
      <c r="J803" s="474"/>
      <c r="K803" s="472"/>
      <c r="L803" s="472"/>
      <c r="M803" s="473"/>
      <c r="N803" s="474"/>
      <c r="O803" s="474"/>
      <c r="P803" s="472"/>
      <c r="Q803" s="219"/>
      <c r="R803" s="219"/>
    </row>
    <row r="804" spans="1:18" ht="12" hidden="1" customHeight="1">
      <c r="A804" s="891"/>
      <c r="B804" s="768"/>
      <c r="C804" s="973"/>
      <c r="D804" s="974"/>
      <c r="E804" s="474"/>
      <c r="F804" s="472"/>
      <c r="G804" s="472"/>
      <c r="H804" s="473"/>
      <c r="I804" s="474"/>
      <c r="J804" s="474"/>
      <c r="K804" s="472"/>
      <c r="L804" s="472"/>
      <c r="M804" s="473"/>
      <c r="N804" s="474"/>
      <c r="O804" s="474"/>
      <c r="P804" s="472"/>
      <c r="Q804" s="219"/>
      <c r="R804" s="219"/>
    </row>
    <row r="805" spans="1:18" ht="12">
      <c r="A805" s="767"/>
      <c r="B805" s="768"/>
      <c r="C805" s="973"/>
      <c r="D805" s="974"/>
      <c r="E805" s="474"/>
      <c r="F805" s="472"/>
      <c r="G805" s="472"/>
      <c r="H805" s="473"/>
      <c r="I805" s="474"/>
      <c r="J805" s="474"/>
      <c r="K805" s="472"/>
      <c r="L805" s="472"/>
      <c r="M805" s="473"/>
      <c r="N805" s="474"/>
      <c r="O805" s="474"/>
      <c r="P805" s="472"/>
      <c r="Q805" s="219"/>
      <c r="R805" s="219"/>
    </row>
    <row r="806" spans="1:18" ht="12" hidden="1" customHeight="1">
      <c r="A806" s="966">
        <v>4000</v>
      </c>
      <c r="B806" s="1008" t="s">
        <v>132</v>
      </c>
      <c r="C806" s="973"/>
      <c r="D806" s="975"/>
      <c r="E806" s="472"/>
      <c r="F806" s="472"/>
      <c r="G806" s="472"/>
      <c r="H806" s="473"/>
      <c r="I806" s="474"/>
      <c r="J806" s="472"/>
      <c r="K806" s="472"/>
      <c r="L806" s="472"/>
      <c r="M806" s="473"/>
      <c r="N806" s="474"/>
      <c r="O806" s="472"/>
      <c r="P806" s="472"/>
      <c r="Q806" s="219"/>
      <c r="R806" s="219"/>
    </row>
    <row r="807" spans="1:18" ht="12" hidden="1" customHeight="1">
      <c r="A807" s="966" t="s">
        <v>109</v>
      </c>
      <c r="B807" s="1008" t="s">
        <v>110</v>
      </c>
      <c r="C807" s="973"/>
      <c r="D807" s="974"/>
      <c r="E807" s="474">
        <f t="shared" ref="E807" si="629">E808+E809</f>
        <v>0</v>
      </c>
      <c r="F807" s="474"/>
      <c r="G807" s="474"/>
      <c r="H807" s="473"/>
      <c r="I807" s="474"/>
      <c r="J807" s="474">
        <f t="shared" ref="J807" si="630">J808+J809</f>
        <v>0</v>
      </c>
      <c r="K807" s="474"/>
      <c r="L807" s="474"/>
      <c r="M807" s="473"/>
      <c r="N807" s="474"/>
      <c r="O807" s="474">
        <f t="shared" ref="O807" si="631">O808+O809</f>
        <v>0</v>
      </c>
      <c r="P807" s="474"/>
      <c r="Q807" s="219"/>
      <c r="R807" s="219"/>
    </row>
    <row r="808" spans="1:18" ht="12" hidden="1" customHeight="1">
      <c r="A808" s="767">
        <v>3000</v>
      </c>
      <c r="B808" s="768" t="s">
        <v>111</v>
      </c>
      <c r="C808" s="976"/>
      <c r="D808" s="976"/>
      <c r="E808" s="977"/>
      <c r="F808" s="978"/>
      <c r="G808" s="978"/>
      <c r="H808" s="473"/>
      <c r="I808" s="977"/>
      <c r="J808" s="977"/>
      <c r="K808" s="978"/>
      <c r="L808" s="978"/>
      <c r="M808" s="473"/>
      <c r="N808" s="977"/>
      <c r="O808" s="977"/>
      <c r="P808" s="978"/>
      <c r="Q808" s="219"/>
      <c r="R808" s="219"/>
    </row>
    <row r="809" spans="1:18" ht="12" hidden="1" customHeight="1">
      <c r="A809" s="767">
        <v>6000</v>
      </c>
      <c r="B809" s="768" t="s">
        <v>112</v>
      </c>
      <c r="C809" s="973"/>
      <c r="D809" s="975"/>
      <c r="E809" s="472"/>
      <c r="F809" s="472"/>
      <c r="G809" s="472"/>
      <c r="H809" s="473"/>
      <c r="I809" s="474"/>
      <c r="J809" s="472"/>
      <c r="K809" s="472"/>
      <c r="L809" s="472"/>
      <c r="M809" s="473"/>
      <c r="N809" s="474"/>
      <c r="O809" s="472"/>
      <c r="P809" s="472"/>
      <c r="Q809" s="219"/>
      <c r="R809" s="219"/>
    </row>
    <row r="810" spans="1:18" ht="22.8" hidden="1" customHeight="1">
      <c r="A810" s="966" t="s">
        <v>113</v>
      </c>
      <c r="B810" s="1008" t="s">
        <v>183</v>
      </c>
      <c r="C810" s="973"/>
      <c r="D810" s="974"/>
      <c r="E810" s="474">
        <f t="shared" ref="E810" si="632">E811+E812</f>
        <v>0</v>
      </c>
      <c r="F810" s="474"/>
      <c r="G810" s="474"/>
      <c r="H810" s="473"/>
      <c r="I810" s="474"/>
      <c r="J810" s="474">
        <f t="shared" ref="J810" si="633">J811+J812</f>
        <v>0</v>
      </c>
      <c r="K810" s="474"/>
      <c r="L810" s="474"/>
      <c r="M810" s="473"/>
      <c r="N810" s="474"/>
      <c r="O810" s="474">
        <f t="shared" ref="O810" si="634">O811+O812</f>
        <v>0</v>
      </c>
      <c r="P810" s="474"/>
      <c r="Q810" s="219"/>
      <c r="R810" s="219"/>
    </row>
    <row r="811" spans="1:18" ht="12" hidden="1" customHeight="1">
      <c r="A811" s="767">
        <v>7600</v>
      </c>
      <c r="B811" s="988" t="s">
        <v>184</v>
      </c>
      <c r="C811" s="973"/>
      <c r="D811" s="975"/>
      <c r="E811" s="472"/>
      <c r="F811" s="472"/>
      <c r="G811" s="472"/>
      <c r="H811" s="473"/>
      <c r="I811" s="474"/>
      <c r="J811" s="472"/>
      <c r="K811" s="472"/>
      <c r="L811" s="472"/>
      <c r="M811" s="473"/>
      <c r="N811" s="474"/>
      <c r="O811" s="472"/>
      <c r="P811" s="472"/>
      <c r="Q811" s="219"/>
      <c r="R811" s="219"/>
    </row>
    <row r="812" spans="1:18" ht="12" hidden="1" customHeight="1">
      <c r="A812" s="767">
        <v>7700</v>
      </c>
      <c r="B812" s="1009" t="s">
        <v>114</v>
      </c>
      <c r="C812" s="974"/>
      <c r="D812" s="974"/>
      <c r="E812" s="474"/>
      <c r="F812" s="472"/>
      <c r="G812" s="472"/>
      <c r="H812" s="473"/>
      <c r="I812" s="474"/>
      <c r="J812" s="474"/>
      <c r="K812" s="472"/>
      <c r="L812" s="472"/>
      <c r="M812" s="473"/>
      <c r="N812" s="474"/>
      <c r="O812" s="474"/>
      <c r="P812" s="472"/>
      <c r="Q812" s="219"/>
      <c r="R812" s="219"/>
    </row>
    <row r="813" spans="1:18" ht="20.399999999999999" hidden="1" customHeight="1">
      <c r="A813" s="966" t="s">
        <v>185</v>
      </c>
      <c r="B813" s="1008" t="s">
        <v>115</v>
      </c>
      <c r="C813" s="973"/>
      <c r="D813" s="974"/>
      <c r="E813" s="474">
        <f t="shared" ref="E813" si="635">E814+E820+E824+E827</f>
        <v>0</v>
      </c>
      <c r="F813" s="474"/>
      <c r="G813" s="474"/>
      <c r="H813" s="473"/>
      <c r="I813" s="474"/>
      <c r="J813" s="474">
        <f t="shared" ref="J813" si="636">J814+J820+J824+J827</f>
        <v>0</v>
      </c>
      <c r="K813" s="474"/>
      <c r="L813" s="474"/>
      <c r="M813" s="473"/>
      <c r="N813" s="474"/>
      <c r="O813" s="474">
        <f t="shared" ref="O813" si="637">O814+O820+O824+O827</f>
        <v>0</v>
      </c>
      <c r="P813" s="474"/>
      <c r="Q813" s="219"/>
      <c r="R813" s="219"/>
    </row>
    <row r="814" spans="1:18" ht="12" hidden="1" customHeight="1">
      <c r="A814" s="767">
        <v>7100</v>
      </c>
      <c r="B814" s="988" t="s">
        <v>116</v>
      </c>
      <c r="C814" s="973"/>
      <c r="D814" s="974"/>
      <c r="E814" s="474">
        <f t="shared" ref="E814" si="638">E815+E816</f>
        <v>0</v>
      </c>
      <c r="F814" s="474"/>
      <c r="G814" s="474"/>
      <c r="H814" s="473"/>
      <c r="I814" s="474"/>
      <c r="J814" s="474">
        <f t="shared" ref="J814" si="639">J815+J816</f>
        <v>0</v>
      </c>
      <c r="K814" s="474"/>
      <c r="L814" s="474"/>
      <c r="M814" s="473"/>
      <c r="N814" s="474"/>
      <c r="O814" s="474">
        <f t="shared" ref="O814" si="640">O815+O816</f>
        <v>0</v>
      </c>
      <c r="P814" s="474"/>
      <c r="Q814" s="219"/>
      <c r="R814" s="219"/>
    </row>
    <row r="815" spans="1:18" ht="24" hidden="1" customHeight="1">
      <c r="A815" s="989" t="s">
        <v>117</v>
      </c>
      <c r="B815" s="988" t="s">
        <v>118</v>
      </c>
      <c r="C815" s="973"/>
      <c r="D815" s="974"/>
      <c r="E815" s="474"/>
      <c r="F815" s="474"/>
      <c r="G815" s="474"/>
      <c r="H815" s="473"/>
      <c r="I815" s="474"/>
      <c r="J815" s="474"/>
      <c r="K815" s="474"/>
      <c r="L815" s="474"/>
      <c r="M815" s="473"/>
      <c r="N815" s="474"/>
      <c r="O815" s="474"/>
      <c r="P815" s="474"/>
      <c r="Q815" s="219"/>
      <c r="R815" s="219"/>
    </row>
    <row r="816" spans="1:18" ht="24" hidden="1" customHeight="1">
      <c r="A816" s="989">
        <v>7130</v>
      </c>
      <c r="B816" s="988" t="s">
        <v>119</v>
      </c>
      <c r="C816" s="973"/>
      <c r="D816" s="974"/>
      <c r="E816" s="474">
        <f t="shared" ref="E816" si="641">SUM(E817:E819)</f>
        <v>0</v>
      </c>
      <c r="F816" s="474"/>
      <c r="G816" s="474"/>
      <c r="H816" s="473"/>
      <c r="I816" s="474"/>
      <c r="J816" s="474">
        <f t="shared" ref="J816" si="642">SUM(J817:J819)</f>
        <v>0</v>
      </c>
      <c r="K816" s="474"/>
      <c r="L816" s="474"/>
      <c r="M816" s="473"/>
      <c r="N816" s="474"/>
      <c r="O816" s="474">
        <f t="shared" ref="O816" si="643">SUM(O817:O819)</f>
        <v>0</v>
      </c>
      <c r="P816" s="474"/>
      <c r="Q816" s="219"/>
      <c r="R816" s="219"/>
    </row>
    <row r="817" spans="1:18" ht="36" hidden="1" customHeight="1">
      <c r="A817" s="990">
        <v>7131</v>
      </c>
      <c r="B817" s="988" t="s">
        <v>120</v>
      </c>
      <c r="C817" s="973"/>
      <c r="D817" s="974"/>
      <c r="E817" s="474"/>
      <c r="F817" s="474"/>
      <c r="G817" s="474"/>
      <c r="H817" s="473"/>
      <c r="I817" s="474"/>
      <c r="J817" s="474"/>
      <c r="K817" s="474"/>
      <c r="L817" s="474"/>
      <c r="M817" s="473"/>
      <c r="N817" s="474"/>
      <c r="O817" s="474"/>
      <c r="P817" s="474"/>
      <c r="Q817" s="219"/>
      <c r="R817" s="219"/>
    </row>
    <row r="818" spans="1:18" ht="36" hidden="1" customHeight="1">
      <c r="A818" s="990">
        <v>7132</v>
      </c>
      <c r="B818" s="988" t="s">
        <v>121</v>
      </c>
      <c r="C818" s="973"/>
      <c r="D818" s="974"/>
      <c r="E818" s="474"/>
      <c r="F818" s="474"/>
      <c r="G818" s="474"/>
      <c r="H818" s="473"/>
      <c r="I818" s="474"/>
      <c r="J818" s="474"/>
      <c r="K818" s="474"/>
      <c r="L818" s="474"/>
      <c r="M818" s="473"/>
      <c r="N818" s="474"/>
      <c r="O818" s="474"/>
      <c r="P818" s="474"/>
      <c r="Q818" s="219"/>
      <c r="R818" s="219"/>
    </row>
    <row r="819" spans="1:18" ht="24" hidden="1" customHeight="1">
      <c r="A819" s="990" t="s">
        <v>186</v>
      </c>
      <c r="B819" s="988" t="s">
        <v>187</v>
      </c>
      <c r="C819" s="973"/>
      <c r="D819" s="974"/>
      <c r="E819" s="474"/>
      <c r="F819" s="474"/>
      <c r="G819" s="474"/>
      <c r="H819" s="473"/>
      <c r="I819" s="474"/>
      <c r="J819" s="474"/>
      <c r="K819" s="474"/>
      <c r="L819" s="474"/>
      <c r="M819" s="473"/>
      <c r="N819" s="474"/>
      <c r="O819" s="474"/>
      <c r="P819" s="474"/>
      <c r="Q819" s="219"/>
      <c r="R819" s="219"/>
    </row>
    <row r="820" spans="1:18" ht="24" hidden="1" customHeight="1">
      <c r="A820" s="767">
        <v>7300</v>
      </c>
      <c r="B820" s="991" t="s">
        <v>155</v>
      </c>
      <c r="C820" s="973"/>
      <c r="D820" s="974"/>
      <c r="E820" s="474">
        <f t="shared" ref="E820" si="644">SUM(E821:E823)</f>
        <v>0</v>
      </c>
      <c r="F820" s="474"/>
      <c r="G820" s="474"/>
      <c r="H820" s="473"/>
      <c r="I820" s="474"/>
      <c r="J820" s="474">
        <f t="shared" ref="J820" si="645">SUM(J821:J823)</f>
        <v>0</v>
      </c>
      <c r="K820" s="474"/>
      <c r="L820" s="474"/>
      <c r="M820" s="473"/>
      <c r="N820" s="474"/>
      <c r="O820" s="474">
        <f t="shared" ref="O820" si="646">SUM(O821:O823)</f>
        <v>0</v>
      </c>
      <c r="P820" s="474"/>
      <c r="Q820" s="219"/>
      <c r="R820" s="219"/>
    </row>
    <row r="821" spans="1:18" ht="24" hidden="1" customHeight="1">
      <c r="A821" s="989" t="s">
        <v>188</v>
      </c>
      <c r="B821" s="988" t="s">
        <v>170</v>
      </c>
      <c r="C821" s="983"/>
      <c r="D821" s="984"/>
      <c r="E821" s="985"/>
      <c r="F821" s="985"/>
      <c r="G821" s="985"/>
      <c r="H821" s="473"/>
      <c r="I821" s="985"/>
      <c r="J821" s="985"/>
      <c r="K821" s="985"/>
      <c r="L821" s="985"/>
      <c r="M821" s="473"/>
      <c r="N821" s="985"/>
      <c r="O821" s="985"/>
      <c r="P821" s="985"/>
      <c r="Q821" s="219"/>
      <c r="R821" s="219"/>
    </row>
    <row r="822" spans="1:18" ht="48" hidden="1" customHeight="1">
      <c r="A822" s="989" t="s">
        <v>189</v>
      </c>
      <c r="B822" s="988" t="s">
        <v>156</v>
      </c>
      <c r="C822" s="983"/>
      <c r="D822" s="984"/>
      <c r="E822" s="985"/>
      <c r="F822" s="985"/>
      <c r="G822" s="985"/>
      <c r="H822" s="473"/>
      <c r="I822" s="985"/>
      <c r="J822" s="985"/>
      <c r="K822" s="985"/>
      <c r="L822" s="985"/>
      <c r="M822" s="473"/>
      <c r="N822" s="985"/>
      <c r="O822" s="985"/>
      <c r="P822" s="985"/>
      <c r="Q822" s="219"/>
      <c r="R822" s="219"/>
    </row>
    <row r="823" spans="1:18" ht="36" hidden="1" customHeight="1">
      <c r="A823" s="989">
        <v>7350</v>
      </c>
      <c r="B823" s="988" t="s">
        <v>163</v>
      </c>
      <c r="C823" s="983"/>
      <c r="D823" s="984"/>
      <c r="E823" s="985"/>
      <c r="F823" s="985"/>
      <c r="G823" s="985"/>
      <c r="H823" s="473"/>
      <c r="I823" s="985"/>
      <c r="J823" s="985"/>
      <c r="K823" s="985"/>
      <c r="L823" s="985"/>
      <c r="M823" s="473"/>
      <c r="N823" s="985"/>
      <c r="O823" s="985"/>
      <c r="P823" s="985"/>
      <c r="Q823" s="219"/>
      <c r="R823" s="219"/>
    </row>
    <row r="824" spans="1:18" ht="24" hidden="1" customHeight="1">
      <c r="A824" s="767">
        <v>7400</v>
      </c>
      <c r="B824" s="991" t="s">
        <v>161</v>
      </c>
      <c r="C824" s="973"/>
      <c r="D824" s="974"/>
      <c r="E824" s="474">
        <f t="shared" ref="E824" si="647">SUM(E825:E826)</f>
        <v>0</v>
      </c>
      <c r="F824" s="474"/>
      <c r="G824" s="474"/>
      <c r="H824" s="473"/>
      <c r="I824" s="474"/>
      <c r="J824" s="474">
        <f t="shared" ref="J824" si="648">SUM(J825:J826)</f>
        <v>0</v>
      </c>
      <c r="K824" s="474"/>
      <c r="L824" s="474"/>
      <c r="M824" s="473"/>
      <c r="N824" s="474"/>
      <c r="O824" s="474">
        <f t="shared" ref="O824" si="649">SUM(O825:O826)</f>
        <v>0</v>
      </c>
      <c r="P824" s="474"/>
      <c r="Q824" s="219"/>
      <c r="R824" s="219"/>
    </row>
    <row r="825" spans="1:18" ht="24" hidden="1" customHeight="1">
      <c r="A825" s="989">
        <v>7460</v>
      </c>
      <c r="B825" s="991" t="s">
        <v>162</v>
      </c>
      <c r="C825" s="983"/>
      <c r="D825" s="984"/>
      <c r="E825" s="985"/>
      <c r="F825" s="985"/>
      <c r="G825" s="985"/>
      <c r="H825" s="473"/>
      <c r="I825" s="985"/>
      <c r="J825" s="985"/>
      <c r="K825" s="985"/>
      <c r="L825" s="985"/>
      <c r="M825" s="473"/>
      <c r="N825" s="985"/>
      <c r="O825" s="985"/>
      <c r="P825" s="985"/>
      <c r="Q825" s="219"/>
      <c r="R825" s="219"/>
    </row>
    <row r="826" spans="1:18" ht="36" hidden="1" customHeight="1">
      <c r="A826" s="989">
        <v>7470</v>
      </c>
      <c r="B826" s="988" t="s">
        <v>167</v>
      </c>
      <c r="C826" s="983"/>
      <c r="D826" s="984"/>
      <c r="E826" s="985"/>
      <c r="F826" s="985"/>
      <c r="G826" s="985"/>
      <c r="H826" s="473"/>
      <c r="I826" s="985"/>
      <c r="J826" s="985"/>
      <c r="K826" s="985"/>
      <c r="L826" s="985"/>
      <c r="M826" s="473"/>
      <c r="N826" s="985"/>
      <c r="O826" s="985"/>
      <c r="P826" s="985"/>
      <c r="Q826" s="219"/>
      <c r="R826" s="219"/>
    </row>
    <row r="827" spans="1:18" ht="24" hidden="1" customHeight="1">
      <c r="A827" s="767">
        <v>7500</v>
      </c>
      <c r="B827" s="988" t="s">
        <v>157</v>
      </c>
      <c r="C827" s="973"/>
      <c r="D827" s="974"/>
      <c r="E827" s="474"/>
      <c r="F827" s="474"/>
      <c r="G827" s="474"/>
      <c r="H827" s="473"/>
      <c r="I827" s="474"/>
      <c r="J827" s="474"/>
      <c r="K827" s="474"/>
      <c r="L827" s="474"/>
      <c r="M827" s="473"/>
      <c r="N827" s="474"/>
      <c r="O827" s="474"/>
      <c r="P827" s="474"/>
      <c r="Q827" s="219"/>
      <c r="R827" s="219"/>
    </row>
    <row r="828" spans="1:18" ht="12" hidden="1" customHeight="1">
      <c r="A828" s="966" t="s">
        <v>133</v>
      </c>
      <c r="B828" s="1008" t="s">
        <v>122</v>
      </c>
      <c r="C828" s="969"/>
      <c r="D828" s="970"/>
      <c r="E828" s="971">
        <f t="shared" ref="E828" si="650">E829+E830</f>
        <v>0</v>
      </c>
      <c r="F828" s="971"/>
      <c r="G828" s="971"/>
      <c r="H828" s="473"/>
      <c r="I828" s="971"/>
      <c r="J828" s="971">
        <f t="shared" ref="J828" si="651">J829+J830</f>
        <v>0</v>
      </c>
      <c r="K828" s="971"/>
      <c r="L828" s="971"/>
      <c r="M828" s="473"/>
      <c r="N828" s="971"/>
      <c r="O828" s="971">
        <f t="shared" ref="O828" si="652">O829+O830</f>
        <v>0</v>
      </c>
      <c r="P828" s="971"/>
      <c r="Q828" s="219"/>
      <c r="R828" s="219"/>
    </row>
    <row r="829" spans="1:18" ht="12" hidden="1" customHeight="1">
      <c r="A829" s="966">
        <v>5000</v>
      </c>
      <c r="B829" s="1008" t="s">
        <v>123</v>
      </c>
      <c r="C829" s="973"/>
      <c r="D829" s="974"/>
      <c r="E829" s="474"/>
      <c r="F829" s="472"/>
      <c r="G829" s="472"/>
      <c r="H829" s="473"/>
      <c r="I829" s="474"/>
      <c r="J829" s="474"/>
      <c r="K829" s="472"/>
      <c r="L829" s="472"/>
      <c r="M829" s="473"/>
      <c r="N829" s="474"/>
      <c r="O829" s="474"/>
      <c r="P829" s="472"/>
      <c r="Q829" s="219"/>
      <c r="R829" s="219"/>
    </row>
    <row r="830" spans="1:18" ht="12" hidden="1" customHeight="1">
      <c r="A830" s="966">
        <v>9000</v>
      </c>
      <c r="B830" s="986" t="s">
        <v>164</v>
      </c>
      <c r="C830" s="973"/>
      <c r="D830" s="974"/>
      <c r="E830" s="474">
        <f t="shared" ref="E830" si="653">E831+E837+E841+E844</f>
        <v>0</v>
      </c>
      <c r="F830" s="474"/>
      <c r="G830" s="474"/>
      <c r="H830" s="473"/>
      <c r="I830" s="474"/>
      <c r="J830" s="474">
        <f t="shared" ref="J830" si="654">J831+J837+J841+J844</f>
        <v>0</v>
      </c>
      <c r="K830" s="474"/>
      <c r="L830" s="474"/>
      <c r="M830" s="473"/>
      <c r="N830" s="474"/>
      <c r="O830" s="474">
        <f t="shared" ref="O830" si="655">O831+O837+O841+O844</f>
        <v>0</v>
      </c>
      <c r="P830" s="474"/>
      <c r="Q830" s="219"/>
      <c r="R830" s="219"/>
    </row>
    <row r="831" spans="1:18" ht="12" hidden="1" customHeight="1">
      <c r="A831" s="987">
        <v>9100</v>
      </c>
      <c r="B831" s="988" t="s">
        <v>124</v>
      </c>
      <c r="C831" s="973"/>
      <c r="D831" s="974"/>
      <c r="E831" s="474">
        <f t="shared" ref="E831" si="656">SUM(E832:E833)</f>
        <v>0</v>
      </c>
      <c r="F831" s="474"/>
      <c r="G831" s="474"/>
      <c r="H831" s="473"/>
      <c r="I831" s="474"/>
      <c r="J831" s="474">
        <f t="shared" ref="J831" si="657">SUM(J832:J833)</f>
        <v>0</v>
      </c>
      <c r="K831" s="474"/>
      <c r="L831" s="474"/>
      <c r="M831" s="473"/>
      <c r="N831" s="474"/>
      <c r="O831" s="474">
        <f t="shared" ref="O831" si="658">SUM(O832:O833)</f>
        <v>0</v>
      </c>
      <c r="P831" s="474"/>
      <c r="Q831" s="219"/>
      <c r="R831" s="219"/>
    </row>
    <row r="832" spans="1:18" ht="24" hidden="1" customHeight="1">
      <c r="A832" s="989" t="s">
        <v>125</v>
      </c>
      <c r="B832" s="988" t="s">
        <v>214</v>
      </c>
      <c r="C832" s="973"/>
      <c r="D832" s="974"/>
      <c r="E832" s="474"/>
      <c r="F832" s="474"/>
      <c r="G832" s="474"/>
      <c r="H832" s="473"/>
      <c r="I832" s="474"/>
      <c r="J832" s="474"/>
      <c r="K832" s="474"/>
      <c r="L832" s="474"/>
      <c r="M832" s="473"/>
      <c r="N832" s="474"/>
      <c r="O832" s="474"/>
      <c r="P832" s="474"/>
      <c r="Q832" s="219"/>
      <c r="R832" s="219"/>
    </row>
    <row r="833" spans="1:18" ht="24" hidden="1" customHeight="1">
      <c r="A833" s="989">
        <v>9140</v>
      </c>
      <c r="B833" s="988" t="s">
        <v>215</v>
      </c>
      <c r="C833" s="973"/>
      <c r="D833" s="974"/>
      <c r="E833" s="474">
        <f t="shared" ref="E833" si="659">SUM(E834:E836)</f>
        <v>0</v>
      </c>
      <c r="F833" s="474"/>
      <c r="G833" s="474"/>
      <c r="H833" s="473"/>
      <c r="I833" s="474"/>
      <c r="J833" s="474">
        <f t="shared" ref="J833" si="660">SUM(J834:J836)</f>
        <v>0</v>
      </c>
      <c r="K833" s="474"/>
      <c r="L833" s="474"/>
      <c r="M833" s="473"/>
      <c r="N833" s="474"/>
      <c r="O833" s="474">
        <f t="shared" ref="O833" si="661">SUM(O834:O836)</f>
        <v>0</v>
      </c>
      <c r="P833" s="474"/>
      <c r="Q833" s="219"/>
      <c r="R833" s="219"/>
    </row>
    <row r="834" spans="1:18" ht="36" hidden="1" customHeight="1">
      <c r="A834" s="990">
        <v>9141</v>
      </c>
      <c r="B834" s="991" t="s">
        <v>190</v>
      </c>
      <c r="C834" s="983"/>
      <c r="D834" s="984"/>
      <c r="E834" s="985"/>
      <c r="F834" s="985"/>
      <c r="G834" s="985"/>
      <c r="H834" s="473"/>
      <c r="I834" s="985"/>
      <c r="J834" s="985"/>
      <c r="K834" s="985"/>
      <c r="L834" s="985"/>
      <c r="M834" s="473"/>
      <c r="N834" s="985"/>
      <c r="O834" s="985"/>
      <c r="P834" s="985"/>
      <c r="Q834" s="219"/>
      <c r="R834" s="219"/>
    </row>
    <row r="835" spans="1:18" ht="36" hidden="1" customHeight="1">
      <c r="A835" s="990">
        <v>9142</v>
      </c>
      <c r="B835" s="991" t="s">
        <v>191</v>
      </c>
      <c r="C835" s="983"/>
      <c r="D835" s="984"/>
      <c r="E835" s="985"/>
      <c r="F835" s="985"/>
      <c r="G835" s="985"/>
      <c r="H835" s="473"/>
      <c r="I835" s="985"/>
      <c r="J835" s="985"/>
      <c r="K835" s="985"/>
      <c r="L835" s="985"/>
      <c r="M835" s="473"/>
      <c r="N835" s="985"/>
      <c r="O835" s="985"/>
      <c r="P835" s="985"/>
      <c r="Q835" s="219"/>
      <c r="R835" s="219"/>
    </row>
    <row r="836" spans="1:18" ht="24" hidden="1" customHeight="1">
      <c r="A836" s="990">
        <v>9149</v>
      </c>
      <c r="B836" s="991" t="s">
        <v>192</v>
      </c>
      <c r="C836" s="983"/>
      <c r="D836" s="984"/>
      <c r="E836" s="985"/>
      <c r="F836" s="985"/>
      <c r="G836" s="985"/>
      <c r="H836" s="473"/>
      <c r="I836" s="985"/>
      <c r="J836" s="985"/>
      <c r="K836" s="985"/>
      <c r="L836" s="985"/>
      <c r="M836" s="473"/>
      <c r="N836" s="985"/>
      <c r="O836" s="985"/>
      <c r="P836" s="985"/>
      <c r="Q836" s="219"/>
      <c r="R836" s="219"/>
    </row>
    <row r="837" spans="1:18" ht="24" hidden="1" customHeight="1">
      <c r="A837" s="987">
        <v>9500</v>
      </c>
      <c r="B837" s="991" t="s">
        <v>165</v>
      </c>
      <c r="C837" s="973"/>
      <c r="D837" s="974"/>
      <c r="E837" s="474">
        <f t="shared" ref="E837" si="662">SUM(E838:E840)</f>
        <v>0</v>
      </c>
      <c r="F837" s="474"/>
      <c r="G837" s="474"/>
      <c r="H837" s="473"/>
      <c r="I837" s="474"/>
      <c r="J837" s="474">
        <f t="shared" ref="J837" si="663">SUM(J838:J840)</f>
        <v>0</v>
      </c>
      <c r="K837" s="474"/>
      <c r="L837" s="474"/>
      <c r="M837" s="473"/>
      <c r="N837" s="474"/>
      <c r="O837" s="474">
        <f t="shared" ref="O837" si="664">SUM(O838:O840)</f>
        <v>0</v>
      </c>
      <c r="P837" s="474"/>
      <c r="Q837" s="219"/>
      <c r="R837" s="219"/>
    </row>
    <row r="838" spans="1:18" ht="24" hidden="1" customHeight="1">
      <c r="A838" s="989" t="s">
        <v>193</v>
      </c>
      <c r="B838" s="991" t="s">
        <v>171</v>
      </c>
      <c r="C838" s="973"/>
      <c r="D838" s="974"/>
      <c r="E838" s="474"/>
      <c r="F838" s="474"/>
      <c r="G838" s="474"/>
      <c r="H838" s="473"/>
      <c r="I838" s="474"/>
      <c r="J838" s="474"/>
      <c r="K838" s="474"/>
      <c r="L838" s="474"/>
      <c r="M838" s="473"/>
      <c r="N838" s="474"/>
      <c r="O838" s="474"/>
      <c r="P838" s="474"/>
      <c r="Q838" s="219"/>
      <c r="R838" s="219"/>
    </row>
    <row r="839" spans="1:18" ht="48" hidden="1" customHeight="1">
      <c r="A839" s="989">
        <v>9580</v>
      </c>
      <c r="B839" s="991" t="s">
        <v>166</v>
      </c>
      <c r="C839" s="983"/>
      <c r="D839" s="984"/>
      <c r="E839" s="985"/>
      <c r="F839" s="985"/>
      <c r="G839" s="985"/>
      <c r="H839" s="473"/>
      <c r="I839" s="985"/>
      <c r="J839" s="985"/>
      <c r="K839" s="985"/>
      <c r="L839" s="985"/>
      <c r="M839" s="473"/>
      <c r="N839" s="985"/>
      <c r="O839" s="985"/>
      <c r="P839" s="985"/>
      <c r="Q839" s="219"/>
      <c r="R839" s="219"/>
    </row>
    <row r="840" spans="1:18" ht="36" hidden="1" customHeight="1">
      <c r="A840" s="989">
        <v>9590</v>
      </c>
      <c r="B840" s="988" t="s">
        <v>172</v>
      </c>
      <c r="C840" s="983"/>
      <c r="D840" s="984"/>
      <c r="E840" s="985"/>
      <c r="F840" s="985"/>
      <c r="G840" s="985"/>
      <c r="H840" s="473"/>
      <c r="I840" s="985"/>
      <c r="J840" s="985"/>
      <c r="K840" s="985"/>
      <c r="L840" s="985"/>
      <c r="M840" s="473"/>
      <c r="N840" s="985"/>
      <c r="O840" s="985"/>
      <c r="P840" s="985"/>
      <c r="Q840" s="219"/>
      <c r="R840" s="219"/>
    </row>
    <row r="841" spans="1:18" ht="24" hidden="1" customHeight="1">
      <c r="A841" s="987">
        <v>9700</v>
      </c>
      <c r="B841" s="992" t="s">
        <v>194</v>
      </c>
      <c r="C841" s="973"/>
      <c r="D841" s="974"/>
      <c r="E841" s="474">
        <f t="shared" ref="E841" si="665">SUM(E842:E843)</f>
        <v>0</v>
      </c>
      <c r="F841" s="474"/>
      <c r="G841" s="474"/>
      <c r="H841" s="473"/>
      <c r="I841" s="474"/>
      <c r="J841" s="474">
        <f t="shared" ref="J841" si="666">SUM(J842:J843)</f>
        <v>0</v>
      </c>
      <c r="K841" s="474"/>
      <c r="L841" s="474"/>
      <c r="M841" s="473"/>
      <c r="N841" s="474"/>
      <c r="O841" s="474">
        <f t="shared" ref="O841" si="667">SUM(O842:O843)</f>
        <v>0</v>
      </c>
      <c r="P841" s="474"/>
      <c r="Q841" s="219"/>
      <c r="R841" s="219"/>
    </row>
    <row r="842" spans="1:18" ht="24" hidden="1" customHeight="1">
      <c r="A842" s="989">
        <v>9710</v>
      </c>
      <c r="B842" s="993" t="s">
        <v>195</v>
      </c>
      <c r="C842" s="983"/>
      <c r="D842" s="984"/>
      <c r="E842" s="985"/>
      <c r="F842" s="985"/>
      <c r="G842" s="985"/>
      <c r="H842" s="473"/>
      <c r="I842" s="985"/>
      <c r="J842" s="985"/>
      <c r="K842" s="985"/>
      <c r="L842" s="985"/>
      <c r="M842" s="473"/>
      <c r="N842" s="985"/>
      <c r="O842" s="985"/>
      <c r="P842" s="985"/>
      <c r="Q842" s="219"/>
      <c r="R842" s="219"/>
    </row>
    <row r="843" spans="1:18" ht="36" hidden="1" customHeight="1">
      <c r="A843" s="994">
        <v>9720</v>
      </c>
      <c r="B843" s="992" t="s">
        <v>196</v>
      </c>
      <c r="C843" s="983"/>
      <c r="D843" s="984"/>
      <c r="E843" s="985"/>
      <c r="F843" s="985"/>
      <c r="G843" s="985"/>
      <c r="H843" s="473"/>
      <c r="I843" s="985"/>
      <c r="J843" s="985"/>
      <c r="K843" s="985"/>
      <c r="L843" s="985"/>
      <c r="M843" s="473"/>
      <c r="N843" s="985"/>
      <c r="O843" s="985"/>
      <c r="P843" s="985"/>
      <c r="Q843" s="219"/>
      <c r="R843" s="219"/>
    </row>
    <row r="844" spans="1:18" ht="24" hidden="1" customHeight="1">
      <c r="A844" s="987">
        <v>9600</v>
      </c>
      <c r="B844" s="988" t="s">
        <v>134</v>
      </c>
      <c r="C844" s="983"/>
      <c r="D844" s="984"/>
      <c r="E844" s="985">
        <v>0</v>
      </c>
      <c r="F844" s="985"/>
      <c r="G844" s="985"/>
      <c r="H844" s="473"/>
      <c r="I844" s="985"/>
      <c r="J844" s="985"/>
      <c r="K844" s="985"/>
      <c r="L844" s="985"/>
      <c r="M844" s="473"/>
      <c r="N844" s="985"/>
      <c r="O844" s="985"/>
      <c r="P844" s="985"/>
      <c r="Q844" s="219"/>
      <c r="R844" s="219"/>
    </row>
    <row r="845" spans="1:18" ht="30.6" hidden="1" customHeight="1">
      <c r="A845" s="965" t="s">
        <v>197</v>
      </c>
      <c r="B845" s="995" t="s">
        <v>47</v>
      </c>
      <c r="C845" s="996"/>
      <c r="D845" s="997"/>
      <c r="E845" s="998">
        <v>0</v>
      </c>
      <c r="F845" s="998"/>
      <c r="G845" s="998"/>
      <c r="H845" s="473"/>
      <c r="I845" s="998"/>
      <c r="J845" s="998"/>
      <c r="K845" s="998"/>
      <c r="L845" s="998"/>
      <c r="M845" s="473"/>
      <c r="N845" s="998"/>
      <c r="O845" s="998">
        <v>0</v>
      </c>
      <c r="P845" s="998"/>
      <c r="Q845" s="219"/>
      <c r="R845" s="219"/>
    </row>
    <row r="846" spans="1:18" ht="12" hidden="1" customHeight="1">
      <c r="A846" s="999" t="s">
        <v>48</v>
      </c>
      <c r="B846" s="995" t="s">
        <v>49</v>
      </c>
      <c r="C846" s="996"/>
      <c r="D846" s="997"/>
      <c r="E846" s="998">
        <f t="shared" ref="E846" si="668">E847+E850+E854+E853</f>
        <v>0</v>
      </c>
      <c r="F846" s="998"/>
      <c r="G846" s="998"/>
      <c r="H846" s="473"/>
      <c r="I846" s="998"/>
      <c r="J846" s="998">
        <f t="shared" ref="J846" si="669">J847+J850+J854+J853</f>
        <v>0</v>
      </c>
      <c r="K846" s="998"/>
      <c r="L846" s="998"/>
      <c r="M846" s="473"/>
      <c r="N846" s="998"/>
      <c r="O846" s="998">
        <f t="shared" ref="O846" si="670">O847+O850+O854+O853</f>
        <v>0</v>
      </c>
      <c r="P846" s="998"/>
      <c r="Q846" s="219"/>
      <c r="R846" s="219"/>
    </row>
    <row r="847" spans="1:18" ht="12" hidden="1" customHeight="1">
      <c r="A847" s="987" t="s">
        <v>50</v>
      </c>
      <c r="B847" s="988" t="s">
        <v>51</v>
      </c>
      <c r="C847" s="1000"/>
      <c r="D847" s="1001"/>
      <c r="E847" s="1002">
        <f t="shared" ref="E847" si="671">E848+E849</f>
        <v>0</v>
      </c>
      <c r="F847" s="1002"/>
      <c r="G847" s="1002"/>
      <c r="H847" s="473"/>
      <c r="I847" s="1002"/>
      <c r="J847" s="1002">
        <f t="shared" ref="J847" si="672">J848+J849</f>
        <v>0</v>
      </c>
      <c r="K847" s="1002"/>
      <c r="L847" s="1002"/>
      <c r="M847" s="473"/>
      <c r="N847" s="1002"/>
      <c r="O847" s="1002">
        <f t="shared" ref="O847" si="673">O848+O849</f>
        <v>0</v>
      </c>
      <c r="P847" s="1002"/>
      <c r="Q847" s="219"/>
      <c r="R847" s="219"/>
    </row>
    <row r="848" spans="1:18" ht="12" hidden="1" customHeight="1">
      <c r="A848" s="987" t="s">
        <v>52</v>
      </c>
      <c r="B848" s="988" t="s">
        <v>53</v>
      </c>
      <c r="C848" s="1000"/>
      <c r="D848" s="1001"/>
      <c r="E848" s="1002"/>
      <c r="F848" s="1002"/>
      <c r="G848" s="1002"/>
      <c r="H848" s="473"/>
      <c r="I848" s="1002"/>
      <c r="J848" s="1002"/>
      <c r="K848" s="1002"/>
      <c r="L848" s="1002"/>
      <c r="M848" s="473"/>
      <c r="N848" s="1002"/>
      <c r="O848" s="1002"/>
      <c r="P848" s="1002"/>
      <c r="Q848" s="219"/>
      <c r="R848" s="219"/>
    </row>
    <row r="849" spans="1:18" ht="12" hidden="1" customHeight="1">
      <c r="A849" s="987" t="s">
        <v>54</v>
      </c>
      <c r="B849" s="988" t="s">
        <v>55</v>
      </c>
      <c r="C849" s="1000"/>
      <c r="D849" s="1001"/>
      <c r="E849" s="1002"/>
      <c r="F849" s="1002"/>
      <c r="G849" s="1002"/>
      <c r="H849" s="473"/>
      <c r="I849" s="1002"/>
      <c r="J849" s="1002"/>
      <c r="K849" s="1002"/>
      <c r="L849" s="1002"/>
      <c r="M849" s="473"/>
      <c r="N849" s="1002"/>
      <c r="O849" s="1002"/>
      <c r="P849" s="1002"/>
      <c r="Q849" s="219"/>
      <c r="R849" s="219"/>
    </row>
    <row r="850" spans="1:18" ht="12" hidden="1" customHeight="1">
      <c r="A850" s="987" t="s">
        <v>56</v>
      </c>
      <c r="B850" s="988" t="s">
        <v>57</v>
      </c>
      <c r="C850" s="1000"/>
      <c r="D850" s="1001"/>
      <c r="E850" s="1002">
        <f t="shared" ref="E850" si="674">E851+E852</f>
        <v>0</v>
      </c>
      <c r="F850" s="1002"/>
      <c r="G850" s="1002"/>
      <c r="H850" s="473"/>
      <c r="I850" s="1002"/>
      <c r="J850" s="1002">
        <f t="shared" ref="J850" si="675">J851+J852</f>
        <v>0</v>
      </c>
      <c r="K850" s="1002"/>
      <c r="L850" s="1002"/>
      <c r="M850" s="473"/>
      <c r="N850" s="1002"/>
      <c r="O850" s="1002">
        <f t="shared" ref="O850" si="676">O851+O852</f>
        <v>0</v>
      </c>
      <c r="P850" s="1002"/>
      <c r="Q850" s="219"/>
      <c r="R850" s="219"/>
    </row>
    <row r="851" spans="1:18" ht="12" hidden="1" customHeight="1">
      <c r="A851" s="987" t="s">
        <v>58</v>
      </c>
      <c r="B851" s="988" t="s">
        <v>59</v>
      </c>
      <c r="C851" s="1000"/>
      <c r="D851" s="1001"/>
      <c r="E851" s="1002"/>
      <c r="F851" s="1002"/>
      <c r="G851" s="1002"/>
      <c r="H851" s="473"/>
      <c r="I851" s="1002"/>
      <c r="J851" s="1002"/>
      <c r="K851" s="1002"/>
      <c r="L851" s="1002"/>
      <c r="M851" s="473"/>
      <c r="N851" s="1002"/>
      <c r="O851" s="1002"/>
      <c r="P851" s="1002"/>
      <c r="Q851" s="219"/>
      <c r="R851" s="219"/>
    </row>
    <row r="852" spans="1:18" ht="12" hidden="1" customHeight="1">
      <c r="A852" s="987" t="s">
        <v>60</v>
      </c>
      <c r="B852" s="988" t="s">
        <v>61</v>
      </c>
      <c r="C852" s="1000"/>
      <c r="D852" s="1001"/>
      <c r="E852" s="1002"/>
      <c r="F852" s="1002"/>
      <c r="G852" s="1002"/>
      <c r="H852" s="473"/>
      <c r="I852" s="1002"/>
      <c r="J852" s="1002"/>
      <c r="K852" s="1002"/>
      <c r="L852" s="1002"/>
      <c r="M852" s="473"/>
      <c r="N852" s="1002"/>
      <c r="O852" s="1002"/>
      <c r="P852" s="1002"/>
      <c r="Q852" s="219"/>
      <c r="R852" s="219"/>
    </row>
    <row r="853" spans="1:18" ht="12" hidden="1" customHeight="1">
      <c r="A853" s="987" t="s">
        <v>198</v>
      </c>
      <c r="B853" s="1003" t="s">
        <v>168</v>
      </c>
      <c r="C853" s="1000"/>
      <c r="D853" s="1001"/>
      <c r="E853" s="1002"/>
      <c r="F853" s="1002"/>
      <c r="G853" s="1002"/>
      <c r="H853" s="473"/>
      <c r="I853" s="1002"/>
      <c r="J853" s="1002"/>
      <c r="K853" s="1002"/>
      <c r="L853" s="1002"/>
      <c r="M853" s="473"/>
      <c r="N853" s="1002"/>
      <c r="O853" s="1002"/>
      <c r="P853" s="1002"/>
      <c r="Q853" s="219"/>
      <c r="R853" s="219"/>
    </row>
    <row r="854" spans="1:18" ht="12" hidden="1" customHeight="1">
      <c r="A854" s="1004" t="s">
        <v>62</v>
      </c>
      <c r="B854" s="768" t="s">
        <v>63</v>
      </c>
      <c r="C854" s="973"/>
      <c r="D854" s="974"/>
      <c r="E854" s="474">
        <v>0</v>
      </c>
      <c r="F854" s="474"/>
      <c r="G854" s="474"/>
      <c r="H854" s="473"/>
      <c r="I854" s="474"/>
      <c r="J854" s="474"/>
      <c r="K854" s="474"/>
      <c r="L854" s="474"/>
      <c r="M854" s="473"/>
      <c r="N854" s="474"/>
      <c r="O854" s="474"/>
      <c r="P854" s="474"/>
      <c r="Q854" s="219"/>
      <c r="R854" s="219"/>
    </row>
    <row r="855" spans="1:18" ht="36" hidden="1" customHeight="1">
      <c r="A855" s="1004" t="s">
        <v>64</v>
      </c>
      <c r="B855" s="988" t="s">
        <v>65</v>
      </c>
      <c r="C855" s="1000"/>
      <c r="D855" s="1001"/>
      <c r="E855" s="1002"/>
      <c r="F855" s="1002"/>
      <c r="G855" s="1002"/>
      <c r="H855" s="473"/>
      <c r="I855" s="1002"/>
      <c r="J855" s="1002"/>
      <c r="K855" s="1002"/>
      <c r="L855" s="1002"/>
      <c r="M855" s="473"/>
      <c r="N855" s="1002"/>
      <c r="O855" s="1002"/>
      <c r="P855" s="1002"/>
      <c r="Q855" s="219"/>
      <c r="R855" s="219"/>
    </row>
    <row r="856" spans="1:18" ht="24" hidden="1" customHeight="1">
      <c r="A856" s="1004" t="s">
        <v>66</v>
      </c>
      <c r="B856" s="988" t="s">
        <v>67</v>
      </c>
      <c r="C856" s="1000"/>
      <c r="D856" s="1001"/>
      <c r="E856" s="1002"/>
      <c r="F856" s="1002"/>
      <c r="G856" s="1002"/>
      <c r="H856" s="473"/>
      <c r="I856" s="1002"/>
      <c r="J856" s="1002"/>
      <c r="K856" s="1002"/>
      <c r="L856" s="1002"/>
      <c r="M856" s="473"/>
      <c r="N856" s="1002"/>
      <c r="O856" s="1002"/>
      <c r="P856" s="1002"/>
      <c r="Q856" s="219"/>
      <c r="R856" s="219"/>
    </row>
    <row r="857" spans="1:18" ht="13.2">
      <c r="A857" s="931" t="s">
        <v>224</v>
      </c>
      <c r="B857" s="932" t="s">
        <v>242</v>
      </c>
      <c r="C857" s="469"/>
      <c r="D857" s="470"/>
      <c r="E857" s="469"/>
      <c r="F857" s="470"/>
      <c r="G857" s="470"/>
      <c r="H857" s="470"/>
      <c r="I857" s="470"/>
      <c r="J857" s="469"/>
      <c r="K857" s="470"/>
      <c r="L857" s="470"/>
      <c r="M857" s="470"/>
      <c r="N857" s="470"/>
      <c r="O857" s="469"/>
      <c r="P857" s="470"/>
      <c r="Q857" s="219"/>
      <c r="R857" s="219"/>
    </row>
    <row r="858" spans="1:18" ht="13.2">
      <c r="A858" s="411" t="s">
        <v>243</v>
      </c>
      <c r="B858" s="475" t="s">
        <v>244</v>
      </c>
      <c r="C858" s="469"/>
      <c r="D858" s="470"/>
      <c r="E858" s="469"/>
      <c r="F858" s="470"/>
      <c r="G858" s="470"/>
      <c r="H858" s="470"/>
      <c r="I858" s="470"/>
      <c r="J858" s="469"/>
      <c r="K858" s="470"/>
      <c r="L858" s="470"/>
      <c r="M858" s="470"/>
      <c r="N858" s="470"/>
      <c r="O858" s="469"/>
      <c r="P858" s="470"/>
      <c r="Q858" s="219"/>
      <c r="R858" s="219"/>
    </row>
    <row r="859" spans="1:18">
      <c r="Q859" s="219"/>
      <c r="R859" s="219"/>
    </row>
    <row r="860" spans="1:18">
      <c r="Q860" s="219"/>
      <c r="R860" s="219"/>
    </row>
    <row r="861" spans="1:18">
      <c r="Q861" s="219"/>
      <c r="R861" s="219"/>
    </row>
    <row r="862" spans="1:18">
      <c r="F862" s="274"/>
      <c r="G862" s="274"/>
      <c r="H862" s="274"/>
      <c r="I862" s="274"/>
      <c r="Q862" s="219"/>
      <c r="R862" s="219"/>
    </row>
    <row r="863" spans="1:18">
      <c r="Q863" s="219"/>
      <c r="R863" s="219"/>
    </row>
    <row r="864" spans="1:18">
      <c r="Q864" s="219"/>
      <c r="R864" s="219"/>
    </row>
    <row r="865" spans="1:18">
      <c r="A865" s="219"/>
      <c r="B865" s="219"/>
      <c r="C865" s="219"/>
      <c r="D865" s="219"/>
      <c r="E865" s="219"/>
      <c r="F865" s="219"/>
      <c r="G865" s="219"/>
      <c r="H865" s="219"/>
      <c r="I865" s="219"/>
      <c r="J865" s="219"/>
      <c r="K865" s="219"/>
      <c r="L865" s="219"/>
      <c r="M865" s="219"/>
      <c r="N865" s="219"/>
      <c r="O865" s="219"/>
      <c r="P865" s="219"/>
      <c r="Q865" s="219"/>
      <c r="R865" s="219"/>
    </row>
    <row r="866" spans="1:18">
      <c r="A866" s="219"/>
      <c r="B866" s="219"/>
      <c r="C866" s="219"/>
      <c r="D866" s="219"/>
      <c r="E866" s="219"/>
      <c r="F866" s="219"/>
      <c r="G866" s="219"/>
      <c r="H866" s="219"/>
      <c r="I866" s="219"/>
      <c r="J866" s="219"/>
      <c r="K866" s="219"/>
      <c r="L866" s="219"/>
      <c r="M866" s="219"/>
      <c r="N866" s="219"/>
      <c r="O866" s="219"/>
      <c r="P866" s="219"/>
      <c r="Q866" s="219"/>
      <c r="R866" s="219"/>
    </row>
    <row r="867" spans="1:18">
      <c r="A867" s="219"/>
      <c r="B867" s="219"/>
      <c r="C867" s="219"/>
      <c r="D867" s="219"/>
      <c r="E867" s="219"/>
      <c r="F867" s="219"/>
      <c r="G867" s="219"/>
      <c r="H867" s="219"/>
      <c r="I867" s="219"/>
      <c r="J867" s="219"/>
      <c r="K867" s="219"/>
      <c r="L867" s="219"/>
      <c r="M867" s="219"/>
      <c r="N867" s="219"/>
      <c r="O867" s="219"/>
      <c r="P867" s="219"/>
      <c r="Q867" s="219"/>
      <c r="R867" s="219"/>
    </row>
    <row r="868" spans="1:18">
      <c r="A868" s="219"/>
      <c r="B868" s="219"/>
      <c r="C868" s="219"/>
      <c r="D868" s="219"/>
      <c r="E868" s="219"/>
      <c r="F868" s="219"/>
      <c r="G868" s="219"/>
      <c r="H868" s="219"/>
      <c r="I868" s="219"/>
      <c r="J868" s="219"/>
      <c r="K868" s="219"/>
      <c r="L868" s="219"/>
      <c r="M868" s="219"/>
      <c r="N868" s="219"/>
      <c r="O868" s="219"/>
      <c r="P868" s="219"/>
      <c r="Q868" s="219"/>
      <c r="R868" s="219"/>
    </row>
    <row r="869" spans="1:18">
      <c r="A869" s="219"/>
      <c r="B869" s="219"/>
      <c r="C869" s="219"/>
      <c r="D869" s="219"/>
      <c r="E869" s="219"/>
      <c r="F869" s="219"/>
      <c r="G869" s="219"/>
      <c r="H869" s="219"/>
      <c r="I869" s="219"/>
      <c r="J869" s="219"/>
      <c r="K869" s="219"/>
      <c r="L869" s="219"/>
      <c r="M869" s="219"/>
      <c r="N869" s="219"/>
      <c r="O869" s="219"/>
      <c r="P869" s="219"/>
      <c r="Q869" s="219"/>
      <c r="R869" s="219"/>
    </row>
    <row r="870" spans="1:18">
      <c r="A870" s="219"/>
      <c r="B870" s="219"/>
      <c r="C870" s="219"/>
      <c r="D870" s="219"/>
      <c r="E870" s="219"/>
      <c r="F870" s="219"/>
      <c r="G870" s="219"/>
      <c r="H870" s="219"/>
      <c r="I870" s="219"/>
      <c r="J870" s="219"/>
      <c r="K870" s="219"/>
      <c r="L870" s="219"/>
      <c r="M870" s="219"/>
      <c r="N870" s="219"/>
      <c r="O870" s="219"/>
      <c r="P870" s="219"/>
      <c r="Q870" s="219"/>
      <c r="R870" s="219"/>
    </row>
    <row r="871" spans="1:18">
      <c r="A871" s="219"/>
      <c r="B871" s="219"/>
      <c r="C871" s="219"/>
      <c r="D871" s="219"/>
      <c r="E871" s="219"/>
      <c r="F871" s="219"/>
      <c r="G871" s="219"/>
      <c r="H871" s="219"/>
      <c r="I871" s="219"/>
      <c r="J871" s="219"/>
      <c r="K871" s="219"/>
      <c r="L871" s="219"/>
      <c r="M871" s="219"/>
      <c r="N871" s="219"/>
      <c r="O871" s="219"/>
      <c r="P871" s="219"/>
      <c r="Q871" s="219"/>
      <c r="R871" s="219"/>
    </row>
    <row r="872" spans="1:18">
      <c r="A872" s="219"/>
      <c r="B872" s="219"/>
      <c r="C872" s="219"/>
      <c r="D872" s="219"/>
      <c r="E872" s="219"/>
      <c r="F872" s="219"/>
      <c r="G872" s="219"/>
      <c r="H872" s="219"/>
      <c r="I872" s="219"/>
      <c r="J872" s="219"/>
      <c r="K872" s="219"/>
      <c r="L872" s="219"/>
      <c r="M872" s="219"/>
      <c r="N872" s="219"/>
      <c r="O872" s="219"/>
      <c r="P872" s="219"/>
      <c r="Q872" s="219"/>
      <c r="R872" s="219"/>
    </row>
    <row r="873" spans="1:18">
      <c r="A873" s="219"/>
      <c r="B873" s="219"/>
      <c r="C873" s="219"/>
      <c r="D873" s="219"/>
      <c r="E873" s="219"/>
      <c r="F873" s="219"/>
      <c r="G873" s="219"/>
      <c r="H873" s="219"/>
      <c r="I873" s="219"/>
      <c r="J873" s="219"/>
      <c r="K873" s="219"/>
      <c r="L873" s="219"/>
      <c r="M873" s="219"/>
      <c r="N873" s="219"/>
      <c r="O873" s="219"/>
      <c r="P873" s="219"/>
      <c r="Q873" s="219"/>
      <c r="R873" s="219"/>
    </row>
    <row r="874" spans="1:18">
      <c r="A874" s="219"/>
      <c r="B874" s="219"/>
      <c r="C874" s="219"/>
      <c r="D874" s="219"/>
      <c r="E874" s="219"/>
      <c r="F874" s="219"/>
      <c r="G874" s="219"/>
      <c r="H874" s="219"/>
      <c r="I874" s="219"/>
      <c r="J874" s="219"/>
      <c r="K874" s="219"/>
      <c r="L874" s="219"/>
      <c r="M874" s="219"/>
      <c r="N874" s="219"/>
      <c r="O874" s="219"/>
      <c r="P874" s="219"/>
      <c r="Q874" s="219"/>
      <c r="R874" s="219"/>
    </row>
    <row r="875" spans="1:18">
      <c r="A875" s="219"/>
      <c r="B875" s="219"/>
      <c r="C875" s="219"/>
      <c r="D875" s="219"/>
      <c r="E875" s="219"/>
      <c r="F875" s="219"/>
      <c r="G875" s="219"/>
      <c r="H875" s="219"/>
      <c r="I875" s="219"/>
      <c r="J875" s="219"/>
      <c r="K875" s="219"/>
      <c r="L875" s="219"/>
      <c r="M875" s="219"/>
      <c r="N875" s="219"/>
      <c r="O875" s="219"/>
      <c r="P875" s="219"/>
      <c r="Q875" s="219"/>
      <c r="R875" s="219"/>
    </row>
    <row r="876" spans="1:18">
      <c r="A876" s="219"/>
      <c r="B876" s="219"/>
      <c r="C876" s="219"/>
      <c r="D876" s="219"/>
      <c r="E876" s="219"/>
      <c r="F876" s="219"/>
      <c r="G876" s="219"/>
      <c r="H876" s="219"/>
      <c r="I876" s="219"/>
      <c r="J876" s="219"/>
      <c r="K876" s="219"/>
      <c r="L876" s="219"/>
      <c r="M876" s="219"/>
      <c r="N876" s="219"/>
      <c r="O876" s="219"/>
      <c r="P876" s="219"/>
      <c r="Q876" s="219"/>
      <c r="R876" s="219"/>
    </row>
    <row r="877" spans="1:18">
      <c r="A877" s="219"/>
      <c r="B877" s="219"/>
      <c r="C877" s="219"/>
      <c r="D877" s="219"/>
      <c r="E877" s="219"/>
      <c r="F877" s="219"/>
      <c r="G877" s="219"/>
      <c r="H877" s="219"/>
      <c r="I877" s="219"/>
      <c r="J877" s="219"/>
      <c r="K877" s="219"/>
      <c r="L877" s="219"/>
      <c r="M877" s="219"/>
      <c r="N877" s="219"/>
      <c r="O877" s="219"/>
      <c r="P877" s="219"/>
      <c r="Q877" s="219"/>
      <c r="R877" s="219"/>
    </row>
    <row r="878" spans="1:18">
      <c r="A878" s="219"/>
      <c r="B878" s="219"/>
      <c r="C878" s="219"/>
      <c r="D878" s="219"/>
      <c r="E878" s="219"/>
      <c r="F878" s="219"/>
      <c r="G878" s="219"/>
      <c r="H878" s="219"/>
      <c r="I878" s="219"/>
      <c r="J878" s="219"/>
      <c r="K878" s="219"/>
      <c r="L878" s="219"/>
      <c r="M878" s="219"/>
      <c r="N878" s="219"/>
      <c r="O878" s="219"/>
      <c r="P878" s="219"/>
      <c r="Q878" s="219"/>
      <c r="R878" s="219"/>
    </row>
    <row r="879" spans="1:18">
      <c r="A879" s="219"/>
      <c r="B879" s="219"/>
      <c r="C879" s="219"/>
      <c r="D879" s="219"/>
      <c r="E879" s="219"/>
      <c r="F879" s="219"/>
      <c r="G879" s="219"/>
      <c r="H879" s="219"/>
      <c r="I879" s="219"/>
      <c r="J879" s="219"/>
      <c r="K879" s="219"/>
      <c r="L879" s="219"/>
      <c r="M879" s="219"/>
      <c r="N879" s="219"/>
      <c r="O879" s="219"/>
      <c r="P879" s="219"/>
      <c r="Q879" s="219"/>
      <c r="R879" s="219"/>
    </row>
    <row r="880" spans="1:18">
      <c r="A880" s="219"/>
      <c r="B880" s="219"/>
      <c r="C880" s="219"/>
      <c r="D880" s="219"/>
      <c r="E880" s="219"/>
      <c r="F880" s="219"/>
      <c r="G880" s="219"/>
      <c r="H880" s="219"/>
      <c r="I880" s="219"/>
      <c r="J880" s="219"/>
      <c r="K880" s="219"/>
      <c r="L880" s="219"/>
      <c r="M880" s="219"/>
      <c r="N880" s="219"/>
      <c r="O880" s="219"/>
      <c r="P880" s="219"/>
      <c r="Q880" s="219"/>
      <c r="R880" s="219"/>
    </row>
    <row r="881" spans="1:18">
      <c r="A881" s="219"/>
      <c r="B881" s="219"/>
      <c r="C881" s="219"/>
      <c r="D881" s="219"/>
      <c r="E881" s="219"/>
      <c r="F881" s="219"/>
      <c r="G881" s="219"/>
      <c r="H881" s="219"/>
      <c r="I881" s="219"/>
      <c r="J881" s="219"/>
      <c r="K881" s="219"/>
      <c r="L881" s="219"/>
      <c r="M881" s="219"/>
      <c r="N881" s="219"/>
      <c r="O881" s="219"/>
      <c r="P881" s="219"/>
      <c r="Q881" s="219"/>
      <c r="R881" s="219"/>
    </row>
    <row r="882" spans="1:18">
      <c r="A882" s="219"/>
      <c r="B882" s="219"/>
      <c r="C882" s="219"/>
      <c r="D882" s="219"/>
      <c r="E882" s="219"/>
      <c r="F882" s="219"/>
      <c r="G882" s="219"/>
      <c r="H882" s="219"/>
      <c r="I882" s="219"/>
      <c r="J882" s="219"/>
      <c r="K882" s="219"/>
      <c r="L882" s="219"/>
      <c r="M882" s="219"/>
      <c r="N882" s="219"/>
      <c r="O882" s="219"/>
      <c r="P882" s="219"/>
      <c r="Q882" s="219"/>
      <c r="R882" s="219"/>
    </row>
    <row r="883" spans="1:18">
      <c r="A883" s="219"/>
      <c r="B883" s="219"/>
      <c r="C883" s="219"/>
      <c r="D883" s="219"/>
      <c r="E883" s="219"/>
      <c r="F883" s="219"/>
      <c r="G883" s="219"/>
      <c r="H883" s="219"/>
      <c r="I883" s="219"/>
      <c r="J883" s="219"/>
      <c r="K883" s="219"/>
      <c r="L883" s="219"/>
      <c r="M883" s="219"/>
      <c r="N883" s="219"/>
      <c r="O883" s="219"/>
      <c r="P883" s="219"/>
      <c r="Q883" s="219"/>
      <c r="R883" s="219"/>
    </row>
    <row r="884" spans="1:18">
      <c r="A884" s="219"/>
      <c r="B884" s="219"/>
      <c r="C884" s="219"/>
      <c r="D884" s="219"/>
      <c r="E884" s="219"/>
      <c r="F884" s="219"/>
      <c r="G884" s="219"/>
      <c r="H884" s="219"/>
      <c r="I884" s="219"/>
      <c r="J884" s="219"/>
      <c r="K884" s="219"/>
      <c r="L884" s="219"/>
      <c r="M884" s="219"/>
      <c r="N884" s="219"/>
      <c r="O884" s="219"/>
      <c r="P884" s="219"/>
      <c r="Q884" s="219"/>
      <c r="R884" s="219"/>
    </row>
    <row r="885" spans="1:18">
      <c r="A885" s="219"/>
      <c r="B885" s="219"/>
      <c r="C885" s="219"/>
      <c r="D885" s="219"/>
      <c r="E885" s="219"/>
      <c r="F885" s="219"/>
      <c r="G885" s="219"/>
      <c r="H885" s="219"/>
      <c r="I885" s="219"/>
      <c r="J885" s="219"/>
      <c r="K885" s="219"/>
      <c r="L885" s="219"/>
      <c r="M885" s="219"/>
      <c r="N885" s="219"/>
      <c r="O885" s="219"/>
      <c r="P885" s="219"/>
      <c r="Q885" s="219"/>
      <c r="R885" s="219"/>
    </row>
    <row r="886" spans="1:18">
      <c r="A886" s="219"/>
      <c r="B886" s="219"/>
      <c r="C886" s="219"/>
      <c r="D886" s="219"/>
      <c r="E886" s="219"/>
      <c r="F886" s="219"/>
      <c r="G886" s="219"/>
      <c r="H886" s="219"/>
      <c r="I886" s="219"/>
      <c r="J886" s="219"/>
      <c r="K886" s="219"/>
      <c r="L886" s="219"/>
      <c r="M886" s="219"/>
      <c r="N886" s="219"/>
      <c r="O886" s="219"/>
      <c r="P886" s="219"/>
      <c r="Q886" s="219"/>
      <c r="R886" s="219"/>
    </row>
    <row r="887" spans="1:18">
      <c r="A887" s="219"/>
      <c r="B887" s="219"/>
      <c r="C887" s="219"/>
      <c r="D887" s="219"/>
      <c r="E887" s="219"/>
      <c r="F887" s="219"/>
      <c r="G887" s="219"/>
      <c r="H887" s="219"/>
      <c r="I887" s="219"/>
      <c r="J887" s="219"/>
      <c r="K887" s="219"/>
      <c r="L887" s="219"/>
      <c r="M887" s="219"/>
      <c r="N887" s="219"/>
      <c r="O887" s="219"/>
      <c r="P887" s="219"/>
      <c r="Q887" s="219"/>
      <c r="R887" s="219"/>
    </row>
    <row r="888" spans="1:18">
      <c r="A888" s="219"/>
      <c r="B888" s="219"/>
      <c r="C888" s="219"/>
      <c r="D888" s="219"/>
      <c r="E888" s="219"/>
      <c r="F888" s="219"/>
      <c r="G888" s="219"/>
      <c r="H888" s="219"/>
      <c r="I888" s="219"/>
      <c r="J888" s="219"/>
      <c r="K888" s="219"/>
      <c r="L888" s="219"/>
      <c r="M888" s="219"/>
      <c r="N888" s="219"/>
      <c r="O888" s="219"/>
      <c r="P888" s="219"/>
      <c r="Q888" s="219"/>
      <c r="R888" s="219"/>
    </row>
    <row r="889" spans="1:18">
      <c r="A889" s="219"/>
      <c r="B889" s="219"/>
      <c r="C889" s="219"/>
      <c r="D889" s="219"/>
      <c r="E889" s="219"/>
      <c r="F889" s="219"/>
      <c r="G889" s="219"/>
      <c r="H889" s="219"/>
      <c r="I889" s="219"/>
      <c r="J889" s="219"/>
      <c r="K889" s="219"/>
      <c r="L889" s="219"/>
      <c r="M889" s="219"/>
      <c r="N889" s="219"/>
      <c r="O889" s="219"/>
      <c r="P889" s="219"/>
      <c r="Q889" s="219"/>
      <c r="R889" s="219"/>
    </row>
    <row r="890" spans="1:18">
      <c r="A890" s="219"/>
      <c r="B890" s="219"/>
      <c r="C890" s="219"/>
      <c r="D890" s="219"/>
      <c r="E890" s="219"/>
      <c r="F890" s="219"/>
      <c r="G890" s="219"/>
      <c r="H890" s="219"/>
      <c r="I890" s="219"/>
      <c r="J890" s="219"/>
      <c r="K890" s="219"/>
      <c r="L890" s="219"/>
      <c r="M890" s="219"/>
      <c r="N890" s="219"/>
      <c r="O890" s="219"/>
      <c r="P890" s="219"/>
      <c r="Q890" s="219"/>
      <c r="R890" s="219"/>
    </row>
  </sheetData>
  <mergeCells count="23">
    <mergeCell ref="O5:Q5"/>
    <mergeCell ref="A5:A7"/>
    <mergeCell ref="B5:B7"/>
    <mergeCell ref="C5:C7"/>
    <mergeCell ref="R5:R7"/>
    <mergeCell ref="L6:L7"/>
    <mergeCell ref="O6:O7"/>
    <mergeCell ref="Q6:Q7"/>
    <mergeCell ref="J6:J7"/>
    <mergeCell ref="I5:I7"/>
    <mergeCell ref="J5:L5"/>
    <mergeCell ref="M5:M7"/>
    <mergeCell ref="N5:N7"/>
    <mergeCell ref="P6:P7"/>
    <mergeCell ref="K6:K7"/>
    <mergeCell ref="F6:F7"/>
    <mergeCell ref="B2:H2"/>
    <mergeCell ref="B3:H3"/>
    <mergeCell ref="D5:D7"/>
    <mergeCell ref="E5:G5"/>
    <mergeCell ref="H5:H7"/>
    <mergeCell ref="E6:E7"/>
    <mergeCell ref="G6:G7"/>
  </mergeCells>
  <phoneticPr fontId="27" type="noConversion"/>
  <pageMargins left="0.27559055118110237" right="0.27559055118110237" top="0.39370078740157483" bottom="0.35433070866141736" header="0.23622047244094491" footer="0.15748031496062992"/>
  <pageSetup paperSize="9" scale="60" orientation="landscape" r:id="rId1"/>
  <headerFooter alignWithMargins="0">
    <oddFooter>&amp;L&amp;F&amp;C&amp;P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FFC000"/>
  </sheetPr>
  <dimension ref="A1:R483"/>
  <sheetViews>
    <sheetView zoomScale="70" zoomScaleNormal="70" workbookViewId="0"/>
  </sheetViews>
  <sheetFormatPr defaultColWidth="9.109375" defaultRowHeight="10.199999999999999"/>
  <cols>
    <col min="1" max="1" width="11.44140625" style="21" bestFit="1" customWidth="1"/>
    <col min="2" max="2" width="40.109375" style="1" customWidth="1"/>
    <col min="3" max="3" width="13" style="22" customWidth="1"/>
    <col min="4" max="4" width="12" style="22"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836"/>
      <c r="J2" s="836"/>
      <c r="K2" s="836"/>
      <c r="L2" s="836"/>
      <c r="M2" s="220"/>
      <c r="N2" s="836"/>
      <c r="O2" s="836"/>
      <c r="P2" s="836"/>
      <c r="Q2" s="836"/>
      <c r="R2" s="220"/>
    </row>
    <row r="3" spans="1:18" s="1" customFormat="1" ht="13.2" customHeight="1">
      <c r="A3" s="221"/>
      <c r="B3" s="1400" t="s">
        <v>489</v>
      </c>
      <c r="C3" s="1400"/>
      <c r="D3" s="1400"/>
      <c r="E3" s="1400"/>
      <c r="F3" s="1400"/>
      <c r="G3" s="1400"/>
      <c r="H3" s="1400"/>
      <c r="I3" s="837"/>
      <c r="J3" s="837"/>
      <c r="K3" s="837"/>
      <c r="L3" s="837"/>
      <c r="M3" s="220"/>
      <c r="N3" s="837"/>
      <c r="O3" s="837"/>
      <c r="P3" s="837"/>
      <c r="Q3" s="837"/>
      <c r="R3" s="220"/>
    </row>
    <row r="4" spans="1:18" s="1" customFormat="1" ht="13.2">
      <c r="A4" s="221"/>
      <c r="B4" s="837"/>
      <c r="C4" s="222"/>
      <c r="D4" s="837"/>
      <c r="E4" s="837"/>
      <c r="F4" s="837"/>
      <c r="G4" s="837"/>
      <c r="H4" s="837"/>
      <c r="I4" s="837"/>
      <c r="J4" s="837"/>
      <c r="K4" s="837"/>
      <c r="L4" s="837"/>
      <c r="M4" s="837"/>
      <c r="N4" s="837"/>
      <c r="O4" s="837"/>
      <c r="P4" s="837"/>
      <c r="Q4" s="837"/>
      <c r="R4" s="837"/>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s="2" customFormat="1" ht="13.2">
      <c r="A9" s="388"/>
      <c r="B9" s="392" t="s">
        <v>45</v>
      </c>
      <c r="C9" s="387"/>
      <c r="D9" s="387"/>
      <c r="E9" s="226"/>
      <c r="F9" s="226"/>
      <c r="G9" s="226"/>
      <c r="H9" s="226"/>
      <c r="I9" s="365"/>
      <c r="J9" s="226"/>
      <c r="K9" s="226"/>
      <c r="L9" s="226"/>
      <c r="M9" s="226"/>
      <c r="N9" s="365"/>
      <c r="O9" s="226"/>
      <c r="P9" s="226"/>
      <c r="Q9" s="226"/>
      <c r="R9" s="226"/>
    </row>
    <row r="10" spans="1:18" s="4" customFormat="1" ht="20.399999999999999">
      <c r="A10" s="129" t="s">
        <v>201</v>
      </c>
      <c r="B10" s="123" t="s">
        <v>88</v>
      </c>
      <c r="C10" s="167">
        <v>103404319</v>
      </c>
      <c r="D10" s="167">
        <v>75192238</v>
      </c>
      <c r="E10" s="228">
        <f>E11+E12+E14+E32</f>
        <v>54307</v>
      </c>
      <c r="F10" s="228">
        <f>F11+F12+F14+F32</f>
        <v>3992970</v>
      </c>
      <c r="G10" s="228">
        <f>G11+G12+G14+G32</f>
        <v>9273727</v>
      </c>
      <c r="H10" s="243">
        <f t="shared" ref="H10:H73" si="0">SUM(D10:G10)</f>
        <v>88513242</v>
      </c>
      <c r="I10" s="228">
        <v>55536358</v>
      </c>
      <c r="J10" s="228">
        <f>J11+J12+J14+J32</f>
        <v>51708</v>
      </c>
      <c r="K10" s="228">
        <f>K11+K12+K14+K32</f>
        <v>3597248</v>
      </c>
      <c r="L10" s="228">
        <f>L11+L12+L14+L32</f>
        <v>9866883</v>
      </c>
      <c r="M10" s="243">
        <f t="shared" ref="M10:M73" si="1">SUM(I10:L10)</f>
        <v>69052197</v>
      </c>
      <c r="N10" s="228">
        <v>54513301</v>
      </c>
      <c r="O10" s="228">
        <f>O11+O12+O14+O32</f>
        <v>8256</v>
      </c>
      <c r="P10" s="228">
        <f t="shared" ref="P10" si="2">P11+P12+P14+P32</f>
        <v>3072005</v>
      </c>
      <c r="Q10" s="228">
        <f>Q11+Q12+Q14+Q32</f>
        <v>6116453</v>
      </c>
      <c r="R10" s="243">
        <f t="shared" ref="R10:R73" si="3">SUM(N10:Q10)</f>
        <v>63710015</v>
      </c>
    </row>
    <row r="11" spans="1:18" ht="22.8">
      <c r="A11" s="130" t="s">
        <v>177</v>
      </c>
      <c r="B11" s="124" t="s">
        <v>90</v>
      </c>
      <c r="C11" s="169">
        <v>3341173</v>
      </c>
      <c r="D11" s="169">
        <v>3065243</v>
      </c>
      <c r="E11" s="231"/>
      <c r="F11" s="231"/>
      <c r="G11" s="231"/>
      <c r="H11" s="233">
        <f t="shared" si="0"/>
        <v>3065243</v>
      </c>
      <c r="I11" s="231">
        <v>3065243</v>
      </c>
      <c r="J11" s="231"/>
      <c r="K11" s="231"/>
      <c r="L11" s="231"/>
      <c r="M11" s="233">
        <f t="shared" si="1"/>
        <v>3065243</v>
      </c>
      <c r="N11" s="231">
        <v>3065243</v>
      </c>
      <c r="O11" s="231"/>
      <c r="P11" s="231"/>
      <c r="Q11" s="231"/>
      <c r="R11" s="233">
        <f t="shared" si="3"/>
        <v>3065243</v>
      </c>
    </row>
    <row r="12" spans="1:18" ht="12">
      <c r="A12" s="130" t="s">
        <v>91</v>
      </c>
      <c r="B12" s="124" t="s">
        <v>92</v>
      </c>
      <c r="C12" s="169">
        <v>689425</v>
      </c>
      <c r="D12" s="169">
        <v>1011977</v>
      </c>
      <c r="E12" s="231">
        <f>E180</f>
        <v>42714</v>
      </c>
      <c r="F12" s="231"/>
      <c r="G12" s="231"/>
      <c r="H12" s="233">
        <f t="shared" si="0"/>
        <v>1054691</v>
      </c>
      <c r="I12" s="231">
        <v>972706</v>
      </c>
      <c r="J12" s="231">
        <f>J180</f>
        <v>41282</v>
      </c>
      <c r="K12" s="231"/>
      <c r="L12" s="231"/>
      <c r="M12" s="233">
        <f t="shared" si="1"/>
        <v>1013988</v>
      </c>
      <c r="N12" s="231">
        <v>824916</v>
      </c>
      <c r="O12" s="231">
        <f>O180</f>
        <v>8256</v>
      </c>
      <c r="P12" s="231"/>
      <c r="Q12" s="231"/>
      <c r="R12" s="233">
        <f t="shared" si="3"/>
        <v>833172</v>
      </c>
    </row>
    <row r="13" spans="1:18" ht="12" customHeight="1">
      <c r="A13" s="131">
        <v>21210</v>
      </c>
      <c r="B13" s="125" t="s">
        <v>93</v>
      </c>
      <c r="C13" s="169">
        <v>678314</v>
      </c>
      <c r="D13" s="169">
        <v>960842</v>
      </c>
      <c r="E13" s="231"/>
      <c r="F13" s="231"/>
      <c r="G13" s="231"/>
      <c r="H13" s="233">
        <f t="shared" si="0"/>
        <v>960842</v>
      </c>
      <c r="I13" s="231">
        <v>953449</v>
      </c>
      <c r="J13" s="231"/>
      <c r="K13" s="231"/>
      <c r="L13" s="231"/>
      <c r="M13" s="233">
        <f t="shared" si="1"/>
        <v>953449</v>
      </c>
      <c r="N13" s="231">
        <v>820062</v>
      </c>
      <c r="O13" s="231"/>
      <c r="P13" s="231"/>
      <c r="Q13" s="231"/>
      <c r="R13" s="233">
        <f t="shared" si="3"/>
        <v>820062</v>
      </c>
    </row>
    <row r="14" spans="1:18" ht="20.399999999999999">
      <c r="A14" s="130" t="s">
        <v>178</v>
      </c>
      <c r="B14" s="124" t="s">
        <v>94</v>
      </c>
      <c r="C14" s="171">
        <v>405254</v>
      </c>
      <c r="D14" s="171">
        <v>213045</v>
      </c>
      <c r="E14" s="233">
        <f>E15+E21</f>
        <v>0</v>
      </c>
      <c r="F14" s="233">
        <f t="shared" ref="F14:G14" si="4">F15+F21</f>
        <v>0</v>
      </c>
      <c r="G14" s="233">
        <f t="shared" si="4"/>
        <v>20000</v>
      </c>
      <c r="H14" s="233">
        <f t="shared" si="0"/>
        <v>233045</v>
      </c>
      <c r="I14" s="233">
        <v>0</v>
      </c>
      <c r="J14" s="233">
        <f>J15+J21</f>
        <v>0</v>
      </c>
      <c r="K14" s="233">
        <f t="shared" ref="K14:L14" si="5">K15+K21</f>
        <v>0</v>
      </c>
      <c r="L14" s="233">
        <f t="shared" si="5"/>
        <v>0</v>
      </c>
      <c r="M14" s="233">
        <f t="shared" si="1"/>
        <v>0</v>
      </c>
      <c r="N14" s="233">
        <v>0</v>
      </c>
      <c r="O14" s="233">
        <f>O15+O21</f>
        <v>0</v>
      </c>
      <c r="P14" s="233">
        <f t="shared" ref="P14:Q14" si="6">P15+P21</f>
        <v>0</v>
      </c>
      <c r="Q14" s="233">
        <f t="shared" si="6"/>
        <v>0</v>
      </c>
      <c r="R14" s="233">
        <f t="shared" si="3"/>
        <v>0</v>
      </c>
    </row>
    <row r="15" spans="1:18" ht="12">
      <c r="A15" s="132">
        <v>18000</v>
      </c>
      <c r="B15" s="125" t="s">
        <v>95</v>
      </c>
      <c r="C15" s="171">
        <v>405254</v>
      </c>
      <c r="D15" s="171">
        <v>213045</v>
      </c>
      <c r="E15" s="233">
        <f t="shared" ref="E15:L16" si="7">E16</f>
        <v>0</v>
      </c>
      <c r="F15" s="233">
        <f t="shared" si="7"/>
        <v>0</v>
      </c>
      <c r="G15" s="233">
        <f t="shared" si="7"/>
        <v>20000</v>
      </c>
      <c r="H15" s="233">
        <f t="shared" si="0"/>
        <v>233045</v>
      </c>
      <c r="I15" s="233">
        <v>0</v>
      </c>
      <c r="J15" s="233">
        <f t="shared" si="7"/>
        <v>0</v>
      </c>
      <c r="K15" s="233">
        <f t="shared" si="7"/>
        <v>0</v>
      </c>
      <c r="L15" s="233">
        <f t="shared" si="7"/>
        <v>0</v>
      </c>
      <c r="M15" s="233">
        <f t="shared" si="1"/>
        <v>0</v>
      </c>
      <c r="N15" s="233">
        <v>0</v>
      </c>
      <c r="O15" s="233">
        <f t="shared" ref="O15:Q16" si="8">O16</f>
        <v>0</v>
      </c>
      <c r="P15" s="233">
        <f t="shared" si="8"/>
        <v>0</v>
      </c>
      <c r="Q15" s="233">
        <f t="shared" si="8"/>
        <v>0</v>
      </c>
      <c r="R15" s="233">
        <f t="shared" si="3"/>
        <v>0</v>
      </c>
    </row>
    <row r="16" spans="1:18" ht="12">
      <c r="A16" s="132">
        <v>18100</v>
      </c>
      <c r="B16" s="125" t="s">
        <v>96</v>
      </c>
      <c r="C16" s="171">
        <v>405254</v>
      </c>
      <c r="D16" s="171">
        <v>213045</v>
      </c>
      <c r="E16" s="233">
        <f>E17</f>
        <v>0</v>
      </c>
      <c r="F16" s="233">
        <f t="shared" si="7"/>
        <v>0</v>
      </c>
      <c r="G16" s="233">
        <f t="shared" si="7"/>
        <v>20000</v>
      </c>
      <c r="H16" s="233">
        <f t="shared" si="0"/>
        <v>233045</v>
      </c>
      <c r="I16" s="233">
        <v>0</v>
      </c>
      <c r="J16" s="233">
        <f>J17</f>
        <v>0</v>
      </c>
      <c r="K16" s="233">
        <f t="shared" si="7"/>
        <v>0</v>
      </c>
      <c r="L16" s="233">
        <f t="shared" si="7"/>
        <v>0</v>
      </c>
      <c r="M16" s="233">
        <f t="shared" si="1"/>
        <v>0</v>
      </c>
      <c r="N16" s="233">
        <v>0</v>
      </c>
      <c r="O16" s="233">
        <f>O17</f>
        <v>0</v>
      </c>
      <c r="P16" s="233">
        <f t="shared" si="8"/>
        <v>0</v>
      </c>
      <c r="Q16" s="233">
        <f t="shared" si="8"/>
        <v>0</v>
      </c>
      <c r="R16" s="233">
        <f t="shared" si="3"/>
        <v>0</v>
      </c>
    </row>
    <row r="17" spans="1:18" s="4" customFormat="1" ht="24">
      <c r="A17" s="133">
        <v>18130</v>
      </c>
      <c r="B17" s="172" t="s">
        <v>159</v>
      </c>
      <c r="C17" s="171">
        <v>405254</v>
      </c>
      <c r="D17" s="171">
        <v>213045</v>
      </c>
      <c r="E17" s="233">
        <f>SUM(E18:E20)</f>
        <v>0</v>
      </c>
      <c r="F17" s="233">
        <f t="shared" ref="F17:G17" si="9">SUM(F18:F20)</f>
        <v>0</v>
      </c>
      <c r="G17" s="233">
        <f t="shared" si="9"/>
        <v>20000</v>
      </c>
      <c r="H17" s="233">
        <f t="shared" si="0"/>
        <v>233045</v>
      </c>
      <c r="I17" s="233">
        <v>0</v>
      </c>
      <c r="J17" s="233">
        <f>SUM(J18:J20)</f>
        <v>0</v>
      </c>
      <c r="K17" s="233">
        <f t="shared" ref="K17:L17" si="10">SUM(K18:K20)</f>
        <v>0</v>
      </c>
      <c r="L17" s="233">
        <f t="shared" si="10"/>
        <v>0</v>
      </c>
      <c r="M17" s="233">
        <f t="shared" si="1"/>
        <v>0</v>
      </c>
      <c r="N17" s="233">
        <v>0</v>
      </c>
      <c r="O17" s="233">
        <f>SUM(O18:O20)</f>
        <v>0</v>
      </c>
      <c r="P17" s="233">
        <f t="shared" ref="P17:Q17" si="11">SUM(P18:P20)</f>
        <v>0</v>
      </c>
      <c r="Q17" s="233">
        <f t="shared" si="11"/>
        <v>0</v>
      </c>
      <c r="R17" s="233">
        <f t="shared" si="3"/>
        <v>0</v>
      </c>
    </row>
    <row r="18" spans="1:18" s="6" customFormat="1" ht="24">
      <c r="A18" s="134">
        <v>18131</v>
      </c>
      <c r="B18" s="172" t="s">
        <v>160</v>
      </c>
      <c r="C18" s="171">
        <v>370531</v>
      </c>
      <c r="D18" s="171">
        <v>213045</v>
      </c>
      <c r="E18" s="233"/>
      <c r="F18" s="233"/>
      <c r="G18" s="233">
        <f>G102</f>
        <v>20000</v>
      </c>
      <c r="H18" s="233">
        <f t="shared" si="0"/>
        <v>233045</v>
      </c>
      <c r="I18" s="233">
        <v>0</v>
      </c>
      <c r="J18" s="233"/>
      <c r="K18" s="233"/>
      <c r="L18" s="233">
        <f>L102</f>
        <v>0</v>
      </c>
      <c r="M18" s="233">
        <f t="shared" si="1"/>
        <v>0</v>
      </c>
      <c r="N18" s="233">
        <v>0</v>
      </c>
      <c r="O18" s="233"/>
      <c r="P18" s="233"/>
      <c r="Q18" s="233">
        <f>Q102</f>
        <v>0</v>
      </c>
      <c r="R18" s="233">
        <f t="shared" si="3"/>
        <v>0</v>
      </c>
    </row>
    <row r="19" spans="1:18" s="6" customFormat="1" ht="24">
      <c r="A19" s="134">
        <v>18132</v>
      </c>
      <c r="B19" s="172" t="s">
        <v>169</v>
      </c>
      <c r="C19" s="171">
        <v>34723</v>
      </c>
      <c r="D19" s="171">
        <v>0</v>
      </c>
      <c r="E19" s="233"/>
      <c r="F19" s="233"/>
      <c r="G19" s="233"/>
      <c r="H19" s="233">
        <f t="shared" si="0"/>
        <v>0</v>
      </c>
      <c r="I19" s="233">
        <v>0</v>
      </c>
      <c r="J19" s="233"/>
      <c r="K19" s="233"/>
      <c r="L19" s="233"/>
      <c r="M19" s="233">
        <f t="shared" si="1"/>
        <v>0</v>
      </c>
      <c r="N19" s="233">
        <v>0</v>
      </c>
      <c r="O19" s="233"/>
      <c r="P19" s="233"/>
      <c r="Q19" s="233"/>
      <c r="R19" s="233">
        <f t="shared" si="3"/>
        <v>0</v>
      </c>
    </row>
    <row r="20" spans="1:18" s="6" customFormat="1" ht="24" hidden="1" customHeight="1">
      <c r="A20" s="134">
        <v>18139</v>
      </c>
      <c r="B20" s="172" t="s">
        <v>179</v>
      </c>
      <c r="C20" s="171"/>
      <c r="D20" s="171">
        <v>0</v>
      </c>
      <c r="E20" s="233"/>
      <c r="F20" s="233"/>
      <c r="G20" s="233"/>
      <c r="H20" s="233">
        <f t="shared" si="0"/>
        <v>0</v>
      </c>
      <c r="I20" s="233">
        <v>0</v>
      </c>
      <c r="J20" s="233"/>
      <c r="K20" s="233"/>
      <c r="L20" s="233"/>
      <c r="M20" s="233">
        <f t="shared" si="1"/>
        <v>0</v>
      </c>
      <c r="N20" s="233">
        <v>0</v>
      </c>
      <c r="O20" s="233"/>
      <c r="P20" s="233"/>
      <c r="Q20" s="233"/>
      <c r="R20" s="233">
        <f t="shared" si="3"/>
        <v>0</v>
      </c>
    </row>
    <row r="21" spans="1:18" s="6" customFormat="1" ht="12" hidden="1" customHeight="1">
      <c r="A21" s="135" t="s">
        <v>180</v>
      </c>
      <c r="B21" s="173" t="s">
        <v>173</v>
      </c>
      <c r="C21" s="174">
        <v>0</v>
      </c>
      <c r="D21" s="174">
        <v>0</v>
      </c>
      <c r="E21" s="238">
        <f t="shared" ref="E21:L21" si="12">E22</f>
        <v>0</v>
      </c>
      <c r="F21" s="238">
        <f t="shared" si="12"/>
        <v>0</v>
      </c>
      <c r="G21" s="238">
        <f t="shared" si="12"/>
        <v>0</v>
      </c>
      <c r="H21" s="233">
        <f t="shared" si="0"/>
        <v>0</v>
      </c>
      <c r="I21" s="238">
        <v>0</v>
      </c>
      <c r="J21" s="238">
        <f t="shared" si="12"/>
        <v>0</v>
      </c>
      <c r="K21" s="238">
        <f t="shared" si="12"/>
        <v>0</v>
      </c>
      <c r="L21" s="238">
        <f t="shared" si="12"/>
        <v>0</v>
      </c>
      <c r="M21" s="233">
        <f t="shared" si="1"/>
        <v>0</v>
      </c>
      <c r="N21" s="238">
        <v>0</v>
      </c>
      <c r="O21" s="238">
        <f t="shared" ref="O21:Q21" si="13">O22</f>
        <v>0</v>
      </c>
      <c r="P21" s="238">
        <f t="shared" si="13"/>
        <v>0</v>
      </c>
      <c r="Q21" s="238">
        <f t="shared" si="13"/>
        <v>0</v>
      </c>
      <c r="R21" s="233">
        <f t="shared" si="3"/>
        <v>0</v>
      </c>
    </row>
    <row r="22" spans="1:18" s="6" customFormat="1" ht="24" hidden="1" customHeight="1">
      <c r="A22" s="135">
        <v>19500</v>
      </c>
      <c r="B22" s="172" t="s">
        <v>174</v>
      </c>
      <c r="C22" s="171">
        <v>0</v>
      </c>
      <c r="D22" s="171">
        <v>0</v>
      </c>
      <c r="E22" s="233">
        <f>SUM(E23:E25)</f>
        <v>0</v>
      </c>
      <c r="F22" s="233">
        <f t="shared" ref="F22:G22" si="14">SUM(F23:F25)</f>
        <v>0</v>
      </c>
      <c r="G22" s="233">
        <f t="shared" si="14"/>
        <v>0</v>
      </c>
      <c r="H22" s="233">
        <f t="shared" si="0"/>
        <v>0</v>
      </c>
      <c r="I22" s="233">
        <v>0</v>
      </c>
      <c r="J22" s="233">
        <f>SUM(J23:J25)</f>
        <v>0</v>
      </c>
      <c r="K22" s="233">
        <f t="shared" ref="K22:L22" si="15">SUM(K23:K25)</f>
        <v>0</v>
      </c>
      <c r="L22" s="233">
        <f t="shared" si="15"/>
        <v>0</v>
      </c>
      <c r="M22" s="233">
        <f t="shared" si="1"/>
        <v>0</v>
      </c>
      <c r="N22" s="233">
        <v>0</v>
      </c>
      <c r="O22" s="233">
        <f>SUM(O23:O25)</f>
        <v>0</v>
      </c>
      <c r="P22" s="233">
        <f t="shared" ref="P22:Q22" si="16">SUM(P23:P25)</f>
        <v>0</v>
      </c>
      <c r="Q22" s="233">
        <f t="shared" si="16"/>
        <v>0</v>
      </c>
      <c r="R22" s="233">
        <f t="shared" si="3"/>
        <v>0</v>
      </c>
    </row>
    <row r="23" spans="1:18" s="6" customFormat="1" ht="24" hidden="1" customHeight="1">
      <c r="A23" s="136">
        <v>19550</v>
      </c>
      <c r="B23" s="172" t="s">
        <v>175</v>
      </c>
      <c r="C23" s="171"/>
      <c r="D23" s="171">
        <v>0</v>
      </c>
      <c r="E23" s="233"/>
      <c r="F23" s="233"/>
      <c r="G23" s="233"/>
      <c r="H23" s="233">
        <f t="shared" si="0"/>
        <v>0</v>
      </c>
      <c r="I23" s="233">
        <v>0</v>
      </c>
      <c r="J23" s="233"/>
      <c r="K23" s="233"/>
      <c r="L23" s="233"/>
      <c r="M23" s="233">
        <f t="shared" si="1"/>
        <v>0</v>
      </c>
      <c r="N23" s="233">
        <v>0</v>
      </c>
      <c r="O23" s="233"/>
      <c r="P23" s="233"/>
      <c r="Q23" s="233"/>
      <c r="R23" s="233">
        <f t="shared" si="3"/>
        <v>0</v>
      </c>
    </row>
    <row r="24" spans="1:18" s="6" customFormat="1" ht="36" hidden="1" customHeight="1">
      <c r="A24" s="136">
        <v>19560</v>
      </c>
      <c r="B24" s="172" t="s">
        <v>181</v>
      </c>
      <c r="C24" s="171"/>
      <c r="D24" s="171">
        <v>0</v>
      </c>
      <c r="E24" s="233"/>
      <c r="F24" s="233"/>
      <c r="G24" s="233"/>
      <c r="H24" s="233">
        <f t="shared" si="0"/>
        <v>0</v>
      </c>
      <c r="I24" s="233">
        <v>0</v>
      </c>
      <c r="J24" s="233"/>
      <c r="K24" s="233"/>
      <c r="L24" s="233"/>
      <c r="M24" s="233">
        <f t="shared" si="1"/>
        <v>0</v>
      </c>
      <c r="N24" s="233">
        <v>0</v>
      </c>
      <c r="O24" s="233"/>
      <c r="P24" s="233"/>
      <c r="Q24" s="233"/>
      <c r="R24" s="233">
        <f t="shared" si="3"/>
        <v>0</v>
      </c>
    </row>
    <row r="25" spans="1:18" s="6" customFormat="1" ht="72" hidden="1" customHeight="1">
      <c r="A25" s="136">
        <v>19570</v>
      </c>
      <c r="B25" s="172" t="s">
        <v>182</v>
      </c>
      <c r="C25" s="171"/>
      <c r="D25" s="171">
        <v>0</v>
      </c>
      <c r="E25" s="233"/>
      <c r="F25" s="233"/>
      <c r="G25" s="233"/>
      <c r="H25" s="233">
        <f t="shared" si="0"/>
        <v>0</v>
      </c>
      <c r="I25" s="233">
        <v>0</v>
      </c>
      <c r="J25" s="233"/>
      <c r="K25" s="233"/>
      <c r="L25" s="233"/>
      <c r="M25" s="233">
        <f t="shared" si="1"/>
        <v>0</v>
      </c>
      <c r="N25" s="233">
        <v>0</v>
      </c>
      <c r="O25" s="233"/>
      <c r="P25" s="233"/>
      <c r="Q25" s="233"/>
      <c r="R25" s="233">
        <f t="shared" si="3"/>
        <v>0</v>
      </c>
    </row>
    <row r="26" spans="1:18" s="6" customFormat="1" ht="24" hidden="1" customHeight="1">
      <c r="A26" s="209" t="s">
        <v>222</v>
      </c>
      <c r="B26" s="208" t="s">
        <v>216</v>
      </c>
      <c r="C26" s="107">
        <f>C27</f>
        <v>0</v>
      </c>
      <c r="D26" s="107">
        <v>0</v>
      </c>
      <c r="E26" s="233">
        <f t="shared" ref="E26:L26" si="17">E27</f>
        <v>0</v>
      </c>
      <c r="F26" s="233">
        <f t="shared" si="17"/>
        <v>0</v>
      </c>
      <c r="G26" s="233">
        <f t="shared" si="17"/>
        <v>0</v>
      </c>
      <c r="H26" s="233">
        <f t="shared" si="0"/>
        <v>0</v>
      </c>
      <c r="I26" s="233">
        <v>0</v>
      </c>
      <c r="J26" s="233">
        <f t="shared" si="17"/>
        <v>0</v>
      </c>
      <c r="K26" s="233">
        <f t="shared" si="17"/>
        <v>0</v>
      </c>
      <c r="L26" s="233">
        <f t="shared" si="17"/>
        <v>0</v>
      </c>
      <c r="M26" s="233">
        <f t="shared" si="1"/>
        <v>0</v>
      </c>
      <c r="N26" s="233">
        <v>0</v>
      </c>
      <c r="O26" s="233">
        <f t="shared" ref="O26:Q26" si="18">O27</f>
        <v>0</v>
      </c>
      <c r="P26" s="233">
        <f t="shared" si="18"/>
        <v>0</v>
      </c>
      <c r="Q26" s="233">
        <f t="shared" si="18"/>
        <v>0</v>
      </c>
      <c r="R26" s="233">
        <f t="shared" si="3"/>
        <v>0</v>
      </c>
    </row>
    <row r="27" spans="1:18" s="6" customFormat="1" ht="36" hidden="1" customHeight="1">
      <c r="A27" s="209">
        <v>17100</v>
      </c>
      <c r="B27" s="208" t="s">
        <v>217</v>
      </c>
      <c r="C27" s="107">
        <f>SUM(C28:C31)</f>
        <v>0</v>
      </c>
      <c r="D27" s="107">
        <v>0</v>
      </c>
      <c r="E27" s="233">
        <f t="shared" ref="E27:G27" si="19">SUM(E28:E31)</f>
        <v>0</v>
      </c>
      <c r="F27" s="233">
        <f t="shared" si="19"/>
        <v>0</v>
      </c>
      <c r="G27" s="233">
        <f t="shared" si="19"/>
        <v>0</v>
      </c>
      <c r="H27" s="233">
        <f t="shared" si="0"/>
        <v>0</v>
      </c>
      <c r="I27" s="233">
        <v>0</v>
      </c>
      <c r="J27" s="233">
        <f t="shared" ref="J27:L27" si="20">SUM(J28:J31)</f>
        <v>0</v>
      </c>
      <c r="K27" s="233">
        <f t="shared" si="20"/>
        <v>0</v>
      </c>
      <c r="L27" s="233">
        <f t="shared" si="20"/>
        <v>0</v>
      </c>
      <c r="M27" s="233">
        <f t="shared" si="1"/>
        <v>0</v>
      </c>
      <c r="N27" s="233">
        <v>0</v>
      </c>
      <c r="O27" s="233">
        <f t="shared" ref="O27:Q27" si="21">SUM(O28:O31)</f>
        <v>0</v>
      </c>
      <c r="P27" s="233">
        <f t="shared" si="21"/>
        <v>0</v>
      </c>
      <c r="Q27" s="233">
        <f t="shared" si="21"/>
        <v>0</v>
      </c>
      <c r="R27" s="233">
        <f t="shared" si="3"/>
        <v>0</v>
      </c>
    </row>
    <row r="28" spans="1:18" s="6" customFormat="1" ht="48" hidden="1" customHeight="1">
      <c r="A28" s="149">
        <v>17110</v>
      </c>
      <c r="B28" s="208" t="s">
        <v>218</v>
      </c>
      <c r="C28" s="107"/>
      <c r="D28" s="107">
        <v>0</v>
      </c>
      <c r="E28" s="233"/>
      <c r="F28" s="233"/>
      <c r="G28" s="233"/>
      <c r="H28" s="233">
        <f t="shared" si="0"/>
        <v>0</v>
      </c>
      <c r="I28" s="233">
        <v>0</v>
      </c>
      <c r="J28" s="233"/>
      <c r="K28" s="233"/>
      <c r="L28" s="233"/>
      <c r="M28" s="233">
        <f t="shared" si="1"/>
        <v>0</v>
      </c>
      <c r="N28" s="233">
        <v>0</v>
      </c>
      <c r="O28" s="233"/>
      <c r="P28" s="233"/>
      <c r="Q28" s="233"/>
      <c r="R28" s="233">
        <f t="shared" si="3"/>
        <v>0</v>
      </c>
    </row>
    <row r="29" spans="1:18" s="6" customFormat="1" ht="48" hidden="1" customHeight="1">
      <c r="A29" s="149">
        <v>17120</v>
      </c>
      <c r="B29" s="208" t="s">
        <v>219</v>
      </c>
      <c r="C29" s="107"/>
      <c r="D29" s="107">
        <v>0</v>
      </c>
      <c r="E29" s="233"/>
      <c r="F29" s="233"/>
      <c r="G29" s="233"/>
      <c r="H29" s="233">
        <f t="shared" si="0"/>
        <v>0</v>
      </c>
      <c r="I29" s="233">
        <v>0</v>
      </c>
      <c r="J29" s="233"/>
      <c r="K29" s="233"/>
      <c r="L29" s="233"/>
      <c r="M29" s="233">
        <f t="shared" si="1"/>
        <v>0</v>
      </c>
      <c r="N29" s="233">
        <v>0</v>
      </c>
      <c r="O29" s="233"/>
      <c r="P29" s="233"/>
      <c r="Q29" s="233"/>
      <c r="R29" s="233">
        <f t="shared" si="3"/>
        <v>0</v>
      </c>
    </row>
    <row r="30" spans="1:18" s="6" customFormat="1" ht="96" hidden="1" customHeight="1">
      <c r="A30" s="149">
        <v>17130</v>
      </c>
      <c r="B30" s="208" t="s">
        <v>220</v>
      </c>
      <c r="C30" s="107"/>
      <c r="D30" s="107">
        <v>0</v>
      </c>
      <c r="E30" s="233"/>
      <c r="F30" s="233"/>
      <c r="G30" s="233"/>
      <c r="H30" s="233">
        <f t="shared" si="0"/>
        <v>0</v>
      </c>
      <c r="I30" s="233">
        <v>0</v>
      </c>
      <c r="J30" s="233"/>
      <c r="K30" s="233"/>
      <c r="L30" s="233"/>
      <c r="M30" s="233">
        <f t="shared" si="1"/>
        <v>0</v>
      </c>
      <c r="N30" s="233">
        <v>0</v>
      </c>
      <c r="O30" s="233"/>
      <c r="P30" s="233"/>
      <c r="Q30" s="233"/>
      <c r="R30" s="233">
        <f t="shared" si="3"/>
        <v>0</v>
      </c>
    </row>
    <row r="31" spans="1:18" s="6" customFormat="1" ht="96" hidden="1" customHeight="1">
      <c r="A31" s="149">
        <v>17140</v>
      </c>
      <c r="B31" s="208" t="s">
        <v>221</v>
      </c>
      <c r="C31" s="107"/>
      <c r="D31" s="107">
        <v>0</v>
      </c>
      <c r="E31" s="233"/>
      <c r="F31" s="233"/>
      <c r="G31" s="233"/>
      <c r="H31" s="233">
        <f t="shared" si="0"/>
        <v>0</v>
      </c>
      <c r="I31" s="233">
        <v>0</v>
      </c>
      <c r="J31" s="233"/>
      <c r="K31" s="233"/>
      <c r="L31" s="233"/>
      <c r="M31" s="233">
        <f t="shared" si="1"/>
        <v>0</v>
      </c>
      <c r="N31" s="233">
        <v>0</v>
      </c>
      <c r="O31" s="233"/>
      <c r="P31" s="233"/>
      <c r="Q31" s="233"/>
      <c r="R31" s="233">
        <f t="shared" si="3"/>
        <v>0</v>
      </c>
    </row>
    <row r="32" spans="1:18" s="6" customFormat="1" ht="12">
      <c r="A32" s="137">
        <v>21700</v>
      </c>
      <c r="B32" s="124" t="s">
        <v>97</v>
      </c>
      <c r="C32" s="171">
        <v>98968467</v>
      </c>
      <c r="D32" s="171">
        <v>70901973</v>
      </c>
      <c r="E32" s="233">
        <f>E33+E34</f>
        <v>11593</v>
      </c>
      <c r="F32" s="233">
        <f t="shared" ref="F32:G32" si="22">F33+F34</f>
        <v>3992970</v>
      </c>
      <c r="G32" s="233">
        <f t="shared" si="22"/>
        <v>9253727</v>
      </c>
      <c r="H32" s="233">
        <f t="shared" si="0"/>
        <v>84160263</v>
      </c>
      <c r="I32" s="233">
        <v>51498409</v>
      </c>
      <c r="J32" s="233">
        <f>J33+J34</f>
        <v>10426</v>
      </c>
      <c r="K32" s="233">
        <f t="shared" ref="K32:L32" si="23">K33+K34</f>
        <v>3597248</v>
      </c>
      <c r="L32" s="233">
        <f t="shared" si="23"/>
        <v>9866883</v>
      </c>
      <c r="M32" s="233">
        <f t="shared" si="1"/>
        <v>64972966</v>
      </c>
      <c r="N32" s="233">
        <v>50623142</v>
      </c>
      <c r="O32" s="233">
        <f>O33+O34</f>
        <v>0</v>
      </c>
      <c r="P32" s="233">
        <f t="shared" ref="P32:Q32" si="24">P33+P34</f>
        <v>3072005</v>
      </c>
      <c r="Q32" s="233">
        <f t="shared" si="24"/>
        <v>6116453</v>
      </c>
      <c r="R32" s="233">
        <f t="shared" si="3"/>
        <v>59811600</v>
      </c>
    </row>
    <row r="33" spans="1:18" s="6" customFormat="1" ht="24">
      <c r="A33" s="138">
        <v>21710</v>
      </c>
      <c r="B33" s="125" t="s">
        <v>98</v>
      </c>
      <c r="C33" s="171">
        <v>98968467</v>
      </c>
      <c r="D33" s="171">
        <v>70901973</v>
      </c>
      <c r="E33" s="233">
        <f>E201</f>
        <v>11593</v>
      </c>
      <c r="F33" s="233">
        <f>2975996+850000+50000+116974</f>
        <v>3992970</v>
      </c>
      <c r="G33" s="233">
        <f>G117</f>
        <v>9253727</v>
      </c>
      <c r="H33" s="233">
        <f t="shared" si="0"/>
        <v>84160263</v>
      </c>
      <c r="I33" s="233">
        <v>51498409</v>
      </c>
      <c r="J33" s="233">
        <v>10426</v>
      </c>
      <c r="K33" s="233">
        <f>2975996+500000+50000+71252</f>
        <v>3597248</v>
      </c>
      <c r="L33" s="233">
        <f>L117</f>
        <v>9866883</v>
      </c>
      <c r="M33" s="233">
        <f t="shared" si="1"/>
        <v>64972966</v>
      </c>
      <c r="N33" s="233">
        <v>50623142</v>
      </c>
      <c r="O33" s="233"/>
      <c r="P33" s="233">
        <f>2975996+50000+46009</f>
        <v>3072005</v>
      </c>
      <c r="Q33" s="233">
        <f>Q117</f>
        <v>6116453</v>
      </c>
      <c r="R33" s="233">
        <f t="shared" si="3"/>
        <v>59811600</v>
      </c>
    </row>
    <row r="34" spans="1:18" s="6" customFormat="1" ht="24" hidden="1" customHeight="1">
      <c r="A34" s="138">
        <v>21720</v>
      </c>
      <c r="B34" s="125" t="s">
        <v>99</v>
      </c>
      <c r="C34" s="171"/>
      <c r="D34" s="171">
        <v>0</v>
      </c>
      <c r="E34" s="233"/>
      <c r="F34" s="233"/>
      <c r="G34" s="233"/>
      <c r="H34" s="233">
        <f t="shared" si="0"/>
        <v>0</v>
      </c>
      <c r="I34" s="233">
        <v>0</v>
      </c>
      <c r="J34" s="233"/>
      <c r="K34" s="233"/>
      <c r="L34" s="233"/>
      <c r="M34" s="233">
        <f t="shared" si="1"/>
        <v>0</v>
      </c>
      <c r="N34" s="233">
        <v>0</v>
      </c>
      <c r="O34" s="233"/>
      <c r="P34" s="233"/>
      <c r="Q34" s="233"/>
      <c r="R34" s="233">
        <f t="shared" si="3"/>
        <v>0</v>
      </c>
    </row>
    <row r="35" spans="1:18" s="6" customFormat="1" ht="11.4">
      <c r="A35" s="129" t="s">
        <v>100</v>
      </c>
      <c r="B35" s="123" t="s">
        <v>101</v>
      </c>
      <c r="C35" s="175">
        <v>103461470</v>
      </c>
      <c r="D35" s="175">
        <v>75192238</v>
      </c>
      <c r="E35" s="243">
        <f t="shared" ref="E35:G35" si="25">E36+E63</f>
        <v>54307</v>
      </c>
      <c r="F35" s="243">
        <f t="shared" si="25"/>
        <v>3992970</v>
      </c>
      <c r="G35" s="243">
        <f t="shared" si="25"/>
        <v>9273727</v>
      </c>
      <c r="H35" s="243">
        <f t="shared" si="0"/>
        <v>88513242</v>
      </c>
      <c r="I35" s="243">
        <v>55536358</v>
      </c>
      <c r="J35" s="243">
        <f t="shared" ref="J35:L35" si="26">J36+J63</f>
        <v>51708</v>
      </c>
      <c r="K35" s="243">
        <f t="shared" si="26"/>
        <v>3597248</v>
      </c>
      <c r="L35" s="243">
        <f t="shared" si="26"/>
        <v>9866883</v>
      </c>
      <c r="M35" s="243">
        <f t="shared" si="1"/>
        <v>69052197</v>
      </c>
      <c r="N35" s="243">
        <v>54513301</v>
      </c>
      <c r="O35" s="243">
        <f t="shared" ref="O35:Q35" si="27">O36+O63</f>
        <v>8256</v>
      </c>
      <c r="P35" s="243">
        <f t="shared" si="27"/>
        <v>3072005</v>
      </c>
      <c r="Q35" s="243">
        <f t="shared" si="27"/>
        <v>6116453</v>
      </c>
      <c r="R35" s="243">
        <f t="shared" si="3"/>
        <v>63710015</v>
      </c>
    </row>
    <row r="36" spans="1:18" s="6" customFormat="1" ht="20.399999999999999">
      <c r="A36" s="130" t="s">
        <v>102</v>
      </c>
      <c r="B36" s="124" t="s">
        <v>103</v>
      </c>
      <c r="C36" s="171">
        <v>57339034</v>
      </c>
      <c r="D36" s="171">
        <v>55001516</v>
      </c>
      <c r="E36" s="233">
        <f>E37+E41+E42+E45+E48</f>
        <v>54307</v>
      </c>
      <c r="F36" s="233">
        <f t="shared" ref="F36:G36" si="28">F37+F41+F42+F45+F48</f>
        <v>3992270</v>
      </c>
      <c r="G36" s="233">
        <f t="shared" si="28"/>
        <v>9231695</v>
      </c>
      <c r="H36" s="233">
        <f t="shared" si="0"/>
        <v>68279788</v>
      </c>
      <c r="I36" s="233">
        <v>55157805</v>
      </c>
      <c r="J36" s="233">
        <f>J37+J41+J42+J45+J48</f>
        <v>51708</v>
      </c>
      <c r="K36" s="233">
        <f>K37+K41+K42+K45+K48</f>
        <v>3597248</v>
      </c>
      <c r="L36" s="233">
        <f t="shared" ref="L36" si="29">L37+L41+L42+L45+L48</f>
        <v>9824851</v>
      </c>
      <c r="M36" s="233">
        <f t="shared" si="1"/>
        <v>68631612</v>
      </c>
      <c r="N36" s="233">
        <v>54137240</v>
      </c>
      <c r="O36" s="233">
        <f>O37+O41+O42+O45+O48</f>
        <v>8256</v>
      </c>
      <c r="P36" s="233">
        <f t="shared" ref="P36:Q36" si="30">P37+P41+P42+P45+P48</f>
        <v>3072005</v>
      </c>
      <c r="Q36" s="233">
        <f t="shared" si="30"/>
        <v>6074421</v>
      </c>
      <c r="R36" s="233">
        <f t="shared" si="3"/>
        <v>63291922</v>
      </c>
    </row>
    <row r="37" spans="1:18" s="6" customFormat="1" ht="12">
      <c r="A37" s="130" t="s">
        <v>104</v>
      </c>
      <c r="B37" s="124" t="s">
        <v>105</v>
      </c>
      <c r="C37" s="171">
        <v>27134714</v>
      </c>
      <c r="D37" s="171">
        <v>24667881</v>
      </c>
      <c r="E37" s="233">
        <f>E38+E40</f>
        <v>54307</v>
      </c>
      <c r="F37" s="233">
        <f t="shared" ref="F37:G37" si="31">F38+F40</f>
        <v>1884009</v>
      </c>
      <c r="G37" s="233">
        <f t="shared" si="31"/>
        <v>4433356</v>
      </c>
      <c r="H37" s="233">
        <f t="shared" si="0"/>
        <v>31039553</v>
      </c>
      <c r="I37" s="233">
        <v>24613782</v>
      </c>
      <c r="J37" s="233">
        <f>J38+J40</f>
        <v>51708</v>
      </c>
      <c r="K37" s="233">
        <f>K38+K40</f>
        <v>1841943</v>
      </c>
      <c r="L37" s="233">
        <f t="shared" ref="L37" si="32">L38+L40</f>
        <v>4850633</v>
      </c>
      <c r="M37" s="233">
        <f t="shared" si="1"/>
        <v>31358066</v>
      </c>
      <c r="N37" s="233">
        <v>24649470</v>
      </c>
      <c r="O37" s="233">
        <f>O38+O40</f>
        <v>8256</v>
      </c>
      <c r="P37" s="233">
        <f t="shared" ref="P37:Q37" si="33">P38+P40</f>
        <v>1816700</v>
      </c>
      <c r="Q37" s="233">
        <f t="shared" si="33"/>
        <v>3738840</v>
      </c>
      <c r="R37" s="233">
        <f t="shared" si="3"/>
        <v>30213266</v>
      </c>
    </row>
    <row r="38" spans="1:18" s="6" customFormat="1" ht="12">
      <c r="A38" s="132">
        <v>1000</v>
      </c>
      <c r="B38" s="125" t="s">
        <v>106</v>
      </c>
      <c r="C38" s="171">
        <v>17636539</v>
      </c>
      <c r="D38" s="171">
        <v>17326030</v>
      </c>
      <c r="E38" s="233">
        <f>E206</f>
        <v>24370</v>
      </c>
      <c r="F38" s="233">
        <f>1770691+16943</f>
        <v>1787634</v>
      </c>
      <c r="G38" s="233">
        <f>G122</f>
        <v>1953340</v>
      </c>
      <c r="H38" s="233">
        <f t="shared" si="0"/>
        <v>21091374</v>
      </c>
      <c r="I38" s="233">
        <v>17285620</v>
      </c>
      <c r="J38" s="233">
        <f>J206</f>
        <v>19000</v>
      </c>
      <c r="K38" s="233">
        <f>1770691+49448</f>
        <v>1820139</v>
      </c>
      <c r="L38" s="233">
        <f>L122</f>
        <v>3021757</v>
      </c>
      <c r="M38" s="233">
        <f t="shared" si="1"/>
        <v>22146516</v>
      </c>
      <c r="N38" s="233">
        <v>17269219</v>
      </c>
      <c r="O38" s="233"/>
      <c r="P38" s="233">
        <f>1770691+30584</f>
        <v>1801275</v>
      </c>
      <c r="Q38" s="233">
        <f>Q122</f>
        <v>2723633</v>
      </c>
      <c r="R38" s="233">
        <f t="shared" si="3"/>
        <v>21794127</v>
      </c>
    </row>
    <row r="39" spans="1:18" s="6" customFormat="1" ht="12">
      <c r="A39" s="139">
        <v>1100</v>
      </c>
      <c r="B39" s="125" t="s">
        <v>107</v>
      </c>
      <c r="C39" s="171">
        <v>14204710</v>
      </c>
      <c r="D39" s="171">
        <v>13953797</v>
      </c>
      <c r="E39" s="233">
        <f>E207</f>
        <v>19641</v>
      </c>
      <c r="F39" s="233">
        <f>1426941+5568</f>
        <v>1432509</v>
      </c>
      <c r="G39" s="233">
        <f t="shared" ref="G39:G40" si="34">G123</f>
        <v>1629163</v>
      </c>
      <c r="H39" s="233">
        <f t="shared" si="0"/>
        <v>17035110</v>
      </c>
      <c r="I39" s="233">
        <v>13922713</v>
      </c>
      <c r="J39" s="233">
        <f>J207</f>
        <v>15330</v>
      </c>
      <c r="K39" s="233">
        <f>1426941+16704</f>
        <v>1443645</v>
      </c>
      <c r="L39" s="233">
        <f t="shared" ref="L39:L40" si="35">L123</f>
        <v>2493755</v>
      </c>
      <c r="M39" s="233">
        <f t="shared" si="1"/>
        <v>17875443</v>
      </c>
      <c r="N39" s="233">
        <v>13908779</v>
      </c>
      <c r="O39" s="233"/>
      <c r="P39" s="233">
        <f>1426941+10904</f>
        <v>1437845</v>
      </c>
      <c r="Q39" s="233">
        <f t="shared" ref="Q39:Q40" si="36">Q123</f>
        <v>2191179</v>
      </c>
      <c r="R39" s="233">
        <f t="shared" si="3"/>
        <v>17537803</v>
      </c>
    </row>
    <row r="40" spans="1:18" s="6" customFormat="1" ht="12">
      <c r="A40" s="132">
        <v>2000</v>
      </c>
      <c r="B40" s="125" t="s">
        <v>108</v>
      </c>
      <c r="C40" s="171">
        <v>9498175</v>
      </c>
      <c r="D40" s="171">
        <v>7341851</v>
      </c>
      <c r="E40" s="233">
        <f>E208</f>
        <v>29937</v>
      </c>
      <c r="F40" s="233">
        <f>15268+10000+71107</f>
        <v>96375</v>
      </c>
      <c r="G40" s="233">
        <f t="shared" si="34"/>
        <v>2480016</v>
      </c>
      <c r="H40" s="233">
        <f t="shared" si="0"/>
        <v>9948179</v>
      </c>
      <c r="I40" s="233">
        <v>7328162</v>
      </c>
      <c r="J40" s="233">
        <f>J208</f>
        <v>32708</v>
      </c>
      <c r="K40" s="233">
        <v>21804</v>
      </c>
      <c r="L40" s="233">
        <f t="shared" si="35"/>
        <v>1828876</v>
      </c>
      <c r="M40" s="233">
        <f t="shared" si="1"/>
        <v>9211550</v>
      </c>
      <c r="N40" s="233">
        <v>7380251</v>
      </c>
      <c r="O40" s="233">
        <f>O208</f>
        <v>8256</v>
      </c>
      <c r="P40" s="233">
        <v>15425</v>
      </c>
      <c r="Q40" s="233">
        <f t="shared" si="36"/>
        <v>1015207</v>
      </c>
      <c r="R40" s="233">
        <f t="shared" si="3"/>
        <v>8419139</v>
      </c>
    </row>
    <row r="41" spans="1:18" s="6" customFormat="1" ht="12" hidden="1" customHeight="1">
      <c r="A41" s="140">
        <v>4000</v>
      </c>
      <c r="B41" s="124" t="s">
        <v>132</v>
      </c>
      <c r="C41" s="171"/>
      <c r="D41" s="171">
        <v>0</v>
      </c>
      <c r="E41" s="233"/>
      <c r="F41" s="233"/>
      <c r="G41" s="233"/>
      <c r="H41" s="233">
        <f t="shared" si="0"/>
        <v>0</v>
      </c>
      <c r="I41" s="233">
        <v>0</v>
      </c>
      <c r="J41" s="233"/>
      <c r="K41" s="233"/>
      <c r="L41" s="233"/>
      <c r="M41" s="233">
        <f t="shared" si="1"/>
        <v>0</v>
      </c>
      <c r="N41" s="233">
        <v>0</v>
      </c>
      <c r="O41" s="233"/>
      <c r="P41" s="233"/>
      <c r="Q41" s="233"/>
      <c r="R41" s="233">
        <f t="shared" si="3"/>
        <v>0</v>
      </c>
    </row>
    <row r="42" spans="1:18" s="6" customFormat="1" ht="12">
      <c r="A42" s="140" t="s">
        <v>109</v>
      </c>
      <c r="B42" s="124" t="s">
        <v>110</v>
      </c>
      <c r="C42" s="171">
        <v>16637856</v>
      </c>
      <c r="D42" s="171">
        <v>16612731</v>
      </c>
      <c r="E42" s="233">
        <f>E43+E44</f>
        <v>0</v>
      </c>
      <c r="F42" s="233">
        <f t="shared" ref="F42:G42" si="37">F43+F44</f>
        <v>988823</v>
      </c>
      <c r="G42" s="233">
        <f t="shared" si="37"/>
        <v>3605968</v>
      </c>
      <c r="H42" s="233">
        <f t="shared" si="0"/>
        <v>21207522</v>
      </c>
      <c r="I42" s="233">
        <v>16928498</v>
      </c>
      <c r="J42" s="233">
        <f>J43+J44</f>
        <v>0</v>
      </c>
      <c r="K42" s="233">
        <f>K43+K44</f>
        <v>638823</v>
      </c>
      <c r="L42" s="233">
        <f t="shared" ref="L42" si="38">L43+L44</f>
        <v>4667236</v>
      </c>
      <c r="M42" s="233">
        <f t="shared" si="1"/>
        <v>22234557</v>
      </c>
      <c r="N42" s="233">
        <v>16005632</v>
      </c>
      <c r="O42" s="233">
        <f>O43+O44</f>
        <v>0</v>
      </c>
      <c r="P42" s="233">
        <f t="shared" ref="P42:Q42" si="39">P43+P44</f>
        <v>138823</v>
      </c>
      <c r="Q42" s="233">
        <f t="shared" si="39"/>
        <v>2155742</v>
      </c>
      <c r="R42" s="233">
        <f t="shared" si="3"/>
        <v>18300197</v>
      </c>
    </row>
    <row r="43" spans="1:18" s="6" customFormat="1" ht="12">
      <c r="A43" s="132">
        <v>3000</v>
      </c>
      <c r="B43" s="125" t="s">
        <v>111</v>
      </c>
      <c r="C43" s="213">
        <v>15989626</v>
      </c>
      <c r="D43" s="213">
        <v>16044826</v>
      </c>
      <c r="E43" s="345"/>
      <c r="F43" s="345">
        <f>88823+850000+50000</f>
        <v>988823</v>
      </c>
      <c r="G43" s="345">
        <f>G127</f>
        <v>3599088</v>
      </c>
      <c r="H43" s="233">
        <f t="shared" si="0"/>
        <v>20632737</v>
      </c>
      <c r="I43" s="345">
        <v>16548018</v>
      </c>
      <c r="J43" s="345"/>
      <c r="K43" s="345">
        <f>88823+500000+50000</f>
        <v>638823</v>
      </c>
      <c r="L43" s="345">
        <f>L127</f>
        <v>4660356</v>
      </c>
      <c r="M43" s="233">
        <f t="shared" si="1"/>
        <v>21847197</v>
      </c>
      <c r="N43" s="345">
        <v>15625152</v>
      </c>
      <c r="O43" s="345"/>
      <c r="P43" s="345">
        <f>88823+50000</f>
        <v>138823</v>
      </c>
      <c r="Q43" s="345">
        <f>Q127</f>
        <v>2148862</v>
      </c>
      <c r="R43" s="233">
        <f t="shared" si="3"/>
        <v>17912837</v>
      </c>
    </row>
    <row r="44" spans="1:18" s="6" customFormat="1" ht="12">
      <c r="A44" s="132">
        <v>6000</v>
      </c>
      <c r="B44" s="125" t="s">
        <v>112</v>
      </c>
      <c r="C44" s="287">
        <v>648230</v>
      </c>
      <c r="D44" s="287">
        <v>567905</v>
      </c>
      <c r="E44" s="346"/>
      <c r="F44" s="346"/>
      <c r="G44" s="345">
        <f>G128</f>
        <v>6880</v>
      </c>
      <c r="H44" s="233">
        <f t="shared" si="0"/>
        <v>574785</v>
      </c>
      <c r="I44" s="346">
        <v>380480</v>
      </c>
      <c r="J44" s="346"/>
      <c r="K44" s="346"/>
      <c r="L44" s="345">
        <f>L128</f>
        <v>6880</v>
      </c>
      <c r="M44" s="233">
        <f t="shared" si="1"/>
        <v>387360</v>
      </c>
      <c r="N44" s="346">
        <v>380480</v>
      </c>
      <c r="O44" s="346"/>
      <c r="P44" s="346"/>
      <c r="Q44" s="345">
        <f>Q128</f>
        <v>6880</v>
      </c>
      <c r="R44" s="233">
        <f t="shared" si="3"/>
        <v>387360</v>
      </c>
    </row>
    <row r="45" spans="1:18" s="6" customFormat="1" ht="22.8">
      <c r="A45" s="140" t="s">
        <v>113</v>
      </c>
      <c r="B45" s="124" t="s">
        <v>183</v>
      </c>
      <c r="C45" s="171">
        <v>118590</v>
      </c>
      <c r="D45" s="171">
        <v>118590</v>
      </c>
      <c r="E45" s="233">
        <f>E46+E47</f>
        <v>0</v>
      </c>
      <c r="F45" s="233">
        <f t="shared" ref="F45:G45" si="40">F46+F47</f>
        <v>0</v>
      </c>
      <c r="G45" s="233">
        <f t="shared" si="40"/>
        <v>7782</v>
      </c>
      <c r="H45" s="233">
        <f t="shared" si="0"/>
        <v>126372</v>
      </c>
      <c r="I45" s="233">
        <v>118590</v>
      </c>
      <c r="J45" s="233">
        <f>J46+J47</f>
        <v>0</v>
      </c>
      <c r="K45" s="233">
        <v>0</v>
      </c>
      <c r="L45" s="233">
        <f t="shared" ref="L45" si="41">L46+L47</f>
        <v>7782</v>
      </c>
      <c r="M45" s="233">
        <f t="shared" si="1"/>
        <v>126372</v>
      </c>
      <c r="N45" s="233">
        <v>118590</v>
      </c>
      <c r="O45" s="233">
        <f>O46+O47</f>
        <v>0</v>
      </c>
      <c r="P45" s="233">
        <f t="shared" ref="P45:Q45" si="42">P46+P47</f>
        <v>0</v>
      </c>
      <c r="Q45" s="233">
        <f t="shared" si="42"/>
        <v>7782</v>
      </c>
      <c r="R45" s="233">
        <f t="shared" si="3"/>
        <v>126372</v>
      </c>
    </row>
    <row r="46" spans="1:18" s="6" customFormat="1" ht="12" hidden="1" customHeight="1">
      <c r="A46" s="132">
        <v>7600</v>
      </c>
      <c r="B46" s="179" t="s">
        <v>184</v>
      </c>
      <c r="C46" s="171"/>
      <c r="D46" s="171">
        <v>0</v>
      </c>
      <c r="E46" s="233"/>
      <c r="F46" s="233"/>
      <c r="G46" s="233"/>
      <c r="H46" s="233">
        <f t="shared" si="0"/>
        <v>0</v>
      </c>
      <c r="I46" s="233">
        <v>0</v>
      </c>
      <c r="J46" s="233"/>
      <c r="K46" s="233"/>
      <c r="L46" s="233"/>
      <c r="M46" s="233">
        <f t="shared" si="1"/>
        <v>0</v>
      </c>
      <c r="N46" s="233">
        <v>0</v>
      </c>
      <c r="O46" s="233"/>
      <c r="P46" s="233"/>
      <c r="Q46" s="233"/>
      <c r="R46" s="233">
        <f t="shared" si="3"/>
        <v>0</v>
      </c>
    </row>
    <row r="47" spans="1:18" s="6" customFormat="1" ht="12">
      <c r="A47" s="132">
        <v>7700</v>
      </c>
      <c r="B47" s="126" t="s">
        <v>114</v>
      </c>
      <c r="C47" s="171">
        <v>118590</v>
      </c>
      <c r="D47" s="171">
        <v>118590</v>
      </c>
      <c r="E47" s="233"/>
      <c r="F47" s="233"/>
      <c r="G47" s="345">
        <f>G131</f>
        <v>7782</v>
      </c>
      <c r="H47" s="233">
        <f t="shared" si="0"/>
        <v>126372</v>
      </c>
      <c r="I47" s="233">
        <v>118590</v>
      </c>
      <c r="J47" s="233"/>
      <c r="K47" s="233"/>
      <c r="L47" s="345">
        <f>L131</f>
        <v>7782</v>
      </c>
      <c r="M47" s="233">
        <f t="shared" si="1"/>
        <v>126372</v>
      </c>
      <c r="N47" s="233">
        <v>118590</v>
      </c>
      <c r="O47" s="233"/>
      <c r="P47" s="233"/>
      <c r="Q47" s="345">
        <f>Q131</f>
        <v>7782</v>
      </c>
      <c r="R47" s="233">
        <f t="shared" si="3"/>
        <v>126372</v>
      </c>
    </row>
    <row r="48" spans="1:18" s="6" customFormat="1" ht="20.399999999999999">
      <c r="A48" s="140" t="s">
        <v>185</v>
      </c>
      <c r="B48" s="124" t="s">
        <v>115</v>
      </c>
      <c r="C48" s="171">
        <v>13447874</v>
      </c>
      <c r="D48" s="171">
        <v>13602314</v>
      </c>
      <c r="E48" s="233">
        <f t="shared" ref="E48:G48" si="43">E49+E55+E59+E62</f>
        <v>0</v>
      </c>
      <c r="F48" s="233">
        <f t="shared" si="43"/>
        <v>1119438</v>
      </c>
      <c r="G48" s="233">
        <f t="shared" si="43"/>
        <v>1184589</v>
      </c>
      <c r="H48" s="233">
        <f t="shared" si="0"/>
        <v>15906341</v>
      </c>
      <c r="I48" s="233">
        <v>13496935</v>
      </c>
      <c r="J48" s="233">
        <f t="shared" ref="J48:L48" si="44">J49+J55+J59+J62</f>
        <v>0</v>
      </c>
      <c r="K48" s="233">
        <f t="shared" si="44"/>
        <v>1116482</v>
      </c>
      <c r="L48" s="233">
        <f t="shared" si="44"/>
        <v>299200</v>
      </c>
      <c r="M48" s="233">
        <f t="shared" si="1"/>
        <v>14912617</v>
      </c>
      <c r="N48" s="233">
        <v>13363548</v>
      </c>
      <c r="O48" s="233">
        <f t="shared" ref="O48:Q48" si="45">O49+O55+O59+O62</f>
        <v>0</v>
      </c>
      <c r="P48" s="233">
        <f t="shared" si="45"/>
        <v>1116482</v>
      </c>
      <c r="Q48" s="233">
        <f t="shared" si="45"/>
        <v>172057</v>
      </c>
      <c r="R48" s="233">
        <f t="shared" si="3"/>
        <v>14652087</v>
      </c>
    </row>
    <row r="49" spans="1:18" s="6" customFormat="1" ht="12" hidden="1" customHeight="1">
      <c r="A49" s="132">
        <v>7100</v>
      </c>
      <c r="B49" s="179" t="s">
        <v>116</v>
      </c>
      <c r="C49" s="171">
        <v>0</v>
      </c>
      <c r="D49" s="171">
        <v>0</v>
      </c>
      <c r="E49" s="233">
        <f>E50+E51</f>
        <v>0</v>
      </c>
      <c r="F49" s="233">
        <f t="shared" ref="F49:G49" si="46">F50+F51</f>
        <v>0</v>
      </c>
      <c r="G49" s="233">
        <f t="shared" si="46"/>
        <v>0</v>
      </c>
      <c r="H49" s="233">
        <f t="shared" si="0"/>
        <v>0</v>
      </c>
      <c r="I49" s="233">
        <v>0</v>
      </c>
      <c r="J49" s="233">
        <f>J50+J51</f>
        <v>0</v>
      </c>
      <c r="K49" s="233">
        <v>0</v>
      </c>
      <c r="L49" s="233">
        <f t="shared" ref="L49" si="47">L50+L51</f>
        <v>0</v>
      </c>
      <c r="M49" s="233">
        <f t="shared" si="1"/>
        <v>0</v>
      </c>
      <c r="N49" s="233">
        <v>0</v>
      </c>
      <c r="O49" s="233">
        <f>O50+O51</f>
        <v>0</v>
      </c>
      <c r="P49" s="233">
        <f t="shared" ref="P49:Q49" si="48">P50+P51</f>
        <v>0</v>
      </c>
      <c r="Q49" s="233">
        <f t="shared" si="48"/>
        <v>0</v>
      </c>
      <c r="R49" s="233">
        <f t="shared" si="3"/>
        <v>0</v>
      </c>
    </row>
    <row r="50" spans="1:18" s="6" customFormat="1" ht="24" hidden="1" customHeight="1">
      <c r="A50" s="133" t="s">
        <v>117</v>
      </c>
      <c r="B50" s="179" t="s">
        <v>118</v>
      </c>
      <c r="C50" s="171"/>
      <c r="D50" s="171">
        <v>0</v>
      </c>
      <c r="E50" s="233"/>
      <c r="F50" s="233"/>
      <c r="G50" s="233"/>
      <c r="H50" s="233">
        <f t="shared" si="0"/>
        <v>0</v>
      </c>
      <c r="I50" s="233">
        <v>0</v>
      </c>
      <c r="J50" s="233"/>
      <c r="K50" s="233"/>
      <c r="L50" s="233"/>
      <c r="M50" s="233">
        <f t="shared" si="1"/>
        <v>0</v>
      </c>
      <c r="N50" s="233">
        <v>0</v>
      </c>
      <c r="O50" s="233"/>
      <c r="P50" s="233"/>
      <c r="Q50" s="233"/>
      <c r="R50" s="233">
        <f t="shared" si="3"/>
        <v>0</v>
      </c>
    </row>
    <row r="51" spans="1:18" s="6" customFormat="1" ht="24" hidden="1" customHeight="1">
      <c r="A51" s="133">
        <v>7130</v>
      </c>
      <c r="B51" s="179" t="s">
        <v>119</v>
      </c>
      <c r="C51" s="171">
        <v>0</v>
      </c>
      <c r="D51" s="171">
        <v>0</v>
      </c>
      <c r="E51" s="233">
        <f>SUM(E52:E54)</f>
        <v>0</v>
      </c>
      <c r="F51" s="233">
        <f t="shared" ref="F51:G51" si="49">SUM(F52:F54)</f>
        <v>0</v>
      </c>
      <c r="G51" s="233">
        <f t="shared" si="49"/>
        <v>0</v>
      </c>
      <c r="H51" s="233">
        <f t="shared" si="0"/>
        <v>0</v>
      </c>
      <c r="I51" s="233">
        <v>0</v>
      </c>
      <c r="J51" s="233">
        <f>SUM(J52:J54)</f>
        <v>0</v>
      </c>
      <c r="K51" s="233">
        <v>0</v>
      </c>
      <c r="L51" s="233">
        <f t="shared" ref="L51" si="50">SUM(L52:L54)</f>
        <v>0</v>
      </c>
      <c r="M51" s="233">
        <f t="shared" si="1"/>
        <v>0</v>
      </c>
      <c r="N51" s="233">
        <v>0</v>
      </c>
      <c r="O51" s="233">
        <f>SUM(O52:O54)</f>
        <v>0</v>
      </c>
      <c r="P51" s="233">
        <f t="shared" ref="P51:Q51" si="51">SUM(P52:P54)</f>
        <v>0</v>
      </c>
      <c r="Q51" s="233">
        <f t="shared" si="51"/>
        <v>0</v>
      </c>
      <c r="R51" s="233">
        <f t="shared" si="3"/>
        <v>0</v>
      </c>
    </row>
    <row r="52" spans="1:18" s="6" customFormat="1" ht="36" hidden="1" customHeight="1">
      <c r="A52" s="134">
        <v>7131</v>
      </c>
      <c r="B52" s="179" t="s">
        <v>120</v>
      </c>
      <c r="C52" s="171"/>
      <c r="D52" s="171">
        <v>0</v>
      </c>
      <c r="E52" s="233"/>
      <c r="F52" s="233"/>
      <c r="G52" s="233"/>
      <c r="H52" s="233">
        <f t="shared" si="0"/>
        <v>0</v>
      </c>
      <c r="I52" s="233">
        <v>0</v>
      </c>
      <c r="J52" s="233"/>
      <c r="K52" s="233"/>
      <c r="L52" s="233"/>
      <c r="M52" s="233">
        <f t="shared" si="1"/>
        <v>0</v>
      </c>
      <c r="N52" s="233">
        <v>0</v>
      </c>
      <c r="O52" s="233"/>
      <c r="P52" s="233"/>
      <c r="Q52" s="233"/>
      <c r="R52" s="233">
        <f t="shared" si="3"/>
        <v>0</v>
      </c>
    </row>
    <row r="53" spans="1:18" s="6" customFormat="1" ht="36" hidden="1" customHeight="1">
      <c r="A53" s="134">
        <v>7132</v>
      </c>
      <c r="B53" s="179" t="s">
        <v>121</v>
      </c>
      <c r="C53" s="171"/>
      <c r="D53" s="171">
        <v>0</v>
      </c>
      <c r="E53" s="233"/>
      <c r="F53" s="233"/>
      <c r="G53" s="233"/>
      <c r="H53" s="233">
        <f t="shared" si="0"/>
        <v>0</v>
      </c>
      <c r="I53" s="233">
        <v>0</v>
      </c>
      <c r="J53" s="233"/>
      <c r="K53" s="233"/>
      <c r="L53" s="233"/>
      <c r="M53" s="233">
        <f t="shared" si="1"/>
        <v>0</v>
      </c>
      <c r="N53" s="233">
        <v>0</v>
      </c>
      <c r="O53" s="233"/>
      <c r="P53" s="233"/>
      <c r="Q53" s="233"/>
      <c r="R53" s="233">
        <f t="shared" si="3"/>
        <v>0</v>
      </c>
    </row>
    <row r="54" spans="1:18" s="6" customFormat="1" ht="36" hidden="1" customHeight="1">
      <c r="A54" s="134" t="s">
        <v>186</v>
      </c>
      <c r="B54" s="179" t="s">
        <v>187</v>
      </c>
      <c r="C54" s="171"/>
      <c r="D54" s="171">
        <v>0</v>
      </c>
      <c r="E54" s="233"/>
      <c r="F54" s="233"/>
      <c r="G54" s="233"/>
      <c r="H54" s="233">
        <f t="shared" si="0"/>
        <v>0</v>
      </c>
      <c r="I54" s="233">
        <v>0</v>
      </c>
      <c r="J54" s="233"/>
      <c r="K54" s="233"/>
      <c r="L54" s="233"/>
      <c r="M54" s="233">
        <f t="shared" si="1"/>
        <v>0</v>
      </c>
      <c r="N54" s="233">
        <v>0</v>
      </c>
      <c r="O54" s="233"/>
      <c r="P54" s="233"/>
      <c r="Q54" s="233"/>
      <c r="R54" s="233">
        <f t="shared" si="3"/>
        <v>0</v>
      </c>
    </row>
    <row r="55" spans="1:18" s="6" customFormat="1" ht="24">
      <c r="A55" s="132">
        <v>7300</v>
      </c>
      <c r="B55" s="172" t="s">
        <v>155</v>
      </c>
      <c r="C55" s="171">
        <v>12402327</v>
      </c>
      <c r="D55" s="171">
        <v>12301239</v>
      </c>
      <c r="E55" s="233">
        <f>SUM(E56:E58)</f>
        <v>0</v>
      </c>
      <c r="F55" s="233">
        <f t="shared" ref="F55:G55" si="52">SUM(F56:F58)</f>
        <v>1116482</v>
      </c>
      <c r="G55" s="233">
        <f t="shared" si="52"/>
        <v>1087770</v>
      </c>
      <c r="H55" s="233">
        <f t="shared" si="0"/>
        <v>14505491</v>
      </c>
      <c r="I55" s="233">
        <v>12203253</v>
      </c>
      <c r="J55" s="233">
        <f>SUM(J56:J58)</f>
        <v>0</v>
      </c>
      <c r="K55" s="233">
        <f>SUM(K56:K58)</f>
        <v>1116482</v>
      </c>
      <c r="L55" s="233">
        <f t="shared" ref="L55" si="53">SUM(L56:L58)</f>
        <v>203563</v>
      </c>
      <c r="M55" s="233">
        <f t="shared" si="1"/>
        <v>13523298</v>
      </c>
      <c r="N55" s="233">
        <v>12203253</v>
      </c>
      <c r="O55" s="233">
        <f>SUM(O56:O58)</f>
        <v>0</v>
      </c>
      <c r="P55" s="233">
        <f t="shared" ref="P55:Q55" si="54">SUM(P56:P58)</f>
        <v>1116482</v>
      </c>
      <c r="Q55" s="233">
        <f t="shared" si="54"/>
        <v>76420</v>
      </c>
      <c r="R55" s="233">
        <f t="shared" si="3"/>
        <v>13396155</v>
      </c>
    </row>
    <row r="56" spans="1:18" s="6" customFormat="1" ht="24">
      <c r="A56" s="133" t="s">
        <v>188</v>
      </c>
      <c r="B56" s="179" t="s">
        <v>170</v>
      </c>
      <c r="C56" s="180">
        <v>7593143</v>
      </c>
      <c r="D56" s="180">
        <v>7593143</v>
      </c>
      <c r="E56" s="252"/>
      <c r="F56" s="252">
        <v>1116482</v>
      </c>
      <c r="G56" s="345">
        <f>G140</f>
        <v>975000</v>
      </c>
      <c r="H56" s="233">
        <f t="shared" si="0"/>
        <v>9684625</v>
      </c>
      <c r="I56" s="252">
        <v>7593143</v>
      </c>
      <c r="J56" s="252"/>
      <c r="K56" s="252">
        <v>1116482</v>
      </c>
      <c r="L56" s="345">
        <f>L140</f>
        <v>0</v>
      </c>
      <c r="M56" s="233">
        <f t="shared" si="1"/>
        <v>8709625</v>
      </c>
      <c r="N56" s="252">
        <v>7593143</v>
      </c>
      <c r="O56" s="252"/>
      <c r="P56" s="252">
        <v>1116482</v>
      </c>
      <c r="Q56" s="345">
        <f>Q140</f>
        <v>0</v>
      </c>
      <c r="R56" s="233">
        <f t="shared" si="3"/>
        <v>8709625</v>
      </c>
    </row>
    <row r="57" spans="1:18" s="29" customFormat="1" ht="48">
      <c r="A57" s="133" t="s">
        <v>189</v>
      </c>
      <c r="B57" s="179" t="s">
        <v>156</v>
      </c>
      <c r="C57" s="180"/>
      <c r="D57" s="180">
        <v>1898</v>
      </c>
      <c r="E57" s="252"/>
      <c r="F57" s="252"/>
      <c r="G57" s="345">
        <f t="shared" ref="G57:G61" si="55">G141</f>
        <v>0</v>
      </c>
      <c r="H57" s="233">
        <f t="shared" si="0"/>
        <v>1898</v>
      </c>
      <c r="I57" s="252">
        <v>0</v>
      </c>
      <c r="J57" s="252"/>
      <c r="K57" s="252"/>
      <c r="L57" s="345">
        <f t="shared" ref="L57:L61" si="56">L141</f>
        <v>0</v>
      </c>
      <c r="M57" s="233">
        <f t="shared" si="1"/>
        <v>0</v>
      </c>
      <c r="N57" s="252">
        <v>0</v>
      </c>
      <c r="O57" s="252"/>
      <c r="P57" s="252"/>
      <c r="Q57" s="345">
        <f t="shared" ref="Q57:Q61" si="57">Q141</f>
        <v>0</v>
      </c>
      <c r="R57" s="233">
        <f t="shared" si="3"/>
        <v>0</v>
      </c>
    </row>
    <row r="58" spans="1:18" s="89" customFormat="1" ht="36">
      <c r="A58" s="133">
        <v>7350</v>
      </c>
      <c r="B58" s="179" t="s">
        <v>163</v>
      </c>
      <c r="C58" s="180">
        <v>4809184</v>
      </c>
      <c r="D58" s="180">
        <v>4706198</v>
      </c>
      <c r="E58" s="252"/>
      <c r="F58" s="252"/>
      <c r="G58" s="345">
        <f t="shared" si="55"/>
        <v>112770</v>
      </c>
      <c r="H58" s="233">
        <f t="shared" si="0"/>
        <v>4818968</v>
      </c>
      <c r="I58" s="252">
        <v>4610110</v>
      </c>
      <c r="J58" s="252"/>
      <c r="K58" s="252"/>
      <c r="L58" s="345">
        <f t="shared" si="56"/>
        <v>203563</v>
      </c>
      <c r="M58" s="233">
        <f t="shared" si="1"/>
        <v>4813673</v>
      </c>
      <c r="N58" s="252">
        <v>4610110</v>
      </c>
      <c r="O58" s="252"/>
      <c r="P58" s="252"/>
      <c r="Q58" s="345">
        <f t="shared" si="57"/>
        <v>76420</v>
      </c>
      <c r="R58" s="233">
        <f t="shared" si="3"/>
        <v>4686530</v>
      </c>
    </row>
    <row r="59" spans="1:18" s="89" customFormat="1" ht="24">
      <c r="A59" s="132">
        <v>7400</v>
      </c>
      <c r="B59" s="172" t="s">
        <v>161</v>
      </c>
      <c r="C59" s="171">
        <v>367233</v>
      </c>
      <c r="D59" s="171">
        <v>340233</v>
      </c>
      <c r="E59" s="233">
        <f>SUM(E60:E61)</f>
        <v>0</v>
      </c>
      <c r="F59" s="233">
        <f t="shared" ref="F59:G59" si="58">SUM(F60:F61)</f>
        <v>2956</v>
      </c>
      <c r="G59" s="233">
        <f t="shared" si="58"/>
        <v>96819</v>
      </c>
      <c r="H59" s="233">
        <f t="shared" si="0"/>
        <v>440008</v>
      </c>
      <c r="I59" s="233">
        <v>340233</v>
      </c>
      <c r="J59" s="233">
        <f>SUM(J60:J61)</f>
        <v>0</v>
      </c>
      <c r="K59" s="233">
        <f t="shared" ref="K59:L59" si="59">SUM(K60:K61)</f>
        <v>0</v>
      </c>
      <c r="L59" s="233">
        <f t="shared" si="59"/>
        <v>95637</v>
      </c>
      <c r="M59" s="233">
        <f t="shared" si="1"/>
        <v>435870</v>
      </c>
      <c r="N59" s="233">
        <v>340233</v>
      </c>
      <c r="O59" s="233">
        <f>SUM(O60:O61)</f>
        <v>0</v>
      </c>
      <c r="P59" s="233">
        <f t="shared" ref="P59:Q59" si="60">SUM(P60:P61)</f>
        <v>0</v>
      </c>
      <c r="Q59" s="233">
        <f t="shared" si="60"/>
        <v>95637</v>
      </c>
      <c r="R59" s="233">
        <f t="shared" si="3"/>
        <v>435870</v>
      </c>
    </row>
    <row r="60" spans="1:18" s="89" customFormat="1" ht="24">
      <c r="A60" s="133">
        <v>7460</v>
      </c>
      <c r="B60" s="172" t="s">
        <v>162</v>
      </c>
      <c r="C60" s="180">
        <v>89420</v>
      </c>
      <c r="D60" s="180">
        <v>89420</v>
      </c>
      <c r="E60" s="252"/>
      <c r="F60" s="252"/>
      <c r="G60" s="345">
        <f t="shared" si="55"/>
        <v>44935</v>
      </c>
      <c r="H60" s="233">
        <f t="shared" si="0"/>
        <v>134355</v>
      </c>
      <c r="I60" s="252">
        <v>89420</v>
      </c>
      <c r="J60" s="252"/>
      <c r="K60" s="252"/>
      <c r="L60" s="345">
        <f t="shared" si="56"/>
        <v>44935</v>
      </c>
      <c r="M60" s="233">
        <f t="shared" si="1"/>
        <v>134355</v>
      </c>
      <c r="N60" s="252">
        <v>89420</v>
      </c>
      <c r="O60" s="252"/>
      <c r="P60" s="252"/>
      <c r="Q60" s="345">
        <f t="shared" si="57"/>
        <v>44935</v>
      </c>
      <c r="R60" s="233">
        <f t="shared" si="3"/>
        <v>134355</v>
      </c>
    </row>
    <row r="61" spans="1:18" s="89" customFormat="1" ht="36">
      <c r="A61" s="133">
        <v>7470</v>
      </c>
      <c r="B61" s="179" t="s">
        <v>167</v>
      </c>
      <c r="C61" s="180">
        <v>277813</v>
      </c>
      <c r="D61" s="180">
        <v>250813</v>
      </c>
      <c r="E61" s="252"/>
      <c r="F61" s="252">
        <v>2956</v>
      </c>
      <c r="G61" s="345">
        <f t="shared" si="55"/>
        <v>51884</v>
      </c>
      <c r="H61" s="233">
        <f t="shared" si="0"/>
        <v>305653</v>
      </c>
      <c r="I61" s="252">
        <v>250813</v>
      </c>
      <c r="J61" s="252"/>
      <c r="K61" s="252"/>
      <c r="L61" s="345">
        <f t="shared" si="56"/>
        <v>50702</v>
      </c>
      <c r="M61" s="233">
        <f t="shared" si="1"/>
        <v>301515</v>
      </c>
      <c r="N61" s="252">
        <v>250813</v>
      </c>
      <c r="O61" s="252"/>
      <c r="P61" s="252"/>
      <c r="Q61" s="345">
        <f t="shared" si="57"/>
        <v>50702</v>
      </c>
      <c r="R61" s="233">
        <f t="shared" si="3"/>
        <v>301515</v>
      </c>
    </row>
    <row r="62" spans="1:18" s="89" customFormat="1" ht="24">
      <c r="A62" s="132">
        <v>7500</v>
      </c>
      <c r="B62" s="179" t="s">
        <v>157</v>
      </c>
      <c r="C62" s="171">
        <v>678314</v>
      </c>
      <c r="D62" s="171">
        <v>960842</v>
      </c>
      <c r="E62" s="233"/>
      <c r="F62" s="233"/>
      <c r="G62" s="233"/>
      <c r="H62" s="233">
        <f t="shared" si="0"/>
        <v>960842</v>
      </c>
      <c r="I62" s="233">
        <v>953449</v>
      </c>
      <c r="J62" s="233"/>
      <c r="K62" s="233"/>
      <c r="L62" s="233"/>
      <c r="M62" s="233">
        <f t="shared" si="1"/>
        <v>953449</v>
      </c>
      <c r="N62" s="233">
        <v>820062</v>
      </c>
      <c r="O62" s="233"/>
      <c r="P62" s="233"/>
      <c r="Q62" s="233"/>
      <c r="R62" s="233">
        <f t="shared" si="3"/>
        <v>820062</v>
      </c>
    </row>
    <row r="63" spans="1:18" s="89" customFormat="1" ht="12">
      <c r="A63" s="140" t="s">
        <v>133</v>
      </c>
      <c r="B63" s="124" t="s">
        <v>122</v>
      </c>
      <c r="C63" s="181">
        <v>46122436</v>
      </c>
      <c r="D63" s="181">
        <v>20190722</v>
      </c>
      <c r="E63" s="254">
        <f>E64+E65</f>
        <v>0</v>
      </c>
      <c r="F63" s="254">
        <f t="shared" ref="F63:G63" si="61">F64+F65</f>
        <v>700</v>
      </c>
      <c r="G63" s="254">
        <f t="shared" si="61"/>
        <v>42032</v>
      </c>
      <c r="H63" s="233">
        <f t="shared" si="0"/>
        <v>20233454</v>
      </c>
      <c r="I63" s="254">
        <v>378553</v>
      </c>
      <c r="J63" s="254">
        <f>J64+J65</f>
        <v>0</v>
      </c>
      <c r="K63" s="254">
        <f t="shared" ref="K63:L63" si="62">K64+K65</f>
        <v>0</v>
      </c>
      <c r="L63" s="254">
        <f t="shared" si="62"/>
        <v>42032</v>
      </c>
      <c r="M63" s="233">
        <f t="shared" si="1"/>
        <v>420585</v>
      </c>
      <c r="N63" s="254">
        <v>376061</v>
      </c>
      <c r="O63" s="254">
        <f>O64+O65</f>
        <v>0</v>
      </c>
      <c r="P63" s="254">
        <f t="shared" ref="P63:Q63" si="63">P64+P65</f>
        <v>0</v>
      </c>
      <c r="Q63" s="254">
        <f t="shared" si="63"/>
        <v>42032</v>
      </c>
      <c r="R63" s="233">
        <f t="shared" si="3"/>
        <v>418093</v>
      </c>
    </row>
    <row r="64" spans="1:18" s="89" customFormat="1" ht="12">
      <c r="A64" s="140">
        <v>5000</v>
      </c>
      <c r="B64" s="124" t="s">
        <v>123</v>
      </c>
      <c r="C64" s="171">
        <v>46122436</v>
      </c>
      <c r="D64" s="171">
        <v>20190722</v>
      </c>
      <c r="E64" s="233"/>
      <c r="F64" s="233">
        <v>700</v>
      </c>
      <c r="G64" s="345">
        <f t="shared" ref="G64" si="64">G148</f>
        <v>42032</v>
      </c>
      <c r="H64" s="233">
        <f t="shared" si="0"/>
        <v>20233454</v>
      </c>
      <c r="I64" s="233">
        <v>378553</v>
      </c>
      <c r="J64" s="233"/>
      <c r="K64" s="233"/>
      <c r="L64" s="345">
        <f t="shared" ref="L64" si="65">L148</f>
        <v>42032</v>
      </c>
      <c r="M64" s="233">
        <f t="shared" si="1"/>
        <v>420585</v>
      </c>
      <c r="N64" s="233">
        <v>376061</v>
      </c>
      <c r="O64" s="233"/>
      <c r="P64" s="233"/>
      <c r="Q64" s="345">
        <f t="shared" ref="Q64" si="66">Q148</f>
        <v>42032</v>
      </c>
      <c r="R64" s="233">
        <f t="shared" si="3"/>
        <v>418093</v>
      </c>
    </row>
    <row r="65" spans="1:18" s="89" customFormat="1" ht="12" hidden="1" customHeight="1">
      <c r="A65" s="140">
        <v>9000</v>
      </c>
      <c r="B65" s="182" t="s">
        <v>164</v>
      </c>
      <c r="C65" s="171">
        <v>0</v>
      </c>
      <c r="D65" s="171">
        <v>0</v>
      </c>
      <c r="E65" s="233">
        <f t="shared" ref="E65:G65" si="67">E66+E72+E76+E79</f>
        <v>0</v>
      </c>
      <c r="F65" s="233">
        <f t="shared" si="67"/>
        <v>0</v>
      </c>
      <c r="G65" s="233">
        <f t="shared" si="67"/>
        <v>0</v>
      </c>
      <c r="H65" s="233">
        <f t="shared" si="0"/>
        <v>0</v>
      </c>
      <c r="I65" s="233">
        <v>0</v>
      </c>
      <c r="J65" s="233">
        <f t="shared" ref="J65:L65" si="68">J66+J72+J76+J79</f>
        <v>0</v>
      </c>
      <c r="K65" s="233">
        <f t="shared" si="68"/>
        <v>0</v>
      </c>
      <c r="L65" s="233">
        <f t="shared" si="68"/>
        <v>0</v>
      </c>
      <c r="M65" s="233">
        <f t="shared" si="1"/>
        <v>0</v>
      </c>
      <c r="N65" s="233">
        <v>0</v>
      </c>
      <c r="O65" s="233">
        <f t="shared" ref="O65:Q65" si="69">O66+O72+O76+O79</f>
        <v>0</v>
      </c>
      <c r="P65" s="233">
        <f t="shared" si="69"/>
        <v>0</v>
      </c>
      <c r="Q65" s="233">
        <f t="shared" si="69"/>
        <v>0</v>
      </c>
      <c r="R65" s="233">
        <f t="shared" si="3"/>
        <v>0</v>
      </c>
    </row>
    <row r="66" spans="1:18" s="89" customFormat="1" ht="12" hidden="1" customHeight="1">
      <c r="A66" s="141">
        <v>9100</v>
      </c>
      <c r="B66" s="179" t="s">
        <v>124</v>
      </c>
      <c r="C66" s="171">
        <v>0</v>
      </c>
      <c r="D66" s="171">
        <v>0</v>
      </c>
      <c r="E66" s="233">
        <f t="shared" ref="E66:G66" si="70">SUM(E67:E68)</f>
        <v>0</v>
      </c>
      <c r="F66" s="233">
        <f t="shared" ref="F66" si="71">SUM(F67:F68)</f>
        <v>0</v>
      </c>
      <c r="G66" s="233">
        <f t="shared" si="70"/>
        <v>0</v>
      </c>
      <c r="H66" s="233">
        <f t="shared" si="0"/>
        <v>0</v>
      </c>
      <c r="I66" s="233">
        <v>0</v>
      </c>
      <c r="J66" s="233">
        <f t="shared" ref="J66:L66" si="72">SUM(J67:J68)</f>
        <v>0</v>
      </c>
      <c r="K66" s="233">
        <f t="shared" si="72"/>
        <v>0</v>
      </c>
      <c r="L66" s="233">
        <f t="shared" si="72"/>
        <v>0</v>
      </c>
      <c r="M66" s="233">
        <f t="shared" si="1"/>
        <v>0</v>
      </c>
      <c r="N66" s="233">
        <v>0</v>
      </c>
      <c r="O66" s="233">
        <f t="shared" ref="O66:Q66" si="73">SUM(O67:O68)</f>
        <v>0</v>
      </c>
      <c r="P66" s="233">
        <f t="shared" si="73"/>
        <v>0</v>
      </c>
      <c r="Q66" s="233">
        <f t="shared" si="73"/>
        <v>0</v>
      </c>
      <c r="R66" s="233">
        <f t="shared" si="3"/>
        <v>0</v>
      </c>
    </row>
    <row r="67" spans="1:18" s="89" customFormat="1" ht="24" hidden="1" customHeight="1">
      <c r="A67" s="133" t="s">
        <v>125</v>
      </c>
      <c r="B67" s="179" t="s">
        <v>214</v>
      </c>
      <c r="C67" s="171"/>
      <c r="D67" s="171">
        <v>0</v>
      </c>
      <c r="E67" s="233"/>
      <c r="F67" s="233"/>
      <c r="G67" s="233"/>
      <c r="H67" s="233">
        <f t="shared" si="0"/>
        <v>0</v>
      </c>
      <c r="I67" s="233">
        <v>0</v>
      </c>
      <c r="J67" s="233"/>
      <c r="K67" s="233"/>
      <c r="L67" s="233"/>
      <c r="M67" s="233">
        <f t="shared" si="1"/>
        <v>0</v>
      </c>
      <c r="N67" s="233">
        <v>0</v>
      </c>
      <c r="O67" s="233"/>
      <c r="P67" s="233"/>
      <c r="Q67" s="233"/>
      <c r="R67" s="233">
        <f t="shared" si="3"/>
        <v>0</v>
      </c>
    </row>
    <row r="68" spans="1:18" s="89" customFormat="1" ht="24" hidden="1" customHeight="1">
      <c r="A68" s="133">
        <v>9140</v>
      </c>
      <c r="B68" s="179" t="s">
        <v>215</v>
      </c>
      <c r="C68" s="171">
        <v>0</v>
      </c>
      <c r="D68" s="171">
        <v>0</v>
      </c>
      <c r="E68" s="233">
        <f>SUM(E69:E71)</f>
        <v>0</v>
      </c>
      <c r="F68" s="233">
        <f t="shared" ref="F68:G68" si="74">SUM(F69:F71)</f>
        <v>0</v>
      </c>
      <c r="G68" s="233">
        <f t="shared" si="74"/>
        <v>0</v>
      </c>
      <c r="H68" s="233">
        <f t="shared" si="0"/>
        <v>0</v>
      </c>
      <c r="I68" s="233">
        <v>0</v>
      </c>
      <c r="J68" s="233">
        <f>SUM(J69:J71)</f>
        <v>0</v>
      </c>
      <c r="K68" s="233">
        <f t="shared" ref="K68:L68" si="75">SUM(K69:K71)</f>
        <v>0</v>
      </c>
      <c r="L68" s="233">
        <f t="shared" si="75"/>
        <v>0</v>
      </c>
      <c r="M68" s="233">
        <f t="shared" si="1"/>
        <v>0</v>
      </c>
      <c r="N68" s="233">
        <v>0</v>
      </c>
      <c r="O68" s="233">
        <f>SUM(O69:O71)</f>
        <v>0</v>
      </c>
      <c r="P68" s="233">
        <f t="shared" ref="P68:Q68" si="76">SUM(P69:P71)</f>
        <v>0</v>
      </c>
      <c r="Q68" s="233">
        <f t="shared" si="76"/>
        <v>0</v>
      </c>
      <c r="R68" s="233">
        <f t="shared" si="3"/>
        <v>0</v>
      </c>
    </row>
    <row r="69" spans="1:18" s="89" customFormat="1" ht="36" hidden="1" customHeight="1">
      <c r="A69" s="134">
        <v>9141</v>
      </c>
      <c r="B69" s="172" t="s">
        <v>190</v>
      </c>
      <c r="C69" s="180"/>
      <c r="D69" s="180">
        <v>0</v>
      </c>
      <c r="E69" s="252"/>
      <c r="F69" s="252"/>
      <c r="G69" s="252"/>
      <c r="H69" s="233">
        <f t="shared" si="0"/>
        <v>0</v>
      </c>
      <c r="I69" s="252">
        <v>0</v>
      </c>
      <c r="J69" s="252"/>
      <c r="K69" s="252"/>
      <c r="L69" s="252"/>
      <c r="M69" s="233">
        <f t="shared" si="1"/>
        <v>0</v>
      </c>
      <c r="N69" s="252">
        <v>0</v>
      </c>
      <c r="O69" s="252"/>
      <c r="P69" s="252"/>
      <c r="Q69" s="252"/>
      <c r="R69" s="233">
        <f t="shared" si="3"/>
        <v>0</v>
      </c>
    </row>
    <row r="70" spans="1:18" s="89" customFormat="1" ht="36" hidden="1" customHeight="1">
      <c r="A70" s="134">
        <v>9142</v>
      </c>
      <c r="B70" s="172" t="s">
        <v>191</v>
      </c>
      <c r="C70" s="180"/>
      <c r="D70" s="180">
        <v>0</v>
      </c>
      <c r="E70" s="252"/>
      <c r="F70" s="252"/>
      <c r="G70" s="252"/>
      <c r="H70" s="233">
        <f t="shared" si="0"/>
        <v>0</v>
      </c>
      <c r="I70" s="252">
        <v>0</v>
      </c>
      <c r="J70" s="252"/>
      <c r="K70" s="252"/>
      <c r="L70" s="252"/>
      <c r="M70" s="233">
        <f t="shared" si="1"/>
        <v>0</v>
      </c>
      <c r="N70" s="252">
        <v>0</v>
      </c>
      <c r="O70" s="252"/>
      <c r="P70" s="252"/>
      <c r="Q70" s="252"/>
      <c r="R70" s="233">
        <f t="shared" si="3"/>
        <v>0</v>
      </c>
    </row>
    <row r="71" spans="1:18" s="89" customFormat="1" ht="24" hidden="1" customHeight="1">
      <c r="A71" s="134">
        <v>9149</v>
      </c>
      <c r="B71" s="172" t="s">
        <v>192</v>
      </c>
      <c r="C71" s="180"/>
      <c r="D71" s="180">
        <v>0</v>
      </c>
      <c r="E71" s="252"/>
      <c r="F71" s="252"/>
      <c r="G71" s="252"/>
      <c r="H71" s="233">
        <f t="shared" si="0"/>
        <v>0</v>
      </c>
      <c r="I71" s="252">
        <v>0</v>
      </c>
      <c r="J71" s="252"/>
      <c r="K71" s="252"/>
      <c r="L71" s="252"/>
      <c r="M71" s="233">
        <f t="shared" si="1"/>
        <v>0</v>
      </c>
      <c r="N71" s="252">
        <v>0</v>
      </c>
      <c r="O71" s="252"/>
      <c r="P71" s="252"/>
      <c r="Q71" s="252"/>
      <c r="R71" s="233">
        <f t="shared" si="3"/>
        <v>0</v>
      </c>
    </row>
    <row r="72" spans="1:18" s="29" customFormat="1" ht="24" hidden="1" customHeight="1">
      <c r="A72" s="141">
        <v>9500</v>
      </c>
      <c r="B72" s="172" t="s">
        <v>165</v>
      </c>
      <c r="C72" s="171">
        <v>0</v>
      </c>
      <c r="D72" s="171">
        <v>0</v>
      </c>
      <c r="E72" s="233">
        <f>SUM(E73:E75)</f>
        <v>0</v>
      </c>
      <c r="F72" s="233">
        <f t="shared" ref="F72:G72" si="77">SUM(F73:F75)</f>
        <v>0</v>
      </c>
      <c r="G72" s="233">
        <f t="shared" si="77"/>
        <v>0</v>
      </c>
      <c r="H72" s="233">
        <f t="shared" si="0"/>
        <v>0</v>
      </c>
      <c r="I72" s="233">
        <v>0</v>
      </c>
      <c r="J72" s="233">
        <f>SUM(J73:J75)</f>
        <v>0</v>
      </c>
      <c r="K72" s="233">
        <f t="shared" ref="K72:L72" si="78">SUM(K73:K75)</f>
        <v>0</v>
      </c>
      <c r="L72" s="233">
        <f t="shared" si="78"/>
        <v>0</v>
      </c>
      <c r="M72" s="233">
        <f t="shared" si="1"/>
        <v>0</v>
      </c>
      <c r="N72" s="233">
        <v>0</v>
      </c>
      <c r="O72" s="233">
        <f>SUM(O73:O75)</f>
        <v>0</v>
      </c>
      <c r="P72" s="233">
        <f t="shared" ref="P72:Q72" si="79">SUM(P73:P75)</f>
        <v>0</v>
      </c>
      <c r="Q72" s="233">
        <f t="shared" si="79"/>
        <v>0</v>
      </c>
      <c r="R72" s="233">
        <f t="shared" si="3"/>
        <v>0</v>
      </c>
    </row>
    <row r="73" spans="1:18" s="29" customFormat="1" ht="24" hidden="1" customHeight="1">
      <c r="A73" s="133" t="s">
        <v>193</v>
      </c>
      <c r="B73" s="172" t="s">
        <v>171</v>
      </c>
      <c r="C73" s="171"/>
      <c r="D73" s="171">
        <v>0</v>
      </c>
      <c r="E73" s="233"/>
      <c r="F73" s="233"/>
      <c r="G73" s="233"/>
      <c r="H73" s="233">
        <f t="shared" si="0"/>
        <v>0</v>
      </c>
      <c r="I73" s="233">
        <v>0</v>
      </c>
      <c r="J73" s="233"/>
      <c r="K73" s="233"/>
      <c r="L73" s="233"/>
      <c r="M73" s="233">
        <f t="shared" si="1"/>
        <v>0</v>
      </c>
      <c r="N73" s="233">
        <v>0</v>
      </c>
      <c r="O73" s="233"/>
      <c r="P73" s="233"/>
      <c r="Q73" s="233"/>
      <c r="R73" s="233">
        <f t="shared" si="3"/>
        <v>0</v>
      </c>
    </row>
    <row r="74" spans="1:18" s="28" customFormat="1" ht="48" hidden="1" customHeight="1">
      <c r="A74" s="133">
        <v>9580</v>
      </c>
      <c r="B74" s="172" t="s">
        <v>166</v>
      </c>
      <c r="C74" s="180"/>
      <c r="D74" s="180">
        <v>0</v>
      </c>
      <c r="E74" s="252"/>
      <c r="F74" s="252"/>
      <c r="G74" s="252"/>
      <c r="H74" s="233">
        <f t="shared" ref="H74:H137" si="80">SUM(D74:G74)</f>
        <v>0</v>
      </c>
      <c r="I74" s="252">
        <v>0</v>
      </c>
      <c r="J74" s="252"/>
      <c r="K74" s="252"/>
      <c r="L74" s="252"/>
      <c r="M74" s="233">
        <f t="shared" ref="M74:M137" si="81">SUM(I74:L74)</f>
        <v>0</v>
      </c>
      <c r="N74" s="252">
        <v>0</v>
      </c>
      <c r="O74" s="252"/>
      <c r="P74" s="252"/>
      <c r="Q74" s="252"/>
      <c r="R74" s="233">
        <f t="shared" ref="R74:R137" si="82">SUM(N74:Q74)</f>
        <v>0</v>
      </c>
    </row>
    <row r="75" spans="1:18" s="4" customFormat="1" ht="48" hidden="1" customHeight="1">
      <c r="A75" s="133">
        <v>9590</v>
      </c>
      <c r="B75" s="179" t="s">
        <v>172</v>
      </c>
      <c r="C75" s="180"/>
      <c r="D75" s="180">
        <v>0</v>
      </c>
      <c r="E75" s="252"/>
      <c r="F75" s="252"/>
      <c r="G75" s="252"/>
      <c r="H75" s="233">
        <f t="shared" si="80"/>
        <v>0</v>
      </c>
      <c r="I75" s="252">
        <v>0</v>
      </c>
      <c r="J75" s="252"/>
      <c r="K75" s="252"/>
      <c r="L75" s="252"/>
      <c r="M75" s="233">
        <f t="shared" si="81"/>
        <v>0</v>
      </c>
      <c r="N75" s="252">
        <v>0</v>
      </c>
      <c r="O75" s="252"/>
      <c r="P75" s="252"/>
      <c r="Q75" s="252"/>
      <c r="R75" s="233">
        <f t="shared" si="82"/>
        <v>0</v>
      </c>
    </row>
    <row r="76" spans="1:18" ht="24" hidden="1" customHeight="1">
      <c r="A76" s="141">
        <v>9700</v>
      </c>
      <c r="B76" s="183" t="s">
        <v>194</v>
      </c>
      <c r="C76" s="171">
        <v>0</v>
      </c>
      <c r="D76" s="171">
        <v>0</v>
      </c>
      <c r="E76" s="233">
        <f>SUM(E77:E78)</f>
        <v>0</v>
      </c>
      <c r="F76" s="233">
        <f t="shared" ref="F76:G76" si="83">SUM(F77:F78)</f>
        <v>0</v>
      </c>
      <c r="G76" s="233">
        <f t="shared" si="83"/>
        <v>0</v>
      </c>
      <c r="H76" s="233">
        <f t="shared" si="80"/>
        <v>0</v>
      </c>
      <c r="I76" s="233">
        <v>0</v>
      </c>
      <c r="J76" s="233">
        <f>SUM(J77:J78)</f>
        <v>0</v>
      </c>
      <c r="K76" s="233">
        <f t="shared" ref="K76:L76" si="84">SUM(K77:K78)</f>
        <v>0</v>
      </c>
      <c r="L76" s="233">
        <f t="shared" si="84"/>
        <v>0</v>
      </c>
      <c r="M76" s="233">
        <f t="shared" si="81"/>
        <v>0</v>
      </c>
      <c r="N76" s="233">
        <v>0</v>
      </c>
      <c r="O76" s="233">
        <f>SUM(O77:O78)</f>
        <v>0</v>
      </c>
      <c r="P76" s="233">
        <f t="shared" ref="P76:Q76" si="85">SUM(P77:P78)</f>
        <v>0</v>
      </c>
      <c r="Q76" s="233">
        <f t="shared" si="85"/>
        <v>0</v>
      </c>
      <c r="R76" s="233">
        <f t="shared" si="82"/>
        <v>0</v>
      </c>
    </row>
    <row r="77" spans="1:18" ht="24" hidden="1" customHeight="1">
      <c r="A77" s="133">
        <v>9710</v>
      </c>
      <c r="B77" s="184" t="s">
        <v>195</v>
      </c>
      <c r="C77" s="180"/>
      <c r="D77" s="180">
        <v>0</v>
      </c>
      <c r="E77" s="252"/>
      <c r="F77" s="252"/>
      <c r="G77" s="252"/>
      <c r="H77" s="233">
        <f t="shared" si="80"/>
        <v>0</v>
      </c>
      <c r="I77" s="252">
        <v>0</v>
      </c>
      <c r="J77" s="252"/>
      <c r="K77" s="252"/>
      <c r="L77" s="252"/>
      <c r="M77" s="233">
        <f t="shared" si="81"/>
        <v>0</v>
      </c>
      <c r="N77" s="252">
        <v>0</v>
      </c>
      <c r="O77" s="252"/>
      <c r="P77" s="252"/>
      <c r="Q77" s="252"/>
      <c r="R77" s="233">
        <f t="shared" si="82"/>
        <v>0</v>
      </c>
    </row>
    <row r="78" spans="1:18" ht="48" hidden="1" customHeight="1">
      <c r="A78" s="142">
        <v>9720</v>
      </c>
      <c r="B78" s="183" t="s">
        <v>196</v>
      </c>
      <c r="C78" s="180"/>
      <c r="D78" s="180">
        <v>0</v>
      </c>
      <c r="E78" s="252"/>
      <c r="F78" s="252"/>
      <c r="G78" s="252"/>
      <c r="H78" s="233">
        <f t="shared" si="80"/>
        <v>0</v>
      </c>
      <c r="I78" s="252">
        <v>0</v>
      </c>
      <c r="J78" s="252"/>
      <c r="K78" s="252"/>
      <c r="L78" s="252"/>
      <c r="M78" s="233">
        <f t="shared" si="81"/>
        <v>0</v>
      </c>
      <c r="N78" s="252">
        <v>0</v>
      </c>
      <c r="O78" s="252"/>
      <c r="P78" s="252"/>
      <c r="Q78" s="252"/>
      <c r="R78" s="233">
        <f t="shared" si="82"/>
        <v>0</v>
      </c>
    </row>
    <row r="79" spans="1:18" ht="24" hidden="1" customHeight="1">
      <c r="A79" s="141">
        <v>9600</v>
      </c>
      <c r="B79" s="179" t="s">
        <v>134</v>
      </c>
      <c r="C79" s="180"/>
      <c r="D79" s="180">
        <v>0</v>
      </c>
      <c r="E79" s="252"/>
      <c r="F79" s="252"/>
      <c r="G79" s="252"/>
      <c r="H79" s="233">
        <f t="shared" si="80"/>
        <v>0</v>
      </c>
      <c r="I79" s="252">
        <v>0</v>
      </c>
      <c r="J79" s="252"/>
      <c r="K79" s="252"/>
      <c r="L79" s="252"/>
      <c r="M79" s="233">
        <f t="shared" si="81"/>
        <v>0</v>
      </c>
      <c r="N79" s="252">
        <v>0</v>
      </c>
      <c r="O79" s="252"/>
      <c r="P79" s="252"/>
      <c r="Q79" s="252"/>
      <c r="R79" s="233">
        <f t="shared" si="82"/>
        <v>0</v>
      </c>
    </row>
    <row r="80" spans="1:18" ht="30.6">
      <c r="A80" s="130" t="s">
        <v>197</v>
      </c>
      <c r="B80" s="185" t="s">
        <v>47</v>
      </c>
      <c r="C80" s="186">
        <v>-57151</v>
      </c>
      <c r="D80" s="186">
        <v>0</v>
      </c>
      <c r="E80" s="262">
        <f>E10-E35</f>
        <v>0</v>
      </c>
      <c r="F80" s="262">
        <f t="shared" ref="F80:G80" si="86">F10-F35</f>
        <v>0</v>
      </c>
      <c r="G80" s="262">
        <f t="shared" si="86"/>
        <v>0</v>
      </c>
      <c r="H80" s="233">
        <f t="shared" si="80"/>
        <v>0</v>
      </c>
      <c r="I80" s="262">
        <v>0</v>
      </c>
      <c r="J80" s="262">
        <f>J10-J35</f>
        <v>0</v>
      </c>
      <c r="K80" s="262">
        <f t="shared" ref="K80:L80" si="87">K10-K35</f>
        <v>0</v>
      </c>
      <c r="L80" s="262">
        <f t="shared" si="87"/>
        <v>0</v>
      </c>
      <c r="M80" s="233">
        <f t="shared" si="81"/>
        <v>0</v>
      </c>
      <c r="N80" s="262">
        <v>0</v>
      </c>
      <c r="O80" s="262">
        <f>O10-O35</f>
        <v>0</v>
      </c>
      <c r="P80" s="262">
        <f t="shared" ref="P80:Q80" si="88">P10-P35</f>
        <v>0</v>
      </c>
      <c r="Q80" s="262">
        <f t="shared" si="88"/>
        <v>0</v>
      </c>
      <c r="R80" s="233">
        <f t="shared" si="82"/>
        <v>0</v>
      </c>
    </row>
    <row r="81" spans="1:18" ht="12">
      <c r="A81" s="143" t="s">
        <v>48</v>
      </c>
      <c r="B81" s="185" t="s">
        <v>49</v>
      </c>
      <c r="C81" s="186">
        <v>57151</v>
      </c>
      <c r="D81" s="186">
        <v>0</v>
      </c>
      <c r="E81" s="262">
        <f>E82+E85+E89+E88</f>
        <v>0</v>
      </c>
      <c r="F81" s="262">
        <f t="shared" ref="F81:G81" si="89">F82+F85+F89+F88</f>
        <v>0</v>
      </c>
      <c r="G81" s="262">
        <f t="shared" si="89"/>
        <v>0</v>
      </c>
      <c r="H81" s="233">
        <f t="shared" si="80"/>
        <v>0</v>
      </c>
      <c r="I81" s="262">
        <v>0</v>
      </c>
      <c r="J81" s="262">
        <f>J82+J85+J89+J88</f>
        <v>0</v>
      </c>
      <c r="K81" s="262">
        <f t="shared" ref="K81:L81" si="90">K82+K85+K89+K88</f>
        <v>0</v>
      </c>
      <c r="L81" s="262">
        <f t="shared" si="90"/>
        <v>0</v>
      </c>
      <c r="M81" s="233">
        <f t="shared" si="81"/>
        <v>0</v>
      </c>
      <c r="N81" s="262">
        <v>0</v>
      </c>
      <c r="O81" s="262">
        <f>O82+O85+O89+O88</f>
        <v>0</v>
      </c>
      <c r="P81" s="262">
        <f t="shared" ref="P81:Q81" si="91">P82+P85+P89+P88</f>
        <v>0</v>
      </c>
      <c r="Q81" s="262">
        <f t="shared" si="91"/>
        <v>0</v>
      </c>
      <c r="R81" s="233">
        <f t="shared" si="82"/>
        <v>0</v>
      </c>
    </row>
    <row r="82" spans="1:18" s="4" customFormat="1" ht="12" hidden="1" customHeight="1">
      <c r="A82" s="141" t="s">
        <v>50</v>
      </c>
      <c r="B82" s="179" t="s">
        <v>51</v>
      </c>
      <c r="C82" s="169">
        <v>0</v>
      </c>
      <c r="D82" s="169">
        <v>0</v>
      </c>
      <c r="E82" s="231">
        <f>E83+E84</f>
        <v>0</v>
      </c>
      <c r="F82" s="231">
        <f t="shared" ref="F82:G82" si="92">F83+F84</f>
        <v>0</v>
      </c>
      <c r="G82" s="231">
        <f t="shared" si="92"/>
        <v>0</v>
      </c>
      <c r="H82" s="233">
        <f t="shared" si="80"/>
        <v>0</v>
      </c>
      <c r="I82" s="231">
        <v>0</v>
      </c>
      <c r="J82" s="231">
        <f>J83+J84</f>
        <v>0</v>
      </c>
      <c r="K82" s="231">
        <f t="shared" ref="K82:L82" si="93">K83+K84</f>
        <v>0</v>
      </c>
      <c r="L82" s="231">
        <f t="shared" si="93"/>
        <v>0</v>
      </c>
      <c r="M82" s="233">
        <f t="shared" si="81"/>
        <v>0</v>
      </c>
      <c r="N82" s="231">
        <v>0</v>
      </c>
      <c r="O82" s="231">
        <f>O83+O84</f>
        <v>0</v>
      </c>
      <c r="P82" s="231">
        <f t="shared" ref="P82:Q82" si="94">P83+P84</f>
        <v>0</v>
      </c>
      <c r="Q82" s="231">
        <f t="shared" si="94"/>
        <v>0</v>
      </c>
      <c r="R82" s="233">
        <f t="shared" si="82"/>
        <v>0</v>
      </c>
    </row>
    <row r="83" spans="1:18" s="6" customFormat="1" ht="12" hidden="1" customHeight="1">
      <c r="A83" s="141" t="s">
        <v>52</v>
      </c>
      <c r="B83" s="179" t="s">
        <v>53</v>
      </c>
      <c r="C83" s="169"/>
      <c r="D83" s="169">
        <v>0</v>
      </c>
      <c r="E83" s="231"/>
      <c r="F83" s="231"/>
      <c r="G83" s="231"/>
      <c r="H83" s="233">
        <f t="shared" si="80"/>
        <v>0</v>
      </c>
      <c r="I83" s="231">
        <v>0</v>
      </c>
      <c r="J83" s="231"/>
      <c r="K83" s="231"/>
      <c r="L83" s="231"/>
      <c r="M83" s="233">
        <f t="shared" si="81"/>
        <v>0</v>
      </c>
      <c r="N83" s="231">
        <v>0</v>
      </c>
      <c r="O83" s="231"/>
      <c r="P83" s="231"/>
      <c r="Q83" s="231"/>
      <c r="R83" s="233">
        <f t="shared" si="82"/>
        <v>0</v>
      </c>
    </row>
    <row r="84" spans="1:18" s="6" customFormat="1" ht="12" hidden="1" customHeight="1">
      <c r="A84" s="141" t="s">
        <v>54</v>
      </c>
      <c r="B84" s="179" t="s">
        <v>55</v>
      </c>
      <c r="C84" s="169"/>
      <c r="D84" s="169">
        <v>0</v>
      </c>
      <c r="E84" s="231"/>
      <c r="F84" s="231"/>
      <c r="G84" s="231"/>
      <c r="H84" s="233">
        <f t="shared" si="80"/>
        <v>0</v>
      </c>
      <c r="I84" s="231">
        <v>0</v>
      </c>
      <c r="J84" s="231"/>
      <c r="K84" s="231"/>
      <c r="L84" s="231"/>
      <c r="M84" s="233">
        <f t="shared" si="81"/>
        <v>0</v>
      </c>
      <c r="N84" s="231">
        <v>0</v>
      </c>
      <c r="O84" s="231"/>
      <c r="P84" s="231"/>
      <c r="Q84" s="231"/>
      <c r="R84" s="233">
        <f t="shared" si="82"/>
        <v>0</v>
      </c>
    </row>
    <row r="85" spans="1:18" s="6" customFormat="1" ht="12" hidden="1" customHeight="1">
      <c r="A85" s="141" t="s">
        <v>56</v>
      </c>
      <c r="B85" s="179" t="s">
        <v>57</v>
      </c>
      <c r="C85" s="169">
        <v>0</v>
      </c>
      <c r="D85" s="169">
        <v>0</v>
      </c>
      <c r="E85" s="231">
        <f>E86+E87</f>
        <v>0</v>
      </c>
      <c r="F85" s="231">
        <f t="shared" ref="F85:G85" si="95">F86+F87</f>
        <v>0</v>
      </c>
      <c r="G85" s="231">
        <f t="shared" si="95"/>
        <v>0</v>
      </c>
      <c r="H85" s="233">
        <f t="shared" si="80"/>
        <v>0</v>
      </c>
      <c r="I85" s="231">
        <v>0</v>
      </c>
      <c r="J85" s="231">
        <f>J86+J87</f>
        <v>0</v>
      </c>
      <c r="K85" s="231">
        <f t="shared" ref="K85:L85" si="96">K86+K87</f>
        <v>0</v>
      </c>
      <c r="L85" s="231">
        <f t="shared" si="96"/>
        <v>0</v>
      </c>
      <c r="M85" s="233">
        <f t="shared" si="81"/>
        <v>0</v>
      </c>
      <c r="N85" s="231">
        <v>0</v>
      </c>
      <c r="O85" s="231">
        <f>O86+O87</f>
        <v>0</v>
      </c>
      <c r="P85" s="231">
        <f t="shared" ref="P85:Q85" si="97">P86+P87</f>
        <v>0</v>
      </c>
      <c r="Q85" s="231">
        <f t="shared" si="97"/>
        <v>0</v>
      </c>
      <c r="R85" s="233">
        <f t="shared" si="82"/>
        <v>0</v>
      </c>
    </row>
    <row r="86" spans="1:18" s="6" customFormat="1" ht="12" hidden="1" customHeight="1">
      <c r="A86" s="141" t="s">
        <v>58</v>
      </c>
      <c r="B86" s="179" t="s">
        <v>59</v>
      </c>
      <c r="C86" s="169"/>
      <c r="D86" s="169">
        <v>0</v>
      </c>
      <c r="E86" s="231"/>
      <c r="F86" s="231"/>
      <c r="G86" s="231"/>
      <c r="H86" s="233">
        <f t="shared" si="80"/>
        <v>0</v>
      </c>
      <c r="I86" s="231">
        <v>0</v>
      </c>
      <c r="J86" s="231"/>
      <c r="K86" s="231"/>
      <c r="L86" s="231"/>
      <c r="M86" s="233">
        <f t="shared" si="81"/>
        <v>0</v>
      </c>
      <c r="N86" s="231">
        <v>0</v>
      </c>
      <c r="O86" s="231"/>
      <c r="P86" s="231"/>
      <c r="Q86" s="231"/>
      <c r="R86" s="233">
        <f t="shared" si="82"/>
        <v>0</v>
      </c>
    </row>
    <row r="87" spans="1:18" s="6" customFormat="1" ht="12" hidden="1" customHeight="1">
      <c r="A87" s="141" t="s">
        <v>60</v>
      </c>
      <c r="B87" s="179" t="s">
        <v>61</v>
      </c>
      <c r="C87" s="169"/>
      <c r="D87" s="169">
        <v>0</v>
      </c>
      <c r="E87" s="231"/>
      <c r="F87" s="231"/>
      <c r="G87" s="231"/>
      <c r="H87" s="233">
        <f t="shared" si="80"/>
        <v>0</v>
      </c>
      <c r="I87" s="231">
        <v>0</v>
      </c>
      <c r="J87" s="231"/>
      <c r="K87" s="231"/>
      <c r="L87" s="231"/>
      <c r="M87" s="233">
        <f t="shared" si="81"/>
        <v>0</v>
      </c>
      <c r="N87" s="231">
        <v>0</v>
      </c>
      <c r="O87" s="231"/>
      <c r="P87" s="231"/>
      <c r="Q87" s="231"/>
      <c r="R87" s="233">
        <f t="shared" si="82"/>
        <v>0</v>
      </c>
    </row>
    <row r="88" spans="1:18" s="6" customFormat="1" ht="12" hidden="1" customHeight="1">
      <c r="A88" s="141" t="s">
        <v>198</v>
      </c>
      <c r="B88" s="187" t="s">
        <v>168</v>
      </c>
      <c r="C88" s="169"/>
      <c r="D88" s="169">
        <v>0</v>
      </c>
      <c r="E88" s="231"/>
      <c r="F88" s="231"/>
      <c r="G88" s="231"/>
      <c r="H88" s="233">
        <f t="shared" si="80"/>
        <v>0</v>
      </c>
      <c r="I88" s="231">
        <v>0</v>
      </c>
      <c r="J88" s="231"/>
      <c r="K88" s="231"/>
      <c r="L88" s="231"/>
      <c r="M88" s="233">
        <f t="shared" si="81"/>
        <v>0</v>
      </c>
      <c r="N88" s="231">
        <v>0</v>
      </c>
      <c r="O88" s="231"/>
      <c r="P88" s="231"/>
      <c r="Q88" s="231"/>
      <c r="R88" s="233">
        <f t="shared" si="82"/>
        <v>0</v>
      </c>
    </row>
    <row r="89" spans="1:18" s="6" customFormat="1" ht="12">
      <c r="A89" s="144" t="s">
        <v>62</v>
      </c>
      <c r="B89" s="125" t="s">
        <v>63</v>
      </c>
      <c r="C89" s="171">
        <v>57151</v>
      </c>
      <c r="D89" s="171">
        <v>0</v>
      </c>
      <c r="E89" s="233">
        <f t="shared" ref="E89:G89" si="98">E90+E91+E92</f>
        <v>0</v>
      </c>
      <c r="F89" s="233">
        <f t="shared" si="98"/>
        <v>0</v>
      </c>
      <c r="G89" s="233">
        <f t="shared" si="98"/>
        <v>0</v>
      </c>
      <c r="H89" s="233">
        <f t="shared" si="80"/>
        <v>0</v>
      </c>
      <c r="I89" s="233">
        <v>0</v>
      </c>
      <c r="J89" s="233">
        <f t="shared" ref="J89:L89" si="99">J90+J91+J92</f>
        <v>0</v>
      </c>
      <c r="K89" s="233">
        <f t="shared" si="99"/>
        <v>0</v>
      </c>
      <c r="L89" s="233">
        <f t="shared" si="99"/>
        <v>0</v>
      </c>
      <c r="M89" s="233">
        <f t="shared" si="81"/>
        <v>0</v>
      </c>
      <c r="N89" s="233">
        <v>0</v>
      </c>
      <c r="O89" s="233">
        <f t="shared" ref="O89:Q89" si="100">O90+O91+O92</f>
        <v>0</v>
      </c>
      <c r="P89" s="233">
        <f t="shared" si="100"/>
        <v>0</v>
      </c>
      <c r="Q89" s="233">
        <f t="shared" si="100"/>
        <v>0</v>
      </c>
      <c r="R89" s="233">
        <f t="shared" si="82"/>
        <v>0</v>
      </c>
    </row>
    <row r="90" spans="1:18" s="6" customFormat="1" ht="36" hidden="1" customHeight="1">
      <c r="A90" s="144" t="s">
        <v>64</v>
      </c>
      <c r="B90" s="179" t="s">
        <v>65</v>
      </c>
      <c r="C90" s="169"/>
      <c r="D90" s="169">
        <v>0</v>
      </c>
      <c r="E90" s="231"/>
      <c r="F90" s="231"/>
      <c r="G90" s="231"/>
      <c r="H90" s="233">
        <f t="shared" si="80"/>
        <v>0</v>
      </c>
      <c r="I90" s="231">
        <v>0</v>
      </c>
      <c r="J90" s="231"/>
      <c r="K90" s="231"/>
      <c r="L90" s="231"/>
      <c r="M90" s="233">
        <f t="shared" si="81"/>
        <v>0</v>
      </c>
      <c r="N90" s="231">
        <v>0</v>
      </c>
      <c r="O90" s="231"/>
      <c r="P90" s="231"/>
      <c r="Q90" s="231"/>
      <c r="R90" s="233">
        <f t="shared" si="82"/>
        <v>0</v>
      </c>
    </row>
    <row r="91" spans="1:18" s="6" customFormat="1" ht="24">
      <c r="A91" s="144" t="s">
        <v>66</v>
      </c>
      <c r="B91" s="179" t="s">
        <v>67</v>
      </c>
      <c r="C91" s="169">
        <v>57151</v>
      </c>
      <c r="D91" s="169">
        <v>0</v>
      </c>
      <c r="E91" s="231"/>
      <c r="F91" s="231"/>
      <c r="G91" s="231"/>
      <c r="H91" s="233">
        <f t="shared" si="80"/>
        <v>0</v>
      </c>
      <c r="I91" s="231">
        <v>0</v>
      </c>
      <c r="J91" s="231"/>
      <c r="K91" s="231"/>
      <c r="L91" s="231"/>
      <c r="M91" s="233">
        <f t="shared" si="81"/>
        <v>0</v>
      </c>
      <c r="N91" s="231">
        <v>0</v>
      </c>
      <c r="O91" s="231"/>
      <c r="P91" s="231"/>
      <c r="Q91" s="231"/>
      <c r="R91" s="233">
        <f t="shared" si="82"/>
        <v>0</v>
      </c>
    </row>
    <row r="92" spans="1:18" s="6" customFormat="1" ht="24" hidden="1" customHeight="1">
      <c r="A92" s="144" t="s">
        <v>68</v>
      </c>
      <c r="B92" s="125" t="s">
        <v>69</v>
      </c>
      <c r="C92" s="169"/>
      <c r="D92" s="169">
        <v>0</v>
      </c>
      <c r="E92" s="231"/>
      <c r="F92" s="231"/>
      <c r="G92" s="231"/>
      <c r="H92" s="233">
        <f t="shared" si="80"/>
        <v>0</v>
      </c>
      <c r="I92" s="231">
        <v>0</v>
      </c>
      <c r="J92" s="231"/>
      <c r="K92" s="231"/>
      <c r="L92" s="231"/>
      <c r="M92" s="233">
        <f t="shared" si="81"/>
        <v>0</v>
      </c>
      <c r="N92" s="231">
        <v>0</v>
      </c>
      <c r="O92" s="231"/>
      <c r="P92" s="231"/>
      <c r="Q92" s="231"/>
      <c r="R92" s="233">
        <f t="shared" si="82"/>
        <v>0</v>
      </c>
    </row>
    <row r="93" spans="1:18" s="6" customFormat="1" ht="12">
      <c r="A93" s="145"/>
      <c r="B93" s="188" t="s">
        <v>199</v>
      </c>
      <c r="C93" s="293"/>
      <c r="D93" s="294">
        <v>0</v>
      </c>
      <c r="E93" s="347"/>
      <c r="F93" s="347"/>
      <c r="G93" s="347"/>
      <c r="H93" s="347">
        <f t="shared" si="80"/>
        <v>0</v>
      </c>
      <c r="I93" s="347">
        <v>0</v>
      </c>
      <c r="J93" s="347"/>
      <c r="K93" s="347"/>
      <c r="L93" s="347"/>
      <c r="M93" s="347">
        <f t="shared" si="81"/>
        <v>0</v>
      </c>
      <c r="N93" s="347">
        <v>0</v>
      </c>
      <c r="O93" s="347"/>
      <c r="P93" s="347"/>
      <c r="Q93" s="347"/>
      <c r="R93" s="347">
        <f t="shared" si="82"/>
        <v>0</v>
      </c>
    </row>
    <row r="94" spans="1:18" s="6" customFormat="1" ht="20.399999999999999">
      <c r="A94" s="129" t="s">
        <v>201</v>
      </c>
      <c r="B94" s="123" t="s">
        <v>88</v>
      </c>
      <c r="C94" s="167">
        <v>94351450</v>
      </c>
      <c r="D94" s="167">
        <v>72117376</v>
      </c>
      <c r="E94" s="228">
        <f t="shared" ref="E94:G94" si="101">E95+E96+E98+E116</f>
        <v>0</v>
      </c>
      <c r="F94" s="228">
        <f t="shared" si="101"/>
        <v>3992970</v>
      </c>
      <c r="G94" s="228">
        <f t="shared" si="101"/>
        <v>9273727</v>
      </c>
      <c r="H94" s="243">
        <f t="shared" si="80"/>
        <v>85384073</v>
      </c>
      <c r="I94" s="228">
        <v>52416947</v>
      </c>
      <c r="J94" s="228">
        <f t="shared" ref="J94:L94" si="102">J95+J96+J98+J116</f>
        <v>0</v>
      </c>
      <c r="K94" s="228">
        <f t="shared" si="102"/>
        <v>3597248</v>
      </c>
      <c r="L94" s="228">
        <f t="shared" si="102"/>
        <v>9866883</v>
      </c>
      <c r="M94" s="243">
        <f t="shared" si="81"/>
        <v>65881078</v>
      </c>
      <c r="N94" s="228">
        <v>52470218</v>
      </c>
      <c r="O94" s="228">
        <f t="shared" ref="O94:Q94" si="103">O95+O96+O98+O116</f>
        <v>0</v>
      </c>
      <c r="P94" s="228">
        <f t="shared" si="103"/>
        <v>3072005</v>
      </c>
      <c r="Q94" s="228">
        <f t="shared" si="103"/>
        <v>6116453</v>
      </c>
      <c r="R94" s="243">
        <f t="shared" si="82"/>
        <v>61658676</v>
      </c>
    </row>
    <row r="95" spans="1:18" s="6" customFormat="1" ht="22.8">
      <c r="A95" s="130" t="s">
        <v>177</v>
      </c>
      <c r="B95" s="124" t="s">
        <v>90</v>
      </c>
      <c r="C95" s="169">
        <v>3341173</v>
      </c>
      <c r="D95" s="169">
        <v>3065243</v>
      </c>
      <c r="E95" s="231"/>
      <c r="F95" s="231"/>
      <c r="G95" s="231"/>
      <c r="H95" s="233">
        <f t="shared" si="80"/>
        <v>3065243</v>
      </c>
      <c r="I95" s="231">
        <v>3065243</v>
      </c>
      <c r="J95" s="231"/>
      <c r="K95" s="231"/>
      <c r="L95" s="231"/>
      <c r="M95" s="233">
        <f t="shared" si="81"/>
        <v>3065243</v>
      </c>
      <c r="N95" s="231">
        <v>3065243</v>
      </c>
      <c r="O95" s="231"/>
      <c r="P95" s="231"/>
      <c r="Q95" s="231"/>
      <c r="R95" s="233">
        <f t="shared" si="82"/>
        <v>3065243</v>
      </c>
    </row>
    <row r="96" spans="1:18" s="6" customFormat="1" ht="12" hidden="1" customHeight="1">
      <c r="A96" s="130" t="s">
        <v>91</v>
      </c>
      <c r="B96" s="124" t="s">
        <v>92</v>
      </c>
      <c r="C96" s="169"/>
      <c r="D96" s="169">
        <v>0</v>
      </c>
      <c r="E96" s="231"/>
      <c r="F96" s="231"/>
      <c r="G96" s="231"/>
      <c r="H96" s="233">
        <f t="shared" si="80"/>
        <v>0</v>
      </c>
      <c r="I96" s="231">
        <v>0</v>
      </c>
      <c r="J96" s="231"/>
      <c r="K96" s="231"/>
      <c r="L96" s="231"/>
      <c r="M96" s="233">
        <f t="shared" si="81"/>
        <v>0</v>
      </c>
      <c r="N96" s="231">
        <v>0</v>
      </c>
      <c r="O96" s="231"/>
      <c r="P96" s="231"/>
      <c r="Q96" s="231"/>
      <c r="R96" s="233">
        <f t="shared" si="82"/>
        <v>0</v>
      </c>
    </row>
    <row r="97" spans="1:18" s="6" customFormat="1" ht="24" hidden="1" customHeight="1">
      <c r="A97" s="131">
        <v>21210</v>
      </c>
      <c r="B97" s="125" t="s">
        <v>93</v>
      </c>
      <c r="C97" s="169"/>
      <c r="D97" s="169">
        <v>0</v>
      </c>
      <c r="E97" s="231"/>
      <c r="F97" s="231"/>
      <c r="G97" s="231"/>
      <c r="H97" s="233">
        <f t="shared" si="80"/>
        <v>0</v>
      </c>
      <c r="I97" s="231">
        <v>0</v>
      </c>
      <c r="J97" s="231"/>
      <c r="K97" s="231"/>
      <c r="L97" s="231"/>
      <c r="M97" s="233">
        <f t="shared" si="81"/>
        <v>0</v>
      </c>
      <c r="N97" s="231">
        <v>0</v>
      </c>
      <c r="O97" s="231"/>
      <c r="P97" s="231"/>
      <c r="Q97" s="231"/>
      <c r="R97" s="233">
        <f t="shared" si="82"/>
        <v>0</v>
      </c>
    </row>
    <row r="98" spans="1:18" s="6" customFormat="1" ht="20.399999999999999">
      <c r="A98" s="130" t="s">
        <v>178</v>
      </c>
      <c r="B98" s="124" t="s">
        <v>94</v>
      </c>
      <c r="C98" s="171">
        <v>64049</v>
      </c>
      <c r="D98" s="171">
        <v>0</v>
      </c>
      <c r="E98" s="233">
        <f t="shared" ref="E98:G98" si="104">E99+E105</f>
        <v>0</v>
      </c>
      <c r="F98" s="233">
        <f t="shared" si="104"/>
        <v>0</v>
      </c>
      <c r="G98" s="233">
        <f t="shared" si="104"/>
        <v>20000</v>
      </c>
      <c r="H98" s="233">
        <f t="shared" si="80"/>
        <v>20000</v>
      </c>
      <c r="I98" s="233">
        <v>0</v>
      </c>
      <c r="J98" s="233">
        <f t="shared" ref="J98:L98" si="105">J99+J105</f>
        <v>0</v>
      </c>
      <c r="K98" s="233">
        <f t="shared" si="105"/>
        <v>0</v>
      </c>
      <c r="L98" s="233">
        <f t="shared" si="105"/>
        <v>0</v>
      </c>
      <c r="M98" s="233">
        <f t="shared" si="81"/>
        <v>0</v>
      </c>
      <c r="N98" s="233">
        <v>0</v>
      </c>
      <c r="O98" s="233">
        <f t="shared" ref="O98:Q98" si="106">O99+O105</f>
        <v>0</v>
      </c>
      <c r="P98" s="233">
        <f t="shared" si="106"/>
        <v>0</v>
      </c>
      <c r="Q98" s="233">
        <f t="shared" si="106"/>
        <v>0</v>
      </c>
      <c r="R98" s="233">
        <f t="shared" si="82"/>
        <v>0</v>
      </c>
    </row>
    <row r="99" spans="1:18" s="6" customFormat="1" ht="12">
      <c r="A99" s="132">
        <v>18000</v>
      </c>
      <c r="B99" s="125" t="s">
        <v>95</v>
      </c>
      <c r="C99" s="171">
        <v>64049</v>
      </c>
      <c r="D99" s="171">
        <v>0</v>
      </c>
      <c r="E99" s="233">
        <f t="shared" ref="E99:L100" si="107">E100</f>
        <v>0</v>
      </c>
      <c r="F99" s="233">
        <f t="shared" si="107"/>
        <v>0</v>
      </c>
      <c r="G99" s="233">
        <f t="shared" si="107"/>
        <v>20000</v>
      </c>
      <c r="H99" s="233">
        <f t="shared" si="80"/>
        <v>20000</v>
      </c>
      <c r="I99" s="233">
        <v>0</v>
      </c>
      <c r="J99" s="233">
        <f t="shared" si="107"/>
        <v>0</v>
      </c>
      <c r="K99" s="233">
        <f t="shared" si="107"/>
        <v>0</v>
      </c>
      <c r="L99" s="233">
        <f t="shared" si="107"/>
        <v>0</v>
      </c>
      <c r="M99" s="233">
        <f t="shared" si="81"/>
        <v>0</v>
      </c>
      <c r="N99" s="233">
        <v>0</v>
      </c>
      <c r="O99" s="233">
        <f t="shared" ref="O99:Q100" si="108">O100</f>
        <v>0</v>
      </c>
      <c r="P99" s="233">
        <f t="shared" si="108"/>
        <v>0</v>
      </c>
      <c r="Q99" s="233">
        <f t="shared" si="108"/>
        <v>0</v>
      </c>
      <c r="R99" s="233">
        <f t="shared" si="82"/>
        <v>0</v>
      </c>
    </row>
    <row r="100" spans="1:18" s="6" customFormat="1" ht="12">
      <c r="A100" s="132">
        <v>18100</v>
      </c>
      <c r="B100" s="125" t="s">
        <v>96</v>
      </c>
      <c r="C100" s="171">
        <v>64049</v>
      </c>
      <c r="D100" s="171">
        <v>0</v>
      </c>
      <c r="E100" s="233">
        <f t="shared" si="107"/>
        <v>0</v>
      </c>
      <c r="F100" s="233">
        <f t="shared" si="107"/>
        <v>0</v>
      </c>
      <c r="G100" s="233">
        <f t="shared" si="107"/>
        <v>20000</v>
      </c>
      <c r="H100" s="233">
        <f t="shared" si="80"/>
        <v>20000</v>
      </c>
      <c r="I100" s="233">
        <v>0</v>
      </c>
      <c r="J100" s="233">
        <f t="shared" si="107"/>
        <v>0</v>
      </c>
      <c r="K100" s="233">
        <f t="shared" si="107"/>
        <v>0</v>
      </c>
      <c r="L100" s="233">
        <f t="shared" si="107"/>
        <v>0</v>
      </c>
      <c r="M100" s="233">
        <f t="shared" si="81"/>
        <v>0</v>
      </c>
      <c r="N100" s="233">
        <v>0</v>
      </c>
      <c r="O100" s="233">
        <f t="shared" si="108"/>
        <v>0</v>
      </c>
      <c r="P100" s="233">
        <f t="shared" si="108"/>
        <v>0</v>
      </c>
      <c r="Q100" s="233">
        <f t="shared" si="108"/>
        <v>0</v>
      </c>
      <c r="R100" s="233">
        <f t="shared" si="82"/>
        <v>0</v>
      </c>
    </row>
    <row r="101" spans="1:18" s="6" customFormat="1" ht="24">
      <c r="A101" s="133">
        <v>18130</v>
      </c>
      <c r="B101" s="172" t="s">
        <v>159</v>
      </c>
      <c r="C101" s="171">
        <v>64049</v>
      </c>
      <c r="D101" s="171">
        <v>0</v>
      </c>
      <c r="E101" s="233">
        <f t="shared" ref="E101:G101" si="109">SUM(E102:E104)</f>
        <v>0</v>
      </c>
      <c r="F101" s="233">
        <f t="shared" ref="F101" si="110">SUM(F102:F104)</f>
        <v>0</v>
      </c>
      <c r="G101" s="233">
        <f t="shared" si="109"/>
        <v>20000</v>
      </c>
      <c r="H101" s="233">
        <f t="shared" si="80"/>
        <v>20000</v>
      </c>
      <c r="I101" s="233">
        <v>0</v>
      </c>
      <c r="J101" s="233">
        <f t="shared" ref="J101:L101" si="111">SUM(J102:J104)</f>
        <v>0</v>
      </c>
      <c r="K101" s="233">
        <f t="shared" si="111"/>
        <v>0</v>
      </c>
      <c r="L101" s="233">
        <f t="shared" si="111"/>
        <v>0</v>
      </c>
      <c r="M101" s="233">
        <f t="shared" si="81"/>
        <v>0</v>
      </c>
      <c r="N101" s="233">
        <v>0</v>
      </c>
      <c r="O101" s="233">
        <f t="shared" ref="O101:Q101" si="112">SUM(O102:O104)</f>
        <v>0</v>
      </c>
      <c r="P101" s="233">
        <f t="shared" si="112"/>
        <v>0</v>
      </c>
      <c r="Q101" s="233">
        <f t="shared" si="112"/>
        <v>0</v>
      </c>
      <c r="R101" s="233">
        <f t="shared" si="82"/>
        <v>0</v>
      </c>
    </row>
    <row r="102" spans="1:18" s="6" customFormat="1" ht="24">
      <c r="A102" s="134">
        <v>18131</v>
      </c>
      <c r="B102" s="172" t="s">
        <v>160</v>
      </c>
      <c r="C102" s="171">
        <v>64049</v>
      </c>
      <c r="D102" s="171">
        <v>0</v>
      </c>
      <c r="E102" s="233"/>
      <c r="F102" s="233"/>
      <c r="G102" s="233">
        <v>20000</v>
      </c>
      <c r="H102" s="233">
        <f t="shared" si="80"/>
        <v>20000</v>
      </c>
      <c r="I102" s="233">
        <v>0</v>
      </c>
      <c r="J102" s="233"/>
      <c r="K102" s="233"/>
      <c r="L102" s="233"/>
      <c r="M102" s="233">
        <f t="shared" si="81"/>
        <v>0</v>
      </c>
      <c r="N102" s="233">
        <v>0</v>
      </c>
      <c r="O102" s="233"/>
      <c r="P102" s="233"/>
      <c r="Q102" s="233"/>
      <c r="R102" s="233">
        <f t="shared" si="82"/>
        <v>0</v>
      </c>
    </row>
    <row r="103" spans="1:18" s="6" customFormat="1" ht="24" hidden="1" customHeight="1">
      <c r="A103" s="134">
        <v>18132</v>
      </c>
      <c r="B103" s="172" t="s">
        <v>169</v>
      </c>
      <c r="C103" s="171"/>
      <c r="D103" s="171">
        <v>0</v>
      </c>
      <c r="E103" s="233"/>
      <c r="F103" s="233"/>
      <c r="G103" s="233"/>
      <c r="H103" s="233">
        <f t="shared" si="80"/>
        <v>0</v>
      </c>
      <c r="I103" s="233">
        <v>0</v>
      </c>
      <c r="J103" s="233"/>
      <c r="K103" s="233"/>
      <c r="L103" s="233"/>
      <c r="M103" s="233">
        <f t="shared" si="81"/>
        <v>0</v>
      </c>
      <c r="N103" s="233">
        <v>0</v>
      </c>
      <c r="O103" s="233"/>
      <c r="P103" s="233"/>
      <c r="Q103" s="233"/>
      <c r="R103" s="233">
        <f t="shared" si="82"/>
        <v>0</v>
      </c>
    </row>
    <row r="104" spans="1:18" s="6" customFormat="1" ht="24" hidden="1" customHeight="1">
      <c r="A104" s="134">
        <v>18139</v>
      </c>
      <c r="B104" s="172" t="s">
        <v>179</v>
      </c>
      <c r="C104" s="171"/>
      <c r="D104" s="171">
        <v>0</v>
      </c>
      <c r="E104" s="233"/>
      <c r="F104" s="233"/>
      <c r="G104" s="233"/>
      <c r="H104" s="233">
        <f t="shared" si="80"/>
        <v>0</v>
      </c>
      <c r="I104" s="233">
        <v>0</v>
      </c>
      <c r="J104" s="233"/>
      <c r="K104" s="233"/>
      <c r="L104" s="233"/>
      <c r="M104" s="233">
        <f t="shared" si="81"/>
        <v>0</v>
      </c>
      <c r="N104" s="233">
        <v>0</v>
      </c>
      <c r="O104" s="233"/>
      <c r="P104" s="233"/>
      <c r="Q104" s="233"/>
      <c r="R104" s="233">
        <f t="shared" si="82"/>
        <v>0</v>
      </c>
    </row>
    <row r="105" spans="1:18" s="6" customFormat="1" ht="12" hidden="1" customHeight="1">
      <c r="A105" s="135" t="s">
        <v>180</v>
      </c>
      <c r="B105" s="173" t="s">
        <v>173</v>
      </c>
      <c r="C105" s="174">
        <v>0</v>
      </c>
      <c r="D105" s="174">
        <v>0</v>
      </c>
      <c r="E105" s="238">
        <f t="shared" ref="E105:L105" si="113">E106</f>
        <v>0</v>
      </c>
      <c r="F105" s="238">
        <f t="shared" si="113"/>
        <v>0</v>
      </c>
      <c r="G105" s="238">
        <f t="shared" si="113"/>
        <v>0</v>
      </c>
      <c r="H105" s="233">
        <f t="shared" si="80"/>
        <v>0</v>
      </c>
      <c r="I105" s="238">
        <v>0</v>
      </c>
      <c r="J105" s="238">
        <f t="shared" si="113"/>
        <v>0</v>
      </c>
      <c r="K105" s="238">
        <f t="shared" si="113"/>
        <v>0</v>
      </c>
      <c r="L105" s="238">
        <f t="shared" si="113"/>
        <v>0</v>
      </c>
      <c r="M105" s="233">
        <f t="shared" si="81"/>
        <v>0</v>
      </c>
      <c r="N105" s="238">
        <v>0</v>
      </c>
      <c r="O105" s="238">
        <f t="shared" ref="O105:Q105" si="114">O106</f>
        <v>0</v>
      </c>
      <c r="P105" s="238">
        <f t="shared" si="114"/>
        <v>0</v>
      </c>
      <c r="Q105" s="238">
        <f t="shared" si="114"/>
        <v>0</v>
      </c>
      <c r="R105" s="233">
        <f t="shared" si="82"/>
        <v>0</v>
      </c>
    </row>
    <row r="106" spans="1:18" s="6" customFormat="1" ht="24" hidden="1" customHeight="1">
      <c r="A106" s="135">
        <v>19500</v>
      </c>
      <c r="B106" s="172" t="s">
        <v>174</v>
      </c>
      <c r="C106" s="171">
        <v>0</v>
      </c>
      <c r="D106" s="171">
        <v>0</v>
      </c>
      <c r="E106" s="233">
        <f t="shared" ref="E106:G106" si="115">SUM(E107:E109)</f>
        <v>0</v>
      </c>
      <c r="F106" s="233">
        <f t="shared" si="115"/>
        <v>0</v>
      </c>
      <c r="G106" s="233">
        <f t="shared" si="115"/>
        <v>0</v>
      </c>
      <c r="H106" s="233">
        <f t="shared" si="80"/>
        <v>0</v>
      </c>
      <c r="I106" s="233">
        <v>0</v>
      </c>
      <c r="J106" s="233">
        <f t="shared" ref="J106:L106" si="116">SUM(J107:J109)</f>
        <v>0</v>
      </c>
      <c r="K106" s="233">
        <f t="shared" si="116"/>
        <v>0</v>
      </c>
      <c r="L106" s="233">
        <f t="shared" si="116"/>
        <v>0</v>
      </c>
      <c r="M106" s="233">
        <f t="shared" si="81"/>
        <v>0</v>
      </c>
      <c r="N106" s="233">
        <v>0</v>
      </c>
      <c r="O106" s="233">
        <f t="shared" ref="O106:Q106" si="117">SUM(O107:O109)</f>
        <v>0</v>
      </c>
      <c r="P106" s="233">
        <f t="shared" si="117"/>
        <v>0</v>
      </c>
      <c r="Q106" s="233">
        <f t="shared" si="117"/>
        <v>0</v>
      </c>
      <c r="R106" s="233">
        <f t="shared" si="82"/>
        <v>0</v>
      </c>
    </row>
    <row r="107" spans="1:18" s="6" customFormat="1" ht="24" hidden="1" customHeight="1">
      <c r="A107" s="136">
        <v>19550</v>
      </c>
      <c r="B107" s="172" t="s">
        <v>175</v>
      </c>
      <c r="C107" s="171"/>
      <c r="D107" s="171">
        <v>0</v>
      </c>
      <c r="E107" s="233"/>
      <c r="F107" s="233"/>
      <c r="G107" s="233"/>
      <c r="H107" s="233">
        <f t="shared" si="80"/>
        <v>0</v>
      </c>
      <c r="I107" s="233">
        <v>0</v>
      </c>
      <c r="J107" s="233"/>
      <c r="K107" s="233"/>
      <c r="L107" s="233"/>
      <c r="M107" s="233">
        <f t="shared" si="81"/>
        <v>0</v>
      </c>
      <c r="N107" s="233">
        <v>0</v>
      </c>
      <c r="O107" s="233"/>
      <c r="P107" s="233"/>
      <c r="Q107" s="233"/>
      <c r="R107" s="233">
        <f t="shared" si="82"/>
        <v>0</v>
      </c>
    </row>
    <row r="108" spans="1:18" s="6" customFormat="1" ht="36" hidden="1" customHeight="1">
      <c r="A108" s="136">
        <v>19560</v>
      </c>
      <c r="B108" s="172" t="s">
        <v>181</v>
      </c>
      <c r="C108" s="171"/>
      <c r="D108" s="171">
        <v>0</v>
      </c>
      <c r="E108" s="233"/>
      <c r="F108" s="233"/>
      <c r="G108" s="233"/>
      <c r="H108" s="233">
        <f t="shared" si="80"/>
        <v>0</v>
      </c>
      <c r="I108" s="233">
        <v>0</v>
      </c>
      <c r="J108" s="233"/>
      <c r="K108" s="233"/>
      <c r="L108" s="233"/>
      <c r="M108" s="233">
        <f t="shared" si="81"/>
        <v>0</v>
      </c>
      <c r="N108" s="233">
        <v>0</v>
      </c>
      <c r="O108" s="233"/>
      <c r="P108" s="233"/>
      <c r="Q108" s="233"/>
      <c r="R108" s="233">
        <f t="shared" si="82"/>
        <v>0</v>
      </c>
    </row>
    <row r="109" spans="1:18" s="6" customFormat="1" ht="72" hidden="1" customHeight="1">
      <c r="A109" s="136">
        <v>19570</v>
      </c>
      <c r="B109" s="172" t="s">
        <v>182</v>
      </c>
      <c r="C109" s="171"/>
      <c r="D109" s="171">
        <v>0</v>
      </c>
      <c r="E109" s="233"/>
      <c r="F109" s="233"/>
      <c r="G109" s="233"/>
      <c r="H109" s="233">
        <f t="shared" si="80"/>
        <v>0</v>
      </c>
      <c r="I109" s="233">
        <v>0</v>
      </c>
      <c r="J109" s="233"/>
      <c r="K109" s="233"/>
      <c r="L109" s="233"/>
      <c r="M109" s="233">
        <f t="shared" si="81"/>
        <v>0</v>
      </c>
      <c r="N109" s="233">
        <v>0</v>
      </c>
      <c r="O109" s="233"/>
      <c r="P109" s="233"/>
      <c r="Q109" s="233"/>
      <c r="R109" s="233">
        <f t="shared" si="82"/>
        <v>0</v>
      </c>
    </row>
    <row r="110" spans="1:18" s="6" customFormat="1" ht="24" hidden="1" customHeight="1">
      <c r="A110" s="209" t="s">
        <v>222</v>
      </c>
      <c r="B110" s="208" t="s">
        <v>216</v>
      </c>
      <c r="C110" s="107">
        <f>C111</f>
        <v>0</v>
      </c>
      <c r="D110" s="107">
        <v>0</v>
      </c>
      <c r="E110" s="233">
        <f t="shared" ref="E110:L110" si="118">E111</f>
        <v>0</v>
      </c>
      <c r="F110" s="233">
        <f t="shared" si="118"/>
        <v>0</v>
      </c>
      <c r="G110" s="233">
        <f t="shared" si="118"/>
        <v>0</v>
      </c>
      <c r="H110" s="233">
        <f t="shared" si="80"/>
        <v>0</v>
      </c>
      <c r="I110" s="233">
        <v>0</v>
      </c>
      <c r="J110" s="233">
        <f t="shared" si="118"/>
        <v>0</v>
      </c>
      <c r="K110" s="233">
        <f t="shared" si="118"/>
        <v>0</v>
      </c>
      <c r="L110" s="233">
        <f t="shared" si="118"/>
        <v>0</v>
      </c>
      <c r="M110" s="233">
        <f t="shared" si="81"/>
        <v>0</v>
      </c>
      <c r="N110" s="233">
        <v>0</v>
      </c>
      <c r="O110" s="233">
        <f t="shared" ref="O110:Q110" si="119">O111</f>
        <v>0</v>
      </c>
      <c r="P110" s="233">
        <f t="shared" si="119"/>
        <v>0</v>
      </c>
      <c r="Q110" s="233">
        <f t="shared" si="119"/>
        <v>0</v>
      </c>
      <c r="R110" s="233">
        <f t="shared" si="82"/>
        <v>0</v>
      </c>
    </row>
    <row r="111" spans="1:18" s="6" customFormat="1" ht="36" hidden="1" customHeight="1">
      <c r="A111" s="209">
        <v>17100</v>
      </c>
      <c r="B111" s="208" t="s">
        <v>217</v>
      </c>
      <c r="C111" s="107">
        <f>SUM(C112:C115)</f>
        <v>0</v>
      </c>
      <c r="D111" s="107">
        <v>0</v>
      </c>
      <c r="E111" s="233">
        <f t="shared" ref="E111:G111" si="120">SUM(E112:E115)</f>
        <v>0</v>
      </c>
      <c r="F111" s="233">
        <f t="shared" si="120"/>
        <v>0</v>
      </c>
      <c r="G111" s="233">
        <f t="shared" si="120"/>
        <v>0</v>
      </c>
      <c r="H111" s="233">
        <f t="shared" si="80"/>
        <v>0</v>
      </c>
      <c r="I111" s="233">
        <v>0</v>
      </c>
      <c r="J111" s="233">
        <f t="shared" ref="J111:L111" si="121">SUM(J112:J115)</f>
        <v>0</v>
      </c>
      <c r="K111" s="233">
        <f t="shared" si="121"/>
        <v>0</v>
      </c>
      <c r="L111" s="233">
        <f t="shared" si="121"/>
        <v>0</v>
      </c>
      <c r="M111" s="233">
        <f t="shared" si="81"/>
        <v>0</v>
      </c>
      <c r="N111" s="233">
        <v>0</v>
      </c>
      <c r="O111" s="233">
        <f t="shared" ref="O111:Q111" si="122">SUM(O112:O115)</f>
        <v>0</v>
      </c>
      <c r="P111" s="233">
        <f t="shared" si="122"/>
        <v>0</v>
      </c>
      <c r="Q111" s="233">
        <f t="shared" si="122"/>
        <v>0</v>
      </c>
      <c r="R111" s="233">
        <f t="shared" si="82"/>
        <v>0</v>
      </c>
    </row>
    <row r="112" spans="1:18" s="6" customFormat="1" ht="60" hidden="1" customHeight="1">
      <c r="A112" s="149">
        <v>17110</v>
      </c>
      <c r="B112" s="208" t="s">
        <v>218</v>
      </c>
      <c r="C112" s="107"/>
      <c r="D112" s="107">
        <v>0</v>
      </c>
      <c r="E112" s="233"/>
      <c r="F112" s="233"/>
      <c r="G112" s="233"/>
      <c r="H112" s="233">
        <f t="shared" si="80"/>
        <v>0</v>
      </c>
      <c r="I112" s="233">
        <v>0</v>
      </c>
      <c r="J112" s="233"/>
      <c r="K112" s="233"/>
      <c r="L112" s="233"/>
      <c r="M112" s="233">
        <f t="shared" si="81"/>
        <v>0</v>
      </c>
      <c r="N112" s="233">
        <v>0</v>
      </c>
      <c r="O112" s="233"/>
      <c r="P112" s="233"/>
      <c r="Q112" s="233"/>
      <c r="R112" s="233">
        <f t="shared" si="82"/>
        <v>0</v>
      </c>
    </row>
    <row r="113" spans="1:18" s="6" customFormat="1" ht="60" hidden="1" customHeight="1">
      <c r="A113" s="149">
        <v>17120</v>
      </c>
      <c r="B113" s="208" t="s">
        <v>219</v>
      </c>
      <c r="C113" s="107"/>
      <c r="D113" s="107">
        <v>0</v>
      </c>
      <c r="E113" s="233"/>
      <c r="F113" s="233"/>
      <c r="G113" s="233"/>
      <c r="H113" s="233">
        <f t="shared" si="80"/>
        <v>0</v>
      </c>
      <c r="I113" s="233">
        <v>0</v>
      </c>
      <c r="J113" s="233"/>
      <c r="K113" s="233"/>
      <c r="L113" s="233"/>
      <c r="M113" s="233">
        <f t="shared" si="81"/>
        <v>0</v>
      </c>
      <c r="N113" s="233">
        <v>0</v>
      </c>
      <c r="O113" s="233"/>
      <c r="P113" s="233"/>
      <c r="Q113" s="233"/>
      <c r="R113" s="233">
        <f t="shared" si="82"/>
        <v>0</v>
      </c>
    </row>
    <row r="114" spans="1:18" s="6" customFormat="1" ht="108" hidden="1" customHeight="1">
      <c r="A114" s="149">
        <v>17130</v>
      </c>
      <c r="B114" s="208" t="s">
        <v>220</v>
      </c>
      <c r="C114" s="107"/>
      <c r="D114" s="107">
        <v>0</v>
      </c>
      <c r="E114" s="233"/>
      <c r="F114" s="233"/>
      <c r="G114" s="233"/>
      <c r="H114" s="233">
        <f t="shared" si="80"/>
        <v>0</v>
      </c>
      <c r="I114" s="233">
        <v>0</v>
      </c>
      <c r="J114" s="233"/>
      <c r="K114" s="233"/>
      <c r="L114" s="233"/>
      <c r="M114" s="233">
        <f t="shared" si="81"/>
        <v>0</v>
      </c>
      <c r="N114" s="233">
        <v>0</v>
      </c>
      <c r="O114" s="233"/>
      <c r="P114" s="233"/>
      <c r="Q114" s="233"/>
      <c r="R114" s="233">
        <f t="shared" si="82"/>
        <v>0</v>
      </c>
    </row>
    <row r="115" spans="1:18" s="6" customFormat="1" ht="108" hidden="1" customHeight="1">
      <c r="A115" s="149">
        <v>17140</v>
      </c>
      <c r="B115" s="208" t="s">
        <v>221</v>
      </c>
      <c r="C115" s="107"/>
      <c r="D115" s="107">
        <v>0</v>
      </c>
      <c r="E115" s="233"/>
      <c r="F115" s="233"/>
      <c r="G115" s="233"/>
      <c r="H115" s="233">
        <f t="shared" si="80"/>
        <v>0</v>
      </c>
      <c r="I115" s="233">
        <v>0</v>
      </c>
      <c r="J115" s="233"/>
      <c r="K115" s="233"/>
      <c r="L115" s="233"/>
      <c r="M115" s="233">
        <f t="shared" si="81"/>
        <v>0</v>
      </c>
      <c r="N115" s="233">
        <v>0</v>
      </c>
      <c r="O115" s="233"/>
      <c r="P115" s="233"/>
      <c r="Q115" s="233"/>
      <c r="R115" s="233">
        <f t="shared" si="82"/>
        <v>0</v>
      </c>
    </row>
    <row r="116" spans="1:18" s="6" customFormat="1" ht="12">
      <c r="A116" s="137">
        <v>21700</v>
      </c>
      <c r="B116" s="124" t="s">
        <v>97</v>
      </c>
      <c r="C116" s="171">
        <v>90946228</v>
      </c>
      <c r="D116" s="171">
        <v>69052133</v>
      </c>
      <c r="E116" s="233">
        <f t="shared" ref="E116:G116" si="123">E117+E118</f>
        <v>0</v>
      </c>
      <c r="F116" s="233">
        <f t="shared" si="123"/>
        <v>3992970</v>
      </c>
      <c r="G116" s="233">
        <f t="shared" si="123"/>
        <v>9253727</v>
      </c>
      <c r="H116" s="233">
        <f t="shared" si="80"/>
        <v>82298830</v>
      </c>
      <c r="I116" s="233">
        <v>49351704</v>
      </c>
      <c r="J116" s="233">
        <f t="shared" ref="J116:L116" si="124">J117+J118</f>
        <v>0</v>
      </c>
      <c r="K116" s="233">
        <f t="shared" si="124"/>
        <v>3597248</v>
      </c>
      <c r="L116" s="233">
        <f t="shared" si="124"/>
        <v>9866883</v>
      </c>
      <c r="M116" s="233">
        <f t="shared" si="81"/>
        <v>62815835</v>
      </c>
      <c r="N116" s="233">
        <v>49404975</v>
      </c>
      <c r="O116" s="233">
        <f t="shared" ref="O116:Q116" si="125">O117+O118</f>
        <v>0</v>
      </c>
      <c r="P116" s="233">
        <f t="shared" si="125"/>
        <v>3072005</v>
      </c>
      <c r="Q116" s="233">
        <f t="shared" si="125"/>
        <v>6116453</v>
      </c>
      <c r="R116" s="233">
        <f t="shared" si="82"/>
        <v>58593433</v>
      </c>
    </row>
    <row r="117" spans="1:18" s="6" customFormat="1" ht="24">
      <c r="A117" s="138">
        <v>21710</v>
      </c>
      <c r="B117" s="125" t="s">
        <v>98</v>
      </c>
      <c r="C117" s="171">
        <v>90946228</v>
      </c>
      <c r="D117" s="171">
        <v>69052133</v>
      </c>
      <c r="E117" s="233"/>
      <c r="F117" s="233">
        <f>2975996+850000+50000+116974</f>
        <v>3992970</v>
      </c>
      <c r="G117" s="233">
        <v>9253727</v>
      </c>
      <c r="H117" s="233">
        <f t="shared" si="80"/>
        <v>82298830</v>
      </c>
      <c r="I117" s="233">
        <v>49351704</v>
      </c>
      <c r="J117" s="233"/>
      <c r="K117" s="233">
        <f>2975996+500000+50000+71252</f>
        <v>3597248</v>
      </c>
      <c r="L117" s="233">
        <f>L119</f>
        <v>9866883</v>
      </c>
      <c r="M117" s="233">
        <f t="shared" si="81"/>
        <v>62815835</v>
      </c>
      <c r="N117" s="233">
        <v>49404975</v>
      </c>
      <c r="O117" s="233"/>
      <c r="P117" s="233">
        <f>2975996+50000+46009</f>
        <v>3072005</v>
      </c>
      <c r="Q117" s="233">
        <v>6116453</v>
      </c>
      <c r="R117" s="233">
        <f t="shared" si="82"/>
        <v>58593433</v>
      </c>
    </row>
    <row r="118" spans="1:18" s="6" customFormat="1" ht="24" hidden="1" customHeight="1">
      <c r="A118" s="138">
        <v>21720</v>
      </c>
      <c r="B118" s="125" t="s">
        <v>99</v>
      </c>
      <c r="C118" s="171"/>
      <c r="D118" s="171">
        <v>0</v>
      </c>
      <c r="E118" s="233"/>
      <c r="F118" s="233"/>
      <c r="G118" s="233"/>
      <c r="H118" s="233">
        <f t="shared" si="80"/>
        <v>0</v>
      </c>
      <c r="I118" s="233">
        <v>0</v>
      </c>
      <c r="J118" s="233"/>
      <c r="K118" s="233"/>
      <c r="L118" s="233"/>
      <c r="M118" s="233">
        <f t="shared" si="81"/>
        <v>0</v>
      </c>
      <c r="N118" s="233">
        <v>0</v>
      </c>
      <c r="O118" s="233"/>
      <c r="P118" s="233"/>
      <c r="Q118" s="233"/>
      <c r="R118" s="233">
        <f t="shared" si="82"/>
        <v>0</v>
      </c>
    </row>
    <row r="119" spans="1:18" s="6" customFormat="1" ht="11.4">
      <c r="A119" s="129" t="s">
        <v>100</v>
      </c>
      <c r="B119" s="123" t="s">
        <v>101</v>
      </c>
      <c r="C119" s="175">
        <v>94351450</v>
      </c>
      <c r="D119" s="175">
        <v>72117376</v>
      </c>
      <c r="E119" s="243">
        <f t="shared" ref="E119:G119" si="126">E120+E147</f>
        <v>0</v>
      </c>
      <c r="F119" s="243">
        <f t="shared" si="126"/>
        <v>3992970</v>
      </c>
      <c r="G119" s="243">
        <f t="shared" si="126"/>
        <v>9273727</v>
      </c>
      <c r="H119" s="243">
        <f t="shared" si="80"/>
        <v>85384073</v>
      </c>
      <c r="I119" s="243">
        <v>52416947</v>
      </c>
      <c r="J119" s="243">
        <f t="shared" ref="J119:L119" si="127">J120+J147</f>
        <v>0</v>
      </c>
      <c r="K119" s="243">
        <f t="shared" si="127"/>
        <v>3597248</v>
      </c>
      <c r="L119" s="243">
        <f t="shared" si="127"/>
        <v>9866883</v>
      </c>
      <c r="M119" s="243">
        <f t="shared" si="81"/>
        <v>65881078</v>
      </c>
      <c r="N119" s="243">
        <v>52470218</v>
      </c>
      <c r="O119" s="243">
        <f t="shared" ref="O119:Q119" si="128">O120+O147</f>
        <v>0</v>
      </c>
      <c r="P119" s="243">
        <f t="shared" si="128"/>
        <v>3072005</v>
      </c>
      <c r="Q119" s="243">
        <f t="shared" si="128"/>
        <v>6116453</v>
      </c>
      <c r="R119" s="243">
        <f t="shared" si="82"/>
        <v>61658676</v>
      </c>
    </row>
    <row r="120" spans="1:18" s="6" customFormat="1" ht="20.399999999999999">
      <c r="A120" s="130" t="s">
        <v>102</v>
      </c>
      <c r="B120" s="124" t="s">
        <v>103</v>
      </c>
      <c r="C120" s="171">
        <v>53109689</v>
      </c>
      <c r="D120" s="171">
        <v>52040886</v>
      </c>
      <c r="E120" s="233">
        <f t="shared" ref="E120:G120" si="129">E121+E125+E126+E129+E132</f>
        <v>0</v>
      </c>
      <c r="F120" s="233">
        <f t="shared" si="129"/>
        <v>3992270</v>
      </c>
      <c r="G120" s="233">
        <f t="shared" si="129"/>
        <v>9231695</v>
      </c>
      <c r="H120" s="233">
        <f t="shared" si="80"/>
        <v>65264851</v>
      </c>
      <c r="I120" s="233">
        <v>52040886</v>
      </c>
      <c r="J120" s="233">
        <f t="shared" ref="J120:L120" si="130">J121+J125+J126+J129+J132</f>
        <v>0</v>
      </c>
      <c r="K120" s="233">
        <f t="shared" si="130"/>
        <v>3597248</v>
      </c>
      <c r="L120" s="233">
        <f t="shared" si="130"/>
        <v>9824851</v>
      </c>
      <c r="M120" s="233">
        <f t="shared" si="81"/>
        <v>65462985</v>
      </c>
      <c r="N120" s="233">
        <v>52094157</v>
      </c>
      <c r="O120" s="233">
        <f t="shared" ref="O120:P120" si="131">O121+O125+O126+O129+O132</f>
        <v>0</v>
      </c>
      <c r="P120" s="233">
        <f t="shared" si="131"/>
        <v>3072005</v>
      </c>
      <c r="Q120" s="252">
        <f>Q121+Q125+Q126+Q129+Q132</f>
        <v>6074421</v>
      </c>
      <c r="R120" s="233">
        <f t="shared" si="82"/>
        <v>61240583</v>
      </c>
    </row>
    <row r="121" spans="1:18" s="6" customFormat="1" ht="12">
      <c r="A121" s="130" t="s">
        <v>104</v>
      </c>
      <c r="B121" s="124" t="s">
        <v>105</v>
      </c>
      <c r="C121" s="171">
        <v>25120703</v>
      </c>
      <c r="D121" s="171">
        <v>24457320</v>
      </c>
      <c r="E121" s="233">
        <f t="shared" ref="E121:G121" si="132">E122+E124</f>
        <v>0</v>
      </c>
      <c r="F121" s="233">
        <f t="shared" si="132"/>
        <v>1884009</v>
      </c>
      <c r="G121" s="233">
        <f t="shared" si="132"/>
        <v>4433356</v>
      </c>
      <c r="H121" s="233">
        <f t="shared" si="80"/>
        <v>30774685</v>
      </c>
      <c r="I121" s="233">
        <v>24457320</v>
      </c>
      <c r="J121" s="233">
        <f t="shared" ref="J121:L121" si="133">J122+J124</f>
        <v>0</v>
      </c>
      <c r="K121" s="233">
        <f t="shared" si="133"/>
        <v>1841943</v>
      </c>
      <c r="L121" s="233">
        <f t="shared" si="133"/>
        <v>4850633</v>
      </c>
      <c r="M121" s="233">
        <f t="shared" si="81"/>
        <v>31149896</v>
      </c>
      <c r="N121" s="233">
        <v>24510591</v>
      </c>
      <c r="O121" s="233">
        <f t="shared" ref="O121:Q121" si="134">O122+O124</f>
        <v>0</v>
      </c>
      <c r="P121" s="233">
        <f t="shared" si="134"/>
        <v>1816700</v>
      </c>
      <c r="Q121" s="252">
        <f t="shared" si="134"/>
        <v>3738840</v>
      </c>
      <c r="R121" s="233">
        <f t="shared" si="82"/>
        <v>30066131</v>
      </c>
    </row>
    <row r="122" spans="1:18" s="29" customFormat="1" ht="12">
      <c r="A122" s="132">
        <v>1000</v>
      </c>
      <c r="B122" s="125" t="s">
        <v>106</v>
      </c>
      <c r="C122" s="171">
        <v>17312968</v>
      </c>
      <c r="D122" s="171">
        <v>17152588</v>
      </c>
      <c r="E122" s="233"/>
      <c r="F122" s="233">
        <f>1770691+16943</f>
        <v>1787634</v>
      </c>
      <c r="G122" s="233">
        <v>1953340</v>
      </c>
      <c r="H122" s="233">
        <f t="shared" si="80"/>
        <v>20893562</v>
      </c>
      <c r="I122" s="233">
        <v>17152588</v>
      </c>
      <c r="J122" s="233"/>
      <c r="K122" s="233">
        <f>1770691+49448</f>
        <v>1820139</v>
      </c>
      <c r="L122" s="233">
        <v>3021757</v>
      </c>
      <c r="M122" s="233">
        <f t="shared" si="81"/>
        <v>21994484</v>
      </c>
      <c r="N122" s="233">
        <v>17152588</v>
      </c>
      <c r="O122" s="233"/>
      <c r="P122" s="233">
        <f>1770691+30584</f>
        <v>1801275</v>
      </c>
      <c r="Q122" s="233">
        <v>2723633</v>
      </c>
      <c r="R122" s="233">
        <f t="shared" si="82"/>
        <v>21677496</v>
      </c>
    </row>
    <row r="123" spans="1:18" s="89" customFormat="1" ht="12">
      <c r="A123" s="139">
        <v>1100</v>
      </c>
      <c r="B123" s="125" t="s">
        <v>107</v>
      </c>
      <c r="C123" s="171">
        <v>13944055</v>
      </c>
      <c r="D123" s="171">
        <v>13814790</v>
      </c>
      <c r="E123" s="233"/>
      <c r="F123" s="233">
        <f>1426941+5568</f>
        <v>1432509</v>
      </c>
      <c r="G123" s="252">
        <v>1629163</v>
      </c>
      <c r="H123" s="233">
        <f t="shared" si="80"/>
        <v>16876462</v>
      </c>
      <c r="I123" s="233">
        <v>13814790</v>
      </c>
      <c r="J123" s="233"/>
      <c r="K123" s="233">
        <f>1426941+16704</f>
        <v>1443645</v>
      </c>
      <c r="L123" s="233">
        <v>2493755</v>
      </c>
      <c r="M123" s="233">
        <f t="shared" si="81"/>
        <v>17752190</v>
      </c>
      <c r="N123" s="233">
        <v>13814790</v>
      </c>
      <c r="O123" s="233"/>
      <c r="P123" s="233">
        <f>1426941+10904</f>
        <v>1437845</v>
      </c>
      <c r="Q123" s="233">
        <v>2191179</v>
      </c>
      <c r="R123" s="233">
        <f t="shared" si="82"/>
        <v>17443814</v>
      </c>
    </row>
    <row r="124" spans="1:18" s="89" customFormat="1" ht="12">
      <c r="A124" s="132">
        <v>2000</v>
      </c>
      <c r="B124" s="125" t="s">
        <v>108</v>
      </c>
      <c r="C124" s="171">
        <v>7807735</v>
      </c>
      <c r="D124" s="171">
        <v>7304732</v>
      </c>
      <c r="E124" s="233"/>
      <c r="F124" s="233">
        <f>10000+71107+15268</f>
        <v>96375</v>
      </c>
      <c r="G124" s="233">
        <v>2480016</v>
      </c>
      <c r="H124" s="233">
        <f t="shared" si="80"/>
        <v>9881123</v>
      </c>
      <c r="I124" s="233">
        <v>7304732</v>
      </c>
      <c r="J124" s="233"/>
      <c r="K124" s="233">
        <f>21804</f>
        <v>21804</v>
      </c>
      <c r="L124" s="233">
        <v>1828876</v>
      </c>
      <c r="M124" s="233">
        <f t="shared" si="81"/>
        <v>9155412</v>
      </c>
      <c r="N124" s="233">
        <v>7358003</v>
      </c>
      <c r="O124" s="233"/>
      <c r="P124" s="233">
        <f>15425</f>
        <v>15425</v>
      </c>
      <c r="Q124" s="252">
        <v>1015207</v>
      </c>
      <c r="R124" s="233">
        <f t="shared" si="82"/>
        <v>8388635</v>
      </c>
    </row>
    <row r="125" spans="1:18" s="89" customFormat="1" ht="12" hidden="1" customHeight="1">
      <c r="A125" s="140">
        <v>4000</v>
      </c>
      <c r="B125" s="124" t="s">
        <v>132</v>
      </c>
      <c r="C125" s="171"/>
      <c r="D125" s="171">
        <v>0</v>
      </c>
      <c r="E125" s="233"/>
      <c r="F125" s="233"/>
      <c r="G125" s="233"/>
      <c r="H125" s="233">
        <f t="shared" si="80"/>
        <v>0</v>
      </c>
      <c r="I125" s="233">
        <v>0</v>
      </c>
      <c r="J125" s="233"/>
      <c r="K125" s="233"/>
      <c r="L125" s="233"/>
      <c r="M125" s="233">
        <f t="shared" si="81"/>
        <v>0</v>
      </c>
      <c r="N125" s="233">
        <v>0</v>
      </c>
      <c r="O125" s="233"/>
      <c r="P125" s="233"/>
      <c r="Q125" s="252"/>
      <c r="R125" s="233">
        <f t="shared" si="82"/>
        <v>0</v>
      </c>
    </row>
    <row r="126" spans="1:18" s="89" customFormat="1" ht="12">
      <c r="A126" s="140" t="s">
        <v>109</v>
      </c>
      <c r="B126" s="124" t="s">
        <v>110</v>
      </c>
      <c r="C126" s="171">
        <v>15228295</v>
      </c>
      <c r="D126" s="171">
        <v>14926295</v>
      </c>
      <c r="E126" s="233">
        <f t="shared" ref="E126:G126" si="135">E127+E128</f>
        <v>0</v>
      </c>
      <c r="F126" s="233">
        <f t="shared" si="135"/>
        <v>988823</v>
      </c>
      <c r="G126" s="233">
        <f t="shared" si="135"/>
        <v>3605968</v>
      </c>
      <c r="H126" s="233">
        <f t="shared" si="80"/>
        <v>19521086</v>
      </c>
      <c r="I126" s="233">
        <v>14926295</v>
      </c>
      <c r="J126" s="233">
        <f t="shared" ref="J126:L126" si="136">J127+J128</f>
        <v>0</v>
      </c>
      <c r="K126" s="233">
        <f t="shared" si="136"/>
        <v>638823</v>
      </c>
      <c r="L126" s="233">
        <f t="shared" si="136"/>
        <v>4667236</v>
      </c>
      <c r="M126" s="233">
        <f t="shared" si="81"/>
        <v>20232354</v>
      </c>
      <c r="N126" s="233">
        <v>14926295</v>
      </c>
      <c r="O126" s="233">
        <f t="shared" ref="O126:Q126" si="137">O127+O128</f>
        <v>0</v>
      </c>
      <c r="P126" s="233">
        <f t="shared" si="137"/>
        <v>138823</v>
      </c>
      <c r="Q126" s="252">
        <f t="shared" si="137"/>
        <v>2155742</v>
      </c>
      <c r="R126" s="233">
        <f t="shared" si="82"/>
        <v>17220860</v>
      </c>
    </row>
    <row r="127" spans="1:18" s="89" customFormat="1" ht="12">
      <c r="A127" s="132">
        <v>3000</v>
      </c>
      <c r="B127" s="125" t="s">
        <v>111</v>
      </c>
      <c r="C127" s="213">
        <v>14847815</v>
      </c>
      <c r="D127" s="213">
        <v>14545815</v>
      </c>
      <c r="E127" s="345"/>
      <c r="F127" s="345">
        <f>88823+850000+50000</f>
        <v>988823</v>
      </c>
      <c r="G127" s="345">
        <v>3599088</v>
      </c>
      <c r="H127" s="233">
        <f t="shared" si="80"/>
        <v>19133726</v>
      </c>
      <c r="I127" s="345">
        <v>14545815</v>
      </c>
      <c r="J127" s="345"/>
      <c r="K127" s="345">
        <f>88823+500000+50000</f>
        <v>638823</v>
      </c>
      <c r="L127" s="345">
        <v>4660356</v>
      </c>
      <c r="M127" s="233">
        <f t="shared" si="81"/>
        <v>19844994</v>
      </c>
      <c r="N127" s="345">
        <v>14545815</v>
      </c>
      <c r="O127" s="345"/>
      <c r="P127" s="345">
        <f>88823+50000</f>
        <v>138823</v>
      </c>
      <c r="Q127" s="905">
        <v>2148862</v>
      </c>
      <c r="R127" s="233">
        <f t="shared" si="82"/>
        <v>16833500</v>
      </c>
    </row>
    <row r="128" spans="1:18" s="89" customFormat="1" ht="12">
      <c r="A128" s="132">
        <v>6000</v>
      </c>
      <c r="B128" s="125" t="s">
        <v>112</v>
      </c>
      <c r="C128" s="287">
        <v>380480</v>
      </c>
      <c r="D128" s="287">
        <v>380480</v>
      </c>
      <c r="E128" s="346"/>
      <c r="F128" s="346"/>
      <c r="G128" s="346">
        <v>6880</v>
      </c>
      <c r="H128" s="233">
        <f t="shared" si="80"/>
        <v>387360</v>
      </c>
      <c r="I128" s="346">
        <v>380480</v>
      </c>
      <c r="J128" s="346"/>
      <c r="K128" s="346"/>
      <c r="L128" s="346">
        <v>6880</v>
      </c>
      <c r="M128" s="233">
        <f t="shared" si="81"/>
        <v>387360</v>
      </c>
      <c r="N128" s="346">
        <v>380480</v>
      </c>
      <c r="O128" s="346"/>
      <c r="P128" s="346"/>
      <c r="Q128" s="906">
        <v>6880</v>
      </c>
      <c r="R128" s="233">
        <f t="shared" si="82"/>
        <v>387360</v>
      </c>
    </row>
    <row r="129" spans="1:18" s="89" customFormat="1" ht="22.8">
      <c r="A129" s="140" t="s">
        <v>113</v>
      </c>
      <c r="B129" s="124" t="s">
        <v>183</v>
      </c>
      <c r="C129" s="171">
        <v>118590</v>
      </c>
      <c r="D129" s="171">
        <v>118590</v>
      </c>
      <c r="E129" s="233">
        <f t="shared" ref="E129:G129" si="138">E130+E131</f>
        <v>0</v>
      </c>
      <c r="F129" s="233">
        <f t="shared" si="138"/>
        <v>0</v>
      </c>
      <c r="G129" s="233">
        <f t="shared" si="138"/>
        <v>7782</v>
      </c>
      <c r="H129" s="233">
        <f t="shared" si="80"/>
        <v>126372</v>
      </c>
      <c r="I129" s="233">
        <v>118590</v>
      </c>
      <c r="J129" s="233">
        <f t="shared" ref="J129" si="139">J130+J131</f>
        <v>0</v>
      </c>
      <c r="K129" s="233">
        <v>0</v>
      </c>
      <c r="L129" s="233">
        <f t="shared" ref="L129" si="140">L130+L131</f>
        <v>7782</v>
      </c>
      <c r="M129" s="233">
        <f t="shared" si="81"/>
        <v>126372</v>
      </c>
      <c r="N129" s="233">
        <v>118590</v>
      </c>
      <c r="O129" s="233">
        <f t="shared" ref="O129:Q129" si="141">O130+O131</f>
        <v>0</v>
      </c>
      <c r="P129" s="233">
        <f t="shared" si="141"/>
        <v>0</v>
      </c>
      <c r="Q129" s="252">
        <f t="shared" si="141"/>
        <v>7782</v>
      </c>
      <c r="R129" s="233">
        <f t="shared" si="82"/>
        <v>126372</v>
      </c>
    </row>
    <row r="130" spans="1:18" s="89" customFormat="1" ht="12" hidden="1" customHeight="1">
      <c r="A130" s="132">
        <v>7600</v>
      </c>
      <c r="B130" s="179" t="s">
        <v>184</v>
      </c>
      <c r="C130" s="171"/>
      <c r="D130" s="171">
        <v>0</v>
      </c>
      <c r="E130" s="233"/>
      <c r="F130" s="233"/>
      <c r="G130" s="233"/>
      <c r="H130" s="233">
        <f t="shared" si="80"/>
        <v>0</v>
      </c>
      <c r="I130" s="233">
        <v>0</v>
      </c>
      <c r="J130" s="233"/>
      <c r="K130" s="233"/>
      <c r="L130" s="233"/>
      <c r="M130" s="233">
        <f t="shared" si="81"/>
        <v>0</v>
      </c>
      <c r="N130" s="233">
        <v>0</v>
      </c>
      <c r="O130" s="233"/>
      <c r="P130" s="233"/>
      <c r="Q130" s="252"/>
      <c r="R130" s="233">
        <f t="shared" si="82"/>
        <v>0</v>
      </c>
    </row>
    <row r="131" spans="1:18" s="89" customFormat="1" ht="12">
      <c r="A131" s="132">
        <v>7700</v>
      </c>
      <c r="B131" s="126" t="s">
        <v>114</v>
      </c>
      <c r="C131" s="171">
        <v>118590</v>
      </c>
      <c r="D131" s="171">
        <v>118590</v>
      </c>
      <c r="E131" s="233"/>
      <c r="F131" s="233"/>
      <c r="G131" s="233">
        <v>7782</v>
      </c>
      <c r="H131" s="233">
        <f t="shared" si="80"/>
        <v>126372</v>
      </c>
      <c r="I131" s="233">
        <v>118590</v>
      </c>
      <c r="J131" s="233"/>
      <c r="K131" s="233"/>
      <c r="L131" s="233">
        <v>7782</v>
      </c>
      <c r="M131" s="233">
        <f t="shared" si="81"/>
        <v>126372</v>
      </c>
      <c r="N131" s="233">
        <v>118590</v>
      </c>
      <c r="O131" s="233"/>
      <c r="P131" s="233"/>
      <c r="Q131" s="252">
        <v>7782</v>
      </c>
      <c r="R131" s="233">
        <f t="shared" si="82"/>
        <v>126372</v>
      </c>
    </row>
    <row r="132" spans="1:18" s="89" customFormat="1" ht="20.399999999999999">
      <c r="A132" s="140" t="s">
        <v>185</v>
      </c>
      <c r="B132" s="124" t="s">
        <v>115</v>
      </c>
      <c r="C132" s="171">
        <v>12642101</v>
      </c>
      <c r="D132" s="171">
        <v>12538681</v>
      </c>
      <c r="E132" s="233">
        <f t="shared" ref="E132:G132" si="142">E133+E139+E143+E146</f>
        <v>0</v>
      </c>
      <c r="F132" s="233">
        <f t="shared" si="142"/>
        <v>1119438</v>
      </c>
      <c r="G132" s="233">
        <f t="shared" si="142"/>
        <v>1184589</v>
      </c>
      <c r="H132" s="233">
        <f t="shared" si="80"/>
        <v>14842708</v>
      </c>
      <c r="I132" s="233">
        <v>12538681</v>
      </c>
      <c r="J132" s="233">
        <f t="shared" ref="J132:L132" si="143">J133+J139+J143+J146</f>
        <v>0</v>
      </c>
      <c r="K132" s="233">
        <v>1116482</v>
      </c>
      <c r="L132" s="233">
        <f t="shared" si="143"/>
        <v>299200</v>
      </c>
      <c r="M132" s="233">
        <f t="shared" si="81"/>
        <v>13954363</v>
      </c>
      <c r="N132" s="233">
        <v>12538681</v>
      </c>
      <c r="O132" s="233">
        <f t="shared" ref="O132:Q132" si="144">O133+O139+O143+O146</f>
        <v>0</v>
      </c>
      <c r="P132" s="233">
        <f t="shared" si="144"/>
        <v>1116482</v>
      </c>
      <c r="Q132" s="252">
        <f t="shared" si="144"/>
        <v>172057</v>
      </c>
      <c r="R132" s="233">
        <f t="shared" si="82"/>
        <v>13827220</v>
      </c>
    </row>
    <row r="133" spans="1:18" s="89" customFormat="1" ht="12" hidden="1" customHeight="1">
      <c r="A133" s="132">
        <v>7100</v>
      </c>
      <c r="B133" s="179" t="s">
        <v>116</v>
      </c>
      <c r="C133" s="171">
        <v>0</v>
      </c>
      <c r="D133" s="171">
        <v>0</v>
      </c>
      <c r="E133" s="233">
        <f t="shared" ref="E133:G133" si="145">E134+E135</f>
        <v>0</v>
      </c>
      <c r="F133" s="233">
        <f t="shared" si="145"/>
        <v>0</v>
      </c>
      <c r="G133" s="233">
        <f t="shared" si="145"/>
        <v>0</v>
      </c>
      <c r="H133" s="233">
        <f t="shared" si="80"/>
        <v>0</v>
      </c>
      <c r="I133" s="233">
        <v>0</v>
      </c>
      <c r="J133" s="233">
        <f t="shared" ref="J133" si="146">J134+J135</f>
        <v>0</v>
      </c>
      <c r="K133" s="233">
        <v>0</v>
      </c>
      <c r="L133" s="233">
        <v>0</v>
      </c>
      <c r="M133" s="233">
        <f t="shared" si="81"/>
        <v>0</v>
      </c>
      <c r="N133" s="233">
        <v>0</v>
      </c>
      <c r="O133" s="233">
        <f t="shared" ref="O133:Q133" si="147">O134+O135</f>
        <v>0</v>
      </c>
      <c r="P133" s="233">
        <f t="shared" si="147"/>
        <v>0</v>
      </c>
      <c r="Q133" s="252">
        <f t="shared" si="147"/>
        <v>0</v>
      </c>
      <c r="R133" s="233">
        <f t="shared" si="82"/>
        <v>0</v>
      </c>
    </row>
    <row r="134" spans="1:18" s="89" customFormat="1" ht="24" hidden="1" customHeight="1">
      <c r="A134" s="133" t="s">
        <v>117</v>
      </c>
      <c r="B134" s="179" t="s">
        <v>118</v>
      </c>
      <c r="C134" s="171"/>
      <c r="D134" s="171">
        <v>0</v>
      </c>
      <c r="E134" s="233"/>
      <c r="F134" s="233"/>
      <c r="G134" s="233"/>
      <c r="H134" s="233">
        <f t="shared" si="80"/>
        <v>0</v>
      </c>
      <c r="I134" s="233">
        <v>0</v>
      </c>
      <c r="J134" s="233"/>
      <c r="K134" s="233"/>
      <c r="L134" s="233"/>
      <c r="M134" s="233">
        <f t="shared" si="81"/>
        <v>0</v>
      </c>
      <c r="N134" s="233">
        <v>0</v>
      </c>
      <c r="O134" s="233"/>
      <c r="P134" s="233"/>
      <c r="Q134" s="252"/>
      <c r="R134" s="233">
        <f t="shared" si="82"/>
        <v>0</v>
      </c>
    </row>
    <row r="135" spans="1:18" s="89" customFormat="1" ht="24" hidden="1" customHeight="1">
      <c r="A135" s="133">
        <v>7130</v>
      </c>
      <c r="B135" s="179" t="s">
        <v>119</v>
      </c>
      <c r="C135" s="171">
        <v>0</v>
      </c>
      <c r="D135" s="171">
        <v>0</v>
      </c>
      <c r="E135" s="233">
        <f t="shared" ref="E135:G135" si="148">SUM(E136:E138)</f>
        <v>0</v>
      </c>
      <c r="F135" s="233">
        <f t="shared" ref="F135" si="149">SUM(F136:F138)</f>
        <v>0</v>
      </c>
      <c r="G135" s="233">
        <f t="shared" si="148"/>
        <v>0</v>
      </c>
      <c r="H135" s="233">
        <f t="shared" si="80"/>
        <v>0</v>
      </c>
      <c r="I135" s="233">
        <v>0</v>
      </c>
      <c r="J135" s="233">
        <f t="shared" ref="J135" si="150">SUM(J136:J138)</f>
        <v>0</v>
      </c>
      <c r="K135" s="233">
        <v>0</v>
      </c>
      <c r="L135" s="233">
        <v>0</v>
      </c>
      <c r="M135" s="233">
        <f t="shared" si="81"/>
        <v>0</v>
      </c>
      <c r="N135" s="233">
        <v>0</v>
      </c>
      <c r="O135" s="233">
        <f t="shared" ref="O135:Q135" si="151">SUM(O136:O138)</f>
        <v>0</v>
      </c>
      <c r="P135" s="233">
        <f t="shared" si="151"/>
        <v>0</v>
      </c>
      <c r="Q135" s="252">
        <f t="shared" si="151"/>
        <v>0</v>
      </c>
      <c r="R135" s="233">
        <f t="shared" si="82"/>
        <v>0</v>
      </c>
    </row>
    <row r="136" spans="1:18" s="89" customFormat="1" ht="36" hidden="1" customHeight="1">
      <c r="A136" s="134">
        <v>7131</v>
      </c>
      <c r="B136" s="179" t="s">
        <v>120</v>
      </c>
      <c r="C136" s="171"/>
      <c r="D136" s="171">
        <v>0</v>
      </c>
      <c r="E136" s="233"/>
      <c r="F136" s="233"/>
      <c r="G136" s="233"/>
      <c r="H136" s="233">
        <f t="shared" si="80"/>
        <v>0</v>
      </c>
      <c r="I136" s="233">
        <v>0</v>
      </c>
      <c r="J136" s="233"/>
      <c r="K136" s="233"/>
      <c r="L136" s="233"/>
      <c r="M136" s="233">
        <f t="shared" si="81"/>
        <v>0</v>
      </c>
      <c r="N136" s="233">
        <v>0</v>
      </c>
      <c r="O136" s="233"/>
      <c r="P136" s="233"/>
      <c r="Q136" s="252"/>
      <c r="R136" s="233">
        <f t="shared" si="82"/>
        <v>0</v>
      </c>
    </row>
    <row r="137" spans="1:18" s="29" customFormat="1" ht="36" hidden="1" customHeight="1">
      <c r="A137" s="134">
        <v>7132</v>
      </c>
      <c r="B137" s="179" t="s">
        <v>121</v>
      </c>
      <c r="C137" s="171"/>
      <c r="D137" s="171">
        <v>0</v>
      </c>
      <c r="E137" s="233"/>
      <c r="F137" s="233"/>
      <c r="G137" s="233"/>
      <c r="H137" s="233">
        <f t="shared" si="80"/>
        <v>0</v>
      </c>
      <c r="I137" s="233">
        <v>0</v>
      </c>
      <c r="J137" s="233"/>
      <c r="K137" s="233"/>
      <c r="L137" s="233"/>
      <c r="M137" s="233">
        <f t="shared" si="81"/>
        <v>0</v>
      </c>
      <c r="N137" s="233">
        <v>0</v>
      </c>
      <c r="O137" s="233"/>
      <c r="P137" s="233"/>
      <c r="Q137" s="252"/>
      <c r="R137" s="233">
        <f t="shared" si="82"/>
        <v>0</v>
      </c>
    </row>
    <row r="138" spans="1:18" s="29" customFormat="1" ht="36" hidden="1" customHeight="1">
      <c r="A138" s="134" t="s">
        <v>186</v>
      </c>
      <c r="B138" s="179" t="s">
        <v>187</v>
      </c>
      <c r="C138" s="171"/>
      <c r="D138" s="171">
        <v>0</v>
      </c>
      <c r="E138" s="233"/>
      <c r="F138" s="233"/>
      <c r="G138" s="233"/>
      <c r="H138" s="233">
        <f t="shared" ref="H138:H201" si="152">SUM(D138:G138)</f>
        <v>0</v>
      </c>
      <c r="I138" s="233">
        <v>0</v>
      </c>
      <c r="J138" s="233"/>
      <c r="K138" s="233"/>
      <c r="L138" s="233"/>
      <c r="M138" s="233">
        <f t="shared" ref="M138:M201" si="153">SUM(I138:L138)</f>
        <v>0</v>
      </c>
      <c r="N138" s="233">
        <v>0</v>
      </c>
      <c r="O138" s="233"/>
      <c r="P138" s="233"/>
      <c r="Q138" s="252"/>
      <c r="R138" s="233">
        <f t="shared" ref="R138:R201" si="154">SUM(N138:Q138)</f>
        <v>0</v>
      </c>
    </row>
    <row r="139" spans="1:18" s="29" customFormat="1" ht="24">
      <c r="A139" s="132">
        <v>7300</v>
      </c>
      <c r="B139" s="172" t="s">
        <v>155</v>
      </c>
      <c r="C139" s="171">
        <v>12274868</v>
      </c>
      <c r="D139" s="171">
        <v>12198448</v>
      </c>
      <c r="E139" s="233">
        <f t="shared" ref="E139:G139" si="155">SUM(E140:E142)</f>
        <v>0</v>
      </c>
      <c r="F139" s="233">
        <f t="shared" si="155"/>
        <v>1116482</v>
      </c>
      <c r="G139" s="233">
        <f t="shared" si="155"/>
        <v>1087770</v>
      </c>
      <c r="H139" s="233">
        <f t="shared" si="152"/>
        <v>14402700</v>
      </c>
      <c r="I139" s="233">
        <v>12198448</v>
      </c>
      <c r="J139" s="233">
        <f t="shared" ref="J139:L139" si="156">SUM(J140:J142)</f>
        <v>0</v>
      </c>
      <c r="K139" s="233">
        <v>1116482</v>
      </c>
      <c r="L139" s="233">
        <f t="shared" si="156"/>
        <v>203563</v>
      </c>
      <c r="M139" s="233">
        <f t="shared" si="153"/>
        <v>13518493</v>
      </c>
      <c r="N139" s="233">
        <v>12198448</v>
      </c>
      <c r="O139" s="233">
        <f t="shared" ref="O139:Q139" si="157">SUM(O140:O142)</f>
        <v>0</v>
      </c>
      <c r="P139" s="233">
        <f t="shared" si="157"/>
        <v>1116482</v>
      </c>
      <c r="Q139" s="252">
        <f t="shared" si="157"/>
        <v>76420</v>
      </c>
      <c r="R139" s="233">
        <f t="shared" si="154"/>
        <v>13391350</v>
      </c>
    </row>
    <row r="140" spans="1:18" s="4" customFormat="1" ht="24">
      <c r="A140" s="133" t="s">
        <v>188</v>
      </c>
      <c r="B140" s="179" t="s">
        <v>170</v>
      </c>
      <c r="C140" s="180">
        <v>7593143</v>
      </c>
      <c r="D140" s="180">
        <v>7593143</v>
      </c>
      <c r="E140" s="252"/>
      <c r="F140" s="252">
        <v>1116482</v>
      </c>
      <c r="G140" s="252">
        <v>975000</v>
      </c>
      <c r="H140" s="233">
        <f t="shared" si="152"/>
        <v>9684625</v>
      </c>
      <c r="I140" s="252">
        <v>7593143</v>
      </c>
      <c r="J140" s="252"/>
      <c r="K140" s="252">
        <v>1116482</v>
      </c>
      <c r="L140" s="252"/>
      <c r="M140" s="233">
        <f t="shared" si="153"/>
        <v>8709625</v>
      </c>
      <c r="N140" s="252">
        <v>7593143</v>
      </c>
      <c r="O140" s="252"/>
      <c r="P140" s="252">
        <v>1116482</v>
      </c>
      <c r="Q140" s="252"/>
      <c r="R140" s="233">
        <f t="shared" si="154"/>
        <v>8709625</v>
      </c>
    </row>
    <row r="141" spans="1:18" ht="48" hidden="1" customHeight="1">
      <c r="A141" s="133" t="s">
        <v>189</v>
      </c>
      <c r="B141" s="179" t="s">
        <v>156</v>
      </c>
      <c r="C141" s="180"/>
      <c r="D141" s="180">
        <v>0</v>
      </c>
      <c r="E141" s="252"/>
      <c r="F141" s="252"/>
      <c r="G141" s="252"/>
      <c r="H141" s="233">
        <f t="shared" si="152"/>
        <v>0</v>
      </c>
      <c r="I141" s="252">
        <v>0</v>
      </c>
      <c r="J141" s="252"/>
      <c r="K141" s="252"/>
      <c r="L141" s="252"/>
      <c r="M141" s="233">
        <f t="shared" si="153"/>
        <v>0</v>
      </c>
      <c r="N141" s="252">
        <v>0</v>
      </c>
      <c r="O141" s="252"/>
      <c r="P141" s="252"/>
      <c r="Q141" s="252"/>
      <c r="R141" s="233">
        <f t="shared" si="154"/>
        <v>0</v>
      </c>
    </row>
    <row r="142" spans="1:18" ht="36">
      <c r="A142" s="133">
        <v>7350</v>
      </c>
      <c r="B142" s="179" t="s">
        <v>163</v>
      </c>
      <c r="C142" s="180">
        <v>4681725</v>
      </c>
      <c r="D142" s="180">
        <v>4605305</v>
      </c>
      <c r="E142" s="252"/>
      <c r="F142" s="252"/>
      <c r="G142" s="252">
        <v>112770</v>
      </c>
      <c r="H142" s="233">
        <f t="shared" si="152"/>
        <v>4718075</v>
      </c>
      <c r="I142" s="252">
        <v>4605305</v>
      </c>
      <c r="J142" s="252"/>
      <c r="K142" s="252"/>
      <c r="L142" s="252">
        <v>203563</v>
      </c>
      <c r="M142" s="233">
        <f t="shared" si="153"/>
        <v>4808868</v>
      </c>
      <c r="N142" s="252">
        <v>4605305</v>
      </c>
      <c r="O142" s="252"/>
      <c r="P142" s="252"/>
      <c r="Q142" s="252">
        <v>76420</v>
      </c>
      <c r="R142" s="233">
        <f t="shared" si="154"/>
        <v>4681725</v>
      </c>
    </row>
    <row r="143" spans="1:18" ht="24">
      <c r="A143" s="132">
        <v>7400</v>
      </c>
      <c r="B143" s="172" t="s">
        <v>161</v>
      </c>
      <c r="C143" s="171">
        <v>367233</v>
      </c>
      <c r="D143" s="171">
        <v>340233</v>
      </c>
      <c r="E143" s="233">
        <f t="shared" ref="E143:G143" si="158">SUM(E144:E145)</f>
        <v>0</v>
      </c>
      <c r="F143" s="233">
        <f t="shared" si="158"/>
        <v>2956</v>
      </c>
      <c r="G143" s="233">
        <f t="shared" si="158"/>
        <v>96819</v>
      </c>
      <c r="H143" s="233">
        <f t="shared" si="152"/>
        <v>440008</v>
      </c>
      <c r="I143" s="233">
        <v>340233</v>
      </c>
      <c r="J143" s="233">
        <f t="shared" ref="J143:L143" si="159">SUM(J144:J145)</f>
        <v>0</v>
      </c>
      <c r="K143" s="233">
        <f t="shared" si="159"/>
        <v>0</v>
      </c>
      <c r="L143" s="233">
        <f t="shared" si="159"/>
        <v>95637</v>
      </c>
      <c r="M143" s="233">
        <f t="shared" si="153"/>
        <v>435870</v>
      </c>
      <c r="N143" s="233">
        <v>340233</v>
      </c>
      <c r="O143" s="233">
        <f t="shared" ref="O143:Q143" si="160">SUM(O144:O145)</f>
        <v>0</v>
      </c>
      <c r="P143" s="233">
        <f t="shared" si="160"/>
        <v>0</v>
      </c>
      <c r="Q143" s="233">
        <f t="shared" si="160"/>
        <v>95637</v>
      </c>
      <c r="R143" s="233">
        <f t="shared" si="154"/>
        <v>435870</v>
      </c>
    </row>
    <row r="144" spans="1:18" ht="24">
      <c r="A144" s="133">
        <v>7460</v>
      </c>
      <c r="B144" s="172" t="s">
        <v>162</v>
      </c>
      <c r="C144" s="180">
        <v>89420</v>
      </c>
      <c r="D144" s="180">
        <v>89420</v>
      </c>
      <c r="E144" s="252"/>
      <c r="F144" s="252"/>
      <c r="G144" s="252">
        <v>44935</v>
      </c>
      <c r="H144" s="233">
        <f t="shared" si="152"/>
        <v>134355</v>
      </c>
      <c r="I144" s="252">
        <v>89420</v>
      </c>
      <c r="J144" s="252"/>
      <c r="K144" s="252"/>
      <c r="L144" s="252">
        <v>44935</v>
      </c>
      <c r="M144" s="233">
        <f t="shared" si="153"/>
        <v>134355</v>
      </c>
      <c r="N144" s="252">
        <v>89420</v>
      </c>
      <c r="O144" s="252"/>
      <c r="P144" s="252"/>
      <c r="Q144" s="252">
        <v>44935</v>
      </c>
      <c r="R144" s="233">
        <f t="shared" si="154"/>
        <v>134355</v>
      </c>
    </row>
    <row r="145" spans="1:18" ht="36">
      <c r="A145" s="133">
        <v>7470</v>
      </c>
      <c r="B145" s="179" t="s">
        <v>167</v>
      </c>
      <c r="C145" s="180">
        <v>277813</v>
      </c>
      <c r="D145" s="180">
        <v>250813</v>
      </c>
      <c r="E145" s="252"/>
      <c r="F145" s="252">
        <v>2956</v>
      </c>
      <c r="G145" s="252">
        <v>51884</v>
      </c>
      <c r="H145" s="233">
        <f t="shared" si="152"/>
        <v>305653</v>
      </c>
      <c r="I145" s="252">
        <v>250813</v>
      </c>
      <c r="J145" s="252"/>
      <c r="K145" s="252"/>
      <c r="L145" s="252">
        <v>50702</v>
      </c>
      <c r="M145" s="233">
        <f t="shared" si="153"/>
        <v>301515</v>
      </c>
      <c r="N145" s="252">
        <v>250813</v>
      </c>
      <c r="O145" s="252"/>
      <c r="P145" s="252"/>
      <c r="Q145" s="252">
        <v>50702</v>
      </c>
      <c r="R145" s="233">
        <f t="shared" si="154"/>
        <v>301515</v>
      </c>
    </row>
    <row r="146" spans="1:18" ht="24" hidden="1" customHeight="1">
      <c r="A146" s="132">
        <v>7500</v>
      </c>
      <c r="B146" s="179" t="s">
        <v>157</v>
      </c>
      <c r="C146" s="171"/>
      <c r="D146" s="171">
        <v>0</v>
      </c>
      <c r="E146" s="233"/>
      <c r="F146" s="233"/>
      <c r="G146" s="233"/>
      <c r="H146" s="233">
        <f t="shared" si="152"/>
        <v>0</v>
      </c>
      <c r="I146" s="233">
        <v>0</v>
      </c>
      <c r="J146" s="233"/>
      <c r="K146" s="233"/>
      <c r="L146" s="233"/>
      <c r="M146" s="233">
        <f t="shared" si="153"/>
        <v>0</v>
      </c>
      <c r="N146" s="233">
        <v>0</v>
      </c>
      <c r="O146" s="233"/>
      <c r="P146" s="233"/>
      <c r="Q146" s="233"/>
      <c r="R146" s="233">
        <f t="shared" si="154"/>
        <v>0</v>
      </c>
    </row>
    <row r="147" spans="1:18" s="4" customFormat="1" ht="12">
      <c r="A147" s="140" t="s">
        <v>133</v>
      </c>
      <c r="B147" s="124" t="s">
        <v>122</v>
      </c>
      <c r="C147" s="181">
        <v>41241761</v>
      </c>
      <c r="D147" s="181">
        <v>20076490</v>
      </c>
      <c r="E147" s="254">
        <f t="shared" ref="E147:G147" si="161">E148+E149</f>
        <v>0</v>
      </c>
      <c r="F147" s="254">
        <f t="shared" si="161"/>
        <v>700</v>
      </c>
      <c r="G147" s="254">
        <f t="shared" si="161"/>
        <v>42032</v>
      </c>
      <c r="H147" s="233">
        <f t="shared" si="152"/>
        <v>20119222</v>
      </c>
      <c r="I147" s="254">
        <v>376061</v>
      </c>
      <c r="J147" s="254">
        <f t="shared" ref="J147:L147" si="162">J148+J149</f>
        <v>0</v>
      </c>
      <c r="K147" s="254">
        <f t="shared" si="162"/>
        <v>0</v>
      </c>
      <c r="L147" s="254">
        <f t="shared" si="162"/>
        <v>42032</v>
      </c>
      <c r="M147" s="233">
        <f t="shared" si="153"/>
        <v>418093</v>
      </c>
      <c r="N147" s="254">
        <v>376061</v>
      </c>
      <c r="O147" s="254">
        <f t="shared" ref="O147:Q147" si="163">O148+O149</f>
        <v>0</v>
      </c>
      <c r="P147" s="254">
        <f t="shared" si="163"/>
        <v>0</v>
      </c>
      <c r="Q147" s="254">
        <f t="shared" si="163"/>
        <v>42032</v>
      </c>
      <c r="R147" s="233">
        <f t="shared" si="154"/>
        <v>418093</v>
      </c>
    </row>
    <row r="148" spans="1:18" s="6" customFormat="1" ht="12">
      <c r="A148" s="140">
        <v>5000</v>
      </c>
      <c r="B148" s="124" t="s">
        <v>123</v>
      </c>
      <c r="C148" s="171">
        <v>41241761</v>
      </c>
      <c r="D148" s="171">
        <v>20076490</v>
      </c>
      <c r="E148" s="233"/>
      <c r="F148" s="233">
        <v>700</v>
      </c>
      <c r="G148" s="233">
        <v>42032</v>
      </c>
      <c r="H148" s="233">
        <f t="shared" si="152"/>
        <v>20119222</v>
      </c>
      <c r="I148" s="233">
        <v>376061</v>
      </c>
      <c r="J148" s="233"/>
      <c r="K148" s="233"/>
      <c r="L148" s="233">
        <v>42032</v>
      </c>
      <c r="M148" s="233">
        <f t="shared" si="153"/>
        <v>418093</v>
      </c>
      <c r="N148" s="233">
        <v>376061</v>
      </c>
      <c r="O148" s="233"/>
      <c r="P148" s="233"/>
      <c r="Q148" s="233">
        <v>42032</v>
      </c>
      <c r="R148" s="233">
        <f t="shared" si="154"/>
        <v>418093</v>
      </c>
    </row>
    <row r="149" spans="1:18" s="6" customFormat="1" ht="12" hidden="1" customHeight="1">
      <c r="A149" s="140">
        <v>9000</v>
      </c>
      <c r="B149" s="182" t="s">
        <v>164</v>
      </c>
      <c r="C149" s="171">
        <v>0</v>
      </c>
      <c r="D149" s="171">
        <v>0</v>
      </c>
      <c r="E149" s="233">
        <f t="shared" ref="E149:G149" si="164">E150+E156+E160+E163</f>
        <v>0</v>
      </c>
      <c r="F149" s="233">
        <f t="shared" si="164"/>
        <v>0</v>
      </c>
      <c r="G149" s="233">
        <f t="shared" si="164"/>
        <v>0</v>
      </c>
      <c r="H149" s="233">
        <f t="shared" si="152"/>
        <v>0</v>
      </c>
      <c r="I149" s="233">
        <v>0</v>
      </c>
      <c r="J149" s="233">
        <f t="shared" ref="J149:L149" si="165">J150+J156+J160+J163</f>
        <v>0</v>
      </c>
      <c r="K149" s="233">
        <f t="shared" si="165"/>
        <v>0</v>
      </c>
      <c r="L149" s="233">
        <f t="shared" si="165"/>
        <v>0</v>
      </c>
      <c r="M149" s="233">
        <f t="shared" si="153"/>
        <v>0</v>
      </c>
      <c r="N149" s="233">
        <v>0</v>
      </c>
      <c r="O149" s="233">
        <f t="shared" ref="O149:Q149" si="166">O150+O156+O160+O163</f>
        <v>0</v>
      </c>
      <c r="P149" s="233">
        <f t="shared" si="166"/>
        <v>0</v>
      </c>
      <c r="Q149" s="233">
        <f t="shared" si="166"/>
        <v>0</v>
      </c>
      <c r="R149" s="233">
        <f t="shared" si="154"/>
        <v>0</v>
      </c>
    </row>
    <row r="150" spans="1:18" s="6" customFormat="1" ht="12" hidden="1" customHeight="1">
      <c r="A150" s="141">
        <v>9100</v>
      </c>
      <c r="B150" s="179" t="s">
        <v>124</v>
      </c>
      <c r="C150" s="171">
        <v>0</v>
      </c>
      <c r="D150" s="171">
        <v>0</v>
      </c>
      <c r="E150" s="233">
        <f t="shared" ref="E150:G150" si="167">SUM(E151:E152)</f>
        <v>0</v>
      </c>
      <c r="F150" s="233">
        <f t="shared" ref="F150" si="168">SUM(F151:F152)</f>
        <v>0</v>
      </c>
      <c r="G150" s="233">
        <f t="shared" si="167"/>
        <v>0</v>
      </c>
      <c r="H150" s="233">
        <f t="shared" si="152"/>
        <v>0</v>
      </c>
      <c r="I150" s="233">
        <v>0</v>
      </c>
      <c r="J150" s="233">
        <f t="shared" ref="J150:L150" si="169">SUM(J151:J152)</f>
        <v>0</v>
      </c>
      <c r="K150" s="233">
        <f t="shared" si="169"/>
        <v>0</v>
      </c>
      <c r="L150" s="233">
        <f t="shared" si="169"/>
        <v>0</v>
      </c>
      <c r="M150" s="233">
        <f t="shared" si="153"/>
        <v>0</v>
      </c>
      <c r="N150" s="233">
        <v>0</v>
      </c>
      <c r="O150" s="233">
        <f t="shared" ref="O150:Q150" si="170">SUM(O151:O152)</f>
        <v>0</v>
      </c>
      <c r="P150" s="233">
        <f t="shared" si="170"/>
        <v>0</v>
      </c>
      <c r="Q150" s="233">
        <f t="shared" si="170"/>
        <v>0</v>
      </c>
      <c r="R150" s="233">
        <f t="shared" si="154"/>
        <v>0</v>
      </c>
    </row>
    <row r="151" spans="1:18" s="6" customFormat="1" ht="24" hidden="1" customHeight="1">
      <c r="A151" s="133" t="s">
        <v>125</v>
      </c>
      <c r="B151" s="179" t="s">
        <v>214</v>
      </c>
      <c r="C151" s="171"/>
      <c r="D151" s="171">
        <v>0</v>
      </c>
      <c r="E151" s="233"/>
      <c r="F151" s="233"/>
      <c r="G151" s="233"/>
      <c r="H151" s="233">
        <f t="shared" si="152"/>
        <v>0</v>
      </c>
      <c r="I151" s="233">
        <v>0</v>
      </c>
      <c r="J151" s="233"/>
      <c r="K151" s="233"/>
      <c r="L151" s="233"/>
      <c r="M151" s="233">
        <f t="shared" si="153"/>
        <v>0</v>
      </c>
      <c r="N151" s="233">
        <v>0</v>
      </c>
      <c r="O151" s="233"/>
      <c r="P151" s="233"/>
      <c r="Q151" s="233"/>
      <c r="R151" s="233">
        <f t="shared" si="154"/>
        <v>0</v>
      </c>
    </row>
    <row r="152" spans="1:18" s="6" customFormat="1" ht="24" hidden="1" customHeight="1">
      <c r="A152" s="133">
        <v>9140</v>
      </c>
      <c r="B152" s="179" t="s">
        <v>215</v>
      </c>
      <c r="C152" s="171">
        <v>0</v>
      </c>
      <c r="D152" s="171">
        <v>0</v>
      </c>
      <c r="E152" s="233">
        <f t="shared" ref="E152:G152" si="171">SUM(E153:E155)</f>
        <v>0</v>
      </c>
      <c r="F152" s="233">
        <f t="shared" si="171"/>
        <v>0</v>
      </c>
      <c r="G152" s="233">
        <f t="shared" si="171"/>
        <v>0</v>
      </c>
      <c r="H152" s="233">
        <f t="shared" si="152"/>
        <v>0</v>
      </c>
      <c r="I152" s="233">
        <v>0</v>
      </c>
      <c r="J152" s="233">
        <f t="shared" ref="J152:L152" si="172">SUM(J153:J155)</f>
        <v>0</v>
      </c>
      <c r="K152" s="233">
        <f t="shared" si="172"/>
        <v>0</v>
      </c>
      <c r="L152" s="233">
        <f t="shared" si="172"/>
        <v>0</v>
      </c>
      <c r="M152" s="233">
        <f t="shared" si="153"/>
        <v>0</v>
      </c>
      <c r="N152" s="233">
        <v>0</v>
      </c>
      <c r="O152" s="233">
        <f t="shared" ref="O152:Q152" si="173">SUM(O153:O155)</f>
        <v>0</v>
      </c>
      <c r="P152" s="233">
        <f t="shared" si="173"/>
        <v>0</v>
      </c>
      <c r="Q152" s="233">
        <f t="shared" si="173"/>
        <v>0</v>
      </c>
      <c r="R152" s="233">
        <f t="shared" si="154"/>
        <v>0</v>
      </c>
    </row>
    <row r="153" spans="1:18" s="6" customFormat="1" ht="36" hidden="1" customHeight="1">
      <c r="A153" s="134">
        <v>9141</v>
      </c>
      <c r="B153" s="172" t="s">
        <v>190</v>
      </c>
      <c r="C153" s="180"/>
      <c r="D153" s="180">
        <v>0</v>
      </c>
      <c r="E153" s="252"/>
      <c r="F153" s="252"/>
      <c r="G153" s="252"/>
      <c r="H153" s="233">
        <f t="shared" si="152"/>
        <v>0</v>
      </c>
      <c r="I153" s="252">
        <v>0</v>
      </c>
      <c r="J153" s="252"/>
      <c r="K153" s="252"/>
      <c r="L153" s="252"/>
      <c r="M153" s="233">
        <f t="shared" si="153"/>
        <v>0</v>
      </c>
      <c r="N153" s="252">
        <v>0</v>
      </c>
      <c r="O153" s="252"/>
      <c r="P153" s="252"/>
      <c r="Q153" s="252"/>
      <c r="R153" s="233">
        <f t="shared" si="154"/>
        <v>0</v>
      </c>
    </row>
    <row r="154" spans="1:18" s="6" customFormat="1" ht="36" hidden="1" customHeight="1">
      <c r="A154" s="134">
        <v>9142</v>
      </c>
      <c r="B154" s="172" t="s">
        <v>191</v>
      </c>
      <c r="C154" s="180"/>
      <c r="D154" s="180">
        <v>0</v>
      </c>
      <c r="E154" s="252"/>
      <c r="F154" s="252"/>
      <c r="G154" s="252"/>
      <c r="H154" s="233">
        <f t="shared" si="152"/>
        <v>0</v>
      </c>
      <c r="I154" s="252">
        <v>0</v>
      </c>
      <c r="J154" s="252"/>
      <c r="K154" s="252"/>
      <c r="L154" s="252"/>
      <c r="M154" s="233">
        <f t="shared" si="153"/>
        <v>0</v>
      </c>
      <c r="N154" s="252">
        <v>0</v>
      </c>
      <c r="O154" s="252"/>
      <c r="P154" s="252"/>
      <c r="Q154" s="252"/>
      <c r="R154" s="233">
        <f t="shared" si="154"/>
        <v>0</v>
      </c>
    </row>
    <row r="155" spans="1:18" s="6" customFormat="1" ht="24" hidden="1" customHeight="1">
      <c r="A155" s="134">
        <v>9149</v>
      </c>
      <c r="B155" s="172" t="s">
        <v>192</v>
      </c>
      <c r="C155" s="180"/>
      <c r="D155" s="180">
        <v>0</v>
      </c>
      <c r="E155" s="252"/>
      <c r="F155" s="252"/>
      <c r="G155" s="252"/>
      <c r="H155" s="233">
        <f t="shared" si="152"/>
        <v>0</v>
      </c>
      <c r="I155" s="252">
        <v>0</v>
      </c>
      <c r="J155" s="252"/>
      <c r="K155" s="252"/>
      <c r="L155" s="252"/>
      <c r="M155" s="233">
        <f t="shared" si="153"/>
        <v>0</v>
      </c>
      <c r="N155" s="252">
        <v>0</v>
      </c>
      <c r="O155" s="252"/>
      <c r="P155" s="252"/>
      <c r="Q155" s="252"/>
      <c r="R155" s="233">
        <f t="shared" si="154"/>
        <v>0</v>
      </c>
    </row>
    <row r="156" spans="1:18" s="6" customFormat="1" ht="24" hidden="1" customHeight="1">
      <c r="A156" s="141">
        <v>9500</v>
      </c>
      <c r="B156" s="172" t="s">
        <v>165</v>
      </c>
      <c r="C156" s="171">
        <v>0</v>
      </c>
      <c r="D156" s="171">
        <v>0</v>
      </c>
      <c r="E156" s="233">
        <f t="shared" ref="E156:G156" si="174">SUM(E157:E159)</f>
        <v>0</v>
      </c>
      <c r="F156" s="233">
        <f t="shared" si="174"/>
        <v>0</v>
      </c>
      <c r="G156" s="233">
        <f t="shared" si="174"/>
        <v>0</v>
      </c>
      <c r="H156" s="233">
        <f t="shared" si="152"/>
        <v>0</v>
      </c>
      <c r="I156" s="233">
        <v>0</v>
      </c>
      <c r="J156" s="233">
        <f t="shared" ref="J156:L156" si="175">SUM(J157:J159)</f>
        <v>0</v>
      </c>
      <c r="K156" s="233">
        <f t="shared" si="175"/>
        <v>0</v>
      </c>
      <c r="L156" s="233">
        <f t="shared" si="175"/>
        <v>0</v>
      </c>
      <c r="M156" s="233">
        <f t="shared" si="153"/>
        <v>0</v>
      </c>
      <c r="N156" s="233">
        <v>0</v>
      </c>
      <c r="O156" s="233">
        <f t="shared" ref="O156:Q156" si="176">SUM(O157:O159)</f>
        <v>0</v>
      </c>
      <c r="P156" s="233">
        <f t="shared" si="176"/>
        <v>0</v>
      </c>
      <c r="Q156" s="233">
        <f t="shared" si="176"/>
        <v>0</v>
      </c>
      <c r="R156" s="233">
        <f t="shared" si="154"/>
        <v>0</v>
      </c>
    </row>
    <row r="157" spans="1:18" s="6" customFormat="1" ht="24" hidden="1" customHeight="1">
      <c r="A157" s="133" t="s">
        <v>193</v>
      </c>
      <c r="B157" s="172" t="s">
        <v>171</v>
      </c>
      <c r="C157" s="171"/>
      <c r="D157" s="171">
        <v>0</v>
      </c>
      <c r="E157" s="233"/>
      <c r="F157" s="233"/>
      <c r="G157" s="233"/>
      <c r="H157" s="233">
        <f t="shared" si="152"/>
        <v>0</v>
      </c>
      <c r="I157" s="233">
        <v>0</v>
      </c>
      <c r="J157" s="233"/>
      <c r="K157" s="233"/>
      <c r="L157" s="233"/>
      <c r="M157" s="233">
        <f t="shared" si="153"/>
        <v>0</v>
      </c>
      <c r="N157" s="233">
        <v>0</v>
      </c>
      <c r="O157" s="233"/>
      <c r="P157" s="233"/>
      <c r="Q157" s="233"/>
      <c r="R157" s="233">
        <f t="shared" si="154"/>
        <v>0</v>
      </c>
    </row>
    <row r="158" spans="1:18" s="6" customFormat="1" ht="48" hidden="1" customHeight="1">
      <c r="A158" s="133">
        <v>9580</v>
      </c>
      <c r="B158" s="172" t="s">
        <v>166</v>
      </c>
      <c r="C158" s="180"/>
      <c r="D158" s="180">
        <v>0</v>
      </c>
      <c r="E158" s="252"/>
      <c r="F158" s="252"/>
      <c r="G158" s="252"/>
      <c r="H158" s="233">
        <f t="shared" si="152"/>
        <v>0</v>
      </c>
      <c r="I158" s="252">
        <v>0</v>
      </c>
      <c r="J158" s="252"/>
      <c r="K158" s="252"/>
      <c r="L158" s="252"/>
      <c r="M158" s="233">
        <f t="shared" si="153"/>
        <v>0</v>
      </c>
      <c r="N158" s="252">
        <v>0</v>
      </c>
      <c r="O158" s="252"/>
      <c r="P158" s="252"/>
      <c r="Q158" s="252"/>
      <c r="R158" s="233">
        <f t="shared" si="154"/>
        <v>0</v>
      </c>
    </row>
    <row r="159" spans="1:18" s="6" customFormat="1" ht="48" hidden="1" customHeight="1">
      <c r="A159" s="133">
        <v>9590</v>
      </c>
      <c r="B159" s="179" t="s">
        <v>172</v>
      </c>
      <c r="C159" s="180"/>
      <c r="D159" s="180">
        <v>0</v>
      </c>
      <c r="E159" s="252"/>
      <c r="F159" s="252"/>
      <c r="G159" s="252"/>
      <c r="H159" s="233">
        <f t="shared" si="152"/>
        <v>0</v>
      </c>
      <c r="I159" s="252">
        <v>0</v>
      </c>
      <c r="J159" s="252"/>
      <c r="K159" s="252"/>
      <c r="L159" s="252"/>
      <c r="M159" s="233">
        <f t="shared" si="153"/>
        <v>0</v>
      </c>
      <c r="N159" s="252">
        <v>0</v>
      </c>
      <c r="O159" s="252"/>
      <c r="P159" s="252"/>
      <c r="Q159" s="252"/>
      <c r="R159" s="233">
        <f t="shared" si="154"/>
        <v>0</v>
      </c>
    </row>
    <row r="160" spans="1:18" s="6" customFormat="1" ht="24" hidden="1" customHeight="1">
      <c r="A160" s="141">
        <v>9700</v>
      </c>
      <c r="B160" s="183" t="s">
        <v>194</v>
      </c>
      <c r="C160" s="171">
        <v>0</v>
      </c>
      <c r="D160" s="171">
        <v>0</v>
      </c>
      <c r="E160" s="233">
        <f t="shared" ref="E160:G160" si="177">SUM(E161:E162)</f>
        <v>0</v>
      </c>
      <c r="F160" s="233">
        <f t="shared" si="177"/>
        <v>0</v>
      </c>
      <c r="G160" s="233">
        <f t="shared" si="177"/>
        <v>0</v>
      </c>
      <c r="H160" s="233">
        <f t="shared" si="152"/>
        <v>0</v>
      </c>
      <c r="I160" s="233">
        <v>0</v>
      </c>
      <c r="J160" s="233">
        <f t="shared" ref="J160:L160" si="178">SUM(J161:J162)</f>
        <v>0</v>
      </c>
      <c r="K160" s="233">
        <f t="shared" si="178"/>
        <v>0</v>
      </c>
      <c r="L160" s="233">
        <f t="shared" si="178"/>
        <v>0</v>
      </c>
      <c r="M160" s="233">
        <f t="shared" si="153"/>
        <v>0</v>
      </c>
      <c r="N160" s="233">
        <v>0</v>
      </c>
      <c r="O160" s="233">
        <f t="shared" ref="O160:Q160" si="179">SUM(O161:O162)</f>
        <v>0</v>
      </c>
      <c r="P160" s="233">
        <f t="shared" si="179"/>
        <v>0</v>
      </c>
      <c r="Q160" s="233">
        <f t="shared" si="179"/>
        <v>0</v>
      </c>
      <c r="R160" s="233">
        <f t="shared" si="154"/>
        <v>0</v>
      </c>
    </row>
    <row r="161" spans="1:18" s="6" customFormat="1" ht="24" hidden="1" customHeight="1">
      <c r="A161" s="133">
        <v>9710</v>
      </c>
      <c r="B161" s="184" t="s">
        <v>195</v>
      </c>
      <c r="C161" s="180"/>
      <c r="D161" s="180">
        <v>0</v>
      </c>
      <c r="E161" s="252"/>
      <c r="F161" s="252"/>
      <c r="G161" s="252"/>
      <c r="H161" s="233">
        <f t="shared" si="152"/>
        <v>0</v>
      </c>
      <c r="I161" s="252">
        <v>0</v>
      </c>
      <c r="J161" s="252"/>
      <c r="K161" s="252"/>
      <c r="L161" s="252"/>
      <c r="M161" s="233">
        <f t="shared" si="153"/>
        <v>0</v>
      </c>
      <c r="N161" s="252">
        <v>0</v>
      </c>
      <c r="O161" s="252"/>
      <c r="P161" s="252"/>
      <c r="Q161" s="252"/>
      <c r="R161" s="233">
        <f t="shared" si="154"/>
        <v>0</v>
      </c>
    </row>
    <row r="162" spans="1:18" s="6" customFormat="1" ht="48" hidden="1" customHeight="1">
      <c r="A162" s="142">
        <v>9720</v>
      </c>
      <c r="B162" s="183" t="s">
        <v>196</v>
      </c>
      <c r="C162" s="180"/>
      <c r="D162" s="180">
        <v>0</v>
      </c>
      <c r="E162" s="252"/>
      <c r="F162" s="252"/>
      <c r="G162" s="252"/>
      <c r="H162" s="233">
        <f t="shared" si="152"/>
        <v>0</v>
      </c>
      <c r="I162" s="252">
        <v>0</v>
      </c>
      <c r="J162" s="252"/>
      <c r="K162" s="252"/>
      <c r="L162" s="252"/>
      <c r="M162" s="233">
        <f t="shared" si="153"/>
        <v>0</v>
      </c>
      <c r="N162" s="252">
        <v>0</v>
      </c>
      <c r="O162" s="252"/>
      <c r="P162" s="252"/>
      <c r="Q162" s="252"/>
      <c r="R162" s="233">
        <f t="shared" si="154"/>
        <v>0</v>
      </c>
    </row>
    <row r="163" spans="1:18" s="6" customFormat="1" ht="24" hidden="1" customHeight="1">
      <c r="A163" s="141">
        <v>9600</v>
      </c>
      <c r="B163" s="179" t="s">
        <v>134</v>
      </c>
      <c r="C163" s="180"/>
      <c r="D163" s="180">
        <v>0</v>
      </c>
      <c r="E163" s="252"/>
      <c r="F163" s="252"/>
      <c r="G163" s="252"/>
      <c r="H163" s="233">
        <f t="shared" si="152"/>
        <v>0</v>
      </c>
      <c r="I163" s="252">
        <v>0</v>
      </c>
      <c r="J163" s="252"/>
      <c r="K163" s="252"/>
      <c r="L163" s="252"/>
      <c r="M163" s="233">
        <f t="shared" si="153"/>
        <v>0</v>
      </c>
      <c r="N163" s="252">
        <v>0</v>
      </c>
      <c r="O163" s="252"/>
      <c r="P163" s="252"/>
      <c r="Q163" s="252"/>
      <c r="R163" s="233">
        <f t="shared" si="154"/>
        <v>0</v>
      </c>
    </row>
    <row r="164" spans="1:18" s="6" customFormat="1" ht="52.5" hidden="1" customHeight="1">
      <c r="A164" s="130" t="s">
        <v>197</v>
      </c>
      <c r="B164" s="185" t="s">
        <v>47</v>
      </c>
      <c r="C164" s="186"/>
      <c r="D164" s="186">
        <v>0</v>
      </c>
      <c r="E164" s="262">
        <f t="shared" ref="E164:G164" si="180">E94-E119</f>
        <v>0</v>
      </c>
      <c r="F164" s="262">
        <f t="shared" si="180"/>
        <v>0</v>
      </c>
      <c r="G164" s="262">
        <f t="shared" si="180"/>
        <v>0</v>
      </c>
      <c r="H164" s="233">
        <f t="shared" si="152"/>
        <v>0</v>
      </c>
      <c r="I164" s="262">
        <v>0</v>
      </c>
      <c r="J164" s="262">
        <f t="shared" ref="J164:L164" si="181">J94-J119</f>
        <v>0</v>
      </c>
      <c r="K164" s="262">
        <f t="shared" si="181"/>
        <v>0</v>
      </c>
      <c r="L164" s="262">
        <f t="shared" si="181"/>
        <v>0</v>
      </c>
      <c r="M164" s="233">
        <f t="shared" si="153"/>
        <v>0</v>
      </c>
      <c r="N164" s="262">
        <v>0</v>
      </c>
      <c r="O164" s="262">
        <f t="shared" ref="O164:Q164" si="182">O94-O119</f>
        <v>0</v>
      </c>
      <c r="P164" s="262">
        <f t="shared" si="182"/>
        <v>0</v>
      </c>
      <c r="Q164" s="262">
        <f t="shared" si="182"/>
        <v>0</v>
      </c>
      <c r="R164" s="233">
        <f t="shared" si="154"/>
        <v>0</v>
      </c>
    </row>
    <row r="165" spans="1:18" s="6" customFormat="1" ht="12" hidden="1" customHeight="1">
      <c r="A165" s="143" t="s">
        <v>48</v>
      </c>
      <c r="B165" s="185" t="s">
        <v>49</v>
      </c>
      <c r="C165" s="186">
        <v>0</v>
      </c>
      <c r="D165" s="186">
        <v>0</v>
      </c>
      <c r="E165" s="262">
        <f t="shared" ref="E165:G165" si="183">E166+E169+E173+E172</f>
        <v>0</v>
      </c>
      <c r="F165" s="262">
        <f t="shared" si="183"/>
        <v>0</v>
      </c>
      <c r="G165" s="262">
        <f t="shared" si="183"/>
        <v>0</v>
      </c>
      <c r="H165" s="233">
        <f t="shared" si="152"/>
        <v>0</v>
      </c>
      <c r="I165" s="262">
        <v>0</v>
      </c>
      <c r="J165" s="262">
        <f t="shared" ref="J165:L165" si="184">J166+J169+J173+J172</f>
        <v>0</v>
      </c>
      <c r="K165" s="262">
        <f t="shared" si="184"/>
        <v>0</v>
      </c>
      <c r="L165" s="262">
        <f t="shared" si="184"/>
        <v>0</v>
      </c>
      <c r="M165" s="233">
        <f t="shared" si="153"/>
        <v>0</v>
      </c>
      <c r="N165" s="262">
        <v>0</v>
      </c>
      <c r="O165" s="262">
        <f t="shared" ref="O165:Q165" si="185">O166+O169+O173+O172</f>
        <v>0</v>
      </c>
      <c r="P165" s="262">
        <f t="shared" si="185"/>
        <v>0</v>
      </c>
      <c r="Q165" s="262">
        <f t="shared" si="185"/>
        <v>0</v>
      </c>
      <c r="R165" s="233">
        <f t="shared" si="154"/>
        <v>0</v>
      </c>
    </row>
    <row r="166" spans="1:18" s="6" customFormat="1" ht="12" hidden="1" customHeight="1">
      <c r="A166" s="141" t="s">
        <v>50</v>
      </c>
      <c r="B166" s="179" t="s">
        <v>51</v>
      </c>
      <c r="C166" s="169">
        <v>0</v>
      </c>
      <c r="D166" s="169">
        <v>0</v>
      </c>
      <c r="E166" s="231">
        <f t="shared" ref="E166:G166" si="186">E167+E168</f>
        <v>0</v>
      </c>
      <c r="F166" s="231">
        <f t="shared" si="186"/>
        <v>0</v>
      </c>
      <c r="G166" s="231">
        <f t="shared" si="186"/>
        <v>0</v>
      </c>
      <c r="H166" s="233">
        <f t="shared" si="152"/>
        <v>0</v>
      </c>
      <c r="I166" s="231">
        <v>0</v>
      </c>
      <c r="J166" s="231">
        <f t="shared" ref="J166:L166" si="187">J167+J168</f>
        <v>0</v>
      </c>
      <c r="K166" s="231">
        <f t="shared" si="187"/>
        <v>0</v>
      </c>
      <c r="L166" s="231">
        <f t="shared" si="187"/>
        <v>0</v>
      </c>
      <c r="M166" s="233">
        <f t="shared" si="153"/>
        <v>0</v>
      </c>
      <c r="N166" s="231">
        <v>0</v>
      </c>
      <c r="O166" s="231">
        <f t="shared" ref="O166:Q166" si="188">O167+O168</f>
        <v>0</v>
      </c>
      <c r="P166" s="231">
        <f t="shared" si="188"/>
        <v>0</v>
      </c>
      <c r="Q166" s="231">
        <f t="shared" si="188"/>
        <v>0</v>
      </c>
      <c r="R166" s="233">
        <f t="shared" si="154"/>
        <v>0</v>
      </c>
    </row>
    <row r="167" spans="1:18" s="6" customFormat="1" ht="12" hidden="1" customHeight="1">
      <c r="A167" s="141" t="s">
        <v>52</v>
      </c>
      <c r="B167" s="179" t="s">
        <v>53</v>
      </c>
      <c r="C167" s="169"/>
      <c r="D167" s="169">
        <v>0</v>
      </c>
      <c r="E167" s="231"/>
      <c r="F167" s="231"/>
      <c r="G167" s="231"/>
      <c r="H167" s="233">
        <f t="shared" si="152"/>
        <v>0</v>
      </c>
      <c r="I167" s="231">
        <v>0</v>
      </c>
      <c r="J167" s="231"/>
      <c r="K167" s="231"/>
      <c r="L167" s="231"/>
      <c r="M167" s="233">
        <f t="shared" si="153"/>
        <v>0</v>
      </c>
      <c r="N167" s="231">
        <v>0</v>
      </c>
      <c r="O167" s="231"/>
      <c r="P167" s="231"/>
      <c r="Q167" s="231"/>
      <c r="R167" s="233">
        <f t="shared" si="154"/>
        <v>0</v>
      </c>
    </row>
    <row r="168" spans="1:18" s="6" customFormat="1" ht="12" hidden="1" customHeight="1">
      <c r="A168" s="141" t="s">
        <v>54</v>
      </c>
      <c r="B168" s="179" t="s">
        <v>55</v>
      </c>
      <c r="C168" s="169"/>
      <c r="D168" s="169">
        <v>0</v>
      </c>
      <c r="E168" s="231"/>
      <c r="F168" s="231"/>
      <c r="G168" s="231"/>
      <c r="H168" s="233">
        <f t="shared" si="152"/>
        <v>0</v>
      </c>
      <c r="I168" s="231">
        <v>0</v>
      </c>
      <c r="J168" s="231"/>
      <c r="K168" s="231"/>
      <c r="L168" s="231"/>
      <c r="M168" s="233">
        <f t="shared" si="153"/>
        <v>0</v>
      </c>
      <c r="N168" s="231">
        <v>0</v>
      </c>
      <c r="O168" s="231"/>
      <c r="P168" s="231"/>
      <c r="Q168" s="231"/>
      <c r="R168" s="233">
        <f t="shared" si="154"/>
        <v>0</v>
      </c>
    </row>
    <row r="169" spans="1:18" s="6" customFormat="1" ht="12" hidden="1" customHeight="1">
      <c r="A169" s="141" t="s">
        <v>56</v>
      </c>
      <c r="B169" s="179" t="s">
        <v>57</v>
      </c>
      <c r="C169" s="169">
        <v>0</v>
      </c>
      <c r="D169" s="169">
        <v>0</v>
      </c>
      <c r="E169" s="231">
        <f t="shared" ref="E169:G169" si="189">E170+E171</f>
        <v>0</v>
      </c>
      <c r="F169" s="231">
        <f t="shared" si="189"/>
        <v>0</v>
      </c>
      <c r="G169" s="231">
        <f t="shared" si="189"/>
        <v>0</v>
      </c>
      <c r="H169" s="233">
        <f t="shared" si="152"/>
        <v>0</v>
      </c>
      <c r="I169" s="231">
        <v>0</v>
      </c>
      <c r="J169" s="231">
        <f t="shared" ref="J169:L169" si="190">J170+J171</f>
        <v>0</v>
      </c>
      <c r="K169" s="231">
        <f t="shared" si="190"/>
        <v>0</v>
      </c>
      <c r="L169" s="231">
        <f t="shared" si="190"/>
        <v>0</v>
      </c>
      <c r="M169" s="233">
        <f t="shared" si="153"/>
        <v>0</v>
      </c>
      <c r="N169" s="231">
        <v>0</v>
      </c>
      <c r="O169" s="231">
        <f t="shared" ref="O169:Q169" si="191">O170+O171</f>
        <v>0</v>
      </c>
      <c r="P169" s="231">
        <f t="shared" si="191"/>
        <v>0</v>
      </c>
      <c r="Q169" s="231">
        <f t="shared" si="191"/>
        <v>0</v>
      </c>
      <c r="R169" s="233">
        <f t="shared" si="154"/>
        <v>0</v>
      </c>
    </row>
    <row r="170" spans="1:18" s="6" customFormat="1" ht="12" hidden="1" customHeight="1">
      <c r="A170" s="141" t="s">
        <v>58</v>
      </c>
      <c r="B170" s="179" t="s">
        <v>59</v>
      </c>
      <c r="C170" s="169"/>
      <c r="D170" s="169">
        <v>0</v>
      </c>
      <c r="E170" s="231"/>
      <c r="F170" s="231"/>
      <c r="G170" s="231"/>
      <c r="H170" s="233">
        <f t="shared" si="152"/>
        <v>0</v>
      </c>
      <c r="I170" s="231">
        <v>0</v>
      </c>
      <c r="J170" s="231"/>
      <c r="K170" s="231"/>
      <c r="L170" s="231"/>
      <c r="M170" s="233">
        <f t="shared" si="153"/>
        <v>0</v>
      </c>
      <c r="N170" s="231">
        <v>0</v>
      </c>
      <c r="O170" s="231"/>
      <c r="P170" s="231"/>
      <c r="Q170" s="231"/>
      <c r="R170" s="233">
        <f t="shared" si="154"/>
        <v>0</v>
      </c>
    </row>
    <row r="171" spans="1:18" s="6" customFormat="1" ht="12" hidden="1" customHeight="1">
      <c r="A171" s="141" t="s">
        <v>60</v>
      </c>
      <c r="B171" s="179" t="s">
        <v>61</v>
      </c>
      <c r="C171" s="169"/>
      <c r="D171" s="169">
        <v>0</v>
      </c>
      <c r="E171" s="231"/>
      <c r="F171" s="231"/>
      <c r="G171" s="231"/>
      <c r="H171" s="233">
        <f t="shared" si="152"/>
        <v>0</v>
      </c>
      <c r="I171" s="231">
        <v>0</v>
      </c>
      <c r="J171" s="231"/>
      <c r="K171" s="231"/>
      <c r="L171" s="231"/>
      <c r="M171" s="233">
        <f t="shared" si="153"/>
        <v>0</v>
      </c>
      <c r="N171" s="231">
        <v>0</v>
      </c>
      <c r="O171" s="231"/>
      <c r="P171" s="231"/>
      <c r="Q171" s="231"/>
      <c r="R171" s="233">
        <f t="shared" si="154"/>
        <v>0</v>
      </c>
    </row>
    <row r="172" spans="1:18" s="6" customFormat="1" ht="12" hidden="1" customHeight="1">
      <c r="A172" s="141" t="s">
        <v>198</v>
      </c>
      <c r="B172" s="187" t="s">
        <v>168</v>
      </c>
      <c r="C172" s="169"/>
      <c r="D172" s="169">
        <v>0</v>
      </c>
      <c r="E172" s="231"/>
      <c r="F172" s="231"/>
      <c r="G172" s="231"/>
      <c r="H172" s="233">
        <f t="shared" si="152"/>
        <v>0</v>
      </c>
      <c r="I172" s="231">
        <v>0</v>
      </c>
      <c r="J172" s="231"/>
      <c r="K172" s="231"/>
      <c r="L172" s="231"/>
      <c r="M172" s="233">
        <f t="shared" si="153"/>
        <v>0</v>
      </c>
      <c r="N172" s="231">
        <v>0</v>
      </c>
      <c r="O172" s="231"/>
      <c r="P172" s="231"/>
      <c r="Q172" s="231"/>
      <c r="R172" s="233">
        <f t="shared" si="154"/>
        <v>0</v>
      </c>
    </row>
    <row r="173" spans="1:18" s="6" customFormat="1" ht="12" hidden="1" customHeight="1">
      <c r="A173" s="144" t="s">
        <v>62</v>
      </c>
      <c r="B173" s="125" t="s">
        <v>63</v>
      </c>
      <c r="C173" s="171">
        <v>0</v>
      </c>
      <c r="D173" s="171">
        <v>0</v>
      </c>
      <c r="E173" s="233">
        <f t="shared" ref="E173:G173" si="192">E174+E175+E176</f>
        <v>0</v>
      </c>
      <c r="F173" s="233">
        <f t="shared" si="192"/>
        <v>0</v>
      </c>
      <c r="G173" s="233">
        <f t="shared" si="192"/>
        <v>0</v>
      </c>
      <c r="H173" s="233">
        <f t="shared" si="152"/>
        <v>0</v>
      </c>
      <c r="I173" s="233">
        <v>0</v>
      </c>
      <c r="J173" s="233">
        <f t="shared" ref="J173:L173" si="193">J174+J175+J176</f>
        <v>0</v>
      </c>
      <c r="K173" s="233">
        <f t="shared" si="193"/>
        <v>0</v>
      </c>
      <c r="L173" s="233">
        <f t="shared" si="193"/>
        <v>0</v>
      </c>
      <c r="M173" s="233">
        <f t="shared" si="153"/>
        <v>0</v>
      </c>
      <c r="N173" s="233">
        <v>0</v>
      </c>
      <c r="O173" s="233">
        <f t="shared" ref="O173:Q173" si="194">O174+O175+O176</f>
        <v>0</v>
      </c>
      <c r="P173" s="233">
        <f t="shared" si="194"/>
        <v>0</v>
      </c>
      <c r="Q173" s="233">
        <f t="shared" si="194"/>
        <v>0</v>
      </c>
      <c r="R173" s="233">
        <f t="shared" si="154"/>
        <v>0</v>
      </c>
    </row>
    <row r="174" spans="1:18" s="6" customFormat="1" ht="36" hidden="1" customHeight="1">
      <c r="A174" s="144" t="s">
        <v>64</v>
      </c>
      <c r="B174" s="179" t="s">
        <v>65</v>
      </c>
      <c r="C174" s="169"/>
      <c r="D174" s="169">
        <v>0</v>
      </c>
      <c r="E174" s="231"/>
      <c r="F174" s="231"/>
      <c r="G174" s="231"/>
      <c r="H174" s="233">
        <f t="shared" si="152"/>
        <v>0</v>
      </c>
      <c r="I174" s="231">
        <v>0</v>
      </c>
      <c r="J174" s="231"/>
      <c r="K174" s="231"/>
      <c r="L174" s="231"/>
      <c r="M174" s="233">
        <f t="shared" si="153"/>
        <v>0</v>
      </c>
      <c r="N174" s="231">
        <v>0</v>
      </c>
      <c r="O174" s="231"/>
      <c r="P174" s="231"/>
      <c r="Q174" s="231"/>
      <c r="R174" s="233">
        <f t="shared" si="154"/>
        <v>0</v>
      </c>
    </row>
    <row r="175" spans="1:18" s="6" customFormat="1" ht="24" hidden="1" customHeight="1">
      <c r="A175" s="144" t="s">
        <v>66</v>
      </c>
      <c r="B175" s="179" t="s">
        <v>67</v>
      </c>
      <c r="C175" s="169"/>
      <c r="D175" s="169">
        <v>0</v>
      </c>
      <c r="E175" s="231"/>
      <c r="F175" s="231"/>
      <c r="G175" s="231"/>
      <c r="H175" s="233">
        <f t="shared" si="152"/>
        <v>0</v>
      </c>
      <c r="I175" s="231">
        <v>0</v>
      </c>
      <c r="J175" s="231"/>
      <c r="K175" s="231"/>
      <c r="L175" s="231"/>
      <c r="M175" s="233">
        <f t="shared" si="153"/>
        <v>0</v>
      </c>
      <c r="N175" s="231">
        <v>0</v>
      </c>
      <c r="O175" s="231"/>
      <c r="P175" s="231"/>
      <c r="Q175" s="231"/>
      <c r="R175" s="233">
        <f t="shared" si="154"/>
        <v>0</v>
      </c>
    </row>
    <row r="176" spans="1:18" s="6" customFormat="1" ht="24" hidden="1" customHeight="1">
      <c r="A176" s="144" t="s">
        <v>68</v>
      </c>
      <c r="B176" s="125" t="s">
        <v>69</v>
      </c>
      <c r="C176" s="169"/>
      <c r="D176" s="169">
        <v>0</v>
      </c>
      <c r="E176" s="231"/>
      <c r="F176" s="231"/>
      <c r="G176" s="231"/>
      <c r="H176" s="233">
        <f t="shared" si="152"/>
        <v>0</v>
      </c>
      <c r="I176" s="231">
        <v>0</v>
      </c>
      <c r="J176" s="231"/>
      <c r="K176" s="231"/>
      <c r="L176" s="231"/>
      <c r="M176" s="233">
        <f t="shared" si="153"/>
        <v>0</v>
      </c>
      <c r="N176" s="231">
        <v>0</v>
      </c>
      <c r="O176" s="231"/>
      <c r="P176" s="231"/>
      <c r="Q176" s="231"/>
      <c r="R176" s="233">
        <f t="shared" si="154"/>
        <v>0</v>
      </c>
    </row>
    <row r="177" spans="1:18" s="6" customFormat="1" ht="34.200000000000003">
      <c r="A177" s="145"/>
      <c r="B177" s="188" t="s">
        <v>200</v>
      </c>
      <c r="C177" s="293"/>
      <c r="D177" s="294">
        <v>0</v>
      </c>
      <c r="E177" s="347"/>
      <c r="F177" s="347"/>
      <c r="G177" s="347"/>
      <c r="H177" s="347">
        <f t="shared" si="152"/>
        <v>0</v>
      </c>
      <c r="I177" s="347">
        <v>0</v>
      </c>
      <c r="J177" s="347"/>
      <c r="K177" s="347"/>
      <c r="L177" s="347"/>
      <c r="M177" s="347">
        <f t="shared" si="153"/>
        <v>0</v>
      </c>
      <c r="N177" s="347">
        <v>0</v>
      </c>
      <c r="O177" s="347"/>
      <c r="P177" s="347"/>
      <c r="Q177" s="347"/>
      <c r="R177" s="347">
        <f t="shared" si="154"/>
        <v>0</v>
      </c>
    </row>
    <row r="178" spans="1:18" s="6" customFormat="1" ht="20.399999999999999">
      <c r="A178" s="129" t="s">
        <v>201</v>
      </c>
      <c r="B178" s="123" t="s">
        <v>88</v>
      </c>
      <c r="C178" s="167">
        <v>9052869</v>
      </c>
      <c r="D178" s="167">
        <v>3074862</v>
      </c>
      <c r="E178" s="228">
        <f t="shared" ref="E178:G178" si="195">E179+E180+E182+E200</f>
        <v>54307</v>
      </c>
      <c r="F178" s="228">
        <f t="shared" si="195"/>
        <v>0</v>
      </c>
      <c r="G178" s="228">
        <f t="shared" si="195"/>
        <v>0</v>
      </c>
      <c r="H178" s="243">
        <f t="shared" si="152"/>
        <v>3129169</v>
      </c>
      <c r="I178" s="228">
        <v>3119411</v>
      </c>
      <c r="J178" s="228">
        <f t="shared" ref="J178:L178" si="196">J179+J180+J182+J200</f>
        <v>51708</v>
      </c>
      <c r="K178" s="228">
        <f t="shared" si="196"/>
        <v>0</v>
      </c>
      <c r="L178" s="228">
        <f t="shared" si="196"/>
        <v>0</v>
      </c>
      <c r="M178" s="243">
        <f t="shared" si="153"/>
        <v>3171119</v>
      </c>
      <c r="N178" s="228">
        <v>2043083</v>
      </c>
      <c r="O178" s="228">
        <f t="shared" ref="O178:Q178" si="197">O179+O180+O182+O200</f>
        <v>8256</v>
      </c>
      <c r="P178" s="228">
        <f t="shared" si="197"/>
        <v>0</v>
      </c>
      <c r="Q178" s="228">
        <f t="shared" si="197"/>
        <v>0</v>
      </c>
      <c r="R178" s="243">
        <f t="shared" si="154"/>
        <v>2051339</v>
      </c>
    </row>
    <row r="179" spans="1:18" s="6" customFormat="1" ht="24" hidden="1" customHeight="1">
      <c r="A179" s="130" t="s">
        <v>177</v>
      </c>
      <c r="B179" s="124" t="s">
        <v>90</v>
      </c>
      <c r="C179" s="169">
        <v>0</v>
      </c>
      <c r="D179" s="169">
        <v>0</v>
      </c>
      <c r="E179" s="231"/>
      <c r="F179" s="231"/>
      <c r="G179" s="231"/>
      <c r="H179" s="233">
        <f t="shared" si="152"/>
        <v>0</v>
      </c>
      <c r="I179" s="231">
        <v>0</v>
      </c>
      <c r="J179" s="231"/>
      <c r="K179" s="231"/>
      <c r="L179" s="231"/>
      <c r="M179" s="233">
        <f t="shared" si="153"/>
        <v>0</v>
      </c>
      <c r="N179" s="231">
        <v>0</v>
      </c>
      <c r="O179" s="231"/>
      <c r="P179" s="231"/>
      <c r="Q179" s="231"/>
      <c r="R179" s="233">
        <f t="shared" si="154"/>
        <v>0</v>
      </c>
    </row>
    <row r="180" spans="1:18" s="6" customFormat="1" ht="12">
      <c r="A180" s="130" t="s">
        <v>91</v>
      </c>
      <c r="B180" s="124" t="s">
        <v>92</v>
      </c>
      <c r="C180" s="169">
        <v>689425</v>
      </c>
      <c r="D180" s="169">
        <v>1011977</v>
      </c>
      <c r="E180" s="231">
        <v>42714</v>
      </c>
      <c r="F180" s="231"/>
      <c r="G180" s="231"/>
      <c r="H180" s="233">
        <f t="shared" si="152"/>
        <v>1054691</v>
      </c>
      <c r="I180" s="231">
        <v>972706</v>
      </c>
      <c r="J180" s="231">
        <v>41282</v>
      </c>
      <c r="K180" s="231"/>
      <c r="L180" s="231"/>
      <c r="M180" s="233">
        <f t="shared" si="153"/>
        <v>1013988</v>
      </c>
      <c r="N180" s="231">
        <v>824916</v>
      </c>
      <c r="O180" s="231">
        <v>8256</v>
      </c>
      <c r="P180" s="231"/>
      <c r="Q180" s="231"/>
      <c r="R180" s="233">
        <f t="shared" si="154"/>
        <v>833172</v>
      </c>
    </row>
    <row r="181" spans="1:18" s="29" customFormat="1" ht="24">
      <c r="A181" s="131">
        <v>21210</v>
      </c>
      <c r="B181" s="125" t="s">
        <v>93</v>
      </c>
      <c r="C181" s="169">
        <v>678314</v>
      </c>
      <c r="D181" s="169">
        <v>960842</v>
      </c>
      <c r="E181" s="231"/>
      <c r="F181" s="231"/>
      <c r="G181" s="231"/>
      <c r="H181" s="233">
        <f t="shared" si="152"/>
        <v>960842</v>
      </c>
      <c r="I181" s="231">
        <v>953449</v>
      </c>
      <c r="J181" s="231"/>
      <c r="K181" s="231"/>
      <c r="L181" s="231"/>
      <c r="M181" s="233">
        <f t="shared" si="153"/>
        <v>953449</v>
      </c>
      <c r="N181" s="231">
        <v>820062</v>
      </c>
      <c r="O181" s="231"/>
      <c r="P181" s="231"/>
      <c r="Q181" s="231"/>
      <c r="R181" s="233">
        <f t="shared" si="154"/>
        <v>820062</v>
      </c>
    </row>
    <row r="182" spans="1:18" s="89" customFormat="1" ht="20.399999999999999">
      <c r="A182" s="130" t="s">
        <v>178</v>
      </c>
      <c r="B182" s="124" t="s">
        <v>94</v>
      </c>
      <c r="C182" s="171">
        <v>341205</v>
      </c>
      <c r="D182" s="171">
        <v>213045</v>
      </c>
      <c r="E182" s="233">
        <f t="shared" ref="E182:G182" si="198">E183+E189</f>
        <v>0</v>
      </c>
      <c r="F182" s="233">
        <f t="shared" si="198"/>
        <v>0</v>
      </c>
      <c r="G182" s="233">
        <f t="shared" si="198"/>
        <v>0</v>
      </c>
      <c r="H182" s="233">
        <f t="shared" si="152"/>
        <v>213045</v>
      </c>
      <c r="I182" s="233">
        <v>0</v>
      </c>
      <c r="J182" s="233">
        <f t="shared" ref="J182:L182" si="199">J183+J189</f>
        <v>0</v>
      </c>
      <c r="K182" s="233">
        <f t="shared" si="199"/>
        <v>0</v>
      </c>
      <c r="L182" s="233">
        <f t="shared" si="199"/>
        <v>0</v>
      </c>
      <c r="M182" s="233">
        <f t="shared" si="153"/>
        <v>0</v>
      </c>
      <c r="N182" s="233">
        <v>0</v>
      </c>
      <c r="O182" s="233">
        <f t="shared" ref="O182:Q182" si="200">O183+O189</f>
        <v>0</v>
      </c>
      <c r="P182" s="233">
        <f t="shared" si="200"/>
        <v>0</v>
      </c>
      <c r="Q182" s="233">
        <f t="shared" si="200"/>
        <v>0</v>
      </c>
      <c r="R182" s="233">
        <f t="shared" si="154"/>
        <v>0</v>
      </c>
    </row>
    <row r="183" spans="1:18" s="89" customFormat="1" ht="12">
      <c r="A183" s="132">
        <v>18000</v>
      </c>
      <c r="B183" s="125" t="s">
        <v>95</v>
      </c>
      <c r="C183" s="171">
        <v>341205</v>
      </c>
      <c r="D183" s="171">
        <v>213045</v>
      </c>
      <c r="E183" s="233">
        <f t="shared" ref="E183:L184" si="201">E184</f>
        <v>0</v>
      </c>
      <c r="F183" s="233">
        <f t="shared" si="201"/>
        <v>0</v>
      </c>
      <c r="G183" s="233">
        <f t="shared" si="201"/>
        <v>0</v>
      </c>
      <c r="H183" s="233">
        <f t="shared" si="152"/>
        <v>213045</v>
      </c>
      <c r="I183" s="233">
        <v>0</v>
      </c>
      <c r="J183" s="233">
        <f t="shared" si="201"/>
        <v>0</v>
      </c>
      <c r="K183" s="233">
        <f t="shared" si="201"/>
        <v>0</v>
      </c>
      <c r="L183" s="233">
        <f t="shared" si="201"/>
        <v>0</v>
      </c>
      <c r="M183" s="233">
        <f t="shared" si="153"/>
        <v>0</v>
      </c>
      <c r="N183" s="233">
        <v>0</v>
      </c>
      <c r="O183" s="233">
        <f t="shared" ref="O183:Q184" si="202">O184</f>
        <v>0</v>
      </c>
      <c r="P183" s="233">
        <f t="shared" si="202"/>
        <v>0</v>
      </c>
      <c r="Q183" s="233">
        <f t="shared" si="202"/>
        <v>0</v>
      </c>
      <c r="R183" s="233">
        <f t="shared" si="154"/>
        <v>0</v>
      </c>
    </row>
    <row r="184" spans="1:18" s="89" customFormat="1" ht="12">
      <c r="A184" s="132">
        <v>18100</v>
      </c>
      <c r="B184" s="125" t="s">
        <v>96</v>
      </c>
      <c r="C184" s="171">
        <v>341205</v>
      </c>
      <c r="D184" s="171">
        <v>213045</v>
      </c>
      <c r="E184" s="233">
        <f t="shared" si="201"/>
        <v>0</v>
      </c>
      <c r="F184" s="233">
        <f t="shared" si="201"/>
        <v>0</v>
      </c>
      <c r="G184" s="233">
        <f t="shared" si="201"/>
        <v>0</v>
      </c>
      <c r="H184" s="233">
        <f t="shared" si="152"/>
        <v>213045</v>
      </c>
      <c r="I184" s="233">
        <v>0</v>
      </c>
      <c r="J184" s="233">
        <f t="shared" si="201"/>
        <v>0</v>
      </c>
      <c r="K184" s="233">
        <f t="shared" si="201"/>
        <v>0</v>
      </c>
      <c r="L184" s="233">
        <f t="shared" si="201"/>
        <v>0</v>
      </c>
      <c r="M184" s="233">
        <f t="shared" si="153"/>
        <v>0</v>
      </c>
      <c r="N184" s="233">
        <v>0</v>
      </c>
      <c r="O184" s="233">
        <f t="shared" si="202"/>
        <v>0</v>
      </c>
      <c r="P184" s="233">
        <f t="shared" si="202"/>
        <v>0</v>
      </c>
      <c r="Q184" s="233">
        <f t="shared" si="202"/>
        <v>0</v>
      </c>
      <c r="R184" s="233">
        <f t="shared" si="154"/>
        <v>0</v>
      </c>
    </row>
    <row r="185" spans="1:18" s="89" customFormat="1" ht="24">
      <c r="A185" s="133">
        <v>18130</v>
      </c>
      <c r="B185" s="172" t="s">
        <v>159</v>
      </c>
      <c r="C185" s="171">
        <v>341205</v>
      </c>
      <c r="D185" s="171">
        <v>213045</v>
      </c>
      <c r="E185" s="233">
        <f t="shared" ref="E185:G185" si="203">SUM(E186:E188)</f>
        <v>0</v>
      </c>
      <c r="F185" s="233">
        <f t="shared" ref="F185" si="204">SUM(F186:F188)</f>
        <v>0</v>
      </c>
      <c r="G185" s="233">
        <f t="shared" si="203"/>
        <v>0</v>
      </c>
      <c r="H185" s="233">
        <f t="shared" si="152"/>
        <v>213045</v>
      </c>
      <c r="I185" s="233">
        <v>0</v>
      </c>
      <c r="J185" s="233">
        <f t="shared" ref="J185:L185" si="205">SUM(J186:J188)</f>
        <v>0</v>
      </c>
      <c r="K185" s="233">
        <f t="shared" si="205"/>
        <v>0</v>
      </c>
      <c r="L185" s="233">
        <f t="shared" si="205"/>
        <v>0</v>
      </c>
      <c r="M185" s="233">
        <f t="shared" si="153"/>
        <v>0</v>
      </c>
      <c r="N185" s="233">
        <v>0</v>
      </c>
      <c r="O185" s="233">
        <f t="shared" ref="O185:Q185" si="206">SUM(O186:O188)</f>
        <v>0</v>
      </c>
      <c r="P185" s="233">
        <f t="shared" si="206"/>
        <v>0</v>
      </c>
      <c r="Q185" s="233">
        <f t="shared" si="206"/>
        <v>0</v>
      </c>
      <c r="R185" s="233">
        <f t="shared" si="154"/>
        <v>0</v>
      </c>
    </row>
    <row r="186" spans="1:18" s="89" customFormat="1" ht="24">
      <c r="A186" s="134">
        <v>18131</v>
      </c>
      <c r="B186" s="172" t="s">
        <v>160</v>
      </c>
      <c r="C186" s="171">
        <v>306482</v>
      </c>
      <c r="D186" s="171">
        <v>213045</v>
      </c>
      <c r="E186" s="233"/>
      <c r="F186" s="233"/>
      <c r="G186" s="233"/>
      <c r="H186" s="233">
        <f t="shared" si="152"/>
        <v>213045</v>
      </c>
      <c r="I186" s="233">
        <v>0</v>
      </c>
      <c r="J186" s="233"/>
      <c r="K186" s="233"/>
      <c r="L186" s="233"/>
      <c r="M186" s="233">
        <f t="shared" si="153"/>
        <v>0</v>
      </c>
      <c r="N186" s="233">
        <v>0</v>
      </c>
      <c r="O186" s="233"/>
      <c r="P186" s="233"/>
      <c r="Q186" s="233"/>
      <c r="R186" s="233">
        <f t="shared" si="154"/>
        <v>0</v>
      </c>
    </row>
    <row r="187" spans="1:18" s="89" customFormat="1" ht="24">
      <c r="A187" s="134">
        <v>18132</v>
      </c>
      <c r="B187" s="172" t="s">
        <v>169</v>
      </c>
      <c r="C187" s="171">
        <v>34723</v>
      </c>
      <c r="D187" s="171">
        <v>0</v>
      </c>
      <c r="E187" s="233"/>
      <c r="F187" s="233"/>
      <c r="G187" s="233"/>
      <c r="H187" s="233">
        <f t="shared" si="152"/>
        <v>0</v>
      </c>
      <c r="I187" s="233">
        <v>0</v>
      </c>
      <c r="J187" s="233"/>
      <c r="K187" s="233"/>
      <c r="L187" s="233"/>
      <c r="M187" s="233">
        <f t="shared" si="153"/>
        <v>0</v>
      </c>
      <c r="N187" s="233">
        <v>0</v>
      </c>
      <c r="O187" s="233"/>
      <c r="P187" s="233"/>
      <c r="Q187" s="233"/>
      <c r="R187" s="233">
        <f t="shared" si="154"/>
        <v>0</v>
      </c>
    </row>
    <row r="188" spans="1:18" s="89" customFormat="1" ht="24" hidden="1" customHeight="1">
      <c r="A188" s="134">
        <v>18139</v>
      </c>
      <c r="B188" s="172" t="s">
        <v>179</v>
      </c>
      <c r="C188" s="171">
        <v>0</v>
      </c>
      <c r="D188" s="171">
        <v>0</v>
      </c>
      <c r="E188" s="233"/>
      <c r="F188" s="233"/>
      <c r="G188" s="233"/>
      <c r="H188" s="233">
        <f t="shared" si="152"/>
        <v>0</v>
      </c>
      <c r="I188" s="233">
        <v>0</v>
      </c>
      <c r="J188" s="233"/>
      <c r="K188" s="233"/>
      <c r="L188" s="233"/>
      <c r="M188" s="233">
        <f t="shared" si="153"/>
        <v>0</v>
      </c>
      <c r="N188" s="233">
        <v>0</v>
      </c>
      <c r="O188" s="233"/>
      <c r="P188" s="233"/>
      <c r="Q188" s="233"/>
      <c r="R188" s="233">
        <f t="shared" si="154"/>
        <v>0</v>
      </c>
    </row>
    <row r="189" spans="1:18" s="89" customFormat="1" ht="12" hidden="1" customHeight="1">
      <c r="A189" s="135" t="s">
        <v>180</v>
      </c>
      <c r="B189" s="173" t="s">
        <v>173</v>
      </c>
      <c r="C189" s="174">
        <v>0</v>
      </c>
      <c r="D189" s="174">
        <v>0</v>
      </c>
      <c r="E189" s="238">
        <f t="shared" ref="E189:L189" si="207">E190</f>
        <v>0</v>
      </c>
      <c r="F189" s="238">
        <f t="shared" si="207"/>
        <v>0</v>
      </c>
      <c r="G189" s="238">
        <f t="shared" si="207"/>
        <v>0</v>
      </c>
      <c r="H189" s="233">
        <f t="shared" si="152"/>
        <v>0</v>
      </c>
      <c r="I189" s="238">
        <v>0</v>
      </c>
      <c r="J189" s="238">
        <f t="shared" si="207"/>
        <v>0</v>
      </c>
      <c r="K189" s="238">
        <f t="shared" si="207"/>
        <v>0</v>
      </c>
      <c r="L189" s="238">
        <f t="shared" si="207"/>
        <v>0</v>
      </c>
      <c r="M189" s="233">
        <f t="shared" si="153"/>
        <v>0</v>
      </c>
      <c r="N189" s="238">
        <v>0</v>
      </c>
      <c r="O189" s="238">
        <f t="shared" ref="O189:Q189" si="208">O190</f>
        <v>0</v>
      </c>
      <c r="P189" s="238">
        <f t="shared" si="208"/>
        <v>0</v>
      </c>
      <c r="Q189" s="238">
        <f t="shared" si="208"/>
        <v>0</v>
      </c>
      <c r="R189" s="233">
        <f t="shared" si="154"/>
        <v>0</v>
      </c>
    </row>
    <row r="190" spans="1:18" s="89" customFormat="1" ht="24" hidden="1" customHeight="1">
      <c r="A190" s="135">
        <v>19500</v>
      </c>
      <c r="B190" s="172" t="s">
        <v>174</v>
      </c>
      <c r="C190" s="171">
        <v>0</v>
      </c>
      <c r="D190" s="171">
        <v>0</v>
      </c>
      <c r="E190" s="233">
        <f t="shared" ref="E190:G190" si="209">SUM(E191:E193)</f>
        <v>0</v>
      </c>
      <c r="F190" s="233">
        <f t="shared" si="209"/>
        <v>0</v>
      </c>
      <c r="G190" s="233">
        <f t="shared" si="209"/>
        <v>0</v>
      </c>
      <c r="H190" s="233">
        <f t="shared" si="152"/>
        <v>0</v>
      </c>
      <c r="I190" s="233">
        <v>0</v>
      </c>
      <c r="J190" s="233">
        <f t="shared" ref="J190:L190" si="210">SUM(J191:J193)</f>
        <v>0</v>
      </c>
      <c r="K190" s="233">
        <f t="shared" si="210"/>
        <v>0</v>
      </c>
      <c r="L190" s="233">
        <f t="shared" si="210"/>
        <v>0</v>
      </c>
      <c r="M190" s="233">
        <f t="shared" si="153"/>
        <v>0</v>
      </c>
      <c r="N190" s="233">
        <v>0</v>
      </c>
      <c r="O190" s="233">
        <f t="shared" ref="O190:Q190" si="211">SUM(O191:O193)</f>
        <v>0</v>
      </c>
      <c r="P190" s="233">
        <f t="shared" si="211"/>
        <v>0</v>
      </c>
      <c r="Q190" s="233">
        <f t="shared" si="211"/>
        <v>0</v>
      </c>
      <c r="R190" s="233">
        <f t="shared" si="154"/>
        <v>0</v>
      </c>
    </row>
    <row r="191" spans="1:18" s="89" customFormat="1" ht="24" hidden="1" customHeight="1">
      <c r="A191" s="136">
        <v>19550</v>
      </c>
      <c r="B191" s="172" t="s">
        <v>175</v>
      </c>
      <c r="C191" s="171">
        <v>0</v>
      </c>
      <c r="D191" s="171">
        <v>0</v>
      </c>
      <c r="E191" s="233"/>
      <c r="F191" s="233"/>
      <c r="G191" s="233"/>
      <c r="H191" s="233">
        <f t="shared" si="152"/>
        <v>0</v>
      </c>
      <c r="I191" s="233">
        <v>0</v>
      </c>
      <c r="J191" s="233"/>
      <c r="K191" s="233"/>
      <c r="L191" s="233"/>
      <c r="M191" s="233">
        <f t="shared" si="153"/>
        <v>0</v>
      </c>
      <c r="N191" s="233">
        <v>0</v>
      </c>
      <c r="O191" s="233"/>
      <c r="P191" s="233"/>
      <c r="Q191" s="233"/>
      <c r="R191" s="233">
        <f t="shared" si="154"/>
        <v>0</v>
      </c>
    </row>
    <row r="192" spans="1:18" s="89" customFormat="1" ht="36" hidden="1" customHeight="1">
      <c r="A192" s="136">
        <v>19560</v>
      </c>
      <c r="B192" s="172" t="s">
        <v>181</v>
      </c>
      <c r="C192" s="171">
        <v>0</v>
      </c>
      <c r="D192" s="171">
        <v>0</v>
      </c>
      <c r="E192" s="233"/>
      <c r="F192" s="233"/>
      <c r="G192" s="233"/>
      <c r="H192" s="233">
        <f t="shared" si="152"/>
        <v>0</v>
      </c>
      <c r="I192" s="233">
        <v>0</v>
      </c>
      <c r="J192" s="233"/>
      <c r="K192" s="233"/>
      <c r="L192" s="233"/>
      <c r="M192" s="233">
        <f t="shared" si="153"/>
        <v>0</v>
      </c>
      <c r="N192" s="233">
        <v>0</v>
      </c>
      <c r="O192" s="233"/>
      <c r="P192" s="233"/>
      <c r="Q192" s="233"/>
      <c r="R192" s="233">
        <f t="shared" si="154"/>
        <v>0</v>
      </c>
    </row>
    <row r="193" spans="1:18" s="89" customFormat="1" ht="72" hidden="1" customHeight="1">
      <c r="A193" s="136">
        <v>19570</v>
      </c>
      <c r="B193" s="172" t="s">
        <v>182</v>
      </c>
      <c r="C193" s="171">
        <v>0</v>
      </c>
      <c r="D193" s="171">
        <v>0</v>
      </c>
      <c r="E193" s="233"/>
      <c r="F193" s="233"/>
      <c r="G193" s="233"/>
      <c r="H193" s="233">
        <f t="shared" si="152"/>
        <v>0</v>
      </c>
      <c r="I193" s="233">
        <v>0</v>
      </c>
      <c r="J193" s="233"/>
      <c r="K193" s="233"/>
      <c r="L193" s="233"/>
      <c r="M193" s="233">
        <f t="shared" si="153"/>
        <v>0</v>
      </c>
      <c r="N193" s="233">
        <v>0</v>
      </c>
      <c r="O193" s="233"/>
      <c r="P193" s="233"/>
      <c r="Q193" s="233"/>
      <c r="R193" s="233">
        <f t="shared" si="154"/>
        <v>0</v>
      </c>
    </row>
    <row r="194" spans="1:18" s="6" customFormat="1" ht="24" hidden="1" customHeight="1">
      <c r="A194" s="209" t="s">
        <v>222</v>
      </c>
      <c r="B194" s="208" t="s">
        <v>216</v>
      </c>
      <c r="C194" s="107">
        <f>C195</f>
        <v>0</v>
      </c>
      <c r="D194" s="107">
        <v>0</v>
      </c>
      <c r="E194" s="233">
        <f t="shared" ref="E194:L194" si="212">E195</f>
        <v>0</v>
      </c>
      <c r="F194" s="233">
        <f t="shared" si="212"/>
        <v>0</v>
      </c>
      <c r="G194" s="233">
        <f t="shared" si="212"/>
        <v>0</v>
      </c>
      <c r="H194" s="233">
        <f t="shared" si="152"/>
        <v>0</v>
      </c>
      <c r="I194" s="233">
        <v>0</v>
      </c>
      <c r="J194" s="233">
        <f t="shared" si="212"/>
        <v>0</v>
      </c>
      <c r="K194" s="233">
        <f t="shared" si="212"/>
        <v>0</v>
      </c>
      <c r="L194" s="233">
        <f t="shared" si="212"/>
        <v>0</v>
      </c>
      <c r="M194" s="233">
        <f t="shared" si="153"/>
        <v>0</v>
      </c>
      <c r="N194" s="233">
        <v>0</v>
      </c>
      <c r="O194" s="233">
        <f t="shared" ref="O194:Q194" si="213">O195</f>
        <v>0</v>
      </c>
      <c r="P194" s="233">
        <f t="shared" si="213"/>
        <v>0</v>
      </c>
      <c r="Q194" s="233">
        <f t="shared" si="213"/>
        <v>0</v>
      </c>
      <c r="R194" s="233">
        <f t="shared" si="154"/>
        <v>0</v>
      </c>
    </row>
    <row r="195" spans="1:18" s="6" customFormat="1" ht="36" hidden="1" customHeight="1">
      <c r="A195" s="209">
        <v>17100</v>
      </c>
      <c r="B195" s="208" t="s">
        <v>217</v>
      </c>
      <c r="C195" s="107">
        <f>SUM(C196:C199)</f>
        <v>0</v>
      </c>
      <c r="D195" s="107">
        <v>0</v>
      </c>
      <c r="E195" s="233">
        <f t="shared" ref="E195:G195" si="214">SUM(E196:E199)</f>
        <v>0</v>
      </c>
      <c r="F195" s="233">
        <f t="shared" si="214"/>
        <v>0</v>
      </c>
      <c r="G195" s="233">
        <f t="shared" si="214"/>
        <v>0</v>
      </c>
      <c r="H195" s="233">
        <f t="shared" si="152"/>
        <v>0</v>
      </c>
      <c r="I195" s="233">
        <v>0</v>
      </c>
      <c r="J195" s="233">
        <f t="shared" ref="J195:L195" si="215">SUM(J196:J199)</f>
        <v>0</v>
      </c>
      <c r="K195" s="233">
        <f t="shared" si="215"/>
        <v>0</v>
      </c>
      <c r="L195" s="233">
        <f t="shared" si="215"/>
        <v>0</v>
      </c>
      <c r="M195" s="233">
        <f t="shared" si="153"/>
        <v>0</v>
      </c>
      <c r="N195" s="233">
        <v>0</v>
      </c>
      <c r="O195" s="233">
        <f t="shared" ref="O195:Q195" si="216">SUM(O196:O199)</f>
        <v>0</v>
      </c>
      <c r="P195" s="233">
        <f t="shared" si="216"/>
        <v>0</v>
      </c>
      <c r="Q195" s="233">
        <f t="shared" si="216"/>
        <v>0</v>
      </c>
      <c r="R195" s="233">
        <f t="shared" si="154"/>
        <v>0</v>
      </c>
    </row>
    <row r="196" spans="1:18" s="6" customFormat="1" ht="60" hidden="1" customHeight="1">
      <c r="A196" s="149">
        <v>17110</v>
      </c>
      <c r="B196" s="208" t="s">
        <v>218</v>
      </c>
      <c r="C196" s="107"/>
      <c r="D196" s="107">
        <v>0</v>
      </c>
      <c r="E196" s="233"/>
      <c r="F196" s="233"/>
      <c r="G196" s="233"/>
      <c r="H196" s="233">
        <f t="shared" si="152"/>
        <v>0</v>
      </c>
      <c r="I196" s="233">
        <v>0</v>
      </c>
      <c r="J196" s="233"/>
      <c r="K196" s="233"/>
      <c r="L196" s="233"/>
      <c r="M196" s="233">
        <f t="shared" si="153"/>
        <v>0</v>
      </c>
      <c r="N196" s="233">
        <v>0</v>
      </c>
      <c r="O196" s="233"/>
      <c r="P196" s="233"/>
      <c r="Q196" s="233"/>
      <c r="R196" s="233">
        <f t="shared" si="154"/>
        <v>0</v>
      </c>
    </row>
    <row r="197" spans="1:18" s="6" customFormat="1" ht="60" hidden="1" customHeight="1">
      <c r="A197" s="149">
        <v>17120</v>
      </c>
      <c r="B197" s="208" t="s">
        <v>219</v>
      </c>
      <c r="C197" s="107"/>
      <c r="D197" s="107">
        <v>0</v>
      </c>
      <c r="E197" s="233"/>
      <c r="F197" s="233"/>
      <c r="G197" s="233"/>
      <c r="H197" s="233">
        <f t="shared" si="152"/>
        <v>0</v>
      </c>
      <c r="I197" s="233">
        <v>0</v>
      </c>
      <c r="J197" s="233"/>
      <c r="K197" s="233"/>
      <c r="L197" s="233"/>
      <c r="M197" s="233">
        <f t="shared" si="153"/>
        <v>0</v>
      </c>
      <c r="N197" s="233">
        <v>0</v>
      </c>
      <c r="O197" s="233"/>
      <c r="P197" s="233"/>
      <c r="Q197" s="233"/>
      <c r="R197" s="233">
        <f t="shared" si="154"/>
        <v>0</v>
      </c>
    </row>
    <row r="198" spans="1:18" s="6" customFormat="1" ht="108" hidden="1" customHeight="1">
      <c r="A198" s="149">
        <v>17130</v>
      </c>
      <c r="B198" s="208" t="s">
        <v>220</v>
      </c>
      <c r="C198" s="107"/>
      <c r="D198" s="107">
        <v>0</v>
      </c>
      <c r="E198" s="233"/>
      <c r="F198" s="233"/>
      <c r="G198" s="233"/>
      <c r="H198" s="233">
        <f t="shared" si="152"/>
        <v>0</v>
      </c>
      <c r="I198" s="233">
        <v>0</v>
      </c>
      <c r="J198" s="233"/>
      <c r="K198" s="233"/>
      <c r="L198" s="233"/>
      <c r="M198" s="233">
        <f t="shared" si="153"/>
        <v>0</v>
      </c>
      <c r="N198" s="233">
        <v>0</v>
      </c>
      <c r="O198" s="233"/>
      <c r="P198" s="233"/>
      <c r="Q198" s="233"/>
      <c r="R198" s="233">
        <f t="shared" si="154"/>
        <v>0</v>
      </c>
    </row>
    <row r="199" spans="1:18" s="6" customFormat="1" ht="108" hidden="1" customHeight="1">
      <c r="A199" s="149">
        <v>17140</v>
      </c>
      <c r="B199" s="208" t="s">
        <v>221</v>
      </c>
      <c r="C199" s="107"/>
      <c r="D199" s="107">
        <v>0</v>
      </c>
      <c r="E199" s="233"/>
      <c r="F199" s="233"/>
      <c r="G199" s="233"/>
      <c r="H199" s="233">
        <f t="shared" si="152"/>
        <v>0</v>
      </c>
      <c r="I199" s="233">
        <v>0</v>
      </c>
      <c r="J199" s="233"/>
      <c r="K199" s="233"/>
      <c r="L199" s="233"/>
      <c r="M199" s="233">
        <f t="shared" si="153"/>
        <v>0</v>
      </c>
      <c r="N199" s="233">
        <v>0</v>
      </c>
      <c r="O199" s="233"/>
      <c r="P199" s="233"/>
      <c r="Q199" s="233"/>
      <c r="R199" s="233">
        <f t="shared" si="154"/>
        <v>0</v>
      </c>
    </row>
    <row r="200" spans="1:18" s="89" customFormat="1" ht="12">
      <c r="A200" s="137">
        <v>21700</v>
      </c>
      <c r="B200" s="124" t="s">
        <v>97</v>
      </c>
      <c r="C200" s="171">
        <v>8022239</v>
      </c>
      <c r="D200" s="171">
        <v>1849840</v>
      </c>
      <c r="E200" s="233">
        <f t="shared" ref="E200:G200" si="217">E201+E202</f>
        <v>11593</v>
      </c>
      <c r="F200" s="233">
        <f t="shared" si="217"/>
        <v>0</v>
      </c>
      <c r="G200" s="233">
        <f t="shared" si="217"/>
        <v>0</v>
      </c>
      <c r="H200" s="233">
        <f t="shared" si="152"/>
        <v>1861433</v>
      </c>
      <c r="I200" s="233">
        <v>2146705</v>
      </c>
      <c r="J200" s="233">
        <f t="shared" ref="J200:L200" si="218">J201+J202</f>
        <v>10426</v>
      </c>
      <c r="K200" s="233">
        <f t="shared" si="218"/>
        <v>0</v>
      </c>
      <c r="L200" s="233">
        <f t="shared" si="218"/>
        <v>0</v>
      </c>
      <c r="M200" s="233">
        <f t="shared" si="153"/>
        <v>2157131</v>
      </c>
      <c r="N200" s="233">
        <v>1218167</v>
      </c>
      <c r="O200" s="233">
        <f t="shared" ref="O200:Q200" si="219">O201+O202</f>
        <v>0</v>
      </c>
      <c r="P200" s="233">
        <f t="shared" si="219"/>
        <v>0</v>
      </c>
      <c r="Q200" s="233">
        <f t="shared" si="219"/>
        <v>0</v>
      </c>
      <c r="R200" s="233">
        <f t="shared" si="154"/>
        <v>1218167</v>
      </c>
    </row>
    <row r="201" spans="1:18" s="89" customFormat="1" ht="24">
      <c r="A201" s="138">
        <v>21710</v>
      </c>
      <c r="B201" s="125" t="s">
        <v>98</v>
      </c>
      <c r="C201" s="171">
        <v>8022239</v>
      </c>
      <c r="D201" s="171">
        <v>1849840</v>
      </c>
      <c r="E201" s="233">
        <v>11593</v>
      </c>
      <c r="F201" s="233"/>
      <c r="G201" s="233"/>
      <c r="H201" s="233">
        <f t="shared" si="152"/>
        <v>1861433</v>
      </c>
      <c r="I201" s="233">
        <v>2146705</v>
      </c>
      <c r="J201" s="233">
        <v>10426</v>
      </c>
      <c r="K201" s="233"/>
      <c r="L201" s="233"/>
      <c r="M201" s="233">
        <f t="shared" si="153"/>
        <v>2157131</v>
      </c>
      <c r="N201" s="233">
        <v>1218167</v>
      </c>
      <c r="O201" s="233"/>
      <c r="P201" s="233"/>
      <c r="Q201" s="233"/>
      <c r="R201" s="233">
        <f t="shared" si="154"/>
        <v>1218167</v>
      </c>
    </row>
    <row r="202" spans="1:18" s="29" customFormat="1" ht="24" hidden="1" customHeight="1">
      <c r="A202" s="138">
        <v>21720</v>
      </c>
      <c r="B202" s="125" t="s">
        <v>99</v>
      </c>
      <c r="C202" s="171">
        <v>0</v>
      </c>
      <c r="D202" s="171">
        <v>0</v>
      </c>
      <c r="E202" s="233"/>
      <c r="F202" s="233"/>
      <c r="G202" s="233"/>
      <c r="H202" s="233">
        <f t="shared" ref="H202:H260" si="220">SUM(D202:G202)</f>
        <v>0</v>
      </c>
      <c r="I202" s="233">
        <v>0</v>
      </c>
      <c r="J202" s="233"/>
      <c r="K202" s="233"/>
      <c r="L202" s="233"/>
      <c r="M202" s="233">
        <f t="shared" ref="M202:M260" si="221">SUM(I202:L202)</f>
        <v>0</v>
      </c>
      <c r="N202" s="233">
        <v>0</v>
      </c>
      <c r="O202" s="233"/>
      <c r="P202" s="233"/>
      <c r="Q202" s="233"/>
      <c r="R202" s="233">
        <f t="shared" ref="R202:R260" si="222">SUM(N202:Q202)</f>
        <v>0</v>
      </c>
    </row>
    <row r="203" spans="1:18" s="29" customFormat="1" ht="11.4">
      <c r="A203" s="129" t="s">
        <v>100</v>
      </c>
      <c r="B203" s="123" t="s">
        <v>101</v>
      </c>
      <c r="C203" s="175">
        <v>9110020</v>
      </c>
      <c r="D203" s="175">
        <v>3074862</v>
      </c>
      <c r="E203" s="243">
        <f t="shared" ref="E203:G203" si="223">E204+E231</f>
        <v>54307</v>
      </c>
      <c r="F203" s="243">
        <f t="shared" si="223"/>
        <v>0</v>
      </c>
      <c r="G203" s="243">
        <f t="shared" si="223"/>
        <v>0</v>
      </c>
      <c r="H203" s="403">
        <f t="shared" si="220"/>
        <v>3129169</v>
      </c>
      <c r="I203" s="243">
        <v>3119411</v>
      </c>
      <c r="J203" s="243">
        <f t="shared" ref="J203:L203" si="224">J204+J231</f>
        <v>51708</v>
      </c>
      <c r="K203" s="243">
        <f t="shared" si="224"/>
        <v>0</v>
      </c>
      <c r="L203" s="243">
        <f t="shared" si="224"/>
        <v>0</v>
      </c>
      <c r="M203" s="403">
        <f t="shared" si="221"/>
        <v>3171119</v>
      </c>
      <c r="N203" s="243">
        <v>2043083</v>
      </c>
      <c r="O203" s="243">
        <f t="shared" ref="O203:Q203" si="225">O204+O231</f>
        <v>8256</v>
      </c>
      <c r="P203" s="243">
        <f t="shared" si="225"/>
        <v>0</v>
      </c>
      <c r="Q203" s="243">
        <f t="shared" si="225"/>
        <v>0</v>
      </c>
      <c r="R203" s="403">
        <f t="shared" si="222"/>
        <v>2051339</v>
      </c>
    </row>
    <row r="204" spans="1:18" s="29" customFormat="1" ht="20.399999999999999">
      <c r="A204" s="130" t="s">
        <v>102</v>
      </c>
      <c r="B204" s="124" t="s">
        <v>103</v>
      </c>
      <c r="C204" s="171">
        <v>4229345</v>
      </c>
      <c r="D204" s="171">
        <v>2960630</v>
      </c>
      <c r="E204" s="233">
        <f t="shared" ref="E204:G204" si="226">E205+E209+E210+E213+E216</f>
        <v>54307</v>
      </c>
      <c r="F204" s="233">
        <f t="shared" si="226"/>
        <v>0</v>
      </c>
      <c r="G204" s="233">
        <f t="shared" si="226"/>
        <v>0</v>
      </c>
      <c r="H204" s="233">
        <f t="shared" si="220"/>
        <v>3014937</v>
      </c>
      <c r="I204" s="233">
        <v>3116919</v>
      </c>
      <c r="J204" s="233">
        <f t="shared" ref="J204:L204" si="227">J205+J209+J210+J213+J216</f>
        <v>51708</v>
      </c>
      <c r="K204" s="233">
        <f t="shared" si="227"/>
        <v>0</v>
      </c>
      <c r="L204" s="233">
        <f t="shared" si="227"/>
        <v>0</v>
      </c>
      <c r="M204" s="233">
        <f t="shared" si="221"/>
        <v>3168627</v>
      </c>
      <c r="N204" s="233">
        <v>2043083</v>
      </c>
      <c r="O204" s="233">
        <f t="shared" ref="O204:Q204" si="228">O205+O209+O210+O213+O216</f>
        <v>8256</v>
      </c>
      <c r="P204" s="233">
        <f t="shared" si="228"/>
        <v>0</v>
      </c>
      <c r="Q204" s="233">
        <f t="shared" si="228"/>
        <v>0</v>
      </c>
      <c r="R204" s="233">
        <f t="shared" si="222"/>
        <v>2051339</v>
      </c>
    </row>
    <row r="205" spans="1:18" s="29" customFormat="1" ht="12">
      <c r="A205" s="130" t="s">
        <v>104</v>
      </c>
      <c r="B205" s="124" t="s">
        <v>105</v>
      </c>
      <c r="C205" s="171">
        <v>2014011</v>
      </c>
      <c r="D205" s="171">
        <v>210561</v>
      </c>
      <c r="E205" s="233">
        <f t="shared" ref="E205:G205" si="229">E206+E208</f>
        <v>54307</v>
      </c>
      <c r="F205" s="233">
        <f t="shared" si="229"/>
        <v>0</v>
      </c>
      <c r="G205" s="233">
        <f t="shared" si="229"/>
        <v>0</v>
      </c>
      <c r="H205" s="233">
        <f t="shared" si="220"/>
        <v>264868</v>
      </c>
      <c r="I205" s="233">
        <v>156462</v>
      </c>
      <c r="J205" s="233">
        <f t="shared" ref="J205:L205" si="230">J206+J208</f>
        <v>51708</v>
      </c>
      <c r="K205" s="233">
        <f t="shared" si="230"/>
        <v>0</v>
      </c>
      <c r="L205" s="233">
        <f t="shared" si="230"/>
        <v>0</v>
      </c>
      <c r="M205" s="233">
        <f t="shared" si="221"/>
        <v>208170</v>
      </c>
      <c r="N205" s="233">
        <v>138879</v>
      </c>
      <c r="O205" s="233">
        <f t="shared" ref="O205:Q205" si="231">O206+O208</f>
        <v>8256</v>
      </c>
      <c r="P205" s="233">
        <f t="shared" si="231"/>
        <v>0</v>
      </c>
      <c r="Q205" s="233">
        <f t="shared" si="231"/>
        <v>0</v>
      </c>
      <c r="R205" s="233">
        <f t="shared" si="222"/>
        <v>147135</v>
      </c>
    </row>
    <row r="206" spans="1:18" s="29" customFormat="1" ht="12">
      <c r="A206" s="132">
        <v>1000</v>
      </c>
      <c r="B206" s="125" t="s">
        <v>106</v>
      </c>
      <c r="C206" s="171">
        <v>323571</v>
      </c>
      <c r="D206" s="171">
        <v>173442</v>
      </c>
      <c r="E206" s="233">
        <v>24370</v>
      </c>
      <c r="F206" s="233"/>
      <c r="G206" s="233"/>
      <c r="H206" s="233">
        <f t="shared" si="220"/>
        <v>197812</v>
      </c>
      <c r="I206" s="233">
        <v>133032</v>
      </c>
      <c r="J206" s="233">
        <v>19000</v>
      </c>
      <c r="K206" s="233"/>
      <c r="L206" s="233"/>
      <c r="M206" s="233">
        <f t="shared" si="221"/>
        <v>152032</v>
      </c>
      <c r="N206" s="233">
        <v>116631</v>
      </c>
      <c r="O206" s="233"/>
      <c r="P206" s="233"/>
      <c r="Q206" s="233"/>
      <c r="R206" s="233">
        <f t="shared" si="222"/>
        <v>116631</v>
      </c>
    </row>
    <row r="207" spans="1:18" s="29" customFormat="1" ht="12">
      <c r="A207" s="139">
        <v>1100</v>
      </c>
      <c r="B207" s="125" t="s">
        <v>107</v>
      </c>
      <c r="C207" s="171">
        <v>260655</v>
      </c>
      <c r="D207" s="171">
        <v>139007</v>
      </c>
      <c r="E207" s="233">
        <v>19641</v>
      </c>
      <c r="F207" s="233"/>
      <c r="G207" s="233"/>
      <c r="H207" s="233">
        <f t="shared" si="220"/>
        <v>158648</v>
      </c>
      <c r="I207" s="233">
        <v>107923</v>
      </c>
      <c r="J207" s="233">
        <v>15330</v>
      </c>
      <c r="K207" s="233"/>
      <c r="L207" s="233"/>
      <c r="M207" s="233">
        <f t="shared" si="221"/>
        <v>123253</v>
      </c>
      <c r="N207" s="233">
        <v>93989</v>
      </c>
      <c r="O207" s="233"/>
      <c r="P207" s="233"/>
      <c r="Q207" s="233"/>
      <c r="R207" s="233">
        <f t="shared" si="222"/>
        <v>93989</v>
      </c>
    </row>
    <row r="208" spans="1:18" s="29" customFormat="1" ht="12">
      <c r="A208" s="132">
        <v>2000</v>
      </c>
      <c r="B208" s="125" t="s">
        <v>108</v>
      </c>
      <c r="C208" s="171">
        <v>1690440</v>
      </c>
      <c r="D208" s="171">
        <v>37119</v>
      </c>
      <c r="E208" s="233">
        <v>29937</v>
      </c>
      <c r="F208" s="233"/>
      <c r="G208" s="233"/>
      <c r="H208" s="233">
        <f t="shared" si="220"/>
        <v>67056</v>
      </c>
      <c r="I208" s="233">
        <v>23430</v>
      </c>
      <c r="J208" s="233">
        <v>32708</v>
      </c>
      <c r="K208" s="233"/>
      <c r="L208" s="233"/>
      <c r="M208" s="233">
        <f t="shared" si="221"/>
        <v>56138</v>
      </c>
      <c r="N208" s="233">
        <v>22248</v>
      </c>
      <c r="O208" s="233">
        <v>8256</v>
      </c>
      <c r="P208" s="233"/>
      <c r="Q208" s="233"/>
      <c r="R208" s="233">
        <f t="shared" si="222"/>
        <v>30504</v>
      </c>
    </row>
    <row r="209" spans="1:18" s="29" customFormat="1" ht="12" hidden="1" customHeight="1">
      <c r="A209" s="140">
        <v>4000</v>
      </c>
      <c r="B209" s="124" t="s">
        <v>132</v>
      </c>
      <c r="C209" s="171">
        <v>0</v>
      </c>
      <c r="D209" s="171">
        <v>0</v>
      </c>
      <c r="E209" s="233"/>
      <c r="F209" s="233"/>
      <c r="G209" s="233"/>
      <c r="H209" s="233">
        <f t="shared" si="220"/>
        <v>0</v>
      </c>
      <c r="I209" s="233">
        <v>0</v>
      </c>
      <c r="J209" s="233"/>
      <c r="K209" s="233"/>
      <c r="L209" s="233"/>
      <c r="M209" s="233">
        <f t="shared" si="221"/>
        <v>0</v>
      </c>
      <c r="N209" s="233">
        <v>0</v>
      </c>
      <c r="O209" s="233"/>
      <c r="P209" s="233"/>
      <c r="Q209" s="233"/>
      <c r="R209" s="233">
        <f t="shared" si="222"/>
        <v>0</v>
      </c>
    </row>
    <row r="210" spans="1:18" s="29" customFormat="1" ht="12">
      <c r="A210" s="140" t="s">
        <v>109</v>
      </c>
      <c r="B210" s="124" t="s">
        <v>110</v>
      </c>
      <c r="C210" s="171">
        <v>1409561</v>
      </c>
      <c r="D210" s="171">
        <v>1686436</v>
      </c>
      <c r="E210" s="233">
        <f t="shared" ref="E210:G210" si="232">E211+E212</f>
        <v>0</v>
      </c>
      <c r="F210" s="233">
        <f t="shared" si="232"/>
        <v>0</v>
      </c>
      <c r="G210" s="233">
        <f t="shared" si="232"/>
        <v>0</v>
      </c>
      <c r="H210" s="233">
        <f t="shared" si="220"/>
        <v>1686436</v>
      </c>
      <c r="I210" s="233">
        <v>2002203</v>
      </c>
      <c r="J210" s="233">
        <f t="shared" ref="J210:L210" si="233">J211+J212</f>
        <v>0</v>
      </c>
      <c r="K210" s="233">
        <f t="shared" si="233"/>
        <v>0</v>
      </c>
      <c r="L210" s="233">
        <f t="shared" si="233"/>
        <v>0</v>
      </c>
      <c r="M210" s="233">
        <f t="shared" si="221"/>
        <v>2002203</v>
      </c>
      <c r="N210" s="233">
        <v>1079337</v>
      </c>
      <c r="O210" s="233">
        <f t="shared" ref="O210:Q210" si="234">O211+O212</f>
        <v>0</v>
      </c>
      <c r="P210" s="233">
        <f t="shared" si="234"/>
        <v>0</v>
      </c>
      <c r="Q210" s="233">
        <f t="shared" si="234"/>
        <v>0</v>
      </c>
      <c r="R210" s="233">
        <f t="shared" si="222"/>
        <v>1079337</v>
      </c>
    </row>
    <row r="211" spans="1:18" s="29" customFormat="1" ht="12">
      <c r="A211" s="132">
        <v>3000</v>
      </c>
      <c r="B211" s="125" t="s">
        <v>111</v>
      </c>
      <c r="C211" s="213">
        <v>1141811</v>
      </c>
      <c r="D211" s="213">
        <v>1499011</v>
      </c>
      <c r="E211" s="345"/>
      <c r="F211" s="345"/>
      <c r="G211" s="345"/>
      <c r="H211" s="233">
        <f t="shared" si="220"/>
        <v>1499011</v>
      </c>
      <c r="I211" s="345">
        <v>2002203</v>
      </c>
      <c r="J211" s="345"/>
      <c r="K211" s="345"/>
      <c r="L211" s="345"/>
      <c r="M211" s="233">
        <f t="shared" si="221"/>
        <v>2002203</v>
      </c>
      <c r="N211" s="345">
        <v>1079337</v>
      </c>
      <c r="O211" s="345"/>
      <c r="P211" s="345"/>
      <c r="Q211" s="345"/>
      <c r="R211" s="233">
        <f t="shared" si="222"/>
        <v>1079337</v>
      </c>
    </row>
    <row r="212" spans="1:18" s="29" customFormat="1" ht="12">
      <c r="A212" s="132">
        <v>6000</v>
      </c>
      <c r="B212" s="125" t="s">
        <v>112</v>
      </c>
      <c r="C212" s="287">
        <v>267750</v>
      </c>
      <c r="D212" s="287">
        <v>187425</v>
      </c>
      <c r="E212" s="346"/>
      <c r="F212" s="346"/>
      <c r="G212" s="346"/>
      <c r="H212" s="233">
        <f t="shared" si="220"/>
        <v>187425</v>
      </c>
      <c r="I212" s="346">
        <v>0</v>
      </c>
      <c r="J212" s="346"/>
      <c r="K212" s="346"/>
      <c r="L212" s="346"/>
      <c r="M212" s="233">
        <f t="shared" si="221"/>
        <v>0</v>
      </c>
      <c r="N212" s="346">
        <v>0</v>
      </c>
      <c r="O212" s="346"/>
      <c r="P212" s="346"/>
      <c r="Q212" s="346"/>
      <c r="R212" s="233">
        <f t="shared" si="222"/>
        <v>0</v>
      </c>
    </row>
    <row r="213" spans="1:18" s="29" customFormat="1" ht="24" hidden="1" customHeight="1">
      <c r="A213" s="140" t="s">
        <v>113</v>
      </c>
      <c r="B213" s="124" t="s">
        <v>183</v>
      </c>
      <c r="C213" s="171">
        <v>0</v>
      </c>
      <c r="D213" s="171">
        <v>0</v>
      </c>
      <c r="E213" s="233">
        <f t="shared" ref="E213:G213" si="235">E214+E215</f>
        <v>0</v>
      </c>
      <c r="F213" s="233">
        <f t="shared" si="235"/>
        <v>0</v>
      </c>
      <c r="G213" s="233">
        <f t="shared" si="235"/>
        <v>0</v>
      </c>
      <c r="H213" s="233">
        <f t="shared" si="220"/>
        <v>0</v>
      </c>
      <c r="I213" s="233">
        <v>0</v>
      </c>
      <c r="J213" s="233">
        <f t="shared" ref="J213:L213" si="236">J214+J215</f>
        <v>0</v>
      </c>
      <c r="K213" s="233">
        <f t="shared" si="236"/>
        <v>0</v>
      </c>
      <c r="L213" s="233">
        <f t="shared" si="236"/>
        <v>0</v>
      </c>
      <c r="M213" s="233">
        <f t="shared" si="221"/>
        <v>0</v>
      </c>
      <c r="N213" s="233">
        <v>0</v>
      </c>
      <c r="O213" s="233">
        <f t="shared" ref="O213:Q213" si="237">O214+O215</f>
        <v>0</v>
      </c>
      <c r="P213" s="233">
        <f t="shared" si="237"/>
        <v>0</v>
      </c>
      <c r="Q213" s="233">
        <f t="shared" si="237"/>
        <v>0</v>
      </c>
      <c r="R213" s="233">
        <f t="shared" si="222"/>
        <v>0</v>
      </c>
    </row>
    <row r="214" spans="1:18" s="29" customFormat="1" ht="12" hidden="1" customHeight="1">
      <c r="A214" s="132">
        <v>7600</v>
      </c>
      <c r="B214" s="179" t="s">
        <v>184</v>
      </c>
      <c r="C214" s="171">
        <v>0</v>
      </c>
      <c r="D214" s="171">
        <v>0</v>
      </c>
      <c r="E214" s="233"/>
      <c r="F214" s="233"/>
      <c r="G214" s="233"/>
      <c r="H214" s="233">
        <f t="shared" si="220"/>
        <v>0</v>
      </c>
      <c r="I214" s="233">
        <v>0</v>
      </c>
      <c r="J214" s="233"/>
      <c r="K214" s="233"/>
      <c r="L214" s="233"/>
      <c r="M214" s="233">
        <f t="shared" si="221"/>
        <v>0</v>
      </c>
      <c r="N214" s="233">
        <v>0</v>
      </c>
      <c r="O214" s="233"/>
      <c r="P214" s="233"/>
      <c r="Q214" s="233"/>
      <c r="R214" s="233">
        <f t="shared" si="222"/>
        <v>0</v>
      </c>
    </row>
    <row r="215" spans="1:18" s="29" customFormat="1" ht="12" hidden="1" customHeight="1">
      <c r="A215" s="132">
        <v>7700</v>
      </c>
      <c r="B215" s="126" t="s">
        <v>114</v>
      </c>
      <c r="C215" s="171">
        <v>0</v>
      </c>
      <c r="D215" s="171">
        <v>0</v>
      </c>
      <c r="E215" s="233"/>
      <c r="F215" s="233"/>
      <c r="G215" s="233"/>
      <c r="H215" s="233">
        <f t="shared" si="220"/>
        <v>0</v>
      </c>
      <c r="I215" s="233">
        <v>0</v>
      </c>
      <c r="J215" s="233"/>
      <c r="K215" s="233"/>
      <c r="L215" s="233"/>
      <c r="M215" s="233">
        <f t="shared" si="221"/>
        <v>0</v>
      </c>
      <c r="N215" s="233">
        <v>0</v>
      </c>
      <c r="O215" s="233"/>
      <c r="P215" s="233"/>
      <c r="Q215" s="233"/>
      <c r="R215" s="233">
        <f t="shared" si="222"/>
        <v>0</v>
      </c>
    </row>
    <row r="216" spans="1:18" s="29" customFormat="1" ht="20.399999999999999">
      <c r="A216" s="140" t="s">
        <v>185</v>
      </c>
      <c r="B216" s="124" t="s">
        <v>115</v>
      </c>
      <c r="C216" s="171">
        <v>805773</v>
      </c>
      <c r="D216" s="171">
        <v>1063633</v>
      </c>
      <c r="E216" s="233">
        <f t="shared" ref="E216:G216" si="238">E217+E223+E227+E230</f>
        <v>0</v>
      </c>
      <c r="F216" s="233">
        <f t="shared" si="238"/>
        <v>0</v>
      </c>
      <c r="G216" s="233">
        <f t="shared" si="238"/>
        <v>0</v>
      </c>
      <c r="H216" s="233">
        <f t="shared" si="220"/>
        <v>1063633</v>
      </c>
      <c r="I216" s="233">
        <v>958254</v>
      </c>
      <c r="J216" s="233">
        <f t="shared" ref="J216:L216" si="239">J217+J223+J227+J230</f>
        <v>0</v>
      </c>
      <c r="K216" s="233">
        <f t="shared" si="239"/>
        <v>0</v>
      </c>
      <c r="L216" s="233">
        <f t="shared" si="239"/>
        <v>0</v>
      </c>
      <c r="M216" s="233">
        <f t="shared" si="221"/>
        <v>958254</v>
      </c>
      <c r="N216" s="233">
        <v>824867</v>
      </c>
      <c r="O216" s="233">
        <f t="shared" ref="O216:Q216" si="240">O217+O223+O227+O230</f>
        <v>0</v>
      </c>
      <c r="P216" s="233">
        <f t="shared" si="240"/>
        <v>0</v>
      </c>
      <c r="Q216" s="233">
        <f t="shared" si="240"/>
        <v>0</v>
      </c>
      <c r="R216" s="233">
        <f t="shared" si="222"/>
        <v>824867</v>
      </c>
    </row>
    <row r="217" spans="1:18" s="29" customFormat="1" ht="12" hidden="1" customHeight="1">
      <c r="A217" s="132">
        <v>7100</v>
      </c>
      <c r="B217" s="179" t="s">
        <v>116</v>
      </c>
      <c r="C217" s="171">
        <v>0</v>
      </c>
      <c r="D217" s="171">
        <v>0</v>
      </c>
      <c r="E217" s="233">
        <f t="shared" ref="E217:G217" si="241">E218+E219</f>
        <v>0</v>
      </c>
      <c r="F217" s="233">
        <f t="shared" si="241"/>
        <v>0</v>
      </c>
      <c r="G217" s="233">
        <f t="shared" si="241"/>
        <v>0</v>
      </c>
      <c r="H217" s="233">
        <f t="shared" si="220"/>
        <v>0</v>
      </c>
      <c r="I217" s="233">
        <v>0</v>
      </c>
      <c r="J217" s="233">
        <f t="shared" ref="J217:L217" si="242">J218+J219</f>
        <v>0</v>
      </c>
      <c r="K217" s="233">
        <f t="shared" si="242"/>
        <v>0</v>
      </c>
      <c r="L217" s="233">
        <f t="shared" si="242"/>
        <v>0</v>
      </c>
      <c r="M217" s="233">
        <f t="shared" si="221"/>
        <v>0</v>
      </c>
      <c r="N217" s="233">
        <v>0</v>
      </c>
      <c r="O217" s="233">
        <f t="shared" ref="O217:Q217" si="243">O218+O219</f>
        <v>0</v>
      </c>
      <c r="P217" s="233">
        <f t="shared" si="243"/>
        <v>0</v>
      </c>
      <c r="Q217" s="233">
        <f t="shared" si="243"/>
        <v>0</v>
      </c>
      <c r="R217" s="233">
        <f t="shared" si="222"/>
        <v>0</v>
      </c>
    </row>
    <row r="218" spans="1:18" s="29" customFormat="1" ht="24" hidden="1" customHeight="1">
      <c r="A218" s="133" t="s">
        <v>117</v>
      </c>
      <c r="B218" s="179" t="s">
        <v>118</v>
      </c>
      <c r="C218" s="171">
        <v>0</v>
      </c>
      <c r="D218" s="171">
        <v>0</v>
      </c>
      <c r="E218" s="233"/>
      <c r="F218" s="233"/>
      <c r="G218" s="233"/>
      <c r="H218" s="233">
        <f t="shared" si="220"/>
        <v>0</v>
      </c>
      <c r="I218" s="233">
        <v>0</v>
      </c>
      <c r="J218" s="233"/>
      <c r="K218" s="233"/>
      <c r="L218" s="233"/>
      <c r="M218" s="233">
        <f t="shared" si="221"/>
        <v>0</v>
      </c>
      <c r="N218" s="233">
        <v>0</v>
      </c>
      <c r="O218" s="233"/>
      <c r="P218" s="233"/>
      <c r="Q218" s="233"/>
      <c r="R218" s="233">
        <f t="shared" si="222"/>
        <v>0</v>
      </c>
    </row>
    <row r="219" spans="1:18" s="29" customFormat="1" ht="24" hidden="1" customHeight="1">
      <c r="A219" s="133">
        <v>7130</v>
      </c>
      <c r="B219" s="179" t="s">
        <v>119</v>
      </c>
      <c r="C219" s="171">
        <v>0</v>
      </c>
      <c r="D219" s="171">
        <v>0</v>
      </c>
      <c r="E219" s="233">
        <f t="shared" ref="E219:G219" si="244">SUM(E220:E222)</f>
        <v>0</v>
      </c>
      <c r="F219" s="233">
        <f t="shared" ref="F219" si="245">SUM(F220:F222)</f>
        <v>0</v>
      </c>
      <c r="G219" s="233">
        <f t="shared" si="244"/>
        <v>0</v>
      </c>
      <c r="H219" s="233">
        <f t="shared" si="220"/>
        <v>0</v>
      </c>
      <c r="I219" s="233">
        <v>0</v>
      </c>
      <c r="J219" s="233">
        <f t="shared" ref="J219:L219" si="246">SUM(J220:J222)</f>
        <v>0</v>
      </c>
      <c r="K219" s="233">
        <f t="shared" si="246"/>
        <v>0</v>
      </c>
      <c r="L219" s="233">
        <f t="shared" si="246"/>
        <v>0</v>
      </c>
      <c r="M219" s="233">
        <f t="shared" si="221"/>
        <v>0</v>
      </c>
      <c r="N219" s="233">
        <v>0</v>
      </c>
      <c r="O219" s="233">
        <f t="shared" ref="O219:Q219" si="247">SUM(O220:O222)</f>
        <v>0</v>
      </c>
      <c r="P219" s="233">
        <f t="shared" si="247"/>
        <v>0</v>
      </c>
      <c r="Q219" s="233">
        <f t="shared" si="247"/>
        <v>0</v>
      </c>
      <c r="R219" s="233">
        <f t="shared" si="222"/>
        <v>0</v>
      </c>
    </row>
    <row r="220" spans="1:18" s="29" customFormat="1" ht="36" hidden="1" customHeight="1">
      <c r="A220" s="134">
        <v>7131</v>
      </c>
      <c r="B220" s="179" t="s">
        <v>120</v>
      </c>
      <c r="C220" s="171">
        <v>0</v>
      </c>
      <c r="D220" s="171">
        <v>0</v>
      </c>
      <c r="E220" s="233"/>
      <c r="F220" s="233"/>
      <c r="G220" s="233"/>
      <c r="H220" s="233">
        <f t="shared" si="220"/>
        <v>0</v>
      </c>
      <c r="I220" s="233">
        <v>0</v>
      </c>
      <c r="J220" s="233"/>
      <c r="K220" s="233"/>
      <c r="L220" s="233"/>
      <c r="M220" s="233">
        <f t="shared" si="221"/>
        <v>0</v>
      </c>
      <c r="N220" s="233">
        <v>0</v>
      </c>
      <c r="O220" s="233"/>
      <c r="P220" s="233"/>
      <c r="Q220" s="233"/>
      <c r="R220" s="233">
        <f t="shared" si="222"/>
        <v>0</v>
      </c>
    </row>
    <row r="221" spans="1:18" s="29" customFormat="1" ht="36" hidden="1" customHeight="1">
      <c r="A221" s="134">
        <v>7132</v>
      </c>
      <c r="B221" s="179" t="s">
        <v>121</v>
      </c>
      <c r="C221" s="171">
        <v>0</v>
      </c>
      <c r="D221" s="171">
        <v>0</v>
      </c>
      <c r="E221" s="233"/>
      <c r="F221" s="233"/>
      <c r="G221" s="233"/>
      <c r="H221" s="233">
        <f t="shared" si="220"/>
        <v>0</v>
      </c>
      <c r="I221" s="233">
        <v>0</v>
      </c>
      <c r="J221" s="233"/>
      <c r="K221" s="233"/>
      <c r="L221" s="233"/>
      <c r="M221" s="233">
        <f t="shared" si="221"/>
        <v>0</v>
      </c>
      <c r="N221" s="233">
        <v>0</v>
      </c>
      <c r="O221" s="233"/>
      <c r="P221" s="233"/>
      <c r="Q221" s="233"/>
      <c r="R221" s="233">
        <f t="shared" si="222"/>
        <v>0</v>
      </c>
    </row>
    <row r="222" spans="1:18" s="29" customFormat="1" ht="36" hidden="1" customHeight="1">
      <c r="A222" s="134" t="s">
        <v>186</v>
      </c>
      <c r="B222" s="179" t="s">
        <v>187</v>
      </c>
      <c r="C222" s="171">
        <v>0</v>
      </c>
      <c r="D222" s="171">
        <v>0</v>
      </c>
      <c r="E222" s="233"/>
      <c r="F222" s="233"/>
      <c r="G222" s="233"/>
      <c r="H222" s="233">
        <f t="shared" si="220"/>
        <v>0</v>
      </c>
      <c r="I222" s="233">
        <v>0</v>
      </c>
      <c r="J222" s="233"/>
      <c r="K222" s="233"/>
      <c r="L222" s="233"/>
      <c r="M222" s="233">
        <f t="shared" si="221"/>
        <v>0</v>
      </c>
      <c r="N222" s="233">
        <v>0</v>
      </c>
      <c r="O222" s="233"/>
      <c r="P222" s="233"/>
      <c r="Q222" s="233"/>
      <c r="R222" s="233">
        <f t="shared" si="222"/>
        <v>0</v>
      </c>
    </row>
    <row r="223" spans="1:18" s="29" customFormat="1" ht="24">
      <c r="A223" s="132">
        <v>7300</v>
      </c>
      <c r="B223" s="172" t="s">
        <v>155</v>
      </c>
      <c r="C223" s="171">
        <v>127459</v>
      </c>
      <c r="D223" s="171">
        <v>102791</v>
      </c>
      <c r="E223" s="233">
        <f t="shared" ref="E223:G223" si="248">SUM(E224:E226)</f>
        <v>0</v>
      </c>
      <c r="F223" s="233">
        <f t="shared" si="248"/>
        <v>0</v>
      </c>
      <c r="G223" s="233">
        <f t="shared" si="248"/>
        <v>0</v>
      </c>
      <c r="H223" s="233">
        <f t="shared" si="220"/>
        <v>102791</v>
      </c>
      <c r="I223" s="233">
        <v>4805</v>
      </c>
      <c r="J223" s="233">
        <f t="shared" ref="J223:L223" si="249">SUM(J224:J226)</f>
        <v>0</v>
      </c>
      <c r="K223" s="233">
        <f t="shared" si="249"/>
        <v>0</v>
      </c>
      <c r="L223" s="233">
        <f t="shared" si="249"/>
        <v>0</v>
      </c>
      <c r="M223" s="233">
        <f t="shared" si="221"/>
        <v>4805</v>
      </c>
      <c r="N223" s="233">
        <v>4805</v>
      </c>
      <c r="O223" s="233">
        <f t="shared" ref="O223:Q223" si="250">SUM(O224:O226)</f>
        <v>0</v>
      </c>
      <c r="P223" s="233">
        <f t="shared" si="250"/>
        <v>0</v>
      </c>
      <c r="Q223" s="233">
        <f t="shared" si="250"/>
        <v>0</v>
      </c>
      <c r="R223" s="233">
        <f t="shared" si="222"/>
        <v>4805</v>
      </c>
    </row>
    <row r="224" spans="1:18" s="29" customFormat="1" ht="24" hidden="1" customHeight="1">
      <c r="A224" s="133" t="s">
        <v>188</v>
      </c>
      <c r="B224" s="179" t="s">
        <v>170</v>
      </c>
      <c r="C224" s="180">
        <v>0</v>
      </c>
      <c r="D224" s="180">
        <v>0</v>
      </c>
      <c r="E224" s="252"/>
      <c r="F224" s="252"/>
      <c r="G224" s="252"/>
      <c r="H224" s="233">
        <f t="shared" si="220"/>
        <v>0</v>
      </c>
      <c r="I224" s="252">
        <v>0</v>
      </c>
      <c r="J224" s="252"/>
      <c r="K224" s="252"/>
      <c r="L224" s="252"/>
      <c r="M224" s="233">
        <f t="shared" si="221"/>
        <v>0</v>
      </c>
      <c r="N224" s="252">
        <v>0</v>
      </c>
      <c r="O224" s="252"/>
      <c r="P224" s="252"/>
      <c r="Q224" s="252"/>
      <c r="R224" s="233">
        <f t="shared" si="222"/>
        <v>0</v>
      </c>
    </row>
    <row r="225" spans="1:18" s="29" customFormat="1" ht="48">
      <c r="A225" s="133" t="s">
        <v>189</v>
      </c>
      <c r="B225" s="179" t="s">
        <v>156</v>
      </c>
      <c r="C225" s="180">
        <v>0</v>
      </c>
      <c r="D225" s="180">
        <v>1898</v>
      </c>
      <c r="E225" s="252"/>
      <c r="F225" s="252"/>
      <c r="G225" s="252"/>
      <c r="H225" s="233">
        <f t="shared" si="220"/>
        <v>1898</v>
      </c>
      <c r="I225" s="252">
        <v>0</v>
      </c>
      <c r="J225" s="252"/>
      <c r="K225" s="252"/>
      <c r="L225" s="252"/>
      <c r="M225" s="233">
        <f t="shared" si="221"/>
        <v>0</v>
      </c>
      <c r="N225" s="252">
        <v>0</v>
      </c>
      <c r="O225" s="252"/>
      <c r="P225" s="252"/>
      <c r="Q225" s="252"/>
      <c r="R225" s="233">
        <f t="shared" si="222"/>
        <v>0</v>
      </c>
    </row>
    <row r="226" spans="1:18" s="29" customFormat="1" ht="36">
      <c r="A226" s="133">
        <v>7350</v>
      </c>
      <c r="B226" s="179" t="s">
        <v>163</v>
      </c>
      <c r="C226" s="180">
        <v>127459</v>
      </c>
      <c r="D226" s="180">
        <v>100893</v>
      </c>
      <c r="E226" s="252"/>
      <c r="F226" s="252"/>
      <c r="G226" s="252"/>
      <c r="H226" s="233">
        <f t="shared" si="220"/>
        <v>100893</v>
      </c>
      <c r="I226" s="252">
        <v>4805</v>
      </c>
      <c r="J226" s="252"/>
      <c r="K226" s="252"/>
      <c r="L226" s="252"/>
      <c r="M226" s="233">
        <f t="shared" si="221"/>
        <v>4805</v>
      </c>
      <c r="N226" s="252">
        <v>4805</v>
      </c>
      <c r="O226" s="252"/>
      <c r="P226" s="252"/>
      <c r="Q226" s="252"/>
      <c r="R226" s="233">
        <f t="shared" si="222"/>
        <v>4805</v>
      </c>
    </row>
    <row r="227" spans="1:18" s="29" customFormat="1" ht="24" hidden="1" customHeight="1">
      <c r="A227" s="132">
        <v>7400</v>
      </c>
      <c r="B227" s="172" t="s">
        <v>161</v>
      </c>
      <c r="C227" s="171">
        <v>0</v>
      </c>
      <c r="D227" s="171">
        <v>0</v>
      </c>
      <c r="E227" s="233">
        <f t="shared" ref="E227:G227" si="251">SUM(E228:E229)</f>
        <v>0</v>
      </c>
      <c r="F227" s="233">
        <f t="shared" si="251"/>
        <v>0</v>
      </c>
      <c r="G227" s="233">
        <f t="shared" si="251"/>
        <v>0</v>
      </c>
      <c r="H227" s="233">
        <f t="shared" si="220"/>
        <v>0</v>
      </c>
      <c r="I227" s="233">
        <v>0</v>
      </c>
      <c r="J227" s="233">
        <f t="shared" ref="J227:L227" si="252">SUM(J228:J229)</f>
        <v>0</v>
      </c>
      <c r="K227" s="233">
        <f t="shared" si="252"/>
        <v>0</v>
      </c>
      <c r="L227" s="233">
        <f t="shared" si="252"/>
        <v>0</v>
      </c>
      <c r="M227" s="233">
        <f t="shared" si="221"/>
        <v>0</v>
      </c>
      <c r="N227" s="233">
        <v>0</v>
      </c>
      <c r="O227" s="233">
        <f t="shared" ref="O227:Q227" si="253">SUM(O228:O229)</f>
        <v>0</v>
      </c>
      <c r="P227" s="233">
        <f t="shared" si="253"/>
        <v>0</v>
      </c>
      <c r="Q227" s="233">
        <f t="shared" si="253"/>
        <v>0</v>
      </c>
      <c r="R227" s="233">
        <f t="shared" si="222"/>
        <v>0</v>
      </c>
    </row>
    <row r="228" spans="1:18" s="29" customFormat="1" ht="24" hidden="1" customHeight="1">
      <c r="A228" s="133">
        <v>7460</v>
      </c>
      <c r="B228" s="172" t="s">
        <v>162</v>
      </c>
      <c r="C228" s="180">
        <v>0</v>
      </c>
      <c r="D228" s="180">
        <v>0</v>
      </c>
      <c r="E228" s="252"/>
      <c r="F228" s="252"/>
      <c r="G228" s="252"/>
      <c r="H228" s="233">
        <f t="shared" si="220"/>
        <v>0</v>
      </c>
      <c r="I228" s="252">
        <v>0</v>
      </c>
      <c r="J228" s="252"/>
      <c r="K228" s="252"/>
      <c r="L228" s="252"/>
      <c r="M228" s="233">
        <f t="shared" si="221"/>
        <v>0</v>
      </c>
      <c r="N228" s="252">
        <v>0</v>
      </c>
      <c r="O228" s="252"/>
      <c r="P228" s="252"/>
      <c r="Q228" s="252"/>
      <c r="R228" s="233">
        <f t="shared" si="222"/>
        <v>0</v>
      </c>
    </row>
    <row r="229" spans="1:18" s="29" customFormat="1" ht="48" hidden="1" customHeight="1">
      <c r="A229" s="133">
        <v>7470</v>
      </c>
      <c r="B229" s="179" t="s">
        <v>167</v>
      </c>
      <c r="C229" s="180">
        <v>0</v>
      </c>
      <c r="D229" s="180">
        <v>0</v>
      </c>
      <c r="E229" s="252"/>
      <c r="F229" s="252"/>
      <c r="G229" s="252"/>
      <c r="H229" s="233">
        <f t="shared" si="220"/>
        <v>0</v>
      </c>
      <c r="I229" s="252">
        <v>0</v>
      </c>
      <c r="J229" s="252"/>
      <c r="K229" s="252"/>
      <c r="L229" s="252"/>
      <c r="M229" s="233">
        <f t="shared" si="221"/>
        <v>0</v>
      </c>
      <c r="N229" s="252">
        <v>0</v>
      </c>
      <c r="O229" s="252"/>
      <c r="P229" s="252"/>
      <c r="Q229" s="252"/>
      <c r="R229" s="233">
        <f t="shared" si="222"/>
        <v>0</v>
      </c>
    </row>
    <row r="230" spans="1:18" s="29" customFormat="1" ht="24">
      <c r="A230" s="132">
        <v>7500</v>
      </c>
      <c r="B230" s="179" t="s">
        <v>157</v>
      </c>
      <c r="C230" s="171">
        <v>678314</v>
      </c>
      <c r="D230" s="171">
        <v>960842</v>
      </c>
      <c r="E230" s="233"/>
      <c r="F230" s="233"/>
      <c r="G230" s="233"/>
      <c r="H230" s="233">
        <f t="shared" si="220"/>
        <v>960842</v>
      </c>
      <c r="I230" s="233">
        <v>953449</v>
      </c>
      <c r="J230" s="233"/>
      <c r="K230" s="233"/>
      <c r="L230" s="233"/>
      <c r="M230" s="233">
        <f t="shared" si="221"/>
        <v>953449</v>
      </c>
      <c r="N230" s="233">
        <v>820062</v>
      </c>
      <c r="O230" s="233"/>
      <c r="P230" s="233"/>
      <c r="Q230" s="233"/>
      <c r="R230" s="233">
        <f t="shared" si="222"/>
        <v>820062</v>
      </c>
    </row>
    <row r="231" spans="1:18" s="29" customFormat="1" ht="12">
      <c r="A231" s="140" t="s">
        <v>133</v>
      </c>
      <c r="B231" s="124" t="s">
        <v>122</v>
      </c>
      <c r="C231" s="181">
        <v>4880675</v>
      </c>
      <c r="D231" s="181">
        <v>114232</v>
      </c>
      <c r="E231" s="254">
        <f t="shared" ref="E231:G231" si="254">E232+E233</f>
        <v>0</v>
      </c>
      <c r="F231" s="254">
        <f t="shared" si="254"/>
        <v>0</v>
      </c>
      <c r="G231" s="254">
        <f t="shared" si="254"/>
        <v>0</v>
      </c>
      <c r="H231" s="233">
        <f t="shared" si="220"/>
        <v>114232</v>
      </c>
      <c r="I231" s="254">
        <v>2492</v>
      </c>
      <c r="J231" s="254">
        <f t="shared" ref="J231:L231" si="255">J232+J233</f>
        <v>0</v>
      </c>
      <c r="K231" s="254">
        <f t="shared" si="255"/>
        <v>0</v>
      </c>
      <c r="L231" s="254">
        <f t="shared" si="255"/>
        <v>0</v>
      </c>
      <c r="M231" s="233">
        <f t="shared" si="221"/>
        <v>2492</v>
      </c>
      <c r="N231" s="254">
        <v>0</v>
      </c>
      <c r="O231" s="254">
        <f t="shared" ref="O231:Q231" si="256">O232+O233</f>
        <v>0</v>
      </c>
      <c r="P231" s="254">
        <f t="shared" si="256"/>
        <v>0</v>
      </c>
      <c r="Q231" s="254">
        <f t="shared" si="256"/>
        <v>0</v>
      </c>
      <c r="R231" s="233">
        <f t="shared" si="222"/>
        <v>0</v>
      </c>
    </row>
    <row r="232" spans="1:18" s="29" customFormat="1" ht="12">
      <c r="A232" s="140">
        <v>5000</v>
      </c>
      <c r="B232" s="124" t="s">
        <v>123</v>
      </c>
      <c r="C232" s="171">
        <v>4880675</v>
      </c>
      <c r="D232" s="171">
        <v>114232</v>
      </c>
      <c r="E232" s="233"/>
      <c r="F232" s="233"/>
      <c r="G232" s="233"/>
      <c r="H232" s="233">
        <f t="shared" si="220"/>
        <v>114232</v>
      </c>
      <c r="I232" s="233">
        <v>2492</v>
      </c>
      <c r="J232" s="233"/>
      <c r="K232" s="233"/>
      <c r="L232" s="233"/>
      <c r="M232" s="233">
        <f t="shared" si="221"/>
        <v>2492</v>
      </c>
      <c r="N232" s="233">
        <v>0</v>
      </c>
      <c r="O232" s="233"/>
      <c r="P232" s="233"/>
      <c r="Q232" s="233"/>
      <c r="R232" s="233">
        <f t="shared" si="222"/>
        <v>0</v>
      </c>
    </row>
    <row r="233" spans="1:18" s="29" customFormat="1" ht="12" hidden="1" customHeight="1">
      <c r="A233" s="140">
        <v>9000</v>
      </c>
      <c r="B233" s="182" t="s">
        <v>164</v>
      </c>
      <c r="C233" s="171">
        <v>0</v>
      </c>
      <c r="D233" s="171">
        <v>0</v>
      </c>
      <c r="E233" s="233">
        <f t="shared" ref="E233:G233" si="257">E234+E240+E244+E247</f>
        <v>0</v>
      </c>
      <c r="F233" s="233">
        <f t="shared" si="257"/>
        <v>0</v>
      </c>
      <c r="G233" s="233">
        <f t="shared" si="257"/>
        <v>0</v>
      </c>
      <c r="H233" s="233">
        <f t="shared" si="220"/>
        <v>0</v>
      </c>
      <c r="I233" s="233">
        <v>0</v>
      </c>
      <c r="J233" s="233">
        <f t="shared" ref="J233:L233" si="258">J234+J240+J244+J247</f>
        <v>0</v>
      </c>
      <c r="K233" s="233">
        <f t="shared" si="258"/>
        <v>0</v>
      </c>
      <c r="L233" s="233">
        <f t="shared" si="258"/>
        <v>0</v>
      </c>
      <c r="M233" s="233">
        <f t="shared" si="221"/>
        <v>0</v>
      </c>
      <c r="N233" s="233">
        <v>0</v>
      </c>
      <c r="O233" s="233">
        <f t="shared" ref="O233:Q233" si="259">O234+O240+O244+O247</f>
        <v>0</v>
      </c>
      <c r="P233" s="233">
        <f t="shared" si="259"/>
        <v>0</v>
      </c>
      <c r="Q233" s="233">
        <f t="shared" si="259"/>
        <v>0</v>
      </c>
      <c r="R233" s="233">
        <f t="shared" si="222"/>
        <v>0</v>
      </c>
    </row>
    <row r="234" spans="1:18" s="29" customFormat="1" ht="12" hidden="1" customHeight="1">
      <c r="A234" s="141">
        <v>9100</v>
      </c>
      <c r="B234" s="179" t="s">
        <v>124</v>
      </c>
      <c r="C234" s="171">
        <v>0</v>
      </c>
      <c r="D234" s="171">
        <v>0</v>
      </c>
      <c r="E234" s="233">
        <f t="shared" ref="E234:G234" si="260">SUM(E235:E236)</f>
        <v>0</v>
      </c>
      <c r="F234" s="233">
        <f t="shared" ref="F234" si="261">SUM(F235:F236)</f>
        <v>0</v>
      </c>
      <c r="G234" s="233">
        <f t="shared" si="260"/>
        <v>0</v>
      </c>
      <c r="H234" s="233">
        <f t="shared" si="220"/>
        <v>0</v>
      </c>
      <c r="I234" s="233">
        <v>0</v>
      </c>
      <c r="J234" s="233">
        <f t="shared" ref="J234:L234" si="262">SUM(J235:J236)</f>
        <v>0</v>
      </c>
      <c r="K234" s="233">
        <f t="shared" si="262"/>
        <v>0</v>
      </c>
      <c r="L234" s="233">
        <f t="shared" si="262"/>
        <v>0</v>
      </c>
      <c r="M234" s="233">
        <f t="shared" si="221"/>
        <v>0</v>
      </c>
      <c r="N234" s="233">
        <v>0</v>
      </c>
      <c r="O234" s="233">
        <f t="shared" ref="O234:Q234" si="263">SUM(O235:O236)</f>
        <v>0</v>
      </c>
      <c r="P234" s="233">
        <f t="shared" si="263"/>
        <v>0</v>
      </c>
      <c r="Q234" s="233">
        <f t="shared" si="263"/>
        <v>0</v>
      </c>
      <c r="R234" s="233">
        <f t="shared" si="222"/>
        <v>0</v>
      </c>
    </row>
    <row r="235" spans="1:18" s="29" customFormat="1" ht="24" hidden="1" customHeight="1">
      <c r="A235" s="133" t="s">
        <v>125</v>
      </c>
      <c r="B235" s="179" t="s">
        <v>214</v>
      </c>
      <c r="C235" s="171">
        <v>0</v>
      </c>
      <c r="D235" s="171">
        <v>0</v>
      </c>
      <c r="E235" s="233"/>
      <c r="F235" s="233"/>
      <c r="G235" s="233"/>
      <c r="H235" s="233">
        <f t="shared" si="220"/>
        <v>0</v>
      </c>
      <c r="I235" s="233">
        <v>0</v>
      </c>
      <c r="J235" s="233"/>
      <c r="K235" s="233"/>
      <c r="L235" s="233"/>
      <c r="M235" s="233">
        <f t="shared" si="221"/>
        <v>0</v>
      </c>
      <c r="N235" s="233">
        <v>0</v>
      </c>
      <c r="O235" s="233"/>
      <c r="P235" s="233"/>
      <c r="Q235" s="233"/>
      <c r="R235" s="233">
        <f t="shared" si="222"/>
        <v>0</v>
      </c>
    </row>
    <row r="236" spans="1:18" s="29" customFormat="1" ht="24" hidden="1" customHeight="1">
      <c r="A236" s="133">
        <v>9140</v>
      </c>
      <c r="B236" s="179" t="s">
        <v>215</v>
      </c>
      <c r="C236" s="171">
        <v>0</v>
      </c>
      <c r="D236" s="171">
        <v>0</v>
      </c>
      <c r="E236" s="233">
        <f t="shared" ref="E236:G236" si="264">SUM(E237:E239)</f>
        <v>0</v>
      </c>
      <c r="F236" s="233">
        <f t="shared" si="264"/>
        <v>0</v>
      </c>
      <c r="G236" s="233">
        <f t="shared" si="264"/>
        <v>0</v>
      </c>
      <c r="H236" s="233">
        <f t="shared" si="220"/>
        <v>0</v>
      </c>
      <c r="I236" s="233">
        <v>0</v>
      </c>
      <c r="J236" s="233">
        <f t="shared" ref="J236:L236" si="265">SUM(J237:J239)</f>
        <v>0</v>
      </c>
      <c r="K236" s="233">
        <f t="shared" si="265"/>
        <v>0</v>
      </c>
      <c r="L236" s="233">
        <f t="shared" si="265"/>
        <v>0</v>
      </c>
      <c r="M236" s="233">
        <f t="shared" si="221"/>
        <v>0</v>
      </c>
      <c r="N236" s="233">
        <v>0</v>
      </c>
      <c r="O236" s="233">
        <f t="shared" ref="O236:Q236" si="266">SUM(O237:O239)</f>
        <v>0</v>
      </c>
      <c r="P236" s="233">
        <f t="shared" si="266"/>
        <v>0</v>
      </c>
      <c r="Q236" s="233">
        <f t="shared" si="266"/>
        <v>0</v>
      </c>
      <c r="R236" s="233">
        <f t="shared" si="222"/>
        <v>0</v>
      </c>
    </row>
    <row r="237" spans="1:18" s="29" customFormat="1" ht="36" hidden="1" customHeight="1">
      <c r="A237" s="134">
        <v>9141</v>
      </c>
      <c r="B237" s="172" t="s">
        <v>190</v>
      </c>
      <c r="C237" s="180">
        <v>0</v>
      </c>
      <c r="D237" s="180">
        <v>0</v>
      </c>
      <c r="E237" s="252"/>
      <c r="F237" s="252"/>
      <c r="G237" s="252"/>
      <c r="H237" s="233">
        <f t="shared" si="220"/>
        <v>0</v>
      </c>
      <c r="I237" s="252">
        <v>0</v>
      </c>
      <c r="J237" s="252"/>
      <c r="K237" s="252"/>
      <c r="L237" s="252"/>
      <c r="M237" s="233">
        <f t="shared" si="221"/>
        <v>0</v>
      </c>
      <c r="N237" s="252">
        <v>0</v>
      </c>
      <c r="O237" s="252"/>
      <c r="P237" s="252"/>
      <c r="Q237" s="252"/>
      <c r="R237" s="233">
        <f t="shared" si="222"/>
        <v>0</v>
      </c>
    </row>
    <row r="238" spans="1:18" s="29" customFormat="1" ht="36" hidden="1" customHeight="1">
      <c r="A238" s="134">
        <v>9142</v>
      </c>
      <c r="B238" s="172" t="s">
        <v>191</v>
      </c>
      <c r="C238" s="180">
        <v>0</v>
      </c>
      <c r="D238" s="180">
        <v>0</v>
      </c>
      <c r="E238" s="252"/>
      <c r="F238" s="252"/>
      <c r="G238" s="252"/>
      <c r="H238" s="233">
        <f t="shared" si="220"/>
        <v>0</v>
      </c>
      <c r="I238" s="252">
        <v>0</v>
      </c>
      <c r="J238" s="252"/>
      <c r="K238" s="252"/>
      <c r="L238" s="252"/>
      <c r="M238" s="233">
        <f t="shared" si="221"/>
        <v>0</v>
      </c>
      <c r="N238" s="252">
        <v>0</v>
      </c>
      <c r="O238" s="252"/>
      <c r="P238" s="252"/>
      <c r="Q238" s="252"/>
      <c r="R238" s="233">
        <f t="shared" si="222"/>
        <v>0</v>
      </c>
    </row>
    <row r="239" spans="1:18" s="29" customFormat="1" ht="24" hidden="1" customHeight="1">
      <c r="A239" s="134">
        <v>9149</v>
      </c>
      <c r="B239" s="172" t="s">
        <v>192</v>
      </c>
      <c r="C239" s="180">
        <v>0</v>
      </c>
      <c r="D239" s="180">
        <v>0</v>
      </c>
      <c r="E239" s="252"/>
      <c r="F239" s="252"/>
      <c r="G239" s="252"/>
      <c r="H239" s="233">
        <f t="shared" si="220"/>
        <v>0</v>
      </c>
      <c r="I239" s="252">
        <v>0</v>
      </c>
      <c r="J239" s="252"/>
      <c r="K239" s="252"/>
      <c r="L239" s="252"/>
      <c r="M239" s="233">
        <f t="shared" si="221"/>
        <v>0</v>
      </c>
      <c r="N239" s="252">
        <v>0</v>
      </c>
      <c r="O239" s="252"/>
      <c r="P239" s="252"/>
      <c r="Q239" s="252"/>
      <c r="R239" s="233">
        <f t="shared" si="222"/>
        <v>0</v>
      </c>
    </row>
    <row r="240" spans="1:18" s="29" customFormat="1" ht="24" hidden="1" customHeight="1">
      <c r="A240" s="141">
        <v>9500</v>
      </c>
      <c r="B240" s="172" t="s">
        <v>165</v>
      </c>
      <c r="C240" s="171">
        <v>0</v>
      </c>
      <c r="D240" s="171">
        <v>0</v>
      </c>
      <c r="E240" s="233">
        <f t="shared" ref="E240:G240" si="267">SUM(E241:E243)</f>
        <v>0</v>
      </c>
      <c r="F240" s="233">
        <f t="shared" si="267"/>
        <v>0</v>
      </c>
      <c r="G240" s="233">
        <f t="shared" si="267"/>
        <v>0</v>
      </c>
      <c r="H240" s="233">
        <f t="shared" si="220"/>
        <v>0</v>
      </c>
      <c r="I240" s="233">
        <v>0</v>
      </c>
      <c r="J240" s="233">
        <f t="shared" ref="J240:L240" si="268">SUM(J241:J243)</f>
        <v>0</v>
      </c>
      <c r="K240" s="233">
        <f t="shared" si="268"/>
        <v>0</v>
      </c>
      <c r="L240" s="233">
        <f t="shared" si="268"/>
        <v>0</v>
      </c>
      <c r="M240" s="233">
        <f t="shared" si="221"/>
        <v>0</v>
      </c>
      <c r="N240" s="233">
        <v>0</v>
      </c>
      <c r="O240" s="233">
        <f t="shared" ref="O240:Q240" si="269">SUM(O241:O243)</f>
        <v>0</v>
      </c>
      <c r="P240" s="233">
        <f t="shared" si="269"/>
        <v>0</v>
      </c>
      <c r="Q240" s="233">
        <f t="shared" si="269"/>
        <v>0</v>
      </c>
      <c r="R240" s="233">
        <f t="shared" si="222"/>
        <v>0</v>
      </c>
    </row>
    <row r="241" spans="1:18" s="29" customFormat="1" ht="24" hidden="1" customHeight="1">
      <c r="A241" s="133" t="s">
        <v>193</v>
      </c>
      <c r="B241" s="172" t="s">
        <v>171</v>
      </c>
      <c r="C241" s="171">
        <v>0</v>
      </c>
      <c r="D241" s="171">
        <v>0</v>
      </c>
      <c r="E241" s="233"/>
      <c r="F241" s="233"/>
      <c r="G241" s="233"/>
      <c r="H241" s="233">
        <f t="shared" si="220"/>
        <v>0</v>
      </c>
      <c r="I241" s="233">
        <v>0</v>
      </c>
      <c r="J241" s="233"/>
      <c r="K241" s="233"/>
      <c r="L241" s="233"/>
      <c r="M241" s="233">
        <f t="shared" si="221"/>
        <v>0</v>
      </c>
      <c r="N241" s="233">
        <v>0</v>
      </c>
      <c r="O241" s="233"/>
      <c r="P241" s="233"/>
      <c r="Q241" s="233"/>
      <c r="R241" s="233">
        <f t="shared" si="222"/>
        <v>0</v>
      </c>
    </row>
    <row r="242" spans="1:18" s="29" customFormat="1" ht="48" hidden="1" customHeight="1">
      <c r="A242" s="133">
        <v>9580</v>
      </c>
      <c r="B242" s="172" t="s">
        <v>166</v>
      </c>
      <c r="C242" s="180">
        <v>0</v>
      </c>
      <c r="D242" s="180">
        <v>0</v>
      </c>
      <c r="E242" s="252"/>
      <c r="F242" s="252"/>
      <c r="G242" s="252"/>
      <c r="H242" s="233">
        <f t="shared" si="220"/>
        <v>0</v>
      </c>
      <c r="I242" s="252">
        <v>0</v>
      </c>
      <c r="J242" s="252"/>
      <c r="K242" s="252"/>
      <c r="L242" s="252"/>
      <c r="M242" s="233">
        <f t="shared" si="221"/>
        <v>0</v>
      </c>
      <c r="N242" s="252">
        <v>0</v>
      </c>
      <c r="O242" s="252"/>
      <c r="P242" s="252"/>
      <c r="Q242" s="252"/>
      <c r="R242" s="233">
        <f t="shared" si="222"/>
        <v>0</v>
      </c>
    </row>
    <row r="243" spans="1:18" s="29" customFormat="1" ht="48" hidden="1" customHeight="1">
      <c r="A243" s="133">
        <v>9590</v>
      </c>
      <c r="B243" s="179" t="s">
        <v>172</v>
      </c>
      <c r="C243" s="180">
        <v>0</v>
      </c>
      <c r="D243" s="180">
        <v>0</v>
      </c>
      <c r="E243" s="252"/>
      <c r="F243" s="252"/>
      <c r="G243" s="252"/>
      <c r="H243" s="233">
        <f t="shared" si="220"/>
        <v>0</v>
      </c>
      <c r="I243" s="252">
        <v>0</v>
      </c>
      <c r="J243" s="252"/>
      <c r="K243" s="252"/>
      <c r="L243" s="252"/>
      <c r="M243" s="233">
        <f t="shared" si="221"/>
        <v>0</v>
      </c>
      <c r="N243" s="252">
        <v>0</v>
      </c>
      <c r="O243" s="252"/>
      <c r="P243" s="252"/>
      <c r="Q243" s="252"/>
      <c r="R243" s="233">
        <f t="shared" si="222"/>
        <v>0</v>
      </c>
    </row>
    <row r="244" spans="1:18" s="29" customFormat="1" ht="24" hidden="1" customHeight="1">
      <c r="A244" s="141">
        <v>9700</v>
      </c>
      <c r="B244" s="183" t="s">
        <v>194</v>
      </c>
      <c r="C244" s="171">
        <v>0</v>
      </c>
      <c r="D244" s="171">
        <v>0</v>
      </c>
      <c r="E244" s="233">
        <f t="shared" ref="E244:G244" si="270">SUM(E245:E246)</f>
        <v>0</v>
      </c>
      <c r="F244" s="233">
        <f t="shared" si="270"/>
        <v>0</v>
      </c>
      <c r="G244" s="233">
        <f t="shared" si="270"/>
        <v>0</v>
      </c>
      <c r="H244" s="233">
        <f t="shared" si="220"/>
        <v>0</v>
      </c>
      <c r="I244" s="233">
        <v>0</v>
      </c>
      <c r="J244" s="233">
        <f t="shared" ref="J244:L244" si="271">SUM(J245:J246)</f>
        <v>0</v>
      </c>
      <c r="K244" s="233">
        <f t="shared" si="271"/>
        <v>0</v>
      </c>
      <c r="L244" s="233">
        <f t="shared" si="271"/>
        <v>0</v>
      </c>
      <c r="M244" s="233">
        <f t="shared" si="221"/>
        <v>0</v>
      </c>
      <c r="N244" s="233">
        <v>0</v>
      </c>
      <c r="O244" s="233">
        <f t="shared" ref="O244:Q244" si="272">SUM(O245:O246)</f>
        <v>0</v>
      </c>
      <c r="P244" s="233">
        <f t="shared" si="272"/>
        <v>0</v>
      </c>
      <c r="Q244" s="233">
        <f t="shared" si="272"/>
        <v>0</v>
      </c>
      <c r="R244" s="233">
        <f t="shared" si="222"/>
        <v>0</v>
      </c>
    </row>
    <row r="245" spans="1:18" s="29" customFormat="1" ht="24" hidden="1" customHeight="1">
      <c r="A245" s="133">
        <v>9710</v>
      </c>
      <c r="B245" s="184" t="s">
        <v>195</v>
      </c>
      <c r="C245" s="180">
        <v>0</v>
      </c>
      <c r="D245" s="180">
        <v>0</v>
      </c>
      <c r="E245" s="252"/>
      <c r="F245" s="252"/>
      <c r="G245" s="252"/>
      <c r="H245" s="233">
        <f t="shared" si="220"/>
        <v>0</v>
      </c>
      <c r="I245" s="252">
        <v>0</v>
      </c>
      <c r="J245" s="252"/>
      <c r="K245" s="252"/>
      <c r="L245" s="252"/>
      <c r="M245" s="233">
        <f t="shared" si="221"/>
        <v>0</v>
      </c>
      <c r="N245" s="252">
        <v>0</v>
      </c>
      <c r="O245" s="252"/>
      <c r="P245" s="252"/>
      <c r="Q245" s="252"/>
      <c r="R245" s="233">
        <f t="shared" si="222"/>
        <v>0</v>
      </c>
    </row>
    <row r="246" spans="1:18" s="29" customFormat="1" ht="48" hidden="1" customHeight="1">
      <c r="A246" s="142">
        <v>9720</v>
      </c>
      <c r="B246" s="183" t="s">
        <v>196</v>
      </c>
      <c r="C246" s="180">
        <v>0</v>
      </c>
      <c r="D246" s="180">
        <v>0</v>
      </c>
      <c r="E246" s="252"/>
      <c r="F246" s="252"/>
      <c r="G246" s="252"/>
      <c r="H246" s="233">
        <f t="shared" si="220"/>
        <v>0</v>
      </c>
      <c r="I246" s="252">
        <v>0</v>
      </c>
      <c r="J246" s="252"/>
      <c r="K246" s="252"/>
      <c r="L246" s="252"/>
      <c r="M246" s="233">
        <f t="shared" si="221"/>
        <v>0</v>
      </c>
      <c r="N246" s="252">
        <v>0</v>
      </c>
      <c r="O246" s="252"/>
      <c r="P246" s="252"/>
      <c r="Q246" s="252"/>
      <c r="R246" s="233">
        <f t="shared" si="222"/>
        <v>0</v>
      </c>
    </row>
    <row r="247" spans="1:18" s="29" customFormat="1" ht="24" hidden="1" customHeight="1">
      <c r="A247" s="141">
        <v>9600</v>
      </c>
      <c r="B247" s="179" t="s">
        <v>134</v>
      </c>
      <c r="C247" s="180">
        <v>0</v>
      </c>
      <c r="D247" s="180">
        <v>0</v>
      </c>
      <c r="E247" s="252"/>
      <c r="F247" s="252"/>
      <c r="G247" s="252"/>
      <c r="H247" s="233">
        <f t="shared" si="220"/>
        <v>0</v>
      </c>
      <c r="I247" s="252">
        <v>0</v>
      </c>
      <c r="J247" s="252"/>
      <c r="K247" s="252"/>
      <c r="L247" s="252"/>
      <c r="M247" s="233">
        <f t="shared" si="221"/>
        <v>0</v>
      </c>
      <c r="N247" s="252">
        <v>0</v>
      </c>
      <c r="O247" s="252"/>
      <c r="P247" s="252"/>
      <c r="Q247" s="252"/>
      <c r="R247" s="233">
        <f t="shared" si="222"/>
        <v>0</v>
      </c>
    </row>
    <row r="248" spans="1:18" s="29" customFormat="1" ht="30.6">
      <c r="A248" s="130" t="s">
        <v>197</v>
      </c>
      <c r="B248" s="185" t="s">
        <v>47</v>
      </c>
      <c r="C248" s="186">
        <v>-57151</v>
      </c>
      <c r="D248" s="186">
        <v>0</v>
      </c>
      <c r="E248" s="262">
        <f t="shared" ref="E248:G248" si="273">E178-E203</f>
        <v>0</v>
      </c>
      <c r="F248" s="262">
        <f t="shared" si="273"/>
        <v>0</v>
      </c>
      <c r="G248" s="262">
        <f t="shared" si="273"/>
        <v>0</v>
      </c>
      <c r="H248" s="233">
        <f t="shared" si="220"/>
        <v>0</v>
      </c>
      <c r="I248" s="262">
        <v>0</v>
      </c>
      <c r="J248" s="262">
        <f t="shared" ref="J248:L248" si="274">J178-J203</f>
        <v>0</v>
      </c>
      <c r="K248" s="262">
        <f t="shared" si="274"/>
        <v>0</v>
      </c>
      <c r="L248" s="262">
        <f t="shared" si="274"/>
        <v>0</v>
      </c>
      <c r="M248" s="233">
        <f t="shared" si="221"/>
        <v>0</v>
      </c>
      <c r="N248" s="262">
        <v>0</v>
      </c>
      <c r="O248" s="262">
        <f t="shared" ref="O248:Q248" si="275">O178-O203</f>
        <v>0</v>
      </c>
      <c r="P248" s="262">
        <f t="shared" si="275"/>
        <v>0</v>
      </c>
      <c r="Q248" s="262">
        <f t="shared" si="275"/>
        <v>0</v>
      </c>
      <c r="R248" s="233">
        <f t="shared" si="222"/>
        <v>0</v>
      </c>
    </row>
    <row r="249" spans="1:18" s="29" customFormat="1" ht="12">
      <c r="A249" s="143" t="s">
        <v>48</v>
      </c>
      <c r="B249" s="185" t="s">
        <v>49</v>
      </c>
      <c r="C249" s="186">
        <v>57151</v>
      </c>
      <c r="D249" s="186">
        <v>0</v>
      </c>
      <c r="E249" s="262">
        <f t="shared" ref="E249:G249" si="276">E250+E253+E257+E256</f>
        <v>0</v>
      </c>
      <c r="F249" s="262">
        <f t="shared" si="276"/>
        <v>0</v>
      </c>
      <c r="G249" s="262">
        <f t="shared" si="276"/>
        <v>0</v>
      </c>
      <c r="H249" s="233">
        <f t="shared" si="220"/>
        <v>0</v>
      </c>
      <c r="I249" s="262">
        <v>0</v>
      </c>
      <c r="J249" s="262">
        <f t="shared" ref="J249:L249" si="277">J250+J253+J257+J256</f>
        <v>0</v>
      </c>
      <c r="K249" s="262">
        <f t="shared" si="277"/>
        <v>0</v>
      </c>
      <c r="L249" s="262">
        <f t="shared" si="277"/>
        <v>0</v>
      </c>
      <c r="M249" s="233">
        <f t="shared" si="221"/>
        <v>0</v>
      </c>
      <c r="N249" s="262">
        <v>0</v>
      </c>
      <c r="O249" s="262">
        <f t="shared" ref="O249:Q249" si="278">O250+O253+O257+O256</f>
        <v>0</v>
      </c>
      <c r="P249" s="262">
        <f t="shared" si="278"/>
        <v>0</v>
      </c>
      <c r="Q249" s="262">
        <f t="shared" si="278"/>
        <v>0</v>
      </c>
      <c r="R249" s="233">
        <f t="shared" si="222"/>
        <v>0</v>
      </c>
    </row>
    <row r="250" spans="1:18" s="29" customFormat="1" ht="12" hidden="1" customHeight="1">
      <c r="A250" s="141" t="s">
        <v>50</v>
      </c>
      <c r="B250" s="179" t="s">
        <v>51</v>
      </c>
      <c r="C250" s="169">
        <v>0</v>
      </c>
      <c r="D250" s="169">
        <v>0</v>
      </c>
      <c r="E250" s="231">
        <f t="shared" ref="E250:G250" si="279">E251+E252</f>
        <v>0</v>
      </c>
      <c r="F250" s="231">
        <f t="shared" si="279"/>
        <v>0</v>
      </c>
      <c r="G250" s="231">
        <f t="shared" si="279"/>
        <v>0</v>
      </c>
      <c r="H250" s="233">
        <f t="shared" si="220"/>
        <v>0</v>
      </c>
      <c r="I250" s="231">
        <v>0</v>
      </c>
      <c r="J250" s="231">
        <f t="shared" ref="J250:L250" si="280">J251+J252</f>
        <v>0</v>
      </c>
      <c r="K250" s="231">
        <f t="shared" si="280"/>
        <v>0</v>
      </c>
      <c r="L250" s="231">
        <f t="shared" si="280"/>
        <v>0</v>
      </c>
      <c r="M250" s="233">
        <f t="shared" si="221"/>
        <v>0</v>
      </c>
      <c r="N250" s="231">
        <v>0</v>
      </c>
      <c r="O250" s="231">
        <f t="shared" ref="O250:Q250" si="281">O251+O252</f>
        <v>0</v>
      </c>
      <c r="P250" s="231">
        <f t="shared" si="281"/>
        <v>0</v>
      </c>
      <c r="Q250" s="231">
        <f t="shared" si="281"/>
        <v>0</v>
      </c>
      <c r="R250" s="233">
        <f t="shared" si="222"/>
        <v>0</v>
      </c>
    </row>
    <row r="251" spans="1:18" s="29" customFormat="1" ht="12" hidden="1" customHeight="1">
      <c r="A251" s="141" t="s">
        <v>52</v>
      </c>
      <c r="B251" s="179" t="s">
        <v>53</v>
      </c>
      <c r="C251" s="169">
        <v>0</v>
      </c>
      <c r="D251" s="169">
        <v>0</v>
      </c>
      <c r="E251" s="231"/>
      <c r="F251" s="231"/>
      <c r="G251" s="231"/>
      <c r="H251" s="233">
        <f t="shared" si="220"/>
        <v>0</v>
      </c>
      <c r="I251" s="231">
        <v>0</v>
      </c>
      <c r="J251" s="231"/>
      <c r="K251" s="231"/>
      <c r="L251" s="231"/>
      <c r="M251" s="233">
        <f t="shared" si="221"/>
        <v>0</v>
      </c>
      <c r="N251" s="231">
        <v>0</v>
      </c>
      <c r="O251" s="231"/>
      <c r="P251" s="231"/>
      <c r="Q251" s="231"/>
      <c r="R251" s="233">
        <f t="shared" si="222"/>
        <v>0</v>
      </c>
    </row>
    <row r="252" spans="1:18" s="29" customFormat="1" ht="12" hidden="1" customHeight="1">
      <c r="A252" s="141" t="s">
        <v>54</v>
      </c>
      <c r="B252" s="179" t="s">
        <v>55</v>
      </c>
      <c r="C252" s="169">
        <v>0</v>
      </c>
      <c r="D252" s="169">
        <v>0</v>
      </c>
      <c r="E252" s="231"/>
      <c r="F252" s="231"/>
      <c r="G252" s="231"/>
      <c r="H252" s="233">
        <f t="shared" si="220"/>
        <v>0</v>
      </c>
      <c r="I252" s="231">
        <v>0</v>
      </c>
      <c r="J252" s="231"/>
      <c r="K252" s="231"/>
      <c r="L252" s="231"/>
      <c r="M252" s="233">
        <f t="shared" si="221"/>
        <v>0</v>
      </c>
      <c r="N252" s="231">
        <v>0</v>
      </c>
      <c r="O252" s="231"/>
      <c r="P252" s="231"/>
      <c r="Q252" s="231"/>
      <c r="R252" s="233">
        <f t="shared" si="222"/>
        <v>0</v>
      </c>
    </row>
    <row r="253" spans="1:18" s="29" customFormat="1" ht="12" hidden="1" customHeight="1">
      <c r="A253" s="141" t="s">
        <v>56</v>
      </c>
      <c r="B253" s="179" t="s">
        <v>57</v>
      </c>
      <c r="C253" s="169">
        <v>0</v>
      </c>
      <c r="D253" s="169">
        <v>0</v>
      </c>
      <c r="E253" s="231">
        <f t="shared" ref="E253:G253" si="282">E254+E255</f>
        <v>0</v>
      </c>
      <c r="F253" s="231">
        <f t="shared" si="282"/>
        <v>0</v>
      </c>
      <c r="G253" s="231">
        <f t="shared" si="282"/>
        <v>0</v>
      </c>
      <c r="H253" s="233">
        <f t="shared" si="220"/>
        <v>0</v>
      </c>
      <c r="I253" s="231">
        <v>0</v>
      </c>
      <c r="J253" s="231">
        <f t="shared" ref="J253:L253" si="283">J254+J255</f>
        <v>0</v>
      </c>
      <c r="K253" s="231">
        <f t="shared" si="283"/>
        <v>0</v>
      </c>
      <c r="L253" s="231">
        <f t="shared" si="283"/>
        <v>0</v>
      </c>
      <c r="M253" s="233">
        <f t="shared" si="221"/>
        <v>0</v>
      </c>
      <c r="N253" s="231">
        <v>0</v>
      </c>
      <c r="O253" s="231">
        <f t="shared" ref="O253:Q253" si="284">O254+O255</f>
        <v>0</v>
      </c>
      <c r="P253" s="231">
        <f t="shared" si="284"/>
        <v>0</v>
      </c>
      <c r="Q253" s="231">
        <f t="shared" si="284"/>
        <v>0</v>
      </c>
      <c r="R253" s="233">
        <f t="shared" si="222"/>
        <v>0</v>
      </c>
    </row>
    <row r="254" spans="1:18" s="29" customFormat="1" ht="12" hidden="1" customHeight="1">
      <c r="A254" s="141" t="s">
        <v>58</v>
      </c>
      <c r="B254" s="179" t="s">
        <v>59</v>
      </c>
      <c r="C254" s="169">
        <v>0</v>
      </c>
      <c r="D254" s="169">
        <v>0</v>
      </c>
      <c r="E254" s="231"/>
      <c r="F254" s="231"/>
      <c r="G254" s="231"/>
      <c r="H254" s="233">
        <f t="shared" si="220"/>
        <v>0</v>
      </c>
      <c r="I254" s="231">
        <v>0</v>
      </c>
      <c r="J254" s="231"/>
      <c r="K254" s="231"/>
      <c r="L254" s="231"/>
      <c r="M254" s="233">
        <f t="shared" si="221"/>
        <v>0</v>
      </c>
      <c r="N254" s="231">
        <v>0</v>
      </c>
      <c r="O254" s="231"/>
      <c r="P254" s="231"/>
      <c r="Q254" s="231"/>
      <c r="R254" s="233">
        <f t="shared" si="222"/>
        <v>0</v>
      </c>
    </row>
    <row r="255" spans="1:18" s="29" customFormat="1" ht="12" hidden="1" customHeight="1">
      <c r="A255" s="141" t="s">
        <v>60</v>
      </c>
      <c r="B255" s="179" t="s">
        <v>61</v>
      </c>
      <c r="C255" s="169">
        <v>0</v>
      </c>
      <c r="D255" s="169">
        <v>0</v>
      </c>
      <c r="E255" s="231"/>
      <c r="F255" s="231"/>
      <c r="G255" s="231"/>
      <c r="H255" s="233">
        <f t="shared" si="220"/>
        <v>0</v>
      </c>
      <c r="I255" s="231">
        <v>0</v>
      </c>
      <c r="J255" s="231"/>
      <c r="K255" s="231"/>
      <c r="L255" s="231"/>
      <c r="M255" s="233">
        <f t="shared" si="221"/>
        <v>0</v>
      </c>
      <c r="N255" s="231">
        <v>0</v>
      </c>
      <c r="O255" s="231"/>
      <c r="P255" s="231"/>
      <c r="Q255" s="231"/>
      <c r="R255" s="233">
        <f t="shared" si="222"/>
        <v>0</v>
      </c>
    </row>
    <row r="256" spans="1:18" s="29" customFormat="1" ht="12" hidden="1" customHeight="1">
      <c r="A256" s="141" t="s">
        <v>198</v>
      </c>
      <c r="B256" s="187" t="s">
        <v>168</v>
      </c>
      <c r="C256" s="169">
        <v>0</v>
      </c>
      <c r="D256" s="169">
        <v>0</v>
      </c>
      <c r="E256" s="231"/>
      <c r="F256" s="231"/>
      <c r="G256" s="231"/>
      <c r="H256" s="233">
        <f t="shared" si="220"/>
        <v>0</v>
      </c>
      <c r="I256" s="231">
        <v>0</v>
      </c>
      <c r="J256" s="231"/>
      <c r="K256" s="231"/>
      <c r="L256" s="231"/>
      <c r="M256" s="233">
        <f t="shared" si="221"/>
        <v>0</v>
      </c>
      <c r="N256" s="231">
        <v>0</v>
      </c>
      <c r="O256" s="231"/>
      <c r="P256" s="231"/>
      <c r="Q256" s="231"/>
      <c r="R256" s="233">
        <f t="shared" si="222"/>
        <v>0</v>
      </c>
    </row>
    <row r="257" spans="1:18" s="29" customFormat="1" ht="12">
      <c r="A257" s="144" t="s">
        <v>62</v>
      </c>
      <c r="B257" s="125" t="s">
        <v>63</v>
      </c>
      <c r="C257" s="171">
        <v>57151</v>
      </c>
      <c r="D257" s="171">
        <v>0</v>
      </c>
      <c r="E257" s="233">
        <f t="shared" ref="E257:G257" si="285">E258+E259+E260</f>
        <v>0</v>
      </c>
      <c r="F257" s="233">
        <f t="shared" si="285"/>
        <v>0</v>
      </c>
      <c r="G257" s="233">
        <f t="shared" si="285"/>
        <v>0</v>
      </c>
      <c r="H257" s="233">
        <f t="shared" si="220"/>
        <v>0</v>
      </c>
      <c r="I257" s="233">
        <v>0</v>
      </c>
      <c r="J257" s="233">
        <f t="shared" ref="J257:L257" si="286">J258+J259+J260</f>
        <v>0</v>
      </c>
      <c r="K257" s="233">
        <f t="shared" si="286"/>
        <v>0</v>
      </c>
      <c r="L257" s="233">
        <f t="shared" si="286"/>
        <v>0</v>
      </c>
      <c r="M257" s="233">
        <f t="shared" si="221"/>
        <v>0</v>
      </c>
      <c r="N257" s="233">
        <v>0</v>
      </c>
      <c r="O257" s="233">
        <f t="shared" ref="O257:Q257" si="287">O258+O259+O260</f>
        <v>0</v>
      </c>
      <c r="P257" s="233">
        <f t="shared" si="287"/>
        <v>0</v>
      </c>
      <c r="Q257" s="233">
        <f t="shared" si="287"/>
        <v>0</v>
      </c>
      <c r="R257" s="233">
        <f t="shared" si="222"/>
        <v>0</v>
      </c>
    </row>
    <row r="258" spans="1:18" s="29" customFormat="1" ht="36" hidden="1" customHeight="1">
      <c r="A258" s="144" t="s">
        <v>64</v>
      </c>
      <c r="B258" s="179" t="s">
        <v>65</v>
      </c>
      <c r="C258" s="169">
        <v>0</v>
      </c>
      <c r="D258" s="169">
        <v>0</v>
      </c>
      <c r="E258" s="231"/>
      <c r="F258" s="231"/>
      <c r="G258" s="231"/>
      <c r="H258" s="233">
        <f t="shared" si="220"/>
        <v>0</v>
      </c>
      <c r="I258" s="231">
        <v>0</v>
      </c>
      <c r="J258" s="231"/>
      <c r="K258" s="231"/>
      <c r="L258" s="231"/>
      <c r="M258" s="233">
        <f t="shared" si="221"/>
        <v>0</v>
      </c>
      <c r="N258" s="231">
        <v>0</v>
      </c>
      <c r="O258" s="231"/>
      <c r="P258" s="231"/>
      <c r="Q258" s="231"/>
      <c r="R258" s="233">
        <f t="shared" si="222"/>
        <v>0</v>
      </c>
    </row>
    <row r="259" spans="1:18" s="29" customFormat="1" ht="24">
      <c r="A259" s="144" t="s">
        <v>66</v>
      </c>
      <c r="B259" s="179" t="s">
        <v>67</v>
      </c>
      <c r="C259" s="169">
        <v>57151</v>
      </c>
      <c r="D259" s="169">
        <v>0</v>
      </c>
      <c r="E259" s="231"/>
      <c r="F259" s="231"/>
      <c r="G259" s="231"/>
      <c r="H259" s="233">
        <f t="shared" si="220"/>
        <v>0</v>
      </c>
      <c r="I259" s="231">
        <v>0</v>
      </c>
      <c r="J259" s="231"/>
      <c r="K259" s="231"/>
      <c r="L259" s="231"/>
      <c r="M259" s="233">
        <f t="shared" si="221"/>
        <v>0</v>
      </c>
      <c r="N259" s="231">
        <v>0</v>
      </c>
      <c r="O259" s="231"/>
      <c r="P259" s="231"/>
      <c r="Q259" s="231"/>
      <c r="R259" s="233">
        <f t="shared" si="222"/>
        <v>0</v>
      </c>
    </row>
    <row r="260" spans="1:18" s="29" customFormat="1" ht="24" hidden="1" customHeight="1">
      <c r="A260" s="144" t="s">
        <v>68</v>
      </c>
      <c r="B260" s="125" t="s">
        <v>69</v>
      </c>
      <c r="C260" s="169"/>
      <c r="D260" s="169">
        <v>0</v>
      </c>
      <c r="E260" s="231"/>
      <c r="F260" s="231"/>
      <c r="G260" s="231"/>
      <c r="H260" s="233">
        <f t="shared" si="220"/>
        <v>0</v>
      </c>
      <c r="I260" s="231">
        <v>0</v>
      </c>
      <c r="J260" s="231"/>
      <c r="K260" s="231"/>
      <c r="L260" s="231"/>
      <c r="M260" s="233">
        <f t="shared" si="221"/>
        <v>0</v>
      </c>
      <c r="N260" s="231">
        <v>0</v>
      </c>
      <c r="O260" s="231"/>
      <c r="P260" s="231"/>
      <c r="Q260" s="231"/>
      <c r="R260" s="233">
        <f t="shared" si="222"/>
        <v>0</v>
      </c>
    </row>
    <row r="261" spans="1:18" s="29" customFormat="1" ht="12">
      <c r="A261" s="271"/>
      <c r="B261" s="272"/>
      <c r="C261" s="254"/>
      <c r="D261" s="254"/>
      <c r="E261" s="254"/>
      <c r="F261" s="254"/>
      <c r="G261" s="254"/>
      <c r="H261" s="233"/>
      <c r="I261" s="254"/>
      <c r="J261" s="254"/>
      <c r="K261" s="254"/>
      <c r="L261" s="254"/>
      <c r="M261" s="233"/>
      <c r="N261" s="254"/>
      <c r="O261" s="254"/>
      <c r="P261" s="254"/>
      <c r="Q261" s="254"/>
      <c r="R261" s="233"/>
    </row>
    <row r="262" spans="1:18" ht="12">
      <c r="A262" s="33"/>
      <c r="B262" s="164"/>
      <c r="C262" s="540"/>
      <c r="D262" s="876"/>
      <c r="E262" s="540"/>
      <c r="F262" s="876"/>
      <c r="G262" s="876"/>
      <c r="H262" s="876"/>
      <c r="I262" s="876"/>
      <c r="J262" s="540"/>
      <c r="K262" s="876"/>
      <c r="L262" s="876"/>
      <c r="M262" s="876"/>
      <c r="N262" s="876"/>
      <c r="O262" s="540"/>
      <c r="P262" s="876"/>
      <c r="Q262" s="876"/>
      <c r="R262" s="876"/>
    </row>
    <row r="263" spans="1:18" ht="12">
      <c r="A263" s="33"/>
      <c r="B263" s="164"/>
      <c r="C263" s="540"/>
      <c r="D263" s="876"/>
      <c r="E263" s="540"/>
      <c r="F263" s="876"/>
      <c r="G263" s="876"/>
      <c r="H263" s="876"/>
      <c r="I263" s="876"/>
      <c r="J263" s="540"/>
      <c r="K263" s="876"/>
      <c r="L263" s="876"/>
      <c r="M263" s="876"/>
      <c r="N263" s="876"/>
      <c r="O263" s="540"/>
      <c r="P263" s="876"/>
      <c r="Q263" s="876"/>
      <c r="R263" s="876"/>
    </row>
    <row r="264" spans="1:18" ht="13.2">
      <c r="A264" s="369" t="s">
        <v>236</v>
      </c>
      <c r="B264" s="370" t="s">
        <v>237</v>
      </c>
      <c r="C264" s="907"/>
      <c r="D264" s="908"/>
      <c r="E264" s="908"/>
      <c r="F264" s="908">
        <f>F269</f>
        <v>3992970</v>
      </c>
      <c r="G264" s="908"/>
      <c r="H264" s="908">
        <f t="shared" ref="H264:R264" si="288">H269</f>
        <v>0</v>
      </c>
      <c r="I264" s="908">
        <f t="shared" si="288"/>
        <v>0</v>
      </c>
      <c r="J264" s="908">
        <f t="shared" si="288"/>
        <v>0</v>
      </c>
      <c r="K264" s="908">
        <f t="shared" si="288"/>
        <v>3597248</v>
      </c>
      <c r="L264" s="908"/>
      <c r="M264" s="908">
        <f t="shared" si="288"/>
        <v>0</v>
      </c>
      <c r="N264" s="908">
        <f t="shared" si="288"/>
        <v>0</v>
      </c>
      <c r="O264" s="908">
        <f t="shared" si="288"/>
        <v>0</v>
      </c>
      <c r="P264" s="908">
        <f t="shared" si="288"/>
        <v>3072005</v>
      </c>
      <c r="Q264" s="908"/>
      <c r="R264" s="908">
        <f t="shared" si="288"/>
        <v>0</v>
      </c>
    </row>
    <row r="265" spans="1:18" ht="13.2">
      <c r="A265" s="371"/>
      <c r="B265" s="372" t="s">
        <v>238</v>
      </c>
      <c r="C265" s="540"/>
      <c r="D265" s="485"/>
      <c r="E265" s="485"/>
      <c r="F265" s="485"/>
      <c r="G265" s="485"/>
      <c r="H265" s="485"/>
      <c r="I265" s="485"/>
      <c r="J265" s="485"/>
      <c r="K265" s="485"/>
      <c r="L265" s="485"/>
      <c r="M265" s="485"/>
      <c r="N265" s="485"/>
      <c r="O265" s="485"/>
      <c r="P265" s="485"/>
      <c r="Q265" s="485"/>
      <c r="R265" s="485"/>
    </row>
    <row r="266" spans="1:18" ht="13.2">
      <c r="A266" s="373" t="s">
        <v>223</v>
      </c>
      <c r="B266" s="374" t="s">
        <v>434</v>
      </c>
      <c r="C266" s="540"/>
      <c r="D266" s="485"/>
      <c r="E266" s="485"/>
      <c r="F266" s="485"/>
      <c r="G266" s="485"/>
      <c r="H266" s="485"/>
      <c r="I266" s="485"/>
      <c r="J266" s="485"/>
      <c r="K266" s="485"/>
      <c r="L266" s="485"/>
      <c r="M266" s="485"/>
      <c r="N266" s="485"/>
      <c r="O266" s="485"/>
      <c r="P266" s="485"/>
      <c r="Q266" s="485"/>
      <c r="R266" s="485"/>
    </row>
    <row r="267" spans="1:18" ht="13.2">
      <c r="A267" s="375" t="s">
        <v>240</v>
      </c>
      <c r="B267" s="376"/>
      <c r="C267" s="540"/>
      <c r="D267" s="485"/>
      <c r="E267" s="485"/>
      <c r="F267" s="485"/>
      <c r="G267" s="485"/>
      <c r="H267" s="485"/>
      <c r="I267" s="485"/>
      <c r="J267" s="485"/>
      <c r="K267" s="485"/>
      <c r="L267" s="485"/>
      <c r="M267" s="485"/>
      <c r="N267" s="485"/>
      <c r="O267" s="485"/>
      <c r="P267" s="485"/>
      <c r="Q267" s="485"/>
      <c r="R267" s="485"/>
    </row>
    <row r="268" spans="1:18" ht="13.2">
      <c r="A268" s="377"/>
      <c r="B268" s="376"/>
      <c r="C268" s="540"/>
      <c r="D268" s="485"/>
      <c r="E268" s="485"/>
      <c r="F268" s="485"/>
      <c r="G268" s="485"/>
      <c r="H268" s="485"/>
      <c r="I268" s="485"/>
      <c r="J268" s="485"/>
      <c r="K268" s="485"/>
      <c r="L268" s="485"/>
      <c r="M268" s="485"/>
      <c r="N268" s="485"/>
      <c r="O268" s="485"/>
      <c r="P268" s="485"/>
      <c r="Q268" s="485"/>
      <c r="R268" s="485"/>
    </row>
    <row r="269" spans="1:18" ht="13.2">
      <c r="A269" s="888" t="s">
        <v>224</v>
      </c>
      <c r="B269" s="792" t="s">
        <v>242</v>
      </c>
      <c r="C269" s="909"/>
      <c r="D269" s="908"/>
      <c r="E269" s="908"/>
      <c r="F269" s="908">
        <f>F270+F276+F279+F282</f>
        <v>3992970</v>
      </c>
      <c r="G269" s="908">
        <f>G289+G297+G303+G310+G313+G316+G318+G320+G322+G327+G334+G337</f>
        <v>9273727</v>
      </c>
      <c r="H269" s="908">
        <f>H270+H276+H279+H282</f>
        <v>0</v>
      </c>
      <c r="I269" s="908">
        <f>I270+I276+I279+I282</f>
        <v>0</v>
      </c>
      <c r="J269" s="908">
        <f>J270+J276+J279+J282</f>
        <v>0</v>
      </c>
      <c r="K269" s="908">
        <f>K270+K276+K279+K282</f>
        <v>3597248</v>
      </c>
      <c r="L269" s="908">
        <f>L289+L297+L303+L310+L313+L316+L318+L320+L322+L327+L334+L337</f>
        <v>9866883</v>
      </c>
      <c r="M269" s="908">
        <f>M270+M276+M279+M282</f>
        <v>0</v>
      </c>
      <c r="N269" s="908">
        <f>N270+N276+N279+N282</f>
        <v>0</v>
      </c>
      <c r="O269" s="908">
        <f>O270+O276+O279+O282</f>
        <v>0</v>
      </c>
      <c r="P269" s="908">
        <f>P270+P276+P279+P282</f>
        <v>3072005</v>
      </c>
      <c r="Q269" s="908">
        <f>Q289+Q297+Q303+Q310+Q313+Q316+Q318+Q320+Q322+Q327+Q334+Q337</f>
        <v>6116453</v>
      </c>
      <c r="R269" s="908">
        <f>R270+R276+R279</f>
        <v>0</v>
      </c>
    </row>
    <row r="270" spans="1:18" ht="52.8">
      <c r="A270" s="889" t="s">
        <v>243</v>
      </c>
      <c r="B270" s="890" t="s">
        <v>359</v>
      </c>
      <c r="C270" s="909"/>
      <c r="D270" s="908"/>
      <c r="E270" s="908"/>
      <c r="F270" s="908">
        <v>2975996</v>
      </c>
      <c r="G270" s="908"/>
      <c r="H270" s="908"/>
      <c r="I270" s="908"/>
      <c r="J270" s="908"/>
      <c r="K270" s="908">
        <v>2975996</v>
      </c>
      <c r="L270" s="908"/>
      <c r="M270" s="908"/>
      <c r="N270" s="908"/>
      <c r="O270" s="908"/>
      <c r="P270" s="908">
        <v>2975996</v>
      </c>
      <c r="Q270" s="485"/>
      <c r="R270" s="485"/>
    </row>
    <row r="271" spans="1:18" ht="26.25" customHeight="1">
      <c r="A271" s="767">
        <v>1000</v>
      </c>
      <c r="B271" s="768" t="s">
        <v>106</v>
      </c>
      <c r="C271" s="910"/>
      <c r="D271" s="485"/>
      <c r="E271" s="485"/>
      <c r="F271" s="485">
        <v>1770691</v>
      </c>
      <c r="G271" s="485"/>
      <c r="H271" s="485"/>
      <c r="I271" s="485"/>
      <c r="J271" s="485"/>
      <c r="K271" s="485">
        <v>1770691</v>
      </c>
      <c r="L271" s="485"/>
      <c r="M271" s="485"/>
      <c r="N271" s="485"/>
      <c r="O271" s="485"/>
      <c r="P271" s="485">
        <v>1770691</v>
      </c>
      <c r="Q271" s="485"/>
      <c r="R271" s="485"/>
    </row>
    <row r="272" spans="1:18" ht="13.2">
      <c r="A272" s="891">
        <v>1100</v>
      </c>
      <c r="B272" s="768" t="s">
        <v>107</v>
      </c>
      <c r="C272" s="910"/>
      <c r="D272" s="485"/>
      <c r="E272" s="485"/>
      <c r="F272" s="485">
        <v>1426941</v>
      </c>
      <c r="G272" s="485"/>
      <c r="H272" s="485"/>
      <c r="I272" s="485"/>
      <c r="J272" s="485"/>
      <c r="K272" s="485">
        <v>1426941</v>
      </c>
      <c r="L272" s="485"/>
      <c r="M272" s="485"/>
      <c r="N272" s="485"/>
      <c r="O272" s="485"/>
      <c r="P272" s="485">
        <v>1426941</v>
      </c>
      <c r="Q272" s="485"/>
      <c r="R272" s="485"/>
    </row>
    <row r="273" spans="1:18" ht="13.2">
      <c r="A273" s="767">
        <v>3000</v>
      </c>
      <c r="B273" s="768" t="s">
        <v>111</v>
      </c>
      <c r="C273" s="910"/>
      <c r="D273" s="485"/>
      <c r="E273" s="485"/>
      <c r="F273" s="485">
        <v>88823</v>
      </c>
      <c r="G273" s="485"/>
      <c r="H273" s="485"/>
      <c r="I273" s="485"/>
      <c r="J273" s="485"/>
      <c r="K273" s="485">
        <v>88823</v>
      </c>
      <c r="L273" s="485"/>
      <c r="M273" s="485"/>
      <c r="N273" s="485"/>
      <c r="O273" s="485"/>
      <c r="P273" s="485">
        <v>88823</v>
      </c>
      <c r="Q273" s="485"/>
      <c r="R273" s="485"/>
    </row>
    <row r="274" spans="1:18" ht="24">
      <c r="A274" s="892" t="s">
        <v>188</v>
      </c>
      <c r="B274" s="893" t="s">
        <v>170</v>
      </c>
      <c r="C274" s="910"/>
      <c r="D274" s="485"/>
      <c r="E274" s="485"/>
      <c r="F274" s="485">
        <v>1116482</v>
      </c>
      <c r="G274" s="485"/>
      <c r="H274" s="485"/>
      <c r="I274" s="485"/>
      <c r="J274" s="485"/>
      <c r="K274" s="485">
        <v>1116482</v>
      </c>
      <c r="L274" s="485"/>
      <c r="M274" s="485"/>
      <c r="N274" s="485"/>
      <c r="O274" s="485"/>
      <c r="P274" s="485">
        <v>1116482</v>
      </c>
      <c r="Q274" s="485"/>
      <c r="R274" s="485"/>
    </row>
    <row r="275" spans="1:18" ht="13.2">
      <c r="A275" s="892"/>
      <c r="B275" s="893"/>
      <c r="C275" s="910"/>
      <c r="D275" s="485"/>
      <c r="E275" s="485"/>
      <c r="F275" s="485"/>
      <c r="G275" s="485"/>
      <c r="H275" s="485"/>
      <c r="I275" s="485"/>
      <c r="J275" s="485"/>
      <c r="K275" s="485"/>
      <c r="L275" s="485"/>
      <c r="M275" s="485"/>
      <c r="N275" s="485"/>
      <c r="O275" s="485"/>
      <c r="P275" s="485"/>
      <c r="Q275" s="485"/>
      <c r="R275" s="485"/>
    </row>
    <row r="276" spans="1:18" ht="26.4">
      <c r="A276" s="889" t="s">
        <v>250</v>
      </c>
      <c r="B276" s="890" t="s">
        <v>360</v>
      </c>
      <c r="C276" s="909"/>
      <c r="D276" s="908"/>
      <c r="E276" s="908"/>
      <c r="F276" s="908">
        <v>50000</v>
      </c>
      <c r="G276" s="908"/>
      <c r="H276" s="908"/>
      <c r="I276" s="908"/>
      <c r="J276" s="908"/>
      <c r="K276" s="908">
        <v>50000</v>
      </c>
      <c r="L276" s="908"/>
      <c r="M276" s="908"/>
      <c r="N276" s="908"/>
      <c r="O276" s="908"/>
      <c r="P276" s="908">
        <v>50000</v>
      </c>
      <c r="Q276" s="485"/>
      <c r="R276" s="485"/>
    </row>
    <row r="277" spans="1:18" ht="13.2">
      <c r="A277" s="767">
        <v>3000</v>
      </c>
      <c r="B277" s="768" t="s">
        <v>111</v>
      </c>
      <c r="C277" s="910"/>
      <c r="D277" s="485"/>
      <c r="E277" s="485"/>
      <c r="F277" s="485">
        <v>50000</v>
      </c>
      <c r="G277" s="485"/>
      <c r="H277" s="485"/>
      <c r="I277" s="485"/>
      <c r="J277" s="485"/>
      <c r="K277" s="485">
        <v>50000</v>
      </c>
      <c r="L277" s="485"/>
      <c r="M277" s="485"/>
      <c r="N277" s="485"/>
      <c r="O277" s="485"/>
      <c r="P277" s="485">
        <v>50000</v>
      </c>
      <c r="Q277" s="485"/>
      <c r="R277" s="485"/>
    </row>
    <row r="278" spans="1:18" ht="13.2">
      <c r="A278" s="767"/>
      <c r="B278" s="768"/>
      <c r="C278" s="910"/>
      <c r="D278" s="485"/>
      <c r="E278" s="485"/>
      <c r="F278" s="485"/>
      <c r="G278" s="485"/>
      <c r="H278" s="485"/>
      <c r="I278" s="485"/>
      <c r="J278" s="485"/>
      <c r="K278" s="485"/>
      <c r="L278" s="485"/>
      <c r="M278" s="485"/>
      <c r="N278" s="485"/>
      <c r="O278" s="485"/>
      <c r="P278" s="485"/>
      <c r="Q278" s="485"/>
      <c r="R278" s="485"/>
    </row>
    <row r="279" spans="1:18" ht="26.4">
      <c r="A279" s="889" t="s">
        <v>257</v>
      </c>
      <c r="B279" s="890" t="s">
        <v>361</v>
      </c>
      <c r="C279" s="909"/>
      <c r="D279" s="908"/>
      <c r="E279" s="908"/>
      <c r="F279" s="908">
        <v>850000</v>
      </c>
      <c r="G279" s="908"/>
      <c r="H279" s="908"/>
      <c r="I279" s="908"/>
      <c r="J279" s="908"/>
      <c r="K279" s="908">
        <v>500000</v>
      </c>
      <c r="L279" s="485"/>
      <c r="M279" s="485"/>
      <c r="N279" s="485"/>
      <c r="O279" s="485"/>
      <c r="P279" s="485"/>
      <c r="Q279" s="485"/>
      <c r="R279" s="485"/>
    </row>
    <row r="280" spans="1:18" ht="13.2">
      <c r="A280" s="767">
        <v>3000</v>
      </c>
      <c r="B280" s="768" t="s">
        <v>111</v>
      </c>
      <c r="C280" s="910"/>
      <c r="D280" s="485"/>
      <c r="E280" s="485"/>
      <c r="F280" s="485">
        <v>850000</v>
      </c>
      <c r="G280" s="485"/>
      <c r="H280" s="485"/>
      <c r="I280" s="485"/>
      <c r="J280" s="485"/>
      <c r="K280" s="485">
        <v>500000</v>
      </c>
      <c r="L280" s="485"/>
      <c r="M280" s="485"/>
      <c r="N280" s="485"/>
      <c r="O280" s="485"/>
      <c r="P280" s="485"/>
      <c r="Q280" s="485"/>
      <c r="R280" s="485"/>
    </row>
    <row r="281" spans="1:18" ht="13.2">
      <c r="A281" s="767"/>
      <c r="B281" s="768"/>
      <c r="C281" s="910"/>
      <c r="D281" s="485"/>
      <c r="E281" s="485"/>
      <c r="F281" s="485"/>
      <c r="G281" s="485"/>
      <c r="H281" s="485"/>
      <c r="I281" s="485"/>
      <c r="J281" s="485"/>
      <c r="K281" s="485"/>
      <c r="L281" s="485"/>
      <c r="M281" s="485"/>
      <c r="N281" s="485"/>
      <c r="O281" s="485"/>
      <c r="P281" s="485"/>
      <c r="Q281" s="485"/>
      <c r="R281" s="485"/>
    </row>
    <row r="282" spans="1:18" ht="13.2">
      <c r="A282" s="889" t="s">
        <v>324</v>
      </c>
      <c r="B282" s="890" t="s">
        <v>362</v>
      </c>
      <c r="C282" s="909"/>
      <c r="D282" s="908"/>
      <c r="E282" s="908"/>
      <c r="F282" s="908">
        <v>116974</v>
      </c>
      <c r="G282" s="908"/>
      <c r="H282" s="908"/>
      <c r="I282" s="908"/>
      <c r="J282" s="908"/>
      <c r="K282" s="908">
        <v>71252</v>
      </c>
      <c r="L282" s="908"/>
      <c r="M282" s="908"/>
      <c r="N282" s="908"/>
      <c r="O282" s="908"/>
      <c r="P282" s="908">
        <v>46009</v>
      </c>
      <c r="Q282" s="485"/>
      <c r="R282" s="485"/>
    </row>
    <row r="283" spans="1:18" ht="13.2">
      <c r="A283" s="767">
        <v>1000</v>
      </c>
      <c r="B283" s="768" t="s">
        <v>106</v>
      </c>
      <c r="C283" s="910"/>
      <c r="D283" s="485"/>
      <c r="E283" s="485"/>
      <c r="F283" s="485">
        <v>16943</v>
      </c>
      <c r="G283" s="485"/>
      <c r="H283" s="485"/>
      <c r="I283" s="485"/>
      <c r="J283" s="485"/>
      <c r="K283" s="485">
        <v>49448</v>
      </c>
      <c r="L283" s="485"/>
      <c r="M283" s="485"/>
      <c r="N283" s="485"/>
      <c r="O283" s="485"/>
      <c r="P283" s="485">
        <v>30584</v>
      </c>
      <c r="Q283" s="485"/>
      <c r="R283" s="485"/>
    </row>
    <row r="284" spans="1:18" ht="13.2">
      <c r="A284" s="891">
        <v>1100</v>
      </c>
      <c r="B284" s="768" t="s">
        <v>107</v>
      </c>
      <c r="C284" s="910"/>
      <c r="D284" s="485"/>
      <c r="E284" s="485"/>
      <c r="F284" s="485">
        <v>5568</v>
      </c>
      <c r="G284" s="485"/>
      <c r="H284" s="485"/>
      <c r="I284" s="485"/>
      <c r="J284" s="485"/>
      <c r="K284" s="485">
        <v>16704</v>
      </c>
      <c r="L284" s="485"/>
      <c r="M284" s="485"/>
      <c r="N284" s="485"/>
      <c r="O284" s="485"/>
      <c r="P284" s="485">
        <v>10904</v>
      </c>
      <c r="Q284" s="485"/>
      <c r="R284" s="485"/>
    </row>
    <row r="285" spans="1:18" ht="13.2">
      <c r="A285" s="767">
        <v>2000</v>
      </c>
      <c r="B285" s="768" t="s">
        <v>108</v>
      </c>
      <c r="C285" s="910"/>
      <c r="D285" s="485"/>
      <c r="E285" s="485"/>
      <c r="F285" s="485">
        <v>96375</v>
      </c>
      <c r="G285" s="485"/>
      <c r="H285" s="485"/>
      <c r="I285" s="485"/>
      <c r="J285" s="485"/>
      <c r="K285" s="485">
        <v>21804</v>
      </c>
      <c r="L285" s="485"/>
      <c r="M285" s="485"/>
      <c r="N285" s="485"/>
      <c r="O285" s="485"/>
      <c r="P285" s="485">
        <v>15425</v>
      </c>
      <c r="Q285" s="485"/>
      <c r="R285" s="485"/>
    </row>
    <row r="286" spans="1:18" ht="36">
      <c r="A286" s="892">
        <v>7470</v>
      </c>
      <c r="B286" s="893" t="s">
        <v>167</v>
      </c>
      <c r="C286" s="910"/>
      <c r="D286" s="485"/>
      <c r="E286" s="485"/>
      <c r="F286" s="485">
        <v>2956</v>
      </c>
      <c r="G286" s="485"/>
      <c r="H286" s="485"/>
      <c r="I286" s="485"/>
      <c r="J286" s="485"/>
      <c r="K286" s="485"/>
      <c r="L286" s="485"/>
      <c r="M286" s="485"/>
      <c r="N286" s="485"/>
      <c r="O286" s="485"/>
      <c r="P286" s="485"/>
      <c r="Q286" s="485"/>
      <c r="R286" s="485"/>
    </row>
    <row r="287" spans="1:18" ht="13.2">
      <c r="A287" s="478">
        <v>5000</v>
      </c>
      <c r="B287" s="471" t="s">
        <v>123</v>
      </c>
      <c r="C287" s="910"/>
      <c r="D287" s="485"/>
      <c r="E287" s="485"/>
      <c r="F287" s="485">
        <v>700</v>
      </c>
      <c r="G287" s="485"/>
      <c r="H287" s="485"/>
      <c r="I287" s="485"/>
      <c r="J287" s="485"/>
      <c r="K287" s="485"/>
      <c r="L287" s="485"/>
      <c r="M287" s="485"/>
      <c r="N287" s="485"/>
      <c r="O287" s="485"/>
      <c r="P287" s="485"/>
      <c r="Q287" s="485"/>
      <c r="R287" s="485"/>
    </row>
    <row r="288" spans="1:18" ht="13.2">
      <c r="A288" s="411"/>
      <c r="B288" s="475"/>
      <c r="C288" s="910"/>
      <c r="D288" s="485"/>
      <c r="E288" s="485"/>
      <c r="F288" s="485"/>
      <c r="G288" s="485"/>
      <c r="H288" s="485"/>
      <c r="I288" s="485"/>
      <c r="J288" s="485"/>
      <c r="K288" s="485"/>
      <c r="L288" s="485"/>
      <c r="M288" s="485"/>
      <c r="N288" s="485"/>
      <c r="O288" s="485"/>
      <c r="P288" s="485"/>
      <c r="Q288" s="485"/>
      <c r="R288" s="485"/>
    </row>
    <row r="289" spans="1:18" ht="26.4">
      <c r="A289" s="889" t="s">
        <v>326</v>
      </c>
      <c r="B289" s="890" t="s">
        <v>932</v>
      </c>
      <c r="C289" s="909"/>
      <c r="D289" s="908"/>
      <c r="E289" s="908"/>
      <c r="F289" s="908"/>
      <c r="G289" s="908">
        <f>651674+76420</f>
        <v>728094</v>
      </c>
      <c r="H289" s="908"/>
      <c r="I289" s="908"/>
      <c r="J289" s="908"/>
      <c r="K289" s="908"/>
      <c r="L289" s="908">
        <f>651674+76420</f>
        <v>728094</v>
      </c>
      <c r="M289" s="908"/>
      <c r="N289" s="908"/>
      <c r="O289" s="908"/>
      <c r="P289" s="908"/>
      <c r="Q289" s="908">
        <f>651674+76420</f>
        <v>728094</v>
      </c>
      <c r="R289" s="485"/>
    </row>
    <row r="290" spans="1:18" ht="13.2">
      <c r="A290" s="767">
        <v>1000</v>
      </c>
      <c r="B290" s="768" t="s">
        <v>106</v>
      </c>
      <c r="C290" s="910"/>
      <c r="D290" s="485"/>
      <c r="E290" s="485"/>
      <c r="F290" s="485"/>
      <c r="G290" s="485">
        <f>58740+112000</f>
        <v>170740</v>
      </c>
      <c r="H290" s="485"/>
      <c r="I290" s="485"/>
      <c r="J290" s="485"/>
      <c r="K290" s="485"/>
      <c r="L290" s="485">
        <f>58740+112000</f>
        <v>170740</v>
      </c>
      <c r="M290" s="485"/>
      <c r="N290" s="485"/>
      <c r="O290" s="485"/>
      <c r="P290" s="485"/>
      <c r="Q290" s="485">
        <f>58740+112000</f>
        <v>170740</v>
      </c>
      <c r="R290" s="485"/>
    </row>
    <row r="291" spans="1:18" ht="13.2">
      <c r="A291" s="891">
        <v>1100</v>
      </c>
      <c r="B291" s="768" t="s">
        <v>107</v>
      </c>
      <c r="C291" s="910"/>
      <c r="D291" s="485"/>
      <c r="E291" s="485"/>
      <c r="F291" s="485"/>
      <c r="G291" s="485">
        <f>47336+90257</f>
        <v>137593</v>
      </c>
      <c r="H291" s="485"/>
      <c r="I291" s="485"/>
      <c r="J291" s="485"/>
      <c r="K291" s="485"/>
      <c r="L291" s="485">
        <f>47336+90257</f>
        <v>137593</v>
      </c>
      <c r="M291" s="485"/>
      <c r="N291" s="485"/>
      <c r="O291" s="485"/>
      <c r="P291" s="485"/>
      <c r="Q291" s="485">
        <f>47336+90257</f>
        <v>137593</v>
      </c>
      <c r="R291" s="485"/>
    </row>
    <row r="292" spans="1:18" ht="13.2">
      <c r="A292" s="767">
        <v>2000</v>
      </c>
      <c r="B292" s="768" t="s">
        <v>108</v>
      </c>
      <c r="C292" s="910"/>
      <c r="D292" s="485"/>
      <c r="E292" s="485"/>
      <c r="F292" s="485"/>
      <c r="G292" s="485">
        <f>43568+390366+13000</f>
        <v>446934</v>
      </c>
      <c r="H292" s="485"/>
      <c r="I292" s="485"/>
      <c r="J292" s="485"/>
      <c r="K292" s="485"/>
      <c r="L292" s="485">
        <f>43568+390366+13000</f>
        <v>446934</v>
      </c>
      <c r="M292" s="485"/>
      <c r="N292" s="485"/>
      <c r="O292" s="485"/>
      <c r="P292" s="485"/>
      <c r="Q292" s="485">
        <f>43568+390366+13000</f>
        <v>446934</v>
      </c>
      <c r="R292" s="485"/>
    </row>
    <row r="293" spans="1:18" ht="13.2">
      <c r="A293" s="767">
        <v>3000</v>
      </c>
      <c r="B293" s="768" t="s">
        <v>111</v>
      </c>
      <c r="C293" s="910"/>
      <c r="D293" s="485"/>
      <c r="E293" s="485"/>
      <c r="F293" s="485"/>
      <c r="G293" s="485">
        <v>7000</v>
      </c>
      <c r="H293" s="485"/>
      <c r="I293" s="485"/>
      <c r="J293" s="485"/>
      <c r="K293" s="485"/>
      <c r="L293" s="485">
        <v>7000</v>
      </c>
      <c r="M293" s="485"/>
      <c r="N293" s="485"/>
      <c r="O293" s="485"/>
      <c r="P293" s="485"/>
      <c r="Q293" s="485">
        <v>7000</v>
      </c>
      <c r="R293" s="485"/>
    </row>
    <row r="294" spans="1:18" ht="36">
      <c r="A294" s="892">
        <v>7350</v>
      </c>
      <c r="B294" s="893" t="s">
        <v>163</v>
      </c>
      <c r="C294" s="910"/>
      <c r="D294" s="485"/>
      <c r="E294" s="485"/>
      <c r="F294" s="485"/>
      <c r="G294" s="485">
        <f>76420</f>
        <v>76420</v>
      </c>
      <c r="H294" s="485"/>
      <c r="I294" s="485"/>
      <c r="J294" s="485"/>
      <c r="K294" s="485"/>
      <c r="L294" s="485">
        <f>76420</f>
        <v>76420</v>
      </c>
      <c r="M294" s="485"/>
      <c r="N294" s="485"/>
      <c r="O294" s="485"/>
      <c r="P294" s="485"/>
      <c r="Q294" s="485">
        <f>76420</f>
        <v>76420</v>
      </c>
      <c r="R294" s="485"/>
    </row>
    <row r="295" spans="1:18" ht="36">
      <c r="A295" s="892">
        <v>7470</v>
      </c>
      <c r="B295" s="893" t="s">
        <v>167</v>
      </c>
      <c r="C295" s="910"/>
      <c r="D295" s="485"/>
      <c r="E295" s="485"/>
      <c r="F295" s="485"/>
      <c r="G295" s="485">
        <v>27000</v>
      </c>
      <c r="H295" s="485"/>
      <c r="I295" s="485"/>
      <c r="J295" s="485"/>
      <c r="K295" s="485"/>
      <c r="L295" s="485">
        <v>27000</v>
      </c>
      <c r="M295" s="485"/>
      <c r="N295" s="485"/>
      <c r="O295" s="485"/>
      <c r="P295" s="485"/>
      <c r="Q295" s="485">
        <v>27000</v>
      </c>
      <c r="R295" s="485"/>
    </row>
    <row r="296" spans="1:18" ht="13.2">
      <c r="A296" s="892"/>
      <c r="B296" s="893"/>
      <c r="C296" s="910"/>
      <c r="D296" s="485"/>
      <c r="E296" s="485"/>
      <c r="F296" s="485"/>
      <c r="G296" s="485"/>
      <c r="H296" s="485"/>
      <c r="I296" s="485"/>
      <c r="J296" s="485"/>
      <c r="K296" s="485"/>
      <c r="L296" s="485"/>
      <c r="M296" s="485"/>
      <c r="N296" s="485"/>
      <c r="O296" s="485"/>
      <c r="P296" s="485"/>
      <c r="Q296" s="485"/>
      <c r="R296" s="485"/>
    </row>
    <row r="297" spans="1:18" ht="13.2">
      <c r="A297" s="889" t="s">
        <v>327</v>
      </c>
      <c r="B297" s="890" t="s">
        <v>933</v>
      </c>
      <c r="C297" s="909"/>
      <c r="D297" s="908"/>
      <c r="E297" s="908"/>
      <c r="F297" s="908"/>
      <c r="G297" s="908">
        <v>1500000</v>
      </c>
      <c r="H297" s="908"/>
      <c r="I297" s="908"/>
      <c r="J297" s="908"/>
      <c r="K297" s="908"/>
      <c r="L297" s="908">
        <v>1000000</v>
      </c>
      <c r="M297" s="908"/>
      <c r="N297" s="908"/>
      <c r="O297" s="908"/>
      <c r="P297" s="908"/>
      <c r="Q297" s="908">
        <v>1000000</v>
      </c>
      <c r="R297" s="485"/>
    </row>
    <row r="298" spans="1:18" ht="13.2">
      <c r="A298" s="767">
        <v>1000</v>
      </c>
      <c r="B298" s="768" t="s">
        <v>106</v>
      </c>
      <c r="C298" s="910"/>
      <c r="D298" s="485"/>
      <c r="E298" s="485"/>
      <c r="F298" s="485"/>
      <c r="G298" s="485">
        <v>19400</v>
      </c>
      <c r="H298" s="485"/>
      <c r="I298" s="485"/>
      <c r="J298" s="485"/>
      <c r="K298" s="485"/>
      <c r="L298" s="485">
        <v>19400</v>
      </c>
      <c r="M298" s="485"/>
      <c r="N298" s="485"/>
      <c r="O298" s="485"/>
      <c r="P298" s="485"/>
      <c r="Q298" s="485">
        <v>19400</v>
      </c>
      <c r="R298" s="485"/>
    </row>
    <row r="299" spans="1:18" ht="13.2">
      <c r="A299" s="891">
        <v>1100</v>
      </c>
      <c r="B299" s="768" t="s">
        <v>107</v>
      </c>
      <c r="C299" s="910"/>
      <c r="D299" s="485"/>
      <c r="E299" s="485"/>
      <c r="F299" s="485"/>
      <c r="G299" s="485">
        <v>11929</v>
      </c>
      <c r="H299" s="485"/>
      <c r="I299" s="485"/>
      <c r="J299" s="485"/>
      <c r="K299" s="485"/>
      <c r="L299" s="485">
        <v>11929</v>
      </c>
      <c r="M299" s="485"/>
      <c r="N299" s="485"/>
      <c r="O299" s="485"/>
      <c r="P299" s="485"/>
      <c r="Q299" s="485">
        <v>11929</v>
      </c>
      <c r="R299" s="485"/>
    </row>
    <row r="300" spans="1:18" ht="13.2">
      <c r="A300" s="767">
        <v>3000</v>
      </c>
      <c r="B300" s="768" t="s">
        <v>111</v>
      </c>
      <c r="C300" s="910"/>
      <c r="D300" s="485"/>
      <c r="E300" s="485"/>
      <c r="F300" s="485"/>
      <c r="G300" s="485">
        <v>1411963</v>
      </c>
      <c r="H300" s="485"/>
      <c r="I300" s="485"/>
      <c r="J300" s="485"/>
      <c r="K300" s="485"/>
      <c r="L300" s="485">
        <f>1411963-500000</f>
        <v>911963</v>
      </c>
      <c r="M300" s="485"/>
      <c r="N300" s="485"/>
      <c r="O300" s="485"/>
      <c r="P300" s="485"/>
      <c r="Q300" s="485">
        <f>1411963-500000</f>
        <v>911963</v>
      </c>
      <c r="R300" s="485"/>
    </row>
    <row r="301" spans="1:18" ht="24">
      <c r="A301" s="892">
        <v>7460</v>
      </c>
      <c r="B301" s="894" t="s">
        <v>162</v>
      </c>
      <c r="C301" s="910"/>
      <c r="D301" s="485"/>
      <c r="E301" s="485"/>
      <c r="F301" s="485"/>
      <c r="G301" s="485">
        <v>44935</v>
      </c>
      <c r="H301" s="485"/>
      <c r="I301" s="485"/>
      <c r="J301" s="485"/>
      <c r="K301" s="485"/>
      <c r="L301" s="485">
        <v>44935</v>
      </c>
      <c r="M301" s="485"/>
      <c r="N301" s="485"/>
      <c r="O301" s="485"/>
      <c r="P301" s="485"/>
      <c r="Q301" s="485">
        <v>44935</v>
      </c>
      <c r="R301" s="485"/>
    </row>
    <row r="302" spans="1:18" ht="36">
      <c r="A302" s="892">
        <v>7470</v>
      </c>
      <c r="B302" s="893" t="s">
        <v>167</v>
      </c>
      <c r="C302" s="910"/>
      <c r="D302" s="485"/>
      <c r="E302" s="485"/>
      <c r="F302" s="485"/>
      <c r="G302" s="485">
        <v>23702</v>
      </c>
      <c r="H302" s="485"/>
      <c r="I302" s="485"/>
      <c r="J302" s="485"/>
      <c r="K302" s="485"/>
      <c r="L302" s="485">
        <v>23702</v>
      </c>
      <c r="M302" s="485"/>
      <c r="N302" s="485"/>
      <c r="O302" s="485"/>
      <c r="P302" s="485"/>
      <c r="Q302" s="485">
        <v>23702</v>
      </c>
      <c r="R302" s="485"/>
    </row>
    <row r="303" spans="1:18" ht="105.6">
      <c r="A303" s="889" t="s">
        <v>328</v>
      </c>
      <c r="B303" s="895" t="s">
        <v>934</v>
      </c>
      <c r="C303" s="909"/>
      <c r="D303" s="907"/>
      <c r="E303" s="907"/>
      <c r="F303" s="907"/>
      <c r="G303" s="907">
        <v>1147588</v>
      </c>
      <c r="H303" s="907"/>
      <c r="I303" s="907"/>
      <c r="J303" s="907"/>
      <c r="K303" s="907"/>
      <c r="L303" s="907">
        <v>1694709</v>
      </c>
      <c r="M303" s="907"/>
      <c r="N303" s="907"/>
      <c r="O303" s="907"/>
      <c r="P303" s="907"/>
      <c r="Q303" s="907">
        <v>1694709</v>
      </c>
      <c r="R303" s="540"/>
    </row>
    <row r="304" spans="1:18" ht="13.2">
      <c r="A304" s="767">
        <v>1000</v>
      </c>
      <c r="B304" s="768" t="s">
        <v>106</v>
      </c>
      <c r="C304" s="910"/>
      <c r="D304" s="485"/>
      <c r="E304" s="485"/>
      <c r="F304" s="485"/>
      <c r="G304" s="485">
        <v>547121</v>
      </c>
      <c r="H304" s="485"/>
      <c r="I304" s="485"/>
      <c r="J304" s="485"/>
      <c r="K304" s="485"/>
      <c r="L304" s="485">
        <v>1094242</v>
      </c>
      <c r="M304" s="485"/>
      <c r="N304" s="485"/>
      <c r="O304" s="485"/>
      <c r="P304" s="485"/>
      <c r="Q304" s="485">
        <v>1094242</v>
      </c>
      <c r="R304" s="485"/>
    </row>
    <row r="305" spans="1:18" ht="13.2">
      <c r="A305" s="891">
        <v>1100</v>
      </c>
      <c r="B305" s="768" t="s">
        <v>107</v>
      </c>
      <c r="C305" s="910"/>
      <c r="D305" s="485"/>
      <c r="E305" s="485"/>
      <c r="F305" s="485"/>
      <c r="G305" s="485">
        <v>440907</v>
      </c>
      <c r="H305" s="485"/>
      <c r="I305" s="485"/>
      <c r="J305" s="485"/>
      <c r="K305" s="485"/>
      <c r="L305" s="485">
        <f>L304/1.2409</f>
        <v>881813.20009670407</v>
      </c>
      <c r="M305" s="485"/>
      <c r="N305" s="485"/>
      <c r="O305" s="485"/>
      <c r="P305" s="485"/>
      <c r="Q305" s="485">
        <f>Q304/1.2409</f>
        <v>881813.20009670407</v>
      </c>
      <c r="R305" s="485"/>
    </row>
    <row r="306" spans="1:18" ht="13.2">
      <c r="A306" s="767">
        <v>2000</v>
      </c>
      <c r="B306" s="768" t="s">
        <v>108</v>
      </c>
      <c r="C306" s="910"/>
      <c r="D306" s="485"/>
      <c r="E306" s="485"/>
      <c r="F306" s="485"/>
      <c r="G306" s="485">
        <v>525435</v>
      </c>
      <c r="H306" s="485"/>
      <c r="I306" s="485"/>
      <c r="J306" s="485"/>
      <c r="K306" s="485"/>
      <c r="L306" s="485">
        <v>525435</v>
      </c>
      <c r="M306" s="485"/>
      <c r="N306" s="485"/>
      <c r="O306" s="485"/>
      <c r="P306" s="485"/>
      <c r="Q306" s="485">
        <v>525435</v>
      </c>
      <c r="R306" s="485"/>
    </row>
    <row r="307" spans="1:18" ht="12">
      <c r="A307" s="767">
        <v>7700</v>
      </c>
      <c r="B307" s="896" t="s">
        <v>114</v>
      </c>
      <c r="C307" s="910"/>
      <c r="D307" s="540"/>
      <c r="E307" s="540"/>
      <c r="F307" s="540"/>
      <c r="G307" s="540">
        <v>3000</v>
      </c>
      <c r="H307" s="540"/>
      <c r="I307" s="540"/>
      <c r="J307" s="540"/>
      <c r="K307" s="540"/>
      <c r="L307" s="540">
        <v>3000</v>
      </c>
      <c r="M307" s="540"/>
      <c r="N307" s="540"/>
      <c r="O307" s="540"/>
      <c r="P307" s="540"/>
      <c r="Q307" s="540">
        <v>3000</v>
      </c>
      <c r="R307" s="540"/>
    </row>
    <row r="308" spans="1:18" ht="12">
      <c r="A308" s="478">
        <v>5000</v>
      </c>
      <c r="B308" s="471" t="s">
        <v>123</v>
      </c>
      <c r="C308" s="910"/>
      <c r="D308" s="540"/>
      <c r="E308" s="540"/>
      <c r="F308" s="540"/>
      <c r="G308" s="540">
        <v>72032</v>
      </c>
      <c r="H308" s="540"/>
      <c r="I308" s="540"/>
      <c r="J308" s="540"/>
      <c r="K308" s="540"/>
      <c r="L308" s="540">
        <v>72032</v>
      </c>
      <c r="M308" s="540"/>
      <c r="N308" s="540"/>
      <c r="O308" s="540"/>
      <c r="P308" s="540"/>
      <c r="Q308" s="540">
        <v>72032</v>
      </c>
      <c r="R308" s="540"/>
    </row>
    <row r="309" spans="1:18" ht="13.2">
      <c r="A309" s="411"/>
      <c r="B309" s="897"/>
      <c r="C309" s="910"/>
      <c r="D309" s="540"/>
      <c r="E309" s="540"/>
      <c r="F309" s="540"/>
      <c r="G309" s="540"/>
      <c r="H309" s="540"/>
      <c r="I309" s="540"/>
      <c r="J309" s="540"/>
      <c r="K309" s="540"/>
      <c r="L309" s="540"/>
      <c r="M309" s="540"/>
      <c r="N309" s="540"/>
      <c r="O309" s="540"/>
      <c r="P309" s="540"/>
      <c r="Q309" s="540"/>
      <c r="R309" s="540"/>
    </row>
    <row r="310" spans="1:18" ht="26.4">
      <c r="A310" s="889" t="s">
        <v>329</v>
      </c>
      <c r="B310" s="898" t="s">
        <v>935</v>
      </c>
      <c r="C310" s="911"/>
      <c r="D310" s="912"/>
      <c r="E310" s="907"/>
      <c r="F310" s="907"/>
      <c r="G310" s="907">
        <v>1126399</v>
      </c>
      <c r="H310" s="907"/>
      <c r="I310" s="907"/>
      <c r="J310" s="907"/>
      <c r="K310" s="907"/>
      <c r="L310" s="907">
        <v>1126399</v>
      </c>
      <c r="M310" s="907"/>
      <c r="N310" s="907"/>
      <c r="O310" s="907"/>
      <c r="P310" s="907"/>
      <c r="Q310" s="907">
        <v>1126399</v>
      </c>
      <c r="R310" s="540"/>
    </row>
    <row r="311" spans="1:18" ht="12">
      <c r="A311" s="767">
        <v>3000</v>
      </c>
      <c r="B311" s="768" t="s">
        <v>111</v>
      </c>
      <c r="C311" s="913"/>
      <c r="D311" s="295"/>
      <c r="E311" s="540"/>
      <c r="F311" s="540"/>
      <c r="G311" s="540">
        <v>1126399</v>
      </c>
      <c r="H311" s="540"/>
      <c r="I311" s="540"/>
      <c r="J311" s="540"/>
      <c r="K311" s="540"/>
      <c r="L311" s="540">
        <v>1126399</v>
      </c>
      <c r="M311" s="540"/>
      <c r="N311" s="540"/>
      <c r="O311" s="540"/>
      <c r="P311" s="540"/>
      <c r="Q311" s="540">
        <v>1126399</v>
      </c>
      <c r="R311" s="540"/>
    </row>
    <row r="312" spans="1:18" ht="13.2">
      <c r="A312" s="411"/>
      <c r="B312" s="899"/>
      <c r="C312" s="913"/>
      <c r="D312" s="295"/>
      <c r="E312" s="540"/>
      <c r="F312" s="540"/>
      <c r="G312" s="540"/>
      <c r="H312" s="540"/>
      <c r="I312" s="540"/>
      <c r="J312" s="540"/>
      <c r="K312" s="540"/>
      <c r="L312" s="540"/>
      <c r="M312" s="540"/>
      <c r="N312" s="540"/>
      <c r="O312" s="540"/>
      <c r="P312" s="540"/>
      <c r="Q312" s="540"/>
      <c r="R312" s="540"/>
    </row>
    <row r="313" spans="1:18" ht="26.4">
      <c r="A313" s="889" t="s">
        <v>330</v>
      </c>
      <c r="B313" s="898" t="s">
        <v>936</v>
      </c>
      <c r="C313" s="911"/>
      <c r="D313" s="912"/>
      <c r="E313" s="907"/>
      <c r="F313" s="907"/>
      <c r="G313" s="907">
        <v>28000</v>
      </c>
      <c r="H313" s="907"/>
      <c r="I313" s="907"/>
      <c r="J313" s="907"/>
      <c r="K313" s="907"/>
      <c r="L313" s="907">
        <v>28000</v>
      </c>
      <c r="M313" s="907"/>
      <c r="N313" s="907"/>
      <c r="O313" s="907"/>
      <c r="P313" s="907"/>
      <c r="Q313" s="907">
        <v>28000</v>
      </c>
      <c r="R313" s="540"/>
    </row>
    <row r="314" spans="1:18" ht="12">
      <c r="A314" s="767">
        <v>3000</v>
      </c>
      <c r="B314" s="768" t="s">
        <v>111</v>
      </c>
      <c r="C314" s="913"/>
      <c r="D314" s="295"/>
      <c r="E314" s="540"/>
      <c r="F314" s="540"/>
      <c r="G314" s="540">
        <v>28000</v>
      </c>
      <c r="H314" s="540"/>
      <c r="I314" s="540"/>
      <c r="J314" s="540"/>
      <c r="K314" s="540"/>
      <c r="L314" s="540">
        <v>28000</v>
      </c>
      <c r="M314" s="540"/>
      <c r="N314" s="540"/>
      <c r="O314" s="540"/>
      <c r="P314" s="540"/>
      <c r="Q314" s="540">
        <v>28000</v>
      </c>
      <c r="R314" s="540"/>
    </row>
    <row r="315" spans="1:18" ht="12">
      <c r="A315" s="767"/>
      <c r="B315" s="768"/>
      <c r="C315" s="913"/>
      <c r="D315" s="295"/>
      <c r="E315" s="540"/>
      <c r="F315" s="540"/>
      <c r="G315" s="540"/>
      <c r="H315" s="540"/>
      <c r="I315" s="540"/>
      <c r="J315" s="540"/>
      <c r="K315" s="540"/>
      <c r="L315" s="540"/>
      <c r="M315" s="540"/>
      <c r="N315" s="540"/>
      <c r="O315" s="540"/>
      <c r="P315" s="540"/>
      <c r="Q315" s="540"/>
      <c r="R315" s="540"/>
    </row>
    <row r="316" spans="1:18" ht="26.4">
      <c r="A316" s="889" t="s">
        <v>331</v>
      </c>
      <c r="B316" s="898" t="s">
        <v>937</v>
      </c>
      <c r="C316" s="911"/>
      <c r="D316" s="912"/>
      <c r="E316" s="907"/>
      <c r="F316" s="907"/>
      <c r="G316" s="907">
        <v>39000</v>
      </c>
      <c r="H316" s="907"/>
      <c r="I316" s="907"/>
      <c r="J316" s="907"/>
      <c r="K316" s="907"/>
      <c r="L316" s="907">
        <v>39000</v>
      </c>
      <c r="M316" s="907"/>
      <c r="N316" s="907"/>
      <c r="O316" s="907"/>
      <c r="P316" s="907"/>
      <c r="Q316" s="907">
        <v>39000</v>
      </c>
      <c r="R316" s="540"/>
    </row>
    <row r="317" spans="1:18" ht="12">
      <c r="A317" s="767">
        <v>2000</v>
      </c>
      <c r="B317" s="768" t="s">
        <v>108</v>
      </c>
      <c r="C317" s="913"/>
      <c r="D317" s="295"/>
      <c r="E317" s="540"/>
      <c r="F317" s="540"/>
      <c r="G317" s="540">
        <v>39000</v>
      </c>
      <c r="H317" s="540"/>
      <c r="I317" s="540"/>
      <c r="J317" s="540"/>
      <c r="K317" s="540"/>
      <c r="L317" s="540">
        <v>39000</v>
      </c>
      <c r="M317" s="540"/>
      <c r="N317" s="540"/>
      <c r="O317" s="540"/>
      <c r="P317" s="540"/>
      <c r="Q317" s="540">
        <v>39000</v>
      </c>
      <c r="R317" s="540"/>
    </row>
    <row r="318" spans="1:18" ht="26.4">
      <c r="A318" s="889" t="s">
        <v>356</v>
      </c>
      <c r="B318" s="898" t="s">
        <v>938</v>
      </c>
      <c r="C318" s="911"/>
      <c r="D318" s="912"/>
      <c r="E318" s="907"/>
      <c r="F318" s="907"/>
      <c r="G318" s="907">
        <v>45500</v>
      </c>
      <c r="H318" s="907"/>
      <c r="I318" s="907"/>
      <c r="J318" s="907"/>
      <c r="K318" s="907"/>
      <c r="L318" s="907">
        <v>45500</v>
      </c>
      <c r="M318" s="907"/>
      <c r="N318" s="907"/>
      <c r="O318" s="907"/>
      <c r="P318" s="907"/>
      <c r="Q318" s="907">
        <v>45500</v>
      </c>
      <c r="R318" s="540"/>
    </row>
    <row r="319" spans="1:18" ht="12">
      <c r="A319" s="767">
        <v>3000</v>
      </c>
      <c r="B319" s="768" t="s">
        <v>111</v>
      </c>
      <c r="C319" s="913"/>
      <c r="D319" s="295"/>
      <c r="E319" s="540"/>
      <c r="F319" s="540"/>
      <c r="G319" s="540">
        <v>45500</v>
      </c>
      <c r="H319" s="540"/>
      <c r="I319" s="540"/>
      <c r="J319" s="540"/>
      <c r="K319" s="540"/>
      <c r="L319" s="540">
        <v>45500</v>
      </c>
      <c r="M319" s="540"/>
      <c r="N319" s="540"/>
      <c r="O319" s="540"/>
      <c r="P319" s="540"/>
      <c r="Q319" s="540">
        <v>45500</v>
      </c>
      <c r="R319" s="540"/>
    </row>
    <row r="320" spans="1:18" ht="26.4">
      <c r="A320" s="889" t="s">
        <v>358</v>
      </c>
      <c r="B320" s="898" t="s">
        <v>939</v>
      </c>
      <c r="C320" s="911"/>
      <c r="D320" s="912"/>
      <c r="E320" s="907"/>
      <c r="F320" s="907"/>
      <c r="G320" s="907">
        <v>15500</v>
      </c>
      <c r="H320" s="907"/>
      <c r="I320" s="907"/>
      <c r="J320" s="907"/>
      <c r="K320" s="907"/>
      <c r="L320" s="907">
        <v>15500</v>
      </c>
      <c r="M320" s="907"/>
      <c r="N320" s="907"/>
      <c r="O320" s="907"/>
      <c r="P320" s="907"/>
      <c r="Q320" s="907">
        <v>15500</v>
      </c>
      <c r="R320" s="540"/>
    </row>
    <row r="321" spans="1:18" ht="12">
      <c r="A321" s="767">
        <v>2000</v>
      </c>
      <c r="B321" s="768" t="s">
        <v>108</v>
      </c>
      <c r="C321" s="913"/>
      <c r="D321" s="295"/>
      <c r="E321" s="540"/>
      <c r="F321" s="540"/>
      <c r="G321" s="540">
        <v>15500</v>
      </c>
      <c r="H321" s="540"/>
      <c r="I321" s="540"/>
      <c r="J321" s="540"/>
      <c r="K321" s="540"/>
      <c r="L321" s="540">
        <v>15500</v>
      </c>
      <c r="M321" s="540"/>
      <c r="N321" s="540"/>
      <c r="O321" s="540"/>
      <c r="P321" s="540"/>
      <c r="Q321" s="540">
        <v>15500</v>
      </c>
      <c r="R321" s="540"/>
    </row>
    <row r="322" spans="1:18" ht="26.4">
      <c r="A322" s="889" t="s">
        <v>542</v>
      </c>
      <c r="B322" s="900" t="s">
        <v>940</v>
      </c>
      <c r="C322" s="914"/>
      <c r="D322" s="915"/>
      <c r="E322" s="908"/>
      <c r="F322" s="908"/>
      <c r="G322" s="908">
        <v>2431720</v>
      </c>
      <c r="H322" s="832"/>
      <c r="I322" s="832"/>
      <c r="J322" s="832"/>
      <c r="K322" s="832"/>
      <c r="L322" s="832"/>
      <c r="M322" s="832"/>
      <c r="N322" s="832"/>
      <c r="O322" s="832"/>
      <c r="P322" s="832"/>
      <c r="Q322" s="832"/>
      <c r="R322" s="832"/>
    </row>
    <row r="323" spans="1:18" ht="13.2">
      <c r="A323" s="767">
        <v>1000</v>
      </c>
      <c r="B323" s="768" t="s">
        <v>106</v>
      </c>
      <c r="C323" s="916"/>
      <c r="D323" s="917"/>
      <c r="E323" s="832"/>
      <c r="F323" s="832"/>
      <c r="G323" s="832">
        <v>467983</v>
      </c>
      <c r="H323" s="832"/>
      <c r="I323" s="832"/>
      <c r="J323" s="832"/>
      <c r="K323" s="832"/>
      <c r="L323" s="832"/>
      <c r="M323" s="832"/>
      <c r="N323" s="832"/>
      <c r="O323" s="832"/>
      <c r="P323" s="832"/>
      <c r="Q323" s="832"/>
      <c r="R323" s="832"/>
    </row>
    <row r="324" spans="1:18" ht="13.2">
      <c r="A324" s="891">
        <v>1100</v>
      </c>
      <c r="B324" s="768" t="s">
        <v>107</v>
      </c>
      <c r="C324" s="916"/>
      <c r="D324" s="917"/>
      <c r="E324" s="832"/>
      <c r="F324" s="832"/>
      <c r="G324" s="832">
        <v>397917</v>
      </c>
      <c r="H324" s="832"/>
      <c r="I324" s="832"/>
      <c r="J324" s="832"/>
      <c r="K324" s="832"/>
      <c r="L324" s="832"/>
      <c r="M324" s="832"/>
      <c r="N324" s="832"/>
      <c r="O324" s="832"/>
      <c r="P324" s="832"/>
      <c r="Q324" s="832"/>
      <c r="R324" s="832"/>
    </row>
    <row r="325" spans="1:18" ht="13.2">
      <c r="A325" s="767">
        <v>2000</v>
      </c>
      <c r="B325" s="768" t="s">
        <v>108</v>
      </c>
      <c r="C325" s="916"/>
      <c r="D325" s="917"/>
      <c r="E325" s="832"/>
      <c r="F325" s="832"/>
      <c r="G325" s="832">
        <v>988737</v>
      </c>
      <c r="H325" s="832"/>
      <c r="I325" s="832"/>
      <c r="J325" s="832"/>
      <c r="K325" s="832"/>
      <c r="L325" s="832"/>
      <c r="M325" s="832"/>
      <c r="N325" s="832"/>
      <c r="O325" s="832"/>
      <c r="P325" s="832"/>
      <c r="Q325" s="832"/>
      <c r="R325" s="832"/>
    </row>
    <row r="326" spans="1:18" ht="24">
      <c r="A326" s="892" t="s">
        <v>188</v>
      </c>
      <c r="B326" s="893" t="s">
        <v>170</v>
      </c>
      <c r="C326" s="916"/>
      <c r="D326" s="917"/>
      <c r="E326" s="832"/>
      <c r="F326" s="832"/>
      <c r="G326" s="832">
        <v>975000</v>
      </c>
      <c r="H326" s="832"/>
      <c r="I326" s="832"/>
      <c r="J326" s="832"/>
      <c r="K326" s="832"/>
      <c r="L326" s="832"/>
      <c r="M326" s="832"/>
      <c r="N326" s="832"/>
      <c r="O326" s="832"/>
      <c r="P326" s="832"/>
      <c r="Q326" s="832"/>
      <c r="R326" s="832"/>
    </row>
    <row r="327" spans="1:18" ht="26.4">
      <c r="A327" s="889" t="s">
        <v>544</v>
      </c>
      <c r="B327" s="898" t="s">
        <v>941</v>
      </c>
      <c r="C327" s="914"/>
      <c r="D327" s="915"/>
      <c r="E327" s="908"/>
      <c r="F327" s="908"/>
      <c r="G327" s="908">
        <v>1638138</v>
      </c>
      <c r="H327" s="908"/>
      <c r="I327" s="908"/>
      <c r="J327" s="908"/>
      <c r="K327" s="908"/>
      <c r="L327" s="908">
        <v>3773362</v>
      </c>
      <c r="M327" s="832"/>
      <c r="N327" s="832"/>
      <c r="O327" s="832"/>
      <c r="P327" s="832"/>
      <c r="Q327" s="832"/>
      <c r="R327" s="832"/>
    </row>
    <row r="328" spans="1:18" ht="13.2">
      <c r="A328" s="767">
        <v>1000</v>
      </c>
      <c r="B328" s="768" t="s">
        <v>106</v>
      </c>
      <c r="C328" s="916"/>
      <c r="D328" s="917"/>
      <c r="E328" s="832"/>
      <c r="F328" s="832"/>
      <c r="G328" s="832">
        <v>192490</v>
      </c>
      <c r="H328" s="832"/>
      <c r="I328" s="832"/>
      <c r="J328" s="832"/>
      <c r="K328" s="832"/>
      <c r="L328" s="832">
        <v>321056</v>
      </c>
      <c r="M328" s="832"/>
      <c r="N328" s="832"/>
      <c r="O328" s="832"/>
      <c r="P328" s="832"/>
      <c r="Q328" s="832"/>
      <c r="R328" s="832"/>
    </row>
    <row r="329" spans="1:18" ht="13.2">
      <c r="A329" s="891">
        <v>1100</v>
      </c>
      <c r="B329" s="768" t="s">
        <v>107</v>
      </c>
      <c r="C329" s="916"/>
      <c r="D329" s="917"/>
      <c r="E329" s="832"/>
      <c r="F329" s="832"/>
      <c r="G329" s="832">
        <v>192490</v>
      </c>
      <c r="H329" s="832"/>
      <c r="I329" s="832"/>
      <c r="J329" s="832"/>
      <c r="K329" s="832"/>
      <c r="L329" s="832">
        <v>321056</v>
      </c>
      <c r="M329" s="832"/>
      <c r="N329" s="832"/>
      <c r="O329" s="832"/>
      <c r="P329" s="832"/>
      <c r="Q329" s="832"/>
      <c r="R329" s="832"/>
    </row>
    <row r="330" spans="1:18" ht="13.2">
      <c r="A330" s="767">
        <v>2000</v>
      </c>
      <c r="B330" s="768" t="s">
        <v>108</v>
      </c>
      <c r="C330" s="916"/>
      <c r="D330" s="917"/>
      <c r="E330" s="832"/>
      <c r="F330" s="832"/>
      <c r="G330" s="832">
        <v>459072</v>
      </c>
      <c r="H330" s="832"/>
      <c r="I330" s="832"/>
      <c r="J330" s="832"/>
      <c r="K330" s="832"/>
      <c r="L330" s="832">
        <v>813669</v>
      </c>
      <c r="M330" s="832"/>
      <c r="N330" s="832"/>
      <c r="O330" s="832"/>
      <c r="P330" s="832"/>
      <c r="Q330" s="832"/>
      <c r="R330" s="832"/>
    </row>
    <row r="331" spans="1:18" ht="13.2">
      <c r="A331" s="767">
        <v>3000</v>
      </c>
      <c r="B331" s="768" t="s">
        <v>111</v>
      </c>
      <c r="C331" s="916"/>
      <c r="D331" s="917"/>
      <c r="E331" s="832"/>
      <c r="F331" s="832"/>
      <c r="G331" s="832">
        <v>950226</v>
      </c>
      <c r="H331" s="832"/>
      <c r="I331" s="832"/>
      <c r="J331" s="832"/>
      <c r="K331" s="832"/>
      <c r="L331" s="832">
        <v>2511494</v>
      </c>
      <c r="M331" s="832"/>
      <c r="N331" s="832"/>
      <c r="O331" s="832"/>
      <c r="P331" s="832"/>
      <c r="Q331" s="832"/>
      <c r="R331" s="832"/>
    </row>
    <row r="332" spans="1:18" ht="36">
      <c r="A332" s="892">
        <v>7350</v>
      </c>
      <c r="B332" s="893" t="s">
        <v>163</v>
      </c>
      <c r="C332" s="916"/>
      <c r="D332" s="917"/>
      <c r="E332" s="832"/>
      <c r="F332" s="832"/>
      <c r="G332" s="832">
        <v>36350</v>
      </c>
      <c r="H332" s="832"/>
      <c r="I332" s="832"/>
      <c r="J332" s="832"/>
      <c r="K332" s="832"/>
      <c r="L332" s="832">
        <v>127143</v>
      </c>
      <c r="M332" s="832"/>
      <c r="N332" s="832"/>
      <c r="O332" s="832"/>
      <c r="P332" s="832"/>
      <c r="Q332" s="832"/>
      <c r="R332" s="832"/>
    </row>
    <row r="333" spans="1:18" ht="13.2">
      <c r="A333" s="411"/>
      <c r="B333" s="899"/>
      <c r="C333" s="916"/>
      <c r="D333" s="917"/>
      <c r="E333" s="832"/>
      <c r="F333" s="832"/>
      <c r="G333" s="832"/>
      <c r="H333" s="832"/>
      <c r="I333" s="832"/>
      <c r="J333" s="832"/>
      <c r="K333" s="832"/>
      <c r="L333" s="832"/>
      <c r="M333" s="832"/>
      <c r="N333" s="832"/>
      <c r="O333" s="832"/>
      <c r="P333" s="832"/>
      <c r="Q333" s="832"/>
      <c r="R333" s="832"/>
    </row>
    <row r="334" spans="1:18" ht="26.4">
      <c r="A334" s="889" t="s">
        <v>546</v>
      </c>
      <c r="B334" s="898" t="s">
        <v>942</v>
      </c>
      <c r="C334" s="914"/>
      <c r="D334" s="915"/>
      <c r="E334" s="908"/>
      <c r="F334" s="908"/>
      <c r="G334" s="908">
        <v>541545</v>
      </c>
      <c r="H334" s="908"/>
      <c r="I334" s="908"/>
      <c r="J334" s="908"/>
      <c r="K334" s="908"/>
      <c r="L334" s="908">
        <v>1416319</v>
      </c>
      <c r="M334" s="908"/>
      <c r="N334" s="908"/>
      <c r="O334" s="908"/>
      <c r="P334" s="908"/>
      <c r="Q334" s="908">
        <v>1439251</v>
      </c>
      <c r="R334" s="832"/>
    </row>
    <row r="335" spans="1:18" ht="13.2">
      <c r="A335" s="767">
        <v>1000</v>
      </c>
      <c r="B335" s="768" t="s">
        <v>106</v>
      </c>
      <c r="C335" s="916"/>
      <c r="D335" s="917"/>
      <c r="E335" s="832"/>
      <c r="F335" s="832"/>
      <c r="G335" s="832">
        <v>541545</v>
      </c>
      <c r="H335" s="832"/>
      <c r="I335" s="832"/>
      <c r="J335" s="832"/>
      <c r="K335" s="832"/>
      <c r="L335" s="832">
        <v>1416319</v>
      </c>
      <c r="M335" s="832"/>
      <c r="N335" s="832"/>
      <c r="O335" s="832"/>
      <c r="P335" s="832"/>
      <c r="Q335" s="832">
        <v>1439251</v>
      </c>
      <c r="R335" s="832"/>
    </row>
    <row r="336" spans="1:18" ht="13.2">
      <c r="A336" s="891">
        <v>1100</v>
      </c>
      <c r="B336" s="768" t="s">
        <v>107</v>
      </c>
      <c r="C336" s="916"/>
      <c r="D336" s="917"/>
      <c r="E336" s="832"/>
      <c r="F336" s="832"/>
      <c r="G336" s="832">
        <f>G335/1.2409</f>
        <v>436413.08727536467</v>
      </c>
      <c r="H336" s="832"/>
      <c r="I336" s="832"/>
      <c r="J336" s="832"/>
      <c r="K336" s="832"/>
      <c r="L336" s="832">
        <f>L335/1.2409</f>
        <v>1141364.3323394312</v>
      </c>
      <c r="M336" s="832"/>
      <c r="N336" s="832"/>
      <c r="O336" s="832"/>
      <c r="P336" s="832"/>
      <c r="Q336" s="832">
        <f>Q335/1.2409</f>
        <v>1159844.4677250383</v>
      </c>
      <c r="R336" s="832"/>
    </row>
    <row r="337" spans="1:18" ht="52.8">
      <c r="A337" s="889" t="s">
        <v>548</v>
      </c>
      <c r="B337" s="898" t="s">
        <v>943</v>
      </c>
      <c r="C337" s="914"/>
      <c r="D337" s="915"/>
      <c r="E337" s="908"/>
      <c r="F337" s="908"/>
      <c r="G337" s="908">
        <f>12243+20000</f>
        <v>32243</v>
      </c>
      <c r="H337" s="832"/>
      <c r="I337" s="832"/>
      <c r="J337" s="832"/>
      <c r="K337" s="832"/>
      <c r="L337" s="832"/>
      <c r="M337" s="832"/>
      <c r="N337" s="832"/>
      <c r="O337" s="832"/>
      <c r="P337" s="832"/>
      <c r="Q337" s="832"/>
      <c r="R337" s="832"/>
    </row>
    <row r="338" spans="1:18" ht="13.2">
      <c r="A338" s="767">
        <v>1000</v>
      </c>
      <c r="B338" s="768" t="s">
        <v>106</v>
      </c>
      <c r="C338" s="916"/>
      <c r="D338" s="917"/>
      <c r="E338" s="832"/>
      <c r="F338" s="832"/>
      <c r="G338" s="832">
        <v>14061</v>
      </c>
      <c r="H338" s="832"/>
      <c r="I338" s="832"/>
      <c r="J338" s="832"/>
      <c r="K338" s="832"/>
      <c r="L338" s="832"/>
      <c r="M338" s="832"/>
      <c r="N338" s="832"/>
      <c r="O338" s="832"/>
      <c r="P338" s="832"/>
      <c r="Q338" s="832"/>
      <c r="R338" s="832"/>
    </row>
    <row r="339" spans="1:18" ht="13.2">
      <c r="A339" s="891">
        <v>1100</v>
      </c>
      <c r="B339" s="768" t="s">
        <v>107</v>
      </c>
      <c r="C339" s="916"/>
      <c r="D339" s="917"/>
      <c r="E339" s="832"/>
      <c r="F339" s="832"/>
      <c r="G339" s="832">
        <v>11914</v>
      </c>
      <c r="H339" s="832"/>
      <c r="I339" s="832"/>
      <c r="J339" s="832"/>
      <c r="K339" s="832"/>
      <c r="L339" s="832"/>
      <c r="M339" s="832"/>
      <c r="N339" s="832"/>
      <c r="O339" s="832"/>
      <c r="P339" s="832"/>
      <c r="Q339" s="832"/>
      <c r="R339" s="832"/>
    </row>
    <row r="340" spans="1:18" ht="13.2">
      <c r="A340" s="767">
        <v>2000</v>
      </c>
      <c r="B340" s="768" t="s">
        <v>108</v>
      </c>
      <c r="C340" s="916"/>
      <c r="D340" s="917"/>
      <c r="E340" s="832"/>
      <c r="F340" s="832"/>
      <c r="G340" s="832">
        <v>17000</v>
      </c>
      <c r="H340" s="832"/>
      <c r="I340" s="832"/>
      <c r="J340" s="832"/>
      <c r="K340" s="832"/>
      <c r="L340" s="832"/>
      <c r="M340" s="832"/>
      <c r="N340" s="832"/>
      <c r="O340" s="832"/>
      <c r="P340" s="832"/>
      <c r="Q340" s="832"/>
      <c r="R340" s="832"/>
    </row>
    <row r="341" spans="1:18" ht="36">
      <c r="A341" s="892">
        <v>7470</v>
      </c>
      <c r="B341" s="893" t="s">
        <v>167</v>
      </c>
      <c r="C341" s="916"/>
      <c r="D341" s="917"/>
      <c r="E341" s="832"/>
      <c r="F341" s="832"/>
      <c r="G341" s="832">
        <v>1182</v>
      </c>
      <c r="H341" s="832"/>
      <c r="I341" s="832"/>
      <c r="J341" s="832"/>
      <c r="K341" s="832"/>
      <c r="L341" s="832"/>
      <c r="M341" s="832"/>
      <c r="N341" s="832"/>
      <c r="O341" s="832"/>
      <c r="P341" s="832"/>
      <c r="Q341" s="832"/>
      <c r="R341" s="832"/>
    </row>
    <row r="342" spans="1:18" ht="13.2">
      <c r="A342" s="375"/>
      <c r="B342" s="376"/>
      <c r="C342" s="540"/>
      <c r="D342" s="485"/>
      <c r="E342" s="485"/>
      <c r="F342" s="485"/>
      <c r="G342" s="485"/>
      <c r="H342" s="485"/>
      <c r="I342" s="485"/>
      <c r="J342" s="485"/>
      <c r="K342" s="485"/>
      <c r="L342" s="485"/>
      <c r="M342" s="485"/>
      <c r="N342" s="485"/>
      <c r="O342" s="485"/>
      <c r="P342" s="485"/>
      <c r="Q342" s="485"/>
      <c r="R342" s="485"/>
    </row>
    <row r="343" spans="1:18" ht="13.2">
      <c r="A343" s="375"/>
      <c r="B343" s="376"/>
      <c r="C343" s="540"/>
      <c r="D343" s="485"/>
      <c r="E343" s="485"/>
      <c r="F343" s="485"/>
      <c r="G343" s="485"/>
      <c r="H343" s="485"/>
      <c r="I343" s="485"/>
      <c r="J343" s="485"/>
      <c r="K343" s="485"/>
      <c r="L343" s="485"/>
      <c r="M343" s="485"/>
      <c r="N343" s="485"/>
      <c r="O343" s="485"/>
      <c r="P343" s="485"/>
      <c r="Q343" s="485"/>
      <c r="R343" s="485"/>
    </row>
    <row r="344" spans="1:18" ht="13.2">
      <c r="A344" s="369" t="s">
        <v>245</v>
      </c>
      <c r="B344" s="370" t="s">
        <v>140</v>
      </c>
      <c r="C344" s="540"/>
      <c r="D344" s="485"/>
      <c r="E344" s="908">
        <f>E346</f>
        <v>54307</v>
      </c>
      <c r="F344" s="908"/>
      <c r="G344" s="908"/>
      <c r="H344" s="908"/>
      <c r="I344" s="908"/>
      <c r="J344" s="908">
        <f t="shared" ref="J344:O344" si="289">J346</f>
        <v>51708</v>
      </c>
      <c r="K344" s="908"/>
      <c r="L344" s="908"/>
      <c r="M344" s="908"/>
      <c r="N344" s="908"/>
      <c r="O344" s="908">
        <f t="shared" si="289"/>
        <v>8256</v>
      </c>
      <c r="P344" s="485"/>
      <c r="Q344" s="485"/>
      <c r="R344" s="485"/>
    </row>
    <row r="345" spans="1:18" ht="13.2">
      <c r="A345" s="371"/>
      <c r="B345" s="372" t="s">
        <v>238</v>
      </c>
      <c r="C345" s="540"/>
      <c r="D345" s="485"/>
      <c r="E345" s="908"/>
      <c r="F345" s="908"/>
      <c r="G345" s="908"/>
      <c r="H345" s="908"/>
      <c r="I345" s="908"/>
      <c r="J345" s="908"/>
      <c r="K345" s="908"/>
      <c r="L345" s="908"/>
      <c r="M345" s="908"/>
      <c r="N345" s="908"/>
      <c r="O345" s="908"/>
      <c r="P345" s="485"/>
      <c r="Q345" s="485"/>
      <c r="R345" s="485"/>
    </row>
    <row r="346" spans="1:18" ht="13.2">
      <c r="A346" s="373" t="s">
        <v>223</v>
      </c>
      <c r="B346" s="374" t="s">
        <v>434</v>
      </c>
      <c r="C346" s="540"/>
      <c r="D346" s="485"/>
      <c r="E346" s="908">
        <f>E347+E350+E355+E358</f>
        <v>54307</v>
      </c>
      <c r="F346" s="908"/>
      <c r="G346" s="908"/>
      <c r="H346" s="908"/>
      <c r="I346" s="908"/>
      <c r="J346" s="908">
        <f>J347+J350+J355+J358</f>
        <v>51708</v>
      </c>
      <c r="K346" s="908"/>
      <c r="L346" s="908"/>
      <c r="M346" s="908"/>
      <c r="N346" s="908"/>
      <c r="O346" s="908">
        <f>O347+O350+O355+O358</f>
        <v>8256</v>
      </c>
      <c r="P346" s="485"/>
      <c r="Q346" s="485"/>
      <c r="R346" s="485"/>
    </row>
    <row r="347" spans="1:18" ht="79.2">
      <c r="A347" s="375" t="s">
        <v>240</v>
      </c>
      <c r="B347" s="376" t="s">
        <v>340</v>
      </c>
      <c r="C347" s="540"/>
      <c r="D347" s="485"/>
      <c r="E347" s="908">
        <v>41282</v>
      </c>
      <c r="F347" s="908"/>
      <c r="G347" s="908"/>
      <c r="H347" s="908"/>
      <c r="I347" s="908"/>
      <c r="J347" s="908">
        <v>41282</v>
      </c>
      <c r="K347" s="908"/>
      <c r="L347" s="908"/>
      <c r="M347" s="908"/>
      <c r="N347" s="908"/>
      <c r="O347" s="908">
        <v>8256</v>
      </c>
      <c r="P347" s="485"/>
      <c r="Q347" s="485"/>
      <c r="R347" s="485"/>
    </row>
    <row r="348" spans="1:18" ht="13.2">
      <c r="A348" s="767">
        <v>2000</v>
      </c>
      <c r="B348" s="768" t="s">
        <v>108</v>
      </c>
      <c r="C348" s="540"/>
      <c r="D348" s="485"/>
      <c r="E348" s="485">
        <v>41282</v>
      </c>
      <c r="F348" s="485"/>
      <c r="G348" s="485"/>
      <c r="H348" s="485"/>
      <c r="I348" s="485"/>
      <c r="J348" s="485">
        <v>41282</v>
      </c>
      <c r="K348" s="485"/>
      <c r="L348" s="485"/>
      <c r="M348" s="485"/>
      <c r="N348" s="485"/>
      <c r="O348" s="485">
        <v>8256</v>
      </c>
      <c r="P348" s="485"/>
      <c r="Q348" s="485"/>
      <c r="R348" s="485"/>
    </row>
    <row r="349" spans="1:18" ht="13.2">
      <c r="A349" s="375"/>
      <c r="B349" s="376"/>
      <c r="C349" s="540"/>
      <c r="D349" s="485"/>
      <c r="E349" s="485"/>
      <c r="F349" s="485"/>
      <c r="G349" s="485"/>
      <c r="H349" s="485"/>
      <c r="I349" s="485"/>
      <c r="J349" s="485"/>
      <c r="K349" s="485"/>
      <c r="L349" s="485"/>
      <c r="M349" s="485"/>
      <c r="N349" s="485"/>
      <c r="O349" s="485"/>
      <c r="P349" s="485"/>
      <c r="Q349" s="485"/>
      <c r="R349" s="485"/>
    </row>
    <row r="350" spans="1:18" ht="66">
      <c r="A350" s="375" t="s">
        <v>253</v>
      </c>
      <c r="B350" s="376" t="s">
        <v>944</v>
      </c>
      <c r="C350" s="540"/>
      <c r="D350" s="485"/>
      <c r="E350" s="908">
        <v>8130</v>
      </c>
      <c r="F350" s="485"/>
      <c r="G350" s="485"/>
      <c r="H350" s="485"/>
      <c r="I350" s="485"/>
      <c r="J350" s="485"/>
      <c r="K350" s="485"/>
      <c r="L350" s="485"/>
      <c r="M350" s="485"/>
      <c r="N350" s="485"/>
      <c r="O350" s="485"/>
      <c r="P350" s="485"/>
      <c r="Q350" s="485"/>
      <c r="R350" s="485"/>
    </row>
    <row r="351" spans="1:18" ht="13.2">
      <c r="A351" s="767">
        <v>1000</v>
      </c>
      <c r="B351" s="768" t="s">
        <v>106</v>
      </c>
      <c r="C351" s="540"/>
      <c r="D351" s="485"/>
      <c r="E351" s="485">
        <v>4070</v>
      </c>
      <c r="F351" s="485"/>
      <c r="G351" s="485"/>
      <c r="H351" s="485"/>
      <c r="I351" s="485"/>
      <c r="J351" s="485"/>
      <c r="K351" s="485"/>
      <c r="L351" s="485"/>
      <c r="M351" s="485"/>
      <c r="N351" s="485"/>
      <c r="O351" s="485"/>
      <c r="P351" s="485"/>
      <c r="Q351" s="485"/>
      <c r="R351" s="485"/>
    </row>
    <row r="352" spans="1:18" ht="13.2">
      <c r="A352" s="891">
        <v>1100</v>
      </c>
      <c r="B352" s="768" t="s">
        <v>107</v>
      </c>
      <c r="C352" s="540"/>
      <c r="D352" s="485"/>
      <c r="E352" s="485">
        <v>3280</v>
      </c>
      <c r="F352" s="485"/>
      <c r="G352" s="485"/>
      <c r="H352" s="485"/>
      <c r="I352" s="485"/>
      <c r="J352" s="485"/>
      <c r="K352" s="485"/>
      <c r="L352" s="485"/>
      <c r="M352" s="485"/>
      <c r="N352" s="485"/>
      <c r="O352" s="485"/>
      <c r="P352" s="485"/>
      <c r="Q352" s="485"/>
      <c r="R352" s="485"/>
    </row>
    <row r="353" spans="1:18" ht="13.2">
      <c r="A353" s="767">
        <v>2000</v>
      </c>
      <c r="B353" s="768" t="s">
        <v>108</v>
      </c>
      <c r="C353" s="540"/>
      <c r="D353" s="485"/>
      <c r="E353" s="485">
        <v>4060</v>
      </c>
      <c r="F353" s="485"/>
      <c r="G353" s="485"/>
      <c r="H353" s="485"/>
      <c r="I353" s="485"/>
      <c r="J353" s="485"/>
      <c r="K353" s="485"/>
      <c r="L353" s="485"/>
      <c r="M353" s="485"/>
      <c r="N353" s="485"/>
      <c r="O353" s="485"/>
      <c r="P353" s="485"/>
      <c r="Q353" s="485"/>
      <c r="R353" s="485"/>
    </row>
    <row r="354" spans="1:18" ht="13.2">
      <c r="A354" s="375"/>
      <c r="B354" s="376"/>
      <c r="C354" s="540"/>
      <c r="D354" s="485"/>
      <c r="E354" s="485"/>
      <c r="F354" s="485"/>
      <c r="G354" s="485"/>
      <c r="H354" s="485"/>
      <c r="I354" s="485"/>
      <c r="J354" s="485"/>
      <c r="K354" s="485"/>
      <c r="L354" s="485"/>
      <c r="M354" s="485"/>
      <c r="N354" s="485"/>
      <c r="O354" s="485"/>
      <c r="P354" s="485"/>
      <c r="Q354" s="485"/>
      <c r="R354" s="485"/>
    </row>
    <row r="355" spans="1:18" ht="39.6">
      <c r="A355" s="375" t="s">
        <v>255</v>
      </c>
      <c r="B355" s="376" t="s">
        <v>945</v>
      </c>
      <c r="C355" s="540"/>
      <c r="D355" s="485"/>
      <c r="E355" s="908">
        <v>3463</v>
      </c>
      <c r="F355" s="485"/>
      <c r="G355" s="485"/>
      <c r="H355" s="485"/>
      <c r="I355" s="485"/>
      <c r="J355" s="908">
        <v>10426</v>
      </c>
      <c r="K355" s="485"/>
      <c r="L355" s="485"/>
      <c r="M355" s="485"/>
      <c r="N355" s="485"/>
      <c r="O355" s="485"/>
      <c r="P355" s="485"/>
      <c r="Q355" s="485"/>
      <c r="R355" s="485"/>
    </row>
    <row r="356" spans="1:18" ht="13.2">
      <c r="A356" s="767">
        <v>2000</v>
      </c>
      <c r="B356" s="768" t="s">
        <v>108</v>
      </c>
      <c r="C356" s="540"/>
      <c r="D356" s="485"/>
      <c r="E356" s="485">
        <v>3463</v>
      </c>
      <c r="F356" s="485"/>
      <c r="G356" s="485"/>
      <c r="H356" s="485"/>
      <c r="I356" s="485"/>
      <c r="J356" s="485">
        <v>10426</v>
      </c>
      <c r="K356" s="485"/>
      <c r="L356" s="485"/>
      <c r="M356" s="485"/>
      <c r="N356" s="485"/>
      <c r="O356" s="485"/>
      <c r="P356" s="485"/>
      <c r="Q356" s="485"/>
      <c r="R356" s="485"/>
    </row>
    <row r="357" spans="1:18" ht="13.2">
      <c r="A357" s="767"/>
      <c r="B357" s="768"/>
      <c r="C357" s="540"/>
      <c r="D357" s="485"/>
      <c r="E357" s="485"/>
      <c r="F357" s="485"/>
      <c r="G357" s="485"/>
      <c r="H357" s="485"/>
      <c r="I357" s="485"/>
      <c r="J357" s="485"/>
      <c r="K357" s="485"/>
      <c r="L357" s="485"/>
      <c r="M357" s="485"/>
      <c r="N357" s="485"/>
      <c r="O357" s="485"/>
      <c r="P357" s="485"/>
      <c r="Q357" s="485"/>
      <c r="R357" s="485"/>
    </row>
    <row r="358" spans="1:18" ht="52.8">
      <c r="A358" s="375" t="s">
        <v>281</v>
      </c>
      <c r="B358" s="376" t="s">
        <v>946</v>
      </c>
      <c r="C358" s="540"/>
      <c r="D358" s="485"/>
      <c r="E358" s="908">
        <v>1432</v>
      </c>
      <c r="F358" s="485"/>
      <c r="G358" s="485"/>
      <c r="H358" s="485"/>
      <c r="I358" s="485"/>
      <c r="J358" s="485"/>
      <c r="K358" s="485"/>
      <c r="L358" s="485"/>
      <c r="M358" s="485"/>
      <c r="N358" s="485"/>
      <c r="O358" s="485"/>
      <c r="P358" s="485"/>
      <c r="Q358" s="485"/>
      <c r="R358" s="485"/>
    </row>
    <row r="359" spans="1:18" ht="13.2">
      <c r="A359" s="767">
        <v>1000</v>
      </c>
      <c r="B359" s="768" t="s">
        <v>106</v>
      </c>
      <c r="C359" s="540"/>
      <c r="D359" s="485"/>
      <c r="E359" s="485">
        <v>1300</v>
      </c>
      <c r="F359" s="485"/>
      <c r="G359" s="485"/>
      <c r="H359" s="485"/>
      <c r="I359" s="485"/>
      <c r="J359" s="485"/>
      <c r="K359" s="485"/>
      <c r="L359" s="485"/>
      <c r="M359" s="485"/>
      <c r="N359" s="485"/>
      <c r="O359" s="485"/>
      <c r="P359" s="485"/>
      <c r="Q359" s="485"/>
      <c r="R359" s="485"/>
    </row>
    <row r="360" spans="1:18" ht="13.2">
      <c r="A360" s="891">
        <v>1100</v>
      </c>
      <c r="B360" s="768" t="s">
        <v>107</v>
      </c>
      <c r="C360" s="540"/>
      <c r="D360" s="485"/>
      <c r="E360" s="485">
        <v>1031</v>
      </c>
      <c r="F360" s="485"/>
      <c r="G360" s="485"/>
      <c r="H360" s="485"/>
      <c r="I360" s="485"/>
      <c r="J360" s="485"/>
      <c r="K360" s="485"/>
      <c r="L360" s="485"/>
      <c r="M360" s="485"/>
      <c r="N360" s="485"/>
      <c r="O360" s="485"/>
      <c r="P360" s="485"/>
      <c r="Q360" s="485"/>
      <c r="R360" s="485"/>
    </row>
    <row r="361" spans="1:18" ht="13.2">
      <c r="A361" s="767">
        <v>2000</v>
      </c>
      <c r="B361" s="768" t="s">
        <v>108</v>
      </c>
      <c r="C361" s="540"/>
      <c r="D361" s="485"/>
      <c r="E361" s="485">
        <v>132</v>
      </c>
      <c r="F361" s="485"/>
      <c r="G361" s="485"/>
      <c r="H361" s="485"/>
      <c r="I361" s="485"/>
      <c r="J361" s="485"/>
      <c r="K361" s="485"/>
      <c r="L361" s="485"/>
      <c r="M361" s="485"/>
      <c r="N361" s="485"/>
      <c r="O361" s="485"/>
      <c r="P361" s="485"/>
      <c r="Q361" s="485"/>
      <c r="R361" s="485"/>
    </row>
    <row r="362" spans="1:18" ht="13.2">
      <c r="A362" s="377"/>
      <c r="B362" s="376"/>
      <c r="C362" s="540"/>
      <c r="D362" s="485"/>
      <c r="E362" s="485"/>
      <c r="F362" s="485"/>
      <c r="G362" s="485"/>
      <c r="H362" s="485"/>
      <c r="I362" s="485"/>
      <c r="J362" s="485"/>
      <c r="K362" s="485"/>
      <c r="L362" s="485"/>
      <c r="M362" s="485"/>
      <c r="N362" s="485"/>
      <c r="O362" s="485"/>
      <c r="P362" s="485"/>
      <c r="Q362" s="485"/>
      <c r="R362" s="485"/>
    </row>
    <row r="363" spans="1:18" ht="13.2">
      <c r="A363" s="378" t="s">
        <v>224</v>
      </c>
      <c r="B363" s="374" t="s">
        <v>242</v>
      </c>
      <c r="C363" s="540"/>
      <c r="D363" s="485"/>
      <c r="E363" s="485"/>
      <c r="F363" s="485"/>
      <c r="G363" s="908"/>
      <c r="H363" s="908"/>
      <c r="I363" s="908"/>
      <c r="J363" s="908"/>
      <c r="K363" s="908"/>
      <c r="L363" s="908"/>
      <c r="M363" s="908"/>
      <c r="N363" s="908"/>
      <c r="O363" s="908"/>
      <c r="P363" s="908"/>
      <c r="Q363" s="908"/>
      <c r="R363" s="485"/>
    </row>
    <row r="364" spans="1:18" ht="13.2">
      <c r="A364" s="375" t="s">
        <v>243</v>
      </c>
      <c r="B364" s="376"/>
      <c r="C364" s="540"/>
      <c r="D364" s="485"/>
      <c r="E364" s="485"/>
      <c r="F364" s="485"/>
      <c r="G364" s="485"/>
      <c r="H364" s="485"/>
      <c r="I364" s="485"/>
      <c r="J364" s="485"/>
      <c r="K364" s="485"/>
      <c r="L364" s="485"/>
      <c r="M364" s="485"/>
      <c r="N364" s="485"/>
      <c r="O364" s="485"/>
      <c r="P364" s="485"/>
      <c r="Q364" s="485"/>
      <c r="R364" s="485"/>
    </row>
    <row r="365" spans="1:18" ht="13.2">
      <c r="A365" s="419"/>
      <c r="B365" s="420"/>
      <c r="C365" s="917"/>
      <c r="D365" s="917"/>
      <c r="E365" s="832"/>
      <c r="F365" s="832"/>
      <c r="G365" s="832"/>
      <c r="H365" s="832"/>
      <c r="I365" s="832"/>
      <c r="J365" s="832"/>
      <c r="K365" s="832"/>
      <c r="L365" s="832"/>
      <c r="M365" s="832"/>
      <c r="N365" s="832"/>
      <c r="O365" s="832"/>
      <c r="P365" s="832"/>
      <c r="Q365" s="832"/>
      <c r="R365" s="832"/>
    </row>
    <row r="366" spans="1:18" ht="13.2">
      <c r="A366" s="419"/>
      <c r="B366" s="420"/>
      <c r="C366" s="917"/>
      <c r="D366" s="917"/>
      <c r="E366" s="832"/>
      <c r="F366" s="832"/>
      <c r="G366" s="832"/>
      <c r="H366" s="832"/>
      <c r="I366" s="832"/>
      <c r="J366" s="832"/>
      <c r="K366" s="832"/>
      <c r="L366" s="832"/>
      <c r="M366" s="832"/>
      <c r="N366" s="832"/>
      <c r="O366" s="832"/>
      <c r="P366" s="832"/>
      <c r="Q366" s="832"/>
      <c r="R366" s="832"/>
    </row>
    <row r="367" spans="1:18" ht="13.2">
      <c r="A367" s="419"/>
      <c r="B367" s="420"/>
      <c r="C367" s="917"/>
      <c r="D367" s="917"/>
      <c r="E367" s="832"/>
      <c r="F367" s="832"/>
      <c r="G367" s="832"/>
      <c r="H367" s="832"/>
      <c r="I367" s="832"/>
      <c r="J367" s="832"/>
      <c r="K367" s="832"/>
      <c r="L367" s="832"/>
      <c r="M367" s="832"/>
      <c r="N367" s="832"/>
      <c r="O367" s="832"/>
      <c r="P367" s="832"/>
      <c r="Q367" s="832"/>
      <c r="R367" s="832"/>
    </row>
    <row r="368" spans="1:18" ht="13.2">
      <c r="A368" s="419"/>
      <c r="B368" s="420"/>
      <c r="C368" s="917"/>
      <c r="D368" s="917"/>
      <c r="E368" s="832"/>
      <c r="F368" s="832"/>
      <c r="G368" s="832"/>
      <c r="H368" s="832"/>
      <c r="I368" s="832"/>
      <c r="J368" s="832"/>
      <c r="K368" s="832"/>
      <c r="L368" s="832"/>
      <c r="M368" s="832"/>
      <c r="N368" s="832"/>
      <c r="O368" s="832"/>
      <c r="P368" s="832"/>
      <c r="Q368" s="832"/>
      <c r="R368" s="832"/>
    </row>
    <row r="369" spans="1:18" ht="13.2">
      <c r="A369" s="419"/>
      <c r="B369" s="420"/>
      <c r="C369" s="917"/>
      <c r="D369" s="917"/>
      <c r="E369" s="832"/>
      <c r="F369" s="832"/>
      <c r="G369" s="832"/>
      <c r="H369" s="832"/>
      <c r="I369" s="832"/>
      <c r="J369" s="832"/>
      <c r="K369" s="832"/>
      <c r="L369" s="832"/>
      <c r="M369" s="832"/>
      <c r="N369" s="832"/>
      <c r="O369" s="832"/>
      <c r="P369" s="832"/>
      <c r="Q369" s="832"/>
      <c r="R369" s="832"/>
    </row>
    <row r="370" spans="1:18" ht="13.2">
      <c r="A370" s="419"/>
      <c r="B370" s="420"/>
      <c r="C370" s="917"/>
      <c r="D370" s="917"/>
      <c r="E370" s="832"/>
      <c r="F370" s="832"/>
      <c r="G370" s="832"/>
      <c r="H370" s="832"/>
      <c r="I370" s="832"/>
      <c r="J370" s="832"/>
      <c r="K370" s="832"/>
      <c r="L370" s="832"/>
      <c r="M370" s="832"/>
      <c r="N370" s="832"/>
      <c r="O370" s="832"/>
      <c r="P370" s="832"/>
      <c r="Q370" s="832"/>
      <c r="R370" s="832"/>
    </row>
    <row r="371" spans="1:18" ht="13.2">
      <c r="A371" s="419"/>
      <c r="B371" s="420"/>
      <c r="C371" s="917"/>
      <c r="D371" s="917"/>
      <c r="E371" s="832"/>
      <c r="F371" s="832"/>
      <c r="G371" s="832"/>
      <c r="H371" s="832"/>
      <c r="I371" s="832"/>
      <c r="J371" s="832"/>
      <c r="K371" s="832"/>
      <c r="L371" s="832"/>
      <c r="M371" s="832"/>
      <c r="N371" s="832"/>
      <c r="O371" s="832"/>
      <c r="P371" s="832"/>
      <c r="Q371" s="832"/>
      <c r="R371" s="832"/>
    </row>
    <row r="372" spans="1:18" ht="13.2">
      <c r="A372" s="419"/>
      <c r="B372" s="420"/>
      <c r="C372" s="917"/>
      <c r="D372" s="917"/>
      <c r="E372" s="832"/>
      <c r="F372" s="375"/>
      <c r="G372" s="375"/>
      <c r="H372" s="375"/>
      <c r="I372" s="375"/>
      <c r="J372" s="832"/>
      <c r="K372" s="375"/>
      <c r="L372" s="375"/>
      <c r="M372" s="375"/>
      <c r="N372" s="375"/>
      <c r="O372" s="832"/>
      <c r="P372" s="375"/>
      <c r="Q372" s="375"/>
      <c r="R372" s="375"/>
    </row>
    <row r="373" spans="1:18" ht="13.2">
      <c r="A373" s="419"/>
      <c r="B373" s="420"/>
      <c r="C373" s="917"/>
      <c r="D373" s="917"/>
      <c r="E373" s="832"/>
      <c r="F373" s="375"/>
      <c r="G373" s="375"/>
      <c r="H373" s="375"/>
      <c r="I373" s="375"/>
      <c r="J373" s="832"/>
      <c r="K373" s="375"/>
      <c r="L373" s="375"/>
      <c r="M373" s="375"/>
      <c r="N373" s="375"/>
      <c r="O373" s="832"/>
      <c r="P373" s="375"/>
      <c r="Q373" s="375"/>
      <c r="R373" s="375"/>
    </row>
    <row r="374" spans="1:18" ht="13.2">
      <c r="A374" s="419"/>
      <c r="B374" s="420"/>
      <c r="C374" s="917"/>
      <c r="D374" s="917"/>
      <c r="E374" s="832"/>
      <c r="F374" s="375"/>
      <c r="G374" s="375"/>
      <c r="H374" s="375"/>
      <c r="I374" s="375"/>
      <c r="J374" s="832"/>
      <c r="K374" s="375"/>
      <c r="L374" s="375"/>
      <c r="M374" s="375"/>
      <c r="N374" s="375"/>
      <c r="O374" s="832"/>
      <c r="P374" s="375"/>
      <c r="Q374" s="375"/>
      <c r="R374" s="375"/>
    </row>
    <row r="375" spans="1:18" ht="13.2">
      <c r="A375" s="419"/>
      <c r="B375" s="420"/>
      <c r="C375" s="917"/>
      <c r="D375" s="917"/>
      <c r="E375" s="832"/>
      <c r="F375" s="375"/>
      <c r="G375" s="375"/>
      <c r="H375" s="375"/>
      <c r="I375" s="375"/>
      <c r="J375" s="832"/>
      <c r="K375" s="375"/>
      <c r="L375" s="375"/>
      <c r="M375" s="375"/>
      <c r="N375" s="375"/>
      <c r="O375" s="832"/>
      <c r="P375" s="375"/>
      <c r="Q375" s="375"/>
      <c r="R375" s="375"/>
    </row>
    <row r="376" spans="1:18" ht="13.2">
      <c r="A376" s="419"/>
      <c r="B376" s="420"/>
      <c r="C376" s="917"/>
      <c r="D376" s="917"/>
      <c r="E376" s="832"/>
      <c r="F376" s="375"/>
      <c r="G376" s="375"/>
      <c r="H376" s="375"/>
      <c r="I376" s="375"/>
      <c r="J376" s="832"/>
      <c r="K376" s="375"/>
      <c r="L376" s="375"/>
      <c r="M376" s="375"/>
      <c r="N376" s="375"/>
      <c r="O376" s="832"/>
      <c r="P376" s="375"/>
      <c r="Q376" s="375"/>
      <c r="R376" s="375"/>
    </row>
    <row r="377" spans="1:18" ht="12">
      <c r="C377" s="295"/>
      <c r="D377" s="295"/>
      <c r="E377" s="540"/>
      <c r="F377" s="876"/>
      <c r="G377" s="876"/>
      <c r="H377" s="876"/>
      <c r="I377" s="876"/>
      <c r="J377" s="540"/>
      <c r="K377" s="876"/>
      <c r="L377" s="876"/>
      <c r="M377" s="876"/>
      <c r="N377" s="876"/>
      <c r="O377" s="540"/>
      <c r="P377" s="876"/>
      <c r="Q377" s="876"/>
      <c r="R377" s="876"/>
    </row>
    <row r="378" spans="1:18" ht="12">
      <c r="C378" s="295"/>
      <c r="D378" s="295"/>
      <c r="E378" s="540"/>
      <c r="F378" s="876"/>
      <c r="G378" s="876"/>
      <c r="H378" s="876"/>
      <c r="I378" s="876"/>
      <c r="J378" s="540"/>
      <c r="K378" s="876"/>
      <c r="L378" s="876"/>
      <c r="M378" s="876"/>
      <c r="N378" s="876"/>
      <c r="O378" s="540"/>
      <c r="P378" s="876"/>
      <c r="Q378" s="876"/>
      <c r="R378" s="876"/>
    </row>
    <row r="379" spans="1:18" ht="12">
      <c r="C379" s="295"/>
      <c r="D379" s="295"/>
      <c r="E379" s="540"/>
      <c r="F379" s="876"/>
      <c r="G379" s="876"/>
      <c r="H379" s="876"/>
      <c r="I379" s="876"/>
      <c r="J379" s="540"/>
      <c r="K379" s="876"/>
      <c r="L379" s="876"/>
      <c r="M379" s="876"/>
      <c r="N379" s="876"/>
      <c r="O379" s="540"/>
      <c r="P379" s="876"/>
      <c r="Q379" s="876"/>
      <c r="R379" s="876"/>
    </row>
    <row r="380" spans="1:18" ht="12">
      <c r="C380" s="295"/>
      <c r="D380" s="295"/>
      <c r="E380" s="540"/>
      <c r="F380" s="876"/>
      <c r="G380" s="876"/>
      <c r="H380" s="876"/>
      <c r="I380" s="876"/>
      <c r="J380" s="540"/>
      <c r="K380" s="876"/>
      <c r="L380" s="876"/>
      <c r="M380" s="876"/>
      <c r="N380" s="876"/>
      <c r="O380" s="540"/>
      <c r="P380" s="876"/>
      <c r="Q380" s="876"/>
      <c r="R380" s="876"/>
    </row>
    <row r="381" spans="1:18" ht="12">
      <c r="C381" s="295"/>
      <c r="D381" s="295"/>
      <c r="E381" s="540"/>
      <c r="F381" s="876"/>
      <c r="G381" s="876"/>
      <c r="H381" s="876"/>
      <c r="I381" s="876"/>
      <c r="J381" s="540"/>
      <c r="K381" s="876"/>
      <c r="L381" s="876"/>
      <c r="M381" s="876"/>
      <c r="N381" s="876"/>
      <c r="O381" s="540"/>
      <c r="P381" s="876"/>
      <c r="Q381" s="876"/>
      <c r="R381" s="876"/>
    </row>
    <row r="382" spans="1:18" ht="12">
      <c r="C382" s="295"/>
      <c r="D382" s="295"/>
      <c r="E382" s="540"/>
      <c r="F382" s="876"/>
      <c r="G382" s="876"/>
      <c r="H382" s="876"/>
      <c r="I382" s="876"/>
      <c r="J382" s="540"/>
      <c r="K382" s="876"/>
      <c r="L382" s="876"/>
      <c r="M382" s="876"/>
      <c r="N382" s="876"/>
      <c r="O382" s="540"/>
      <c r="P382" s="876"/>
      <c r="Q382" s="876"/>
      <c r="R382" s="876"/>
    </row>
    <row r="383" spans="1:18" ht="12">
      <c r="C383" s="295"/>
      <c r="D383" s="295"/>
      <c r="E383" s="540"/>
      <c r="F383" s="876"/>
      <c r="G383" s="876"/>
      <c r="H383" s="876"/>
      <c r="I383" s="876"/>
      <c r="J383" s="540"/>
      <c r="K383" s="876"/>
      <c r="L383" s="876"/>
      <c r="M383" s="876"/>
      <c r="N383" s="876"/>
      <c r="O383" s="540"/>
      <c r="P383" s="876"/>
      <c r="Q383" s="876"/>
      <c r="R383" s="876"/>
    </row>
    <row r="384" spans="1:18" ht="12">
      <c r="C384" s="295"/>
      <c r="D384" s="295"/>
      <c r="E384" s="540"/>
      <c r="F384" s="876"/>
      <c r="G384" s="876"/>
      <c r="H384" s="876"/>
      <c r="I384" s="876"/>
      <c r="J384" s="540"/>
      <c r="K384" s="876"/>
      <c r="L384" s="876"/>
      <c r="M384" s="876"/>
      <c r="N384" s="876"/>
      <c r="O384" s="540"/>
      <c r="P384" s="876"/>
      <c r="Q384" s="876"/>
      <c r="R384" s="876"/>
    </row>
    <row r="385" spans="3:18" ht="12">
      <c r="C385" s="295"/>
      <c r="D385" s="295"/>
      <c r="E385" s="540"/>
      <c r="F385" s="876"/>
      <c r="G385" s="876"/>
      <c r="H385" s="876"/>
      <c r="I385" s="876"/>
      <c r="J385" s="540"/>
      <c r="K385" s="876"/>
      <c r="L385" s="876"/>
      <c r="M385" s="876"/>
      <c r="N385" s="876"/>
      <c r="O385" s="540"/>
      <c r="P385" s="876"/>
      <c r="Q385" s="876"/>
      <c r="R385" s="876"/>
    </row>
    <row r="386" spans="3:18" ht="12">
      <c r="C386" s="295"/>
      <c r="D386" s="295"/>
      <c r="E386" s="540"/>
      <c r="F386" s="876"/>
      <c r="G386" s="876"/>
      <c r="H386" s="876"/>
      <c r="I386" s="876"/>
      <c r="J386" s="540"/>
      <c r="K386" s="876"/>
      <c r="L386" s="876"/>
      <c r="M386" s="876"/>
      <c r="N386" s="876"/>
      <c r="O386" s="540"/>
      <c r="P386" s="876"/>
      <c r="Q386" s="876"/>
      <c r="R386" s="876"/>
    </row>
    <row r="387" spans="3:18" ht="12">
      <c r="C387" s="295"/>
      <c r="D387" s="295"/>
      <c r="E387" s="540"/>
      <c r="F387" s="876"/>
      <c r="G387" s="876"/>
      <c r="H387" s="876"/>
      <c r="I387" s="876"/>
      <c r="J387" s="540"/>
      <c r="K387" s="876"/>
      <c r="L387" s="876"/>
      <c r="M387" s="876"/>
      <c r="N387" s="876"/>
      <c r="O387" s="540"/>
      <c r="P387" s="876"/>
      <c r="Q387" s="876"/>
      <c r="R387" s="876"/>
    </row>
    <row r="388" spans="3:18" ht="12">
      <c r="C388" s="295"/>
      <c r="D388" s="295"/>
      <c r="E388" s="540"/>
      <c r="F388" s="876"/>
      <c r="G388" s="876"/>
      <c r="H388" s="876"/>
      <c r="I388" s="876"/>
      <c r="J388" s="540"/>
      <c r="K388" s="876"/>
      <c r="L388" s="876"/>
      <c r="M388" s="876"/>
      <c r="N388" s="876"/>
      <c r="O388" s="540"/>
      <c r="P388" s="876"/>
      <c r="Q388" s="876"/>
      <c r="R388" s="876"/>
    </row>
    <row r="389" spans="3:18" ht="12">
      <c r="C389" s="295"/>
      <c r="D389" s="295"/>
      <c r="E389" s="540"/>
      <c r="F389" s="876"/>
      <c r="G389" s="876"/>
      <c r="H389" s="876"/>
      <c r="I389" s="876"/>
      <c r="J389" s="540"/>
      <c r="K389" s="876"/>
      <c r="L389" s="876"/>
      <c r="M389" s="876"/>
      <c r="N389" s="876"/>
      <c r="O389" s="540"/>
      <c r="P389" s="876"/>
      <c r="Q389" s="876"/>
      <c r="R389" s="876"/>
    </row>
    <row r="390" spans="3:18" ht="12">
      <c r="C390" s="295"/>
      <c r="D390" s="295"/>
      <c r="E390" s="540"/>
      <c r="F390" s="876"/>
      <c r="G390" s="876"/>
      <c r="H390" s="876"/>
      <c r="I390" s="876"/>
      <c r="J390" s="540"/>
      <c r="K390" s="876"/>
      <c r="L390" s="876"/>
      <c r="M390" s="876"/>
      <c r="N390" s="876"/>
      <c r="O390" s="540"/>
      <c r="P390" s="876"/>
      <c r="Q390" s="876"/>
      <c r="R390" s="876"/>
    </row>
    <row r="391" spans="3:18" ht="12">
      <c r="C391" s="295"/>
      <c r="D391" s="295"/>
      <c r="E391" s="540"/>
      <c r="F391" s="876"/>
      <c r="G391" s="876"/>
      <c r="H391" s="876"/>
      <c r="I391" s="876"/>
      <c r="J391" s="540"/>
      <c r="K391" s="876"/>
      <c r="L391" s="876"/>
      <c r="M391" s="876"/>
      <c r="N391" s="876"/>
      <c r="O391" s="540"/>
      <c r="P391" s="876"/>
      <c r="Q391" s="876"/>
      <c r="R391" s="876"/>
    </row>
    <row r="392" spans="3:18" ht="12">
      <c r="C392" s="295"/>
      <c r="D392" s="295"/>
      <c r="E392" s="540"/>
      <c r="F392" s="876"/>
      <c r="G392" s="876"/>
      <c r="H392" s="876"/>
      <c r="I392" s="876"/>
      <c r="J392" s="540"/>
      <c r="K392" s="876"/>
      <c r="L392" s="876"/>
      <c r="M392" s="876"/>
      <c r="N392" s="876"/>
      <c r="O392" s="540"/>
      <c r="P392" s="876"/>
      <c r="Q392" s="876"/>
      <c r="R392" s="876"/>
    </row>
    <row r="393" spans="3:18" ht="12">
      <c r="C393" s="295"/>
      <c r="D393" s="295"/>
      <c r="E393" s="540"/>
      <c r="F393" s="876"/>
      <c r="G393" s="876"/>
      <c r="H393" s="876"/>
      <c r="I393" s="876"/>
      <c r="J393" s="540"/>
      <c r="K393" s="876"/>
      <c r="L393" s="876"/>
      <c r="M393" s="876"/>
      <c r="N393" s="876"/>
      <c r="O393" s="540"/>
      <c r="P393" s="876"/>
      <c r="Q393" s="876"/>
      <c r="R393" s="876"/>
    </row>
    <row r="394" spans="3:18" ht="12">
      <c r="C394" s="295"/>
      <c r="D394" s="295"/>
      <c r="E394" s="540"/>
      <c r="F394" s="876"/>
      <c r="G394" s="876"/>
      <c r="H394" s="876"/>
      <c r="I394" s="876"/>
      <c r="J394" s="540"/>
      <c r="K394" s="876"/>
      <c r="L394" s="876"/>
      <c r="M394" s="876"/>
      <c r="N394" s="876"/>
      <c r="O394" s="540"/>
      <c r="P394" s="876"/>
      <c r="Q394" s="876"/>
      <c r="R394" s="876"/>
    </row>
    <row r="395" spans="3:18" ht="12">
      <c r="C395" s="295"/>
      <c r="D395" s="295"/>
      <c r="E395" s="540"/>
      <c r="F395" s="876"/>
      <c r="G395" s="876"/>
      <c r="H395" s="876"/>
      <c r="I395" s="876"/>
      <c r="J395" s="540"/>
      <c r="K395" s="876"/>
      <c r="L395" s="876"/>
      <c r="M395" s="876"/>
      <c r="N395" s="876"/>
      <c r="O395" s="540"/>
      <c r="P395" s="876"/>
      <c r="Q395" s="876"/>
      <c r="R395" s="876"/>
    </row>
    <row r="396" spans="3:18" ht="12">
      <c r="C396" s="295"/>
      <c r="D396" s="295"/>
      <c r="E396" s="540"/>
      <c r="F396" s="876"/>
      <c r="G396" s="876"/>
      <c r="H396" s="876"/>
      <c r="I396" s="876"/>
      <c r="J396" s="540"/>
      <c r="K396" s="876"/>
      <c r="L396" s="876"/>
      <c r="M396" s="876"/>
      <c r="N396" s="876"/>
      <c r="O396" s="540"/>
      <c r="P396" s="876"/>
      <c r="Q396" s="876"/>
      <c r="R396" s="876"/>
    </row>
    <row r="397" spans="3:18" ht="12">
      <c r="C397" s="295"/>
      <c r="D397" s="295"/>
      <c r="E397" s="540"/>
      <c r="F397" s="876"/>
      <c r="G397" s="876"/>
      <c r="H397" s="876"/>
      <c r="I397" s="876"/>
      <c r="J397" s="540"/>
      <c r="K397" s="876"/>
      <c r="L397" s="876"/>
      <c r="M397" s="876"/>
      <c r="N397" s="876"/>
      <c r="O397" s="540"/>
      <c r="P397" s="876"/>
      <c r="Q397" s="876"/>
      <c r="R397" s="876"/>
    </row>
    <row r="398" spans="3:18" ht="12">
      <c r="C398" s="295"/>
      <c r="D398" s="295"/>
      <c r="E398" s="540"/>
      <c r="F398" s="876"/>
      <c r="G398" s="876"/>
      <c r="H398" s="876"/>
      <c r="I398" s="876"/>
      <c r="J398" s="540"/>
      <c r="K398" s="876"/>
      <c r="L398" s="876"/>
      <c r="M398" s="876"/>
      <c r="N398" s="876"/>
      <c r="O398" s="540"/>
      <c r="P398" s="876"/>
      <c r="Q398" s="876"/>
      <c r="R398" s="876"/>
    </row>
    <row r="399" spans="3:18" ht="12">
      <c r="C399" s="295"/>
      <c r="D399" s="295"/>
      <c r="E399" s="540"/>
      <c r="F399" s="876"/>
      <c r="G399" s="876"/>
      <c r="H399" s="876"/>
      <c r="I399" s="876"/>
      <c r="J399" s="540"/>
      <c r="K399" s="876"/>
      <c r="L399" s="876"/>
      <c r="M399" s="876"/>
      <c r="N399" s="876"/>
      <c r="O399" s="540"/>
      <c r="P399" s="876"/>
      <c r="Q399" s="876"/>
      <c r="R399" s="876"/>
    </row>
    <row r="400" spans="3:18" ht="12">
      <c r="C400" s="295"/>
      <c r="D400" s="295"/>
      <c r="E400" s="540"/>
      <c r="F400" s="876"/>
      <c r="G400" s="876"/>
      <c r="H400" s="876"/>
      <c r="I400" s="876"/>
      <c r="J400" s="540"/>
      <c r="K400" s="876"/>
      <c r="L400" s="876"/>
      <c r="M400" s="876"/>
      <c r="N400" s="876"/>
      <c r="O400" s="540"/>
      <c r="P400" s="876"/>
      <c r="Q400" s="876"/>
      <c r="R400" s="876"/>
    </row>
    <row r="401" spans="3:18" ht="12">
      <c r="C401" s="295"/>
      <c r="D401" s="295"/>
      <c r="E401" s="540"/>
      <c r="F401" s="876"/>
      <c r="G401" s="876"/>
      <c r="H401" s="876"/>
      <c r="I401" s="876"/>
      <c r="J401" s="540"/>
      <c r="K401" s="876"/>
      <c r="L401" s="876"/>
      <c r="M401" s="876"/>
      <c r="N401" s="876"/>
      <c r="O401" s="540"/>
      <c r="P401" s="876"/>
      <c r="Q401" s="876"/>
      <c r="R401" s="876"/>
    </row>
    <row r="402" spans="3:18" ht="12">
      <c r="C402" s="295"/>
      <c r="D402" s="295"/>
      <c r="E402" s="540"/>
      <c r="F402" s="876"/>
      <c r="G402" s="876"/>
      <c r="H402" s="876"/>
      <c r="I402" s="876"/>
      <c r="J402" s="540"/>
      <c r="K402" s="876"/>
      <c r="L402" s="876"/>
      <c r="M402" s="876"/>
      <c r="N402" s="876"/>
      <c r="O402" s="540"/>
      <c r="P402" s="876"/>
      <c r="Q402" s="876"/>
      <c r="R402" s="876"/>
    </row>
    <row r="403" spans="3:18" ht="12">
      <c r="C403" s="295"/>
      <c r="D403" s="295"/>
      <c r="E403" s="540"/>
      <c r="F403" s="876"/>
      <c r="G403" s="876"/>
      <c r="H403" s="876"/>
      <c r="I403" s="876"/>
      <c r="J403" s="540"/>
      <c r="K403" s="876"/>
      <c r="L403" s="876"/>
      <c r="M403" s="876"/>
      <c r="N403" s="876"/>
      <c r="O403" s="540"/>
      <c r="P403" s="876"/>
      <c r="Q403" s="876"/>
      <c r="R403" s="876"/>
    </row>
    <row r="404" spans="3:18" ht="12">
      <c r="C404" s="295"/>
      <c r="D404" s="295"/>
      <c r="E404" s="540"/>
      <c r="F404" s="876"/>
      <c r="G404" s="876"/>
      <c r="H404" s="876"/>
      <c r="I404" s="876"/>
      <c r="J404" s="540"/>
      <c r="K404" s="876"/>
      <c r="L404" s="876"/>
      <c r="M404" s="876"/>
      <c r="N404" s="876"/>
      <c r="O404" s="540"/>
      <c r="P404" s="876"/>
      <c r="Q404" s="876"/>
      <c r="R404" s="876"/>
    </row>
    <row r="405" spans="3:18" ht="12">
      <c r="C405" s="295"/>
      <c r="D405" s="295"/>
      <c r="E405" s="540"/>
      <c r="F405" s="876"/>
      <c r="G405" s="876"/>
      <c r="H405" s="876"/>
      <c r="I405" s="876"/>
      <c r="J405" s="540"/>
      <c r="K405" s="876"/>
      <c r="L405" s="876"/>
      <c r="M405" s="876"/>
      <c r="N405" s="876"/>
      <c r="O405" s="540"/>
      <c r="P405" s="876"/>
      <c r="Q405" s="876"/>
      <c r="R405" s="876"/>
    </row>
    <row r="406" spans="3:18" ht="12">
      <c r="C406" s="295"/>
      <c r="D406" s="295"/>
      <c r="E406" s="540"/>
      <c r="F406" s="876"/>
      <c r="G406" s="876"/>
      <c r="H406" s="876"/>
      <c r="I406" s="876"/>
      <c r="J406" s="540"/>
      <c r="K406" s="876"/>
      <c r="L406" s="876"/>
      <c r="M406" s="876"/>
      <c r="N406" s="876"/>
      <c r="O406" s="540"/>
      <c r="P406" s="876"/>
      <c r="Q406" s="876"/>
      <c r="R406" s="876"/>
    </row>
    <row r="407" spans="3:18" ht="12">
      <c r="C407" s="295"/>
      <c r="D407" s="295"/>
      <c r="E407" s="540"/>
      <c r="F407" s="876"/>
      <c r="G407" s="876"/>
      <c r="H407" s="876"/>
      <c r="I407" s="876"/>
      <c r="J407" s="540"/>
      <c r="K407" s="876"/>
      <c r="L407" s="876"/>
      <c r="M407" s="876"/>
      <c r="N407" s="876"/>
      <c r="O407" s="540"/>
      <c r="P407" s="876"/>
      <c r="Q407" s="876"/>
      <c r="R407" s="876"/>
    </row>
    <row r="408" spans="3:18" ht="12">
      <c r="C408" s="295"/>
      <c r="D408" s="295"/>
      <c r="E408" s="540"/>
      <c r="F408" s="876"/>
      <c r="G408" s="876"/>
      <c r="H408" s="876"/>
      <c r="I408" s="876"/>
      <c r="J408" s="540"/>
      <c r="K408" s="876"/>
      <c r="L408" s="876"/>
      <c r="M408" s="876"/>
      <c r="N408" s="876"/>
      <c r="O408" s="540"/>
      <c r="P408" s="876"/>
      <c r="Q408" s="876"/>
      <c r="R408" s="876"/>
    </row>
    <row r="409" spans="3:18" ht="12">
      <c r="C409" s="295"/>
      <c r="D409" s="295"/>
      <c r="E409" s="540"/>
      <c r="F409" s="876"/>
      <c r="G409" s="876"/>
      <c r="H409" s="876"/>
      <c r="I409" s="876"/>
      <c r="J409" s="540"/>
      <c r="K409" s="876"/>
      <c r="L409" s="876"/>
      <c r="M409" s="876"/>
      <c r="N409" s="876"/>
      <c r="O409" s="540"/>
      <c r="P409" s="876"/>
      <c r="Q409" s="876"/>
      <c r="R409" s="876"/>
    </row>
    <row r="410" spans="3:18" ht="12">
      <c r="C410" s="295"/>
      <c r="D410" s="295"/>
      <c r="E410" s="540"/>
      <c r="F410" s="876"/>
      <c r="G410" s="876"/>
      <c r="H410" s="876"/>
      <c r="I410" s="876"/>
      <c r="J410" s="540"/>
      <c r="K410" s="876"/>
      <c r="L410" s="876"/>
      <c r="M410" s="876"/>
      <c r="N410" s="876"/>
      <c r="O410" s="540"/>
      <c r="P410" s="876"/>
      <c r="Q410" s="876"/>
      <c r="R410" s="876"/>
    </row>
    <row r="411" spans="3:18" ht="12">
      <c r="C411" s="295"/>
      <c r="D411" s="295"/>
      <c r="E411" s="540"/>
      <c r="F411" s="876"/>
      <c r="G411" s="876"/>
      <c r="H411" s="876"/>
      <c r="I411" s="876"/>
      <c r="J411" s="540"/>
      <c r="K411" s="876"/>
      <c r="L411" s="876"/>
      <c r="M411" s="876"/>
      <c r="N411" s="876"/>
      <c r="O411" s="540"/>
      <c r="P411" s="876"/>
      <c r="Q411" s="876"/>
      <c r="R411" s="876"/>
    </row>
    <row r="412" spans="3:18" ht="12">
      <c r="C412" s="295"/>
      <c r="D412" s="295"/>
      <c r="E412" s="540"/>
      <c r="F412" s="876"/>
      <c r="G412" s="876"/>
      <c r="H412" s="876"/>
      <c r="I412" s="876"/>
      <c r="J412" s="540"/>
      <c r="K412" s="876"/>
      <c r="L412" s="876"/>
      <c r="M412" s="876"/>
      <c r="N412" s="876"/>
      <c r="O412" s="540"/>
      <c r="P412" s="876"/>
      <c r="Q412" s="876"/>
      <c r="R412" s="876"/>
    </row>
    <row r="413" spans="3:18" ht="12">
      <c r="C413" s="295"/>
      <c r="D413" s="295"/>
      <c r="E413" s="540"/>
      <c r="F413" s="876"/>
      <c r="G413" s="876"/>
      <c r="H413" s="876"/>
      <c r="I413" s="876"/>
      <c r="J413" s="540"/>
      <c r="K413" s="876"/>
      <c r="L413" s="876"/>
      <c r="M413" s="876"/>
      <c r="N413" s="876"/>
      <c r="O413" s="540"/>
      <c r="P413" s="876"/>
      <c r="Q413" s="876"/>
      <c r="R413" s="876"/>
    </row>
    <row r="414" spans="3:18" ht="12">
      <c r="C414" s="295"/>
      <c r="D414" s="295"/>
      <c r="E414" s="540"/>
      <c r="F414" s="876"/>
      <c r="G414" s="876"/>
      <c r="H414" s="876"/>
      <c r="I414" s="876"/>
      <c r="J414" s="540"/>
      <c r="K414" s="876"/>
      <c r="L414" s="876"/>
      <c r="M414" s="876"/>
      <c r="N414" s="876"/>
      <c r="O414" s="540"/>
      <c r="P414" s="876"/>
      <c r="Q414" s="876"/>
      <c r="R414" s="876"/>
    </row>
    <row r="415" spans="3:18" ht="12">
      <c r="C415" s="295"/>
      <c r="D415" s="295"/>
      <c r="E415" s="540"/>
      <c r="F415" s="876"/>
      <c r="G415" s="876"/>
      <c r="H415" s="876"/>
      <c r="I415" s="876"/>
      <c r="J415" s="540"/>
      <c r="K415" s="876"/>
      <c r="L415" s="876"/>
      <c r="M415" s="876"/>
      <c r="N415" s="876"/>
      <c r="O415" s="540"/>
      <c r="P415" s="876"/>
      <c r="Q415" s="876"/>
      <c r="R415" s="876"/>
    </row>
    <row r="416" spans="3:18" ht="12">
      <c r="C416" s="295"/>
      <c r="D416" s="295"/>
      <c r="E416" s="540"/>
      <c r="F416" s="876"/>
      <c r="G416" s="876"/>
      <c r="H416" s="876"/>
      <c r="I416" s="876"/>
      <c r="J416" s="540"/>
      <c r="K416" s="876"/>
      <c r="L416" s="876"/>
      <c r="M416" s="876"/>
      <c r="N416" s="876"/>
      <c r="O416" s="540"/>
      <c r="P416" s="876"/>
      <c r="Q416" s="876"/>
      <c r="R416" s="876"/>
    </row>
    <row r="417" spans="3:18" ht="12">
      <c r="C417" s="295"/>
      <c r="D417" s="295"/>
      <c r="E417" s="540"/>
      <c r="F417" s="876"/>
      <c r="G417" s="876"/>
      <c r="H417" s="876"/>
      <c r="I417" s="876"/>
      <c r="J417" s="540"/>
      <c r="K417" s="876"/>
      <c r="L417" s="876"/>
      <c r="M417" s="876"/>
      <c r="N417" s="876"/>
      <c r="O417" s="540"/>
      <c r="P417" s="876"/>
      <c r="Q417" s="876"/>
      <c r="R417" s="876"/>
    </row>
    <row r="418" spans="3:18" ht="12">
      <c r="C418" s="295"/>
      <c r="D418" s="295"/>
      <c r="E418" s="540"/>
      <c r="F418" s="876"/>
      <c r="G418" s="876"/>
      <c r="H418" s="876"/>
      <c r="I418" s="876"/>
      <c r="J418" s="540"/>
      <c r="K418" s="876"/>
      <c r="L418" s="876"/>
      <c r="M418" s="876"/>
      <c r="N418" s="876"/>
      <c r="O418" s="540"/>
      <c r="P418" s="876"/>
      <c r="Q418" s="876"/>
      <c r="R418" s="876"/>
    </row>
    <row r="419" spans="3:18" ht="12">
      <c r="C419" s="295"/>
      <c r="D419" s="295"/>
      <c r="E419" s="540"/>
      <c r="F419" s="876"/>
      <c r="G419" s="876"/>
      <c r="H419" s="876"/>
      <c r="I419" s="876"/>
      <c r="J419" s="540"/>
      <c r="K419" s="876"/>
      <c r="L419" s="876"/>
      <c r="M419" s="876"/>
      <c r="N419" s="876"/>
      <c r="O419" s="540"/>
      <c r="P419" s="876"/>
      <c r="Q419" s="876"/>
      <c r="R419" s="876"/>
    </row>
    <row r="420" spans="3:18" ht="12">
      <c r="C420" s="295"/>
      <c r="D420" s="295"/>
      <c r="E420" s="540"/>
      <c r="F420" s="876"/>
      <c r="G420" s="876"/>
      <c r="H420" s="876"/>
      <c r="I420" s="876"/>
      <c r="J420" s="540"/>
      <c r="K420" s="876"/>
      <c r="L420" s="876"/>
      <c r="M420" s="876"/>
      <c r="N420" s="876"/>
      <c r="O420" s="540"/>
      <c r="P420" s="876"/>
      <c r="Q420" s="876"/>
      <c r="R420" s="876"/>
    </row>
    <row r="421" spans="3:18" ht="12">
      <c r="C421" s="295"/>
      <c r="D421" s="295"/>
      <c r="E421" s="540"/>
      <c r="F421" s="876"/>
      <c r="G421" s="876"/>
      <c r="H421" s="876"/>
      <c r="I421" s="876"/>
      <c r="J421" s="540"/>
      <c r="K421" s="876"/>
      <c r="L421" s="876"/>
      <c r="M421" s="876"/>
      <c r="N421" s="876"/>
      <c r="O421" s="540"/>
      <c r="P421" s="876"/>
      <c r="Q421" s="876"/>
      <c r="R421" s="876"/>
    </row>
    <row r="422" spans="3:18" ht="12">
      <c r="C422" s="295"/>
      <c r="D422" s="295"/>
      <c r="E422" s="540"/>
      <c r="F422" s="876"/>
      <c r="G422" s="876"/>
      <c r="H422" s="876"/>
      <c r="I422" s="876"/>
      <c r="J422" s="540"/>
      <c r="K422" s="876"/>
      <c r="L422" s="876"/>
      <c r="M422" s="876"/>
      <c r="N422" s="876"/>
      <c r="O422" s="540"/>
      <c r="P422" s="876"/>
      <c r="Q422" s="876"/>
      <c r="R422" s="876"/>
    </row>
    <row r="423" spans="3:18" ht="12">
      <c r="C423" s="295"/>
      <c r="D423" s="295"/>
      <c r="E423" s="540"/>
      <c r="F423" s="876"/>
      <c r="G423" s="876"/>
      <c r="H423" s="876"/>
      <c r="I423" s="876"/>
      <c r="J423" s="540"/>
      <c r="K423" s="876"/>
      <c r="L423" s="876"/>
      <c r="M423" s="876"/>
      <c r="N423" s="876"/>
      <c r="O423" s="540"/>
      <c r="P423" s="876"/>
      <c r="Q423" s="876"/>
      <c r="R423" s="876"/>
    </row>
    <row r="424" spans="3:18" ht="12">
      <c r="C424" s="295"/>
      <c r="D424" s="295"/>
      <c r="E424" s="540"/>
      <c r="F424" s="876"/>
      <c r="G424" s="876"/>
      <c r="H424" s="876"/>
      <c r="I424" s="876"/>
      <c r="J424" s="540"/>
      <c r="K424" s="876"/>
      <c r="L424" s="876"/>
      <c r="M424" s="876"/>
      <c r="N424" s="876"/>
      <c r="O424" s="540"/>
      <c r="P424" s="876"/>
      <c r="Q424" s="876"/>
      <c r="R424" s="876"/>
    </row>
    <row r="425" spans="3:18" ht="12">
      <c r="C425" s="295"/>
      <c r="D425" s="295"/>
      <c r="E425" s="540"/>
      <c r="F425" s="876"/>
      <c r="G425" s="876"/>
      <c r="H425" s="876"/>
      <c r="I425" s="876"/>
      <c r="J425" s="540"/>
      <c r="K425" s="876"/>
      <c r="L425" s="876"/>
      <c r="M425" s="876"/>
      <c r="N425" s="876"/>
      <c r="O425" s="540"/>
      <c r="P425" s="876"/>
      <c r="Q425" s="876"/>
      <c r="R425" s="876"/>
    </row>
    <row r="426" spans="3:18" ht="12">
      <c r="C426" s="295"/>
      <c r="D426" s="295"/>
      <c r="E426" s="540"/>
      <c r="F426" s="876"/>
      <c r="G426" s="876"/>
      <c r="H426" s="876"/>
      <c r="I426" s="876"/>
      <c r="J426" s="540"/>
      <c r="K426" s="876"/>
      <c r="L426" s="876"/>
      <c r="M426" s="876"/>
      <c r="N426" s="876"/>
      <c r="O426" s="540"/>
      <c r="P426" s="876"/>
      <c r="Q426" s="876"/>
      <c r="R426" s="876"/>
    </row>
    <row r="427" spans="3:18" ht="12">
      <c r="C427" s="295"/>
      <c r="D427" s="295"/>
      <c r="E427" s="540"/>
      <c r="F427" s="876"/>
      <c r="G427" s="876"/>
      <c r="H427" s="876"/>
      <c r="I427" s="876"/>
      <c r="J427" s="540"/>
      <c r="K427" s="876"/>
      <c r="L427" s="876"/>
      <c r="M427" s="876"/>
      <c r="N427" s="876"/>
      <c r="O427" s="540"/>
      <c r="P427" s="876"/>
      <c r="Q427" s="876"/>
      <c r="R427" s="876"/>
    </row>
    <row r="428" spans="3:18" ht="12">
      <c r="C428" s="295"/>
      <c r="D428" s="295"/>
      <c r="E428" s="540"/>
      <c r="F428" s="876"/>
      <c r="G428" s="876"/>
      <c r="H428" s="876"/>
      <c r="I428" s="876"/>
      <c r="J428" s="540"/>
      <c r="K428" s="876"/>
      <c r="L428" s="876"/>
      <c r="M428" s="876"/>
      <c r="N428" s="876"/>
      <c r="O428" s="540"/>
      <c r="P428" s="876"/>
      <c r="Q428" s="876"/>
      <c r="R428" s="876"/>
    </row>
    <row r="429" spans="3:18" ht="12">
      <c r="C429" s="295"/>
      <c r="D429" s="295"/>
      <c r="E429" s="540"/>
      <c r="F429" s="876"/>
      <c r="G429" s="876"/>
      <c r="H429" s="876"/>
      <c r="I429" s="876"/>
      <c r="J429" s="540"/>
      <c r="K429" s="876"/>
      <c r="L429" s="876"/>
      <c r="M429" s="876"/>
      <c r="N429" s="876"/>
      <c r="O429" s="540"/>
      <c r="P429" s="876"/>
      <c r="Q429" s="876"/>
      <c r="R429" s="876"/>
    </row>
    <row r="430" spans="3:18">
      <c r="C430" s="295"/>
      <c r="D430" s="295"/>
      <c r="E430" s="542"/>
      <c r="F430" s="918"/>
      <c r="G430" s="918"/>
      <c r="H430" s="919"/>
      <c r="I430" s="918"/>
      <c r="J430" s="542"/>
      <c r="K430" s="918"/>
      <c r="L430" s="918"/>
      <c r="M430" s="919"/>
      <c r="N430" s="918"/>
      <c r="O430" s="542"/>
      <c r="P430" s="918"/>
      <c r="Q430" s="918"/>
      <c r="R430" s="919"/>
    </row>
    <row r="431" spans="3:18">
      <c r="C431" s="295"/>
      <c r="D431" s="295"/>
      <c r="E431" s="542"/>
      <c r="F431" s="918"/>
      <c r="G431" s="918"/>
      <c r="H431" s="919"/>
      <c r="I431" s="918"/>
      <c r="J431" s="542"/>
      <c r="K431" s="918"/>
      <c r="L431" s="918"/>
      <c r="M431" s="919"/>
      <c r="N431" s="918"/>
      <c r="O431" s="542"/>
      <c r="P431" s="918"/>
      <c r="Q431" s="918"/>
      <c r="R431" s="919"/>
    </row>
    <row r="432" spans="3:18">
      <c r="C432" s="295"/>
      <c r="D432" s="295"/>
      <c r="E432" s="542"/>
      <c r="F432" s="918"/>
      <c r="G432" s="918"/>
      <c r="H432" s="919"/>
      <c r="I432" s="918"/>
      <c r="J432" s="542"/>
      <c r="K432" s="918"/>
      <c r="L432" s="918"/>
      <c r="M432" s="919"/>
      <c r="N432" s="918"/>
      <c r="O432" s="542"/>
      <c r="P432" s="918"/>
      <c r="Q432" s="918"/>
      <c r="R432" s="919"/>
    </row>
    <row r="433" spans="3:18">
      <c r="C433" s="295"/>
      <c r="D433" s="295"/>
      <c r="E433" s="542"/>
      <c r="F433" s="918"/>
      <c r="G433" s="918"/>
      <c r="H433" s="919"/>
      <c r="I433" s="918"/>
      <c r="J433" s="542"/>
      <c r="K433" s="918"/>
      <c r="L433" s="918"/>
      <c r="M433" s="919"/>
      <c r="N433" s="918"/>
      <c r="O433" s="542"/>
      <c r="P433" s="918"/>
      <c r="Q433" s="918"/>
      <c r="R433" s="919"/>
    </row>
    <row r="434" spans="3:18">
      <c r="C434" s="295"/>
      <c r="D434" s="295"/>
      <c r="E434" s="542"/>
      <c r="F434" s="918"/>
      <c r="G434" s="918"/>
      <c r="H434" s="919"/>
      <c r="I434" s="918"/>
      <c r="J434" s="542"/>
      <c r="K434" s="918"/>
      <c r="L434" s="918"/>
      <c r="M434" s="919"/>
      <c r="N434" s="918"/>
      <c r="O434" s="542"/>
      <c r="P434" s="918"/>
      <c r="Q434" s="918"/>
      <c r="R434" s="919"/>
    </row>
    <row r="435" spans="3:18">
      <c r="C435" s="295"/>
      <c r="D435" s="295"/>
      <c r="E435" s="542"/>
      <c r="F435" s="918"/>
      <c r="G435" s="918"/>
      <c r="H435" s="919"/>
      <c r="I435" s="918"/>
      <c r="J435" s="542"/>
      <c r="K435" s="918"/>
      <c r="L435" s="918"/>
      <c r="M435" s="919"/>
      <c r="N435" s="918"/>
      <c r="O435" s="542"/>
      <c r="P435" s="918"/>
      <c r="Q435" s="918"/>
      <c r="R435" s="919"/>
    </row>
    <row r="436" spans="3:18">
      <c r="C436" s="295"/>
      <c r="D436" s="295"/>
      <c r="E436" s="542"/>
      <c r="F436" s="918"/>
      <c r="G436" s="918"/>
      <c r="H436" s="919"/>
      <c r="I436" s="918"/>
      <c r="J436" s="542"/>
      <c r="K436" s="918"/>
      <c r="L436" s="918"/>
      <c r="M436" s="919"/>
      <c r="N436" s="918"/>
      <c r="O436" s="542"/>
      <c r="P436" s="918"/>
      <c r="Q436" s="918"/>
      <c r="R436" s="919"/>
    </row>
    <row r="437" spans="3:18">
      <c r="C437" s="295"/>
      <c r="D437" s="295"/>
      <c r="E437" s="542"/>
      <c r="F437" s="918"/>
      <c r="G437" s="918"/>
      <c r="H437" s="919"/>
      <c r="I437" s="918"/>
      <c r="J437" s="542"/>
      <c r="K437" s="918"/>
      <c r="L437" s="918"/>
      <c r="M437" s="919"/>
      <c r="N437" s="918"/>
      <c r="O437" s="542"/>
      <c r="P437" s="918"/>
      <c r="Q437" s="918"/>
      <c r="R437" s="919"/>
    </row>
    <row r="438" spans="3:18">
      <c r="C438" s="295"/>
      <c r="D438" s="295"/>
      <c r="E438" s="542"/>
      <c r="F438" s="918"/>
      <c r="G438" s="918"/>
      <c r="H438" s="919"/>
      <c r="I438" s="918"/>
      <c r="J438" s="542"/>
      <c r="K438" s="918"/>
      <c r="L438" s="918"/>
      <c r="M438" s="919"/>
      <c r="N438" s="918"/>
      <c r="O438" s="542"/>
      <c r="P438" s="918"/>
      <c r="Q438" s="918"/>
      <c r="R438" s="919"/>
    </row>
    <row r="439" spans="3:18">
      <c r="C439" s="295"/>
      <c r="D439" s="295"/>
      <c r="E439" s="542"/>
      <c r="F439" s="918"/>
      <c r="G439" s="918"/>
      <c r="H439" s="919"/>
      <c r="I439" s="918"/>
      <c r="J439" s="542"/>
      <c r="K439" s="918"/>
      <c r="L439" s="918"/>
      <c r="M439" s="919"/>
      <c r="N439" s="918"/>
      <c r="O439" s="542"/>
      <c r="P439" s="918"/>
      <c r="Q439" s="918"/>
      <c r="R439" s="919"/>
    </row>
    <row r="440" spans="3:18">
      <c r="C440" s="295"/>
      <c r="D440" s="295"/>
      <c r="E440" s="542"/>
      <c r="F440" s="918"/>
      <c r="G440" s="918"/>
      <c r="H440" s="919"/>
      <c r="I440" s="918"/>
      <c r="J440" s="542"/>
      <c r="K440" s="918"/>
      <c r="L440" s="918"/>
      <c r="M440" s="919"/>
      <c r="N440" s="918"/>
      <c r="O440" s="542"/>
      <c r="P440" s="918"/>
      <c r="Q440" s="918"/>
      <c r="R440" s="919"/>
    </row>
    <row r="441" spans="3:18">
      <c r="C441" s="295"/>
      <c r="D441" s="295"/>
      <c r="E441" s="542"/>
      <c r="F441" s="918"/>
      <c r="G441" s="918"/>
      <c r="H441" s="919"/>
      <c r="I441" s="918"/>
      <c r="J441" s="542"/>
      <c r="K441" s="918"/>
      <c r="L441" s="918"/>
      <c r="M441" s="919"/>
      <c r="N441" s="918"/>
      <c r="O441" s="542"/>
      <c r="P441" s="918"/>
      <c r="Q441" s="918"/>
      <c r="R441" s="919"/>
    </row>
    <row r="442" spans="3:18">
      <c r="C442" s="295"/>
      <c r="D442" s="295"/>
      <c r="E442" s="542"/>
      <c r="F442" s="918"/>
      <c r="G442" s="918"/>
      <c r="H442" s="919"/>
      <c r="I442" s="918"/>
      <c r="J442" s="542"/>
      <c r="K442" s="918"/>
      <c r="L442" s="918"/>
      <c r="M442" s="919"/>
      <c r="N442" s="918"/>
      <c r="O442" s="542"/>
      <c r="P442" s="918"/>
      <c r="Q442" s="918"/>
      <c r="R442" s="919"/>
    </row>
    <row r="443" spans="3:18">
      <c r="C443" s="295"/>
      <c r="D443" s="295"/>
      <c r="E443" s="542"/>
      <c r="F443" s="918"/>
      <c r="G443" s="918"/>
      <c r="H443" s="919"/>
      <c r="I443" s="918"/>
      <c r="J443" s="542"/>
      <c r="K443" s="918"/>
      <c r="L443" s="918"/>
      <c r="M443" s="919"/>
      <c r="N443" s="918"/>
      <c r="O443" s="542"/>
      <c r="P443" s="918"/>
      <c r="Q443" s="918"/>
      <c r="R443" s="919"/>
    </row>
    <row r="444" spans="3:18">
      <c r="C444" s="295"/>
      <c r="D444" s="295"/>
      <c r="E444" s="542"/>
      <c r="F444" s="918"/>
      <c r="G444" s="918"/>
      <c r="H444" s="919"/>
      <c r="I444" s="918"/>
      <c r="J444" s="542"/>
      <c r="K444" s="918"/>
      <c r="L444" s="918"/>
      <c r="M444" s="919"/>
      <c r="N444" s="918"/>
      <c r="O444" s="542"/>
      <c r="P444" s="918"/>
      <c r="Q444" s="918"/>
      <c r="R444" s="919"/>
    </row>
    <row r="445" spans="3:18">
      <c r="C445" s="295"/>
      <c r="D445" s="295"/>
      <c r="E445" s="542"/>
      <c r="F445" s="918"/>
      <c r="G445" s="918"/>
      <c r="H445" s="919"/>
      <c r="I445" s="918"/>
      <c r="J445" s="542"/>
      <c r="K445" s="918"/>
      <c r="L445" s="918"/>
      <c r="M445" s="919"/>
      <c r="N445" s="918"/>
      <c r="O445" s="542"/>
      <c r="P445" s="918"/>
      <c r="Q445" s="918"/>
      <c r="R445" s="919"/>
    </row>
    <row r="446" spans="3:18">
      <c r="C446" s="295"/>
      <c r="D446" s="295"/>
      <c r="E446" s="542"/>
      <c r="F446" s="918"/>
      <c r="G446" s="918"/>
      <c r="H446" s="919"/>
      <c r="I446" s="918"/>
      <c r="J446" s="542"/>
      <c r="K446" s="918"/>
      <c r="L446" s="918"/>
      <c r="M446" s="919"/>
      <c r="N446" s="918"/>
      <c r="O446" s="542"/>
      <c r="P446" s="918"/>
      <c r="Q446" s="918"/>
      <c r="R446" s="919"/>
    </row>
    <row r="447" spans="3:18">
      <c r="C447" s="295"/>
      <c r="D447" s="295"/>
      <c r="E447" s="542"/>
      <c r="F447" s="918"/>
      <c r="G447" s="918"/>
      <c r="H447" s="919"/>
      <c r="I447" s="918"/>
      <c r="J447" s="542"/>
      <c r="K447" s="918"/>
      <c r="L447" s="918"/>
      <c r="M447" s="919"/>
      <c r="N447" s="918"/>
      <c r="O447" s="542"/>
      <c r="P447" s="918"/>
      <c r="Q447" s="918"/>
      <c r="R447" s="919"/>
    </row>
    <row r="448" spans="3:18">
      <c r="C448" s="295"/>
      <c r="D448" s="295"/>
      <c r="E448" s="542"/>
      <c r="F448" s="918"/>
      <c r="G448" s="918"/>
      <c r="H448" s="919"/>
      <c r="I448" s="918"/>
      <c r="J448" s="542"/>
      <c r="K448" s="918"/>
      <c r="L448" s="918"/>
      <c r="M448" s="919"/>
      <c r="N448" s="918"/>
      <c r="O448" s="542"/>
      <c r="P448" s="918"/>
      <c r="Q448" s="918"/>
      <c r="R448" s="919"/>
    </row>
    <row r="449" spans="3:18">
      <c r="C449" s="295"/>
      <c r="D449" s="295"/>
      <c r="E449" s="542"/>
      <c r="F449" s="918"/>
      <c r="G449" s="918"/>
      <c r="H449" s="919"/>
      <c r="I449" s="918"/>
      <c r="J449" s="542"/>
      <c r="K449" s="918"/>
      <c r="L449" s="918"/>
      <c r="M449" s="919"/>
      <c r="N449" s="918"/>
      <c r="O449" s="542"/>
      <c r="P449" s="918"/>
      <c r="Q449" s="918"/>
      <c r="R449" s="919"/>
    </row>
    <row r="450" spans="3:18">
      <c r="C450" s="295"/>
      <c r="D450" s="295"/>
      <c r="E450" s="542"/>
      <c r="F450" s="918"/>
      <c r="G450" s="918"/>
      <c r="H450" s="919"/>
      <c r="I450" s="918"/>
      <c r="J450" s="542"/>
      <c r="K450" s="918"/>
      <c r="L450" s="918"/>
      <c r="M450" s="919"/>
      <c r="N450" s="918"/>
      <c r="O450" s="542"/>
      <c r="P450" s="918"/>
      <c r="Q450" s="918"/>
      <c r="R450" s="919"/>
    </row>
    <row r="451" spans="3:18">
      <c r="C451" s="295"/>
      <c r="D451" s="295"/>
      <c r="E451" s="542"/>
      <c r="F451" s="918"/>
      <c r="G451" s="918"/>
      <c r="H451" s="919"/>
      <c r="I451" s="918"/>
      <c r="J451" s="542"/>
      <c r="K451" s="918"/>
      <c r="L451" s="918"/>
      <c r="M451" s="919"/>
      <c r="N451" s="918"/>
      <c r="O451" s="542"/>
      <c r="P451" s="918"/>
      <c r="Q451" s="918"/>
      <c r="R451" s="919"/>
    </row>
    <row r="452" spans="3:18">
      <c r="C452" s="295"/>
      <c r="D452" s="295"/>
      <c r="E452" s="542"/>
      <c r="F452" s="918"/>
      <c r="G452" s="918"/>
      <c r="H452" s="919"/>
      <c r="I452" s="918"/>
      <c r="J452" s="542"/>
      <c r="K452" s="918"/>
      <c r="L452" s="918"/>
      <c r="M452" s="919"/>
      <c r="N452" s="918"/>
      <c r="O452" s="542"/>
      <c r="P452" s="918"/>
      <c r="Q452" s="918"/>
      <c r="R452" s="919"/>
    </row>
    <row r="453" spans="3:18">
      <c r="C453" s="295"/>
      <c r="D453" s="295"/>
      <c r="E453" s="542"/>
      <c r="F453" s="918"/>
      <c r="G453" s="918"/>
      <c r="H453" s="919"/>
      <c r="I453" s="918"/>
      <c r="J453" s="542"/>
      <c r="K453" s="918"/>
      <c r="L453" s="918"/>
      <c r="M453" s="919"/>
      <c r="N453" s="918"/>
      <c r="O453" s="542"/>
      <c r="P453" s="918"/>
      <c r="Q453" s="918"/>
      <c r="R453" s="919"/>
    </row>
    <row r="454" spans="3:18">
      <c r="C454" s="295"/>
      <c r="D454" s="295"/>
      <c r="E454" s="542"/>
      <c r="F454" s="918"/>
      <c r="G454" s="918"/>
      <c r="H454" s="919"/>
      <c r="I454" s="918"/>
      <c r="J454" s="542"/>
      <c r="K454" s="918"/>
      <c r="L454" s="918"/>
      <c r="M454" s="919"/>
      <c r="N454" s="918"/>
      <c r="O454" s="542"/>
      <c r="P454" s="918"/>
      <c r="Q454" s="918"/>
      <c r="R454" s="919"/>
    </row>
    <row r="455" spans="3:18">
      <c r="C455" s="295"/>
      <c r="D455" s="295"/>
      <c r="E455" s="542"/>
      <c r="F455" s="918"/>
      <c r="G455" s="918"/>
      <c r="H455" s="919"/>
      <c r="I455" s="918"/>
      <c r="J455" s="542"/>
      <c r="K455" s="918"/>
      <c r="L455" s="918"/>
      <c r="M455" s="919"/>
      <c r="N455" s="918"/>
      <c r="O455" s="542"/>
      <c r="P455" s="918"/>
      <c r="Q455" s="918"/>
      <c r="R455" s="919"/>
    </row>
    <row r="456" spans="3:18">
      <c r="C456" s="295"/>
      <c r="D456" s="295"/>
      <c r="E456" s="542"/>
      <c r="F456" s="918"/>
      <c r="G456" s="918"/>
      <c r="H456" s="919"/>
      <c r="I456" s="918"/>
      <c r="J456" s="542"/>
      <c r="K456" s="918"/>
      <c r="L456" s="918"/>
      <c r="M456" s="919"/>
      <c r="N456" s="918"/>
      <c r="O456" s="542"/>
      <c r="P456" s="918"/>
      <c r="Q456" s="918"/>
      <c r="R456" s="919"/>
    </row>
    <row r="457" spans="3:18">
      <c r="C457" s="295"/>
      <c r="D457" s="295"/>
      <c r="E457" s="542"/>
      <c r="F457" s="918"/>
      <c r="G457" s="918"/>
      <c r="H457" s="919"/>
      <c r="I457" s="918"/>
      <c r="J457" s="542"/>
      <c r="K457" s="918"/>
      <c r="L457" s="918"/>
      <c r="M457" s="919"/>
      <c r="N457" s="918"/>
      <c r="O457" s="542"/>
      <c r="P457" s="918"/>
      <c r="Q457" s="918"/>
      <c r="R457" s="919"/>
    </row>
    <row r="458" spans="3:18">
      <c r="C458" s="295"/>
      <c r="D458" s="295"/>
      <c r="E458" s="542"/>
      <c r="F458" s="918"/>
      <c r="G458" s="918"/>
      <c r="H458" s="919"/>
      <c r="I458" s="918"/>
      <c r="J458" s="542"/>
      <c r="K458" s="918"/>
      <c r="L458" s="918"/>
      <c r="M458" s="919"/>
      <c r="N458" s="918"/>
      <c r="O458" s="542"/>
      <c r="P458" s="918"/>
      <c r="Q458" s="918"/>
      <c r="R458" s="919"/>
    </row>
    <row r="459" spans="3:18">
      <c r="C459" s="295"/>
      <c r="D459" s="295"/>
      <c r="E459" s="542"/>
      <c r="F459" s="918"/>
      <c r="G459" s="918"/>
      <c r="H459" s="919"/>
      <c r="I459" s="918"/>
      <c r="J459" s="542"/>
      <c r="K459" s="918"/>
      <c r="L459" s="918"/>
      <c r="M459" s="919"/>
      <c r="N459" s="918"/>
      <c r="O459" s="542"/>
      <c r="P459" s="918"/>
      <c r="Q459" s="918"/>
      <c r="R459" s="919"/>
    </row>
    <row r="460" spans="3:18">
      <c r="C460" s="295"/>
      <c r="D460" s="295"/>
      <c r="E460" s="542"/>
      <c r="F460" s="918"/>
      <c r="G460" s="918"/>
      <c r="H460" s="919"/>
      <c r="I460" s="918"/>
      <c r="J460" s="542"/>
      <c r="K460" s="918"/>
      <c r="L460" s="918"/>
      <c r="M460" s="919"/>
      <c r="N460" s="918"/>
      <c r="O460" s="542"/>
      <c r="P460" s="918"/>
      <c r="Q460" s="918"/>
      <c r="R460" s="919"/>
    </row>
    <row r="461" spans="3:18">
      <c r="C461" s="295"/>
      <c r="D461" s="295"/>
      <c r="E461" s="542"/>
      <c r="F461" s="918"/>
      <c r="G461" s="918"/>
      <c r="H461" s="919"/>
      <c r="I461" s="918"/>
      <c r="J461" s="542"/>
      <c r="K461" s="918"/>
      <c r="L461" s="918"/>
      <c r="M461" s="919"/>
      <c r="N461" s="918"/>
      <c r="O461" s="542"/>
      <c r="P461" s="918"/>
      <c r="Q461" s="918"/>
      <c r="R461" s="919"/>
    </row>
    <row r="462" spans="3:18">
      <c r="C462" s="295"/>
      <c r="D462" s="295"/>
      <c r="E462" s="542"/>
      <c r="F462" s="918"/>
      <c r="G462" s="918"/>
      <c r="H462" s="919"/>
      <c r="I462" s="918"/>
      <c r="J462" s="542"/>
      <c r="K462" s="918"/>
      <c r="L462" s="918"/>
      <c r="M462" s="919"/>
      <c r="N462" s="918"/>
      <c r="O462" s="542"/>
      <c r="P462" s="918"/>
      <c r="Q462" s="918"/>
      <c r="R462" s="919"/>
    </row>
    <row r="463" spans="3:18">
      <c r="C463" s="295"/>
      <c r="D463" s="295"/>
      <c r="E463" s="542"/>
      <c r="F463" s="918"/>
      <c r="G463" s="918"/>
      <c r="H463" s="919"/>
      <c r="I463" s="918"/>
      <c r="J463" s="542"/>
      <c r="K463" s="918"/>
      <c r="L463" s="918"/>
      <c r="M463" s="919"/>
      <c r="N463" s="918"/>
      <c r="O463" s="542"/>
      <c r="P463" s="918"/>
      <c r="Q463" s="918"/>
      <c r="R463" s="919"/>
    </row>
    <row r="464" spans="3:18">
      <c r="C464" s="295"/>
      <c r="D464" s="295"/>
      <c r="E464" s="542"/>
      <c r="F464" s="918"/>
      <c r="G464" s="918"/>
      <c r="H464" s="919"/>
      <c r="I464" s="918"/>
      <c r="J464" s="542"/>
      <c r="K464" s="918"/>
      <c r="L464" s="918"/>
      <c r="M464" s="919"/>
      <c r="N464" s="918"/>
      <c r="O464" s="542"/>
      <c r="P464" s="918"/>
      <c r="Q464" s="918"/>
      <c r="R464" s="919"/>
    </row>
    <row r="465" spans="3:18">
      <c r="C465" s="295"/>
      <c r="D465" s="295"/>
      <c r="E465" s="542"/>
      <c r="F465" s="918"/>
      <c r="G465" s="918"/>
      <c r="H465" s="919"/>
      <c r="I465" s="918"/>
      <c r="J465" s="542"/>
      <c r="K465" s="918"/>
      <c r="L465" s="918"/>
      <c r="M465" s="919"/>
      <c r="N465" s="918"/>
      <c r="O465" s="542"/>
      <c r="P465" s="918"/>
      <c r="Q465" s="918"/>
      <c r="R465" s="919"/>
    </row>
    <row r="466" spans="3:18">
      <c r="C466" s="295"/>
      <c r="D466" s="295"/>
      <c r="E466" s="542"/>
      <c r="F466" s="918"/>
      <c r="G466" s="918"/>
      <c r="H466" s="919"/>
      <c r="I466" s="918"/>
      <c r="J466" s="542"/>
      <c r="K466" s="918"/>
      <c r="L466" s="918"/>
      <c r="M466" s="919"/>
      <c r="N466" s="918"/>
      <c r="O466" s="542"/>
      <c r="P466" s="918"/>
      <c r="Q466" s="918"/>
      <c r="R466" s="919"/>
    </row>
    <row r="467" spans="3:18">
      <c r="C467" s="295"/>
      <c r="D467" s="295"/>
      <c r="E467" s="542"/>
      <c r="F467" s="918"/>
      <c r="G467" s="918"/>
      <c r="H467" s="919"/>
      <c r="I467" s="918"/>
      <c r="J467" s="542"/>
      <c r="K467" s="918"/>
      <c r="L467" s="918"/>
      <c r="M467" s="919"/>
      <c r="N467" s="918"/>
      <c r="O467" s="542"/>
      <c r="P467" s="918"/>
      <c r="Q467" s="918"/>
      <c r="R467" s="919"/>
    </row>
    <row r="468" spans="3:18">
      <c r="C468" s="295"/>
      <c r="D468" s="295"/>
      <c r="E468" s="542"/>
      <c r="F468" s="918"/>
      <c r="G468" s="918"/>
      <c r="H468" s="919"/>
      <c r="I468" s="918"/>
      <c r="J468" s="542"/>
      <c r="K468" s="918"/>
      <c r="L468" s="918"/>
      <c r="M468" s="919"/>
      <c r="N468" s="918"/>
      <c r="O468" s="542"/>
      <c r="P468" s="918"/>
      <c r="Q468" s="918"/>
      <c r="R468" s="919"/>
    </row>
    <row r="469" spans="3:18">
      <c r="C469" s="295"/>
      <c r="D469" s="295"/>
      <c r="E469" s="542"/>
      <c r="F469" s="918"/>
      <c r="G469" s="918"/>
      <c r="H469" s="919"/>
      <c r="I469" s="918"/>
      <c r="J469" s="542"/>
      <c r="K469" s="918"/>
      <c r="L469" s="918"/>
      <c r="M469" s="919"/>
      <c r="N469" s="918"/>
      <c r="O469" s="542"/>
      <c r="P469" s="918"/>
      <c r="Q469" s="918"/>
      <c r="R469" s="919"/>
    </row>
    <row r="470" spans="3:18">
      <c r="C470" s="295"/>
      <c r="D470" s="295"/>
      <c r="E470" s="542"/>
      <c r="F470" s="918"/>
      <c r="G470" s="918"/>
      <c r="H470" s="919"/>
      <c r="I470" s="918"/>
      <c r="J470" s="542"/>
      <c r="K470" s="918"/>
      <c r="L470" s="918"/>
      <c r="M470" s="919"/>
      <c r="N470" s="918"/>
      <c r="O470" s="542"/>
      <c r="P470" s="918"/>
      <c r="Q470" s="918"/>
      <c r="R470" s="919"/>
    </row>
    <row r="471" spans="3:18">
      <c r="C471" s="295"/>
      <c r="D471" s="295"/>
      <c r="E471" s="542"/>
      <c r="F471" s="918"/>
      <c r="G471" s="918"/>
      <c r="H471" s="919"/>
      <c r="I471" s="918"/>
      <c r="J471" s="542"/>
      <c r="K471" s="918"/>
      <c r="L471" s="918"/>
      <c r="M471" s="919"/>
      <c r="N471" s="918"/>
      <c r="O471" s="542"/>
      <c r="P471" s="918"/>
      <c r="Q471" s="918"/>
      <c r="R471" s="919"/>
    </row>
    <row r="472" spans="3:18">
      <c r="C472" s="295"/>
      <c r="D472" s="295"/>
      <c r="E472" s="542"/>
      <c r="F472" s="918"/>
      <c r="G472" s="918"/>
      <c r="H472" s="919"/>
      <c r="I472" s="918"/>
      <c r="J472" s="542"/>
      <c r="K472" s="918"/>
      <c r="L472" s="918"/>
      <c r="M472" s="919"/>
      <c r="N472" s="918"/>
      <c r="O472" s="542"/>
      <c r="P472" s="918"/>
      <c r="Q472" s="918"/>
      <c r="R472" s="919"/>
    </row>
    <row r="473" spans="3:18">
      <c r="C473" s="295"/>
      <c r="D473" s="295"/>
      <c r="E473" s="542"/>
      <c r="F473" s="918"/>
      <c r="G473" s="918"/>
      <c r="H473" s="919"/>
      <c r="I473" s="918"/>
      <c r="J473" s="542"/>
      <c r="K473" s="918"/>
      <c r="L473" s="918"/>
      <c r="M473" s="919"/>
      <c r="N473" s="918"/>
      <c r="O473" s="542"/>
      <c r="P473" s="918"/>
      <c r="Q473" s="918"/>
      <c r="R473" s="919"/>
    </row>
    <row r="474" spans="3:18">
      <c r="C474" s="295"/>
      <c r="D474" s="295"/>
      <c r="E474" s="542"/>
      <c r="F474" s="918"/>
      <c r="G474" s="918"/>
      <c r="H474" s="919"/>
      <c r="I474" s="918"/>
      <c r="J474" s="542"/>
      <c r="K474" s="918"/>
      <c r="L474" s="918"/>
      <c r="M474" s="919"/>
      <c r="N474" s="918"/>
      <c r="O474" s="542"/>
      <c r="P474" s="918"/>
      <c r="Q474" s="918"/>
      <c r="R474" s="919"/>
    </row>
    <row r="475" spans="3:18">
      <c r="C475" s="295"/>
      <c r="D475" s="295"/>
      <c r="E475" s="542"/>
      <c r="F475" s="918"/>
      <c r="G475" s="918"/>
      <c r="H475" s="919"/>
      <c r="I475" s="918"/>
      <c r="J475" s="542"/>
      <c r="K475" s="918"/>
      <c r="L475" s="918"/>
      <c r="M475" s="919"/>
      <c r="N475" s="918"/>
      <c r="O475" s="542"/>
      <c r="P475" s="918"/>
      <c r="Q475" s="918"/>
      <c r="R475" s="919"/>
    </row>
    <row r="476" spans="3:18">
      <c r="C476" s="295"/>
      <c r="D476" s="295"/>
      <c r="E476" s="542"/>
      <c r="F476" s="918"/>
      <c r="G476" s="918"/>
      <c r="H476" s="919"/>
      <c r="I476" s="918"/>
      <c r="J476" s="542"/>
      <c r="K476" s="918"/>
      <c r="L476" s="918"/>
      <c r="M476" s="919"/>
      <c r="N476" s="918"/>
      <c r="O476" s="542"/>
      <c r="P476" s="918"/>
      <c r="Q476" s="918"/>
      <c r="R476" s="919"/>
    </row>
    <row r="477" spans="3:18">
      <c r="C477" s="295"/>
      <c r="D477" s="295"/>
      <c r="E477" s="542"/>
      <c r="F477" s="918"/>
      <c r="G477" s="918"/>
      <c r="H477" s="919"/>
      <c r="I477" s="918"/>
      <c r="J477" s="542"/>
      <c r="K477" s="918"/>
      <c r="L477" s="918"/>
      <c r="M477" s="919"/>
      <c r="N477" s="918"/>
      <c r="O477" s="542"/>
      <c r="P477" s="918"/>
      <c r="Q477" s="918"/>
      <c r="R477" s="919"/>
    </row>
    <row r="478" spans="3:18">
      <c r="C478" s="295"/>
      <c r="D478" s="295"/>
      <c r="E478" s="542"/>
      <c r="F478" s="918"/>
      <c r="G478" s="918"/>
      <c r="H478" s="919"/>
      <c r="I478" s="918"/>
      <c r="J478" s="542"/>
      <c r="K478" s="918"/>
      <c r="L478" s="918"/>
      <c r="M478" s="919"/>
      <c r="N478" s="918"/>
      <c r="O478" s="542"/>
      <c r="P478" s="918"/>
      <c r="Q478" s="918"/>
      <c r="R478" s="919"/>
    </row>
    <row r="479" spans="3:18">
      <c r="C479" s="295"/>
      <c r="D479" s="295"/>
      <c r="E479" s="542"/>
      <c r="F479" s="918"/>
      <c r="G479" s="918"/>
      <c r="H479" s="919"/>
      <c r="I479" s="918"/>
      <c r="J479" s="542"/>
      <c r="K479" s="918"/>
      <c r="L479" s="918"/>
      <c r="M479" s="919"/>
      <c r="N479" s="918"/>
      <c r="O479" s="542"/>
      <c r="P479" s="918"/>
      <c r="Q479" s="918"/>
      <c r="R479" s="919"/>
    </row>
    <row r="480" spans="3:18">
      <c r="E480" s="35"/>
      <c r="F480" s="33"/>
      <c r="G480" s="33"/>
      <c r="H480" s="36"/>
      <c r="I480" s="33"/>
      <c r="J480" s="35"/>
      <c r="K480" s="33"/>
      <c r="L480" s="33"/>
      <c r="M480" s="36"/>
      <c r="N480" s="33"/>
      <c r="O480" s="35"/>
      <c r="P480" s="33"/>
      <c r="Q480" s="33"/>
      <c r="R480" s="36"/>
    </row>
    <row r="481" spans="5:18">
      <c r="E481" s="35"/>
      <c r="F481" s="33"/>
      <c r="G481" s="33"/>
      <c r="H481" s="36"/>
      <c r="I481" s="33"/>
      <c r="J481" s="35"/>
      <c r="K481" s="33"/>
      <c r="L481" s="33"/>
      <c r="M481" s="36"/>
      <c r="N481" s="33"/>
      <c r="O481" s="35"/>
      <c r="P481" s="33"/>
      <c r="Q481" s="33"/>
      <c r="R481" s="36"/>
    </row>
    <row r="482" spans="5:18">
      <c r="E482" s="35"/>
      <c r="F482" s="33"/>
      <c r="G482" s="33"/>
      <c r="H482" s="36"/>
      <c r="I482" s="33"/>
      <c r="J482" s="35"/>
      <c r="K482" s="33"/>
      <c r="L482" s="33"/>
      <c r="M482" s="36"/>
      <c r="N482" s="33"/>
      <c r="O482" s="35"/>
      <c r="P482" s="33"/>
      <c r="Q482" s="33"/>
      <c r="R482" s="36"/>
    </row>
    <row r="483" spans="5:18">
      <c r="E483" s="35"/>
      <c r="F483" s="33"/>
      <c r="G483" s="33"/>
      <c r="H483" s="36"/>
      <c r="I483" s="33"/>
      <c r="J483" s="35"/>
      <c r="K483" s="33"/>
      <c r="L483" s="33"/>
      <c r="M483" s="36"/>
      <c r="N483" s="33"/>
      <c r="O483" s="35"/>
      <c r="P483" s="33"/>
      <c r="Q483" s="33"/>
      <c r="R483" s="36"/>
    </row>
  </sheetData>
  <mergeCells count="23">
    <mergeCell ref="A5:A7"/>
    <mergeCell ref="B5:B7"/>
    <mergeCell ref="C5:C7"/>
    <mergeCell ref="J6:J7"/>
    <mergeCell ref="J5:L5"/>
    <mergeCell ref="K6:K7"/>
    <mergeCell ref="F6:F7"/>
    <mergeCell ref="R5:R7"/>
    <mergeCell ref="L6:L7"/>
    <mergeCell ref="O6:O7"/>
    <mergeCell ref="Q6:Q7"/>
    <mergeCell ref="B2:H2"/>
    <mergeCell ref="B3:H3"/>
    <mergeCell ref="D5:D7"/>
    <mergeCell ref="E5:G5"/>
    <mergeCell ref="H5:H7"/>
    <mergeCell ref="E6:E7"/>
    <mergeCell ref="G6:G7"/>
    <mergeCell ref="I5:I7"/>
    <mergeCell ref="M5:M7"/>
    <mergeCell ref="N5:N7"/>
    <mergeCell ref="O5:Q5"/>
    <mergeCell ref="P6:P7"/>
  </mergeCells>
  <phoneticPr fontId="27" type="noConversion"/>
  <pageMargins left="0.27559055118110237" right="0.27559055118110237" top="0.27559055118110237" bottom="0.35433070866141736" header="0.15748031496062992" footer="0.15748031496062992"/>
  <pageSetup paperSize="9" scale="60" orientation="landscape" r:id="rId1"/>
  <headerFooter alignWithMargins="0">
    <oddFooter>&amp;L&amp;F&amp;C&amp;P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enableFormatConditionsCalculation="0">
    <tabColor rgb="FFFFC000"/>
  </sheetPr>
  <dimension ref="A1:R409"/>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E272" sqref="E272"/>
    </sheetView>
  </sheetViews>
  <sheetFormatPr defaultColWidth="9.109375" defaultRowHeight="10.199999999999999"/>
  <cols>
    <col min="1" max="1" width="11.44140625" style="21" bestFit="1" customWidth="1"/>
    <col min="2" max="2" width="40.33203125" style="1" customWidth="1"/>
    <col min="3" max="3" width="13" style="22" customWidth="1"/>
    <col min="4" max="4" width="12" style="21"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363"/>
      <c r="J2" s="363"/>
      <c r="K2" s="566"/>
      <c r="L2" s="363"/>
      <c r="M2" s="220"/>
      <c r="N2" s="363"/>
      <c r="O2" s="363"/>
      <c r="P2" s="566"/>
      <c r="Q2" s="363"/>
      <c r="R2" s="220"/>
    </row>
    <row r="3" spans="1:18" s="1" customFormat="1" ht="13.2">
      <c r="A3" s="221"/>
      <c r="B3" s="1400" t="s">
        <v>489</v>
      </c>
      <c r="C3" s="1400"/>
      <c r="D3" s="1400"/>
      <c r="E3" s="1400"/>
      <c r="F3" s="1400"/>
      <c r="G3" s="1400"/>
      <c r="H3" s="1400"/>
      <c r="I3" s="567"/>
      <c r="J3" s="567"/>
      <c r="K3" s="567"/>
      <c r="L3" s="567"/>
      <c r="M3" s="220"/>
      <c r="N3" s="567"/>
      <c r="O3" s="567"/>
      <c r="P3" s="567"/>
      <c r="Q3" s="567"/>
      <c r="R3" s="220"/>
    </row>
    <row r="4" spans="1:18" s="1" customFormat="1" ht="13.2">
      <c r="A4" s="221"/>
      <c r="B4" s="567"/>
      <c r="C4" s="222"/>
      <c r="D4" s="567"/>
      <c r="E4" s="567"/>
      <c r="F4" s="567"/>
      <c r="G4" s="567"/>
      <c r="H4" s="567"/>
      <c r="I4" s="567"/>
      <c r="J4" s="567"/>
      <c r="K4" s="567"/>
      <c r="L4" s="567"/>
      <c r="M4" s="567"/>
      <c r="N4" s="567"/>
      <c r="O4" s="567"/>
      <c r="P4" s="567"/>
      <c r="Q4" s="567"/>
      <c r="R4" s="567"/>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8"/>
      <c r="B9" s="392" t="s">
        <v>4</v>
      </c>
      <c r="C9" s="387"/>
      <c r="D9" s="387"/>
      <c r="E9" s="226"/>
      <c r="F9" s="226"/>
      <c r="G9" s="226"/>
      <c r="H9" s="226"/>
      <c r="I9" s="365"/>
      <c r="J9" s="226"/>
      <c r="K9" s="226"/>
      <c r="L9" s="226"/>
      <c r="M9" s="226"/>
      <c r="N9" s="365"/>
      <c r="O9" s="226"/>
      <c r="P9" s="226"/>
      <c r="Q9" s="226"/>
      <c r="R9" s="226"/>
    </row>
    <row r="10" spans="1:18" s="4" customFormat="1" ht="20.399999999999999">
      <c r="A10" s="129" t="s">
        <v>201</v>
      </c>
      <c r="B10" s="123" t="s">
        <v>88</v>
      </c>
      <c r="C10" s="200">
        <v>2642381</v>
      </c>
      <c r="D10" s="200">
        <v>2642381</v>
      </c>
      <c r="E10" s="228">
        <f>E11+E12+E14+E32</f>
        <v>0</v>
      </c>
      <c r="F10" s="228">
        <f t="shared" ref="F10:G10" si="0">F11+F12+F14+F32</f>
        <v>0</v>
      </c>
      <c r="G10" s="228">
        <f t="shared" si="0"/>
        <v>0</v>
      </c>
      <c r="H10" s="229">
        <f t="shared" ref="H10:H73" si="1">SUM(D10:G10)</f>
        <v>2642381</v>
      </c>
      <c r="I10" s="228">
        <v>2642381</v>
      </c>
      <c r="J10" s="228">
        <f>J11+J12+J14+J32</f>
        <v>0</v>
      </c>
      <c r="K10" s="228">
        <f t="shared" ref="K10:L10" si="2">K11+K12+K14+K32</f>
        <v>0</v>
      </c>
      <c r="L10" s="228">
        <f t="shared" si="2"/>
        <v>0</v>
      </c>
      <c r="M10" s="229">
        <f t="shared" ref="M10:M73" si="3">SUM(I10:L10)</f>
        <v>2642381</v>
      </c>
      <c r="N10" s="228">
        <v>2642381</v>
      </c>
      <c r="O10" s="228">
        <f>O11+O12+O14+O32</f>
        <v>0</v>
      </c>
      <c r="P10" s="228">
        <f t="shared" ref="P10:Q10" si="4">P11+P12+P14+P32</f>
        <v>0</v>
      </c>
      <c r="Q10" s="228">
        <f t="shared" si="4"/>
        <v>0</v>
      </c>
      <c r="R10" s="229">
        <f t="shared" ref="R10:R73" si="5">SUM(N10:Q10)</f>
        <v>2642381</v>
      </c>
    </row>
    <row r="11" spans="1:18" ht="24" hidden="1" customHeight="1">
      <c r="A11" s="130" t="s">
        <v>177</v>
      </c>
      <c r="B11" s="124" t="s">
        <v>90</v>
      </c>
      <c r="C11" s="98"/>
      <c r="D11" s="98">
        <v>0</v>
      </c>
      <c r="E11" s="231"/>
      <c r="F11" s="231"/>
      <c r="G11" s="231"/>
      <c r="H11" s="232">
        <f t="shared" si="1"/>
        <v>0</v>
      </c>
      <c r="I11" s="231">
        <v>0</v>
      </c>
      <c r="J11" s="231"/>
      <c r="K11" s="231"/>
      <c r="L11" s="231"/>
      <c r="M11" s="232">
        <f t="shared" si="3"/>
        <v>0</v>
      </c>
      <c r="N11" s="231">
        <v>0</v>
      </c>
      <c r="O11" s="231"/>
      <c r="P11" s="231"/>
      <c r="Q11" s="231"/>
      <c r="R11" s="232">
        <f t="shared" si="5"/>
        <v>0</v>
      </c>
    </row>
    <row r="12" spans="1:18" ht="12" hidden="1" customHeight="1">
      <c r="A12" s="130" t="s">
        <v>91</v>
      </c>
      <c r="B12" s="124" t="s">
        <v>92</v>
      </c>
      <c r="C12" s="98"/>
      <c r="D12" s="98">
        <v>0</v>
      </c>
      <c r="E12" s="231"/>
      <c r="F12" s="231"/>
      <c r="G12" s="231"/>
      <c r="H12" s="232">
        <f t="shared" si="1"/>
        <v>0</v>
      </c>
      <c r="I12" s="231">
        <v>0</v>
      </c>
      <c r="J12" s="231"/>
      <c r="K12" s="231"/>
      <c r="L12" s="231"/>
      <c r="M12" s="232">
        <f t="shared" si="3"/>
        <v>0</v>
      </c>
      <c r="N12" s="231">
        <v>0</v>
      </c>
      <c r="O12" s="231"/>
      <c r="P12" s="231"/>
      <c r="Q12" s="231"/>
      <c r="R12" s="232">
        <f t="shared" si="5"/>
        <v>0</v>
      </c>
    </row>
    <row r="13" spans="1:18" ht="24" hidden="1" customHeight="1">
      <c r="A13" s="131">
        <v>21210</v>
      </c>
      <c r="B13" s="125" t="s">
        <v>93</v>
      </c>
      <c r="C13" s="98"/>
      <c r="D13" s="98">
        <v>0</v>
      </c>
      <c r="E13" s="231"/>
      <c r="F13" s="231"/>
      <c r="G13" s="231"/>
      <c r="H13" s="232">
        <f t="shared" si="1"/>
        <v>0</v>
      </c>
      <c r="I13" s="231">
        <v>0</v>
      </c>
      <c r="J13" s="231"/>
      <c r="K13" s="231"/>
      <c r="L13" s="231"/>
      <c r="M13" s="232">
        <f t="shared" si="3"/>
        <v>0</v>
      </c>
      <c r="N13" s="231">
        <v>0</v>
      </c>
      <c r="O13" s="231"/>
      <c r="P13" s="231"/>
      <c r="Q13" s="231"/>
      <c r="R13" s="232">
        <f t="shared" si="5"/>
        <v>0</v>
      </c>
    </row>
    <row r="14" spans="1:18" ht="21" hidden="1" customHeight="1">
      <c r="A14" s="130" t="s">
        <v>178</v>
      </c>
      <c r="B14" s="124" t="s">
        <v>94</v>
      </c>
      <c r="C14" s="170">
        <v>0</v>
      </c>
      <c r="D14" s="170">
        <v>0</v>
      </c>
      <c r="E14" s="233">
        <f>E15+E21</f>
        <v>0</v>
      </c>
      <c r="F14" s="233">
        <f t="shared" ref="F14:G14" si="6">F15+F21</f>
        <v>0</v>
      </c>
      <c r="G14" s="233">
        <f t="shared" si="6"/>
        <v>0</v>
      </c>
      <c r="H14" s="232">
        <f t="shared" si="1"/>
        <v>0</v>
      </c>
      <c r="I14" s="233">
        <v>0</v>
      </c>
      <c r="J14" s="233">
        <f>J15+J21</f>
        <v>0</v>
      </c>
      <c r="K14" s="233">
        <f t="shared" ref="K14:L14" si="7">K15+K21</f>
        <v>0</v>
      </c>
      <c r="L14" s="233">
        <f t="shared" si="7"/>
        <v>0</v>
      </c>
      <c r="M14" s="232">
        <f t="shared" si="3"/>
        <v>0</v>
      </c>
      <c r="N14" s="233">
        <v>0</v>
      </c>
      <c r="O14" s="233">
        <f>O15+O21</f>
        <v>0</v>
      </c>
      <c r="P14" s="233">
        <f t="shared" ref="P14:Q14" si="8">P15+P21</f>
        <v>0</v>
      </c>
      <c r="Q14" s="233">
        <f t="shared" si="8"/>
        <v>0</v>
      </c>
      <c r="R14" s="232">
        <f t="shared" si="5"/>
        <v>0</v>
      </c>
    </row>
    <row r="15" spans="1:18" ht="12" hidden="1" customHeight="1">
      <c r="A15" s="132">
        <v>18000</v>
      </c>
      <c r="B15" s="125" t="s">
        <v>95</v>
      </c>
      <c r="C15" s="170">
        <v>0</v>
      </c>
      <c r="D15" s="170">
        <v>0</v>
      </c>
      <c r="E15" s="233">
        <f t="shared" ref="E15:L16" si="9">E16</f>
        <v>0</v>
      </c>
      <c r="F15" s="233">
        <f t="shared" si="9"/>
        <v>0</v>
      </c>
      <c r="G15" s="233">
        <f t="shared" si="9"/>
        <v>0</v>
      </c>
      <c r="H15" s="232">
        <f t="shared" si="1"/>
        <v>0</v>
      </c>
      <c r="I15" s="233">
        <v>0</v>
      </c>
      <c r="J15" s="233">
        <f t="shared" si="9"/>
        <v>0</v>
      </c>
      <c r="K15" s="233">
        <f t="shared" si="9"/>
        <v>0</v>
      </c>
      <c r="L15" s="233">
        <f t="shared" si="9"/>
        <v>0</v>
      </c>
      <c r="M15" s="232">
        <f t="shared" si="3"/>
        <v>0</v>
      </c>
      <c r="N15" s="233">
        <v>0</v>
      </c>
      <c r="O15" s="233">
        <f t="shared" ref="O15:Q16" si="10">O16</f>
        <v>0</v>
      </c>
      <c r="P15" s="233">
        <f t="shared" si="10"/>
        <v>0</v>
      </c>
      <c r="Q15" s="233">
        <f t="shared" si="10"/>
        <v>0</v>
      </c>
      <c r="R15" s="232">
        <f t="shared" si="5"/>
        <v>0</v>
      </c>
    </row>
    <row r="16" spans="1:18" ht="12" hidden="1" customHeight="1">
      <c r="A16" s="132">
        <v>18100</v>
      </c>
      <c r="B16" s="125" t="s">
        <v>96</v>
      </c>
      <c r="C16" s="170">
        <v>0</v>
      </c>
      <c r="D16" s="170">
        <v>0</v>
      </c>
      <c r="E16" s="233">
        <f>E17</f>
        <v>0</v>
      </c>
      <c r="F16" s="233">
        <f t="shared" si="9"/>
        <v>0</v>
      </c>
      <c r="G16" s="233">
        <f t="shared" si="9"/>
        <v>0</v>
      </c>
      <c r="H16" s="232">
        <f t="shared" si="1"/>
        <v>0</v>
      </c>
      <c r="I16" s="233">
        <v>0</v>
      </c>
      <c r="J16" s="233">
        <f>J17</f>
        <v>0</v>
      </c>
      <c r="K16" s="233">
        <f t="shared" si="9"/>
        <v>0</v>
      </c>
      <c r="L16" s="233">
        <f t="shared" si="9"/>
        <v>0</v>
      </c>
      <c r="M16" s="232">
        <f t="shared" si="3"/>
        <v>0</v>
      </c>
      <c r="N16" s="233">
        <v>0</v>
      </c>
      <c r="O16" s="233">
        <f>O17</f>
        <v>0</v>
      </c>
      <c r="P16" s="233">
        <f t="shared" si="10"/>
        <v>0</v>
      </c>
      <c r="Q16" s="233">
        <f t="shared" si="10"/>
        <v>0</v>
      </c>
      <c r="R16" s="232">
        <f t="shared" si="5"/>
        <v>0</v>
      </c>
    </row>
    <row r="17" spans="1:18" s="4" customFormat="1" ht="24" hidden="1" customHeight="1">
      <c r="A17" s="133">
        <v>18130</v>
      </c>
      <c r="B17" s="172" t="s">
        <v>159</v>
      </c>
      <c r="C17" s="170">
        <v>0</v>
      </c>
      <c r="D17" s="170">
        <v>0</v>
      </c>
      <c r="E17" s="233">
        <f>SUM(E18:E20)</f>
        <v>0</v>
      </c>
      <c r="F17" s="233">
        <f t="shared" ref="F17:G17" si="11">SUM(F18:F20)</f>
        <v>0</v>
      </c>
      <c r="G17" s="233">
        <f t="shared" si="11"/>
        <v>0</v>
      </c>
      <c r="H17" s="232">
        <f t="shared" si="1"/>
        <v>0</v>
      </c>
      <c r="I17" s="233">
        <v>0</v>
      </c>
      <c r="J17" s="233">
        <f>SUM(J18:J20)</f>
        <v>0</v>
      </c>
      <c r="K17" s="233">
        <f t="shared" ref="K17:L17" si="12">SUM(K18:K20)</f>
        <v>0</v>
      </c>
      <c r="L17" s="233">
        <f t="shared" si="12"/>
        <v>0</v>
      </c>
      <c r="M17" s="232">
        <f t="shared" si="3"/>
        <v>0</v>
      </c>
      <c r="N17" s="233">
        <v>0</v>
      </c>
      <c r="O17" s="233">
        <f>SUM(O18:O20)</f>
        <v>0</v>
      </c>
      <c r="P17" s="233">
        <f t="shared" ref="P17:Q17" si="13">SUM(P18:P20)</f>
        <v>0</v>
      </c>
      <c r="Q17" s="233">
        <f t="shared" si="13"/>
        <v>0</v>
      </c>
      <c r="R17" s="232">
        <f t="shared" si="5"/>
        <v>0</v>
      </c>
    </row>
    <row r="18" spans="1:18" s="6" customFormat="1" ht="36" hidden="1" customHeight="1">
      <c r="A18" s="134">
        <v>18131</v>
      </c>
      <c r="B18" s="172" t="s">
        <v>160</v>
      </c>
      <c r="C18" s="170"/>
      <c r="D18" s="170">
        <v>0</v>
      </c>
      <c r="E18" s="233"/>
      <c r="F18" s="233"/>
      <c r="G18" s="233"/>
      <c r="H18" s="232">
        <f t="shared" si="1"/>
        <v>0</v>
      </c>
      <c r="I18" s="233">
        <v>0</v>
      </c>
      <c r="J18" s="233"/>
      <c r="K18" s="233"/>
      <c r="L18" s="233"/>
      <c r="M18" s="232">
        <f t="shared" si="3"/>
        <v>0</v>
      </c>
      <c r="N18" s="233">
        <v>0</v>
      </c>
      <c r="O18" s="233"/>
      <c r="P18" s="233"/>
      <c r="Q18" s="233"/>
      <c r="R18" s="232">
        <f t="shared" si="5"/>
        <v>0</v>
      </c>
    </row>
    <row r="19" spans="1:18" s="6" customFormat="1" ht="24" hidden="1" customHeight="1">
      <c r="A19" s="134">
        <v>18132</v>
      </c>
      <c r="B19" s="172" t="s">
        <v>169</v>
      </c>
      <c r="C19" s="170"/>
      <c r="D19" s="170">
        <v>0</v>
      </c>
      <c r="E19" s="233"/>
      <c r="F19" s="233"/>
      <c r="G19" s="233"/>
      <c r="H19" s="232">
        <f t="shared" si="1"/>
        <v>0</v>
      </c>
      <c r="I19" s="233">
        <v>0</v>
      </c>
      <c r="J19" s="233"/>
      <c r="K19" s="233"/>
      <c r="L19" s="233"/>
      <c r="M19" s="232">
        <f t="shared" si="3"/>
        <v>0</v>
      </c>
      <c r="N19" s="233">
        <v>0</v>
      </c>
      <c r="O19" s="233"/>
      <c r="P19" s="233"/>
      <c r="Q19" s="233"/>
      <c r="R19" s="232">
        <f t="shared" si="5"/>
        <v>0</v>
      </c>
    </row>
    <row r="20" spans="1:18" s="6" customFormat="1" ht="24" hidden="1" customHeight="1">
      <c r="A20" s="134">
        <v>18139</v>
      </c>
      <c r="B20" s="172" t="s">
        <v>179</v>
      </c>
      <c r="C20" s="170"/>
      <c r="D20" s="170">
        <v>0</v>
      </c>
      <c r="E20" s="233"/>
      <c r="F20" s="233"/>
      <c r="G20" s="233"/>
      <c r="H20" s="232">
        <f t="shared" si="1"/>
        <v>0</v>
      </c>
      <c r="I20" s="233">
        <v>0</v>
      </c>
      <c r="J20" s="233"/>
      <c r="K20" s="233"/>
      <c r="L20" s="233"/>
      <c r="M20" s="232">
        <f t="shared" si="3"/>
        <v>0</v>
      </c>
      <c r="N20" s="233">
        <v>0</v>
      </c>
      <c r="O20" s="233"/>
      <c r="P20" s="233"/>
      <c r="Q20" s="233"/>
      <c r="R20" s="232">
        <f t="shared" si="5"/>
        <v>0</v>
      </c>
    </row>
    <row r="21" spans="1:18" s="6" customFormat="1" ht="12" hidden="1" customHeight="1">
      <c r="A21" s="135" t="s">
        <v>180</v>
      </c>
      <c r="B21" s="173" t="s">
        <v>173</v>
      </c>
      <c r="C21" s="201">
        <v>0</v>
      </c>
      <c r="D21" s="201">
        <v>0</v>
      </c>
      <c r="E21" s="238">
        <f t="shared" ref="E21:L21" si="14">E22</f>
        <v>0</v>
      </c>
      <c r="F21" s="238">
        <f t="shared" si="14"/>
        <v>0</v>
      </c>
      <c r="G21" s="238">
        <f t="shared" si="14"/>
        <v>0</v>
      </c>
      <c r="H21" s="232">
        <f t="shared" si="1"/>
        <v>0</v>
      </c>
      <c r="I21" s="238">
        <v>0</v>
      </c>
      <c r="J21" s="238">
        <f t="shared" si="14"/>
        <v>0</v>
      </c>
      <c r="K21" s="238">
        <f t="shared" si="14"/>
        <v>0</v>
      </c>
      <c r="L21" s="238">
        <f t="shared" si="14"/>
        <v>0</v>
      </c>
      <c r="M21" s="232">
        <f t="shared" si="3"/>
        <v>0</v>
      </c>
      <c r="N21" s="238">
        <v>0</v>
      </c>
      <c r="O21" s="238">
        <f t="shared" ref="O21:Q21" si="15">O22</f>
        <v>0</v>
      </c>
      <c r="P21" s="238">
        <f t="shared" si="15"/>
        <v>0</v>
      </c>
      <c r="Q21" s="238">
        <f t="shared" si="15"/>
        <v>0</v>
      </c>
      <c r="R21" s="232">
        <f t="shared" si="5"/>
        <v>0</v>
      </c>
    </row>
    <row r="22" spans="1:18" s="6" customFormat="1" ht="24" hidden="1" customHeight="1">
      <c r="A22" s="135">
        <v>19500</v>
      </c>
      <c r="B22" s="172" t="s">
        <v>174</v>
      </c>
      <c r="C22" s="170">
        <v>0</v>
      </c>
      <c r="D22" s="170">
        <v>0</v>
      </c>
      <c r="E22" s="233">
        <f>SUM(E23:E25)</f>
        <v>0</v>
      </c>
      <c r="F22" s="233">
        <f t="shared" ref="F22:G22" si="16">SUM(F23:F25)</f>
        <v>0</v>
      </c>
      <c r="G22" s="233">
        <f t="shared" si="16"/>
        <v>0</v>
      </c>
      <c r="H22" s="232">
        <f t="shared" si="1"/>
        <v>0</v>
      </c>
      <c r="I22" s="233">
        <v>0</v>
      </c>
      <c r="J22" s="233">
        <f>SUM(J23:J25)</f>
        <v>0</v>
      </c>
      <c r="K22" s="233">
        <f t="shared" ref="K22:L22" si="17">SUM(K23:K25)</f>
        <v>0</v>
      </c>
      <c r="L22" s="233">
        <f t="shared" si="17"/>
        <v>0</v>
      </c>
      <c r="M22" s="232">
        <f t="shared" si="3"/>
        <v>0</v>
      </c>
      <c r="N22" s="233">
        <v>0</v>
      </c>
      <c r="O22" s="233">
        <f>SUM(O23:O25)</f>
        <v>0</v>
      </c>
      <c r="P22" s="233">
        <f t="shared" ref="P22:Q22" si="18">SUM(P23:P25)</f>
        <v>0</v>
      </c>
      <c r="Q22" s="233">
        <f t="shared" si="18"/>
        <v>0</v>
      </c>
      <c r="R22" s="232">
        <f t="shared" si="5"/>
        <v>0</v>
      </c>
    </row>
    <row r="23" spans="1:18" s="6" customFormat="1" ht="24" hidden="1" customHeight="1">
      <c r="A23" s="136">
        <v>19550</v>
      </c>
      <c r="B23" s="172" t="s">
        <v>175</v>
      </c>
      <c r="C23" s="170"/>
      <c r="D23" s="170">
        <v>0</v>
      </c>
      <c r="E23" s="233"/>
      <c r="F23" s="233"/>
      <c r="G23" s="233"/>
      <c r="H23" s="232">
        <f t="shared" si="1"/>
        <v>0</v>
      </c>
      <c r="I23" s="233">
        <v>0</v>
      </c>
      <c r="J23" s="233"/>
      <c r="K23" s="233"/>
      <c r="L23" s="233"/>
      <c r="M23" s="232">
        <f t="shared" si="3"/>
        <v>0</v>
      </c>
      <c r="N23" s="233">
        <v>0</v>
      </c>
      <c r="O23" s="233"/>
      <c r="P23" s="233"/>
      <c r="Q23" s="233"/>
      <c r="R23" s="232">
        <f t="shared" si="5"/>
        <v>0</v>
      </c>
    </row>
    <row r="24" spans="1:18" s="6" customFormat="1" ht="36" hidden="1" customHeight="1">
      <c r="A24" s="136">
        <v>19560</v>
      </c>
      <c r="B24" s="172" t="s">
        <v>181</v>
      </c>
      <c r="C24" s="170"/>
      <c r="D24" s="170">
        <v>0</v>
      </c>
      <c r="E24" s="233"/>
      <c r="F24" s="233"/>
      <c r="G24" s="233"/>
      <c r="H24" s="232">
        <f t="shared" si="1"/>
        <v>0</v>
      </c>
      <c r="I24" s="233">
        <v>0</v>
      </c>
      <c r="J24" s="233"/>
      <c r="K24" s="233"/>
      <c r="L24" s="233"/>
      <c r="M24" s="232">
        <f t="shared" si="3"/>
        <v>0</v>
      </c>
      <c r="N24" s="233">
        <v>0</v>
      </c>
      <c r="O24" s="233"/>
      <c r="P24" s="233"/>
      <c r="Q24" s="233"/>
      <c r="R24" s="232">
        <f t="shared" si="5"/>
        <v>0</v>
      </c>
    </row>
    <row r="25" spans="1:18" s="6" customFormat="1" ht="72" hidden="1" customHeight="1">
      <c r="A25" s="136">
        <v>19570</v>
      </c>
      <c r="B25" s="172" t="s">
        <v>182</v>
      </c>
      <c r="C25" s="170"/>
      <c r="D25" s="170">
        <v>0</v>
      </c>
      <c r="E25" s="233"/>
      <c r="F25" s="233"/>
      <c r="G25" s="233"/>
      <c r="H25" s="232">
        <f t="shared" si="1"/>
        <v>0</v>
      </c>
      <c r="I25" s="233">
        <v>0</v>
      </c>
      <c r="J25" s="233"/>
      <c r="K25" s="233"/>
      <c r="L25" s="233"/>
      <c r="M25" s="232">
        <f t="shared" si="3"/>
        <v>0</v>
      </c>
      <c r="N25" s="233">
        <v>0</v>
      </c>
      <c r="O25" s="233"/>
      <c r="P25" s="233"/>
      <c r="Q25" s="233"/>
      <c r="R25" s="232">
        <f t="shared" si="5"/>
        <v>0</v>
      </c>
    </row>
    <row r="26" spans="1:18" s="6" customFormat="1" ht="24" hidden="1" customHeight="1">
      <c r="A26" s="209" t="s">
        <v>222</v>
      </c>
      <c r="B26" s="208" t="s">
        <v>216</v>
      </c>
      <c r="C26" s="106">
        <f>C27</f>
        <v>0</v>
      </c>
      <c r="D26" s="106">
        <v>0</v>
      </c>
      <c r="E26" s="232">
        <f t="shared" ref="E26:L26" si="19">E27</f>
        <v>0</v>
      </c>
      <c r="F26" s="232">
        <f t="shared" si="19"/>
        <v>0</v>
      </c>
      <c r="G26" s="232">
        <f t="shared" si="19"/>
        <v>0</v>
      </c>
      <c r="H26" s="232">
        <f t="shared" si="1"/>
        <v>0</v>
      </c>
      <c r="I26" s="233">
        <v>0</v>
      </c>
      <c r="J26" s="232">
        <f t="shared" si="19"/>
        <v>0</v>
      </c>
      <c r="K26" s="232">
        <f t="shared" si="19"/>
        <v>0</v>
      </c>
      <c r="L26" s="232">
        <f t="shared" si="19"/>
        <v>0</v>
      </c>
      <c r="M26" s="232">
        <f t="shared" si="3"/>
        <v>0</v>
      </c>
      <c r="N26" s="233">
        <v>0</v>
      </c>
      <c r="O26" s="232">
        <f t="shared" ref="O26:Q26" si="20">O27</f>
        <v>0</v>
      </c>
      <c r="P26" s="232">
        <f t="shared" si="20"/>
        <v>0</v>
      </c>
      <c r="Q26" s="232">
        <f t="shared" si="20"/>
        <v>0</v>
      </c>
      <c r="R26" s="232">
        <f t="shared" si="5"/>
        <v>0</v>
      </c>
    </row>
    <row r="27" spans="1:18" s="6" customFormat="1" ht="36" hidden="1" customHeight="1">
      <c r="A27" s="209">
        <v>17100</v>
      </c>
      <c r="B27" s="208" t="s">
        <v>217</v>
      </c>
      <c r="C27" s="106">
        <f>SUM(C28:C31)</f>
        <v>0</v>
      </c>
      <c r="D27" s="106">
        <v>0</v>
      </c>
      <c r="E27" s="232">
        <f t="shared" ref="E27:G27" si="21">SUM(E28:E31)</f>
        <v>0</v>
      </c>
      <c r="F27" s="232">
        <f t="shared" ref="F27" si="22">SUM(F28:F31)</f>
        <v>0</v>
      </c>
      <c r="G27" s="232">
        <f t="shared" si="21"/>
        <v>0</v>
      </c>
      <c r="H27" s="232">
        <f t="shared" si="1"/>
        <v>0</v>
      </c>
      <c r="I27" s="233">
        <v>0</v>
      </c>
      <c r="J27" s="232">
        <f t="shared" ref="J27:L27" si="23">SUM(J28:J31)</f>
        <v>0</v>
      </c>
      <c r="K27" s="232">
        <f t="shared" ref="K27" si="24">SUM(K28:K31)</f>
        <v>0</v>
      </c>
      <c r="L27" s="232">
        <f t="shared" si="23"/>
        <v>0</v>
      </c>
      <c r="M27" s="232">
        <f t="shared" si="3"/>
        <v>0</v>
      </c>
      <c r="N27" s="233">
        <v>0</v>
      </c>
      <c r="O27" s="232">
        <f t="shared" ref="O27:Q27" si="25">SUM(O28:O31)</f>
        <v>0</v>
      </c>
      <c r="P27" s="232">
        <f t="shared" ref="P27" si="26">SUM(P28:P31)</f>
        <v>0</v>
      </c>
      <c r="Q27" s="232">
        <f t="shared" si="25"/>
        <v>0</v>
      </c>
      <c r="R27" s="232">
        <f t="shared" si="5"/>
        <v>0</v>
      </c>
    </row>
    <row r="28" spans="1:18" s="6" customFormat="1" ht="48" hidden="1" customHeight="1">
      <c r="A28" s="149">
        <v>17110</v>
      </c>
      <c r="B28" s="208" t="s">
        <v>218</v>
      </c>
      <c r="C28" s="106"/>
      <c r="D28" s="106">
        <v>0</v>
      </c>
      <c r="E28" s="233"/>
      <c r="F28" s="233"/>
      <c r="G28" s="233"/>
      <c r="H28" s="232">
        <f t="shared" si="1"/>
        <v>0</v>
      </c>
      <c r="I28" s="233">
        <v>0</v>
      </c>
      <c r="J28" s="233"/>
      <c r="K28" s="233"/>
      <c r="L28" s="233"/>
      <c r="M28" s="232">
        <f t="shared" si="3"/>
        <v>0</v>
      </c>
      <c r="N28" s="233">
        <v>0</v>
      </c>
      <c r="O28" s="233"/>
      <c r="P28" s="233"/>
      <c r="Q28" s="233"/>
      <c r="R28" s="232">
        <f t="shared" si="5"/>
        <v>0</v>
      </c>
    </row>
    <row r="29" spans="1:18" s="6" customFormat="1" ht="48" hidden="1" customHeight="1">
      <c r="A29" s="149">
        <v>17120</v>
      </c>
      <c r="B29" s="208" t="s">
        <v>219</v>
      </c>
      <c r="C29" s="106"/>
      <c r="D29" s="106">
        <v>0</v>
      </c>
      <c r="E29" s="233"/>
      <c r="F29" s="233"/>
      <c r="G29" s="233"/>
      <c r="H29" s="232">
        <f t="shared" si="1"/>
        <v>0</v>
      </c>
      <c r="I29" s="233">
        <v>0</v>
      </c>
      <c r="J29" s="233"/>
      <c r="K29" s="233"/>
      <c r="L29" s="233"/>
      <c r="M29" s="232">
        <f t="shared" si="3"/>
        <v>0</v>
      </c>
      <c r="N29" s="233">
        <v>0</v>
      </c>
      <c r="O29" s="233"/>
      <c r="P29" s="233"/>
      <c r="Q29" s="233"/>
      <c r="R29" s="232">
        <f t="shared" si="5"/>
        <v>0</v>
      </c>
    </row>
    <row r="30" spans="1:18" s="6" customFormat="1" ht="96" hidden="1" customHeight="1">
      <c r="A30" s="149">
        <v>17130</v>
      </c>
      <c r="B30" s="208" t="s">
        <v>220</v>
      </c>
      <c r="C30" s="106"/>
      <c r="D30" s="106">
        <v>0</v>
      </c>
      <c r="E30" s="233"/>
      <c r="F30" s="233"/>
      <c r="G30" s="233"/>
      <c r="H30" s="232">
        <f t="shared" si="1"/>
        <v>0</v>
      </c>
      <c r="I30" s="233">
        <v>0</v>
      </c>
      <c r="J30" s="233"/>
      <c r="K30" s="233"/>
      <c r="L30" s="233"/>
      <c r="M30" s="232">
        <f t="shared" si="3"/>
        <v>0</v>
      </c>
      <c r="N30" s="233">
        <v>0</v>
      </c>
      <c r="O30" s="233"/>
      <c r="P30" s="233"/>
      <c r="Q30" s="233"/>
      <c r="R30" s="232">
        <f t="shared" si="5"/>
        <v>0</v>
      </c>
    </row>
    <row r="31" spans="1:18" s="6" customFormat="1" ht="96" hidden="1" customHeight="1">
      <c r="A31" s="149">
        <v>17140</v>
      </c>
      <c r="B31" s="208" t="s">
        <v>221</v>
      </c>
      <c r="C31" s="106"/>
      <c r="D31" s="106">
        <v>0</v>
      </c>
      <c r="E31" s="233"/>
      <c r="F31" s="233"/>
      <c r="G31" s="233"/>
      <c r="H31" s="232">
        <f t="shared" si="1"/>
        <v>0</v>
      </c>
      <c r="I31" s="233">
        <v>0</v>
      </c>
      <c r="J31" s="233"/>
      <c r="K31" s="233"/>
      <c r="L31" s="233"/>
      <c r="M31" s="232">
        <f t="shared" si="3"/>
        <v>0</v>
      </c>
      <c r="N31" s="233">
        <v>0</v>
      </c>
      <c r="O31" s="233"/>
      <c r="P31" s="233"/>
      <c r="Q31" s="233"/>
      <c r="R31" s="232">
        <f t="shared" si="5"/>
        <v>0</v>
      </c>
    </row>
    <row r="32" spans="1:18" s="6" customFormat="1" ht="12">
      <c r="A32" s="137">
        <v>21700</v>
      </c>
      <c r="B32" s="124" t="s">
        <v>97</v>
      </c>
      <c r="C32" s="170">
        <v>2642381</v>
      </c>
      <c r="D32" s="170">
        <v>2642381</v>
      </c>
      <c r="E32" s="233">
        <f>E33+E34</f>
        <v>0</v>
      </c>
      <c r="F32" s="233">
        <f t="shared" ref="F32:G32" si="27">F33+F34</f>
        <v>0</v>
      </c>
      <c r="G32" s="233">
        <f t="shared" si="27"/>
        <v>0</v>
      </c>
      <c r="H32" s="232">
        <f t="shared" si="1"/>
        <v>2642381</v>
      </c>
      <c r="I32" s="233">
        <v>2642381</v>
      </c>
      <c r="J32" s="233">
        <f>J33+J34</f>
        <v>0</v>
      </c>
      <c r="K32" s="233">
        <f t="shared" ref="K32:L32" si="28">K33+K34</f>
        <v>0</v>
      </c>
      <c r="L32" s="233">
        <f t="shared" si="28"/>
        <v>0</v>
      </c>
      <c r="M32" s="232">
        <f t="shared" si="3"/>
        <v>2642381</v>
      </c>
      <c r="N32" s="233">
        <v>2642381</v>
      </c>
      <c r="O32" s="233">
        <f>O33+O34</f>
        <v>0</v>
      </c>
      <c r="P32" s="233">
        <f t="shared" ref="P32:Q32" si="29">P33+P34</f>
        <v>0</v>
      </c>
      <c r="Q32" s="233">
        <f t="shared" si="29"/>
        <v>0</v>
      </c>
      <c r="R32" s="232">
        <f t="shared" si="5"/>
        <v>2642381</v>
      </c>
    </row>
    <row r="33" spans="1:18" s="6" customFormat="1" ht="24">
      <c r="A33" s="138">
        <v>21710</v>
      </c>
      <c r="B33" s="125" t="s">
        <v>98</v>
      </c>
      <c r="C33" s="170">
        <v>2642381</v>
      </c>
      <c r="D33" s="170">
        <v>2642381</v>
      </c>
      <c r="E33" s="233"/>
      <c r="F33" s="233"/>
      <c r="G33" s="233"/>
      <c r="H33" s="232">
        <f t="shared" si="1"/>
        <v>2642381</v>
      </c>
      <c r="I33" s="233">
        <v>2642381</v>
      </c>
      <c r="J33" s="233"/>
      <c r="K33" s="233"/>
      <c r="L33" s="233"/>
      <c r="M33" s="232">
        <f t="shared" si="3"/>
        <v>2642381</v>
      </c>
      <c r="N33" s="233">
        <v>2642381</v>
      </c>
      <c r="O33" s="233"/>
      <c r="P33" s="233"/>
      <c r="Q33" s="233"/>
      <c r="R33" s="232">
        <f t="shared" si="5"/>
        <v>2642381</v>
      </c>
    </row>
    <row r="34" spans="1:18" s="6" customFormat="1" ht="24" hidden="1" customHeight="1">
      <c r="A34" s="138">
        <v>21720</v>
      </c>
      <c r="B34" s="125" t="s">
        <v>99</v>
      </c>
      <c r="C34" s="170"/>
      <c r="D34" s="170">
        <v>0</v>
      </c>
      <c r="E34" s="233"/>
      <c r="F34" s="233"/>
      <c r="G34" s="233"/>
      <c r="H34" s="232">
        <f t="shared" si="1"/>
        <v>0</v>
      </c>
      <c r="I34" s="233">
        <v>0</v>
      </c>
      <c r="J34" s="233"/>
      <c r="K34" s="233"/>
      <c r="L34" s="233"/>
      <c r="M34" s="232">
        <f t="shared" si="3"/>
        <v>0</v>
      </c>
      <c r="N34" s="233">
        <v>0</v>
      </c>
      <c r="O34" s="233"/>
      <c r="P34" s="233"/>
      <c r="Q34" s="233"/>
      <c r="R34" s="232">
        <f t="shared" si="5"/>
        <v>0</v>
      </c>
    </row>
    <row r="35" spans="1:18" s="6" customFormat="1" ht="11.4">
      <c r="A35" s="129" t="s">
        <v>100</v>
      </c>
      <c r="B35" s="123" t="s">
        <v>101</v>
      </c>
      <c r="C35" s="168">
        <v>2642381</v>
      </c>
      <c r="D35" s="168">
        <v>2642381</v>
      </c>
      <c r="E35" s="243">
        <f t="shared" ref="E35:G35" si="30">E36+E63</f>
        <v>0</v>
      </c>
      <c r="F35" s="243">
        <f t="shared" ref="F35" si="31">F36+F63</f>
        <v>0</v>
      </c>
      <c r="G35" s="243">
        <f t="shared" si="30"/>
        <v>0</v>
      </c>
      <c r="H35" s="229">
        <f t="shared" si="1"/>
        <v>2642381</v>
      </c>
      <c r="I35" s="243">
        <v>2642381</v>
      </c>
      <c r="J35" s="243">
        <f t="shared" ref="J35:L35" si="32">J36+J63</f>
        <v>0</v>
      </c>
      <c r="K35" s="243">
        <f t="shared" ref="K35" si="33">K36+K63</f>
        <v>0</v>
      </c>
      <c r="L35" s="243">
        <f t="shared" si="32"/>
        <v>0</v>
      </c>
      <c r="M35" s="229">
        <f t="shared" si="3"/>
        <v>2642381</v>
      </c>
      <c r="N35" s="243">
        <v>2642381</v>
      </c>
      <c r="O35" s="243">
        <f t="shared" ref="O35:Q35" si="34">O36+O63</f>
        <v>0</v>
      </c>
      <c r="P35" s="243">
        <f t="shared" ref="P35" si="35">P36+P63</f>
        <v>0</v>
      </c>
      <c r="Q35" s="243">
        <f t="shared" si="34"/>
        <v>0</v>
      </c>
      <c r="R35" s="229">
        <f t="shared" si="5"/>
        <v>2642381</v>
      </c>
    </row>
    <row r="36" spans="1:18" s="6" customFormat="1" ht="20.399999999999999">
      <c r="A36" s="130" t="s">
        <v>102</v>
      </c>
      <c r="B36" s="124" t="s">
        <v>103</v>
      </c>
      <c r="C36" s="106">
        <v>2624381</v>
      </c>
      <c r="D36" s="106">
        <v>2627381</v>
      </c>
      <c r="E36" s="233">
        <f>E37+E41+E42+E45+E48</f>
        <v>0</v>
      </c>
      <c r="F36" s="233">
        <f t="shared" ref="F36:G36" si="36">F37+F41+F42+F45+F48</f>
        <v>0</v>
      </c>
      <c r="G36" s="233">
        <f t="shared" si="36"/>
        <v>0</v>
      </c>
      <c r="H36" s="232">
        <f t="shared" si="1"/>
        <v>2627381</v>
      </c>
      <c r="I36" s="233">
        <v>2627381</v>
      </c>
      <c r="J36" s="233">
        <f>J37+J41+J42+J45+J48</f>
        <v>0</v>
      </c>
      <c r="K36" s="233">
        <f t="shared" ref="K36:L36" si="37">K37+K41+K42+K45+K48</f>
        <v>0</v>
      </c>
      <c r="L36" s="233">
        <f t="shared" si="37"/>
        <v>0</v>
      </c>
      <c r="M36" s="232">
        <f t="shared" si="3"/>
        <v>2627381</v>
      </c>
      <c r="N36" s="233">
        <v>2627381</v>
      </c>
      <c r="O36" s="233">
        <f>O37+O41+O42+O45+O48</f>
        <v>0</v>
      </c>
      <c r="P36" s="233">
        <f t="shared" ref="P36:Q36" si="38">P37+P41+P42+P45+P48</f>
        <v>0</v>
      </c>
      <c r="Q36" s="233">
        <f t="shared" si="38"/>
        <v>0</v>
      </c>
      <c r="R36" s="232">
        <f t="shared" si="5"/>
        <v>2627381</v>
      </c>
    </row>
    <row r="37" spans="1:18" s="6" customFormat="1" ht="12">
      <c r="A37" s="130" t="s">
        <v>104</v>
      </c>
      <c r="B37" s="124" t="s">
        <v>105</v>
      </c>
      <c r="C37" s="106">
        <v>2623181</v>
      </c>
      <c r="D37" s="106">
        <v>2626181</v>
      </c>
      <c r="E37" s="233">
        <f>E38+E40</f>
        <v>0</v>
      </c>
      <c r="F37" s="233">
        <f t="shared" ref="F37:G37" si="39">F38+F40</f>
        <v>0</v>
      </c>
      <c r="G37" s="233">
        <f t="shared" si="39"/>
        <v>0</v>
      </c>
      <c r="H37" s="232">
        <f t="shared" si="1"/>
        <v>2626181</v>
      </c>
      <c r="I37" s="233">
        <v>2626181</v>
      </c>
      <c r="J37" s="233">
        <f>J38+J40</f>
        <v>0</v>
      </c>
      <c r="K37" s="233">
        <f t="shared" ref="K37:L37" si="40">K38+K40</f>
        <v>0</v>
      </c>
      <c r="L37" s="233">
        <f t="shared" si="40"/>
        <v>0</v>
      </c>
      <c r="M37" s="232">
        <f t="shared" si="3"/>
        <v>2626181</v>
      </c>
      <c r="N37" s="233">
        <v>2626181</v>
      </c>
      <c r="O37" s="233">
        <f>O38+O40</f>
        <v>0</v>
      </c>
      <c r="P37" s="233">
        <f t="shared" ref="P37:Q37" si="41">P38+P40</f>
        <v>0</v>
      </c>
      <c r="Q37" s="233">
        <f t="shared" si="41"/>
        <v>0</v>
      </c>
      <c r="R37" s="232">
        <f t="shared" si="5"/>
        <v>2626181</v>
      </c>
    </row>
    <row r="38" spans="1:18" s="6" customFormat="1" ht="12">
      <c r="A38" s="132">
        <v>1000</v>
      </c>
      <c r="B38" s="125" t="s">
        <v>106</v>
      </c>
      <c r="C38" s="106">
        <v>1993135</v>
      </c>
      <c r="D38" s="106">
        <v>1993135</v>
      </c>
      <c r="E38" s="244"/>
      <c r="F38" s="244"/>
      <c r="G38" s="244"/>
      <c r="H38" s="232">
        <f t="shared" si="1"/>
        <v>1993135</v>
      </c>
      <c r="I38" s="233">
        <v>1993135</v>
      </c>
      <c r="J38" s="244"/>
      <c r="K38" s="244"/>
      <c r="L38" s="244"/>
      <c r="M38" s="232">
        <f t="shared" si="3"/>
        <v>1993135</v>
      </c>
      <c r="N38" s="233">
        <v>1993135</v>
      </c>
      <c r="O38" s="244"/>
      <c r="P38" s="244"/>
      <c r="Q38" s="244"/>
      <c r="R38" s="232">
        <f t="shared" si="5"/>
        <v>1993135</v>
      </c>
    </row>
    <row r="39" spans="1:18" s="6" customFormat="1" ht="12">
      <c r="A39" s="139">
        <v>1100</v>
      </c>
      <c r="B39" s="125" t="s">
        <v>107</v>
      </c>
      <c r="C39" s="106">
        <v>1553186</v>
      </c>
      <c r="D39" s="106">
        <v>1553186</v>
      </c>
      <c r="E39" s="244"/>
      <c r="F39" s="244"/>
      <c r="G39" s="244"/>
      <c r="H39" s="232">
        <f t="shared" si="1"/>
        <v>1553186</v>
      </c>
      <c r="I39" s="233">
        <v>1553186</v>
      </c>
      <c r="J39" s="244"/>
      <c r="K39" s="244"/>
      <c r="L39" s="244"/>
      <c r="M39" s="232">
        <f t="shared" si="3"/>
        <v>1553186</v>
      </c>
      <c r="N39" s="233">
        <v>1553186</v>
      </c>
      <c r="O39" s="244"/>
      <c r="P39" s="244"/>
      <c r="Q39" s="244"/>
      <c r="R39" s="232">
        <f t="shared" si="5"/>
        <v>1553186</v>
      </c>
    </row>
    <row r="40" spans="1:18" s="6" customFormat="1" ht="12">
      <c r="A40" s="132">
        <v>2000</v>
      </c>
      <c r="B40" s="125" t="s">
        <v>108</v>
      </c>
      <c r="C40" s="106">
        <v>630046</v>
      </c>
      <c r="D40" s="106">
        <v>633046</v>
      </c>
      <c r="E40" s="244"/>
      <c r="F40" s="244"/>
      <c r="G40" s="244"/>
      <c r="H40" s="232">
        <f t="shared" si="1"/>
        <v>633046</v>
      </c>
      <c r="I40" s="233">
        <v>633046</v>
      </c>
      <c r="J40" s="244"/>
      <c r="K40" s="244"/>
      <c r="L40" s="244"/>
      <c r="M40" s="232">
        <f t="shared" si="3"/>
        <v>633046</v>
      </c>
      <c r="N40" s="233">
        <v>633046</v>
      </c>
      <c r="O40" s="244"/>
      <c r="P40" s="244"/>
      <c r="Q40" s="244"/>
      <c r="R40" s="232">
        <f t="shared" si="5"/>
        <v>633046</v>
      </c>
    </row>
    <row r="41" spans="1:18" s="6" customFormat="1" ht="12" hidden="1" customHeight="1">
      <c r="A41" s="140">
        <v>4000</v>
      </c>
      <c r="B41" s="124" t="s">
        <v>132</v>
      </c>
      <c r="C41" s="106"/>
      <c r="D41" s="106">
        <v>0</v>
      </c>
      <c r="E41" s="244"/>
      <c r="F41" s="244"/>
      <c r="G41" s="244"/>
      <c r="H41" s="232">
        <f t="shared" si="1"/>
        <v>0</v>
      </c>
      <c r="I41" s="233">
        <v>0</v>
      </c>
      <c r="J41" s="244"/>
      <c r="K41" s="244"/>
      <c r="L41" s="244"/>
      <c r="M41" s="232">
        <f t="shared" si="3"/>
        <v>0</v>
      </c>
      <c r="N41" s="233">
        <v>0</v>
      </c>
      <c r="O41" s="244"/>
      <c r="P41" s="244"/>
      <c r="Q41" s="244"/>
      <c r="R41" s="232">
        <f t="shared" si="5"/>
        <v>0</v>
      </c>
    </row>
    <row r="42" spans="1:18" s="6" customFormat="1" ht="12">
      <c r="A42" s="140" t="s">
        <v>109</v>
      </c>
      <c r="B42" s="124" t="s">
        <v>110</v>
      </c>
      <c r="C42" s="106">
        <v>200</v>
      </c>
      <c r="D42" s="106">
        <v>200</v>
      </c>
      <c r="E42" s="233">
        <f>E43+E44</f>
        <v>0</v>
      </c>
      <c r="F42" s="233">
        <f t="shared" ref="F42:G42" si="42">F43+F44</f>
        <v>0</v>
      </c>
      <c r="G42" s="233">
        <f t="shared" si="42"/>
        <v>0</v>
      </c>
      <c r="H42" s="232">
        <f t="shared" si="1"/>
        <v>200</v>
      </c>
      <c r="I42" s="233">
        <v>200</v>
      </c>
      <c r="J42" s="233">
        <f>J43+J44</f>
        <v>0</v>
      </c>
      <c r="K42" s="233">
        <f t="shared" ref="K42:L42" si="43">K43+K44</f>
        <v>0</v>
      </c>
      <c r="L42" s="233">
        <f t="shared" si="43"/>
        <v>0</v>
      </c>
      <c r="M42" s="232">
        <f t="shared" si="3"/>
        <v>200</v>
      </c>
      <c r="N42" s="233">
        <v>200</v>
      </c>
      <c r="O42" s="233">
        <f>O43+O44</f>
        <v>0</v>
      </c>
      <c r="P42" s="233">
        <f t="shared" ref="P42:Q42" si="44">P43+P44</f>
        <v>0</v>
      </c>
      <c r="Q42" s="233">
        <f t="shared" si="44"/>
        <v>0</v>
      </c>
      <c r="R42" s="232">
        <f t="shared" si="5"/>
        <v>200</v>
      </c>
    </row>
    <row r="43" spans="1:18" s="6" customFormat="1" ht="12">
      <c r="A43" s="132">
        <v>3000</v>
      </c>
      <c r="B43" s="125" t="s">
        <v>111</v>
      </c>
      <c r="C43" s="195">
        <v>200</v>
      </c>
      <c r="D43" s="195">
        <v>200</v>
      </c>
      <c r="E43" s="246"/>
      <c r="F43" s="246"/>
      <c r="G43" s="246"/>
      <c r="H43" s="232">
        <f t="shared" si="1"/>
        <v>200</v>
      </c>
      <c r="I43" s="345">
        <v>200</v>
      </c>
      <c r="J43" s="246"/>
      <c r="K43" s="246"/>
      <c r="L43" s="246"/>
      <c r="M43" s="232">
        <f t="shared" si="3"/>
        <v>200</v>
      </c>
      <c r="N43" s="345">
        <v>200</v>
      </c>
      <c r="O43" s="246"/>
      <c r="P43" s="246"/>
      <c r="Q43" s="246"/>
      <c r="R43" s="232">
        <f t="shared" si="5"/>
        <v>200</v>
      </c>
    </row>
    <row r="44" spans="1:18" s="6" customFormat="1" ht="12" hidden="1" customHeight="1">
      <c r="A44" s="132">
        <v>6000</v>
      </c>
      <c r="B44" s="125" t="s">
        <v>112</v>
      </c>
      <c r="C44" s="196"/>
      <c r="D44" s="196">
        <v>0</v>
      </c>
      <c r="E44" s="248"/>
      <c r="F44" s="248"/>
      <c r="G44" s="248"/>
      <c r="H44" s="232">
        <f t="shared" si="1"/>
        <v>0</v>
      </c>
      <c r="I44" s="346">
        <v>0</v>
      </c>
      <c r="J44" s="248"/>
      <c r="K44" s="248"/>
      <c r="L44" s="248"/>
      <c r="M44" s="232">
        <f t="shared" si="3"/>
        <v>0</v>
      </c>
      <c r="N44" s="346">
        <v>0</v>
      </c>
      <c r="O44" s="248"/>
      <c r="P44" s="248"/>
      <c r="Q44" s="248"/>
      <c r="R44" s="232">
        <f t="shared" si="5"/>
        <v>0</v>
      </c>
    </row>
    <row r="45" spans="1:18" s="6" customFormat="1" ht="22.8">
      <c r="A45" s="140" t="s">
        <v>113</v>
      </c>
      <c r="B45" s="124" t="s">
        <v>183</v>
      </c>
      <c r="C45" s="106">
        <v>1000</v>
      </c>
      <c r="D45" s="106">
        <v>1000</v>
      </c>
      <c r="E45" s="233">
        <f>E46+E47</f>
        <v>0</v>
      </c>
      <c r="F45" s="233">
        <f t="shared" ref="F45:G45" si="45">F46+F47</f>
        <v>0</v>
      </c>
      <c r="G45" s="233">
        <f t="shared" si="45"/>
        <v>0</v>
      </c>
      <c r="H45" s="232">
        <f t="shared" si="1"/>
        <v>1000</v>
      </c>
      <c r="I45" s="233">
        <v>1000</v>
      </c>
      <c r="J45" s="233">
        <f>J46+J47</f>
        <v>0</v>
      </c>
      <c r="K45" s="233">
        <f t="shared" ref="K45:L45" si="46">K46+K47</f>
        <v>0</v>
      </c>
      <c r="L45" s="233">
        <f t="shared" si="46"/>
        <v>0</v>
      </c>
      <c r="M45" s="232">
        <f t="shared" si="3"/>
        <v>1000</v>
      </c>
      <c r="N45" s="233">
        <v>1000</v>
      </c>
      <c r="O45" s="233">
        <f>O46+O47</f>
        <v>0</v>
      </c>
      <c r="P45" s="233">
        <f t="shared" ref="P45:Q45" si="47">P46+P47</f>
        <v>0</v>
      </c>
      <c r="Q45" s="233">
        <f t="shared" si="47"/>
        <v>0</v>
      </c>
      <c r="R45" s="232">
        <f t="shared" si="5"/>
        <v>1000</v>
      </c>
    </row>
    <row r="46" spans="1:18" s="6" customFormat="1" ht="12" hidden="1" customHeight="1">
      <c r="A46" s="132">
        <v>7600</v>
      </c>
      <c r="B46" s="179" t="s">
        <v>184</v>
      </c>
      <c r="C46" s="106"/>
      <c r="D46" s="106">
        <v>0</v>
      </c>
      <c r="E46" s="244"/>
      <c r="F46" s="244"/>
      <c r="G46" s="244"/>
      <c r="H46" s="232">
        <f t="shared" si="1"/>
        <v>0</v>
      </c>
      <c r="I46" s="233">
        <v>0</v>
      </c>
      <c r="J46" s="244"/>
      <c r="K46" s="244"/>
      <c r="L46" s="244"/>
      <c r="M46" s="232">
        <f t="shared" si="3"/>
        <v>0</v>
      </c>
      <c r="N46" s="233">
        <v>0</v>
      </c>
      <c r="O46" s="244"/>
      <c r="P46" s="244"/>
      <c r="Q46" s="244"/>
      <c r="R46" s="232">
        <f t="shared" si="5"/>
        <v>0</v>
      </c>
    </row>
    <row r="47" spans="1:18" s="6" customFormat="1" ht="12">
      <c r="A47" s="132">
        <v>7700</v>
      </c>
      <c r="B47" s="126" t="s">
        <v>114</v>
      </c>
      <c r="C47" s="106">
        <v>1000</v>
      </c>
      <c r="D47" s="106">
        <v>1000</v>
      </c>
      <c r="E47" s="244"/>
      <c r="F47" s="244"/>
      <c r="G47" s="244"/>
      <c r="H47" s="232">
        <f t="shared" si="1"/>
        <v>1000</v>
      </c>
      <c r="I47" s="233">
        <v>1000</v>
      </c>
      <c r="J47" s="244"/>
      <c r="K47" s="244"/>
      <c r="L47" s="244"/>
      <c r="M47" s="232">
        <f t="shared" si="3"/>
        <v>1000</v>
      </c>
      <c r="N47" s="233">
        <v>1000</v>
      </c>
      <c r="O47" s="244"/>
      <c r="P47" s="244"/>
      <c r="Q47" s="244"/>
      <c r="R47" s="232">
        <f t="shared" si="5"/>
        <v>1000</v>
      </c>
    </row>
    <row r="48" spans="1:18" s="6" customFormat="1" ht="21" hidden="1" customHeight="1">
      <c r="A48" s="140" t="s">
        <v>185</v>
      </c>
      <c r="B48" s="124" t="s">
        <v>115</v>
      </c>
      <c r="C48" s="106">
        <v>0</v>
      </c>
      <c r="D48" s="106">
        <v>0</v>
      </c>
      <c r="E48" s="233">
        <f t="shared" ref="E48:G48" si="48">E49+E55+E59+E62</f>
        <v>0</v>
      </c>
      <c r="F48" s="233">
        <f t="shared" ref="F48" si="49">F49+F55+F59+F62</f>
        <v>0</v>
      </c>
      <c r="G48" s="233">
        <f t="shared" si="48"/>
        <v>0</v>
      </c>
      <c r="H48" s="232">
        <f t="shared" si="1"/>
        <v>0</v>
      </c>
      <c r="I48" s="233">
        <v>0</v>
      </c>
      <c r="J48" s="233">
        <f t="shared" ref="J48:L48" si="50">J49+J55+J59+J62</f>
        <v>0</v>
      </c>
      <c r="K48" s="233">
        <f t="shared" ref="K48" si="51">K49+K55+K59+K62</f>
        <v>0</v>
      </c>
      <c r="L48" s="233">
        <f t="shared" si="50"/>
        <v>0</v>
      </c>
      <c r="M48" s="232">
        <f t="shared" si="3"/>
        <v>0</v>
      </c>
      <c r="N48" s="233">
        <v>0</v>
      </c>
      <c r="O48" s="233">
        <f t="shared" ref="O48:Q48" si="52">O49+O55+O59+O62</f>
        <v>0</v>
      </c>
      <c r="P48" s="233">
        <f t="shared" ref="P48" si="53">P49+P55+P59+P62</f>
        <v>0</v>
      </c>
      <c r="Q48" s="233">
        <f t="shared" si="52"/>
        <v>0</v>
      </c>
      <c r="R48" s="232">
        <f t="shared" si="5"/>
        <v>0</v>
      </c>
    </row>
    <row r="49" spans="1:18" s="6" customFormat="1" ht="12" hidden="1" customHeight="1">
      <c r="A49" s="132">
        <v>7100</v>
      </c>
      <c r="B49" s="179" t="s">
        <v>116</v>
      </c>
      <c r="C49" s="106">
        <v>0</v>
      </c>
      <c r="D49" s="106">
        <v>0</v>
      </c>
      <c r="E49" s="233">
        <f>E50+E51</f>
        <v>0</v>
      </c>
      <c r="F49" s="233">
        <f t="shared" ref="F49:G49" si="54">F50+F51</f>
        <v>0</v>
      </c>
      <c r="G49" s="233">
        <f t="shared" si="54"/>
        <v>0</v>
      </c>
      <c r="H49" s="232">
        <f t="shared" si="1"/>
        <v>0</v>
      </c>
      <c r="I49" s="233">
        <v>0</v>
      </c>
      <c r="J49" s="233">
        <f>J50+J51</f>
        <v>0</v>
      </c>
      <c r="K49" s="233">
        <f t="shared" ref="K49:L49" si="55">K50+K51</f>
        <v>0</v>
      </c>
      <c r="L49" s="233">
        <f t="shared" si="55"/>
        <v>0</v>
      </c>
      <c r="M49" s="232">
        <f t="shared" si="3"/>
        <v>0</v>
      </c>
      <c r="N49" s="233">
        <v>0</v>
      </c>
      <c r="O49" s="233">
        <f>O50+O51</f>
        <v>0</v>
      </c>
      <c r="P49" s="233">
        <f t="shared" ref="P49:Q49" si="56">P50+P51</f>
        <v>0</v>
      </c>
      <c r="Q49" s="233">
        <f t="shared" si="56"/>
        <v>0</v>
      </c>
      <c r="R49" s="232">
        <f t="shared" si="5"/>
        <v>0</v>
      </c>
    </row>
    <row r="50" spans="1:18" s="6" customFormat="1" ht="24" hidden="1" customHeight="1">
      <c r="A50" s="133" t="s">
        <v>117</v>
      </c>
      <c r="B50" s="179" t="s">
        <v>118</v>
      </c>
      <c r="C50" s="106"/>
      <c r="D50" s="106">
        <v>0</v>
      </c>
      <c r="E50" s="233"/>
      <c r="F50" s="233"/>
      <c r="G50" s="233"/>
      <c r="H50" s="232">
        <f t="shared" si="1"/>
        <v>0</v>
      </c>
      <c r="I50" s="233">
        <v>0</v>
      </c>
      <c r="J50" s="233"/>
      <c r="K50" s="233"/>
      <c r="L50" s="233"/>
      <c r="M50" s="232">
        <f t="shared" si="3"/>
        <v>0</v>
      </c>
      <c r="N50" s="233">
        <v>0</v>
      </c>
      <c r="O50" s="233"/>
      <c r="P50" s="233"/>
      <c r="Q50" s="233"/>
      <c r="R50" s="232">
        <f t="shared" si="5"/>
        <v>0</v>
      </c>
    </row>
    <row r="51" spans="1:18" s="6" customFormat="1" ht="24" hidden="1" customHeight="1">
      <c r="A51" s="133">
        <v>7130</v>
      </c>
      <c r="B51" s="179" t="s">
        <v>119</v>
      </c>
      <c r="C51" s="106">
        <v>0</v>
      </c>
      <c r="D51" s="106">
        <v>0</v>
      </c>
      <c r="E51" s="233">
        <f>SUM(E52:E54)</f>
        <v>0</v>
      </c>
      <c r="F51" s="233">
        <f t="shared" ref="F51:G51" si="57">SUM(F52:F54)</f>
        <v>0</v>
      </c>
      <c r="G51" s="233">
        <f t="shared" si="57"/>
        <v>0</v>
      </c>
      <c r="H51" s="232">
        <f t="shared" si="1"/>
        <v>0</v>
      </c>
      <c r="I51" s="233">
        <v>0</v>
      </c>
      <c r="J51" s="233">
        <f>SUM(J52:J54)</f>
        <v>0</v>
      </c>
      <c r="K51" s="233">
        <f t="shared" ref="K51:L51" si="58">SUM(K52:K54)</f>
        <v>0</v>
      </c>
      <c r="L51" s="233">
        <f t="shared" si="58"/>
        <v>0</v>
      </c>
      <c r="M51" s="232">
        <f t="shared" si="3"/>
        <v>0</v>
      </c>
      <c r="N51" s="233">
        <v>0</v>
      </c>
      <c r="O51" s="233">
        <f>SUM(O52:O54)</f>
        <v>0</v>
      </c>
      <c r="P51" s="233">
        <f t="shared" ref="P51:Q51" si="59">SUM(P52:P54)</f>
        <v>0</v>
      </c>
      <c r="Q51" s="233">
        <f t="shared" si="59"/>
        <v>0</v>
      </c>
      <c r="R51" s="232">
        <f t="shared" si="5"/>
        <v>0</v>
      </c>
    </row>
    <row r="52" spans="1:18" s="6" customFormat="1" ht="36" hidden="1" customHeight="1">
      <c r="A52" s="134">
        <v>7131</v>
      </c>
      <c r="B52" s="179" t="s">
        <v>120</v>
      </c>
      <c r="C52" s="106"/>
      <c r="D52" s="106">
        <v>0</v>
      </c>
      <c r="E52" s="233"/>
      <c r="F52" s="233"/>
      <c r="G52" s="233"/>
      <c r="H52" s="232">
        <f t="shared" si="1"/>
        <v>0</v>
      </c>
      <c r="I52" s="233">
        <v>0</v>
      </c>
      <c r="J52" s="233"/>
      <c r="K52" s="233"/>
      <c r="L52" s="233"/>
      <c r="M52" s="232">
        <f t="shared" si="3"/>
        <v>0</v>
      </c>
      <c r="N52" s="233">
        <v>0</v>
      </c>
      <c r="O52" s="233"/>
      <c r="P52" s="233"/>
      <c r="Q52" s="233"/>
      <c r="R52" s="232">
        <f t="shared" si="5"/>
        <v>0</v>
      </c>
    </row>
    <row r="53" spans="1:18" s="6" customFormat="1" ht="36" hidden="1" customHeight="1">
      <c r="A53" s="134">
        <v>7132</v>
      </c>
      <c r="B53" s="179" t="s">
        <v>121</v>
      </c>
      <c r="C53" s="106"/>
      <c r="D53" s="106">
        <v>0</v>
      </c>
      <c r="E53" s="233"/>
      <c r="F53" s="233"/>
      <c r="G53" s="233"/>
      <c r="H53" s="232">
        <f t="shared" si="1"/>
        <v>0</v>
      </c>
      <c r="I53" s="233">
        <v>0</v>
      </c>
      <c r="J53" s="233"/>
      <c r="K53" s="233"/>
      <c r="L53" s="233"/>
      <c r="M53" s="232">
        <f t="shared" si="3"/>
        <v>0</v>
      </c>
      <c r="N53" s="233">
        <v>0</v>
      </c>
      <c r="O53" s="233"/>
      <c r="P53" s="233"/>
      <c r="Q53" s="233"/>
      <c r="R53" s="232">
        <f t="shared" si="5"/>
        <v>0</v>
      </c>
    </row>
    <row r="54" spans="1:18" s="6" customFormat="1" ht="24" hidden="1" customHeight="1">
      <c r="A54" s="134" t="s">
        <v>186</v>
      </c>
      <c r="B54" s="179" t="s">
        <v>187</v>
      </c>
      <c r="C54" s="106"/>
      <c r="D54" s="106">
        <v>0</v>
      </c>
      <c r="E54" s="233"/>
      <c r="F54" s="233"/>
      <c r="G54" s="233"/>
      <c r="H54" s="232">
        <f t="shared" si="1"/>
        <v>0</v>
      </c>
      <c r="I54" s="233">
        <v>0</v>
      </c>
      <c r="J54" s="233"/>
      <c r="K54" s="233"/>
      <c r="L54" s="233"/>
      <c r="M54" s="232">
        <f t="shared" si="3"/>
        <v>0</v>
      </c>
      <c r="N54" s="233">
        <v>0</v>
      </c>
      <c r="O54" s="233"/>
      <c r="P54" s="233"/>
      <c r="Q54" s="233"/>
      <c r="R54" s="232">
        <f t="shared" si="5"/>
        <v>0</v>
      </c>
    </row>
    <row r="55" spans="1:18" s="6" customFormat="1" ht="24" hidden="1" customHeight="1">
      <c r="A55" s="132">
        <v>7300</v>
      </c>
      <c r="B55" s="172" t="s">
        <v>155</v>
      </c>
      <c r="C55" s="106">
        <v>0</v>
      </c>
      <c r="D55" s="106">
        <v>0</v>
      </c>
      <c r="E55" s="233">
        <f>SUM(E56:E58)</f>
        <v>0</v>
      </c>
      <c r="F55" s="233">
        <f t="shared" ref="F55:G55" si="60">SUM(F56:F58)</f>
        <v>0</v>
      </c>
      <c r="G55" s="233">
        <f t="shared" si="60"/>
        <v>0</v>
      </c>
      <c r="H55" s="232">
        <f t="shared" si="1"/>
        <v>0</v>
      </c>
      <c r="I55" s="233">
        <v>0</v>
      </c>
      <c r="J55" s="233">
        <f>SUM(J56:J58)</f>
        <v>0</v>
      </c>
      <c r="K55" s="233">
        <f t="shared" ref="K55:L55" si="61">SUM(K56:K58)</f>
        <v>0</v>
      </c>
      <c r="L55" s="233">
        <f t="shared" si="61"/>
        <v>0</v>
      </c>
      <c r="M55" s="232">
        <f t="shared" si="3"/>
        <v>0</v>
      </c>
      <c r="N55" s="233">
        <v>0</v>
      </c>
      <c r="O55" s="233">
        <f>SUM(O56:O58)</f>
        <v>0</v>
      </c>
      <c r="P55" s="233">
        <f t="shared" ref="P55:Q55" si="62">SUM(P56:P58)</f>
        <v>0</v>
      </c>
      <c r="Q55" s="233">
        <f t="shared" si="62"/>
        <v>0</v>
      </c>
      <c r="R55" s="232">
        <f t="shared" si="5"/>
        <v>0</v>
      </c>
    </row>
    <row r="56" spans="1:18" s="6" customFormat="1" ht="24" hidden="1" customHeight="1">
      <c r="A56" s="133" t="s">
        <v>188</v>
      </c>
      <c r="B56" s="179" t="s">
        <v>170</v>
      </c>
      <c r="C56" s="197"/>
      <c r="D56" s="197">
        <v>0</v>
      </c>
      <c r="E56" s="252"/>
      <c r="F56" s="252"/>
      <c r="G56" s="252"/>
      <c r="H56" s="232">
        <f t="shared" si="1"/>
        <v>0</v>
      </c>
      <c r="I56" s="252">
        <v>0</v>
      </c>
      <c r="J56" s="252"/>
      <c r="K56" s="252"/>
      <c r="L56" s="252"/>
      <c r="M56" s="232">
        <f t="shared" si="3"/>
        <v>0</v>
      </c>
      <c r="N56" s="252">
        <v>0</v>
      </c>
      <c r="O56" s="252"/>
      <c r="P56" s="252"/>
      <c r="Q56" s="252"/>
      <c r="R56" s="232">
        <f t="shared" si="5"/>
        <v>0</v>
      </c>
    </row>
    <row r="57" spans="1:18" s="29" customFormat="1" ht="48" hidden="1" customHeight="1">
      <c r="A57" s="133" t="s">
        <v>189</v>
      </c>
      <c r="B57" s="179" t="s">
        <v>156</v>
      </c>
      <c r="C57" s="197"/>
      <c r="D57" s="197">
        <v>0</v>
      </c>
      <c r="E57" s="252"/>
      <c r="F57" s="252"/>
      <c r="G57" s="252"/>
      <c r="H57" s="232">
        <f t="shared" si="1"/>
        <v>0</v>
      </c>
      <c r="I57" s="252">
        <v>0</v>
      </c>
      <c r="J57" s="252"/>
      <c r="K57" s="252"/>
      <c r="L57" s="252"/>
      <c r="M57" s="232">
        <f t="shared" si="3"/>
        <v>0</v>
      </c>
      <c r="N57" s="252">
        <v>0</v>
      </c>
      <c r="O57" s="252"/>
      <c r="P57" s="252"/>
      <c r="Q57" s="252"/>
      <c r="R57" s="232">
        <f t="shared" si="5"/>
        <v>0</v>
      </c>
    </row>
    <row r="58" spans="1:18" s="89" customFormat="1" ht="36" hidden="1" customHeight="1">
      <c r="A58" s="133">
        <v>7350</v>
      </c>
      <c r="B58" s="179" t="s">
        <v>163</v>
      </c>
      <c r="C58" s="197"/>
      <c r="D58" s="197">
        <v>0</v>
      </c>
      <c r="E58" s="252"/>
      <c r="F58" s="252"/>
      <c r="G58" s="252"/>
      <c r="H58" s="232">
        <f t="shared" si="1"/>
        <v>0</v>
      </c>
      <c r="I58" s="252">
        <v>0</v>
      </c>
      <c r="J58" s="252"/>
      <c r="K58" s="252"/>
      <c r="L58" s="252"/>
      <c r="M58" s="232">
        <f t="shared" si="3"/>
        <v>0</v>
      </c>
      <c r="N58" s="252">
        <v>0</v>
      </c>
      <c r="O58" s="252"/>
      <c r="P58" s="252"/>
      <c r="Q58" s="252"/>
      <c r="R58" s="232">
        <f t="shared" si="5"/>
        <v>0</v>
      </c>
    </row>
    <row r="59" spans="1:18" s="89" customFormat="1" ht="24" hidden="1" customHeight="1">
      <c r="A59" s="132">
        <v>7400</v>
      </c>
      <c r="B59" s="172" t="s">
        <v>161</v>
      </c>
      <c r="C59" s="106">
        <v>0</v>
      </c>
      <c r="D59" s="106">
        <v>0</v>
      </c>
      <c r="E59" s="233">
        <f>SUM(E60:E61)</f>
        <v>0</v>
      </c>
      <c r="F59" s="233">
        <f t="shared" ref="F59:G59" si="63">SUM(F60:F61)</f>
        <v>0</v>
      </c>
      <c r="G59" s="233">
        <f t="shared" si="63"/>
        <v>0</v>
      </c>
      <c r="H59" s="232">
        <f t="shared" si="1"/>
        <v>0</v>
      </c>
      <c r="I59" s="233">
        <v>0</v>
      </c>
      <c r="J59" s="233">
        <f>SUM(J60:J61)</f>
        <v>0</v>
      </c>
      <c r="K59" s="233">
        <f t="shared" ref="K59:L59" si="64">SUM(K60:K61)</f>
        <v>0</v>
      </c>
      <c r="L59" s="233">
        <f t="shared" si="64"/>
        <v>0</v>
      </c>
      <c r="M59" s="232">
        <f t="shared" si="3"/>
        <v>0</v>
      </c>
      <c r="N59" s="233">
        <v>0</v>
      </c>
      <c r="O59" s="233">
        <f>SUM(O60:O61)</f>
        <v>0</v>
      </c>
      <c r="P59" s="233">
        <f t="shared" ref="P59:Q59" si="65">SUM(P60:P61)</f>
        <v>0</v>
      </c>
      <c r="Q59" s="233">
        <f t="shared" si="65"/>
        <v>0</v>
      </c>
      <c r="R59" s="232">
        <f t="shared" si="5"/>
        <v>0</v>
      </c>
    </row>
    <row r="60" spans="1:18" s="89" customFormat="1" ht="24" hidden="1" customHeight="1">
      <c r="A60" s="133">
        <v>7460</v>
      </c>
      <c r="B60" s="172" t="s">
        <v>162</v>
      </c>
      <c r="C60" s="197"/>
      <c r="D60" s="197">
        <v>0</v>
      </c>
      <c r="E60" s="252"/>
      <c r="F60" s="252"/>
      <c r="G60" s="252"/>
      <c r="H60" s="232">
        <f t="shared" si="1"/>
        <v>0</v>
      </c>
      <c r="I60" s="252">
        <v>0</v>
      </c>
      <c r="J60" s="252"/>
      <c r="K60" s="252"/>
      <c r="L60" s="252"/>
      <c r="M60" s="232">
        <f t="shared" si="3"/>
        <v>0</v>
      </c>
      <c r="N60" s="252">
        <v>0</v>
      </c>
      <c r="O60" s="252"/>
      <c r="P60" s="252"/>
      <c r="Q60" s="252"/>
      <c r="R60" s="232">
        <f t="shared" si="5"/>
        <v>0</v>
      </c>
    </row>
    <row r="61" spans="1:18" s="89" customFormat="1" ht="48" hidden="1" customHeight="1">
      <c r="A61" s="133">
        <v>7470</v>
      </c>
      <c r="B61" s="179" t="s">
        <v>167</v>
      </c>
      <c r="C61" s="197"/>
      <c r="D61" s="197">
        <v>0</v>
      </c>
      <c r="E61" s="252"/>
      <c r="F61" s="252"/>
      <c r="G61" s="252"/>
      <c r="H61" s="232">
        <f t="shared" si="1"/>
        <v>0</v>
      </c>
      <c r="I61" s="252">
        <v>0</v>
      </c>
      <c r="J61" s="252"/>
      <c r="K61" s="252"/>
      <c r="L61" s="252"/>
      <c r="M61" s="232">
        <f t="shared" si="3"/>
        <v>0</v>
      </c>
      <c r="N61" s="252">
        <v>0</v>
      </c>
      <c r="O61" s="252"/>
      <c r="P61" s="252"/>
      <c r="Q61" s="252"/>
      <c r="R61" s="232">
        <f t="shared" si="5"/>
        <v>0</v>
      </c>
    </row>
    <row r="62" spans="1:18" s="89" customFormat="1" ht="24" hidden="1" customHeight="1">
      <c r="A62" s="132">
        <v>7500</v>
      </c>
      <c r="B62" s="179" t="s">
        <v>157</v>
      </c>
      <c r="C62" s="106"/>
      <c r="D62" s="106">
        <v>0</v>
      </c>
      <c r="E62" s="233"/>
      <c r="F62" s="233"/>
      <c r="G62" s="233"/>
      <c r="H62" s="232">
        <f t="shared" si="1"/>
        <v>0</v>
      </c>
      <c r="I62" s="233">
        <v>0</v>
      </c>
      <c r="J62" s="233"/>
      <c r="K62" s="233"/>
      <c r="L62" s="233"/>
      <c r="M62" s="232">
        <f t="shared" si="3"/>
        <v>0</v>
      </c>
      <c r="N62" s="233">
        <v>0</v>
      </c>
      <c r="O62" s="233"/>
      <c r="P62" s="233"/>
      <c r="Q62" s="233"/>
      <c r="R62" s="232">
        <f t="shared" si="5"/>
        <v>0</v>
      </c>
    </row>
    <row r="63" spans="1:18" s="89" customFormat="1" ht="12">
      <c r="A63" s="337" t="s">
        <v>133</v>
      </c>
      <c r="B63" s="100" t="s">
        <v>122</v>
      </c>
      <c r="C63" s="106">
        <v>18000</v>
      </c>
      <c r="D63" s="106">
        <v>15000</v>
      </c>
      <c r="E63" s="254">
        <f>E64+E65</f>
        <v>0</v>
      </c>
      <c r="F63" s="254">
        <f t="shared" ref="F63:G63" si="66">F64+F65</f>
        <v>0</v>
      </c>
      <c r="G63" s="254">
        <f t="shared" si="66"/>
        <v>0</v>
      </c>
      <c r="H63" s="232">
        <f t="shared" si="1"/>
        <v>15000</v>
      </c>
      <c r="I63" s="254">
        <v>15000</v>
      </c>
      <c r="J63" s="254">
        <f>J64+J65</f>
        <v>0</v>
      </c>
      <c r="K63" s="254">
        <f t="shared" ref="K63:L63" si="67">K64+K65</f>
        <v>0</v>
      </c>
      <c r="L63" s="254">
        <f t="shared" si="67"/>
        <v>0</v>
      </c>
      <c r="M63" s="232">
        <f t="shared" si="3"/>
        <v>15000</v>
      </c>
      <c r="N63" s="254">
        <v>15000</v>
      </c>
      <c r="O63" s="254">
        <f>O64+O65</f>
        <v>0</v>
      </c>
      <c r="P63" s="254">
        <f t="shared" ref="P63:Q63" si="68">P64+P65</f>
        <v>0</v>
      </c>
      <c r="Q63" s="254">
        <f t="shared" si="68"/>
        <v>0</v>
      </c>
      <c r="R63" s="232">
        <f t="shared" si="5"/>
        <v>15000</v>
      </c>
    </row>
    <row r="64" spans="1:18" s="89" customFormat="1" ht="12">
      <c r="A64" s="140">
        <v>5000</v>
      </c>
      <c r="B64" s="124" t="s">
        <v>123</v>
      </c>
      <c r="C64" s="106">
        <v>18000</v>
      </c>
      <c r="D64" s="106">
        <v>15000</v>
      </c>
      <c r="E64" s="244"/>
      <c r="F64" s="244"/>
      <c r="G64" s="244"/>
      <c r="H64" s="232">
        <f t="shared" si="1"/>
        <v>15000</v>
      </c>
      <c r="I64" s="233">
        <v>15000</v>
      </c>
      <c r="J64" s="244"/>
      <c r="K64" s="244"/>
      <c r="L64" s="244"/>
      <c r="M64" s="232">
        <f t="shared" si="3"/>
        <v>15000</v>
      </c>
      <c r="N64" s="233">
        <v>15000</v>
      </c>
      <c r="O64" s="244"/>
      <c r="P64" s="244"/>
      <c r="Q64" s="244"/>
      <c r="R64" s="232">
        <f t="shared" si="5"/>
        <v>15000</v>
      </c>
    </row>
    <row r="65" spans="1:18" s="89" customFormat="1" ht="12" hidden="1" customHeight="1">
      <c r="A65" s="140">
        <v>9000</v>
      </c>
      <c r="B65" s="182" t="s">
        <v>164</v>
      </c>
      <c r="C65" s="170">
        <v>0</v>
      </c>
      <c r="D65" s="170">
        <v>0</v>
      </c>
      <c r="E65" s="233">
        <f t="shared" ref="E65:G65" si="69">E66+E72+E76+E79</f>
        <v>0</v>
      </c>
      <c r="F65" s="233">
        <f t="shared" ref="F65" si="70">F66+F72+F76+F79</f>
        <v>0</v>
      </c>
      <c r="G65" s="233">
        <f t="shared" si="69"/>
        <v>0</v>
      </c>
      <c r="H65" s="232">
        <f t="shared" si="1"/>
        <v>0</v>
      </c>
      <c r="I65" s="233">
        <v>0</v>
      </c>
      <c r="J65" s="233">
        <f t="shared" ref="J65:L65" si="71">J66+J72+J76+J79</f>
        <v>0</v>
      </c>
      <c r="K65" s="233">
        <f t="shared" ref="K65" si="72">K66+K72+K76+K79</f>
        <v>0</v>
      </c>
      <c r="L65" s="233">
        <f t="shared" si="71"/>
        <v>0</v>
      </c>
      <c r="M65" s="232">
        <f t="shared" si="3"/>
        <v>0</v>
      </c>
      <c r="N65" s="233">
        <v>0</v>
      </c>
      <c r="O65" s="233">
        <f t="shared" ref="O65:Q65" si="73">O66+O72+O76+O79</f>
        <v>0</v>
      </c>
      <c r="P65" s="233">
        <f t="shared" ref="P65" si="74">P66+P72+P76+P79</f>
        <v>0</v>
      </c>
      <c r="Q65" s="233">
        <f t="shared" si="73"/>
        <v>0</v>
      </c>
      <c r="R65" s="232">
        <f t="shared" si="5"/>
        <v>0</v>
      </c>
    </row>
    <row r="66" spans="1:18" s="89" customFormat="1" ht="12" hidden="1" customHeight="1">
      <c r="A66" s="141">
        <v>9100</v>
      </c>
      <c r="B66" s="179" t="s">
        <v>124</v>
      </c>
      <c r="C66" s="170">
        <v>0</v>
      </c>
      <c r="D66" s="170">
        <v>0</v>
      </c>
      <c r="E66" s="233">
        <f t="shared" ref="E66:G66" si="75">SUM(E67:E68)</f>
        <v>0</v>
      </c>
      <c r="F66" s="233">
        <f t="shared" ref="F66" si="76">SUM(F67:F68)</f>
        <v>0</v>
      </c>
      <c r="G66" s="233">
        <f t="shared" si="75"/>
        <v>0</v>
      </c>
      <c r="H66" s="232">
        <f t="shared" si="1"/>
        <v>0</v>
      </c>
      <c r="I66" s="233">
        <v>0</v>
      </c>
      <c r="J66" s="233">
        <f t="shared" ref="J66:L66" si="77">SUM(J67:J68)</f>
        <v>0</v>
      </c>
      <c r="K66" s="233">
        <f t="shared" ref="K66" si="78">SUM(K67:K68)</f>
        <v>0</v>
      </c>
      <c r="L66" s="233">
        <f t="shared" si="77"/>
        <v>0</v>
      </c>
      <c r="M66" s="232">
        <f t="shared" si="3"/>
        <v>0</v>
      </c>
      <c r="N66" s="233">
        <v>0</v>
      </c>
      <c r="O66" s="233">
        <f t="shared" ref="O66:Q66" si="79">SUM(O67:O68)</f>
        <v>0</v>
      </c>
      <c r="P66" s="233">
        <f t="shared" ref="P66" si="80">SUM(P67:P68)</f>
        <v>0</v>
      </c>
      <c r="Q66" s="233">
        <f t="shared" si="79"/>
        <v>0</v>
      </c>
      <c r="R66" s="232">
        <f t="shared" si="5"/>
        <v>0</v>
      </c>
    </row>
    <row r="67" spans="1:18" s="89" customFormat="1" ht="24" hidden="1" customHeight="1">
      <c r="A67" s="133" t="s">
        <v>125</v>
      </c>
      <c r="B67" s="179" t="s">
        <v>214</v>
      </c>
      <c r="C67" s="170"/>
      <c r="D67" s="170">
        <v>0</v>
      </c>
      <c r="E67" s="233"/>
      <c r="F67" s="233"/>
      <c r="G67" s="233"/>
      <c r="H67" s="232">
        <f t="shared" si="1"/>
        <v>0</v>
      </c>
      <c r="I67" s="233">
        <v>0</v>
      </c>
      <c r="J67" s="233"/>
      <c r="K67" s="233"/>
      <c r="L67" s="233"/>
      <c r="M67" s="232">
        <f t="shared" si="3"/>
        <v>0</v>
      </c>
      <c r="N67" s="233">
        <v>0</v>
      </c>
      <c r="O67" s="233"/>
      <c r="P67" s="233"/>
      <c r="Q67" s="233"/>
      <c r="R67" s="232">
        <f t="shared" si="5"/>
        <v>0</v>
      </c>
    </row>
    <row r="68" spans="1:18" s="89" customFormat="1" ht="24" hidden="1" customHeight="1">
      <c r="A68" s="133">
        <v>9140</v>
      </c>
      <c r="B68" s="179" t="s">
        <v>215</v>
      </c>
      <c r="C68" s="170">
        <v>0</v>
      </c>
      <c r="D68" s="170">
        <v>0</v>
      </c>
      <c r="E68" s="233">
        <f>SUM(E69:E71)</f>
        <v>0</v>
      </c>
      <c r="F68" s="233">
        <f t="shared" ref="F68:G68" si="81">SUM(F69:F71)</f>
        <v>0</v>
      </c>
      <c r="G68" s="233">
        <f t="shared" si="81"/>
        <v>0</v>
      </c>
      <c r="H68" s="232">
        <f t="shared" si="1"/>
        <v>0</v>
      </c>
      <c r="I68" s="233">
        <v>0</v>
      </c>
      <c r="J68" s="233">
        <f>SUM(J69:J71)</f>
        <v>0</v>
      </c>
      <c r="K68" s="233">
        <f t="shared" ref="K68:L68" si="82">SUM(K69:K71)</f>
        <v>0</v>
      </c>
      <c r="L68" s="233">
        <f t="shared" si="82"/>
        <v>0</v>
      </c>
      <c r="M68" s="232">
        <f t="shared" si="3"/>
        <v>0</v>
      </c>
      <c r="N68" s="233">
        <v>0</v>
      </c>
      <c r="O68" s="233">
        <f>SUM(O69:O71)</f>
        <v>0</v>
      </c>
      <c r="P68" s="233">
        <f t="shared" ref="P68:Q68" si="83">SUM(P69:P71)</f>
        <v>0</v>
      </c>
      <c r="Q68" s="233">
        <f t="shared" si="83"/>
        <v>0</v>
      </c>
      <c r="R68" s="232">
        <f t="shared" si="5"/>
        <v>0</v>
      </c>
    </row>
    <row r="69" spans="1:18" s="89" customFormat="1" ht="36" hidden="1" customHeight="1">
      <c r="A69" s="134">
        <v>9141</v>
      </c>
      <c r="B69" s="172" t="s">
        <v>190</v>
      </c>
      <c r="C69" s="204"/>
      <c r="D69" s="204">
        <v>0</v>
      </c>
      <c r="E69" s="252"/>
      <c r="F69" s="252"/>
      <c r="G69" s="252"/>
      <c r="H69" s="232">
        <f t="shared" si="1"/>
        <v>0</v>
      </c>
      <c r="I69" s="252">
        <v>0</v>
      </c>
      <c r="J69" s="252"/>
      <c r="K69" s="252"/>
      <c r="L69" s="252"/>
      <c r="M69" s="232">
        <f t="shared" si="3"/>
        <v>0</v>
      </c>
      <c r="N69" s="252">
        <v>0</v>
      </c>
      <c r="O69" s="252"/>
      <c r="P69" s="252"/>
      <c r="Q69" s="252"/>
      <c r="R69" s="232">
        <f t="shared" si="5"/>
        <v>0</v>
      </c>
    </row>
    <row r="70" spans="1:18" s="89" customFormat="1" ht="36" hidden="1" customHeight="1">
      <c r="A70" s="134">
        <v>9142</v>
      </c>
      <c r="B70" s="172" t="s">
        <v>191</v>
      </c>
      <c r="C70" s="204"/>
      <c r="D70" s="204">
        <v>0</v>
      </c>
      <c r="E70" s="252"/>
      <c r="F70" s="252"/>
      <c r="G70" s="252"/>
      <c r="H70" s="232">
        <f t="shared" si="1"/>
        <v>0</v>
      </c>
      <c r="I70" s="252">
        <v>0</v>
      </c>
      <c r="J70" s="252"/>
      <c r="K70" s="252"/>
      <c r="L70" s="252"/>
      <c r="M70" s="232">
        <f t="shared" si="3"/>
        <v>0</v>
      </c>
      <c r="N70" s="252">
        <v>0</v>
      </c>
      <c r="O70" s="252"/>
      <c r="P70" s="252"/>
      <c r="Q70" s="252"/>
      <c r="R70" s="232">
        <f t="shared" si="5"/>
        <v>0</v>
      </c>
    </row>
    <row r="71" spans="1:18" s="89" customFormat="1" ht="24" hidden="1" customHeight="1">
      <c r="A71" s="134">
        <v>9149</v>
      </c>
      <c r="B71" s="172" t="s">
        <v>192</v>
      </c>
      <c r="C71" s="204"/>
      <c r="D71" s="204">
        <v>0</v>
      </c>
      <c r="E71" s="252"/>
      <c r="F71" s="252"/>
      <c r="G71" s="252"/>
      <c r="H71" s="232">
        <f t="shared" si="1"/>
        <v>0</v>
      </c>
      <c r="I71" s="252">
        <v>0</v>
      </c>
      <c r="J71" s="252"/>
      <c r="K71" s="252"/>
      <c r="L71" s="252"/>
      <c r="M71" s="232">
        <f t="shared" si="3"/>
        <v>0</v>
      </c>
      <c r="N71" s="252">
        <v>0</v>
      </c>
      <c r="O71" s="252"/>
      <c r="P71" s="252"/>
      <c r="Q71" s="252"/>
      <c r="R71" s="232">
        <f t="shared" si="5"/>
        <v>0</v>
      </c>
    </row>
    <row r="72" spans="1:18" s="29" customFormat="1" ht="24" hidden="1" customHeight="1">
      <c r="A72" s="141">
        <v>9500</v>
      </c>
      <c r="B72" s="172" t="s">
        <v>165</v>
      </c>
      <c r="C72" s="170">
        <v>0</v>
      </c>
      <c r="D72" s="170">
        <v>0</v>
      </c>
      <c r="E72" s="233">
        <f>SUM(E73:E75)</f>
        <v>0</v>
      </c>
      <c r="F72" s="233">
        <f t="shared" ref="F72:G72" si="84">SUM(F73:F75)</f>
        <v>0</v>
      </c>
      <c r="G72" s="233">
        <f t="shared" si="84"/>
        <v>0</v>
      </c>
      <c r="H72" s="232">
        <f t="shared" si="1"/>
        <v>0</v>
      </c>
      <c r="I72" s="233">
        <v>0</v>
      </c>
      <c r="J72" s="233">
        <f>SUM(J73:J75)</f>
        <v>0</v>
      </c>
      <c r="K72" s="233">
        <f t="shared" ref="K72:L72" si="85">SUM(K73:K75)</f>
        <v>0</v>
      </c>
      <c r="L72" s="233">
        <f t="shared" si="85"/>
        <v>0</v>
      </c>
      <c r="M72" s="232">
        <f t="shared" si="3"/>
        <v>0</v>
      </c>
      <c r="N72" s="233">
        <v>0</v>
      </c>
      <c r="O72" s="233">
        <f>SUM(O73:O75)</f>
        <v>0</v>
      </c>
      <c r="P72" s="233">
        <f t="shared" ref="P72:Q72" si="86">SUM(P73:P75)</f>
        <v>0</v>
      </c>
      <c r="Q72" s="233">
        <f t="shared" si="86"/>
        <v>0</v>
      </c>
      <c r="R72" s="232">
        <f t="shared" si="5"/>
        <v>0</v>
      </c>
    </row>
    <row r="73" spans="1:18" s="29" customFormat="1" ht="24" hidden="1" customHeight="1">
      <c r="A73" s="133" t="s">
        <v>193</v>
      </c>
      <c r="B73" s="172" t="s">
        <v>171</v>
      </c>
      <c r="C73" s="170"/>
      <c r="D73" s="170">
        <v>0</v>
      </c>
      <c r="E73" s="233"/>
      <c r="F73" s="233"/>
      <c r="G73" s="233"/>
      <c r="H73" s="232">
        <f t="shared" si="1"/>
        <v>0</v>
      </c>
      <c r="I73" s="233">
        <v>0</v>
      </c>
      <c r="J73" s="233"/>
      <c r="K73" s="233"/>
      <c r="L73" s="233"/>
      <c r="M73" s="232">
        <f t="shared" si="3"/>
        <v>0</v>
      </c>
      <c r="N73" s="233">
        <v>0</v>
      </c>
      <c r="O73" s="233"/>
      <c r="P73" s="233"/>
      <c r="Q73" s="233"/>
      <c r="R73" s="232">
        <f t="shared" si="5"/>
        <v>0</v>
      </c>
    </row>
    <row r="74" spans="1:18" s="28" customFormat="1" ht="48" hidden="1" customHeight="1">
      <c r="A74" s="133">
        <v>9580</v>
      </c>
      <c r="B74" s="172" t="s">
        <v>166</v>
      </c>
      <c r="C74" s="204"/>
      <c r="D74" s="204">
        <v>0</v>
      </c>
      <c r="E74" s="252"/>
      <c r="F74" s="252"/>
      <c r="G74" s="252"/>
      <c r="H74" s="232">
        <f t="shared" ref="H74:H137" si="87">SUM(D74:G74)</f>
        <v>0</v>
      </c>
      <c r="I74" s="252">
        <v>0</v>
      </c>
      <c r="J74" s="252"/>
      <c r="K74" s="252"/>
      <c r="L74" s="252"/>
      <c r="M74" s="232">
        <f t="shared" ref="M74:M137" si="88">SUM(I74:L74)</f>
        <v>0</v>
      </c>
      <c r="N74" s="252">
        <v>0</v>
      </c>
      <c r="O74" s="252"/>
      <c r="P74" s="252"/>
      <c r="Q74" s="252"/>
      <c r="R74" s="232">
        <f t="shared" ref="R74:R137" si="89">SUM(N74:Q74)</f>
        <v>0</v>
      </c>
    </row>
    <row r="75" spans="1:18" s="4" customFormat="1" ht="48" hidden="1" customHeight="1">
      <c r="A75" s="133">
        <v>9590</v>
      </c>
      <c r="B75" s="179" t="s">
        <v>172</v>
      </c>
      <c r="C75" s="204"/>
      <c r="D75" s="204">
        <v>0</v>
      </c>
      <c r="E75" s="252"/>
      <c r="F75" s="252"/>
      <c r="G75" s="252"/>
      <c r="H75" s="232">
        <f t="shared" si="87"/>
        <v>0</v>
      </c>
      <c r="I75" s="252">
        <v>0</v>
      </c>
      <c r="J75" s="252"/>
      <c r="K75" s="252"/>
      <c r="L75" s="252"/>
      <c r="M75" s="232">
        <f t="shared" si="88"/>
        <v>0</v>
      </c>
      <c r="N75" s="252">
        <v>0</v>
      </c>
      <c r="O75" s="252"/>
      <c r="P75" s="252"/>
      <c r="Q75" s="252"/>
      <c r="R75" s="232">
        <f t="shared" si="89"/>
        <v>0</v>
      </c>
    </row>
    <row r="76" spans="1:18" ht="24" hidden="1" customHeight="1">
      <c r="A76" s="141">
        <v>9700</v>
      </c>
      <c r="B76" s="183" t="s">
        <v>194</v>
      </c>
      <c r="C76" s="170">
        <v>0</v>
      </c>
      <c r="D76" s="170">
        <v>0</v>
      </c>
      <c r="E76" s="233">
        <f>SUM(E77:E78)</f>
        <v>0</v>
      </c>
      <c r="F76" s="233">
        <f t="shared" ref="F76:G76" si="90">SUM(F77:F78)</f>
        <v>0</v>
      </c>
      <c r="G76" s="233">
        <f t="shared" si="90"/>
        <v>0</v>
      </c>
      <c r="H76" s="232">
        <f t="shared" si="87"/>
        <v>0</v>
      </c>
      <c r="I76" s="233">
        <v>0</v>
      </c>
      <c r="J76" s="233">
        <f>SUM(J77:J78)</f>
        <v>0</v>
      </c>
      <c r="K76" s="233">
        <f t="shared" ref="K76:L76" si="91">SUM(K77:K78)</f>
        <v>0</v>
      </c>
      <c r="L76" s="233">
        <f t="shared" si="91"/>
        <v>0</v>
      </c>
      <c r="M76" s="232">
        <f t="shared" si="88"/>
        <v>0</v>
      </c>
      <c r="N76" s="233">
        <v>0</v>
      </c>
      <c r="O76" s="233">
        <f>SUM(O77:O78)</f>
        <v>0</v>
      </c>
      <c r="P76" s="233">
        <f t="shared" ref="P76:Q76" si="92">SUM(P77:P78)</f>
        <v>0</v>
      </c>
      <c r="Q76" s="233">
        <f t="shared" si="92"/>
        <v>0</v>
      </c>
      <c r="R76" s="232">
        <f t="shared" si="89"/>
        <v>0</v>
      </c>
    </row>
    <row r="77" spans="1:18" ht="24" hidden="1" customHeight="1">
      <c r="A77" s="133">
        <v>9710</v>
      </c>
      <c r="B77" s="184" t="s">
        <v>195</v>
      </c>
      <c r="C77" s="204"/>
      <c r="D77" s="204">
        <v>0</v>
      </c>
      <c r="E77" s="252"/>
      <c r="F77" s="252"/>
      <c r="G77" s="252"/>
      <c r="H77" s="232">
        <f t="shared" si="87"/>
        <v>0</v>
      </c>
      <c r="I77" s="252">
        <v>0</v>
      </c>
      <c r="J77" s="252"/>
      <c r="K77" s="252"/>
      <c r="L77" s="252"/>
      <c r="M77" s="232">
        <f t="shared" si="88"/>
        <v>0</v>
      </c>
      <c r="N77" s="252">
        <v>0</v>
      </c>
      <c r="O77" s="252"/>
      <c r="P77" s="252"/>
      <c r="Q77" s="252"/>
      <c r="R77" s="232">
        <f t="shared" si="89"/>
        <v>0</v>
      </c>
    </row>
    <row r="78" spans="1:18" ht="48" hidden="1" customHeight="1">
      <c r="A78" s="142">
        <v>9720</v>
      </c>
      <c r="B78" s="183" t="s">
        <v>196</v>
      </c>
      <c r="C78" s="204"/>
      <c r="D78" s="204">
        <v>0</v>
      </c>
      <c r="E78" s="252"/>
      <c r="F78" s="252"/>
      <c r="G78" s="252"/>
      <c r="H78" s="232">
        <f t="shared" si="87"/>
        <v>0</v>
      </c>
      <c r="I78" s="252">
        <v>0</v>
      </c>
      <c r="J78" s="252"/>
      <c r="K78" s="252"/>
      <c r="L78" s="252"/>
      <c r="M78" s="232">
        <f t="shared" si="88"/>
        <v>0</v>
      </c>
      <c r="N78" s="252">
        <v>0</v>
      </c>
      <c r="O78" s="252"/>
      <c r="P78" s="252"/>
      <c r="Q78" s="252"/>
      <c r="R78" s="232">
        <f t="shared" si="89"/>
        <v>0</v>
      </c>
    </row>
    <row r="79" spans="1:18" ht="24" hidden="1" customHeight="1">
      <c r="A79" s="141">
        <v>9600</v>
      </c>
      <c r="B79" s="179" t="s">
        <v>134</v>
      </c>
      <c r="C79" s="204"/>
      <c r="D79" s="204">
        <v>0</v>
      </c>
      <c r="E79" s="252"/>
      <c r="F79" s="252"/>
      <c r="G79" s="252"/>
      <c r="H79" s="232">
        <f t="shared" si="87"/>
        <v>0</v>
      </c>
      <c r="I79" s="252">
        <v>0</v>
      </c>
      <c r="J79" s="252"/>
      <c r="K79" s="252"/>
      <c r="L79" s="252"/>
      <c r="M79" s="232">
        <f t="shared" si="88"/>
        <v>0</v>
      </c>
      <c r="N79" s="252">
        <v>0</v>
      </c>
      <c r="O79" s="252"/>
      <c r="P79" s="252"/>
      <c r="Q79" s="252"/>
      <c r="R79" s="232">
        <f t="shared" si="89"/>
        <v>0</v>
      </c>
    </row>
    <row r="80" spans="1:18" ht="52.5" hidden="1" customHeight="1">
      <c r="A80" s="130" t="s">
        <v>197</v>
      </c>
      <c r="B80" s="185" t="s">
        <v>47</v>
      </c>
      <c r="C80" s="206">
        <v>0</v>
      </c>
      <c r="D80" s="206">
        <v>0</v>
      </c>
      <c r="E80" s="262">
        <f>E10-E35</f>
        <v>0</v>
      </c>
      <c r="F80" s="262">
        <f t="shared" ref="F80:G80" si="93">F10-F35</f>
        <v>0</v>
      </c>
      <c r="G80" s="262">
        <f t="shared" si="93"/>
        <v>0</v>
      </c>
      <c r="H80" s="232">
        <f t="shared" si="87"/>
        <v>0</v>
      </c>
      <c r="I80" s="262">
        <v>0</v>
      </c>
      <c r="J80" s="262">
        <f>J10-J35</f>
        <v>0</v>
      </c>
      <c r="K80" s="262">
        <f t="shared" ref="K80:L80" si="94">K10-K35</f>
        <v>0</v>
      </c>
      <c r="L80" s="262">
        <f t="shared" si="94"/>
        <v>0</v>
      </c>
      <c r="M80" s="232">
        <f t="shared" si="88"/>
        <v>0</v>
      </c>
      <c r="N80" s="262">
        <v>0</v>
      </c>
      <c r="O80" s="262">
        <f>O10-O35</f>
        <v>0</v>
      </c>
      <c r="P80" s="262">
        <f t="shared" ref="P80:Q80" si="95">P10-P35</f>
        <v>0</v>
      </c>
      <c r="Q80" s="262">
        <f t="shared" si="95"/>
        <v>0</v>
      </c>
      <c r="R80" s="232">
        <f t="shared" si="89"/>
        <v>0</v>
      </c>
    </row>
    <row r="81" spans="1:18" ht="12" hidden="1" customHeight="1">
      <c r="A81" s="143" t="s">
        <v>48</v>
      </c>
      <c r="B81" s="185" t="s">
        <v>49</v>
      </c>
      <c r="C81" s="206">
        <v>0</v>
      </c>
      <c r="D81" s="206">
        <v>0</v>
      </c>
      <c r="E81" s="262">
        <f>E82+E85+E89+E88</f>
        <v>0</v>
      </c>
      <c r="F81" s="262">
        <f t="shared" ref="F81:G81" si="96">F82+F85+F89+F88</f>
        <v>0</v>
      </c>
      <c r="G81" s="262">
        <f t="shared" si="96"/>
        <v>0</v>
      </c>
      <c r="H81" s="232">
        <f t="shared" si="87"/>
        <v>0</v>
      </c>
      <c r="I81" s="262">
        <v>0</v>
      </c>
      <c r="J81" s="262">
        <f>J82+J85+J89+J88</f>
        <v>0</v>
      </c>
      <c r="K81" s="262">
        <f t="shared" ref="K81:L81" si="97">K82+K85+K89+K88</f>
        <v>0</v>
      </c>
      <c r="L81" s="262">
        <f t="shared" si="97"/>
        <v>0</v>
      </c>
      <c r="M81" s="232">
        <f t="shared" si="88"/>
        <v>0</v>
      </c>
      <c r="N81" s="262">
        <v>0</v>
      </c>
      <c r="O81" s="262">
        <f>O82+O85+O89+O88</f>
        <v>0</v>
      </c>
      <c r="P81" s="262">
        <f t="shared" ref="P81:Q81" si="98">P82+P85+P89+P88</f>
        <v>0</v>
      </c>
      <c r="Q81" s="262">
        <f t="shared" si="98"/>
        <v>0</v>
      </c>
      <c r="R81" s="232">
        <f t="shared" si="89"/>
        <v>0</v>
      </c>
    </row>
    <row r="82" spans="1:18" s="4" customFormat="1" ht="12" hidden="1" customHeight="1">
      <c r="A82" s="141" t="s">
        <v>50</v>
      </c>
      <c r="B82" s="179" t="s">
        <v>51</v>
      </c>
      <c r="C82" s="98">
        <v>0</v>
      </c>
      <c r="D82" s="98">
        <v>0</v>
      </c>
      <c r="E82" s="231">
        <f>E83+E84</f>
        <v>0</v>
      </c>
      <c r="F82" s="231">
        <f t="shared" ref="F82:G82" si="99">F83+F84</f>
        <v>0</v>
      </c>
      <c r="G82" s="231">
        <f t="shared" si="99"/>
        <v>0</v>
      </c>
      <c r="H82" s="232">
        <f t="shared" si="87"/>
        <v>0</v>
      </c>
      <c r="I82" s="231">
        <v>0</v>
      </c>
      <c r="J82" s="231">
        <f>J83+J84</f>
        <v>0</v>
      </c>
      <c r="K82" s="231">
        <f t="shared" ref="K82:L82" si="100">K83+K84</f>
        <v>0</v>
      </c>
      <c r="L82" s="231">
        <f t="shared" si="100"/>
        <v>0</v>
      </c>
      <c r="M82" s="232">
        <f t="shared" si="88"/>
        <v>0</v>
      </c>
      <c r="N82" s="231">
        <v>0</v>
      </c>
      <c r="O82" s="231">
        <f>O83+O84</f>
        <v>0</v>
      </c>
      <c r="P82" s="231">
        <f t="shared" ref="P82:Q82" si="101">P83+P84</f>
        <v>0</v>
      </c>
      <c r="Q82" s="231">
        <f t="shared" si="101"/>
        <v>0</v>
      </c>
      <c r="R82" s="232">
        <f t="shared" si="89"/>
        <v>0</v>
      </c>
    </row>
    <row r="83" spans="1:18" s="6" customFormat="1" ht="12" hidden="1" customHeight="1">
      <c r="A83" s="141" t="s">
        <v>52</v>
      </c>
      <c r="B83" s="179" t="s">
        <v>53</v>
      </c>
      <c r="C83" s="98"/>
      <c r="D83" s="98">
        <v>0</v>
      </c>
      <c r="E83" s="231"/>
      <c r="F83" s="231"/>
      <c r="G83" s="231"/>
      <c r="H83" s="232">
        <f t="shared" si="87"/>
        <v>0</v>
      </c>
      <c r="I83" s="231">
        <v>0</v>
      </c>
      <c r="J83" s="231"/>
      <c r="K83" s="231"/>
      <c r="L83" s="231"/>
      <c r="M83" s="232">
        <f t="shared" si="88"/>
        <v>0</v>
      </c>
      <c r="N83" s="231">
        <v>0</v>
      </c>
      <c r="O83" s="231"/>
      <c r="P83" s="231"/>
      <c r="Q83" s="231"/>
      <c r="R83" s="232">
        <f t="shared" si="89"/>
        <v>0</v>
      </c>
    </row>
    <row r="84" spans="1:18" s="6" customFormat="1" ht="12" hidden="1" customHeight="1">
      <c r="A84" s="141" t="s">
        <v>54</v>
      </c>
      <c r="B84" s="179" t="s">
        <v>55</v>
      </c>
      <c r="C84" s="98"/>
      <c r="D84" s="98">
        <v>0</v>
      </c>
      <c r="E84" s="231"/>
      <c r="F84" s="231"/>
      <c r="G84" s="231"/>
      <c r="H84" s="232">
        <f t="shared" si="87"/>
        <v>0</v>
      </c>
      <c r="I84" s="231">
        <v>0</v>
      </c>
      <c r="J84" s="231"/>
      <c r="K84" s="231"/>
      <c r="L84" s="231"/>
      <c r="M84" s="232">
        <f t="shared" si="88"/>
        <v>0</v>
      </c>
      <c r="N84" s="231">
        <v>0</v>
      </c>
      <c r="O84" s="231"/>
      <c r="P84" s="231"/>
      <c r="Q84" s="231"/>
      <c r="R84" s="232">
        <f t="shared" si="89"/>
        <v>0</v>
      </c>
    </row>
    <row r="85" spans="1:18" s="6" customFormat="1" ht="12" hidden="1" customHeight="1">
      <c r="A85" s="141" t="s">
        <v>56</v>
      </c>
      <c r="B85" s="179" t="s">
        <v>57</v>
      </c>
      <c r="C85" s="98">
        <v>0</v>
      </c>
      <c r="D85" s="98">
        <v>0</v>
      </c>
      <c r="E85" s="231">
        <f>E86+E87</f>
        <v>0</v>
      </c>
      <c r="F85" s="231">
        <f t="shared" ref="F85:G85" si="102">F86+F87</f>
        <v>0</v>
      </c>
      <c r="G85" s="231">
        <f t="shared" si="102"/>
        <v>0</v>
      </c>
      <c r="H85" s="232">
        <f t="shared" si="87"/>
        <v>0</v>
      </c>
      <c r="I85" s="231">
        <v>0</v>
      </c>
      <c r="J85" s="231">
        <f>J86+J87</f>
        <v>0</v>
      </c>
      <c r="K85" s="231">
        <f t="shared" ref="K85:L85" si="103">K86+K87</f>
        <v>0</v>
      </c>
      <c r="L85" s="231">
        <f t="shared" si="103"/>
        <v>0</v>
      </c>
      <c r="M85" s="232">
        <f t="shared" si="88"/>
        <v>0</v>
      </c>
      <c r="N85" s="231">
        <v>0</v>
      </c>
      <c r="O85" s="231">
        <f>O86+O87</f>
        <v>0</v>
      </c>
      <c r="P85" s="231">
        <f t="shared" ref="P85:Q85" si="104">P86+P87</f>
        <v>0</v>
      </c>
      <c r="Q85" s="231">
        <f t="shared" si="104"/>
        <v>0</v>
      </c>
      <c r="R85" s="232">
        <f t="shared" si="89"/>
        <v>0</v>
      </c>
    </row>
    <row r="86" spans="1:18" s="6" customFormat="1" ht="12" hidden="1" customHeight="1">
      <c r="A86" s="141" t="s">
        <v>58</v>
      </c>
      <c r="B86" s="179" t="s">
        <v>59</v>
      </c>
      <c r="C86" s="98"/>
      <c r="D86" s="98">
        <v>0</v>
      </c>
      <c r="E86" s="231"/>
      <c r="F86" s="231"/>
      <c r="G86" s="231"/>
      <c r="H86" s="232">
        <f t="shared" si="87"/>
        <v>0</v>
      </c>
      <c r="I86" s="231">
        <v>0</v>
      </c>
      <c r="J86" s="231"/>
      <c r="K86" s="231"/>
      <c r="L86" s="231"/>
      <c r="M86" s="232">
        <f t="shared" si="88"/>
        <v>0</v>
      </c>
      <c r="N86" s="231">
        <v>0</v>
      </c>
      <c r="O86" s="231"/>
      <c r="P86" s="231"/>
      <c r="Q86" s="231"/>
      <c r="R86" s="232">
        <f t="shared" si="89"/>
        <v>0</v>
      </c>
    </row>
    <row r="87" spans="1:18" s="6" customFormat="1" ht="12" hidden="1" customHeight="1">
      <c r="A87" s="141" t="s">
        <v>60</v>
      </c>
      <c r="B87" s="179" t="s">
        <v>61</v>
      </c>
      <c r="C87" s="98"/>
      <c r="D87" s="98">
        <v>0</v>
      </c>
      <c r="E87" s="231"/>
      <c r="F87" s="231"/>
      <c r="G87" s="231"/>
      <c r="H87" s="232">
        <f t="shared" si="87"/>
        <v>0</v>
      </c>
      <c r="I87" s="231">
        <v>0</v>
      </c>
      <c r="J87" s="231"/>
      <c r="K87" s="231"/>
      <c r="L87" s="231"/>
      <c r="M87" s="232">
        <f t="shared" si="88"/>
        <v>0</v>
      </c>
      <c r="N87" s="231">
        <v>0</v>
      </c>
      <c r="O87" s="231"/>
      <c r="P87" s="231"/>
      <c r="Q87" s="231"/>
      <c r="R87" s="232">
        <f t="shared" si="89"/>
        <v>0</v>
      </c>
    </row>
    <row r="88" spans="1:18" s="6" customFormat="1" ht="12" hidden="1" customHeight="1">
      <c r="A88" s="141" t="s">
        <v>198</v>
      </c>
      <c r="B88" s="187" t="s">
        <v>168</v>
      </c>
      <c r="C88" s="98"/>
      <c r="D88" s="98">
        <v>0</v>
      </c>
      <c r="E88" s="231"/>
      <c r="F88" s="231"/>
      <c r="G88" s="231"/>
      <c r="H88" s="232">
        <f t="shared" si="87"/>
        <v>0</v>
      </c>
      <c r="I88" s="231">
        <v>0</v>
      </c>
      <c r="J88" s="231"/>
      <c r="K88" s="231"/>
      <c r="L88" s="231"/>
      <c r="M88" s="232">
        <f t="shared" si="88"/>
        <v>0</v>
      </c>
      <c r="N88" s="231">
        <v>0</v>
      </c>
      <c r="O88" s="231"/>
      <c r="P88" s="231"/>
      <c r="Q88" s="231"/>
      <c r="R88" s="232">
        <f t="shared" si="89"/>
        <v>0</v>
      </c>
    </row>
    <row r="89" spans="1:18" s="6" customFormat="1" ht="12" hidden="1" customHeight="1">
      <c r="A89" s="144" t="s">
        <v>62</v>
      </c>
      <c r="B89" s="125" t="s">
        <v>63</v>
      </c>
      <c r="C89" s="170">
        <v>0</v>
      </c>
      <c r="D89" s="170">
        <v>0</v>
      </c>
      <c r="E89" s="233">
        <f t="shared" ref="E89:G89" si="105">E90+E91+E92</f>
        <v>0</v>
      </c>
      <c r="F89" s="233">
        <f t="shared" ref="F89" si="106">F90+F91+F92</f>
        <v>0</v>
      </c>
      <c r="G89" s="233">
        <f t="shared" si="105"/>
        <v>0</v>
      </c>
      <c r="H89" s="232">
        <f t="shared" si="87"/>
        <v>0</v>
      </c>
      <c r="I89" s="233">
        <v>0</v>
      </c>
      <c r="J89" s="233">
        <f t="shared" ref="J89:L89" si="107">J90+J91+J92</f>
        <v>0</v>
      </c>
      <c r="K89" s="233">
        <f t="shared" ref="K89" si="108">K90+K91+K92</f>
        <v>0</v>
      </c>
      <c r="L89" s="233">
        <f t="shared" si="107"/>
        <v>0</v>
      </c>
      <c r="M89" s="232">
        <f t="shared" si="88"/>
        <v>0</v>
      </c>
      <c r="N89" s="233">
        <v>0</v>
      </c>
      <c r="O89" s="233">
        <f t="shared" ref="O89:Q89" si="109">O90+O91+O92</f>
        <v>0</v>
      </c>
      <c r="P89" s="233">
        <f t="shared" ref="P89" si="110">P90+P91+P92</f>
        <v>0</v>
      </c>
      <c r="Q89" s="233">
        <f t="shared" si="109"/>
        <v>0</v>
      </c>
      <c r="R89" s="232">
        <f t="shared" si="89"/>
        <v>0</v>
      </c>
    </row>
    <row r="90" spans="1:18" s="6" customFormat="1" ht="36" hidden="1" customHeight="1">
      <c r="A90" s="144" t="s">
        <v>64</v>
      </c>
      <c r="B90" s="179" t="s">
        <v>65</v>
      </c>
      <c r="C90" s="98"/>
      <c r="D90" s="98">
        <v>0</v>
      </c>
      <c r="E90" s="231"/>
      <c r="F90" s="231"/>
      <c r="G90" s="231"/>
      <c r="H90" s="232">
        <f t="shared" si="87"/>
        <v>0</v>
      </c>
      <c r="I90" s="231">
        <v>0</v>
      </c>
      <c r="J90" s="231"/>
      <c r="K90" s="231"/>
      <c r="L90" s="231"/>
      <c r="M90" s="232">
        <f t="shared" si="88"/>
        <v>0</v>
      </c>
      <c r="N90" s="231">
        <v>0</v>
      </c>
      <c r="O90" s="231"/>
      <c r="P90" s="231"/>
      <c r="Q90" s="231"/>
      <c r="R90" s="232">
        <f t="shared" si="89"/>
        <v>0</v>
      </c>
    </row>
    <row r="91" spans="1:18" s="6" customFormat="1" ht="24" hidden="1" customHeight="1">
      <c r="A91" s="144" t="s">
        <v>66</v>
      </c>
      <c r="B91" s="179" t="s">
        <v>67</v>
      </c>
      <c r="C91" s="98"/>
      <c r="D91" s="98">
        <v>0</v>
      </c>
      <c r="E91" s="231"/>
      <c r="F91" s="231"/>
      <c r="G91" s="231"/>
      <c r="H91" s="232">
        <f t="shared" si="87"/>
        <v>0</v>
      </c>
      <c r="I91" s="231">
        <v>0</v>
      </c>
      <c r="J91" s="231"/>
      <c r="K91" s="231"/>
      <c r="L91" s="231"/>
      <c r="M91" s="232">
        <f t="shared" si="88"/>
        <v>0</v>
      </c>
      <c r="N91" s="231">
        <v>0</v>
      </c>
      <c r="O91" s="231"/>
      <c r="P91" s="231"/>
      <c r="Q91" s="231"/>
      <c r="R91" s="232">
        <f t="shared" si="89"/>
        <v>0</v>
      </c>
    </row>
    <row r="92" spans="1:18" s="6" customFormat="1" ht="24" hidden="1" customHeight="1">
      <c r="A92" s="144" t="s">
        <v>68</v>
      </c>
      <c r="B92" s="125" t="s">
        <v>69</v>
      </c>
      <c r="C92" s="98"/>
      <c r="D92" s="98">
        <v>0</v>
      </c>
      <c r="E92" s="231"/>
      <c r="F92" s="231"/>
      <c r="G92" s="231"/>
      <c r="H92" s="232">
        <f t="shared" si="87"/>
        <v>0</v>
      </c>
      <c r="I92" s="231">
        <v>0</v>
      </c>
      <c r="J92" s="231"/>
      <c r="K92" s="231"/>
      <c r="L92" s="231"/>
      <c r="M92" s="232">
        <f t="shared" si="88"/>
        <v>0</v>
      </c>
      <c r="N92" s="231">
        <v>0</v>
      </c>
      <c r="O92" s="231"/>
      <c r="P92" s="231"/>
      <c r="Q92" s="231"/>
      <c r="R92" s="232">
        <f t="shared" si="89"/>
        <v>0</v>
      </c>
    </row>
    <row r="93" spans="1:18" s="6" customFormat="1" ht="12">
      <c r="A93" s="145"/>
      <c r="B93" s="188" t="s">
        <v>199</v>
      </c>
      <c r="C93" s="207"/>
      <c r="D93" s="190"/>
      <c r="E93" s="268"/>
      <c r="F93" s="268"/>
      <c r="G93" s="268"/>
      <c r="H93" s="269">
        <f t="shared" si="87"/>
        <v>0</v>
      </c>
      <c r="I93" s="347"/>
      <c r="J93" s="268"/>
      <c r="K93" s="268"/>
      <c r="L93" s="268"/>
      <c r="M93" s="269">
        <f t="shared" si="88"/>
        <v>0</v>
      </c>
      <c r="N93" s="347"/>
      <c r="O93" s="268"/>
      <c r="P93" s="268"/>
      <c r="Q93" s="268"/>
      <c r="R93" s="269">
        <f t="shared" si="89"/>
        <v>0</v>
      </c>
    </row>
    <row r="94" spans="1:18" s="6" customFormat="1" ht="20.399999999999999">
      <c r="A94" s="129" t="s">
        <v>201</v>
      </c>
      <c r="B94" s="123" t="s">
        <v>88</v>
      </c>
      <c r="C94" s="200">
        <v>2642381</v>
      </c>
      <c r="D94" s="200">
        <v>2642381</v>
      </c>
      <c r="E94" s="228">
        <f t="shared" ref="E94:G94" si="111">E95+E96+E98+E116</f>
        <v>0</v>
      </c>
      <c r="F94" s="228">
        <f t="shared" ref="F94" si="112">F95+F96+F98+F116</f>
        <v>0</v>
      </c>
      <c r="G94" s="228">
        <f t="shared" si="111"/>
        <v>0</v>
      </c>
      <c r="H94" s="229">
        <f t="shared" si="87"/>
        <v>2642381</v>
      </c>
      <c r="I94" s="228">
        <v>2642381</v>
      </c>
      <c r="J94" s="228">
        <f t="shared" ref="J94:L94" si="113">J95+J96+J98+J116</f>
        <v>0</v>
      </c>
      <c r="K94" s="228">
        <f t="shared" ref="K94" si="114">K95+K96+K98+K116</f>
        <v>0</v>
      </c>
      <c r="L94" s="228">
        <f t="shared" si="113"/>
        <v>0</v>
      </c>
      <c r="M94" s="229">
        <f t="shared" si="88"/>
        <v>2642381</v>
      </c>
      <c r="N94" s="228">
        <v>2642381</v>
      </c>
      <c r="O94" s="228">
        <f t="shared" ref="O94:Q94" si="115">O95+O96+O98+O116</f>
        <v>0</v>
      </c>
      <c r="P94" s="228">
        <f t="shared" ref="P94" si="116">P95+P96+P98+P116</f>
        <v>0</v>
      </c>
      <c r="Q94" s="228">
        <f t="shared" si="115"/>
        <v>0</v>
      </c>
      <c r="R94" s="229">
        <f t="shared" si="89"/>
        <v>2642381</v>
      </c>
    </row>
    <row r="95" spans="1:18" s="6" customFormat="1" ht="24" hidden="1" customHeight="1">
      <c r="A95" s="130" t="s">
        <v>177</v>
      </c>
      <c r="B95" s="124" t="s">
        <v>90</v>
      </c>
      <c r="C95" s="98"/>
      <c r="D95" s="98">
        <v>0</v>
      </c>
      <c r="E95" s="231"/>
      <c r="F95" s="231"/>
      <c r="G95" s="231"/>
      <c r="H95" s="232">
        <f t="shared" si="87"/>
        <v>0</v>
      </c>
      <c r="I95" s="231">
        <v>0</v>
      </c>
      <c r="J95" s="231"/>
      <c r="K95" s="231"/>
      <c r="L95" s="231"/>
      <c r="M95" s="232">
        <f t="shared" si="88"/>
        <v>0</v>
      </c>
      <c r="N95" s="231">
        <v>0</v>
      </c>
      <c r="O95" s="231"/>
      <c r="P95" s="231"/>
      <c r="Q95" s="231"/>
      <c r="R95" s="232">
        <f t="shared" si="89"/>
        <v>0</v>
      </c>
    </row>
    <row r="96" spans="1:18" s="6" customFormat="1" ht="12" hidden="1" customHeight="1">
      <c r="A96" s="130" t="s">
        <v>91</v>
      </c>
      <c r="B96" s="124" t="s">
        <v>92</v>
      </c>
      <c r="C96" s="98"/>
      <c r="D96" s="98">
        <v>0</v>
      </c>
      <c r="E96" s="231"/>
      <c r="F96" s="231"/>
      <c r="G96" s="231"/>
      <c r="H96" s="232">
        <f t="shared" si="87"/>
        <v>0</v>
      </c>
      <c r="I96" s="231">
        <v>0</v>
      </c>
      <c r="J96" s="231"/>
      <c r="K96" s="231"/>
      <c r="L96" s="231"/>
      <c r="M96" s="232">
        <f t="shared" si="88"/>
        <v>0</v>
      </c>
      <c r="N96" s="231">
        <v>0</v>
      </c>
      <c r="O96" s="231"/>
      <c r="P96" s="231"/>
      <c r="Q96" s="231"/>
      <c r="R96" s="232">
        <f t="shared" si="89"/>
        <v>0</v>
      </c>
    </row>
    <row r="97" spans="1:18" s="6" customFormat="1" ht="24" hidden="1" customHeight="1">
      <c r="A97" s="131">
        <v>21210</v>
      </c>
      <c r="B97" s="125" t="s">
        <v>93</v>
      </c>
      <c r="C97" s="98"/>
      <c r="D97" s="98">
        <v>0</v>
      </c>
      <c r="E97" s="231"/>
      <c r="F97" s="231"/>
      <c r="G97" s="231"/>
      <c r="H97" s="232">
        <f t="shared" si="87"/>
        <v>0</v>
      </c>
      <c r="I97" s="231">
        <v>0</v>
      </c>
      <c r="J97" s="231"/>
      <c r="K97" s="231"/>
      <c r="L97" s="231"/>
      <c r="M97" s="232">
        <f t="shared" si="88"/>
        <v>0</v>
      </c>
      <c r="N97" s="231">
        <v>0</v>
      </c>
      <c r="O97" s="231"/>
      <c r="P97" s="231"/>
      <c r="Q97" s="231"/>
      <c r="R97" s="232">
        <f t="shared" si="89"/>
        <v>0</v>
      </c>
    </row>
    <row r="98" spans="1:18" s="6" customFormat="1" ht="21" hidden="1" customHeight="1">
      <c r="A98" s="130" t="s">
        <v>178</v>
      </c>
      <c r="B98" s="124" t="s">
        <v>94</v>
      </c>
      <c r="C98" s="170">
        <v>0</v>
      </c>
      <c r="D98" s="170">
        <v>0</v>
      </c>
      <c r="E98" s="233">
        <f t="shared" ref="E98:G98" si="117">E99+E105</f>
        <v>0</v>
      </c>
      <c r="F98" s="233">
        <f t="shared" ref="F98" si="118">F99+F105</f>
        <v>0</v>
      </c>
      <c r="G98" s="233">
        <f t="shared" si="117"/>
        <v>0</v>
      </c>
      <c r="H98" s="232">
        <f t="shared" si="87"/>
        <v>0</v>
      </c>
      <c r="I98" s="233">
        <v>0</v>
      </c>
      <c r="J98" s="233">
        <f t="shared" ref="J98:L98" si="119">J99+J105</f>
        <v>0</v>
      </c>
      <c r="K98" s="233">
        <f t="shared" ref="K98" si="120">K99+K105</f>
        <v>0</v>
      </c>
      <c r="L98" s="233">
        <f t="shared" si="119"/>
        <v>0</v>
      </c>
      <c r="M98" s="232">
        <f t="shared" si="88"/>
        <v>0</v>
      </c>
      <c r="N98" s="233">
        <v>0</v>
      </c>
      <c r="O98" s="233">
        <f t="shared" ref="O98:Q98" si="121">O99+O105</f>
        <v>0</v>
      </c>
      <c r="P98" s="233">
        <f t="shared" ref="P98" si="122">P99+P105</f>
        <v>0</v>
      </c>
      <c r="Q98" s="233">
        <f t="shared" si="121"/>
        <v>0</v>
      </c>
      <c r="R98" s="232">
        <f t="shared" si="89"/>
        <v>0</v>
      </c>
    </row>
    <row r="99" spans="1:18" s="6" customFormat="1" ht="12" hidden="1" customHeight="1">
      <c r="A99" s="132">
        <v>18000</v>
      </c>
      <c r="B99" s="125" t="s">
        <v>95</v>
      </c>
      <c r="C99" s="170">
        <v>0</v>
      </c>
      <c r="D99" s="170">
        <v>0</v>
      </c>
      <c r="E99" s="233">
        <f t="shared" ref="E99:L100" si="123">E100</f>
        <v>0</v>
      </c>
      <c r="F99" s="233">
        <f t="shared" si="123"/>
        <v>0</v>
      </c>
      <c r="G99" s="233">
        <f t="shared" si="123"/>
        <v>0</v>
      </c>
      <c r="H99" s="232">
        <f t="shared" si="87"/>
        <v>0</v>
      </c>
      <c r="I99" s="233">
        <v>0</v>
      </c>
      <c r="J99" s="233">
        <f t="shared" si="123"/>
        <v>0</v>
      </c>
      <c r="K99" s="233">
        <f t="shared" si="123"/>
        <v>0</v>
      </c>
      <c r="L99" s="233">
        <f t="shared" si="123"/>
        <v>0</v>
      </c>
      <c r="M99" s="232">
        <f t="shared" si="88"/>
        <v>0</v>
      </c>
      <c r="N99" s="233">
        <v>0</v>
      </c>
      <c r="O99" s="233">
        <f t="shared" ref="O99:Q100" si="124">O100</f>
        <v>0</v>
      </c>
      <c r="P99" s="233">
        <f t="shared" si="124"/>
        <v>0</v>
      </c>
      <c r="Q99" s="233">
        <f t="shared" si="124"/>
        <v>0</v>
      </c>
      <c r="R99" s="232">
        <f t="shared" si="89"/>
        <v>0</v>
      </c>
    </row>
    <row r="100" spans="1:18" s="6" customFormat="1" ht="12" hidden="1" customHeight="1">
      <c r="A100" s="132">
        <v>18100</v>
      </c>
      <c r="B100" s="125" t="s">
        <v>96</v>
      </c>
      <c r="C100" s="170">
        <v>0</v>
      </c>
      <c r="D100" s="170">
        <v>0</v>
      </c>
      <c r="E100" s="233">
        <f t="shared" si="123"/>
        <v>0</v>
      </c>
      <c r="F100" s="233">
        <f t="shared" si="123"/>
        <v>0</v>
      </c>
      <c r="G100" s="233">
        <f t="shared" si="123"/>
        <v>0</v>
      </c>
      <c r="H100" s="232">
        <f t="shared" si="87"/>
        <v>0</v>
      </c>
      <c r="I100" s="233">
        <v>0</v>
      </c>
      <c r="J100" s="233">
        <f t="shared" si="123"/>
        <v>0</v>
      </c>
      <c r="K100" s="233">
        <f t="shared" si="123"/>
        <v>0</v>
      </c>
      <c r="L100" s="233">
        <f t="shared" si="123"/>
        <v>0</v>
      </c>
      <c r="M100" s="232">
        <f t="shared" si="88"/>
        <v>0</v>
      </c>
      <c r="N100" s="233">
        <v>0</v>
      </c>
      <c r="O100" s="233">
        <f t="shared" si="124"/>
        <v>0</v>
      </c>
      <c r="P100" s="233">
        <f t="shared" si="124"/>
        <v>0</v>
      </c>
      <c r="Q100" s="233">
        <f t="shared" si="124"/>
        <v>0</v>
      </c>
      <c r="R100" s="232">
        <f t="shared" si="89"/>
        <v>0</v>
      </c>
    </row>
    <row r="101" spans="1:18" s="6" customFormat="1" ht="24" hidden="1" customHeight="1">
      <c r="A101" s="133">
        <v>18130</v>
      </c>
      <c r="B101" s="172" t="s">
        <v>159</v>
      </c>
      <c r="C101" s="170">
        <v>0</v>
      </c>
      <c r="D101" s="170">
        <v>0</v>
      </c>
      <c r="E101" s="233">
        <f t="shared" ref="E101:G101" si="125">SUM(E102:E104)</f>
        <v>0</v>
      </c>
      <c r="F101" s="233">
        <f t="shared" ref="F101" si="126">SUM(F102:F104)</f>
        <v>0</v>
      </c>
      <c r="G101" s="233">
        <f t="shared" si="125"/>
        <v>0</v>
      </c>
      <c r="H101" s="232">
        <f t="shared" si="87"/>
        <v>0</v>
      </c>
      <c r="I101" s="233">
        <v>0</v>
      </c>
      <c r="J101" s="233">
        <f t="shared" ref="J101:L101" si="127">SUM(J102:J104)</f>
        <v>0</v>
      </c>
      <c r="K101" s="233">
        <f t="shared" ref="K101" si="128">SUM(K102:K104)</f>
        <v>0</v>
      </c>
      <c r="L101" s="233">
        <f t="shared" si="127"/>
        <v>0</v>
      </c>
      <c r="M101" s="232">
        <f t="shared" si="88"/>
        <v>0</v>
      </c>
      <c r="N101" s="233">
        <v>0</v>
      </c>
      <c r="O101" s="233">
        <f t="shared" ref="O101:Q101" si="129">SUM(O102:O104)</f>
        <v>0</v>
      </c>
      <c r="P101" s="233">
        <f t="shared" ref="P101" si="130">SUM(P102:P104)</f>
        <v>0</v>
      </c>
      <c r="Q101" s="233">
        <f t="shared" si="129"/>
        <v>0</v>
      </c>
      <c r="R101" s="232">
        <f t="shared" si="89"/>
        <v>0</v>
      </c>
    </row>
    <row r="102" spans="1:18" s="6" customFormat="1" ht="36" hidden="1" customHeight="1">
      <c r="A102" s="134">
        <v>18131</v>
      </c>
      <c r="B102" s="172" t="s">
        <v>160</v>
      </c>
      <c r="C102" s="170"/>
      <c r="D102" s="170">
        <v>0</v>
      </c>
      <c r="E102" s="233"/>
      <c r="F102" s="233"/>
      <c r="G102" s="233"/>
      <c r="H102" s="232">
        <f t="shared" si="87"/>
        <v>0</v>
      </c>
      <c r="I102" s="233">
        <v>0</v>
      </c>
      <c r="J102" s="233"/>
      <c r="K102" s="233"/>
      <c r="L102" s="233"/>
      <c r="M102" s="232">
        <f t="shared" si="88"/>
        <v>0</v>
      </c>
      <c r="N102" s="233">
        <v>0</v>
      </c>
      <c r="O102" s="233"/>
      <c r="P102" s="233"/>
      <c r="Q102" s="233"/>
      <c r="R102" s="232">
        <f t="shared" si="89"/>
        <v>0</v>
      </c>
    </row>
    <row r="103" spans="1:18" s="6" customFormat="1" ht="24" hidden="1" customHeight="1">
      <c r="A103" s="134">
        <v>18132</v>
      </c>
      <c r="B103" s="172" t="s">
        <v>169</v>
      </c>
      <c r="C103" s="170"/>
      <c r="D103" s="170">
        <v>0</v>
      </c>
      <c r="E103" s="233"/>
      <c r="F103" s="233"/>
      <c r="G103" s="233"/>
      <c r="H103" s="232">
        <f t="shared" si="87"/>
        <v>0</v>
      </c>
      <c r="I103" s="233">
        <v>0</v>
      </c>
      <c r="J103" s="233"/>
      <c r="K103" s="233"/>
      <c r="L103" s="233"/>
      <c r="M103" s="232">
        <f t="shared" si="88"/>
        <v>0</v>
      </c>
      <c r="N103" s="233">
        <v>0</v>
      </c>
      <c r="O103" s="233"/>
      <c r="P103" s="233"/>
      <c r="Q103" s="233"/>
      <c r="R103" s="232">
        <f t="shared" si="89"/>
        <v>0</v>
      </c>
    </row>
    <row r="104" spans="1:18" s="6" customFormat="1" ht="24" hidden="1" customHeight="1">
      <c r="A104" s="134">
        <v>18139</v>
      </c>
      <c r="B104" s="172" t="s">
        <v>179</v>
      </c>
      <c r="C104" s="170"/>
      <c r="D104" s="170">
        <v>0</v>
      </c>
      <c r="E104" s="233"/>
      <c r="F104" s="233"/>
      <c r="G104" s="233"/>
      <c r="H104" s="232">
        <f t="shared" si="87"/>
        <v>0</v>
      </c>
      <c r="I104" s="233">
        <v>0</v>
      </c>
      <c r="J104" s="233"/>
      <c r="K104" s="233"/>
      <c r="L104" s="233"/>
      <c r="M104" s="232">
        <f t="shared" si="88"/>
        <v>0</v>
      </c>
      <c r="N104" s="233">
        <v>0</v>
      </c>
      <c r="O104" s="233"/>
      <c r="P104" s="233"/>
      <c r="Q104" s="233"/>
      <c r="R104" s="232">
        <f t="shared" si="89"/>
        <v>0</v>
      </c>
    </row>
    <row r="105" spans="1:18" s="6" customFormat="1" ht="12" hidden="1" customHeight="1">
      <c r="A105" s="135" t="s">
        <v>180</v>
      </c>
      <c r="B105" s="173" t="s">
        <v>173</v>
      </c>
      <c r="C105" s="201">
        <v>0</v>
      </c>
      <c r="D105" s="201">
        <v>0</v>
      </c>
      <c r="E105" s="238">
        <f t="shared" ref="E105:L105" si="131">E106</f>
        <v>0</v>
      </c>
      <c r="F105" s="238">
        <f t="shared" si="131"/>
        <v>0</v>
      </c>
      <c r="G105" s="238">
        <f t="shared" si="131"/>
        <v>0</v>
      </c>
      <c r="H105" s="232">
        <f t="shared" si="87"/>
        <v>0</v>
      </c>
      <c r="I105" s="238">
        <v>0</v>
      </c>
      <c r="J105" s="238">
        <f t="shared" si="131"/>
        <v>0</v>
      </c>
      <c r="K105" s="238">
        <f t="shared" si="131"/>
        <v>0</v>
      </c>
      <c r="L105" s="238">
        <f t="shared" si="131"/>
        <v>0</v>
      </c>
      <c r="M105" s="232">
        <f t="shared" si="88"/>
        <v>0</v>
      </c>
      <c r="N105" s="238">
        <v>0</v>
      </c>
      <c r="O105" s="238">
        <f t="shared" ref="O105:Q105" si="132">O106</f>
        <v>0</v>
      </c>
      <c r="P105" s="238">
        <f t="shared" si="132"/>
        <v>0</v>
      </c>
      <c r="Q105" s="238">
        <f t="shared" si="132"/>
        <v>0</v>
      </c>
      <c r="R105" s="232">
        <f t="shared" si="89"/>
        <v>0</v>
      </c>
    </row>
    <row r="106" spans="1:18" s="6" customFormat="1" ht="24" hidden="1" customHeight="1">
      <c r="A106" s="135">
        <v>19500</v>
      </c>
      <c r="B106" s="172" t="s">
        <v>174</v>
      </c>
      <c r="C106" s="170">
        <v>0</v>
      </c>
      <c r="D106" s="170">
        <v>0</v>
      </c>
      <c r="E106" s="233">
        <f t="shared" ref="E106:G106" si="133">SUM(E107:E109)</f>
        <v>0</v>
      </c>
      <c r="F106" s="233">
        <f t="shared" ref="F106" si="134">SUM(F107:F109)</f>
        <v>0</v>
      </c>
      <c r="G106" s="233">
        <f t="shared" si="133"/>
        <v>0</v>
      </c>
      <c r="H106" s="232">
        <f t="shared" si="87"/>
        <v>0</v>
      </c>
      <c r="I106" s="233">
        <v>0</v>
      </c>
      <c r="J106" s="233">
        <f t="shared" ref="J106:L106" si="135">SUM(J107:J109)</f>
        <v>0</v>
      </c>
      <c r="K106" s="233">
        <f t="shared" ref="K106" si="136">SUM(K107:K109)</f>
        <v>0</v>
      </c>
      <c r="L106" s="233">
        <f t="shared" si="135"/>
        <v>0</v>
      </c>
      <c r="M106" s="232">
        <f t="shared" si="88"/>
        <v>0</v>
      </c>
      <c r="N106" s="233">
        <v>0</v>
      </c>
      <c r="O106" s="233">
        <f t="shared" ref="O106:Q106" si="137">SUM(O107:O109)</f>
        <v>0</v>
      </c>
      <c r="P106" s="233">
        <f t="shared" ref="P106" si="138">SUM(P107:P109)</f>
        <v>0</v>
      </c>
      <c r="Q106" s="233">
        <f t="shared" si="137"/>
        <v>0</v>
      </c>
      <c r="R106" s="232">
        <f t="shared" si="89"/>
        <v>0</v>
      </c>
    </row>
    <row r="107" spans="1:18" s="6" customFormat="1" ht="24" hidden="1" customHeight="1">
      <c r="A107" s="136">
        <v>19550</v>
      </c>
      <c r="B107" s="172" t="s">
        <v>175</v>
      </c>
      <c r="C107" s="170"/>
      <c r="D107" s="170">
        <v>0</v>
      </c>
      <c r="E107" s="233"/>
      <c r="F107" s="233"/>
      <c r="G107" s="233"/>
      <c r="H107" s="232">
        <f t="shared" si="87"/>
        <v>0</v>
      </c>
      <c r="I107" s="233">
        <v>0</v>
      </c>
      <c r="J107" s="233"/>
      <c r="K107" s="233"/>
      <c r="L107" s="233"/>
      <c r="M107" s="232">
        <f t="shared" si="88"/>
        <v>0</v>
      </c>
      <c r="N107" s="233">
        <v>0</v>
      </c>
      <c r="O107" s="233"/>
      <c r="P107" s="233"/>
      <c r="Q107" s="233"/>
      <c r="R107" s="232">
        <f t="shared" si="89"/>
        <v>0</v>
      </c>
    </row>
    <row r="108" spans="1:18" s="6" customFormat="1" ht="36" hidden="1" customHeight="1">
      <c r="A108" s="136">
        <v>19560</v>
      </c>
      <c r="B108" s="172" t="s">
        <v>181</v>
      </c>
      <c r="C108" s="170"/>
      <c r="D108" s="170">
        <v>0</v>
      </c>
      <c r="E108" s="233"/>
      <c r="F108" s="233"/>
      <c r="G108" s="233"/>
      <c r="H108" s="232">
        <f t="shared" si="87"/>
        <v>0</v>
      </c>
      <c r="I108" s="233">
        <v>0</v>
      </c>
      <c r="J108" s="233"/>
      <c r="K108" s="233"/>
      <c r="L108" s="233"/>
      <c r="M108" s="232">
        <f t="shared" si="88"/>
        <v>0</v>
      </c>
      <c r="N108" s="233">
        <v>0</v>
      </c>
      <c r="O108" s="233"/>
      <c r="P108" s="233"/>
      <c r="Q108" s="233"/>
      <c r="R108" s="232">
        <f t="shared" si="89"/>
        <v>0</v>
      </c>
    </row>
    <row r="109" spans="1:18" s="6" customFormat="1" ht="72" hidden="1" customHeight="1">
      <c r="A109" s="136">
        <v>19570</v>
      </c>
      <c r="B109" s="172" t="s">
        <v>182</v>
      </c>
      <c r="C109" s="170"/>
      <c r="D109" s="170">
        <v>0</v>
      </c>
      <c r="E109" s="233"/>
      <c r="F109" s="233"/>
      <c r="G109" s="233"/>
      <c r="H109" s="232">
        <f t="shared" si="87"/>
        <v>0</v>
      </c>
      <c r="I109" s="233">
        <v>0</v>
      </c>
      <c r="J109" s="233"/>
      <c r="K109" s="233"/>
      <c r="L109" s="233"/>
      <c r="M109" s="232">
        <f t="shared" si="88"/>
        <v>0</v>
      </c>
      <c r="N109" s="233">
        <v>0</v>
      </c>
      <c r="O109" s="233"/>
      <c r="P109" s="233"/>
      <c r="Q109" s="233"/>
      <c r="R109" s="232">
        <f t="shared" si="89"/>
        <v>0</v>
      </c>
    </row>
    <row r="110" spans="1:18" s="6" customFormat="1" ht="24" hidden="1" customHeight="1">
      <c r="A110" s="209" t="s">
        <v>222</v>
      </c>
      <c r="B110" s="208" t="s">
        <v>216</v>
      </c>
      <c r="C110" s="106">
        <f>C111</f>
        <v>0</v>
      </c>
      <c r="D110" s="106">
        <v>0</v>
      </c>
      <c r="E110" s="232">
        <f t="shared" ref="E110:L110" si="139">E111</f>
        <v>0</v>
      </c>
      <c r="F110" s="232">
        <f t="shared" si="139"/>
        <v>0</v>
      </c>
      <c r="G110" s="232">
        <f t="shared" si="139"/>
        <v>0</v>
      </c>
      <c r="H110" s="232">
        <f t="shared" si="87"/>
        <v>0</v>
      </c>
      <c r="I110" s="233">
        <v>0</v>
      </c>
      <c r="J110" s="232">
        <f t="shared" si="139"/>
        <v>0</v>
      </c>
      <c r="K110" s="232">
        <f t="shared" si="139"/>
        <v>0</v>
      </c>
      <c r="L110" s="232">
        <f t="shared" si="139"/>
        <v>0</v>
      </c>
      <c r="M110" s="232">
        <f t="shared" si="88"/>
        <v>0</v>
      </c>
      <c r="N110" s="233">
        <v>0</v>
      </c>
      <c r="O110" s="232">
        <f t="shared" ref="O110:Q110" si="140">O111</f>
        <v>0</v>
      </c>
      <c r="P110" s="232">
        <f t="shared" si="140"/>
        <v>0</v>
      </c>
      <c r="Q110" s="232">
        <f t="shared" si="140"/>
        <v>0</v>
      </c>
      <c r="R110" s="232">
        <f t="shared" si="89"/>
        <v>0</v>
      </c>
    </row>
    <row r="111" spans="1:18" s="6" customFormat="1" ht="36" hidden="1" customHeight="1">
      <c r="A111" s="209">
        <v>17100</v>
      </c>
      <c r="B111" s="208" t="s">
        <v>217</v>
      </c>
      <c r="C111" s="106">
        <f>SUM(C112:C115)</f>
        <v>0</v>
      </c>
      <c r="D111" s="106">
        <v>0</v>
      </c>
      <c r="E111" s="232">
        <f t="shared" ref="E111:G111" si="141">SUM(E112:E115)</f>
        <v>0</v>
      </c>
      <c r="F111" s="232">
        <f t="shared" ref="F111" si="142">SUM(F112:F115)</f>
        <v>0</v>
      </c>
      <c r="G111" s="232">
        <f t="shared" si="141"/>
        <v>0</v>
      </c>
      <c r="H111" s="232">
        <f t="shared" si="87"/>
        <v>0</v>
      </c>
      <c r="I111" s="233">
        <v>0</v>
      </c>
      <c r="J111" s="232">
        <f t="shared" ref="J111:L111" si="143">SUM(J112:J115)</f>
        <v>0</v>
      </c>
      <c r="K111" s="232">
        <f t="shared" ref="K111" si="144">SUM(K112:K115)</f>
        <v>0</v>
      </c>
      <c r="L111" s="232">
        <f t="shared" si="143"/>
        <v>0</v>
      </c>
      <c r="M111" s="232">
        <f t="shared" si="88"/>
        <v>0</v>
      </c>
      <c r="N111" s="233">
        <v>0</v>
      </c>
      <c r="O111" s="232">
        <f t="shared" ref="O111:Q111" si="145">SUM(O112:O115)</f>
        <v>0</v>
      </c>
      <c r="P111" s="232">
        <f t="shared" ref="P111" si="146">SUM(P112:P115)</f>
        <v>0</v>
      </c>
      <c r="Q111" s="232">
        <f t="shared" si="145"/>
        <v>0</v>
      </c>
      <c r="R111" s="232">
        <f t="shared" si="89"/>
        <v>0</v>
      </c>
    </row>
    <row r="112" spans="1:18" s="6" customFormat="1" ht="60" hidden="1" customHeight="1">
      <c r="A112" s="149">
        <v>17110</v>
      </c>
      <c r="B112" s="208" t="s">
        <v>218</v>
      </c>
      <c r="C112" s="106"/>
      <c r="D112" s="106">
        <v>0</v>
      </c>
      <c r="E112" s="233"/>
      <c r="F112" s="233"/>
      <c r="G112" s="233"/>
      <c r="H112" s="232">
        <f t="shared" si="87"/>
        <v>0</v>
      </c>
      <c r="I112" s="233">
        <v>0</v>
      </c>
      <c r="J112" s="233"/>
      <c r="K112" s="233"/>
      <c r="L112" s="233"/>
      <c r="M112" s="232">
        <f t="shared" si="88"/>
        <v>0</v>
      </c>
      <c r="N112" s="233">
        <v>0</v>
      </c>
      <c r="O112" s="233"/>
      <c r="P112" s="233"/>
      <c r="Q112" s="233"/>
      <c r="R112" s="232">
        <f t="shared" si="89"/>
        <v>0</v>
      </c>
    </row>
    <row r="113" spans="1:18" s="6" customFormat="1" ht="60" hidden="1" customHeight="1">
      <c r="A113" s="149">
        <v>17120</v>
      </c>
      <c r="B113" s="208" t="s">
        <v>219</v>
      </c>
      <c r="C113" s="106"/>
      <c r="D113" s="106">
        <v>0</v>
      </c>
      <c r="E113" s="233"/>
      <c r="F113" s="233"/>
      <c r="G113" s="233"/>
      <c r="H113" s="232">
        <f t="shared" si="87"/>
        <v>0</v>
      </c>
      <c r="I113" s="233">
        <v>0</v>
      </c>
      <c r="J113" s="233"/>
      <c r="K113" s="233"/>
      <c r="L113" s="233"/>
      <c r="M113" s="232">
        <f t="shared" si="88"/>
        <v>0</v>
      </c>
      <c r="N113" s="233">
        <v>0</v>
      </c>
      <c r="O113" s="233"/>
      <c r="P113" s="233"/>
      <c r="Q113" s="233"/>
      <c r="R113" s="232">
        <f t="shared" si="89"/>
        <v>0</v>
      </c>
    </row>
    <row r="114" spans="1:18" s="6" customFormat="1" ht="108" hidden="1" customHeight="1">
      <c r="A114" s="149">
        <v>17130</v>
      </c>
      <c r="B114" s="208" t="s">
        <v>220</v>
      </c>
      <c r="C114" s="106"/>
      <c r="D114" s="106">
        <v>0</v>
      </c>
      <c r="E114" s="233"/>
      <c r="F114" s="233"/>
      <c r="G114" s="233"/>
      <c r="H114" s="232">
        <f t="shared" si="87"/>
        <v>0</v>
      </c>
      <c r="I114" s="233">
        <v>0</v>
      </c>
      <c r="J114" s="233"/>
      <c r="K114" s="233"/>
      <c r="L114" s="233"/>
      <c r="M114" s="232">
        <f t="shared" si="88"/>
        <v>0</v>
      </c>
      <c r="N114" s="233">
        <v>0</v>
      </c>
      <c r="O114" s="233"/>
      <c r="P114" s="233"/>
      <c r="Q114" s="233"/>
      <c r="R114" s="232">
        <f t="shared" si="89"/>
        <v>0</v>
      </c>
    </row>
    <row r="115" spans="1:18" s="6" customFormat="1" ht="96" hidden="1" customHeight="1">
      <c r="A115" s="149">
        <v>17140</v>
      </c>
      <c r="B115" s="208" t="s">
        <v>221</v>
      </c>
      <c r="C115" s="106"/>
      <c r="D115" s="106">
        <v>0</v>
      </c>
      <c r="E115" s="233"/>
      <c r="F115" s="233"/>
      <c r="G115" s="233"/>
      <c r="H115" s="232">
        <f t="shared" si="87"/>
        <v>0</v>
      </c>
      <c r="I115" s="233">
        <v>0</v>
      </c>
      <c r="J115" s="233"/>
      <c r="K115" s="233"/>
      <c r="L115" s="233"/>
      <c r="M115" s="232">
        <f t="shared" si="88"/>
        <v>0</v>
      </c>
      <c r="N115" s="233">
        <v>0</v>
      </c>
      <c r="O115" s="233"/>
      <c r="P115" s="233"/>
      <c r="Q115" s="233"/>
      <c r="R115" s="232">
        <f t="shared" si="89"/>
        <v>0</v>
      </c>
    </row>
    <row r="116" spans="1:18" s="6" customFormat="1" ht="12">
      <c r="A116" s="137">
        <v>21700</v>
      </c>
      <c r="B116" s="124" t="s">
        <v>97</v>
      </c>
      <c r="C116" s="170">
        <v>2642381</v>
      </c>
      <c r="D116" s="170">
        <v>2642381</v>
      </c>
      <c r="E116" s="233">
        <f t="shared" ref="E116:G116" si="147">E117+E118</f>
        <v>0</v>
      </c>
      <c r="F116" s="233">
        <f t="shared" ref="F116" si="148">F117+F118</f>
        <v>0</v>
      </c>
      <c r="G116" s="233">
        <f t="shared" si="147"/>
        <v>0</v>
      </c>
      <c r="H116" s="232">
        <f t="shared" si="87"/>
        <v>2642381</v>
      </c>
      <c r="I116" s="233">
        <v>2642381</v>
      </c>
      <c r="J116" s="233">
        <f t="shared" ref="J116:L116" si="149">J117+J118</f>
        <v>0</v>
      </c>
      <c r="K116" s="233">
        <f t="shared" ref="K116" si="150">K117+K118</f>
        <v>0</v>
      </c>
      <c r="L116" s="233">
        <f t="shared" si="149"/>
        <v>0</v>
      </c>
      <c r="M116" s="232">
        <f t="shared" si="88"/>
        <v>2642381</v>
      </c>
      <c r="N116" s="233">
        <v>2642381</v>
      </c>
      <c r="O116" s="233">
        <f t="shared" ref="O116:Q116" si="151">O117+O118</f>
        <v>0</v>
      </c>
      <c r="P116" s="233">
        <f t="shared" ref="P116" si="152">P117+P118</f>
        <v>0</v>
      </c>
      <c r="Q116" s="233">
        <f t="shared" si="151"/>
        <v>0</v>
      </c>
      <c r="R116" s="232">
        <f t="shared" si="89"/>
        <v>2642381</v>
      </c>
    </row>
    <row r="117" spans="1:18" s="6" customFormat="1" ht="24">
      <c r="A117" s="138">
        <v>21710</v>
      </c>
      <c r="B117" s="125" t="s">
        <v>98</v>
      </c>
      <c r="C117" s="170">
        <v>2642381</v>
      </c>
      <c r="D117" s="170">
        <v>2642381</v>
      </c>
      <c r="E117" s="233"/>
      <c r="F117" s="233"/>
      <c r="G117" s="233"/>
      <c r="H117" s="232">
        <f t="shared" si="87"/>
        <v>2642381</v>
      </c>
      <c r="I117" s="233">
        <v>2642381</v>
      </c>
      <c r="J117" s="233"/>
      <c r="K117" s="233"/>
      <c r="L117" s="233"/>
      <c r="M117" s="232">
        <f t="shared" si="88"/>
        <v>2642381</v>
      </c>
      <c r="N117" s="233">
        <v>2642381</v>
      </c>
      <c r="O117" s="233"/>
      <c r="P117" s="233"/>
      <c r="Q117" s="233"/>
      <c r="R117" s="232">
        <f t="shared" si="89"/>
        <v>2642381</v>
      </c>
    </row>
    <row r="118" spans="1:18" s="6" customFormat="1" ht="24" hidden="1" customHeight="1">
      <c r="A118" s="138">
        <v>21720</v>
      </c>
      <c r="B118" s="125" t="s">
        <v>99</v>
      </c>
      <c r="C118" s="170"/>
      <c r="D118" s="170">
        <v>0</v>
      </c>
      <c r="E118" s="233"/>
      <c r="F118" s="233"/>
      <c r="G118" s="233"/>
      <c r="H118" s="232">
        <f t="shared" si="87"/>
        <v>0</v>
      </c>
      <c r="I118" s="233">
        <v>0</v>
      </c>
      <c r="J118" s="233"/>
      <c r="K118" s="233"/>
      <c r="L118" s="233"/>
      <c r="M118" s="232">
        <f t="shared" si="88"/>
        <v>0</v>
      </c>
      <c r="N118" s="233">
        <v>0</v>
      </c>
      <c r="O118" s="233"/>
      <c r="P118" s="233"/>
      <c r="Q118" s="233"/>
      <c r="R118" s="232">
        <f t="shared" si="89"/>
        <v>0</v>
      </c>
    </row>
    <row r="119" spans="1:18" s="6" customFormat="1" ht="11.4">
      <c r="A119" s="129" t="s">
        <v>100</v>
      </c>
      <c r="B119" s="123" t="s">
        <v>101</v>
      </c>
      <c r="C119" s="168">
        <v>2642381</v>
      </c>
      <c r="D119" s="168">
        <v>2642381</v>
      </c>
      <c r="E119" s="243">
        <f t="shared" ref="E119:G119" si="153">E120+E147</f>
        <v>0</v>
      </c>
      <c r="F119" s="243">
        <f t="shared" ref="F119" si="154">F120+F147</f>
        <v>0</v>
      </c>
      <c r="G119" s="243">
        <f t="shared" si="153"/>
        <v>0</v>
      </c>
      <c r="H119" s="229">
        <f t="shared" si="87"/>
        <v>2642381</v>
      </c>
      <c r="I119" s="243">
        <v>2642381</v>
      </c>
      <c r="J119" s="243">
        <f t="shared" ref="J119:L119" si="155">J120+J147</f>
        <v>0</v>
      </c>
      <c r="K119" s="243">
        <f t="shared" ref="K119" si="156">K120+K147</f>
        <v>0</v>
      </c>
      <c r="L119" s="243">
        <f t="shared" si="155"/>
        <v>0</v>
      </c>
      <c r="M119" s="229">
        <f t="shared" si="88"/>
        <v>2642381</v>
      </c>
      <c r="N119" s="243">
        <v>2642381</v>
      </c>
      <c r="O119" s="243">
        <f t="shared" ref="O119:Q119" si="157">O120+O147</f>
        <v>0</v>
      </c>
      <c r="P119" s="243">
        <f t="shared" ref="P119" si="158">P120+P147</f>
        <v>0</v>
      </c>
      <c r="Q119" s="243">
        <f t="shared" si="157"/>
        <v>0</v>
      </c>
      <c r="R119" s="229">
        <f t="shared" si="89"/>
        <v>2642381</v>
      </c>
    </row>
    <row r="120" spans="1:18" s="6" customFormat="1" ht="20.399999999999999">
      <c r="A120" s="130" t="s">
        <v>102</v>
      </c>
      <c r="B120" s="124" t="s">
        <v>103</v>
      </c>
      <c r="C120" s="106">
        <v>2624381</v>
      </c>
      <c r="D120" s="106">
        <v>2627381</v>
      </c>
      <c r="E120" s="233">
        <f t="shared" ref="E120:G120" si="159">E121+E125+E126+E129+E132</f>
        <v>0</v>
      </c>
      <c r="F120" s="233">
        <f t="shared" ref="F120" si="160">F121+F125+F126+F129+F132</f>
        <v>0</v>
      </c>
      <c r="G120" s="233">
        <f t="shared" si="159"/>
        <v>0</v>
      </c>
      <c r="H120" s="232">
        <f t="shared" si="87"/>
        <v>2627381</v>
      </c>
      <c r="I120" s="233">
        <v>2627381</v>
      </c>
      <c r="J120" s="233">
        <f t="shared" ref="J120:L120" si="161">J121+J125+J126+J129+J132</f>
        <v>0</v>
      </c>
      <c r="K120" s="233">
        <f t="shared" ref="K120" si="162">K121+K125+K126+K129+K132</f>
        <v>0</v>
      </c>
      <c r="L120" s="233">
        <f t="shared" si="161"/>
        <v>0</v>
      </c>
      <c r="M120" s="232">
        <f t="shared" si="88"/>
        <v>2627381</v>
      </c>
      <c r="N120" s="233">
        <v>2627381</v>
      </c>
      <c r="O120" s="233">
        <f t="shared" ref="O120:Q120" si="163">O121+O125+O126+O129+O132</f>
        <v>0</v>
      </c>
      <c r="P120" s="233">
        <f t="shared" ref="P120" si="164">P121+P125+P126+P129+P132</f>
        <v>0</v>
      </c>
      <c r="Q120" s="233">
        <f t="shared" si="163"/>
        <v>0</v>
      </c>
      <c r="R120" s="232">
        <f t="shared" si="89"/>
        <v>2627381</v>
      </c>
    </row>
    <row r="121" spans="1:18" s="6" customFormat="1" ht="12">
      <c r="A121" s="130" t="s">
        <v>104</v>
      </c>
      <c r="B121" s="124" t="s">
        <v>105</v>
      </c>
      <c r="C121" s="106">
        <v>2623181</v>
      </c>
      <c r="D121" s="106">
        <v>2626181</v>
      </c>
      <c r="E121" s="233">
        <f t="shared" ref="E121:G121" si="165">E122+E124</f>
        <v>0</v>
      </c>
      <c r="F121" s="233">
        <f t="shared" ref="F121" si="166">F122+F124</f>
        <v>0</v>
      </c>
      <c r="G121" s="233">
        <f t="shared" si="165"/>
        <v>0</v>
      </c>
      <c r="H121" s="232">
        <f t="shared" si="87"/>
        <v>2626181</v>
      </c>
      <c r="I121" s="233">
        <v>2626181</v>
      </c>
      <c r="J121" s="233">
        <f t="shared" ref="J121:L121" si="167">J122+J124</f>
        <v>0</v>
      </c>
      <c r="K121" s="233">
        <f t="shared" ref="K121" si="168">K122+K124</f>
        <v>0</v>
      </c>
      <c r="L121" s="233">
        <f t="shared" si="167"/>
        <v>0</v>
      </c>
      <c r="M121" s="232">
        <f t="shared" si="88"/>
        <v>2626181</v>
      </c>
      <c r="N121" s="233">
        <v>2626181</v>
      </c>
      <c r="O121" s="233">
        <f t="shared" ref="O121:Q121" si="169">O122+O124</f>
        <v>0</v>
      </c>
      <c r="P121" s="233">
        <f t="shared" ref="P121" si="170">P122+P124</f>
        <v>0</v>
      </c>
      <c r="Q121" s="233">
        <f t="shared" si="169"/>
        <v>0</v>
      </c>
      <c r="R121" s="232">
        <f t="shared" si="89"/>
        <v>2626181</v>
      </c>
    </row>
    <row r="122" spans="1:18" s="29" customFormat="1" ht="12">
      <c r="A122" s="132">
        <v>1000</v>
      </c>
      <c r="B122" s="125" t="s">
        <v>106</v>
      </c>
      <c r="C122" s="106">
        <v>1993135</v>
      </c>
      <c r="D122" s="106">
        <v>1993135</v>
      </c>
      <c r="E122" s="244"/>
      <c r="F122" s="244"/>
      <c r="G122" s="244"/>
      <c r="H122" s="232">
        <f t="shared" si="87"/>
        <v>1993135</v>
      </c>
      <c r="I122" s="233">
        <v>1993135</v>
      </c>
      <c r="J122" s="244"/>
      <c r="K122" s="244"/>
      <c r="L122" s="244"/>
      <c r="M122" s="232">
        <f t="shared" si="88"/>
        <v>1993135</v>
      </c>
      <c r="N122" s="233">
        <v>1993135</v>
      </c>
      <c r="O122" s="244"/>
      <c r="P122" s="244"/>
      <c r="Q122" s="244"/>
      <c r="R122" s="232">
        <f t="shared" si="89"/>
        <v>1993135</v>
      </c>
    </row>
    <row r="123" spans="1:18" s="89" customFormat="1" ht="12">
      <c r="A123" s="139">
        <v>1100</v>
      </c>
      <c r="B123" s="125" t="s">
        <v>107</v>
      </c>
      <c r="C123" s="106">
        <v>1553186</v>
      </c>
      <c r="D123" s="106">
        <v>1553186</v>
      </c>
      <c r="E123" s="244"/>
      <c r="F123" s="244"/>
      <c r="G123" s="244"/>
      <c r="H123" s="232">
        <f t="shared" si="87"/>
        <v>1553186</v>
      </c>
      <c r="I123" s="233">
        <v>1553186</v>
      </c>
      <c r="J123" s="244"/>
      <c r="K123" s="244"/>
      <c r="L123" s="244"/>
      <c r="M123" s="232">
        <f t="shared" si="88"/>
        <v>1553186</v>
      </c>
      <c r="N123" s="233">
        <v>1553186</v>
      </c>
      <c r="O123" s="244"/>
      <c r="P123" s="244"/>
      <c r="Q123" s="244"/>
      <c r="R123" s="232">
        <f t="shared" si="89"/>
        <v>1553186</v>
      </c>
    </row>
    <row r="124" spans="1:18" s="89" customFormat="1" ht="12">
      <c r="A124" s="132">
        <v>2000</v>
      </c>
      <c r="B124" s="125" t="s">
        <v>108</v>
      </c>
      <c r="C124" s="106">
        <v>630046</v>
      </c>
      <c r="D124" s="106">
        <v>633046</v>
      </c>
      <c r="E124" s="244"/>
      <c r="F124" s="244"/>
      <c r="G124" s="244"/>
      <c r="H124" s="232">
        <f t="shared" si="87"/>
        <v>633046</v>
      </c>
      <c r="I124" s="233">
        <v>633046</v>
      </c>
      <c r="J124" s="244"/>
      <c r="K124" s="244"/>
      <c r="L124" s="244"/>
      <c r="M124" s="232">
        <f t="shared" si="88"/>
        <v>633046</v>
      </c>
      <c r="N124" s="233">
        <v>633046</v>
      </c>
      <c r="O124" s="244"/>
      <c r="P124" s="244"/>
      <c r="Q124" s="244"/>
      <c r="R124" s="232">
        <f t="shared" si="89"/>
        <v>633046</v>
      </c>
    </row>
    <row r="125" spans="1:18" s="89" customFormat="1" ht="12" hidden="1" customHeight="1">
      <c r="A125" s="140">
        <v>4000</v>
      </c>
      <c r="B125" s="124" t="s">
        <v>132</v>
      </c>
      <c r="C125" s="106"/>
      <c r="D125" s="106">
        <v>0</v>
      </c>
      <c r="E125" s="244"/>
      <c r="F125" s="244"/>
      <c r="G125" s="244"/>
      <c r="H125" s="232">
        <f t="shared" si="87"/>
        <v>0</v>
      </c>
      <c r="I125" s="233">
        <v>0</v>
      </c>
      <c r="J125" s="244"/>
      <c r="K125" s="244"/>
      <c r="L125" s="244"/>
      <c r="M125" s="232">
        <f t="shared" si="88"/>
        <v>0</v>
      </c>
      <c r="N125" s="233">
        <v>0</v>
      </c>
      <c r="O125" s="244"/>
      <c r="P125" s="244"/>
      <c r="Q125" s="244"/>
      <c r="R125" s="232">
        <f t="shared" si="89"/>
        <v>0</v>
      </c>
    </row>
    <row r="126" spans="1:18" s="89" customFormat="1" ht="12">
      <c r="A126" s="140" t="s">
        <v>109</v>
      </c>
      <c r="B126" s="124" t="s">
        <v>110</v>
      </c>
      <c r="C126" s="106">
        <v>200</v>
      </c>
      <c r="D126" s="106">
        <v>200</v>
      </c>
      <c r="E126" s="233">
        <f t="shared" ref="E126:G126" si="171">E127+E128</f>
        <v>0</v>
      </c>
      <c r="F126" s="233">
        <f t="shared" ref="F126" si="172">F127+F128</f>
        <v>0</v>
      </c>
      <c r="G126" s="233">
        <f t="shared" si="171"/>
        <v>0</v>
      </c>
      <c r="H126" s="232">
        <f t="shared" si="87"/>
        <v>200</v>
      </c>
      <c r="I126" s="233">
        <v>200</v>
      </c>
      <c r="J126" s="233">
        <f t="shared" ref="J126:L126" si="173">J127+J128</f>
        <v>0</v>
      </c>
      <c r="K126" s="233">
        <f t="shared" ref="K126" si="174">K127+K128</f>
        <v>0</v>
      </c>
      <c r="L126" s="233">
        <f t="shared" si="173"/>
        <v>0</v>
      </c>
      <c r="M126" s="232">
        <f t="shared" si="88"/>
        <v>200</v>
      </c>
      <c r="N126" s="233">
        <v>200</v>
      </c>
      <c r="O126" s="233">
        <f t="shared" ref="O126:Q126" si="175">O127+O128</f>
        <v>0</v>
      </c>
      <c r="P126" s="233">
        <f t="shared" ref="P126" si="176">P127+P128</f>
        <v>0</v>
      </c>
      <c r="Q126" s="233">
        <f t="shared" si="175"/>
        <v>0</v>
      </c>
      <c r="R126" s="232">
        <f t="shared" si="89"/>
        <v>200</v>
      </c>
    </row>
    <row r="127" spans="1:18" s="89" customFormat="1" ht="12">
      <c r="A127" s="132">
        <v>3000</v>
      </c>
      <c r="B127" s="125" t="s">
        <v>111</v>
      </c>
      <c r="C127" s="195">
        <v>200</v>
      </c>
      <c r="D127" s="195">
        <v>200</v>
      </c>
      <c r="E127" s="246"/>
      <c r="F127" s="246"/>
      <c r="G127" s="246"/>
      <c r="H127" s="232">
        <f t="shared" si="87"/>
        <v>200</v>
      </c>
      <c r="I127" s="345">
        <v>200</v>
      </c>
      <c r="J127" s="246"/>
      <c r="K127" s="246"/>
      <c r="L127" s="246"/>
      <c r="M127" s="232">
        <f t="shared" si="88"/>
        <v>200</v>
      </c>
      <c r="N127" s="345">
        <v>200</v>
      </c>
      <c r="O127" s="246"/>
      <c r="P127" s="246"/>
      <c r="Q127" s="246"/>
      <c r="R127" s="232">
        <f t="shared" si="89"/>
        <v>200</v>
      </c>
    </row>
    <row r="128" spans="1:18" s="89" customFormat="1" ht="12" hidden="1" customHeight="1">
      <c r="A128" s="132">
        <v>6000</v>
      </c>
      <c r="B128" s="125" t="s">
        <v>112</v>
      </c>
      <c r="C128" s="196"/>
      <c r="D128" s="196">
        <v>0</v>
      </c>
      <c r="E128" s="248"/>
      <c r="F128" s="248"/>
      <c r="G128" s="248"/>
      <c r="H128" s="232">
        <f t="shared" si="87"/>
        <v>0</v>
      </c>
      <c r="I128" s="346">
        <v>0</v>
      </c>
      <c r="J128" s="248"/>
      <c r="K128" s="248"/>
      <c r="L128" s="248"/>
      <c r="M128" s="232">
        <f t="shared" si="88"/>
        <v>0</v>
      </c>
      <c r="N128" s="346">
        <v>0</v>
      </c>
      <c r="O128" s="248"/>
      <c r="P128" s="248"/>
      <c r="Q128" s="248"/>
      <c r="R128" s="232">
        <f t="shared" si="89"/>
        <v>0</v>
      </c>
    </row>
    <row r="129" spans="1:18" s="89" customFormat="1" ht="22.8">
      <c r="A129" s="140" t="s">
        <v>113</v>
      </c>
      <c r="B129" s="124" t="s">
        <v>183</v>
      </c>
      <c r="C129" s="106">
        <v>1000</v>
      </c>
      <c r="D129" s="106">
        <v>1000</v>
      </c>
      <c r="E129" s="233">
        <f t="shared" ref="E129:G129" si="177">E130+E131</f>
        <v>0</v>
      </c>
      <c r="F129" s="233">
        <f t="shared" ref="F129" si="178">F130+F131</f>
        <v>0</v>
      </c>
      <c r="G129" s="233">
        <f t="shared" si="177"/>
        <v>0</v>
      </c>
      <c r="H129" s="232">
        <f t="shared" si="87"/>
        <v>1000</v>
      </c>
      <c r="I129" s="233">
        <v>1000</v>
      </c>
      <c r="J129" s="233">
        <f t="shared" ref="J129:L129" si="179">J130+J131</f>
        <v>0</v>
      </c>
      <c r="K129" s="233">
        <f t="shared" ref="K129" si="180">K130+K131</f>
        <v>0</v>
      </c>
      <c r="L129" s="233">
        <f t="shared" si="179"/>
        <v>0</v>
      </c>
      <c r="M129" s="232">
        <f t="shared" si="88"/>
        <v>1000</v>
      </c>
      <c r="N129" s="233">
        <v>1000</v>
      </c>
      <c r="O129" s="233">
        <f t="shared" ref="O129:Q129" si="181">O130+O131</f>
        <v>0</v>
      </c>
      <c r="P129" s="233">
        <f t="shared" ref="P129" si="182">P130+P131</f>
        <v>0</v>
      </c>
      <c r="Q129" s="233">
        <f t="shared" si="181"/>
        <v>0</v>
      </c>
      <c r="R129" s="232">
        <f t="shared" si="89"/>
        <v>1000</v>
      </c>
    </row>
    <row r="130" spans="1:18" s="89" customFormat="1" ht="12" hidden="1" customHeight="1">
      <c r="A130" s="132">
        <v>7600</v>
      </c>
      <c r="B130" s="179" t="s">
        <v>184</v>
      </c>
      <c r="C130" s="106"/>
      <c r="D130" s="106">
        <v>0</v>
      </c>
      <c r="E130" s="244"/>
      <c r="F130" s="244"/>
      <c r="G130" s="244"/>
      <c r="H130" s="232">
        <f t="shared" si="87"/>
        <v>0</v>
      </c>
      <c r="I130" s="233">
        <v>0</v>
      </c>
      <c r="J130" s="244"/>
      <c r="K130" s="244"/>
      <c r="L130" s="244"/>
      <c r="M130" s="232">
        <f t="shared" si="88"/>
        <v>0</v>
      </c>
      <c r="N130" s="233">
        <v>0</v>
      </c>
      <c r="O130" s="244"/>
      <c r="P130" s="244"/>
      <c r="Q130" s="244"/>
      <c r="R130" s="232">
        <f t="shared" si="89"/>
        <v>0</v>
      </c>
    </row>
    <row r="131" spans="1:18" s="89" customFormat="1" ht="12">
      <c r="A131" s="132">
        <v>7700</v>
      </c>
      <c r="B131" s="126" t="s">
        <v>114</v>
      </c>
      <c r="C131" s="106">
        <v>1000</v>
      </c>
      <c r="D131" s="106">
        <v>1000</v>
      </c>
      <c r="E131" s="244"/>
      <c r="F131" s="244"/>
      <c r="G131" s="244"/>
      <c r="H131" s="232">
        <f t="shared" si="87"/>
        <v>1000</v>
      </c>
      <c r="I131" s="233">
        <v>1000</v>
      </c>
      <c r="J131" s="244"/>
      <c r="K131" s="244"/>
      <c r="L131" s="244"/>
      <c r="M131" s="232">
        <f t="shared" si="88"/>
        <v>1000</v>
      </c>
      <c r="N131" s="233">
        <v>1000</v>
      </c>
      <c r="O131" s="244"/>
      <c r="P131" s="244"/>
      <c r="Q131" s="244"/>
      <c r="R131" s="232">
        <f t="shared" si="89"/>
        <v>1000</v>
      </c>
    </row>
    <row r="132" spans="1:18" s="89" customFormat="1" ht="21" hidden="1" customHeight="1">
      <c r="A132" s="140" t="s">
        <v>185</v>
      </c>
      <c r="B132" s="124" t="s">
        <v>115</v>
      </c>
      <c r="C132" s="106">
        <v>0</v>
      </c>
      <c r="D132" s="106">
        <v>0</v>
      </c>
      <c r="E132" s="233">
        <f t="shared" ref="E132:G132" si="183">E133+E139+E143+E146</f>
        <v>0</v>
      </c>
      <c r="F132" s="233">
        <f t="shared" ref="F132" si="184">F133+F139+F143+F146</f>
        <v>0</v>
      </c>
      <c r="G132" s="233">
        <f t="shared" si="183"/>
        <v>0</v>
      </c>
      <c r="H132" s="232">
        <f t="shared" si="87"/>
        <v>0</v>
      </c>
      <c r="I132" s="233">
        <v>0</v>
      </c>
      <c r="J132" s="233">
        <f t="shared" ref="J132:L132" si="185">J133+J139+J143+J146</f>
        <v>0</v>
      </c>
      <c r="K132" s="233">
        <f t="shared" ref="K132" si="186">K133+K139+K143+K146</f>
        <v>0</v>
      </c>
      <c r="L132" s="233">
        <f t="shared" si="185"/>
        <v>0</v>
      </c>
      <c r="M132" s="232">
        <f t="shared" si="88"/>
        <v>0</v>
      </c>
      <c r="N132" s="233">
        <v>0</v>
      </c>
      <c r="O132" s="233">
        <f t="shared" ref="O132:Q132" si="187">O133+O139+O143+O146</f>
        <v>0</v>
      </c>
      <c r="P132" s="233">
        <f t="shared" ref="P132" si="188">P133+P139+P143+P146</f>
        <v>0</v>
      </c>
      <c r="Q132" s="233">
        <f t="shared" si="187"/>
        <v>0</v>
      </c>
      <c r="R132" s="232">
        <f t="shared" si="89"/>
        <v>0</v>
      </c>
    </row>
    <row r="133" spans="1:18" s="89" customFormat="1" ht="12" hidden="1" customHeight="1">
      <c r="A133" s="132">
        <v>7100</v>
      </c>
      <c r="B133" s="179" t="s">
        <v>116</v>
      </c>
      <c r="C133" s="106">
        <v>0</v>
      </c>
      <c r="D133" s="106">
        <v>0</v>
      </c>
      <c r="E133" s="233">
        <f t="shared" ref="E133:G133" si="189">E134+E135</f>
        <v>0</v>
      </c>
      <c r="F133" s="233">
        <f t="shared" ref="F133" si="190">F134+F135</f>
        <v>0</v>
      </c>
      <c r="G133" s="233">
        <f t="shared" si="189"/>
        <v>0</v>
      </c>
      <c r="H133" s="232">
        <f t="shared" si="87"/>
        <v>0</v>
      </c>
      <c r="I133" s="233">
        <v>0</v>
      </c>
      <c r="J133" s="233">
        <f t="shared" ref="J133:L133" si="191">J134+J135</f>
        <v>0</v>
      </c>
      <c r="K133" s="233">
        <f t="shared" ref="K133" si="192">K134+K135</f>
        <v>0</v>
      </c>
      <c r="L133" s="233">
        <f t="shared" si="191"/>
        <v>0</v>
      </c>
      <c r="M133" s="232">
        <f t="shared" si="88"/>
        <v>0</v>
      </c>
      <c r="N133" s="233">
        <v>0</v>
      </c>
      <c r="O133" s="233">
        <f t="shared" ref="O133:Q133" si="193">O134+O135</f>
        <v>0</v>
      </c>
      <c r="P133" s="233">
        <f t="shared" ref="P133" si="194">P134+P135</f>
        <v>0</v>
      </c>
      <c r="Q133" s="233">
        <f t="shared" si="193"/>
        <v>0</v>
      </c>
      <c r="R133" s="232">
        <f t="shared" si="89"/>
        <v>0</v>
      </c>
    </row>
    <row r="134" spans="1:18" s="89" customFormat="1" ht="24" hidden="1" customHeight="1">
      <c r="A134" s="133" t="s">
        <v>117</v>
      </c>
      <c r="B134" s="179" t="s">
        <v>118</v>
      </c>
      <c r="C134" s="106"/>
      <c r="D134" s="106">
        <v>0</v>
      </c>
      <c r="E134" s="233"/>
      <c r="F134" s="233"/>
      <c r="G134" s="233"/>
      <c r="H134" s="232">
        <f t="shared" si="87"/>
        <v>0</v>
      </c>
      <c r="I134" s="233">
        <v>0</v>
      </c>
      <c r="J134" s="233"/>
      <c r="K134" s="233"/>
      <c r="L134" s="233"/>
      <c r="M134" s="232">
        <f t="shared" si="88"/>
        <v>0</v>
      </c>
      <c r="N134" s="233">
        <v>0</v>
      </c>
      <c r="O134" s="233"/>
      <c r="P134" s="233"/>
      <c r="Q134" s="233"/>
      <c r="R134" s="232">
        <f t="shared" si="89"/>
        <v>0</v>
      </c>
    </row>
    <row r="135" spans="1:18" s="89" customFormat="1" ht="24" hidden="1" customHeight="1">
      <c r="A135" s="133">
        <v>7130</v>
      </c>
      <c r="B135" s="179" t="s">
        <v>119</v>
      </c>
      <c r="C135" s="106">
        <v>0</v>
      </c>
      <c r="D135" s="106">
        <v>0</v>
      </c>
      <c r="E135" s="233">
        <f t="shared" ref="E135:G135" si="195">SUM(E136:E138)</f>
        <v>0</v>
      </c>
      <c r="F135" s="233">
        <f t="shared" ref="F135" si="196">SUM(F136:F138)</f>
        <v>0</v>
      </c>
      <c r="G135" s="233">
        <f t="shared" si="195"/>
        <v>0</v>
      </c>
      <c r="H135" s="232">
        <f t="shared" si="87"/>
        <v>0</v>
      </c>
      <c r="I135" s="233">
        <v>0</v>
      </c>
      <c r="J135" s="233">
        <f t="shared" ref="J135:L135" si="197">SUM(J136:J138)</f>
        <v>0</v>
      </c>
      <c r="K135" s="233">
        <f t="shared" ref="K135" si="198">SUM(K136:K138)</f>
        <v>0</v>
      </c>
      <c r="L135" s="233">
        <f t="shared" si="197"/>
        <v>0</v>
      </c>
      <c r="M135" s="232">
        <f t="shared" si="88"/>
        <v>0</v>
      </c>
      <c r="N135" s="233">
        <v>0</v>
      </c>
      <c r="O135" s="233">
        <f t="shared" ref="O135:Q135" si="199">SUM(O136:O138)</f>
        <v>0</v>
      </c>
      <c r="P135" s="233">
        <f t="shared" ref="P135" si="200">SUM(P136:P138)</f>
        <v>0</v>
      </c>
      <c r="Q135" s="233">
        <f t="shared" si="199"/>
        <v>0</v>
      </c>
      <c r="R135" s="232">
        <f t="shared" si="89"/>
        <v>0</v>
      </c>
    </row>
    <row r="136" spans="1:18" s="89" customFormat="1" ht="36" hidden="1" customHeight="1">
      <c r="A136" s="134">
        <v>7131</v>
      </c>
      <c r="B136" s="179" t="s">
        <v>120</v>
      </c>
      <c r="C136" s="106"/>
      <c r="D136" s="106">
        <v>0</v>
      </c>
      <c r="E136" s="233"/>
      <c r="F136" s="233"/>
      <c r="G136" s="233"/>
      <c r="H136" s="232">
        <f t="shared" si="87"/>
        <v>0</v>
      </c>
      <c r="I136" s="233">
        <v>0</v>
      </c>
      <c r="J136" s="233"/>
      <c r="K136" s="233"/>
      <c r="L136" s="233"/>
      <c r="M136" s="232">
        <f t="shared" si="88"/>
        <v>0</v>
      </c>
      <c r="N136" s="233">
        <v>0</v>
      </c>
      <c r="O136" s="233"/>
      <c r="P136" s="233"/>
      <c r="Q136" s="233"/>
      <c r="R136" s="232">
        <f t="shared" si="89"/>
        <v>0</v>
      </c>
    </row>
    <row r="137" spans="1:18" s="29" customFormat="1" ht="36" hidden="1" customHeight="1">
      <c r="A137" s="134">
        <v>7132</v>
      </c>
      <c r="B137" s="179" t="s">
        <v>121</v>
      </c>
      <c r="C137" s="106"/>
      <c r="D137" s="106">
        <v>0</v>
      </c>
      <c r="E137" s="233"/>
      <c r="F137" s="233"/>
      <c r="G137" s="233"/>
      <c r="H137" s="232">
        <f t="shared" si="87"/>
        <v>0</v>
      </c>
      <c r="I137" s="233">
        <v>0</v>
      </c>
      <c r="J137" s="233"/>
      <c r="K137" s="233"/>
      <c r="L137" s="233"/>
      <c r="M137" s="232">
        <f t="shared" si="88"/>
        <v>0</v>
      </c>
      <c r="N137" s="233">
        <v>0</v>
      </c>
      <c r="O137" s="233"/>
      <c r="P137" s="233"/>
      <c r="Q137" s="233"/>
      <c r="R137" s="232">
        <f t="shared" si="89"/>
        <v>0</v>
      </c>
    </row>
    <row r="138" spans="1:18" s="29" customFormat="1" ht="24" hidden="1" customHeight="1">
      <c r="A138" s="134" t="s">
        <v>186</v>
      </c>
      <c r="B138" s="179" t="s">
        <v>187</v>
      </c>
      <c r="C138" s="106"/>
      <c r="D138" s="106">
        <v>0</v>
      </c>
      <c r="E138" s="233"/>
      <c r="F138" s="233"/>
      <c r="G138" s="233"/>
      <c r="H138" s="232">
        <f t="shared" ref="H138:H201" si="201">SUM(D138:G138)</f>
        <v>0</v>
      </c>
      <c r="I138" s="233">
        <v>0</v>
      </c>
      <c r="J138" s="233"/>
      <c r="K138" s="233"/>
      <c r="L138" s="233"/>
      <c r="M138" s="232">
        <f t="shared" ref="M138:M201" si="202">SUM(I138:L138)</f>
        <v>0</v>
      </c>
      <c r="N138" s="233">
        <v>0</v>
      </c>
      <c r="O138" s="233"/>
      <c r="P138" s="233"/>
      <c r="Q138" s="233"/>
      <c r="R138" s="232">
        <f t="shared" ref="R138:R201" si="203">SUM(N138:Q138)</f>
        <v>0</v>
      </c>
    </row>
    <row r="139" spans="1:18" s="29" customFormat="1" ht="24" hidden="1" customHeight="1">
      <c r="A139" s="132">
        <v>7300</v>
      </c>
      <c r="B139" s="172" t="s">
        <v>155</v>
      </c>
      <c r="C139" s="106">
        <v>0</v>
      </c>
      <c r="D139" s="106">
        <v>0</v>
      </c>
      <c r="E139" s="233">
        <f t="shared" ref="E139:G139" si="204">SUM(E140:E142)</f>
        <v>0</v>
      </c>
      <c r="F139" s="233">
        <f t="shared" ref="F139" si="205">SUM(F140:F142)</f>
        <v>0</v>
      </c>
      <c r="G139" s="233">
        <f t="shared" si="204"/>
        <v>0</v>
      </c>
      <c r="H139" s="232">
        <f t="shared" si="201"/>
        <v>0</v>
      </c>
      <c r="I139" s="233">
        <v>0</v>
      </c>
      <c r="J139" s="233">
        <f t="shared" ref="J139:L139" si="206">SUM(J140:J142)</f>
        <v>0</v>
      </c>
      <c r="K139" s="233">
        <f t="shared" ref="K139" si="207">SUM(K140:K142)</f>
        <v>0</v>
      </c>
      <c r="L139" s="233">
        <f t="shared" si="206"/>
        <v>0</v>
      </c>
      <c r="M139" s="232">
        <f t="shared" si="202"/>
        <v>0</v>
      </c>
      <c r="N139" s="233">
        <v>0</v>
      </c>
      <c r="O139" s="233">
        <f t="shared" ref="O139:Q139" si="208">SUM(O140:O142)</f>
        <v>0</v>
      </c>
      <c r="P139" s="233">
        <f t="shared" ref="P139" si="209">SUM(P140:P142)</f>
        <v>0</v>
      </c>
      <c r="Q139" s="233">
        <f t="shared" si="208"/>
        <v>0</v>
      </c>
      <c r="R139" s="232">
        <f t="shared" si="203"/>
        <v>0</v>
      </c>
    </row>
    <row r="140" spans="1:18" s="4" customFormat="1" ht="24" hidden="1" customHeight="1">
      <c r="A140" s="133" t="s">
        <v>188</v>
      </c>
      <c r="B140" s="179" t="s">
        <v>170</v>
      </c>
      <c r="C140" s="197"/>
      <c r="D140" s="197">
        <v>0</v>
      </c>
      <c r="E140" s="252"/>
      <c r="F140" s="252"/>
      <c r="G140" s="252"/>
      <c r="H140" s="232">
        <f t="shared" si="201"/>
        <v>0</v>
      </c>
      <c r="I140" s="252">
        <v>0</v>
      </c>
      <c r="J140" s="252"/>
      <c r="K140" s="252"/>
      <c r="L140" s="252"/>
      <c r="M140" s="232">
        <f t="shared" si="202"/>
        <v>0</v>
      </c>
      <c r="N140" s="252">
        <v>0</v>
      </c>
      <c r="O140" s="252"/>
      <c r="P140" s="252"/>
      <c r="Q140" s="252"/>
      <c r="R140" s="232">
        <f t="shared" si="203"/>
        <v>0</v>
      </c>
    </row>
    <row r="141" spans="1:18" ht="48" hidden="1" customHeight="1">
      <c r="A141" s="133" t="s">
        <v>189</v>
      </c>
      <c r="B141" s="179" t="s">
        <v>156</v>
      </c>
      <c r="C141" s="197"/>
      <c r="D141" s="197">
        <v>0</v>
      </c>
      <c r="E141" s="252"/>
      <c r="F141" s="252"/>
      <c r="G141" s="252"/>
      <c r="H141" s="232">
        <f t="shared" si="201"/>
        <v>0</v>
      </c>
      <c r="I141" s="252">
        <v>0</v>
      </c>
      <c r="J141" s="252"/>
      <c r="K141" s="252"/>
      <c r="L141" s="252"/>
      <c r="M141" s="232">
        <f t="shared" si="202"/>
        <v>0</v>
      </c>
      <c r="N141" s="252">
        <v>0</v>
      </c>
      <c r="O141" s="252"/>
      <c r="P141" s="252"/>
      <c r="Q141" s="252"/>
      <c r="R141" s="232">
        <f t="shared" si="203"/>
        <v>0</v>
      </c>
    </row>
    <row r="142" spans="1:18" ht="36" hidden="1" customHeight="1">
      <c r="A142" s="133">
        <v>7350</v>
      </c>
      <c r="B142" s="179" t="s">
        <v>163</v>
      </c>
      <c r="C142" s="197"/>
      <c r="D142" s="197">
        <v>0</v>
      </c>
      <c r="E142" s="252"/>
      <c r="F142" s="252"/>
      <c r="G142" s="252"/>
      <c r="H142" s="232">
        <f t="shared" si="201"/>
        <v>0</v>
      </c>
      <c r="I142" s="252">
        <v>0</v>
      </c>
      <c r="J142" s="252"/>
      <c r="K142" s="252"/>
      <c r="L142" s="252"/>
      <c r="M142" s="232">
        <f t="shared" si="202"/>
        <v>0</v>
      </c>
      <c r="N142" s="252">
        <v>0</v>
      </c>
      <c r="O142" s="252"/>
      <c r="P142" s="252"/>
      <c r="Q142" s="252"/>
      <c r="R142" s="232">
        <f t="shared" si="203"/>
        <v>0</v>
      </c>
    </row>
    <row r="143" spans="1:18" ht="24" hidden="1" customHeight="1">
      <c r="A143" s="132">
        <v>7400</v>
      </c>
      <c r="B143" s="172" t="s">
        <v>161</v>
      </c>
      <c r="C143" s="106">
        <v>0</v>
      </c>
      <c r="D143" s="106">
        <v>0</v>
      </c>
      <c r="E143" s="233">
        <f t="shared" ref="E143:G143" si="210">SUM(E144:E145)</f>
        <v>0</v>
      </c>
      <c r="F143" s="233">
        <f t="shared" ref="F143" si="211">SUM(F144:F145)</f>
        <v>0</v>
      </c>
      <c r="G143" s="233">
        <f t="shared" si="210"/>
        <v>0</v>
      </c>
      <c r="H143" s="232">
        <f t="shared" si="201"/>
        <v>0</v>
      </c>
      <c r="I143" s="233">
        <v>0</v>
      </c>
      <c r="J143" s="233">
        <f t="shared" ref="J143:L143" si="212">SUM(J144:J145)</f>
        <v>0</v>
      </c>
      <c r="K143" s="233">
        <f t="shared" ref="K143" si="213">SUM(K144:K145)</f>
        <v>0</v>
      </c>
      <c r="L143" s="233">
        <f t="shared" si="212"/>
        <v>0</v>
      </c>
      <c r="M143" s="232">
        <f t="shared" si="202"/>
        <v>0</v>
      </c>
      <c r="N143" s="233">
        <v>0</v>
      </c>
      <c r="O143" s="233">
        <f t="shared" ref="O143:Q143" si="214">SUM(O144:O145)</f>
        <v>0</v>
      </c>
      <c r="P143" s="233">
        <f t="shared" ref="P143" si="215">SUM(P144:P145)</f>
        <v>0</v>
      </c>
      <c r="Q143" s="233">
        <f t="shared" si="214"/>
        <v>0</v>
      </c>
      <c r="R143" s="232">
        <f t="shared" si="203"/>
        <v>0</v>
      </c>
    </row>
    <row r="144" spans="1:18" ht="24" hidden="1" customHeight="1">
      <c r="A144" s="133">
        <v>7460</v>
      </c>
      <c r="B144" s="172" t="s">
        <v>162</v>
      </c>
      <c r="C144" s="197"/>
      <c r="D144" s="197">
        <v>0</v>
      </c>
      <c r="E144" s="252"/>
      <c r="F144" s="252"/>
      <c r="G144" s="252"/>
      <c r="H144" s="232">
        <f t="shared" si="201"/>
        <v>0</v>
      </c>
      <c r="I144" s="252">
        <v>0</v>
      </c>
      <c r="J144" s="252"/>
      <c r="K144" s="252"/>
      <c r="L144" s="252"/>
      <c r="M144" s="232">
        <f t="shared" si="202"/>
        <v>0</v>
      </c>
      <c r="N144" s="252">
        <v>0</v>
      </c>
      <c r="O144" s="252"/>
      <c r="P144" s="252"/>
      <c r="Q144" s="252"/>
      <c r="R144" s="232">
        <f t="shared" si="203"/>
        <v>0</v>
      </c>
    </row>
    <row r="145" spans="1:18" ht="48" hidden="1" customHeight="1">
      <c r="A145" s="133">
        <v>7470</v>
      </c>
      <c r="B145" s="179" t="s">
        <v>167</v>
      </c>
      <c r="C145" s="197"/>
      <c r="D145" s="197">
        <v>0</v>
      </c>
      <c r="E145" s="252"/>
      <c r="F145" s="252"/>
      <c r="G145" s="252"/>
      <c r="H145" s="232">
        <f t="shared" si="201"/>
        <v>0</v>
      </c>
      <c r="I145" s="252">
        <v>0</v>
      </c>
      <c r="J145" s="252"/>
      <c r="K145" s="252"/>
      <c r="L145" s="252"/>
      <c r="M145" s="232">
        <f t="shared" si="202"/>
        <v>0</v>
      </c>
      <c r="N145" s="252">
        <v>0</v>
      </c>
      <c r="O145" s="252"/>
      <c r="P145" s="252"/>
      <c r="Q145" s="252"/>
      <c r="R145" s="232">
        <f t="shared" si="203"/>
        <v>0</v>
      </c>
    </row>
    <row r="146" spans="1:18" ht="24" hidden="1" customHeight="1">
      <c r="A146" s="132">
        <v>7500</v>
      </c>
      <c r="B146" s="179" t="s">
        <v>157</v>
      </c>
      <c r="C146" s="106"/>
      <c r="D146" s="106">
        <v>0</v>
      </c>
      <c r="E146" s="233"/>
      <c r="F146" s="233"/>
      <c r="G146" s="233"/>
      <c r="H146" s="232">
        <f t="shared" si="201"/>
        <v>0</v>
      </c>
      <c r="I146" s="233">
        <v>0</v>
      </c>
      <c r="J146" s="233"/>
      <c r="K146" s="233"/>
      <c r="L146" s="233"/>
      <c r="M146" s="232">
        <f t="shared" si="202"/>
        <v>0</v>
      </c>
      <c r="N146" s="233">
        <v>0</v>
      </c>
      <c r="O146" s="233"/>
      <c r="P146" s="233"/>
      <c r="Q146" s="233"/>
      <c r="R146" s="232">
        <f t="shared" si="203"/>
        <v>0</v>
      </c>
    </row>
    <row r="147" spans="1:18" s="4" customFormat="1" ht="12">
      <c r="A147" s="337" t="s">
        <v>133</v>
      </c>
      <c r="B147" s="100" t="s">
        <v>122</v>
      </c>
      <c r="C147" s="106">
        <v>18000</v>
      </c>
      <c r="D147" s="106">
        <v>15000</v>
      </c>
      <c r="E147" s="254">
        <f t="shared" ref="E147:G147" si="216">E148+E149</f>
        <v>0</v>
      </c>
      <c r="F147" s="254">
        <f t="shared" ref="F147" si="217">F148+F149</f>
        <v>0</v>
      </c>
      <c r="G147" s="254">
        <f t="shared" si="216"/>
        <v>0</v>
      </c>
      <c r="H147" s="232">
        <f t="shared" si="201"/>
        <v>15000</v>
      </c>
      <c r="I147" s="254">
        <v>15000</v>
      </c>
      <c r="J147" s="254">
        <f t="shared" ref="J147:L147" si="218">J148+J149</f>
        <v>0</v>
      </c>
      <c r="K147" s="254">
        <f t="shared" ref="K147" si="219">K148+K149</f>
        <v>0</v>
      </c>
      <c r="L147" s="254">
        <f t="shared" si="218"/>
        <v>0</v>
      </c>
      <c r="M147" s="232">
        <f t="shared" si="202"/>
        <v>15000</v>
      </c>
      <c r="N147" s="254">
        <v>15000</v>
      </c>
      <c r="O147" s="254">
        <f t="shared" ref="O147:Q147" si="220">O148+O149</f>
        <v>0</v>
      </c>
      <c r="P147" s="254">
        <f t="shared" ref="P147" si="221">P148+P149</f>
        <v>0</v>
      </c>
      <c r="Q147" s="254">
        <f t="shared" si="220"/>
        <v>0</v>
      </c>
      <c r="R147" s="232">
        <f t="shared" si="203"/>
        <v>15000</v>
      </c>
    </row>
    <row r="148" spans="1:18" s="6" customFormat="1" ht="12">
      <c r="A148" s="140">
        <v>5000</v>
      </c>
      <c r="B148" s="124" t="s">
        <v>123</v>
      </c>
      <c r="C148" s="106">
        <v>18000</v>
      </c>
      <c r="D148" s="106">
        <v>15000</v>
      </c>
      <c r="E148" s="244"/>
      <c r="F148" s="244"/>
      <c r="G148" s="244"/>
      <c r="H148" s="232">
        <f t="shared" si="201"/>
        <v>15000</v>
      </c>
      <c r="I148" s="233">
        <v>15000</v>
      </c>
      <c r="J148" s="244"/>
      <c r="K148" s="244"/>
      <c r="L148" s="244"/>
      <c r="M148" s="232">
        <f t="shared" si="202"/>
        <v>15000</v>
      </c>
      <c r="N148" s="233">
        <v>15000</v>
      </c>
      <c r="O148" s="244"/>
      <c r="P148" s="244"/>
      <c r="Q148" s="244"/>
      <c r="R148" s="232">
        <f t="shared" si="203"/>
        <v>15000</v>
      </c>
    </row>
    <row r="149" spans="1:18" s="6" customFormat="1" ht="12" hidden="1" customHeight="1">
      <c r="A149" s="140">
        <v>9000</v>
      </c>
      <c r="B149" s="182" t="s">
        <v>164</v>
      </c>
      <c r="C149" s="170">
        <v>0</v>
      </c>
      <c r="D149" s="170">
        <v>0</v>
      </c>
      <c r="E149" s="233">
        <f t="shared" ref="E149:G149" si="222">E150+E156+E160+E163</f>
        <v>0</v>
      </c>
      <c r="F149" s="233">
        <f t="shared" ref="F149" si="223">F150+F156+F160+F163</f>
        <v>0</v>
      </c>
      <c r="G149" s="233">
        <f t="shared" si="222"/>
        <v>0</v>
      </c>
      <c r="H149" s="232">
        <f t="shared" si="201"/>
        <v>0</v>
      </c>
      <c r="I149" s="233">
        <v>0</v>
      </c>
      <c r="J149" s="233">
        <f t="shared" ref="J149:L149" si="224">J150+J156+J160+J163</f>
        <v>0</v>
      </c>
      <c r="K149" s="233">
        <f t="shared" ref="K149" si="225">K150+K156+K160+K163</f>
        <v>0</v>
      </c>
      <c r="L149" s="233">
        <f t="shared" si="224"/>
        <v>0</v>
      </c>
      <c r="M149" s="232">
        <f t="shared" si="202"/>
        <v>0</v>
      </c>
      <c r="N149" s="233">
        <v>0</v>
      </c>
      <c r="O149" s="233">
        <f t="shared" ref="O149:Q149" si="226">O150+O156+O160+O163</f>
        <v>0</v>
      </c>
      <c r="P149" s="233">
        <f t="shared" ref="P149" si="227">P150+P156+P160+P163</f>
        <v>0</v>
      </c>
      <c r="Q149" s="233">
        <f t="shared" si="226"/>
        <v>0</v>
      </c>
      <c r="R149" s="232">
        <f t="shared" si="203"/>
        <v>0</v>
      </c>
    </row>
    <row r="150" spans="1:18" s="6" customFormat="1" ht="12" hidden="1" customHeight="1">
      <c r="A150" s="141">
        <v>9100</v>
      </c>
      <c r="B150" s="179" t="s">
        <v>124</v>
      </c>
      <c r="C150" s="170">
        <v>0</v>
      </c>
      <c r="D150" s="170">
        <v>0</v>
      </c>
      <c r="E150" s="233">
        <f t="shared" ref="E150:G150" si="228">SUM(E151:E152)</f>
        <v>0</v>
      </c>
      <c r="F150" s="233">
        <f t="shared" ref="F150" si="229">SUM(F151:F152)</f>
        <v>0</v>
      </c>
      <c r="G150" s="233">
        <f t="shared" si="228"/>
        <v>0</v>
      </c>
      <c r="H150" s="232">
        <f t="shared" si="201"/>
        <v>0</v>
      </c>
      <c r="I150" s="233">
        <v>0</v>
      </c>
      <c r="J150" s="233">
        <f t="shared" ref="J150:L150" si="230">SUM(J151:J152)</f>
        <v>0</v>
      </c>
      <c r="K150" s="233">
        <f t="shared" ref="K150" si="231">SUM(K151:K152)</f>
        <v>0</v>
      </c>
      <c r="L150" s="233">
        <f t="shared" si="230"/>
        <v>0</v>
      </c>
      <c r="M150" s="232">
        <f t="shared" si="202"/>
        <v>0</v>
      </c>
      <c r="N150" s="233">
        <v>0</v>
      </c>
      <c r="O150" s="233">
        <f t="shared" ref="O150:Q150" si="232">SUM(O151:O152)</f>
        <v>0</v>
      </c>
      <c r="P150" s="233">
        <f t="shared" ref="P150" si="233">SUM(P151:P152)</f>
        <v>0</v>
      </c>
      <c r="Q150" s="233">
        <f t="shared" si="232"/>
        <v>0</v>
      </c>
      <c r="R150" s="232">
        <f t="shared" si="203"/>
        <v>0</v>
      </c>
    </row>
    <row r="151" spans="1:18" s="6" customFormat="1" ht="24" hidden="1" customHeight="1">
      <c r="A151" s="133" t="s">
        <v>125</v>
      </c>
      <c r="B151" s="179" t="s">
        <v>214</v>
      </c>
      <c r="C151" s="170"/>
      <c r="D151" s="170">
        <v>0</v>
      </c>
      <c r="E151" s="233"/>
      <c r="F151" s="233"/>
      <c r="G151" s="233"/>
      <c r="H151" s="232">
        <f t="shared" si="201"/>
        <v>0</v>
      </c>
      <c r="I151" s="233">
        <v>0</v>
      </c>
      <c r="J151" s="233"/>
      <c r="K151" s="233"/>
      <c r="L151" s="233"/>
      <c r="M151" s="232">
        <f t="shared" si="202"/>
        <v>0</v>
      </c>
      <c r="N151" s="233">
        <v>0</v>
      </c>
      <c r="O151" s="233"/>
      <c r="P151" s="233"/>
      <c r="Q151" s="233"/>
      <c r="R151" s="232">
        <f t="shared" si="203"/>
        <v>0</v>
      </c>
    </row>
    <row r="152" spans="1:18" s="6" customFormat="1" ht="24" hidden="1" customHeight="1">
      <c r="A152" s="133">
        <v>9140</v>
      </c>
      <c r="B152" s="179" t="s">
        <v>215</v>
      </c>
      <c r="C152" s="170">
        <v>0</v>
      </c>
      <c r="D152" s="170">
        <v>0</v>
      </c>
      <c r="E152" s="233">
        <f t="shared" ref="E152:G152" si="234">SUM(E153:E155)</f>
        <v>0</v>
      </c>
      <c r="F152" s="233">
        <f t="shared" ref="F152" si="235">SUM(F153:F155)</f>
        <v>0</v>
      </c>
      <c r="G152" s="233">
        <f t="shared" si="234"/>
        <v>0</v>
      </c>
      <c r="H152" s="232">
        <f t="shared" si="201"/>
        <v>0</v>
      </c>
      <c r="I152" s="233">
        <v>0</v>
      </c>
      <c r="J152" s="233">
        <f t="shared" ref="J152:L152" si="236">SUM(J153:J155)</f>
        <v>0</v>
      </c>
      <c r="K152" s="233">
        <f t="shared" ref="K152" si="237">SUM(K153:K155)</f>
        <v>0</v>
      </c>
      <c r="L152" s="233">
        <f t="shared" si="236"/>
        <v>0</v>
      </c>
      <c r="M152" s="232">
        <f t="shared" si="202"/>
        <v>0</v>
      </c>
      <c r="N152" s="233">
        <v>0</v>
      </c>
      <c r="O152" s="233">
        <f t="shared" ref="O152:Q152" si="238">SUM(O153:O155)</f>
        <v>0</v>
      </c>
      <c r="P152" s="233">
        <f t="shared" ref="P152" si="239">SUM(P153:P155)</f>
        <v>0</v>
      </c>
      <c r="Q152" s="233">
        <f t="shared" si="238"/>
        <v>0</v>
      </c>
      <c r="R152" s="232">
        <f t="shared" si="203"/>
        <v>0</v>
      </c>
    </row>
    <row r="153" spans="1:18" s="6" customFormat="1" ht="36" hidden="1" customHeight="1">
      <c r="A153" s="134">
        <v>9141</v>
      </c>
      <c r="B153" s="172" t="s">
        <v>190</v>
      </c>
      <c r="C153" s="204"/>
      <c r="D153" s="204">
        <v>0</v>
      </c>
      <c r="E153" s="252"/>
      <c r="F153" s="252"/>
      <c r="G153" s="252"/>
      <c r="H153" s="232">
        <f t="shared" si="201"/>
        <v>0</v>
      </c>
      <c r="I153" s="252">
        <v>0</v>
      </c>
      <c r="J153" s="252"/>
      <c r="K153" s="252"/>
      <c r="L153" s="252"/>
      <c r="M153" s="232">
        <f t="shared" si="202"/>
        <v>0</v>
      </c>
      <c r="N153" s="252">
        <v>0</v>
      </c>
      <c r="O153" s="252"/>
      <c r="P153" s="252"/>
      <c r="Q153" s="252"/>
      <c r="R153" s="232">
        <f t="shared" si="203"/>
        <v>0</v>
      </c>
    </row>
    <row r="154" spans="1:18" s="6" customFormat="1" ht="36" hidden="1" customHeight="1">
      <c r="A154" s="134">
        <v>9142</v>
      </c>
      <c r="B154" s="172" t="s">
        <v>191</v>
      </c>
      <c r="C154" s="204"/>
      <c r="D154" s="204">
        <v>0</v>
      </c>
      <c r="E154" s="252"/>
      <c r="F154" s="252"/>
      <c r="G154" s="252"/>
      <c r="H154" s="232">
        <f t="shared" si="201"/>
        <v>0</v>
      </c>
      <c r="I154" s="252">
        <v>0</v>
      </c>
      <c r="J154" s="252"/>
      <c r="K154" s="252"/>
      <c r="L154" s="252"/>
      <c r="M154" s="232">
        <f t="shared" si="202"/>
        <v>0</v>
      </c>
      <c r="N154" s="252">
        <v>0</v>
      </c>
      <c r="O154" s="252"/>
      <c r="P154" s="252"/>
      <c r="Q154" s="252"/>
      <c r="R154" s="232">
        <f t="shared" si="203"/>
        <v>0</v>
      </c>
    </row>
    <row r="155" spans="1:18" s="6" customFormat="1" ht="24" hidden="1" customHeight="1">
      <c r="A155" s="134">
        <v>9149</v>
      </c>
      <c r="B155" s="172" t="s">
        <v>192</v>
      </c>
      <c r="C155" s="204"/>
      <c r="D155" s="204">
        <v>0</v>
      </c>
      <c r="E155" s="252"/>
      <c r="F155" s="252"/>
      <c r="G155" s="252"/>
      <c r="H155" s="232">
        <f t="shared" si="201"/>
        <v>0</v>
      </c>
      <c r="I155" s="252">
        <v>0</v>
      </c>
      <c r="J155" s="252"/>
      <c r="K155" s="252"/>
      <c r="L155" s="252"/>
      <c r="M155" s="232">
        <f t="shared" si="202"/>
        <v>0</v>
      </c>
      <c r="N155" s="252">
        <v>0</v>
      </c>
      <c r="O155" s="252"/>
      <c r="P155" s="252"/>
      <c r="Q155" s="252"/>
      <c r="R155" s="232">
        <f t="shared" si="203"/>
        <v>0</v>
      </c>
    </row>
    <row r="156" spans="1:18" s="6" customFormat="1" ht="24" hidden="1" customHeight="1">
      <c r="A156" s="141">
        <v>9500</v>
      </c>
      <c r="B156" s="172" t="s">
        <v>165</v>
      </c>
      <c r="C156" s="170">
        <v>0</v>
      </c>
      <c r="D156" s="170">
        <v>0</v>
      </c>
      <c r="E156" s="233">
        <f t="shared" ref="E156:G156" si="240">SUM(E157:E159)</f>
        <v>0</v>
      </c>
      <c r="F156" s="233">
        <f t="shared" ref="F156" si="241">SUM(F157:F159)</f>
        <v>0</v>
      </c>
      <c r="G156" s="233">
        <f t="shared" si="240"/>
        <v>0</v>
      </c>
      <c r="H156" s="232">
        <f t="shared" si="201"/>
        <v>0</v>
      </c>
      <c r="I156" s="233">
        <v>0</v>
      </c>
      <c r="J156" s="233">
        <f t="shared" ref="J156:L156" si="242">SUM(J157:J159)</f>
        <v>0</v>
      </c>
      <c r="K156" s="233">
        <f t="shared" ref="K156" si="243">SUM(K157:K159)</f>
        <v>0</v>
      </c>
      <c r="L156" s="233">
        <f t="shared" si="242"/>
        <v>0</v>
      </c>
      <c r="M156" s="232">
        <f t="shared" si="202"/>
        <v>0</v>
      </c>
      <c r="N156" s="233">
        <v>0</v>
      </c>
      <c r="O156" s="233">
        <f t="shared" ref="O156:Q156" si="244">SUM(O157:O159)</f>
        <v>0</v>
      </c>
      <c r="P156" s="233">
        <f t="shared" ref="P156" si="245">SUM(P157:P159)</f>
        <v>0</v>
      </c>
      <c r="Q156" s="233">
        <f t="shared" si="244"/>
        <v>0</v>
      </c>
      <c r="R156" s="232">
        <f t="shared" si="203"/>
        <v>0</v>
      </c>
    </row>
    <row r="157" spans="1:18" s="6" customFormat="1" ht="24" hidden="1" customHeight="1">
      <c r="A157" s="133" t="s">
        <v>193</v>
      </c>
      <c r="B157" s="172" t="s">
        <v>171</v>
      </c>
      <c r="C157" s="170"/>
      <c r="D157" s="170">
        <v>0</v>
      </c>
      <c r="E157" s="233"/>
      <c r="F157" s="233"/>
      <c r="G157" s="233"/>
      <c r="H157" s="232">
        <f t="shared" si="201"/>
        <v>0</v>
      </c>
      <c r="I157" s="233">
        <v>0</v>
      </c>
      <c r="J157" s="233"/>
      <c r="K157" s="233"/>
      <c r="L157" s="233"/>
      <c r="M157" s="232">
        <f t="shared" si="202"/>
        <v>0</v>
      </c>
      <c r="N157" s="233">
        <v>0</v>
      </c>
      <c r="O157" s="233"/>
      <c r="P157" s="233"/>
      <c r="Q157" s="233"/>
      <c r="R157" s="232">
        <f t="shared" si="203"/>
        <v>0</v>
      </c>
    </row>
    <row r="158" spans="1:18" s="6" customFormat="1" ht="48" hidden="1" customHeight="1">
      <c r="A158" s="133">
        <v>9580</v>
      </c>
      <c r="B158" s="172" t="s">
        <v>166</v>
      </c>
      <c r="C158" s="204"/>
      <c r="D158" s="204">
        <v>0</v>
      </c>
      <c r="E158" s="252"/>
      <c r="F158" s="252"/>
      <c r="G158" s="252"/>
      <c r="H158" s="232">
        <f t="shared" si="201"/>
        <v>0</v>
      </c>
      <c r="I158" s="252">
        <v>0</v>
      </c>
      <c r="J158" s="252"/>
      <c r="K158" s="252"/>
      <c r="L158" s="252"/>
      <c r="M158" s="232">
        <f t="shared" si="202"/>
        <v>0</v>
      </c>
      <c r="N158" s="252">
        <v>0</v>
      </c>
      <c r="O158" s="252"/>
      <c r="P158" s="252"/>
      <c r="Q158" s="252"/>
      <c r="R158" s="232">
        <f t="shared" si="203"/>
        <v>0</v>
      </c>
    </row>
    <row r="159" spans="1:18" s="6" customFormat="1" ht="48" hidden="1" customHeight="1">
      <c r="A159" s="133">
        <v>9590</v>
      </c>
      <c r="B159" s="179" t="s">
        <v>172</v>
      </c>
      <c r="C159" s="204"/>
      <c r="D159" s="204">
        <v>0</v>
      </c>
      <c r="E159" s="252"/>
      <c r="F159" s="252"/>
      <c r="G159" s="252"/>
      <c r="H159" s="232">
        <f t="shared" si="201"/>
        <v>0</v>
      </c>
      <c r="I159" s="252">
        <v>0</v>
      </c>
      <c r="J159" s="252"/>
      <c r="K159" s="252"/>
      <c r="L159" s="252"/>
      <c r="M159" s="232">
        <f t="shared" si="202"/>
        <v>0</v>
      </c>
      <c r="N159" s="252">
        <v>0</v>
      </c>
      <c r="O159" s="252"/>
      <c r="P159" s="252"/>
      <c r="Q159" s="252"/>
      <c r="R159" s="232">
        <f t="shared" si="203"/>
        <v>0</v>
      </c>
    </row>
    <row r="160" spans="1:18" s="6" customFormat="1" ht="24" hidden="1" customHeight="1">
      <c r="A160" s="141">
        <v>9700</v>
      </c>
      <c r="B160" s="183" t="s">
        <v>194</v>
      </c>
      <c r="C160" s="170">
        <v>0</v>
      </c>
      <c r="D160" s="170">
        <v>0</v>
      </c>
      <c r="E160" s="233">
        <f t="shared" ref="E160:G160" si="246">SUM(E161:E162)</f>
        <v>0</v>
      </c>
      <c r="F160" s="233">
        <f t="shared" ref="F160" si="247">SUM(F161:F162)</f>
        <v>0</v>
      </c>
      <c r="G160" s="233">
        <f t="shared" si="246"/>
        <v>0</v>
      </c>
      <c r="H160" s="232">
        <f t="shared" si="201"/>
        <v>0</v>
      </c>
      <c r="I160" s="233">
        <v>0</v>
      </c>
      <c r="J160" s="233">
        <f t="shared" ref="J160:L160" si="248">SUM(J161:J162)</f>
        <v>0</v>
      </c>
      <c r="K160" s="233">
        <f t="shared" ref="K160" si="249">SUM(K161:K162)</f>
        <v>0</v>
      </c>
      <c r="L160" s="233">
        <f t="shared" si="248"/>
        <v>0</v>
      </c>
      <c r="M160" s="232">
        <f t="shared" si="202"/>
        <v>0</v>
      </c>
      <c r="N160" s="233">
        <v>0</v>
      </c>
      <c r="O160" s="233">
        <f t="shared" ref="O160:Q160" si="250">SUM(O161:O162)</f>
        <v>0</v>
      </c>
      <c r="P160" s="233">
        <f t="shared" ref="P160" si="251">SUM(P161:P162)</f>
        <v>0</v>
      </c>
      <c r="Q160" s="233">
        <f t="shared" si="250"/>
        <v>0</v>
      </c>
      <c r="R160" s="232">
        <f t="shared" si="203"/>
        <v>0</v>
      </c>
    </row>
    <row r="161" spans="1:18" s="6" customFormat="1" ht="24" hidden="1" customHeight="1">
      <c r="A161" s="133">
        <v>9710</v>
      </c>
      <c r="B161" s="184" t="s">
        <v>195</v>
      </c>
      <c r="C161" s="204"/>
      <c r="D161" s="204">
        <v>0</v>
      </c>
      <c r="E161" s="252"/>
      <c r="F161" s="252"/>
      <c r="G161" s="252"/>
      <c r="H161" s="232">
        <f t="shared" si="201"/>
        <v>0</v>
      </c>
      <c r="I161" s="252">
        <v>0</v>
      </c>
      <c r="J161" s="252"/>
      <c r="K161" s="252"/>
      <c r="L161" s="252"/>
      <c r="M161" s="232">
        <f t="shared" si="202"/>
        <v>0</v>
      </c>
      <c r="N161" s="252">
        <v>0</v>
      </c>
      <c r="O161" s="252"/>
      <c r="P161" s="252"/>
      <c r="Q161" s="252"/>
      <c r="R161" s="232">
        <f t="shared" si="203"/>
        <v>0</v>
      </c>
    </row>
    <row r="162" spans="1:18" s="6" customFormat="1" ht="48" hidden="1" customHeight="1">
      <c r="A162" s="142">
        <v>9720</v>
      </c>
      <c r="B162" s="183" t="s">
        <v>196</v>
      </c>
      <c r="C162" s="204"/>
      <c r="D162" s="204">
        <v>0</v>
      </c>
      <c r="E162" s="252"/>
      <c r="F162" s="252"/>
      <c r="G162" s="252"/>
      <c r="H162" s="232">
        <f t="shared" si="201"/>
        <v>0</v>
      </c>
      <c r="I162" s="252">
        <v>0</v>
      </c>
      <c r="J162" s="252"/>
      <c r="K162" s="252"/>
      <c r="L162" s="252"/>
      <c r="M162" s="232">
        <f t="shared" si="202"/>
        <v>0</v>
      </c>
      <c r="N162" s="252">
        <v>0</v>
      </c>
      <c r="O162" s="252"/>
      <c r="P162" s="252"/>
      <c r="Q162" s="252"/>
      <c r="R162" s="232">
        <f t="shared" si="203"/>
        <v>0</v>
      </c>
    </row>
    <row r="163" spans="1:18" s="6" customFormat="1" ht="24" hidden="1" customHeight="1">
      <c r="A163" s="141">
        <v>9600</v>
      </c>
      <c r="B163" s="179" t="s">
        <v>134</v>
      </c>
      <c r="C163" s="204"/>
      <c r="D163" s="204">
        <v>0</v>
      </c>
      <c r="E163" s="252"/>
      <c r="F163" s="252"/>
      <c r="G163" s="252"/>
      <c r="H163" s="232">
        <f t="shared" si="201"/>
        <v>0</v>
      </c>
      <c r="I163" s="252">
        <v>0</v>
      </c>
      <c r="J163" s="252"/>
      <c r="K163" s="252"/>
      <c r="L163" s="252"/>
      <c r="M163" s="232">
        <f t="shared" si="202"/>
        <v>0</v>
      </c>
      <c r="N163" s="252">
        <v>0</v>
      </c>
      <c r="O163" s="252"/>
      <c r="P163" s="252"/>
      <c r="Q163" s="252"/>
      <c r="R163" s="232">
        <f t="shared" si="203"/>
        <v>0</v>
      </c>
    </row>
    <row r="164" spans="1:18" s="6" customFormat="1" ht="52.5" hidden="1" customHeight="1">
      <c r="A164" s="130" t="s">
        <v>197</v>
      </c>
      <c r="B164" s="185" t="s">
        <v>47</v>
      </c>
      <c r="C164" s="206">
        <v>0</v>
      </c>
      <c r="D164" s="206">
        <v>0</v>
      </c>
      <c r="E164" s="262">
        <f t="shared" ref="E164:G164" si="252">E94-E119</f>
        <v>0</v>
      </c>
      <c r="F164" s="262">
        <f t="shared" ref="F164" si="253">F94-F119</f>
        <v>0</v>
      </c>
      <c r="G164" s="262">
        <f t="shared" si="252"/>
        <v>0</v>
      </c>
      <c r="H164" s="232">
        <f t="shared" si="201"/>
        <v>0</v>
      </c>
      <c r="I164" s="262">
        <v>0</v>
      </c>
      <c r="J164" s="262">
        <f t="shared" ref="J164:L164" si="254">J94-J119</f>
        <v>0</v>
      </c>
      <c r="K164" s="262">
        <f t="shared" ref="K164" si="255">K94-K119</f>
        <v>0</v>
      </c>
      <c r="L164" s="262">
        <f t="shared" si="254"/>
        <v>0</v>
      </c>
      <c r="M164" s="232">
        <f t="shared" si="202"/>
        <v>0</v>
      </c>
      <c r="N164" s="262">
        <v>0</v>
      </c>
      <c r="O164" s="262">
        <f t="shared" ref="O164:Q164" si="256">O94-O119</f>
        <v>0</v>
      </c>
      <c r="P164" s="262">
        <f t="shared" ref="P164" si="257">P94-P119</f>
        <v>0</v>
      </c>
      <c r="Q164" s="262">
        <f t="shared" si="256"/>
        <v>0</v>
      </c>
      <c r="R164" s="232">
        <f t="shared" si="203"/>
        <v>0</v>
      </c>
    </row>
    <row r="165" spans="1:18" s="6" customFormat="1" ht="12" hidden="1" customHeight="1">
      <c r="A165" s="143" t="s">
        <v>48</v>
      </c>
      <c r="B165" s="185" t="s">
        <v>49</v>
      </c>
      <c r="C165" s="206">
        <v>0</v>
      </c>
      <c r="D165" s="206">
        <v>0</v>
      </c>
      <c r="E165" s="262">
        <f t="shared" ref="E165:G165" si="258">E166+E169+E173+E172</f>
        <v>0</v>
      </c>
      <c r="F165" s="262">
        <f t="shared" ref="F165" si="259">F166+F169+F173+F172</f>
        <v>0</v>
      </c>
      <c r="G165" s="262">
        <f t="shared" si="258"/>
        <v>0</v>
      </c>
      <c r="H165" s="232">
        <f t="shared" si="201"/>
        <v>0</v>
      </c>
      <c r="I165" s="262">
        <v>0</v>
      </c>
      <c r="J165" s="262">
        <f t="shared" ref="J165:L165" si="260">J166+J169+J173+J172</f>
        <v>0</v>
      </c>
      <c r="K165" s="262">
        <f t="shared" ref="K165" si="261">K166+K169+K173+K172</f>
        <v>0</v>
      </c>
      <c r="L165" s="262">
        <f t="shared" si="260"/>
        <v>0</v>
      </c>
      <c r="M165" s="232">
        <f t="shared" si="202"/>
        <v>0</v>
      </c>
      <c r="N165" s="262">
        <v>0</v>
      </c>
      <c r="O165" s="262">
        <f t="shared" ref="O165:Q165" si="262">O166+O169+O173+O172</f>
        <v>0</v>
      </c>
      <c r="P165" s="262">
        <f t="shared" ref="P165" si="263">P166+P169+P173+P172</f>
        <v>0</v>
      </c>
      <c r="Q165" s="262">
        <f t="shared" si="262"/>
        <v>0</v>
      </c>
      <c r="R165" s="232">
        <f t="shared" si="203"/>
        <v>0</v>
      </c>
    </row>
    <row r="166" spans="1:18" s="6" customFormat="1" ht="12" hidden="1" customHeight="1">
      <c r="A166" s="141" t="s">
        <v>50</v>
      </c>
      <c r="B166" s="179" t="s">
        <v>51</v>
      </c>
      <c r="C166" s="98">
        <v>0</v>
      </c>
      <c r="D166" s="98">
        <v>0</v>
      </c>
      <c r="E166" s="231">
        <f t="shared" ref="E166:G166" si="264">E167+E168</f>
        <v>0</v>
      </c>
      <c r="F166" s="231">
        <f t="shared" ref="F166" si="265">F167+F168</f>
        <v>0</v>
      </c>
      <c r="G166" s="231">
        <f t="shared" si="264"/>
        <v>0</v>
      </c>
      <c r="H166" s="232">
        <f t="shared" si="201"/>
        <v>0</v>
      </c>
      <c r="I166" s="231">
        <v>0</v>
      </c>
      <c r="J166" s="231">
        <f t="shared" ref="J166:L166" si="266">J167+J168</f>
        <v>0</v>
      </c>
      <c r="K166" s="231">
        <f t="shared" ref="K166" si="267">K167+K168</f>
        <v>0</v>
      </c>
      <c r="L166" s="231">
        <f t="shared" si="266"/>
        <v>0</v>
      </c>
      <c r="M166" s="232">
        <f t="shared" si="202"/>
        <v>0</v>
      </c>
      <c r="N166" s="231">
        <v>0</v>
      </c>
      <c r="O166" s="231">
        <f t="shared" ref="O166:Q166" si="268">O167+O168</f>
        <v>0</v>
      </c>
      <c r="P166" s="231">
        <f t="shared" ref="P166" si="269">P167+P168</f>
        <v>0</v>
      </c>
      <c r="Q166" s="231">
        <f t="shared" si="268"/>
        <v>0</v>
      </c>
      <c r="R166" s="232">
        <f t="shared" si="203"/>
        <v>0</v>
      </c>
    </row>
    <row r="167" spans="1:18" s="6" customFormat="1" ht="12" hidden="1" customHeight="1">
      <c r="A167" s="141" t="s">
        <v>52</v>
      </c>
      <c r="B167" s="179" t="s">
        <v>53</v>
      </c>
      <c r="C167" s="98"/>
      <c r="D167" s="98">
        <v>0</v>
      </c>
      <c r="E167" s="231"/>
      <c r="F167" s="231"/>
      <c r="G167" s="231"/>
      <c r="H167" s="232">
        <f t="shared" si="201"/>
        <v>0</v>
      </c>
      <c r="I167" s="231">
        <v>0</v>
      </c>
      <c r="J167" s="231"/>
      <c r="K167" s="231"/>
      <c r="L167" s="231"/>
      <c r="M167" s="232">
        <f t="shared" si="202"/>
        <v>0</v>
      </c>
      <c r="N167" s="231">
        <v>0</v>
      </c>
      <c r="O167" s="231"/>
      <c r="P167" s="231"/>
      <c r="Q167" s="231"/>
      <c r="R167" s="232">
        <f t="shared" si="203"/>
        <v>0</v>
      </c>
    </row>
    <row r="168" spans="1:18" s="6" customFormat="1" ht="12" hidden="1" customHeight="1">
      <c r="A168" s="141" t="s">
        <v>54</v>
      </c>
      <c r="B168" s="179" t="s">
        <v>55</v>
      </c>
      <c r="C168" s="98"/>
      <c r="D168" s="98">
        <v>0</v>
      </c>
      <c r="E168" s="231"/>
      <c r="F168" s="231"/>
      <c r="G168" s="231"/>
      <c r="H168" s="232">
        <f t="shared" si="201"/>
        <v>0</v>
      </c>
      <c r="I168" s="231">
        <v>0</v>
      </c>
      <c r="J168" s="231"/>
      <c r="K168" s="231"/>
      <c r="L168" s="231"/>
      <c r="M168" s="232">
        <f t="shared" si="202"/>
        <v>0</v>
      </c>
      <c r="N168" s="231">
        <v>0</v>
      </c>
      <c r="O168" s="231"/>
      <c r="P168" s="231"/>
      <c r="Q168" s="231"/>
      <c r="R168" s="232">
        <f t="shared" si="203"/>
        <v>0</v>
      </c>
    </row>
    <row r="169" spans="1:18" s="6" customFormat="1" ht="12" hidden="1" customHeight="1">
      <c r="A169" s="141" t="s">
        <v>56</v>
      </c>
      <c r="B169" s="179" t="s">
        <v>57</v>
      </c>
      <c r="C169" s="98">
        <v>0</v>
      </c>
      <c r="D169" s="98">
        <v>0</v>
      </c>
      <c r="E169" s="231">
        <f t="shared" ref="E169:G169" si="270">E170+E171</f>
        <v>0</v>
      </c>
      <c r="F169" s="231">
        <f t="shared" ref="F169" si="271">F170+F171</f>
        <v>0</v>
      </c>
      <c r="G169" s="231">
        <f t="shared" si="270"/>
        <v>0</v>
      </c>
      <c r="H169" s="232">
        <f t="shared" si="201"/>
        <v>0</v>
      </c>
      <c r="I169" s="231">
        <v>0</v>
      </c>
      <c r="J169" s="231">
        <f t="shared" ref="J169:L169" si="272">J170+J171</f>
        <v>0</v>
      </c>
      <c r="K169" s="231">
        <f t="shared" ref="K169" si="273">K170+K171</f>
        <v>0</v>
      </c>
      <c r="L169" s="231">
        <f t="shared" si="272"/>
        <v>0</v>
      </c>
      <c r="M169" s="232">
        <f t="shared" si="202"/>
        <v>0</v>
      </c>
      <c r="N169" s="231">
        <v>0</v>
      </c>
      <c r="O169" s="231">
        <f t="shared" ref="O169:Q169" si="274">O170+O171</f>
        <v>0</v>
      </c>
      <c r="P169" s="231">
        <f t="shared" ref="P169" si="275">P170+P171</f>
        <v>0</v>
      </c>
      <c r="Q169" s="231">
        <f t="shared" si="274"/>
        <v>0</v>
      </c>
      <c r="R169" s="232">
        <f t="shared" si="203"/>
        <v>0</v>
      </c>
    </row>
    <row r="170" spans="1:18" s="6" customFormat="1" ht="12" hidden="1" customHeight="1">
      <c r="A170" s="141" t="s">
        <v>58</v>
      </c>
      <c r="B170" s="179" t="s">
        <v>59</v>
      </c>
      <c r="C170" s="98"/>
      <c r="D170" s="98">
        <v>0</v>
      </c>
      <c r="E170" s="231"/>
      <c r="F170" s="231"/>
      <c r="G170" s="231"/>
      <c r="H170" s="232">
        <f t="shared" si="201"/>
        <v>0</v>
      </c>
      <c r="I170" s="231">
        <v>0</v>
      </c>
      <c r="J170" s="231"/>
      <c r="K170" s="231"/>
      <c r="L170" s="231"/>
      <c r="M170" s="232">
        <f t="shared" si="202"/>
        <v>0</v>
      </c>
      <c r="N170" s="231">
        <v>0</v>
      </c>
      <c r="O170" s="231"/>
      <c r="P170" s="231"/>
      <c r="Q170" s="231"/>
      <c r="R170" s="232">
        <f t="shared" si="203"/>
        <v>0</v>
      </c>
    </row>
    <row r="171" spans="1:18" s="6" customFormat="1" ht="12" hidden="1" customHeight="1">
      <c r="A171" s="141" t="s">
        <v>60</v>
      </c>
      <c r="B171" s="179" t="s">
        <v>61</v>
      </c>
      <c r="C171" s="98"/>
      <c r="D171" s="98">
        <v>0</v>
      </c>
      <c r="E171" s="231"/>
      <c r="F171" s="231"/>
      <c r="G171" s="231"/>
      <c r="H171" s="232">
        <f t="shared" si="201"/>
        <v>0</v>
      </c>
      <c r="I171" s="231">
        <v>0</v>
      </c>
      <c r="J171" s="231"/>
      <c r="K171" s="231"/>
      <c r="L171" s="231"/>
      <c r="M171" s="232">
        <f t="shared" si="202"/>
        <v>0</v>
      </c>
      <c r="N171" s="231">
        <v>0</v>
      </c>
      <c r="O171" s="231"/>
      <c r="P171" s="231"/>
      <c r="Q171" s="231"/>
      <c r="R171" s="232">
        <f t="shared" si="203"/>
        <v>0</v>
      </c>
    </row>
    <row r="172" spans="1:18" s="6" customFormat="1" ht="12" hidden="1" customHeight="1">
      <c r="A172" s="141" t="s">
        <v>198</v>
      </c>
      <c r="B172" s="187" t="s">
        <v>168</v>
      </c>
      <c r="C172" s="98"/>
      <c r="D172" s="98">
        <v>0</v>
      </c>
      <c r="E172" s="231"/>
      <c r="F172" s="231"/>
      <c r="G172" s="231"/>
      <c r="H172" s="232">
        <f t="shared" si="201"/>
        <v>0</v>
      </c>
      <c r="I172" s="231">
        <v>0</v>
      </c>
      <c r="J172" s="231"/>
      <c r="K172" s="231"/>
      <c r="L172" s="231"/>
      <c r="M172" s="232">
        <f t="shared" si="202"/>
        <v>0</v>
      </c>
      <c r="N172" s="231">
        <v>0</v>
      </c>
      <c r="O172" s="231"/>
      <c r="P172" s="231"/>
      <c r="Q172" s="231"/>
      <c r="R172" s="232">
        <f t="shared" si="203"/>
        <v>0</v>
      </c>
    </row>
    <row r="173" spans="1:18" s="6" customFormat="1" ht="12" hidden="1" customHeight="1">
      <c r="A173" s="144" t="s">
        <v>62</v>
      </c>
      <c r="B173" s="125" t="s">
        <v>63</v>
      </c>
      <c r="C173" s="170">
        <v>0</v>
      </c>
      <c r="D173" s="170">
        <v>0</v>
      </c>
      <c r="E173" s="233">
        <f t="shared" ref="E173:G173" si="276">E174+E175+E176</f>
        <v>0</v>
      </c>
      <c r="F173" s="233">
        <f t="shared" ref="F173" si="277">F174+F175+F176</f>
        <v>0</v>
      </c>
      <c r="G173" s="233">
        <f t="shared" si="276"/>
        <v>0</v>
      </c>
      <c r="H173" s="232">
        <f t="shared" si="201"/>
        <v>0</v>
      </c>
      <c r="I173" s="233">
        <v>0</v>
      </c>
      <c r="J173" s="233">
        <f t="shared" ref="J173:L173" si="278">J174+J175+J176</f>
        <v>0</v>
      </c>
      <c r="K173" s="233">
        <f t="shared" ref="K173" si="279">K174+K175+K176</f>
        <v>0</v>
      </c>
      <c r="L173" s="233">
        <f t="shared" si="278"/>
        <v>0</v>
      </c>
      <c r="M173" s="232">
        <f t="shared" si="202"/>
        <v>0</v>
      </c>
      <c r="N173" s="233">
        <v>0</v>
      </c>
      <c r="O173" s="233">
        <f t="shared" ref="O173:Q173" si="280">O174+O175+O176</f>
        <v>0</v>
      </c>
      <c r="P173" s="233">
        <f t="shared" ref="P173" si="281">P174+P175+P176</f>
        <v>0</v>
      </c>
      <c r="Q173" s="233">
        <f t="shared" si="280"/>
        <v>0</v>
      </c>
      <c r="R173" s="232">
        <f t="shared" si="203"/>
        <v>0</v>
      </c>
    </row>
    <row r="174" spans="1:18" s="6" customFormat="1" ht="36" hidden="1" customHeight="1">
      <c r="A174" s="144" t="s">
        <v>64</v>
      </c>
      <c r="B174" s="179" t="s">
        <v>65</v>
      </c>
      <c r="C174" s="98"/>
      <c r="D174" s="98">
        <v>0</v>
      </c>
      <c r="E174" s="231"/>
      <c r="F174" s="231"/>
      <c r="G174" s="231"/>
      <c r="H174" s="232">
        <f t="shared" si="201"/>
        <v>0</v>
      </c>
      <c r="I174" s="231">
        <v>0</v>
      </c>
      <c r="J174" s="231"/>
      <c r="K174" s="231"/>
      <c r="L174" s="231"/>
      <c r="M174" s="232">
        <f t="shared" si="202"/>
        <v>0</v>
      </c>
      <c r="N174" s="231">
        <v>0</v>
      </c>
      <c r="O174" s="231"/>
      <c r="P174" s="231"/>
      <c r="Q174" s="231"/>
      <c r="R174" s="232">
        <f t="shared" si="203"/>
        <v>0</v>
      </c>
    </row>
    <row r="175" spans="1:18" s="6" customFormat="1" ht="24" hidden="1" customHeight="1">
      <c r="A175" s="144" t="s">
        <v>66</v>
      </c>
      <c r="B175" s="179" t="s">
        <v>67</v>
      </c>
      <c r="C175" s="98"/>
      <c r="D175" s="98">
        <v>0</v>
      </c>
      <c r="E175" s="231"/>
      <c r="F175" s="231"/>
      <c r="G175" s="231"/>
      <c r="H175" s="232">
        <f t="shared" si="201"/>
        <v>0</v>
      </c>
      <c r="I175" s="231">
        <v>0</v>
      </c>
      <c r="J175" s="231"/>
      <c r="K175" s="231"/>
      <c r="L175" s="231"/>
      <c r="M175" s="232">
        <f t="shared" si="202"/>
        <v>0</v>
      </c>
      <c r="N175" s="231">
        <v>0</v>
      </c>
      <c r="O175" s="231"/>
      <c r="P175" s="231"/>
      <c r="Q175" s="231"/>
      <c r="R175" s="232">
        <f t="shared" si="203"/>
        <v>0</v>
      </c>
    </row>
    <row r="176" spans="1:18" s="6" customFormat="1" ht="24" hidden="1" customHeight="1">
      <c r="A176" s="144" t="s">
        <v>68</v>
      </c>
      <c r="B176" s="125" t="s">
        <v>69</v>
      </c>
      <c r="C176" s="98"/>
      <c r="D176" s="98">
        <v>0</v>
      </c>
      <c r="E176" s="231"/>
      <c r="F176" s="231"/>
      <c r="G176" s="231"/>
      <c r="H176" s="232">
        <f t="shared" si="201"/>
        <v>0</v>
      </c>
      <c r="I176" s="231">
        <v>0</v>
      </c>
      <c r="J176" s="231"/>
      <c r="K176" s="231"/>
      <c r="L176" s="231"/>
      <c r="M176" s="232">
        <f t="shared" si="202"/>
        <v>0</v>
      </c>
      <c r="N176" s="231">
        <v>0</v>
      </c>
      <c r="O176" s="231"/>
      <c r="P176" s="231"/>
      <c r="Q176" s="231"/>
      <c r="R176" s="232">
        <f t="shared" si="203"/>
        <v>0</v>
      </c>
    </row>
    <row r="177" spans="1:18" s="6" customFormat="1" ht="34.200000000000003">
      <c r="A177" s="145"/>
      <c r="B177" s="188" t="s">
        <v>200</v>
      </c>
      <c r="C177" s="207"/>
      <c r="D177" s="190">
        <v>0</v>
      </c>
      <c r="E177" s="268"/>
      <c r="F177" s="268"/>
      <c r="G177" s="268"/>
      <c r="H177" s="269">
        <f t="shared" si="201"/>
        <v>0</v>
      </c>
      <c r="I177" s="347">
        <v>0</v>
      </c>
      <c r="J177" s="268"/>
      <c r="K177" s="268"/>
      <c r="L177" s="268"/>
      <c r="M177" s="269">
        <f t="shared" si="202"/>
        <v>0</v>
      </c>
      <c r="N177" s="347">
        <v>0</v>
      </c>
      <c r="O177" s="268"/>
      <c r="P177" s="268"/>
      <c r="Q177" s="268"/>
      <c r="R177" s="269">
        <f t="shared" si="203"/>
        <v>0</v>
      </c>
    </row>
    <row r="178" spans="1:18" s="6" customFormat="1" ht="21" hidden="1" customHeight="1">
      <c r="A178" s="321" t="s">
        <v>201</v>
      </c>
      <c r="B178" s="322" t="s">
        <v>88</v>
      </c>
      <c r="C178" s="200">
        <v>0</v>
      </c>
      <c r="D178" s="200">
        <v>0</v>
      </c>
      <c r="E178" s="228">
        <f t="shared" ref="E178:G178" si="282">E179+E180+E182+E200</f>
        <v>0</v>
      </c>
      <c r="F178" s="228">
        <f t="shared" ref="F178" si="283">F179+F180+F182+F200</f>
        <v>0</v>
      </c>
      <c r="G178" s="228">
        <f t="shared" si="282"/>
        <v>0</v>
      </c>
      <c r="H178" s="229">
        <f t="shared" si="201"/>
        <v>0</v>
      </c>
      <c r="I178" s="228">
        <v>0</v>
      </c>
      <c r="J178" s="228">
        <f t="shared" ref="J178:L178" si="284">J179+J180+J182+J200</f>
        <v>0</v>
      </c>
      <c r="K178" s="228">
        <f t="shared" ref="K178" si="285">K179+K180+K182+K200</f>
        <v>0</v>
      </c>
      <c r="L178" s="228">
        <f t="shared" si="284"/>
        <v>0</v>
      </c>
      <c r="M178" s="229">
        <f t="shared" si="202"/>
        <v>0</v>
      </c>
      <c r="N178" s="228">
        <v>0</v>
      </c>
      <c r="O178" s="228">
        <f t="shared" ref="O178:Q178" si="286">O179+O180+O182+O200</f>
        <v>0</v>
      </c>
      <c r="P178" s="228">
        <f t="shared" ref="P178" si="287">P179+P180+P182+P200</f>
        <v>0</v>
      </c>
      <c r="Q178" s="228">
        <f t="shared" si="286"/>
        <v>0</v>
      </c>
      <c r="R178" s="229">
        <f t="shared" si="203"/>
        <v>0</v>
      </c>
    </row>
    <row r="179" spans="1:18" s="6" customFormat="1" ht="24" hidden="1" customHeight="1">
      <c r="A179" s="130" t="s">
        <v>177</v>
      </c>
      <c r="B179" s="124" t="s">
        <v>90</v>
      </c>
      <c r="C179" s="98"/>
      <c r="D179" s="98">
        <v>0</v>
      </c>
      <c r="E179" s="231"/>
      <c r="F179" s="231"/>
      <c r="G179" s="231"/>
      <c r="H179" s="232">
        <f t="shared" si="201"/>
        <v>0</v>
      </c>
      <c r="I179" s="231">
        <v>0</v>
      </c>
      <c r="J179" s="231"/>
      <c r="K179" s="231"/>
      <c r="L179" s="231"/>
      <c r="M179" s="232">
        <f t="shared" si="202"/>
        <v>0</v>
      </c>
      <c r="N179" s="231">
        <v>0</v>
      </c>
      <c r="O179" s="231"/>
      <c r="P179" s="231"/>
      <c r="Q179" s="231"/>
      <c r="R179" s="232">
        <f t="shared" si="203"/>
        <v>0</v>
      </c>
    </row>
    <row r="180" spans="1:18" s="6" customFormat="1" ht="12" hidden="1" customHeight="1">
      <c r="A180" s="130" t="s">
        <v>91</v>
      </c>
      <c r="B180" s="124" t="s">
        <v>92</v>
      </c>
      <c r="C180" s="98"/>
      <c r="D180" s="98">
        <v>0</v>
      </c>
      <c r="E180" s="231"/>
      <c r="F180" s="231"/>
      <c r="G180" s="231"/>
      <c r="H180" s="232">
        <f t="shared" si="201"/>
        <v>0</v>
      </c>
      <c r="I180" s="231">
        <v>0</v>
      </c>
      <c r="J180" s="231"/>
      <c r="K180" s="231"/>
      <c r="L180" s="231"/>
      <c r="M180" s="232">
        <f t="shared" si="202"/>
        <v>0</v>
      </c>
      <c r="N180" s="231">
        <v>0</v>
      </c>
      <c r="O180" s="231"/>
      <c r="P180" s="231"/>
      <c r="Q180" s="231"/>
      <c r="R180" s="232">
        <f t="shared" si="203"/>
        <v>0</v>
      </c>
    </row>
    <row r="181" spans="1:18" s="29" customFormat="1" ht="24" hidden="1" customHeight="1">
      <c r="A181" s="131">
        <v>21210</v>
      </c>
      <c r="B181" s="125" t="s">
        <v>93</v>
      </c>
      <c r="C181" s="98"/>
      <c r="D181" s="98">
        <v>0</v>
      </c>
      <c r="E181" s="231"/>
      <c r="F181" s="231"/>
      <c r="G181" s="231"/>
      <c r="H181" s="232">
        <f t="shared" si="201"/>
        <v>0</v>
      </c>
      <c r="I181" s="231">
        <v>0</v>
      </c>
      <c r="J181" s="231"/>
      <c r="K181" s="231"/>
      <c r="L181" s="231"/>
      <c r="M181" s="232">
        <f t="shared" si="202"/>
        <v>0</v>
      </c>
      <c r="N181" s="231">
        <v>0</v>
      </c>
      <c r="O181" s="231"/>
      <c r="P181" s="231"/>
      <c r="Q181" s="231"/>
      <c r="R181" s="232">
        <f t="shared" si="203"/>
        <v>0</v>
      </c>
    </row>
    <row r="182" spans="1:18" s="89" customFormat="1" ht="21" hidden="1" customHeight="1">
      <c r="A182" s="130" t="s">
        <v>178</v>
      </c>
      <c r="B182" s="124" t="s">
        <v>94</v>
      </c>
      <c r="C182" s="170">
        <v>0</v>
      </c>
      <c r="D182" s="170">
        <v>0</v>
      </c>
      <c r="E182" s="233">
        <f t="shared" ref="E182:G182" si="288">E183+E189</f>
        <v>0</v>
      </c>
      <c r="F182" s="233">
        <f t="shared" ref="F182" si="289">F183+F189</f>
        <v>0</v>
      </c>
      <c r="G182" s="233">
        <f t="shared" si="288"/>
        <v>0</v>
      </c>
      <c r="H182" s="232">
        <f t="shared" si="201"/>
        <v>0</v>
      </c>
      <c r="I182" s="233">
        <v>0</v>
      </c>
      <c r="J182" s="233">
        <f t="shared" ref="J182:L182" si="290">J183+J189</f>
        <v>0</v>
      </c>
      <c r="K182" s="233">
        <f t="shared" ref="K182" si="291">K183+K189</f>
        <v>0</v>
      </c>
      <c r="L182" s="233">
        <f t="shared" si="290"/>
        <v>0</v>
      </c>
      <c r="M182" s="232">
        <f t="shared" si="202"/>
        <v>0</v>
      </c>
      <c r="N182" s="233">
        <v>0</v>
      </c>
      <c r="O182" s="233">
        <f t="shared" ref="O182:Q182" si="292">O183+O189</f>
        <v>0</v>
      </c>
      <c r="P182" s="233">
        <f t="shared" ref="P182" si="293">P183+P189</f>
        <v>0</v>
      </c>
      <c r="Q182" s="233">
        <f t="shared" si="292"/>
        <v>0</v>
      </c>
      <c r="R182" s="232">
        <f t="shared" si="203"/>
        <v>0</v>
      </c>
    </row>
    <row r="183" spans="1:18" s="89" customFormat="1" ht="12" hidden="1" customHeight="1">
      <c r="A183" s="132">
        <v>18000</v>
      </c>
      <c r="B183" s="125" t="s">
        <v>95</v>
      </c>
      <c r="C183" s="170">
        <v>0</v>
      </c>
      <c r="D183" s="170">
        <v>0</v>
      </c>
      <c r="E183" s="233">
        <f t="shared" ref="E183:L184" si="294">E184</f>
        <v>0</v>
      </c>
      <c r="F183" s="233">
        <f t="shared" si="294"/>
        <v>0</v>
      </c>
      <c r="G183" s="233">
        <f t="shared" si="294"/>
        <v>0</v>
      </c>
      <c r="H183" s="232">
        <f t="shared" si="201"/>
        <v>0</v>
      </c>
      <c r="I183" s="233">
        <v>0</v>
      </c>
      <c r="J183" s="233">
        <f t="shared" si="294"/>
        <v>0</v>
      </c>
      <c r="K183" s="233">
        <f t="shared" si="294"/>
        <v>0</v>
      </c>
      <c r="L183" s="233">
        <f t="shared" si="294"/>
        <v>0</v>
      </c>
      <c r="M183" s="232">
        <f t="shared" si="202"/>
        <v>0</v>
      </c>
      <c r="N183" s="233">
        <v>0</v>
      </c>
      <c r="O183" s="233">
        <f t="shared" ref="O183:Q184" si="295">O184</f>
        <v>0</v>
      </c>
      <c r="P183" s="233">
        <f t="shared" si="295"/>
        <v>0</v>
      </c>
      <c r="Q183" s="233">
        <f t="shared" si="295"/>
        <v>0</v>
      </c>
      <c r="R183" s="232">
        <f t="shared" si="203"/>
        <v>0</v>
      </c>
    </row>
    <row r="184" spans="1:18" s="89" customFormat="1" ht="12" hidden="1" customHeight="1">
      <c r="A184" s="132">
        <v>18100</v>
      </c>
      <c r="B184" s="125" t="s">
        <v>96</v>
      </c>
      <c r="C184" s="170">
        <v>0</v>
      </c>
      <c r="D184" s="170">
        <v>0</v>
      </c>
      <c r="E184" s="233">
        <f t="shared" si="294"/>
        <v>0</v>
      </c>
      <c r="F184" s="233">
        <f t="shared" si="294"/>
        <v>0</v>
      </c>
      <c r="G184" s="233">
        <f t="shared" si="294"/>
        <v>0</v>
      </c>
      <c r="H184" s="232">
        <f t="shared" si="201"/>
        <v>0</v>
      </c>
      <c r="I184" s="233">
        <v>0</v>
      </c>
      <c r="J184" s="233">
        <f t="shared" si="294"/>
        <v>0</v>
      </c>
      <c r="K184" s="233">
        <f t="shared" si="294"/>
        <v>0</v>
      </c>
      <c r="L184" s="233">
        <f t="shared" si="294"/>
        <v>0</v>
      </c>
      <c r="M184" s="232">
        <f t="shared" si="202"/>
        <v>0</v>
      </c>
      <c r="N184" s="233">
        <v>0</v>
      </c>
      <c r="O184" s="233">
        <f t="shared" si="295"/>
        <v>0</v>
      </c>
      <c r="P184" s="233">
        <f t="shared" si="295"/>
        <v>0</v>
      </c>
      <c r="Q184" s="233">
        <f t="shared" si="295"/>
        <v>0</v>
      </c>
      <c r="R184" s="232">
        <f t="shared" si="203"/>
        <v>0</v>
      </c>
    </row>
    <row r="185" spans="1:18" s="89" customFormat="1" ht="24" hidden="1" customHeight="1">
      <c r="A185" s="133">
        <v>18130</v>
      </c>
      <c r="B185" s="172" t="s">
        <v>159</v>
      </c>
      <c r="C185" s="170">
        <v>0</v>
      </c>
      <c r="D185" s="170">
        <v>0</v>
      </c>
      <c r="E185" s="233">
        <f t="shared" ref="E185:G185" si="296">SUM(E186:E188)</f>
        <v>0</v>
      </c>
      <c r="F185" s="233">
        <f t="shared" ref="F185" si="297">SUM(F186:F188)</f>
        <v>0</v>
      </c>
      <c r="G185" s="233">
        <f t="shared" si="296"/>
        <v>0</v>
      </c>
      <c r="H185" s="232">
        <f t="shared" si="201"/>
        <v>0</v>
      </c>
      <c r="I185" s="233">
        <v>0</v>
      </c>
      <c r="J185" s="233">
        <f t="shared" ref="J185:L185" si="298">SUM(J186:J188)</f>
        <v>0</v>
      </c>
      <c r="K185" s="233">
        <f t="shared" ref="K185" si="299">SUM(K186:K188)</f>
        <v>0</v>
      </c>
      <c r="L185" s="233">
        <f t="shared" si="298"/>
        <v>0</v>
      </c>
      <c r="M185" s="232">
        <f t="shared" si="202"/>
        <v>0</v>
      </c>
      <c r="N185" s="233">
        <v>0</v>
      </c>
      <c r="O185" s="233">
        <f t="shared" ref="O185:Q185" si="300">SUM(O186:O188)</f>
        <v>0</v>
      </c>
      <c r="P185" s="233">
        <f t="shared" ref="P185" si="301">SUM(P186:P188)</f>
        <v>0</v>
      </c>
      <c r="Q185" s="233">
        <f t="shared" si="300"/>
        <v>0</v>
      </c>
      <c r="R185" s="232">
        <f t="shared" si="203"/>
        <v>0</v>
      </c>
    </row>
    <row r="186" spans="1:18" s="89" customFormat="1" ht="36" hidden="1" customHeight="1">
      <c r="A186" s="134">
        <v>18131</v>
      </c>
      <c r="B186" s="172" t="s">
        <v>160</v>
      </c>
      <c r="C186" s="170"/>
      <c r="D186" s="170">
        <v>0</v>
      </c>
      <c r="E186" s="233"/>
      <c r="F186" s="233"/>
      <c r="G186" s="233"/>
      <c r="H186" s="232">
        <f t="shared" si="201"/>
        <v>0</v>
      </c>
      <c r="I186" s="233">
        <v>0</v>
      </c>
      <c r="J186" s="233"/>
      <c r="K186" s="233"/>
      <c r="L186" s="233"/>
      <c r="M186" s="232">
        <f t="shared" si="202"/>
        <v>0</v>
      </c>
      <c r="N186" s="233">
        <v>0</v>
      </c>
      <c r="O186" s="233"/>
      <c r="P186" s="233"/>
      <c r="Q186" s="233"/>
      <c r="R186" s="232">
        <f t="shared" si="203"/>
        <v>0</v>
      </c>
    </row>
    <row r="187" spans="1:18" s="89" customFormat="1" ht="24" hidden="1" customHeight="1">
      <c r="A187" s="134">
        <v>18132</v>
      </c>
      <c r="B187" s="172" t="s">
        <v>169</v>
      </c>
      <c r="C187" s="170"/>
      <c r="D187" s="170">
        <v>0</v>
      </c>
      <c r="E187" s="233"/>
      <c r="F187" s="233"/>
      <c r="G187" s="233"/>
      <c r="H187" s="232">
        <f t="shared" si="201"/>
        <v>0</v>
      </c>
      <c r="I187" s="233">
        <v>0</v>
      </c>
      <c r="J187" s="233"/>
      <c r="K187" s="233"/>
      <c r="L187" s="233"/>
      <c r="M187" s="232">
        <f t="shared" si="202"/>
        <v>0</v>
      </c>
      <c r="N187" s="233">
        <v>0</v>
      </c>
      <c r="O187" s="233"/>
      <c r="P187" s="233"/>
      <c r="Q187" s="233"/>
      <c r="R187" s="232">
        <f t="shared" si="203"/>
        <v>0</v>
      </c>
    </row>
    <row r="188" spans="1:18" s="89" customFormat="1" ht="24" hidden="1" customHeight="1">
      <c r="A188" s="134">
        <v>18139</v>
      </c>
      <c r="B188" s="172" t="s">
        <v>179</v>
      </c>
      <c r="C188" s="170"/>
      <c r="D188" s="170">
        <v>0</v>
      </c>
      <c r="E188" s="233"/>
      <c r="F188" s="233"/>
      <c r="G188" s="233"/>
      <c r="H188" s="232">
        <f t="shared" si="201"/>
        <v>0</v>
      </c>
      <c r="I188" s="233">
        <v>0</v>
      </c>
      <c r="J188" s="233"/>
      <c r="K188" s="233"/>
      <c r="L188" s="233"/>
      <c r="M188" s="232">
        <f t="shared" si="202"/>
        <v>0</v>
      </c>
      <c r="N188" s="233">
        <v>0</v>
      </c>
      <c r="O188" s="233"/>
      <c r="P188" s="233"/>
      <c r="Q188" s="233"/>
      <c r="R188" s="232">
        <f t="shared" si="203"/>
        <v>0</v>
      </c>
    </row>
    <row r="189" spans="1:18" s="89" customFormat="1" ht="12" hidden="1" customHeight="1">
      <c r="A189" s="135" t="s">
        <v>180</v>
      </c>
      <c r="B189" s="173" t="s">
        <v>173</v>
      </c>
      <c r="C189" s="201">
        <v>0</v>
      </c>
      <c r="D189" s="201">
        <v>0</v>
      </c>
      <c r="E189" s="238">
        <f t="shared" ref="E189:L189" si="302">E190</f>
        <v>0</v>
      </c>
      <c r="F189" s="238">
        <f t="shared" si="302"/>
        <v>0</v>
      </c>
      <c r="G189" s="238">
        <f t="shared" si="302"/>
        <v>0</v>
      </c>
      <c r="H189" s="232">
        <f t="shared" si="201"/>
        <v>0</v>
      </c>
      <c r="I189" s="238">
        <v>0</v>
      </c>
      <c r="J189" s="238">
        <f t="shared" si="302"/>
        <v>0</v>
      </c>
      <c r="K189" s="238">
        <f t="shared" si="302"/>
        <v>0</v>
      </c>
      <c r="L189" s="238">
        <f t="shared" si="302"/>
        <v>0</v>
      </c>
      <c r="M189" s="232">
        <f t="shared" si="202"/>
        <v>0</v>
      </c>
      <c r="N189" s="238">
        <v>0</v>
      </c>
      <c r="O189" s="238">
        <f t="shared" ref="O189:Q189" si="303">O190</f>
        <v>0</v>
      </c>
      <c r="P189" s="238">
        <f t="shared" si="303"/>
        <v>0</v>
      </c>
      <c r="Q189" s="238">
        <f t="shared" si="303"/>
        <v>0</v>
      </c>
      <c r="R189" s="232">
        <f t="shared" si="203"/>
        <v>0</v>
      </c>
    </row>
    <row r="190" spans="1:18" s="89" customFormat="1" ht="24" hidden="1" customHeight="1">
      <c r="A190" s="135">
        <v>19500</v>
      </c>
      <c r="B190" s="172" t="s">
        <v>174</v>
      </c>
      <c r="C190" s="170">
        <v>0</v>
      </c>
      <c r="D190" s="170">
        <v>0</v>
      </c>
      <c r="E190" s="233">
        <f t="shared" ref="E190:G190" si="304">SUM(E191:E193)</f>
        <v>0</v>
      </c>
      <c r="F190" s="233">
        <f t="shared" ref="F190" si="305">SUM(F191:F193)</f>
        <v>0</v>
      </c>
      <c r="G190" s="233">
        <f t="shared" si="304"/>
        <v>0</v>
      </c>
      <c r="H190" s="232">
        <f t="shared" si="201"/>
        <v>0</v>
      </c>
      <c r="I190" s="233">
        <v>0</v>
      </c>
      <c r="J190" s="233">
        <f t="shared" ref="J190:L190" si="306">SUM(J191:J193)</f>
        <v>0</v>
      </c>
      <c r="K190" s="233">
        <f t="shared" ref="K190" si="307">SUM(K191:K193)</f>
        <v>0</v>
      </c>
      <c r="L190" s="233">
        <f t="shared" si="306"/>
        <v>0</v>
      </c>
      <c r="M190" s="232">
        <f t="shared" si="202"/>
        <v>0</v>
      </c>
      <c r="N190" s="233">
        <v>0</v>
      </c>
      <c r="O190" s="233">
        <f t="shared" ref="O190:Q190" si="308">SUM(O191:O193)</f>
        <v>0</v>
      </c>
      <c r="P190" s="233">
        <f t="shared" ref="P190" si="309">SUM(P191:P193)</f>
        <v>0</v>
      </c>
      <c r="Q190" s="233">
        <f t="shared" si="308"/>
        <v>0</v>
      </c>
      <c r="R190" s="232">
        <f t="shared" si="203"/>
        <v>0</v>
      </c>
    </row>
    <row r="191" spans="1:18" s="89" customFormat="1" ht="24" hidden="1" customHeight="1">
      <c r="A191" s="136">
        <v>19550</v>
      </c>
      <c r="B191" s="172" t="s">
        <v>175</v>
      </c>
      <c r="C191" s="170"/>
      <c r="D191" s="170">
        <v>0</v>
      </c>
      <c r="E191" s="233"/>
      <c r="F191" s="233"/>
      <c r="G191" s="233"/>
      <c r="H191" s="232">
        <f t="shared" si="201"/>
        <v>0</v>
      </c>
      <c r="I191" s="233">
        <v>0</v>
      </c>
      <c r="J191" s="233"/>
      <c r="K191" s="233"/>
      <c r="L191" s="233"/>
      <c r="M191" s="232">
        <f t="shared" si="202"/>
        <v>0</v>
      </c>
      <c r="N191" s="233">
        <v>0</v>
      </c>
      <c r="O191" s="233"/>
      <c r="P191" s="233"/>
      <c r="Q191" s="233"/>
      <c r="R191" s="232">
        <f t="shared" si="203"/>
        <v>0</v>
      </c>
    </row>
    <row r="192" spans="1:18" s="89" customFormat="1" ht="36" hidden="1" customHeight="1">
      <c r="A192" s="136">
        <v>19560</v>
      </c>
      <c r="B192" s="172" t="s">
        <v>181</v>
      </c>
      <c r="C192" s="170"/>
      <c r="D192" s="170">
        <v>0</v>
      </c>
      <c r="E192" s="233"/>
      <c r="F192" s="233"/>
      <c r="G192" s="233"/>
      <c r="H192" s="232">
        <f t="shared" si="201"/>
        <v>0</v>
      </c>
      <c r="I192" s="233">
        <v>0</v>
      </c>
      <c r="J192" s="233"/>
      <c r="K192" s="233"/>
      <c r="L192" s="233"/>
      <c r="M192" s="232">
        <f t="shared" si="202"/>
        <v>0</v>
      </c>
      <c r="N192" s="233">
        <v>0</v>
      </c>
      <c r="O192" s="233"/>
      <c r="P192" s="233"/>
      <c r="Q192" s="233"/>
      <c r="R192" s="232">
        <f t="shared" si="203"/>
        <v>0</v>
      </c>
    </row>
    <row r="193" spans="1:18" s="89" customFormat="1" ht="72" hidden="1" customHeight="1">
      <c r="A193" s="136">
        <v>19570</v>
      </c>
      <c r="B193" s="172" t="s">
        <v>182</v>
      </c>
      <c r="C193" s="170"/>
      <c r="D193" s="170">
        <v>0</v>
      </c>
      <c r="E193" s="233"/>
      <c r="F193" s="233"/>
      <c r="G193" s="233"/>
      <c r="H193" s="232">
        <f t="shared" si="201"/>
        <v>0</v>
      </c>
      <c r="I193" s="233">
        <v>0</v>
      </c>
      <c r="J193" s="233"/>
      <c r="K193" s="233"/>
      <c r="L193" s="233"/>
      <c r="M193" s="232">
        <f t="shared" si="202"/>
        <v>0</v>
      </c>
      <c r="N193" s="233">
        <v>0</v>
      </c>
      <c r="O193" s="233"/>
      <c r="P193" s="233"/>
      <c r="Q193" s="233"/>
      <c r="R193" s="232">
        <f t="shared" si="203"/>
        <v>0</v>
      </c>
    </row>
    <row r="194" spans="1:18" s="6" customFormat="1" ht="24" hidden="1" customHeight="1">
      <c r="A194" s="209" t="s">
        <v>222</v>
      </c>
      <c r="B194" s="208" t="s">
        <v>216</v>
      </c>
      <c r="C194" s="106">
        <f>C195</f>
        <v>0</v>
      </c>
      <c r="D194" s="106">
        <v>0</v>
      </c>
      <c r="E194" s="232">
        <f t="shared" ref="E194:L194" si="310">E195</f>
        <v>0</v>
      </c>
      <c r="F194" s="232">
        <f t="shared" si="310"/>
        <v>0</v>
      </c>
      <c r="G194" s="232">
        <f t="shared" si="310"/>
        <v>0</v>
      </c>
      <c r="H194" s="232">
        <f t="shared" si="201"/>
        <v>0</v>
      </c>
      <c r="I194" s="233">
        <v>0</v>
      </c>
      <c r="J194" s="232">
        <f t="shared" si="310"/>
        <v>0</v>
      </c>
      <c r="K194" s="232">
        <f t="shared" si="310"/>
        <v>0</v>
      </c>
      <c r="L194" s="232">
        <f t="shared" si="310"/>
        <v>0</v>
      </c>
      <c r="M194" s="232">
        <f t="shared" si="202"/>
        <v>0</v>
      </c>
      <c r="N194" s="233">
        <v>0</v>
      </c>
      <c r="O194" s="232">
        <f t="shared" ref="O194:Q194" si="311">O195</f>
        <v>0</v>
      </c>
      <c r="P194" s="232">
        <f t="shared" si="311"/>
        <v>0</v>
      </c>
      <c r="Q194" s="232">
        <f t="shared" si="311"/>
        <v>0</v>
      </c>
      <c r="R194" s="232">
        <f t="shared" si="203"/>
        <v>0</v>
      </c>
    </row>
    <row r="195" spans="1:18" s="6" customFormat="1" ht="36" hidden="1" customHeight="1">
      <c r="A195" s="209">
        <v>17100</v>
      </c>
      <c r="B195" s="208" t="s">
        <v>217</v>
      </c>
      <c r="C195" s="106">
        <f>SUM(C196:C199)</f>
        <v>0</v>
      </c>
      <c r="D195" s="106">
        <v>0</v>
      </c>
      <c r="E195" s="232">
        <f t="shared" ref="E195:G195" si="312">SUM(E196:E199)</f>
        <v>0</v>
      </c>
      <c r="F195" s="232">
        <f t="shared" ref="F195" si="313">SUM(F196:F199)</f>
        <v>0</v>
      </c>
      <c r="G195" s="232">
        <f t="shared" si="312"/>
        <v>0</v>
      </c>
      <c r="H195" s="232">
        <f t="shared" si="201"/>
        <v>0</v>
      </c>
      <c r="I195" s="233">
        <v>0</v>
      </c>
      <c r="J195" s="232">
        <f t="shared" ref="J195:L195" si="314">SUM(J196:J199)</f>
        <v>0</v>
      </c>
      <c r="K195" s="232">
        <f t="shared" ref="K195" si="315">SUM(K196:K199)</f>
        <v>0</v>
      </c>
      <c r="L195" s="232">
        <f t="shared" si="314"/>
        <v>0</v>
      </c>
      <c r="M195" s="232">
        <f t="shared" si="202"/>
        <v>0</v>
      </c>
      <c r="N195" s="233">
        <v>0</v>
      </c>
      <c r="O195" s="232">
        <f t="shared" ref="O195:Q195" si="316">SUM(O196:O199)</f>
        <v>0</v>
      </c>
      <c r="P195" s="232">
        <f t="shared" ref="P195" si="317">SUM(P196:P199)</f>
        <v>0</v>
      </c>
      <c r="Q195" s="232">
        <f t="shared" si="316"/>
        <v>0</v>
      </c>
      <c r="R195" s="232">
        <f t="shared" si="203"/>
        <v>0</v>
      </c>
    </row>
    <row r="196" spans="1:18" s="6" customFormat="1" ht="60" hidden="1" customHeight="1">
      <c r="A196" s="149">
        <v>17110</v>
      </c>
      <c r="B196" s="208" t="s">
        <v>218</v>
      </c>
      <c r="C196" s="106"/>
      <c r="D196" s="106">
        <v>0</v>
      </c>
      <c r="E196" s="233"/>
      <c r="F196" s="233"/>
      <c r="G196" s="233"/>
      <c r="H196" s="232">
        <f t="shared" si="201"/>
        <v>0</v>
      </c>
      <c r="I196" s="233">
        <v>0</v>
      </c>
      <c r="J196" s="233"/>
      <c r="K196" s="233"/>
      <c r="L196" s="233"/>
      <c r="M196" s="232">
        <f t="shared" si="202"/>
        <v>0</v>
      </c>
      <c r="N196" s="233">
        <v>0</v>
      </c>
      <c r="O196" s="233"/>
      <c r="P196" s="233"/>
      <c r="Q196" s="233"/>
      <c r="R196" s="232">
        <f t="shared" si="203"/>
        <v>0</v>
      </c>
    </row>
    <row r="197" spans="1:18" s="6" customFormat="1" ht="60" hidden="1" customHeight="1">
      <c r="A197" s="149">
        <v>17120</v>
      </c>
      <c r="B197" s="208" t="s">
        <v>219</v>
      </c>
      <c r="C197" s="106"/>
      <c r="D197" s="106">
        <v>0</v>
      </c>
      <c r="E197" s="233"/>
      <c r="F197" s="233"/>
      <c r="G197" s="233"/>
      <c r="H197" s="232">
        <f t="shared" si="201"/>
        <v>0</v>
      </c>
      <c r="I197" s="233">
        <v>0</v>
      </c>
      <c r="J197" s="233"/>
      <c r="K197" s="233"/>
      <c r="L197" s="233"/>
      <c r="M197" s="232">
        <f t="shared" si="202"/>
        <v>0</v>
      </c>
      <c r="N197" s="233">
        <v>0</v>
      </c>
      <c r="O197" s="233"/>
      <c r="P197" s="233"/>
      <c r="Q197" s="233"/>
      <c r="R197" s="232">
        <f t="shared" si="203"/>
        <v>0</v>
      </c>
    </row>
    <row r="198" spans="1:18" s="6" customFormat="1" ht="108" hidden="1" customHeight="1">
      <c r="A198" s="149">
        <v>17130</v>
      </c>
      <c r="B198" s="208" t="s">
        <v>220</v>
      </c>
      <c r="C198" s="106"/>
      <c r="D198" s="106">
        <v>0</v>
      </c>
      <c r="E198" s="233"/>
      <c r="F198" s="233"/>
      <c r="G198" s="233"/>
      <c r="H198" s="232">
        <f t="shared" si="201"/>
        <v>0</v>
      </c>
      <c r="I198" s="233">
        <v>0</v>
      </c>
      <c r="J198" s="233"/>
      <c r="K198" s="233"/>
      <c r="L198" s="233"/>
      <c r="M198" s="232">
        <f t="shared" si="202"/>
        <v>0</v>
      </c>
      <c r="N198" s="233">
        <v>0</v>
      </c>
      <c r="O198" s="233"/>
      <c r="P198" s="233"/>
      <c r="Q198" s="233"/>
      <c r="R198" s="232">
        <f t="shared" si="203"/>
        <v>0</v>
      </c>
    </row>
    <row r="199" spans="1:18" s="6" customFormat="1" ht="96" hidden="1" customHeight="1">
      <c r="A199" s="149">
        <v>17140</v>
      </c>
      <c r="B199" s="208" t="s">
        <v>221</v>
      </c>
      <c r="C199" s="106"/>
      <c r="D199" s="106">
        <v>0</v>
      </c>
      <c r="E199" s="233"/>
      <c r="F199" s="233"/>
      <c r="G199" s="233"/>
      <c r="H199" s="232">
        <f t="shared" si="201"/>
        <v>0</v>
      </c>
      <c r="I199" s="233">
        <v>0</v>
      </c>
      <c r="J199" s="233"/>
      <c r="K199" s="233"/>
      <c r="L199" s="233"/>
      <c r="M199" s="232">
        <f t="shared" si="202"/>
        <v>0</v>
      </c>
      <c r="N199" s="233">
        <v>0</v>
      </c>
      <c r="O199" s="233"/>
      <c r="P199" s="233"/>
      <c r="Q199" s="233"/>
      <c r="R199" s="232">
        <f t="shared" si="203"/>
        <v>0</v>
      </c>
    </row>
    <row r="200" spans="1:18" s="89" customFormat="1" ht="12" hidden="1" customHeight="1">
      <c r="A200" s="137">
        <v>21700</v>
      </c>
      <c r="B200" s="124" t="s">
        <v>97</v>
      </c>
      <c r="C200" s="170">
        <v>0</v>
      </c>
      <c r="D200" s="170">
        <v>0</v>
      </c>
      <c r="E200" s="233">
        <f t="shared" ref="E200:G200" si="318">E201+E202</f>
        <v>0</v>
      </c>
      <c r="F200" s="233">
        <f t="shared" ref="F200" si="319">F201+F202</f>
        <v>0</v>
      </c>
      <c r="G200" s="233">
        <f t="shared" si="318"/>
        <v>0</v>
      </c>
      <c r="H200" s="232">
        <f t="shared" si="201"/>
        <v>0</v>
      </c>
      <c r="I200" s="233">
        <v>0</v>
      </c>
      <c r="J200" s="233">
        <f t="shared" ref="J200:L200" si="320">J201+J202</f>
        <v>0</v>
      </c>
      <c r="K200" s="233">
        <f t="shared" ref="K200" si="321">K201+K202</f>
        <v>0</v>
      </c>
      <c r="L200" s="233">
        <f t="shared" si="320"/>
        <v>0</v>
      </c>
      <c r="M200" s="232">
        <f t="shared" si="202"/>
        <v>0</v>
      </c>
      <c r="N200" s="233">
        <v>0</v>
      </c>
      <c r="O200" s="233">
        <f t="shared" ref="O200:Q200" si="322">O201+O202</f>
        <v>0</v>
      </c>
      <c r="P200" s="233">
        <f t="shared" ref="P200" si="323">P201+P202</f>
        <v>0</v>
      </c>
      <c r="Q200" s="233">
        <f t="shared" si="322"/>
        <v>0</v>
      </c>
      <c r="R200" s="232">
        <f t="shared" si="203"/>
        <v>0</v>
      </c>
    </row>
    <row r="201" spans="1:18" s="89" customFormat="1" ht="24" hidden="1" customHeight="1">
      <c r="A201" s="138">
        <v>21710</v>
      </c>
      <c r="B201" s="125" t="s">
        <v>98</v>
      </c>
      <c r="C201" s="170"/>
      <c r="D201" s="170">
        <v>0</v>
      </c>
      <c r="E201" s="233"/>
      <c r="F201" s="233"/>
      <c r="G201" s="233"/>
      <c r="H201" s="232">
        <f t="shared" si="201"/>
        <v>0</v>
      </c>
      <c r="I201" s="233">
        <v>0</v>
      </c>
      <c r="J201" s="233"/>
      <c r="K201" s="233"/>
      <c r="L201" s="233"/>
      <c r="M201" s="232">
        <f t="shared" si="202"/>
        <v>0</v>
      </c>
      <c r="N201" s="233">
        <v>0</v>
      </c>
      <c r="O201" s="233"/>
      <c r="P201" s="233"/>
      <c r="Q201" s="233"/>
      <c r="R201" s="232">
        <f t="shared" si="203"/>
        <v>0</v>
      </c>
    </row>
    <row r="202" spans="1:18" s="29" customFormat="1" ht="24" hidden="1" customHeight="1">
      <c r="A202" s="138">
        <v>21720</v>
      </c>
      <c r="B202" s="125" t="s">
        <v>99</v>
      </c>
      <c r="C202" s="170"/>
      <c r="D202" s="170">
        <v>0</v>
      </c>
      <c r="E202" s="233"/>
      <c r="F202" s="233"/>
      <c r="G202" s="233"/>
      <c r="H202" s="232">
        <f t="shared" ref="H202:H260" si="324">SUM(D202:G202)</f>
        <v>0</v>
      </c>
      <c r="I202" s="233">
        <v>0</v>
      </c>
      <c r="J202" s="233"/>
      <c r="K202" s="233"/>
      <c r="L202" s="233"/>
      <c r="M202" s="232">
        <f t="shared" ref="M202:M260" si="325">SUM(I202:L202)</f>
        <v>0</v>
      </c>
      <c r="N202" s="233">
        <v>0</v>
      </c>
      <c r="O202" s="233"/>
      <c r="P202" s="233"/>
      <c r="Q202" s="233"/>
      <c r="R202" s="232">
        <f t="shared" ref="R202:R260" si="326">SUM(N202:Q202)</f>
        <v>0</v>
      </c>
    </row>
    <row r="203" spans="1:18" s="29" customFormat="1" ht="12" hidden="1" customHeight="1">
      <c r="A203" s="321" t="s">
        <v>100</v>
      </c>
      <c r="B203" s="322" t="s">
        <v>101</v>
      </c>
      <c r="C203" s="320">
        <v>0</v>
      </c>
      <c r="D203" s="168">
        <v>0</v>
      </c>
      <c r="E203" s="243">
        <f t="shared" ref="E203:G203" si="327">E204+E231</f>
        <v>0</v>
      </c>
      <c r="F203" s="243">
        <f t="shared" ref="F203" si="328">F204+F231</f>
        <v>0</v>
      </c>
      <c r="G203" s="243">
        <f t="shared" si="327"/>
        <v>0</v>
      </c>
      <c r="H203" s="270">
        <f t="shared" si="324"/>
        <v>0</v>
      </c>
      <c r="I203" s="243">
        <v>0</v>
      </c>
      <c r="J203" s="243">
        <f t="shared" ref="J203:L203" si="329">J204+J231</f>
        <v>0</v>
      </c>
      <c r="K203" s="243">
        <f t="shared" ref="K203" si="330">K204+K231</f>
        <v>0</v>
      </c>
      <c r="L203" s="243">
        <f t="shared" si="329"/>
        <v>0</v>
      </c>
      <c r="M203" s="270">
        <f t="shared" si="325"/>
        <v>0</v>
      </c>
      <c r="N203" s="243">
        <v>0</v>
      </c>
      <c r="O203" s="243">
        <f t="shared" ref="O203:Q203" si="331">O204+O231</f>
        <v>0</v>
      </c>
      <c r="P203" s="243">
        <f t="shared" ref="P203" si="332">P204+P231</f>
        <v>0</v>
      </c>
      <c r="Q203" s="243">
        <f t="shared" si="331"/>
        <v>0</v>
      </c>
      <c r="R203" s="270">
        <f t="shared" si="326"/>
        <v>0</v>
      </c>
    </row>
    <row r="204" spans="1:18" s="29" customFormat="1" ht="21" hidden="1" customHeight="1">
      <c r="A204" s="130" t="s">
        <v>102</v>
      </c>
      <c r="B204" s="124" t="s">
        <v>103</v>
      </c>
      <c r="C204" s="170">
        <v>0</v>
      </c>
      <c r="D204" s="170">
        <v>0</v>
      </c>
      <c r="E204" s="233">
        <f t="shared" ref="E204:G204" si="333">E205+E209+E210+E213+E216</f>
        <v>0</v>
      </c>
      <c r="F204" s="233">
        <f t="shared" ref="F204" si="334">F205+F209+F210+F213+F216</f>
        <v>0</v>
      </c>
      <c r="G204" s="233">
        <f t="shared" si="333"/>
        <v>0</v>
      </c>
      <c r="H204" s="232">
        <f t="shared" si="324"/>
        <v>0</v>
      </c>
      <c r="I204" s="233">
        <v>0</v>
      </c>
      <c r="J204" s="233">
        <f t="shared" ref="J204:L204" si="335">J205+J209+J210+J213+J216</f>
        <v>0</v>
      </c>
      <c r="K204" s="233">
        <f t="shared" ref="K204" si="336">K205+K209+K210+K213+K216</f>
        <v>0</v>
      </c>
      <c r="L204" s="233">
        <f t="shared" si="335"/>
        <v>0</v>
      </c>
      <c r="M204" s="232">
        <f t="shared" si="325"/>
        <v>0</v>
      </c>
      <c r="N204" s="233">
        <v>0</v>
      </c>
      <c r="O204" s="233">
        <f t="shared" ref="O204:Q204" si="337">O205+O209+O210+O213+O216</f>
        <v>0</v>
      </c>
      <c r="P204" s="233">
        <f t="shared" ref="P204" si="338">P205+P209+P210+P213+P216</f>
        <v>0</v>
      </c>
      <c r="Q204" s="233">
        <f t="shared" si="337"/>
        <v>0</v>
      </c>
      <c r="R204" s="232">
        <f t="shared" si="326"/>
        <v>0</v>
      </c>
    </row>
    <row r="205" spans="1:18" s="29" customFormat="1" ht="12" hidden="1" customHeight="1">
      <c r="A205" s="130" t="s">
        <v>104</v>
      </c>
      <c r="B205" s="124" t="s">
        <v>105</v>
      </c>
      <c r="C205" s="170">
        <v>0</v>
      </c>
      <c r="D205" s="170">
        <v>0</v>
      </c>
      <c r="E205" s="233">
        <f t="shared" ref="E205:G205" si="339">E206+E208</f>
        <v>0</v>
      </c>
      <c r="F205" s="233">
        <f t="shared" ref="F205" si="340">F206+F208</f>
        <v>0</v>
      </c>
      <c r="G205" s="233">
        <f t="shared" si="339"/>
        <v>0</v>
      </c>
      <c r="H205" s="232">
        <f t="shared" si="324"/>
        <v>0</v>
      </c>
      <c r="I205" s="233">
        <v>0</v>
      </c>
      <c r="J205" s="233">
        <f t="shared" ref="J205:L205" si="341">J206+J208</f>
        <v>0</v>
      </c>
      <c r="K205" s="233">
        <f t="shared" ref="K205" si="342">K206+K208</f>
        <v>0</v>
      </c>
      <c r="L205" s="233">
        <f t="shared" si="341"/>
        <v>0</v>
      </c>
      <c r="M205" s="232">
        <f t="shared" si="325"/>
        <v>0</v>
      </c>
      <c r="N205" s="233">
        <v>0</v>
      </c>
      <c r="O205" s="233">
        <f t="shared" ref="O205:Q205" si="343">O206+O208</f>
        <v>0</v>
      </c>
      <c r="P205" s="233">
        <f t="shared" ref="P205" si="344">P206+P208</f>
        <v>0</v>
      </c>
      <c r="Q205" s="233">
        <f t="shared" si="343"/>
        <v>0</v>
      </c>
      <c r="R205" s="232">
        <f t="shared" si="326"/>
        <v>0</v>
      </c>
    </row>
    <row r="206" spans="1:18" s="29" customFormat="1" ht="12" hidden="1" customHeight="1">
      <c r="A206" s="132">
        <v>1000</v>
      </c>
      <c r="B206" s="125" t="s">
        <v>106</v>
      </c>
      <c r="C206" s="170"/>
      <c r="D206" s="170">
        <v>0</v>
      </c>
      <c r="E206" s="244"/>
      <c r="F206" s="244"/>
      <c r="G206" s="244"/>
      <c r="H206" s="232">
        <f t="shared" si="324"/>
        <v>0</v>
      </c>
      <c r="I206" s="233">
        <v>0</v>
      </c>
      <c r="J206" s="244"/>
      <c r="K206" s="244"/>
      <c r="L206" s="244"/>
      <c r="M206" s="232">
        <f t="shared" si="325"/>
        <v>0</v>
      </c>
      <c r="N206" s="233">
        <v>0</v>
      </c>
      <c r="O206" s="244"/>
      <c r="P206" s="244"/>
      <c r="Q206" s="244"/>
      <c r="R206" s="232">
        <f t="shared" si="326"/>
        <v>0</v>
      </c>
    </row>
    <row r="207" spans="1:18" s="29" customFormat="1" ht="12" hidden="1" customHeight="1">
      <c r="A207" s="139">
        <v>1100</v>
      </c>
      <c r="B207" s="125" t="s">
        <v>107</v>
      </c>
      <c r="C207" s="170"/>
      <c r="D207" s="170">
        <v>0</v>
      </c>
      <c r="E207" s="244"/>
      <c r="F207" s="244"/>
      <c r="G207" s="244"/>
      <c r="H207" s="232">
        <f t="shared" si="324"/>
        <v>0</v>
      </c>
      <c r="I207" s="233">
        <v>0</v>
      </c>
      <c r="J207" s="244"/>
      <c r="K207" s="244"/>
      <c r="L207" s="244"/>
      <c r="M207" s="232">
        <f t="shared" si="325"/>
        <v>0</v>
      </c>
      <c r="N207" s="233">
        <v>0</v>
      </c>
      <c r="O207" s="244"/>
      <c r="P207" s="244"/>
      <c r="Q207" s="244"/>
      <c r="R207" s="232">
        <f t="shared" si="326"/>
        <v>0</v>
      </c>
    </row>
    <row r="208" spans="1:18" s="29" customFormat="1" ht="12" hidden="1" customHeight="1">
      <c r="A208" s="132">
        <v>2000</v>
      </c>
      <c r="B208" s="125" t="s">
        <v>108</v>
      </c>
      <c r="C208" s="170"/>
      <c r="D208" s="170">
        <v>0</v>
      </c>
      <c r="E208" s="244"/>
      <c r="F208" s="244"/>
      <c r="G208" s="244"/>
      <c r="H208" s="232">
        <f t="shared" si="324"/>
        <v>0</v>
      </c>
      <c r="I208" s="233">
        <v>0</v>
      </c>
      <c r="J208" s="244"/>
      <c r="K208" s="244"/>
      <c r="L208" s="244"/>
      <c r="M208" s="232">
        <f t="shared" si="325"/>
        <v>0</v>
      </c>
      <c r="N208" s="233">
        <v>0</v>
      </c>
      <c r="O208" s="244"/>
      <c r="P208" s="244"/>
      <c r="Q208" s="244"/>
      <c r="R208" s="232">
        <f t="shared" si="326"/>
        <v>0</v>
      </c>
    </row>
    <row r="209" spans="1:18" s="29" customFormat="1" ht="12" hidden="1" customHeight="1">
      <c r="A209" s="140">
        <v>4000</v>
      </c>
      <c r="B209" s="124" t="s">
        <v>132</v>
      </c>
      <c r="C209" s="170"/>
      <c r="D209" s="170">
        <v>0</v>
      </c>
      <c r="E209" s="244"/>
      <c r="F209" s="244"/>
      <c r="G209" s="244"/>
      <c r="H209" s="232">
        <f t="shared" si="324"/>
        <v>0</v>
      </c>
      <c r="I209" s="233">
        <v>0</v>
      </c>
      <c r="J209" s="244"/>
      <c r="K209" s="244"/>
      <c r="L209" s="244"/>
      <c r="M209" s="232">
        <f t="shared" si="325"/>
        <v>0</v>
      </c>
      <c r="N209" s="233">
        <v>0</v>
      </c>
      <c r="O209" s="244"/>
      <c r="P209" s="244"/>
      <c r="Q209" s="244"/>
      <c r="R209" s="232">
        <f t="shared" si="326"/>
        <v>0</v>
      </c>
    </row>
    <row r="210" spans="1:18" s="29" customFormat="1" ht="12" hidden="1" customHeight="1">
      <c r="A210" s="140" t="s">
        <v>109</v>
      </c>
      <c r="B210" s="124" t="s">
        <v>110</v>
      </c>
      <c r="C210" s="170">
        <v>0</v>
      </c>
      <c r="D210" s="170">
        <v>0</v>
      </c>
      <c r="E210" s="233">
        <f t="shared" ref="E210:G210" si="345">E211+E212</f>
        <v>0</v>
      </c>
      <c r="F210" s="233">
        <f t="shared" ref="F210" si="346">F211+F212</f>
        <v>0</v>
      </c>
      <c r="G210" s="233">
        <f t="shared" si="345"/>
        <v>0</v>
      </c>
      <c r="H210" s="232">
        <f t="shared" si="324"/>
        <v>0</v>
      </c>
      <c r="I210" s="233">
        <v>0</v>
      </c>
      <c r="J210" s="233">
        <f t="shared" ref="J210:L210" si="347">J211+J212</f>
        <v>0</v>
      </c>
      <c r="K210" s="233">
        <f t="shared" ref="K210" si="348">K211+K212</f>
        <v>0</v>
      </c>
      <c r="L210" s="233">
        <f t="shared" si="347"/>
        <v>0</v>
      </c>
      <c r="M210" s="232">
        <f t="shared" si="325"/>
        <v>0</v>
      </c>
      <c r="N210" s="233">
        <v>0</v>
      </c>
      <c r="O210" s="233">
        <f t="shared" ref="O210:Q210" si="349">O211+O212</f>
        <v>0</v>
      </c>
      <c r="P210" s="233">
        <f t="shared" ref="P210" si="350">P211+P212</f>
        <v>0</v>
      </c>
      <c r="Q210" s="233">
        <f t="shared" si="349"/>
        <v>0</v>
      </c>
      <c r="R210" s="232">
        <f t="shared" si="326"/>
        <v>0</v>
      </c>
    </row>
    <row r="211" spans="1:18" s="29" customFormat="1" ht="12" hidden="1" customHeight="1">
      <c r="A211" s="132">
        <v>3000</v>
      </c>
      <c r="B211" s="125" t="s">
        <v>111</v>
      </c>
      <c r="C211" s="202"/>
      <c r="D211" s="202">
        <v>0</v>
      </c>
      <c r="E211" s="246"/>
      <c r="F211" s="246"/>
      <c r="G211" s="246"/>
      <c r="H211" s="232">
        <f t="shared" si="324"/>
        <v>0</v>
      </c>
      <c r="I211" s="345">
        <v>0</v>
      </c>
      <c r="J211" s="246"/>
      <c r="K211" s="246"/>
      <c r="L211" s="246"/>
      <c r="M211" s="232">
        <f t="shared" si="325"/>
        <v>0</v>
      </c>
      <c r="N211" s="345">
        <v>0</v>
      </c>
      <c r="O211" s="246"/>
      <c r="P211" s="246"/>
      <c r="Q211" s="246"/>
      <c r="R211" s="232">
        <f t="shared" si="326"/>
        <v>0</v>
      </c>
    </row>
    <row r="212" spans="1:18" s="29" customFormat="1" ht="12" hidden="1" customHeight="1">
      <c r="A212" s="132">
        <v>6000</v>
      </c>
      <c r="B212" s="125" t="s">
        <v>112</v>
      </c>
      <c r="C212" s="203"/>
      <c r="D212" s="203">
        <v>0</v>
      </c>
      <c r="E212" s="248"/>
      <c r="F212" s="248"/>
      <c r="G212" s="248"/>
      <c r="H212" s="232">
        <f t="shared" si="324"/>
        <v>0</v>
      </c>
      <c r="I212" s="346">
        <v>0</v>
      </c>
      <c r="J212" s="248"/>
      <c r="K212" s="248"/>
      <c r="L212" s="248"/>
      <c r="M212" s="232">
        <f t="shared" si="325"/>
        <v>0</v>
      </c>
      <c r="N212" s="346">
        <v>0</v>
      </c>
      <c r="O212" s="248"/>
      <c r="P212" s="248"/>
      <c r="Q212" s="248"/>
      <c r="R212" s="232">
        <f t="shared" si="326"/>
        <v>0</v>
      </c>
    </row>
    <row r="213" spans="1:18" s="29" customFormat="1" ht="24" hidden="1" customHeight="1">
      <c r="A213" s="140" t="s">
        <v>113</v>
      </c>
      <c r="B213" s="124" t="s">
        <v>183</v>
      </c>
      <c r="C213" s="170">
        <v>0</v>
      </c>
      <c r="D213" s="170">
        <v>0</v>
      </c>
      <c r="E213" s="233">
        <f t="shared" ref="E213:G213" si="351">E214+E215</f>
        <v>0</v>
      </c>
      <c r="F213" s="233">
        <f t="shared" ref="F213" si="352">F214+F215</f>
        <v>0</v>
      </c>
      <c r="G213" s="233">
        <f t="shared" si="351"/>
        <v>0</v>
      </c>
      <c r="H213" s="232">
        <f t="shared" si="324"/>
        <v>0</v>
      </c>
      <c r="I213" s="233">
        <v>0</v>
      </c>
      <c r="J213" s="233">
        <f t="shared" ref="J213:L213" si="353">J214+J215</f>
        <v>0</v>
      </c>
      <c r="K213" s="233">
        <f t="shared" ref="K213" si="354">K214+K215</f>
        <v>0</v>
      </c>
      <c r="L213" s="233">
        <f t="shared" si="353"/>
        <v>0</v>
      </c>
      <c r="M213" s="232">
        <f t="shared" si="325"/>
        <v>0</v>
      </c>
      <c r="N213" s="233">
        <v>0</v>
      </c>
      <c r="O213" s="233">
        <f t="shared" ref="O213:Q213" si="355">O214+O215</f>
        <v>0</v>
      </c>
      <c r="P213" s="233">
        <f t="shared" ref="P213" si="356">P214+P215</f>
        <v>0</v>
      </c>
      <c r="Q213" s="233">
        <f t="shared" si="355"/>
        <v>0</v>
      </c>
      <c r="R213" s="232">
        <f t="shared" si="326"/>
        <v>0</v>
      </c>
    </row>
    <row r="214" spans="1:18" s="29" customFormat="1" ht="12" hidden="1" customHeight="1">
      <c r="A214" s="132">
        <v>7600</v>
      </c>
      <c r="B214" s="179" t="s">
        <v>184</v>
      </c>
      <c r="C214" s="170"/>
      <c r="D214" s="170">
        <v>0</v>
      </c>
      <c r="E214" s="244"/>
      <c r="F214" s="244"/>
      <c r="G214" s="244"/>
      <c r="H214" s="232">
        <f t="shared" si="324"/>
        <v>0</v>
      </c>
      <c r="I214" s="233">
        <v>0</v>
      </c>
      <c r="J214" s="244"/>
      <c r="K214" s="244"/>
      <c r="L214" s="244"/>
      <c r="M214" s="232">
        <f t="shared" si="325"/>
        <v>0</v>
      </c>
      <c r="N214" s="233">
        <v>0</v>
      </c>
      <c r="O214" s="244"/>
      <c r="P214" s="244"/>
      <c r="Q214" s="244"/>
      <c r="R214" s="232">
        <f t="shared" si="326"/>
        <v>0</v>
      </c>
    </row>
    <row r="215" spans="1:18" s="29" customFormat="1" ht="12" hidden="1" customHeight="1">
      <c r="A215" s="132">
        <v>7700</v>
      </c>
      <c r="B215" s="126" t="s">
        <v>114</v>
      </c>
      <c r="C215" s="170"/>
      <c r="D215" s="170">
        <v>0</v>
      </c>
      <c r="E215" s="244"/>
      <c r="F215" s="244"/>
      <c r="G215" s="244"/>
      <c r="H215" s="232">
        <f t="shared" si="324"/>
        <v>0</v>
      </c>
      <c r="I215" s="233">
        <v>0</v>
      </c>
      <c r="J215" s="244"/>
      <c r="K215" s="244"/>
      <c r="L215" s="244"/>
      <c r="M215" s="232">
        <f t="shared" si="325"/>
        <v>0</v>
      </c>
      <c r="N215" s="233">
        <v>0</v>
      </c>
      <c r="O215" s="244"/>
      <c r="P215" s="244"/>
      <c r="Q215" s="244"/>
      <c r="R215" s="232">
        <f t="shared" si="326"/>
        <v>0</v>
      </c>
    </row>
    <row r="216" spans="1:18" s="29" customFormat="1" ht="21" hidden="1" customHeight="1">
      <c r="A216" s="140" t="s">
        <v>185</v>
      </c>
      <c r="B216" s="124" t="s">
        <v>115</v>
      </c>
      <c r="C216" s="170">
        <v>0</v>
      </c>
      <c r="D216" s="170">
        <v>0</v>
      </c>
      <c r="E216" s="233">
        <f t="shared" ref="E216:G216" si="357">E217+E223+E227+E230</f>
        <v>0</v>
      </c>
      <c r="F216" s="233">
        <f t="shared" ref="F216" si="358">F217+F223+F227+F230</f>
        <v>0</v>
      </c>
      <c r="G216" s="233">
        <f t="shared" si="357"/>
        <v>0</v>
      </c>
      <c r="H216" s="232">
        <f t="shared" si="324"/>
        <v>0</v>
      </c>
      <c r="I216" s="233">
        <v>0</v>
      </c>
      <c r="J216" s="233">
        <f t="shared" ref="J216:L216" si="359">J217+J223+J227+J230</f>
        <v>0</v>
      </c>
      <c r="K216" s="233">
        <f t="shared" ref="K216" si="360">K217+K223+K227+K230</f>
        <v>0</v>
      </c>
      <c r="L216" s="233">
        <f t="shared" si="359"/>
        <v>0</v>
      </c>
      <c r="M216" s="232">
        <f t="shared" si="325"/>
        <v>0</v>
      </c>
      <c r="N216" s="233">
        <v>0</v>
      </c>
      <c r="O216" s="233">
        <f t="shared" ref="O216:Q216" si="361">O217+O223+O227+O230</f>
        <v>0</v>
      </c>
      <c r="P216" s="233">
        <f t="shared" ref="P216" si="362">P217+P223+P227+P230</f>
        <v>0</v>
      </c>
      <c r="Q216" s="233">
        <f t="shared" si="361"/>
        <v>0</v>
      </c>
      <c r="R216" s="232">
        <f t="shared" si="326"/>
        <v>0</v>
      </c>
    </row>
    <row r="217" spans="1:18" s="29" customFormat="1" ht="12" hidden="1" customHeight="1">
      <c r="A217" s="132">
        <v>7100</v>
      </c>
      <c r="B217" s="179" t="s">
        <v>116</v>
      </c>
      <c r="C217" s="170">
        <v>0</v>
      </c>
      <c r="D217" s="170">
        <v>0</v>
      </c>
      <c r="E217" s="233">
        <f t="shared" ref="E217:G217" si="363">E218+E219</f>
        <v>0</v>
      </c>
      <c r="F217" s="233">
        <f t="shared" ref="F217" si="364">F218+F219</f>
        <v>0</v>
      </c>
      <c r="G217" s="233">
        <f t="shared" si="363"/>
        <v>0</v>
      </c>
      <c r="H217" s="232">
        <f t="shared" si="324"/>
        <v>0</v>
      </c>
      <c r="I217" s="233">
        <v>0</v>
      </c>
      <c r="J217" s="233">
        <f t="shared" ref="J217:L217" si="365">J218+J219</f>
        <v>0</v>
      </c>
      <c r="K217" s="233">
        <f t="shared" ref="K217" si="366">K218+K219</f>
        <v>0</v>
      </c>
      <c r="L217" s="233">
        <f t="shared" si="365"/>
        <v>0</v>
      </c>
      <c r="M217" s="232">
        <f t="shared" si="325"/>
        <v>0</v>
      </c>
      <c r="N217" s="233">
        <v>0</v>
      </c>
      <c r="O217" s="233">
        <f t="shared" ref="O217:Q217" si="367">O218+O219</f>
        <v>0</v>
      </c>
      <c r="P217" s="233">
        <f t="shared" ref="P217" si="368">P218+P219</f>
        <v>0</v>
      </c>
      <c r="Q217" s="233">
        <f t="shared" si="367"/>
        <v>0</v>
      </c>
      <c r="R217" s="232">
        <f t="shared" si="326"/>
        <v>0</v>
      </c>
    </row>
    <row r="218" spans="1:18" s="29" customFormat="1" ht="24" hidden="1" customHeight="1">
      <c r="A218" s="133" t="s">
        <v>117</v>
      </c>
      <c r="B218" s="179" t="s">
        <v>118</v>
      </c>
      <c r="C218" s="170"/>
      <c r="D218" s="170">
        <v>0</v>
      </c>
      <c r="E218" s="233"/>
      <c r="F218" s="233"/>
      <c r="G218" s="233"/>
      <c r="H218" s="232">
        <f t="shared" si="324"/>
        <v>0</v>
      </c>
      <c r="I218" s="233">
        <v>0</v>
      </c>
      <c r="J218" s="233"/>
      <c r="K218" s="233"/>
      <c r="L218" s="233"/>
      <c r="M218" s="232">
        <f t="shared" si="325"/>
        <v>0</v>
      </c>
      <c r="N218" s="233">
        <v>0</v>
      </c>
      <c r="O218" s="233"/>
      <c r="P218" s="233"/>
      <c r="Q218" s="233"/>
      <c r="R218" s="232">
        <f t="shared" si="326"/>
        <v>0</v>
      </c>
    </row>
    <row r="219" spans="1:18" s="29" customFormat="1" ht="24" hidden="1" customHeight="1">
      <c r="A219" s="133">
        <v>7130</v>
      </c>
      <c r="B219" s="179" t="s">
        <v>119</v>
      </c>
      <c r="C219" s="170">
        <v>0</v>
      </c>
      <c r="D219" s="170">
        <v>0</v>
      </c>
      <c r="E219" s="233">
        <f t="shared" ref="E219:G219" si="369">SUM(E220:E222)</f>
        <v>0</v>
      </c>
      <c r="F219" s="233">
        <f t="shared" ref="F219" si="370">SUM(F220:F222)</f>
        <v>0</v>
      </c>
      <c r="G219" s="233">
        <f t="shared" si="369"/>
        <v>0</v>
      </c>
      <c r="H219" s="232">
        <f t="shared" si="324"/>
        <v>0</v>
      </c>
      <c r="I219" s="233">
        <v>0</v>
      </c>
      <c r="J219" s="233">
        <f t="shared" ref="J219:L219" si="371">SUM(J220:J222)</f>
        <v>0</v>
      </c>
      <c r="K219" s="233">
        <f t="shared" ref="K219" si="372">SUM(K220:K222)</f>
        <v>0</v>
      </c>
      <c r="L219" s="233">
        <f t="shared" si="371"/>
        <v>0</v>
      </c>
      <c r="M219" s="232">
        <f t="shared" si="325"/>
        <v>0</v>
      </c>
      <c r="N219" s="233">
        <v>0</v>
      </c>
      <c r="O219" s="233">
        <f t="shared" ref="O219:Q219" si="373">SUM(O220:O222)</f>
        <v>0</v>
      </c>
      <c r="P219" s="233">
        <f t="shared" ref="P219" si="374">SUM(P220:P222)</f>
        <v>0</v>
      </c>
      <c r="Q219" s="233">
        <f t="shared" si="373"/>
        <v>0</v>
      </c>
      <c r="R219" s="232">
        <f t="shared" si="326"/>
        <v>0</v>
      </c>
    </row>
    <row r="220" spans="1:18" s="29" customFormat="1" ht="36" hidden="1" customHeight="1">
      <c r="A220" s="134">
        <v>7131</v>
      </c>
      <c r="B220" s="179" t="s">
        <v>120</v>
      </c>
      <c r="C220" s="170"/>
      <c r="D220" s="170">
        <v>0</v>
      </c>
      <c r="E220" s="233"/>
      <c r="F220" s="233"/>
      <c r="G220" s="233"/>
      <c r="H220" s="232">
        <f t="shared" si="324"/>
        <v>0</v>
      </c>
      <c r="I220" s="233">
        <v>0</v>
      </c>
      <c r="J220" s="233"/>
      <c r="K220" s="233"/>
      <c r="L220" s="233"/>
      <c r="M220" s="232">
        <f t="shared" si="325"/>
        <v>0</v>
      </c>
      <c r="N220" s="233">
        <v>0</v>
      </c>
      <c r="O220" s="233"/>
      <c r="P220" s="233"/>
      <c r="Q220" s="233"/>
      <c r="R220" s="232">
        <f t="shared" si="326"/>
        <v>0</v>
      </c>
    </row>
    <row r="221" spans="1:18" s="29" customFormat="1" ht="36" hidden="1" customHeight="1">
      <c r="A221" s="134">
        <v>7132</v>
      </c>
      <c r="B221" s="179" t="s">
        <v>121</v>
      </c>
      <c r="C221" s="170"/>
      <c r="D221" s="170">
        <v>0</v>
      </c>
      <c r="E221" s="233"/>
      <c r="F221" s="233"/>
      <c r="G221" s="233"/>
      <c r="H221" s="232">
        <f t="shared" si="324"/>
        <v>0</v>
      </c>
      <c r="I221" s="233">
        <v>0</v>
      </c>
      <c r="J221" s="233"/>
      <c r="K221" s="233"/>
      <c r="L221" s="233"/>
      <c r="M221" s="232">
        <f t="shared" si="325"/>
        <v>0</v>
      </c>
      <c r="N221" s="233">
        <v>0</v>
      </c>
      <c r="O221" s="233"/>
      <c r="P221" s="233"/>
      <c r="Q221" s="233"/>
      <c r="R221" s="232">
        <f t="shared" si="326"/>
        <v>0</v>
      </c>
    </row>
    <row r="222" spans="1:18" s="29" customFormat="1" ht="24" hidden="1" customHeight="1">
      <c r="A222" s="134" t="s">
        <v>186</v>
      </c>
      <c r="B222" s="179" t="s">
        <v>187</v>
      </c>
      <c r="C222" s="170"/>
      <c r="D222" s="170">
        <v>0</v>
      </c>
      <c r="E222" s="233"/>
      <c r="F222" s="233"/>
      <c r="G222" s="233"/>
      <c r="H222" s="232">
        <f t="shared" si="324"/>
        <v>0</v>
      </c>
      <c r="I222" s="233">
        <v>0</v>
      </c>
      <c r="J222" s="233"/>
      <c r="K222" s="233"/>
      <c r="L222" s="233"/>
      <c r="M222" s="232">
        <f t="shared" si="325"/>
        <v>0</v>
      </c>
      <c r="N222" s="233">
        <v>0</v>
      </c>
      <c r="O222" s="233"/>
      <c r="P222" s="233"/>
      <c r="Q222" s="233"/>
      <c r="R222" s="232">
        <f t="shared" si="326"/>
        <v>0</v>
      </c>
    </row>
    <row r="223" spans="1:18" s="29" customFormat="1" ht="24" hidden="1" customHeight="1">
      <c r="A223" s="132">
        <v>7300</v>
      </c>
      <c r="B223" s="172" t="s">
        <v>155</v>
      </c>
      <c r="C223" s="170">
        <v>0</v>
      </c>
      <c r="D223" s="170">
        <v>0</v>
      </c>
      <c r="E223" s="233">
        <f t="shared" ref="E223:G223" si="375">SUM(E224:E226)</f>
        <v>0</v>
      </c>
      <c r="F223" s="233">
        <f t="shared" ref="F223" si="376">SUM(F224:F226)</f>
        <v>0</v>
      </c>
      <c r="G223" s="233">
        <f t="shared" si="375"/>
        <v>0</v>
      </c>
      <c r="H223" s="232">
        <f t="shared" si="324"/>
        <v>0</v>
      </c>
      <c r="I223" s="233">
        <v>0</v>
      </c>
      <c r="J223" s="233">
        <f t="shared" ref="J223:L223" si="377">SUM(J224:J226)</f>
        <v>0</v>
      </c>
      <c r="K223" s="233">
        <f t="shared" ref="K223" si="378">SUM(K224:K226)</f>
        <v>0</v>
      </c>
      <c r="L223" s="233">
        <f t="shared" si="377"/>
        <v>0</v>
      </c>
      <c r="M223" s="232">
        <f t="shared" si="325"/>
        <v>0</v>
      </c>
      <c r="N223" s="233">
        <v>0</v>
      </c>
      <c r="O223" s="233">
        <f t="shared" ref="O223:Q223" si="379">SUM(O224:O226)</f>
        <v>0</v>
      </c>
      <c r="P223" s="233">
        <f t="shared" ref="P223" si="380">SUM(P224:P226)</f>
        <v>0</v>
      </c>
      <c r="Q223" s="233">
        <f t="shared" si="379"/>
        <v>0</v>
      </c>
      <c r="R223" s="232">
        <f t="shared" si="326"/>
        <v>0</v>
      </c>
    </row>
    <row r="224" spans="1:18" s="29" customFormat="1" ht="24" hidden="1" customHeight="1">
      <c r="A224" s="133" t="s">
        <v>188</v>
      </c>
      <c r="B224" s="179" t="s">
        <v>170</v>
      </c>
      <c r="C224" s="204"/>
      <c r="D224" s="204">
        <v>0</v>
      </c>
      <c r="E224" s="252"/>
      <c r="F224" s="252"/>
      <c r="G224" s="252"/>
      <c r="H224" s="232">
        <f t="shared" si="324"/>
        <v>0</v>
      </c>
      <c r="I224" s="252">
        <v>0</v>
      </c>
      <c r="J224" s="252"/>
      <c r="K224" s="252"/>
      <c r="L224" s="252"/>
      <c r="M224" s="232">
        <f t="shared" si="325"/>
        <v>0</v>
      </c>
      <c r="N224" s="252">
        <v>0</v>
      </c>
      <c r="O224" s="252"/>
      <c r="P224" s="252"/>
      <c r="Q224" s="252"/>
      <c r="R224" s="232">
        <f t="shared" si="326"/>
        <v>0</v>
      </c>
    </row>
    <row r="225" spans="1:18" s="29" customFormat="1" ht="48" hidden="1" customHeight="1">
      <c r="A225" s="133" t="s">
        <v>189</v>
      </c>
      <c r="B225" s="179" t="s">
        <v>156</v>
      </c>
      <c r="C225" s="204"/>
      <c r="D225" s="204">
        <v>0</v>
      </c>
      <c r="E225" s="252"/>
      <c r="F225" s="252"/>
      <c r="G225" s="252"/>
      <c r="H225" s="232">
        <f t="shared" si="324"/>
        <v>0</v>
      </c>
      <c r="I225" s="252">
        <v>0</v>
      </c>
      <c r="J225" s="252"/>
      <c r="K225" s="252"/>
      <c r="L225" s="252"/>
      <c r="M225" s="232">
        <f t="shared" si="325"/>
        <v>0</v>
      </c>
      <c r="N225" s="252">
        <v>0</v>
      </c>
      <c r="O225" s="252"/>
      <c r="P225" s="252"/>
      <c r="Q225" s="252"/>
      <c r="R225" s="232">
        <f t="shared" si="326"/>
        <v>0</v>
      </c>
    </row>
    <row r="226" spans="1:18" s="29" customFormat="1" ht="36" hidden="1" customHeight="1">
      <c r="A226" s="133">
        <v>7350</v>
      </c>
      <c r="B226" s="179" t="s">
        <v>163</v>
      </c>
      <c r="C226" s="204"/>
      <c r="D226" s="204">
        <v>0</v>
      </c>
      <c r="E226" s="252"/>
      <c r="F226" s="252"/>
      <c r="G226" s="252"/>
      <c r="H226" s="232">
        <f t="shared" si="324"/>
        <v>0</v>
      </c>
      <c r="I226" s="252">
        <v>0</v>
      </c>
      <c r="J226" s="252"/>
      <c r="K226" s="252"/>
      <c r="L226" s="252"/>
      <c r="M226" s="232">
        <f t="shared" si="325"/>
        <v>0</v>
      </c>
      <c r="N226" s="252">
        <v>0</v>
      </c>
      <c r="O226" s="252"/>
      <c r="P226" s="252"/>
      <c r="Q226" s="252"/>
      <c r="R226" s="232">
        <f t="shared" si="326"/>
        <v>0</v>
      </c>
    </row>
    <row r="227" spans="1:18" s="29" customFormat="1" ht="24" hidden="1" customHeight="1">
      <c r="A227" s="132">
        <v>7400</v>
      </c>
      <c r="B227" s="172" t="s">
        <v>161</v>
      </c>
      <c r="C227" s="170">
        <v>0</v>
      </c>
      <c r="D227" s="170">
        <v>0</v>
      </c>
      <c r="E227" s="233">
        <f t="shared" ref="E227:G227" si="381">SUM(E228:E229)</f>
        <v>0</v>
      </c>
      <c r="F227" s="233">
        <f t="shared" ref="F227" si="382">SUM(F228:F229)</f>
        <v>0</v>
      </c>
      <c r="G227" s="233">
        <f t="shared" si="381"/>
        <v>0</v>
      </c>
      <c r="H227" s="232">
        <f t="shared" si="324"/>
        <v>0</v>
      </c>
      <c r="I227" s="233">
        <v>0</v>
      </c>
      <c r="J227" s="233">
        <f t="shared" ref="J227:L227" si="383">SUM(J228:J229)</f>
        <v>0</v>
      </c>
      <c r="K227" s="233">
        <f t="shared" ref="K227" si="384">SUM(K228:K229)</f>
        <v>0</v>
      </c>
      <c r="L227" s="233">
        <f t="shared" si="383"/>
        <v>0</v>
      </c>
      <c r="M227" s="232">
        <f t="shared" si="325"/>
        <v>0</v>
      </c>
      <c r="N227" s="233">
        <v>0</v>
      </c>
      <c r="O227" s="233">
        <f t="shared" ref="O227:Q227" si="385">SUM(O228:O229)</f>
        <v>0</v>
      </c>
      <c r="P227" s="233">
        <f t="shared" ref="P227" si="386">SUM(P228:P229)</f>
        <v>0</v>
      </c>
      <c r="Q227" s="233">
        <f t="shared" si="385"/>
        <v>0</v>
      </c>
      <c r="R227" s="232">
        <f t="shared" si="326"/>
        <v>0</v>
      </c>
    </row>
    <row r="228" spans="1:18" s="29" customFormat="1" ht="24" hidden="1" customHeight="1">
      <c r="A228" s="133">
        <v>7460</v>
      </c>
      <c r="B228" s="172" t="s">
        <v>162</v>
      </c>
      <c r="C228" s="204"/>
      <c r="D228" s="204">
        <v>0</v>
      </c>
      <c r="E228" s="252"/>
      <c r="F228" s="252"/>
      <c r="G228" s="252"/>
      <c r="H228" s="232">
        <f t="shared" si="324"/>
        <v>0</v>
      </c>
      <c r="I228" s="252">
        <v>0</v>
      </c>
      <c r="J228" s="252"/>
      <c r="K228" s="252"/>
      <c r="L228" s="252"/>
      <c r="M228" s="232">
        <f t="shared" si="325"/>
        <v>0</v>
      </c>
      <c r="N228" s="252">
        <v>0</v>
      </c>
      <c r="O228" s="252"/>
      <c r="P228" s="252"/>
      <c r="Q228" s="252"/>
      <c r="R228" s="232">
        <f t="shared" si="326"/>
        <v>0</v>
      </c>
    </row>
    <row r="229" spans="1:18" s="29" customFormat="1" ht="48" hidden="1" customHeight="1">
      <c r="A229" s="133">
        <v>7470</v>
      </c>
      <c r="B229" s="179" t="s">
        <v>167</v>
      </c>
      <c r="C229" s="204"/>
      <c r="D229" s="204">
        <v>0</v>
      </c>
      <c r="E229" s="252"/>
      <c r="F229" s="252"/>
      <c r="G229" s="252"/>
      <c r="H229" s="232">
        <f t="shared" si="324"/>
        <v>0</v>
      </c>
      <c r="I229" s="252">
        <v>0</v>
      </c>
      <c r="J229" s="252"/>
      <c r="K229" s="252"/>
      <c r="L229" s="252"/>
      <c r="M229" s="232">
        <f t="shared" si="325"/>
        <v>0</v>
      </c>
      <c r="N229" s="252">
        <v>0</v>
      </c>
      <c r="O229" s="252"/>
      <c r="P229" s="252"/>
      <c r="Q229" s="252"/>
      <c r="R229" s="232">
        <f t="shared" si="326"/>
        <v>0</v>
      </c>
    </row>
    <row r="230" spans="1:18" s="29" customFormat="1" ht="24" hidden="1" customHeight="1">
      <c r="A230" s="132">
        <v>7500</v>
      </c>
      <c r="B230" s="179" t="s">
        <v>157</v>
      </c>
      <c r="C230" s="170"/>
      <c r="D230" s="170">
        <v>0</v>
      </c>
      <c r="E230" s="233"/>
      <c r="F230" s="233"/>
      <c r="G230" s="233"/>
      <c r="H230" s="232">
        <f t="shared" si="324"/>
        <v>0</v>
      </c>
      <c r="I230" s="233">
        <v>0</v>
      </c>
      <c r="J230" s="233"/>
      <c r="K230" s="233"/>
      <c r="L230" s="233"/>
      <c r="M230" s="232">
        <f t="shared" si="325"/>
        <v>0</v>
      </c>
      <c r="N230" s="233">
        <v>0</v>
      </c>
      <c r="O230" s="233"/>
      <c r="P230" s="233"/>
      <c r="Q230" s="233"/>
      <c r="R230" s="232">
        <f t="shared" si="326"/>
        <v>0</v>
      </c>
    </row>
    <row r="231" spans="1:18" s="29" customFormat="1" ht="12" hidden="1" customHeight="1">
      <c r="A231" s="140" t="s">
        <v>133</v>
      </c>
      <c r="B231" s="124" t="s">
        <v>122</v>
      </c>
      <c r="C231" s="205">
        <v>0</v>
      </c>
      <c r="D231" s="205">
        <v>0</v>
      </c>
      <c r="E231" s="254">
        <f t="shared" ref="E231:G231" si="387">E232+E233</f>
        <v>0</v>
      </c>
      <c r="F231" s="254">
        <f t="shared" ref="F231" si="388">F232+F233</f>
        <v>0</v>
      </c>
      <c r="G231" s="254">
        <f t="shared" si="387"/>
        <v>0</v>
      </c>
      <c r="H231" s="232">
        <f t="shared" si="324"/>
        <v>0</v>
      </c>
      <c r="I231" s="254">
        <v>0</v>
      </c>
      <c r="J231" s="254">
        <f t="shared" ref="J231:L231" si="389">J232+J233</f>
        <v>0</v>
      </c>
      <c r="K231" s="254">
        <f t="shared" ref="K231" si="390">K232+K233</f>
        <v>0</v>
      </c>
      <c r="L231" s="254">
        <f t="shared" si="389"/>
        <v>0</v>
      </c>
      <c r="M231" s="232">
        <f t="shared" si="325"/>
        <v>0</v>
      </c>
      <c r="N231" s="254">
        <v>0</v>
      </c>
      <c r="O231" s="254">
        <f t="shared" ref="O231:Q231" si="391">O232+O233</f>
        <v>0</v>
      </c>
      <c r="P231" s="254">
        <f t="shared" ref="P231" si="392">P232+P233</f>
        <v>0</v>
      </c>
      <c r="Q231" s="254">
        <f t="shared" si="391"/>
        <v>0</v>
      </c>
      <c r="R231" s="232">
        <f t="shared" si="326"/>
        <v>0</v>
      </c>
    </row>
    <row r="232" spans="1:18" s="29" customFormat="1" ht="12" hidden="1" customHeight="1">
      <c r="A232" s="140">
        <v>5000</v>
      </c>
      <c r="B232" s="124" t="s">
        <v>123</v>
      </c>
      <c r="C232" s="170"/>
      <c r="D232" s="170">
        <v>0</v>
      </c>
      <c r="E232" s="244"/>
      <c r="F232" s="244"/>
      <c r="G232" s="244"/>
      <c r="H232" s="232">
        <f t="shared" si="324"/>
        <v>0</v>
      </c>
      <c r="I232" s="233">
        <v>0</v>
      </c>
      <c r="J232" s="244"/>
      <c r="K232" s="244"/>
      <c r="L232" s="244"/>
      <c r="M232" s="232">
        <f t="shared" si="325"/>
        <v>0</v>
      </c>
      <c r="N232" s="233">
        <v>0</v>
      </c>
      <c r="O232" s="244"/>
      <c r="P232" s="244"/>
      <c r="Q232" s="244"/>
      <c r="R232" s="232">
        <f t="shared" si="326"/>
        <v>0</v>
      </c>
    </row>
    <row r="233" spans="1:18" s="29" customFormat="1" ht="12" hidden="1" customHeight="1">
      <c r="A233" s="140">
        <v>9000</v>
      </c>
      <c r="B233" s="182" t="s">
        <v>164</v>
      </c>
      <c r="C233" s="170">
        <v>0</v>
      </c>
      <c r="D233" s="170">
        <v>0</v>
      </c>
      <c r="E233" s="233">
        <f t="shared" ref="E233:G233" si="393">E234+E240+E244+E247</f>
        <v>0</v>
      </c>
      <c r="F233" s="233">
        <f t="shared" ref="F233" si="394">F234+F240+F244+F247</f>
        <v>0</v>
      </c>
      <c r="G233" s="233">
        <f t="shared" si="393"/>
        <v>0</v>
      </c>
      <c r="H233" s="232">
        <f t="shared" si="324"/>
        <v>0</v>
      </c>
      <c r="I233" s="233">
        <v>0</v>
      </c>
      <c r="J233" s="233">
        <f t="shared" ref="J233:L233" si="395">J234+J240+J244+J247</f>
        <v>0</v>
      </c>
      <c r="K233" s="233">
        <f t="shared" ref="K233" si="396">K234+K240+K244+K247</f>
        <v>0</v>
      </c>
      <c r="L233" s="233">
        <f t="shared" si="395"/>
        <v>0</v>
      </c>
      <c r="M233" s="232">
        <f t="shared" si="325"/>
        <v>0</v>
      </c>
      <c r="N233" s="233">
        <v>0</v>
      </c>
      <c r="O233" s="233">
        <f t="shared" ref="O233:Q233" si="397">O234+O240+O244+O247</f>
        <v>0</v>
      </c>
      <c r="P233" s="233">
        <f t="shared" ref="P233" si="398">P234+P240+P244+P247</f>
        <v>0</v>
      </c>
      <c r="Q233" s="233">
        <f t="shared" si="397"/>
        <v>0</v>
      </c>
      <c r="R233" s="232">
        <f t="shared" si="326"/>
        <v>0</v>
      </c>
    </row>
    <row r="234" spans="1:18" s="29" customFormat="1" ht="12" hidden="1" customHeight="1">
      <c r="A234" s="141">
        <v>9100</v>
      </c>
      <c r="B234" s="179" t="s">
        <v>124</v>
      </c>
      <c r="C234" s="170">
        <v>0</v>
      </c>
      <c r="D234" s="170">
        <v>0</v>
      </c>
      <c r="E234" s="233">
        <f t="shared" ref="E234:G234" si="399">SUM(E235:E236)</f>
        <v>0</v>
      </c>
      <c r="F234" s="233">
        <f t="shared" ref="F234" si="400">SUM(F235:F236)</f>
        <v>0</v>
      </c>
      <c r="G234" s="233">
        <f t="shared" si="399"/>
        <v>0</v>
      </c>
      <c r="H234" s="232">
        <f t="shared" si="324"/>
        <v>0</v>
      </c>
      <c r="I234" s="233">
        <v>0</v>
      </c>
      <c r="J234" s="233">
        <f t="shared" ref="J234:L234" si="401">SUM(J235:J236)</f>
        <v>0</v>
      </c>
      <c r="K234" s="233">
        <f t="shared" ref="K234" si="402">SUM(K235:K236)</f>
        <v>0</v>
      </c>
      <c r="L234" s="233">
        <f t="shared" si="401"/>
        <v>0</v>
      </c>
      <c r="M234" s="232">
        <f t="shared" si="325"/>
        <v>0</v>
      </c>
      <c r="N234" s="233">
        <v>0</v>
      </c>
      <c r="O234" s="233">
        <f t="shared" ref="O234:Q234" si="403">SUM(O235:O236)</f>
        <v>0</v>
      </c>
      <c r="P234" s="233">
        <f t="shared" ref="P234" si="404">SUM(P235:P236)</f>
        <v>0</v>
      </c>
      <c r="Q234" s="233">
        <f t="shared" si="403"/>
        <v>0</v>
      </c>
      <c r="R234" s="232">
        <f t="shared" si="326"/>
        <v>0</v>
      </c>
    </row>
    <row r="235" spans="1:18" s="29" customFormat="1" ht="24" hidden="1" customHeight="1">
      <c r="A235" s="133" t="s">
        <v>125</v>
      </c>
      <c r="B235" s="179" t="s">
        <v>214</v>
      </c>
      <c r="C235" s="170"/>
      <c r="D235" s="170">
        <v>0</v>
      </c>
      <c r="E235" s="233"/>
      <c r="F235" s="233"/>
      <c r="G235" s="233"/>
      <c r="H235" s="232">
        <f t="shared" si="324"/>
        <v>0</v>
      </c>
      <c r="I235" s="233">
        <v>0</v>
      </c>
      <c r="J235" s="233"/>
      <c r="K235" s="233"/>
      <c r="L235" s="233"/>
      <c r="M235" s="232">
        <f t="shared" si="325"/>
        <v>0</v>
      </c>
      <c r="N235" s="233">
        <v>0</v>
      </c>
      <c r="O235" s="233"/>
      <c r="P235" s="233"/>
      <c r="Q235" s="233"/>
      <c r="R235" s="232">
        <f t="shared" si="326"/>
        <v>0</v>
      </c>
    </row>
    <row r="236" spans="1:18" s="29" customFormat="1" ht="24" hidden="1" customHeight="1">
      <c r="A236" s="133">
        <v>9140</v>
      </c>
      <c r="B236" s="179" t="s">
        <v>215</v>
      </c>
      <c r="C236" s="170">
        <v>0</v>
      </c>
      <c r="D236" s="170">
        <v>0</v>
      </c>
      <c r="E236" s="233">
        <f t="shared" ref="E236:G236" si="405">SUM(E237:E239)</f>
        <v>0</v>
      </c>
      <c r="F236" s="233">
        <f t="shared" ref="F236" si="406">SUM(F237:F239)</f>
        <v>0</v>
      </c>
      <c r="G236" s="233">
        <f t="shared" si="405"/>
        <v>0</v>
      </c>
      <c r="H236" s="232">
        <f t="shared" si="324"/>
        <v>0</v>
      </c>
      <c r="I236" s="233">
        <v>0</v>
      </c>
      <c r="J236" s="233">
        <f t="shared" ref="J236:L236" si="407">SUM(J237:J239)</f>
        <v>0</v>
      </c>
      <c r="K236" s="233">
        <f t="shared" ref="K236" si="408">SUM(K237:K239)</f>
        <v>0</v>
      </c>
      <c r="L236" s="233">
        <f t="shared" si="407"/>
        <v>0</v>
      </c>
      <c r="M236" s="232">
        <f t="shared" si="325"/>
        <v>0</v>
      </c>
      <c r="N236" s="233">
        <v>0</v>
      </c>
      <c r="O236" s="233">
        <f t="shared" ref="O236:Q236" si="409">SUM(O237:O239)</f>
        <v>0</v>
      </c>
      <c r="P236" s="233">
        <f t="shared" ref="P236" si="410">SUM(P237:P239)</f>
        <v>0</v>
      </c>
      <c r="Q236" s="233">
        <f t="shared" si="409"/>
        <v>0</v>
      </c>
      <c r="R236" s="232">
        <f t="shared" si="326"/>
        <v>0</v>
      </c>
    </row>
    <row r="237" spans="1:18" s="29" customFormat="1" ht="36" hidden="1" customHeight="1">
      <c r="A237" s="134">
        <v>9141</v>
      </c>
      <c r="B237" s="172" t="s">
        <v>190</v>
      </c>
      <c r="C237" s="204"/>
      <c r="D237" s="204">
        <v>0</v>
      </c>
      <c r="E237" s="252"/>
      <c r="F237" s="252"/>
      <c r="G237" s="252"/>
      <c r="H237" s="232">
        <f t="shared" si="324"/>
        <v>0</v>
      </c>
      <c r="I237" s="252">
        <v>0</v>
      </c>
      <c r="J237" s="252"/>
      <c r="K237" s="252"/>
      <c r="L237" s="252"/>
      <c r="M237" s="232">
        <f t="shared" si="325"/>
        <v>0</v>
      </c>
      <c r="N237" s="252">
        <v>0</v>
      </c>
      <c r="O237" s="252"/>
      <c r="P237" s="252"/>
      <c r="Q237" s="252"/>
      <c r="R237" s="232">
        <f t="shared" si="326"/>
        <v>0</v>
      </c>
    </row>
    <row r="238" spans="1:18" s="29" customFormat="1" ht="36" hidden="1" customHeight="1">
      <c r="A238" s="134">
        <v>9142</v>
      </c>
      <c r="B238" s="172" t="s">
        <v>191</v>
      </c>
      <c r="C238" s="204"/>
      <c r="D238" s="204">
        <v>0</v>
      </c>
      <c r="E238" s="252"/>
      <c r="F238" s="252"/>
      <c r="G238" s="252"/>
      <c r="H238" s="232">
        <f t="shared" si="324"/>
        <v>0</v>
      </c>
      <c r="I238" s="252">
        <v>0</v>
      </c>
      <c r="J238" s="252"/>
      <c r="K238" s="252"/>
      <c r="L238" s="252"/>
      <c r="M238" s="232">
        <f t="shared" si="325"/>
        <v>0</v>
      </c>
      <c r="N238" s="252">
        <v>0</v>
      </c>
      <c r="O238" s="252"/>
      <c r="P238" s="252"/>
      <c r="Q238" s="252"/>
      <c r="R238" s="232">
        <f t="shared" si="326"/>
        <v>0</v>
      </c>
    </row>
    <row r="239" spans="1:18" s="29" customFormat="1" ht="24" hidden="1" customHeight="1">
      <c r="A239" s="134">
        <v>9149</v>
      </c>
      <c r="B239" s="172" t="s">
        <v>192</v>
      </c>
      <c r="C239" s="204"/>
      <c r="D239" s="204">
        <v>0</v>
      </c>
      <c r="E239" s="252"/>
      <c r="F239" s="252"/>
      <c r="G239" s="252"/>
      <c r="H239" s="232">
        <f t="shared" si="324"/>
        <v>0</v>
      </c>
      <c r="I239" s="252">
        <v>0</v>
      </c>
      <c r="J239" s="252"/>
      <c r="K239" s="252"/>
      <c r="L239" s="252"/>
      <c r="M239" s="232">
        <f t="shared" si="325"/>
        <v>0</v>
      </c>
      <c r="N239" s="252">
        <v>0</v>
      </c>
      <c r="O239" s="252"/>
      <c r="P239" s="252"/>
      <c r="Q239" s="252"/>
      <c r="R239" s="232">
        <f t="shared" si="326"/>
        <v>0</v>
      </c>
    </row>
    <row r="240" spans="1:18" s="29" customFormat="1" ht="24" hidden="1" customHeight="1">
      <c r="A240" s="141">
        <v>9500</v>
      </c>
      <c r="B240" s="172" t="s">
        <v>165</v>
      </c>
      <c r="C240" s="170">
        <v>0</v>
      </c>
      <c r="D240" s="170">
        <v>0</v>
      </c>
      <c r="E240" s="233">
        <f t="shared" ref="E240:G240" si="411">SUM(E241:E243)</f>
        <v>0</v>
      </c>
      <c r="F240" s="233">
        <f t="shared" ref="F240" si="412">SUM(F241:F243)</f>
        <v>0</v>
      </c>
      <c r="G240" s="233">
        <f t="shared" si="411"/>
        <v>0</v>
      </c>
      <c r="H240" s="232">
        <f t="shared" si="324"/>
        <v>0</v>
      </c>
      <c r="I240" s="233">
        <v>0</v>
      </c>
      <c r="J240" s="233">
        <f t="shared" ref="J240:L240" si="413">SUM(J241:J243)</f>
        <v>0</v>
      </c>
      <c r="K240" s="233">
        <f t="shared" ref="K240" si="414">SUM(K241:K243)</f>
        <v>0</v>
      </c>
      <c r="L240" s="233">
        <f t="shared" si="413"/>
        <v>0</v>
      </c>
      <c r="M240" s="232">
        <f t="shared" si="325"/>
        <v>0</v>
      </c>
      <c r="N240" s="233">
        <v>0</v>
      </c>
      <c r="O240" s="233">
        <f t="shared" ref="O240:Q240" si="415">SUM(O241:O243)</f>
        <v>0</v>
      </c>
      <c r="P240" s="233">
        <f t="shared" ref="P240" si="416">SUM(P241:P243)</f>
        <v>0</v>
      </c>
      <c r="Q240" s="233">
        <f t="shared" si="415"/>
        <v>0</v>
      </c>
      <c r="R240" s="232">
        <f t="shared" si="326"/>
        <v>0</v>
      </c>
    </row>
    <row r="241" spans="1:18" s="29" customFormat="1" ht="24" hidden="1" customHeight="1">
      <c r="A241" s="133" t="s">
        <v>193</v>
      </c>
      <c r="B241" s="172" t="s">
        <v>171</v>
      </c>
      <c r="C241" s="170"/>
      <c r="D241" s="170">
        <v>0</v>
      </c>
      <c r="E241" s="233"/>
      <c r="F241" s="233"/>
      <c r="G241" s="233"/>
      <c r="H241" s="232">
        <f t="shared" si="324"/>
        <v>0</v>
      </c>
      <c r="I241" s="233">
        <v>0</v>
      </c>
      <c r="J241" s="233"/>
      <c r="K241" s="233"/>
      <c r="L241" s="233"/>
      <c r="M241" s="232">
        <f t="shared" si="325"/>
        <v>0</v>
      </c>
      <c r="N241" s="233">
        <v>0</v>
      </c>
      <c r="O241" s="233"/>
      <c r="P241" s="233"/>
      <c r="Q241" s="233"/>
      <c r="R241" s="232">
        <f t="shared" si="326"/>
        <v>0</v>
      </c>
    </row>
    <row r="242" spans="1:18" s="29" customFormat="1" ht="48" hidden="1" customHeight="1">
      <c r="A242" s="133">
        <v>9580</v>
      </c>
      <c r="B242" s="172" t="s">
        <v>166</v>
      </c>
      <c r="C242" s="204"/>
      <c r="D242" s="204">
        <v>0</v>
      </c>
      <c r="E242" s="252"/>
      <c r="F242" s="252"/>
      <c r="G242" s="252"/>
      <c r="H242" s="232">
        <f t="shared" si="324"/>
        <v>0</v>
      </c>
      <c r="I242" s="252">
        <v>0</v>
      </c>
      <c r="J242" s="252"/>
      <c r="K242" s="252"/>
      <c r="L242" s="252"/>
      <c r="M242" s="232">
        <f t="shared" si="325"/>
        <v>0</v>
      </c>
      <c r="N242" s="252">
        <v>0</v>
      </c>
      <c r="O242" s="252"/>
      <c r="P242" s="252"/>
      <c r="Q242" s="252"/>
      <c r="R242" s="232">
        <f t="shared" si="326"/>
        <v>0</v>
      </c>
    </row>
    <row r="243" spans="1:18" s="29" customFormat="1" ht="48" hidden="1" customHeight="1">
      <c r="A243" s="133">
        <v>9590</v>
      </c>
      <c r="B243" s="179" t="s">
        <v>172</v>
      </c>
      <c r="C243" s="204"/>
      <c r="D243" s="204">
        <v>0</v>
      </c>
      <c r="E243" s="252"/>
      <c r="F243" s="252"/>
      <c r="G243" s="252"/>
      <c r="H243" s="232">
        <f t="shared" si="324"/>
        <v>0</v>
      </c>
      <c r="I243" s="252">
        <v>0</v>
      </c>
      <c r="J243" s="252"/>
      <c r="K243" s="252"/>
      <c r="L243" s="252"/>
      <c r="M243" s="232">
        <f t="shared" si="325"/>
        <v>0</v>
      </c>
      <c r="N243" s="252">
        <v>0</v>
      </c>
      <c r="O243" s="252"/>
      <c r="P243" s="252"/>
      <c r="Q243" s="252"/>
      <c r="R243" s="232">
        <f t="shared" si="326"/>
        <v>0</v>
      </c>
    </row>
    <row r="244" spans="1:18" s="29" customFormat="1" ht="24" hidden="1" customHeight="1">
      <c r="A244" s="141">
        <v>9700</v>
      </c>
      <c r="B244" s="183" t="s">
        <v>194</v>
      </c>
      <c r="C244" s="170">
        <v>0</v>
      </c>
      <c r="D244" s="170">
        <v>0</v>
      </c>
      <c r="E244" s="233">
        <f t="shared" ref="E244:G244" si="417">SUM(E245:E246)</f>
        <v>0</v>
      </c>
      <c r="F244" s="233">
        <f t="shared" ref="F244" si="418">SUM(F245:F246)</f>
        <v>0</v>
      </c>
      <c r="G244" s="233">
        <f t="shared" si="417"/>
        <v>0</v>
      </c>
      <c r="H244" s="232">
        <f t="shared" si="324"/>
        <v>0</v>
      </c>
      <c r="I244" s="233">
        <v>0</v>
      </c>
      <c r="J244" s="233">
        <f t="shared" ref="J244:L244" si="419">SUM(J245:J246)</f>
        <v>0</v>
      </c>
      <c r="K244" s="233">
        <f t="shared" ref="K244" si="420">SUM(K245:K246)</f>
        <v>0</v>
      </c>
      <c r="L244" s="233">
        <f t="shared" si="419"/>
        <v>0</v>
      </c>
      <c r="M244" s="232">
        <f t="shared" si="325"/>
        <v>0</v>
      </c>
      <c r="N244" s="233">
        <v>0</v>
      </c>
      <c r="O244" s="233">
        <f t="shared" ref="O244:Q244" si="421">SUM(O245:O246)</f>
        <v>0</v>
      </c>
      <c r="P244" s="233">
        <f t="shared" ref="P244" si="422">SUM(P245:P246)</f>
        <v>0</v>
      </c>
      <c r="Q244" s="233">
        <f t="shared" si="421"/>
        <v>0</v>
      </c>
      <c r="R244" s="232">
        <f t="shared" si="326"/>
        <v>0</v>
      </c>
    </row>
    <row r="245" spans="1:18" s="29" customFormat="1" ht="24" hidden="1" customHeight="1">
      <c r="A245" s="133">
        <v>9710</v>
      </c>
      <c r="B245" s="184" t="s">
        <v>195</v>
      </c>
      <c r="C245" s="204"/>
      <c r="D245" s="204">
        <v>0</v>
      </c>
      <c r="E245" s="252"/>
      <c r="F245" s="252"/>
      <c r="G245" s="252"/>
      <c r="H245" s="232">
        <f t="shared" si="324"/>
        <v>0</v>
      </c>
      <c r="I245" s="252">
        <v>0</v>
      </c>
      <c r="J245" s="252"/>
      <c r="K245" s="252"/>
      <c r="L245" s="252"/>
      <c r="M245" s="232">
        <f t="shared" si="325"/>
        <v>0</v>
      </c>
      <c r="N245" s="252">
        <v>0</v>
      </c>
      <c r="O245" s="252"/>
      <c r="P245" s="252"/>
      <c r="Q245" s="252"/>
      <c r="R245" s="232">
        <f t="shared" si="326"/>
        <v>0</v>
      </c>
    </row>
    <row r="246" spans="1:18" s="29" customFormat="1" ht="48" hidden="1" customHeight="1">
      <c r="A246" s="142">
        <v>9720</v>
      </c>
      <c r="B246" s="183" t="s">
        <v>196</v>
      </c>
      <c r="C246" s="204"/>
      <c r="D246" s="204">
        <v>0</v>
      </c>
      <c r="E246" s="252"/>
      <c r="F246" s="252"/>
      <c r="G246" s="252"/>
      <c r="H246" s="232">
        <f t="shared" si="324"/>
        <v>0</v>
      </c>
      <c r="I246" s="252">
        <v>0</v>
      </c>
      <c r="J246" s="252"/>
      <c r="K246" s="252"/>
      <c r="L246" s="252"/>
      <c r="M246" s="232">
        <f t="shared" si="325"/>
        <v>0</v>
      </c>
      <c r="N246" s="252">
        <v>0</v>
      </c>
      <c r="O246" s="252"/>
      <c r="P246" s="252"/>
      <c r="Q246" s="252"/>
      <c r="R246" s="232">
        <f t="shared" si="326"/>
        <v>0</v>
      </c>
    </row>
    <row r="247" spans="1:18" s="29" customFormat="1" ht="24" hidden="1" customHeight="1">
      <c r="A247" s="141">
        <v>9600</v>
      </c>
      <c r="B247" s="179" t="s">
        <v>134</v>
      </c>
      <c r="C247" s="204"/>
      <c r="D247" s="204">
        <v>0</v>
      </c>
      <c r="E247" s="252"/>
      <c r="F247" s="252"/>
      <c r="G247" s="252"/>
      <c r="H247" s="232">
        <f t="shared" si="324"/>
        <v>0</v>
      </c>
      <c r="I247" s="252">
        <v>0</v>
      </c>
      <c r="J247" s="252"/>
      <c r="K247" s="252"/>
      <c r="L247" s="252"/>
      <c r="M247" s="232">
        <f t="shared" si="325"/>
        <v>0</v>
      </c>
      <c r="N247" s="252">
        <v>0</v>
      </c>
      <c r="O247" s="252"/>
      <c r="P247" s="252"/>
      <c r="Q247" s="252"/>
      <c r="R247" s="232">
        <f t="shared" si="326"/>
        <v>0</v>
      </c>
    </row>
    <row r="248" spans="1:18" s="29" customFormat="1" ht="52.5" hidden="1" customHeight="1">
      <c r="A248" s="130" t="s">
        <v>197</v>
      </c>
      <c r="B248" s="185" t="s">
        <v>47</v>
      </c>
      <c r="C248" s="206"/>
      <c r="D248" s="206">
        <v>0</v>
      </c>
      <c r="E248" s="262">
        <f t="shared" ref="E248:G248" si="423">E178-E203</f>
        <v>0</v>
      </c>
      <c r="F248" s="262">
        <f t="shared" ref="F248" si="424">F178-F203</f>
        <v>0</v>
      </c>
      <c r="G248" s="262">
        <f t="shared" si="423"/>
        <v>0</v>
      </c>
      <c r="H248" s="232">
        <f t="shared" si="324"/>
        <v>0</v>
      </c>
      <c r="I248" s="262">
        <v>0</v>
      </c>
      <c r="J248" s="262">
        <f t="shared" ref="J248:L248" si="425">J178-J203</f>
        <v>0</v>
      </c>
      <c r="K248" s="262">
        <f t="shared" ref="K248" si="426">K178-K203</f>
        <v>0</v>
      </c>
      <c r="L248" s="262">
        <f t="shared" si="425"/>
        <v>0</v>
      </c>
      <c r="M248" s="232">
        <f t="shared" si="325"/>
        <v>0</v>
      </c>
      <c r="N248" s="262">
        <v>0</v>
      </c>
      <c r="O248" s="262">
        <f t="shared" ref="O248:Q248" si="427">O178-O203</f>
        <v>0</v>
      </c>
      <c r="P248" s="262">
        <f t="shared" ref="P248" si="428">P178-P203</f>
        <v>0</v>
      </c>
      <c r="Q248" s="262">
        <f t="shared" si="427"/>
        <v>0</v>
      </c>
      <c r="R248" s="232">
        <f t="shared" si="326"/>
        <v>0</v>
      </c>
    </row>
    <row r="249" spans="1:18" s="29" customFormat="1" ht="12" hidden="1" customHeight="1">
      <c r="A249" s="143" t="s">
        <v>48</v>
      </c>
      <c r="B249" s="185" t="s">
        <v>49</v>
      </c>
      <c r="C249" s="206">
        <v>0</v>
      </c>
      <c r="D249" s="206">
        <v>0</v>
      </c>
      <c r="E249" s="262">
        <f t="shared" ref="E249:G249" si="429">E250+E253+E257+E256</f>
        <v>0</v>
      </c>
      <c r="F249" s="262">
        <f t="shared" ref="F249" si="430">F250+F253+F257+F256</f>
        <v>0</v>
      </c>
      <c r="G249" s="262">
        <f t="shared" si="429"/>
        <v>0</v>
      </c>
      <c r="H249" s="232">
        <f t="shared" si="324"/>
        <v>0</v>
      </c>
      <c r="I249" s="262">
        <v>0</v>
      </c>
      <c r="J249" s="262">
        <f t="shared" ref="J249:L249" si="431">J250+J253+J257+J256</f>
        <v>0</v>
      </c>
      <c r="K249" s="262">
        <f t="shared" ref="K249" si="432">K250+K253+K257+K256</f>
        <v>0</v>
      </c>
      <c r="L249" s="262">
        <f t="shared" si="431"/>
        <v>0</v>
      </c>
      <c r="M249" s="232">
        <f t="shared" si="325"/>
        <v>0</v>
      </c>
      <c r="N249" s="262">
        <v>0</v>
      </c>
      <c r="O249" s="262">
        <f t="shared" ref="O249:Q249" si="433">O250+O253+O257+O256</f>
        <v>0</v>
      </c>
      <c r="P249" s="262">
        <f t="shared" ref="P249" si="434">P250+P253+P257+P256</f>
        <v>0</v>
      </c>
      <c r="Q249" s="262">
        <f t="shared" si="433"/>
        <v>0</v>
      </c>
      <c r="R249" s="232">
        <f t="shared" si="326"/>
        <v>0</v>
      </c>
    </row>
    <row r="250" spans="1:18" s="29" customFormat="1" ht="12" hidden="1" customHeight="1">
      <c r="A250" s="141" t="s">
        <v>50</v>
      </c>
      <c r="B250" s="179" t="s">
        <v>51</v>
      </c>
      <c r="C250" s="98">
        <v>0</v>
      </c>
      <c r="D250" s="98">
        <v>0</v>
      </c>
      <c r="E250" s="231">
        <f t="shared" ref="E250:G250" si="435">E251+E252</f>
        <v>0</v>
      </c>
      <c r="F250" s="231">
        <f t="shared" ref="F250" si="436">F251+F252</f>
        <v>0</v>
      </c>
      <c r="G250" s="231">
        <f t="shared" si="435"/>
        <v>0</v>
      </c>
      <c r="H250" s="232">
        <f t="shared" si="324"/>
        <v>0</v>
      </c>
      <c r="I250" s="231">
        <v>0</v>
      </c>
      <c r="J250" s="231">
        <f t="shared" ref="J250:L250" si="437">J251+J252</f>
        <v>0</v>
      </c>
      <c r="K250" s="231">
        <f t="shared" ref="K250" si="438">K251+K252</f>
        <v>0</v>
      </c>
      <c r="L250" s="231">
        <f t="shared" si="437"/>
        <v>0</v>
      </c>
      <c r="M250" s="232">
        <f t="shared" si="325"/>
        <v>0</v>
      </c>
      <c r="N250" s="231">
        <v>0</v>
      </c>
      <c r="O250" s="231">
        <f t="shared" ref="O250:Q250" si="439">O251+O252</f>
        <v>0</v>
      </c>
      <c r="P250" s="231">
        <f t="shared" ref="P250" si="440">P251+P252</f>
        <v>0</v>
      </c>
      <c r="Q250" s="231">
        <f t="shared" si="439"/>
        <v>0</v>
      </c>
      <c r="R250" s="232">
        <f t="shared" si="326"/>
        <v>0</v>
      </c>
    </row>
    <row r="251" spans="1:18" s="29" customFormat="1" ht="12" hidden="1" customHeight="1">
      <c r="A251" s="141" t="s">
        <v>52</v>
      </c>
      <c r="B251" s="179" t="s">
        <v>53</v>
      </c>
      <c r="C251" s="98"/>
      <c r="D251" s="98">
        <v>0</v>
      </c>
      <c r="E251" s="231"/>
      <c r="F251" s="231"/>
      <c r="G251" s="231"/>
      <c r="H251" s="232">
        <f t="shared" si="324"/>
        <v>0</v>
      </c>
      <c r="I251" s="231">
        <v>0</v>
      </c>
      <c r="J251" s="231"/>
      <c r="K251" s="231"/>
      <c r="L251" s="231"/>
      <c r="M251" s="232">
        <f t="shared" si="325"/>
        <v>0</v>
      </c>
      <c r="N251" s="231">
        <v>0</v>
      </c>
      <c r="O251" s="231"/>
      <c r="P251" s="231"/>
      <c r="Q251" s="231"/>
      <c r="R251" s="232">
        <f t="shared" si="326"/>
        <v>0</v>
      </c>
    </row>
    <row r="252" spans="1:18" s="29" customFormat="1" ht="12" hidden="1" customHeight="1">
      <c r="A252" s="141" t="s">
        <v>54</v>
      </c>
      <c r="B252" s="179" t="s">
        <v>55</v>
      </c>
      <c r="C252" s="98"/>
      <c r="D252" s="98">
        <v>0</v>
      </c>
      <c r="E252" s="231"/>
      <c r="F252" s="231"/>
      <c r="G252" s="231"/>
      <c r="H252" s="232">
        <f t="shared" si="324"/>
        <v>0</v>
      </c>
      <c r="I252" s="231">
        <v>0</v>
      </c>
      <c r="J252" s="231"/>
      <c r="K252" s="231"/>
      <c r="L252" s="231"/>
      <c r="M252" s="232">
        <f t="shared" si="325"/>
        <v>0</v>
      </c>
      <c r="N252" s="231">
        <v>0</v>
      </c>
      <c r="O252" s="231"/>
      <c r="P252" s="231"/>
      <c r="Q252" s="231"/>
      <c r="R252" s="232">
        <f t="shared" si="326"/>
        <v>0</v>
      </c>
    </row>
    <row r="253" spans="1:18" s="29" customFormat="1" ht="12" hidden="1" customHeight="1">
      <c r="A253" s="141" t="s">
        <v>56</v>
      </c>
      <c r="B253" s="179" t="s">
        <v>57</v>
      </c>
      <c r="C253" s="98">
        <v>0</v>
      </c>
      <c r="D253" s="98">
        <v>0</v>
      </c>
      <c r="E253" s="231">
        <f t="shared" ref="E253:G253" si="441">E254+E255</f>
        <v>0</v>
      </c>
      <c r="F253" s="231">
        <f t="shared" ref="F253" si="442">F254+F255</f>
        <v>0</v>
      </c>
      <c r="G253" s="231">
        <f t="shared" si="441"/>
        <v>0</v>
      </c>
      <c r="H253" s="232">
        <f t="shared" si="324"/>
        <v>0</v>
      </c>
      <c r="I253" s="231">
        <v>0</v>
      </c>
      <c r="J253" s="231">
        <f t="shared" ref="J253:L253" si="443">J254+J255</f>
        <v>0</v>
      </c>
      <c r="K253" s="231">
        <f t="shared" ref="K253" si="444">K254+K255</f>
        <v>0</v>
      </c>
      <c r="L253" s="231">
        <f t="shared" si="443"/>
        <v>0</v>
      </c>
      <c r="M253" s="232">
        <f t="shared" si="325"/>
        <v>0</v>
      </c>
      <c r="N253" s="231">
        <v>0</v>
      </c>
      <c r="O253" s="231">
        <f t="shared" ref="O253:Q253" si="445">O254+O255</f>
        <v>0</v>
      </c>
      <c r="P253" s="231">
        <f t="shared" ref="P253" si="446">P254+P255</f>
        <v>0</v>
      </c>
      <c r="Q253" s="231">
        <f t="shared" si="445"/>
        <v>0</v>
      </c>
      <c r="R253" s="232">
        <f t="shared" si="326"/>
        <v>0</v>
      </c>
    </row>
    <row r="254" spans="1:18" s="29" customFormat="1" ht="12" hidden="1" customHeight="1">
      <c r="A254" s="141" t="s">
        <v>58</v>
      </c>
      <c r="B254" s="179" t="s">
        <v>59</v>
      </c>
      <c r="C254" s="98"/>
      <c r="D254" s="98">
        <v>0</v>
      </c>
      <c r="E254" s="231"/>
      <c r="F254" s="231"/>
      <c r="G254" s="231"/>
      <c r="H254" s="232">
        <f t="shared" si="324"/>
        <v>0</v>
      </c>
      <c r="I254" s="231">
        <v>0</v>
      </c>
      <c r="J254" s="231"/>
      <c r="K254" s="231"/>
      <c r="L254" s="231"/>
      <c r="M254" s="232">
        <f t="shared" si="325"/>
        <v>0</v>
      </c>
      <c r="N254" s="231">
        <v>0</v>
      </c>
      <c r="O254" s="231"/>
      <c r="P254" s="231"/>
      <c r="Q254" s="231"/>
      <c r="R254" s="232">
        <f t="shared" si="326"/>
        <v>0</v>
      </c>
    </row>
    <row r="255" spans="1:18" s="29" customFormat="1" ht="12" hidden="1" customHeight="1">
      <c r="A255" s="141" t="s">
        <v>60</v>
      </c>
      <c r="B255" s="179" t="s">
        <v>61</v>
      </c>
      <c r="C255" s="98"/>
      <c r="D255" s="98">
        <v>0</v>
      </c>
      <c r="E255" s="231"/>
      <c r="F255" s="231"/>
      <c r="G255" s="231"/>
      <c r="H255" s="232">
        <f t="shared" si="324"/>
        <v>0</v>
      </c>
      <c r="I255" s="231">
        <v>0</v>
      </c>
      <c r="J255" s="231"/>
      <c r="K255" s="231"/>
      <c r="L255" s="231"/>
      <c r="M255" s="232">
        <f t="shared" si="325"/>
        <v>0</v>
      </c>
      <c r="N255" s="231">
        <v>0</v>
      </c>
      <c r="O255" s="231"/>
      <c r="P255" s="231"/>
      <c r="Q255" s="231"/>
      <c r="R255" s="232">
        <f t="shared" si="326"/>
        <v>0</v>
      </c>
    </row>
    <row r="256" spans="1:18" s="29" customFormat="1" ht="12" hidden="1" customHeight="1">
      <c r="A256" s="141" t="s">
        <v>198</v>
      </c>
      <c r="B256" s="187" t="s">
        <v>168</v>
      </c>
      <c r="C256" s="98"/>
      <c r="D256" s="98">
        <v>0</v>
      </c>
      <c r="E256" s="231"/>
      <c r="F256" s="231"/>
      <c r="G256" s="231"/>
      <c r="H256" s="232">
        <f t="shared" si="324"/>
        <v>0</v>
      </c>
      <c r="I256" s="231">
        <v>0</v>
      </c>
      <c r="J256" s="231"/>
      <c r="K256" s="231"/>
      <c r="L256" s="231"/>
      <c r="M256" s="232">
        <f t="shared" si="325"/>
        <v>0</v>
      </c>
      <c r="N256" s="231">
        <v>0</v>
      </c>
      <c r="O256" s="231"/>
      <c r="P256" s="231"/>
      <c r="Q256" s="231"/>
      <c r="R256" s="232">
        <f t="shared" si="326"/>
        <v>0</v>
      </c>
    </row>
    <row r="257" spans="1:18" s="29" customFormat="1" ht="12" hidden="1" customHeight="1">
      <c r="A257" s="144" t="s">
        <v>62</v>
      </c>
      <c r="B257" s="125" t="s">
        <v>63</v>
      </c>
      <c r="C257" s="170">
        <v>0</v>
      </c>
      <c r="D257" s="170">
        <v>0</v>
      </c>
      <c r="E257" s="233">
        <f t="shared" ref="E257:G257" si="447">E258+E259+E260</f>
        <v>0</v>
      </c>
      <c r="F257" s="233">
        <f t="shared" ref="F257" si="448">F258+F259+F260</f>
        <v>0</v>
      </c>
      <c r="G257" s="233">
        <f t="shared" si="447"/>
        <v>0</v>
      </c>
      <c r="H257" s="232">
        <f t="shared" si="324"/>
        <v>0</v>
      </c>
      <c r="I257" s="233">
        <v>0</v>
      </c>
      <c r="J257" s="233">
        <f t="shared" ref="J257:L257" si="449">J258+J259+J260</f>
        <v>0</v>
      </c>
      <c r="K257" s="233">
        <f t="shared" ref="K257" si="450">K258+K259+K260</f>
        <v>0</v>
      </c>
      <c r="L257" s="233">
        <f t="shared" si="449"/>
        <v>0</v>
      </c>
      <c r="M257" s="232">
        <f t="shared" si="325"/>
        <v>0</v>
      </c>
      <c r="N257" s="233">
        <v>0</v>
      </c>
      <c r="O257" s="233">
        <f t="shared" ref="O257:Q257" si="451">O258+O259+O260</f>
        <v>0</v>
      </c>
      <c r="P257" s="233">
        <f t="shared" ref="P257" si="452">P258+P259+P260</f>
        <v>0</v>
      </c>
      <c r="Q257" s="233">
        <f t="shared" si="451"/>
        <v>0</v>
      </c>
      <c r="R257" s="232">
        <f t="shared" si="326"/>
        <v>0</v>
      </c>
    </row>
    <row r="258" spans="1:18" s="29" customFormat="1" ht="36" hidden="1" customHeight="1">
      <c r="A258" s="144" t="s">
        <v>64</v>
      </c>
      <c r="B258" s="179" t="s">
        <v>65</v>
      </c>
      <c r="C258" s="98"/>
      <c r="D258" s="98">
        <v>0</v>
      </c>
      <c r="E258" s="231"/>
      <c r="F258" s="231"/>
      <c r="G258" s="231"/>
      <c r="H258" s="232">
        <f t="shared" si="324"/>
        <v>0</v>
      </c>
      <c r="I258" s="231">
        <v>0</v>
      </c>
      <c r="J258" s="231"/>
      <c r="K258" s="231"/>
      <c r="L258" s="231"/>
      <c r="M258" s="232">
        <f t="shared" si="325"/>
        <v>0</v>
      </c>
      <c r="N258" s="231">
        <v>0</v>
      </c>
      <c r="O258" s="231"/>
      <c r="P258" s="231"/>
      <c r="Q258" s="231"/>
      <c r="R258" s="232">
        <f t="shared" si="326"/>
        <v>0</v>
      </c>
    </row>
    <row r="259" spans="1:18" s="29" customFormat="1" ht="24" hidden="1" customHeight="1">
      <c r="A259" s="144" t="s">
        <v>66</v>
      </c>
      <c r="B259" s="179" t="s">
        <v>67</v>
      </c>
      <c r="C259" s="98"/>
      <c r="D259" s="98">
        <v>0</v>
      </c>
      <c r="E259" s="231"/>
      <c r="F259" s="231"/>
      <c r="G259" s="231"/>
      <c r="H259" s="232">
        <f t="shared" si="324"/>
        <v>0</v>
      </c>
      <c r="I259" s="231">
        <v>0</v>
      </c>
      <c r="J259" s="231"/>
      <c r="K259" s="231"/>
      <c r="L259" s="231"/>
      <c r="M259" s="232">
        <f t="shared" si="325"/>
        <v>0</v>
      </c>
      <c r="N259" s="231">
        <v>0</v>
      </c>
      <c r="O259" s="231"/>
      <c r="P259" s="231"/>
      <c r="Q259" s="231"/>
      <c r="R259" s="232">
        <f t="shared" si="326"/>
        <v>0</v>
      </c>
    </row>
    <row r="260" spans="1:18" s="29" customFormat="1" ht="24" hidden="1" customHeight="1">
      <c r="A260" s="144" t="s">
        <v>68</v>
      </c>
      <c r="B260" s="125" t="s">
        <v>69</v>
      </c>
      <c r="C260" s="98"/>
      <c r="D260" s="98">
        <v>0</v>
      </c>
      <c r="E260" s="231"/>
      <c r="F260" s="231"/>
      <c r="G260" s="231"/>
      <c r="H260" s="232">
        <f t="shared" si="324"/>
        <v>0</v>
      </c>
      <c r="I260" s="231">
        <v>0</v>
      </c>
      <c r="J260" s="231"/>
      <c r="K260" s="231"/>
      <c r="L260" s="231"/>
      <c r="M260" s="232">
        <f t="shared" si="325"/>
        <v>0</v>
      </c>
      <c r="N260" s="231">
        <v>0</v>
      </c>
      <c r="O260" s="231"/>
      <c r="P260" s="231"/>
      <c r="Q260" s="231"/>
      <c r="R260" s="232">
        <f t="shared" si="326"/>
        <v>0</v>
      </c>
    </row>
    <row r="261" spans="1:18" s="29" customFormat="1" ht="12">
      <c r="A261" s="271"/>
      <c r="B261" s="272"/>
      <c r="C261" s="253"/>
      <c r="D261" s="254"/>
      <c r="E261" s="253"/>
      <c r="F261" s="253"/>
      <c r="G261" s="253"/>
      <c r="H261" s="232"/>
      <c r="I261" s="254"/>
      <c r="J261" s="253"/>
      <c r="K261" s="253"/>
      <c r="L261" s="253"/>
      <c r="M261" s="232"/>
      <c r="N261" s="254"/>
      <c r="O261" s="253"/>
      <c r="P261" s="253"/>
      <c r="Q261" s="253"/>
      <c r="R261" s="232"/>
    </row>
    <row r="262" spans="1:18" ht="12">
      <c r="A262" s="33"/>
      <c r="B262" s="164"/>
      <c r="C262" s="165"/>
      <c r="D262" s="163"/>
      <c r="E262" s="165"/>
      <c r="F262" s="163"/>
      <c r="G262" s="163"/>
      <c r="H262" s="163"/>
      <c r="I262" s="163"/>
      <c r="J262" s="165"/>
      <c r="K262" s="163"/>
      <c r="L262" s="163"/>
      <c r="M262" s="163"/>
      <c r="N262" s="163"/>
      <c r="O262" s="165"/>
      <c r="P262" s="163"/>
      <c r="Q262" s="163"/>
      <c r="R262" s="163"/>
    </row>
    <row r="263" spans="1:18" ht="12">
      <c r="A263" s="33"/>
      <c r="B263" s="164"/>
      <c r="C263" s="165"/>
      <c r="D263" s="163"/>
      <c r="E263" s="165"/>
      <c r="F263" s="163"/>
      <c r="G263" s="163"/>
      <c r="H263" s="163"/>
      <c r="I263" s="163"/>
      <c r="J263" s="165"/>
      <c r="K263" s="163"/>
      <c r="L263" s="163"/>
      <c r="M263" s="163"/>
      <c r="N263" s="163"/>
      <c r="O263" s="165"/>
      <c r="P263" s="163"/>
      <c r="Q263" s="163"/>
      <c r="R263" s="163"/>
    </row>
    <row r="264" spans="1:18" ht="13.2">
      <c r="A264" s="369" t="s">
        <v>236</v>
      </c>
      <c r="B264" s="370" t="s">
        <v>237</v>
      </c>
      <c r="C264" s="165"/>
      <c r="D264" s="163"/>
      <c r="E264" s="165"/>
      <c r="F264" s="163"/>
      <c r="G264" s="163"/>
      <c r="H264" s="163"/>
      <c r="I264" s="163"/>
      <c r="J264" s="165"/>
      <c r="K264" s="163"/>
      <c r="L264" s="163"/>
      <c r="M264" s="163"/>
      <c r="N264" s="163"/>
      <c r="O264" s="165"/>
      <c r="P264" s="163"/>
      <c r="Q264" s="163"/>
      <c r="R264" s="163"/>
    </row>
    <row r="265" spans="1:18" ht="13.2">
      <c r="A265" s="371"/>
      <c r="B265" s="372" t="s">
        <v>238</v>
      </c>
      <c r="C265" s="165"/>
      <c r="D265" s="163"/>
      <c r="E265" s="165"/>
      <c r="F265" s="163"/>
      <c r="G265" s="163"/>
      <c r="H265" s="163"/>
      <c r="I265" s="163"/>
      <c r="J265" s="165"/>
      <c r="K265" s="163"/>
      <c r="L265" s="163"/>
      <c r="M265" s="163"/>
      <c r="N265" s="163"/>
      <c r="O265" s="165"/>
      <c r="P265" s="163"/>
      <c r="Q265" s="163"/>
      <c r="R265" s="163"/>
    </row>
    <row r="266" spans="1:18" ht="13.2">
      <c r="A266" s="373" t="s">
        <v>223</v>
      </c>
      <c r="B266" s="374" t="s">
        <v>434</v>
      </c>
      <c r="C266" s="165"/>
      <c r="D266" s="163"/>
      <c r="E266" s="165"/>
      <c r="F266" s="163"/>
      <c r="G266" s="163"/>
      <c r="H266" s="163"/>
      <c r="I266" s="163"/>
      <c r="J266" s="165"/>
      <c r="K266" s="163"/>
      <c r="L266" s="163"/>
      <c r="M266" s="163"/>
      <c r="N266" s="163"/>
      <c r="O266" s="165"/>
      <c r="P266" s="163"/>
      <c r="Q266" s="163"/>
      <c r="R266" s="163"/>
    </row>
    <row r="267" spans="1:18" ht="13.2">
      <c r="A267" s="375" t="s">
        <v>240</v>
      </c>
      <c r="B267" s="376" t="s">
        <v>241</v>
      </c>
      <c r="C267" s="165"/>
      <c r="D267" s="163"/>
      <c r="E267" s="165"/>
      <c r="F267" s="163"/>
      <c r="G267" s="163"/>
      <c r="H267" s="163"/>
      <c r="I267" s="163"/>
      <c r="J267" s="165"/>
      <c r="K267" s="163"/>
      <c r="L267" s="163"/>
      <c r="M267" s="163"/>
      <c r="N267" s="163"/>
      <c r="O267" s="165"/>
      <c r="P267" s="163"/>
      <c r="Q267" s="163"/>
      <c r="R267" s="163"/>
    </row>
    <row r="268" spans="1:18" ht="13.2">
      <c r="A268" s="377"/>
      <c r="B268" s="376"/>
      <c r="C268" s="165"/>
      <c r="D268" s="163"/>
      <c r="E268" s="165"/>
      <c r="F268" s="163"/>
      <c r="G268" s="163"/>
      <c r="H268" s="163"/>
      <c r="I268" s="163"/>
      <c r="J268" s="165"/>
      <c r="K268" s="163"/>
      <c r="L268" s="163"/>
      <c r="M268" s="163"/>
      <c r="N268" s="163"/>
      <c r="O268" s="165"/>
      <c r="P268" s="163"/>
      <c r="Q268" s="163"/>
      <c r="R268" s="163"/>
    </row>
    <row r="269" spans="1:18" ht="13.2">
      <c r="A269" s="378" t="s">
        <v>224</v>
      </c>
      <c r="B269" s="374" t="s">
        <v>242</v>
      </c>
      <c r="C269" s="165"/>
      <c r="D269" s="163"/>
      <c r="E269" s="165"/>
      <c r="F269" s="163"/>
      <c r="G269" s="163"/>
      <c r="H269" s="163"/>
      <c r="I269" s="163"/>
      <c r="J269" s="165"/>
      <c r="K269" s="163"/>
      <c r="L269" s="163"/>
      <c r="M269" s="163"/>
      <c r="N269" s="163"/>
      <c r="O269" s="165"/>
      <c r="P269" s="163"/>
      <c r="Q269" s="163"/>
      <c r="R269" s="163"/>
    </row>
    <row r="270" spans="1:18" ht="13.2">
      <c r="A270" s="375" t="s">
        <v>243</v>
      </c>
      <c r="B270" s="376" t="s">
        <v>244</v>
      </c>
      <c r="C270" s="165"/>
      <c r="D270" s="163"/>
      <c r="E270" s="165"/>
      <c r="F270" s="163"/>
      <c r="G270" s="163"/>
      <c r="H270" s="163"/>
      <c r="I270" s="163"/>
      <c r="J270" s="165"/>
      <c r="K270" s="163"/>
      <c r="L270" s="163"/>
      <c r="M270" s="163"/>
      <c r="N270" s="163"/>
      <c r="O270" s="165"/>
      <c r="P270" s="163"/>
      <c r="Q270" s="163"/>
      <c r="R270" s="163"/>
    </row>
    <row r="271" spans="1:18" ht="13.2">
      <c r="A271" s="377"/>
      <c r="B271" s="376"/>
      <c r="C271" s="165"/>
      <c r="D271" s="163"/>
      <c r="E271" s="165"/>
      <c r="F271" s="163"/>
      <c r="G271" s="163"/>
      <c r="H271" s="163"/>
      <c r="I271" s="163"/>
      <c r="J271" s="165"/>
      <c r="K271" s="163"/>
      <c r="L271" s="163"/>
      <c r="M271" s="163"/>
      <c r="N271" s="163"/>
      <c r="O271" s="165"/>
      <c r="P271" s="163"/>
      <c r="Q271" s="163"/>
      <c r="R271" s="163"/>
    </row>
    <row r="272" spans="1:18" ht="13.2">
      <c r="A272" s="369" t="s">
        <v>245</v>
      </c>
      <c r="B272" s="370" t="s">
        <v>140</v>
      </c>
      <c r="C272" s="165"/>
      <c r="D272" s="163"/>
      <c r="E272" s="165"/>
      <c r="F272" s="163"/>
      <c r="G272" s="163"/>
      <c r="H272" s="163"/>
      <c r="I272" s="163"/>
      <c r="J272" s="165"/>
      <c r="K272" s="163"/>
      <c r="L272" s="163"/>
      <c r="M272" s="163"/>
      <c r="N272" s="163"/>
      <c r="O272" s="165"/>
      <c r="P272" s="163"/>
      <c r="Q272" s="163"/>
      <c r="R272" s="163"/>
    </row>
    <row r="273" spans="1:18" ht="13.2">
      <c r="A273" s="371"/>
      <c r="B273" s="372" t="s">
        <v>238</v>
      </c>
      <c r="C273" s="165"/>
      <c r="D273" s="163"/>
      <c r="E273" s="165"/>
      <c r="F273" s="163"/>
      <c r="G273" s="163"/>
      <c r="H273" s="163"/>
      <c r="I273" s="163"/>
      <c r="J273" s="165"/>
      <c r="K273" s="163"/>
      <c r="L273" s="163"/>
      <c r="M273" s="163"/>
      <c r="N273" s="163"/>
      <c r="O273" s="165"/>
      <c r="P273" s="163"/>
      <c r="Q273" s="163"/>
      <c r="R273" s="163"/>
    </row>
    <row r="274" spans="1:18" ht="13.2">
      <c r="A274" s="373" t="s">
        <v>223</v>
      </c>
      <c r="B274" s="374" t="s">
        <v>434</v>
      </c>
      <c r="C274" s="165"/>
      <c r="D274" s="163"/>
      <c r="E274" s="165"/>
      <c r="F274" s="163"/>
      <c r="G274" s="163"/>
      <c r="H274" s="163"/>
      <c r="I274" s="163"/>
      <c r="J274" s="165"/>
      <c r="K274" s="163"/>
      <c r="L274" s="163"/>
      <c r="M274" s="163"/>
      <c r="N274" s="163"/>
      <c r="O274" s="165"/>
      <c r="P274" s="163"/>
      <c r="Q274" s="163"/>
      <c r="R274" s="163"/>
    </row>
    <row r="275" spans="1:18" ht="13.2">
      <c r="A275" s="375" t="s">
        <v>240</v>
      </c>
      <c r="B275" s="376" t="s">
        <v>241</v>
      </c>
      <c r="C275" s="165"/>
      <c r="D275" s="163"/>
      <c r="E275" s="165"/>
      <c r="F275" s="163"/>
      <c r="G275" s="163"/>
      <c r="H275" s="163"/>
      <c r="I275" s="163"/>
      <c r="J275" s="165"/>
      <c r="K275" s="163"/>
      <c r="L275" s="163"/>
      <c r="M275" s="163"/>
      <c r="N275" s="163"/>
      <c r="O275" s="165"/>
      <c r="P275" s="163"/>
      <c r="Q275" s="163"/>
      <c r="R275" s="163"/>
    </row>
    <row r="276" spans="1:18" ht="13.2">
      <c r="A276" s="377"/>
      <c r="B276" s="376"/>
      <c r="C276" s="165"/>
      <c r="D276" s="163"/>
      <c r="E276" s="165"/>
      <c r="F276" s="163"/>
      <c r="G276" s="163"/>
      <c r="H276" s="163"/>
      <c r="I276" s="163"/>
      <c r="J276" s="165"/>
      <c r="K276" s="163"/>
      <c r="L276" s="163"/>
      <c r="M276" s="163"/>
      <c r="N276" s="163"/>
      <c r="O276" s="165"/>
      <c r="P276" s="163"/>
      <c r="Q276" s="163"/>
      <c r="R276" s="163"/>
    </row>
    <row r="277" spans="1:18" ht="13.2">
      <c r="A277" s="378" t="s">
        <v>224</v>
      </c>
      <c r="B277" s="374" t="s">
        <v>242</v>
      </c>
      <c r="C277" s="165"/>
      <c r="D277" s="163"/>
      <c r="E277" s="165"/>
      <c r="F277" s="163"/>
      <c r="G277" s="163"/>
      <c r="H277" s="163"/>
      <c r="I277" s="163"/>
      <c r="J277" s="165"/>
      <c r="K277" s="163"/>
      <c r="L277" s="163"/>
      <c r="M277" s="163"/>
      <c r="N277" s="163"/>
      <c r="O277" s="165"/>
      <c r="P277" s="163"/>
      <c r="Q277" s="163"/>
      <c r="R277" s="163"/>
    </row>
    <row r="278" spans="1:18" ht="13.2">
      <c r="A278" s="375" t="s">
        <v>243</v>
      </c>
      <c r="B278" s="376" t="s">
        <v>244</v>
      </c>
      <c r="C278" s="165"/>
      <c r="D278" s="163"/>
      <c r="E278" s="165"/>
      <c r="F278" s="163"/>
      <c r="G278" s="163"/>
      <c r="H278" s="163"/>
      <c r="I278" s="163"/>
      <c r="J278" s="165"/>
      <c r="K278" s="163"/>
      <c r="L278" s="163"/>
      <c r="M278" s="163"/>
      <c r="N278" s="163"/>
      <c r="O278" s="165"/>
      <c r="P278" s="163"/>
      <c r="Q278" s="163"/>
      <c r="R278" s="163"/>
    </row>
    <row r="279" spans="1:18" ht="12">
      <c r="A279" s="33"/>
      <c r="B279" s="34"/>
      <c r="C279" s="165"/>
      <c r="D279" s="163"/>
      <c r="E279" s="165"/>
      <c r="F279" s="163"/>
      <c r="G279" s="163"/>
      <c r="H279" s="163"/>
      <c r="I279" s="163"/>
      <c r="J279" s="165"/>
      <c r="K279" s="163"/>
      <c r="L279" s="163"/>
      <c r="M279" s="163"/>
      <c r="N279" s="163"/>
      <c r="O279" s="165"/>
      <c r="P279" s="163"/>
      <c r="Q279" s="163"/>
      <c r="R279" s="163"/>
    </row>
    <row r="280" spans="1:18" ht="12">
      <c r="A280" s="33"/>
      <c r="B280" s="34"/>
      <c r="C280" s="165"/>
      <c r="D280" s="163"/>
      <c r="E280" s="165"/>
      <c r="F280" s="163"/>
      <c r="G280" s="163"/>
      <c r="H280" s="163"/>
      <c r="I280" s="163"/>
      <c r="J280" s="165"/>
      <c r="K280" s="163"/>
      <c r="L280" s="163"/>
      <c r="M280" s="163"/>
      <c r="N280" s="163"/>
      <c r="O280" s="165"/>
      <c r="P280" s="163"/>
      <c r="Q280" s="163"/>
      <c r="R280" s="163"/>
    </row>
    <row r="281" spans="1:18" ht="12">
      <c r="A281" s="33"/>
      <c r="B281" s="31"/>
      <c r="C281" s="165"/>
      <c r="D281" s="163"/>
      <c r="E281" s="165"/>
      <c r="F281" s="163"/>
      <c r="G281" s="163"/>
      <c r="H281" s="163"/>
      <c r="I281" s="163"/>
      <c r="J281" s="165"/>
      <c r="K281" s="163"/>
      <c r="L281" s="163"/>
      <c r="M281" s="163"/>
      <c r="N281" s="163"/>
      <c r="O281" s="165"/>
      <c r="P281" s="163"/>
      <c r="Q281" s="163"/>
      <c r="R281" s="163"/>
    </row>
    <row r="282" spans="1:18" ht="12">
      <c r="A282" s="33"/>
      <c r="B282" s="34"/>
      <c r="C282" s="35"/>
      <c r="D282" s="33"/>
      <c r="E282" s="165"/>
      <c r="F282" s="163"/>
      <c r="G282" s="163"/>
      <c r="H282" s="163"/>
      <c r="I282" s="163"/>
      <c r="J282" s="165"/>
      <c r="K282" s="163"/>
      <c r="L282" s="163"/>
      <c r="M282" s="163"/>
      <c r="N282" s="163"/>
      <c r="O282" s="165"/>
      <c r="P282" s="163"/>
      <c r="Q282" s="163"/>
      <c r="R282" s="163"/>
    </row>
    <row r="283" spans="1:18" ht="12">
      <c r="A283" s="33"/>
      <c r="B283" s="34"/>
      <c r="C283" s="35"/>
      <c r="D283" s="33"/>
      <c r="E283" s="165"/>
      <c r="F283" s="163"/>
      <c r="G283" s="163"/>
      <c r="H283" s="163"/>
      <c r="I283" s="163"/>
      <c r="J283" s="165"/>
      <c r="K283" s="163"/>
      <c r="L283" s="163"/>
      <c r="M283" s="163"/>
      <c r="N283" s="163"/>
      <c r="O283" s="165"/>
      <c r="P283" s="163"/>
      <c r="Q283" s="163"/>
      <c r="R283" s="163"/>
    </row>
    <row r="284" spans="1:18" ht="12">
      <c r="A284" s="33"/>
      <c r="B284" s="34"/>
      <c r="C284" s="35"/>
      <c r="D284" s="33"/>
      <c r="E284" s="165"/>
      <c r="F284" s="163"/>
      <c r="G284" s="163"/>
      <c r="H284" s="163"/>
      <c r="I284" s="163"/>
      <c r="J284" s="165"/>
      <c r="K284" s="163"/>
      <c r="L284" s="163"/>
      <c r="M284" s="163"/>
      <c r="N284" s="163"/>
      <c r="O284" s="165"/>
      <c r="P284" s="163"/>
      <c r="Q284" s="163"/>
      <c r="R284" s="163"/>
    </row>
    <row r="285" spans="1:18" ht="12">
      <c r="A285" s="33"/>
      <c r="B285" s="34"/>
      <c r="C285" s="35"/>
      <c r="D285" s="33"/>
      <c r="E285" s="165"/>
      <c r="F285" s="163"/>
      <c r="G285" s="163"/>
      <c r="H285" s="163"/>
      <c r="I285" s="163"/>
      <c r="J285" s="165"/>
      <c r="K285" s="163"/>
      <c r="L285" s="163"/>
      <c r="M285" s="163"/>
      <c r="N285" s="163"/>
      <c r="O285" s="165"/>
      <c r="P285" s="163"/>
      <c r="Q285" s="163"/>
      <c r="R285" s="163"/>
    </row>
    <row r="286" spans="1:18" ht="12">
      <c r="A286" s="33"/>
      <c r="B286" s="34"/>
      <c r="C286" s="35"/>
      <c r="D286" s="33"/>
      <c r="E286" s="165"/>
      <c r="F286" s="163"/>
      <c r="G286" s="163"/>
      <c r="H286" s="163"/>
      <c r="I286" s="163"/>
      <c r="J286" s="165"/>
      <c r="K286" s="163"/>
      <c r="L286" s="163"/>
      <c r="M286" s="163"/>
      <c r="N286" s="163"/>
      <c r="O286" s="165"/>
      <c r="P286" s="163"/>
      <c r="Q286" s="163"/>
      <c r="R286" s="163"/>
    </row>
    <row r="287" spans="1:18" ht="12">
      <c r="A287" s="33"/>
      <c r="B287" s="34"/>
      <c r="C287" s="35"/>
      <c r="D287" s="33"/>
      <c r="E287" s="165"/>
      <c r="F287" s="163"/>
      <c r="G287" s="163"/>
      <c r="H287" s="163"/>
      <c r="I287" s="163"/>
      <c r="J287" s="165"/>
      <c r="K287" s="163"/>
      <c r="L287" s="163"/>
      <c r="M287" s="163"/>
      <c r="N287" s="163"/>
      <c r="O287" s="165"/>
      <c r="P287" s="163"/>
      <c r="Q287" s="163"/>
      <c r="R287" s="163"/>
    </row>
    <row r="288" spans="1:18" ht="12">
      <c r="A288" s="33"/>
      <c r="B288" s="34"/>
      <c r="C288" s="35"/>
      <c r="D288" s="33"/>
      <c r="E288" s="165"/>
      <c r="F288" s="163"/>
      <c r="G288" s="163"/>
      <c r="H288" s="163"/>
      <c r="I288" s="163"/>
      <c r="J288" s="165"/>
      <c r="K288" s="163"/>
      <c r="L288" s="163"/>
      <c r="M288" s="163"/>
      <c r="N288" s="163"/>
      <c r="O288" s="165"/>
      <c r="P288" s="163"/>
      <c r="Q288" s="163"/>
      <c r="R288" s="163"/>
    </row>
    <row r="289" spans="1:18" ht="12">
      <c r="A289" s="33"/>
      <c r="B289" s="34"/>
      <c r="C289" s="35"/>
      <c r="D289" s="33"/>
      <c r="E289" s="165"/>
      <c r="F289" s="163"/>
      <c r="G289" s="163"/>
      <c r="H289" s="163"/>
      <c r="I289" s="163"/>
      <c r="J289" s="165"/>
      <c r="K289" s="163"/>
      <c r="L289" s="163"/>
      <c r="M289" s="163"/>
      <c r="N289" s="163"/>
      <c r="O289" s="165"/>
      <c r="P289" s="163"/>
      <c r="Q289" s="163"/>
      <c r="R289" s="163"/>
    </row>
    <row r="290" spans="1:18" ht="12">
      <c r="A290" s="33"/>
      <c r="B290" s="34"/>
      <c r="C290" s="35"/>
      <c r="D290" s="33"/>
      <c r="E290" s="165"/>
      <c r="F290" s="163"/>
      <c r="G290" s="163"/>
      <c r="H290" s="163"/>
      <c r="I290" s="163"/>
      <c r="J290" s="165"/>
      <c r="K290" s="163"/>
      <c r="L290" s="163"/>
      <c r="M290" s="163"/>
      <c r="N290" s="163"/>
      <c r="O290" s="165"/>
      <c r="P290" s="163"/>
      <c r="Q290" s="163"/>
      <c r="R290" s="163"/>
    </row>
    <row r="291" spans="1:18" ht="12">
      <c r="A291" s="33"/>
      <c r="B291" s="34"/>
      <c r="C291" s="35"/>
      <c r="D291" s="33"/>
      <c r="E291" s="165"/>
      <c r="F291" s="163"/>
      <c r="G291" s="163"/>
      <c r="H291" s="163"/>
      <c r="I291" s="163"/>
      <c r="J291" s="165"/>
      <c r="K291" s="163"/>
      <c r="L291" s="163"/>
      <c r="M291" s="163"/>
      <c r="N291" s="163"/>
      <c r="O291" s="165"/>
      <c r="P291" s="163"/>
      <c r="Q291" s="163"/>
      <c r="R291" s="163"/>
    </row>
    <row r="292" spans="1:18" ht="12">
      <c r="A292" s="33"/>
      <c r="B292" s="34"/>
      <c r="C292" s="35"/>
      <c r="D292" s="33"/>
      <c r="E292" s="165"/>
      <c r="F292" s="163"/>
      <c r="G292" s="163"/>
      <c r="H292" s="163"/>
      <c r="I292" s="163"/>
      <c r="J292" s="165"/>
      <c r="K292" s="163"/>
      <c r="L292" s="163"/>
      <c r="M292" s="163"/>
      <c r="N292" s="163"/>
      <c r="O292" s="165"/>
      <c r="P292" s="163"/>
      <c r="Q292" s="163"/>
      <c r="R292" s="163"/>
    </row>
    <row r="293" spans="1:18" ht="12">
      <c r="A293" s="33"/>
      <c r="B293" s="34"/>
      <c r="C293" s="35"/>
      <c r="D293" s="33"/>
      <c r="E293" s="165"/>
      <c r="F293" s="163"/>
      <c r="G293" s="163"/>
      <c r="H293" s="163"/>
      <c r="I293" s="163"/>
      <c r="J293" s="165"/>
      <c r="K293" s="163"/>
      <c r="L293" s="163"/>
      <c r="M293" s="163"/>
      <c r="N293" s="163"/>
      <c r="O293" s="165"/>
      <c r="P293" s="163"/>
      <c r="Q293" s="163"/>
      <c r="R293" s="163"/>
    </row>
    <row r="294" spans="1:18" ht="12">
      <c r="A294" s="33"/>
      <c r="B294" s="34"/>
      <c r="C294" s="35"/>
      <c r="D294" s="33"/>
      <c r="E294" s="165"/>
      <c r="F294" s="163"/>
      <c r="G294" s="163"/>
      <c r="H294" s="163"/>
      <c r="I294" s="163"/>
      <c r="J294" s="165"/>
      <c r="K294" s="163"/>
      <c r="L294" s="163"/>
      <c r="M294" s="163"/>
      <c r="N294" s="163"/>
      <c r="O294" s="165"/>
      <c r="P294" s="163"/>
      <c r="Q294" s="163"/>
      <c r="R294" s="163"/>
    </row>
    <row r="295" spans="1:18" ht="12">
      <c r="A295" s="33"/>
      <c r="B295" s="34"/>
      <c r="C295" s="35"/>
      <c r="D295" s="33"/>
      <c r="E295" s="165"/>
      <c r="F295" s="163"/>
      <c r="G295" s="163"/>
      <c r="H295" s="163"/>
      <c r="I295" s="163"/>
      <c r="J295" s="165"/>
      <c r="K295" s="163"/>
      <c r="L295" s="163"/>
      <c r="M295" s="163"/>
      <c r="N295" s="163"/>
      <c r="O295" s="165"/>
      <c r="P295" s="163"/>
      <c r="Q295" s="163"/>
      <c r="R295" s="163"/>
    </row>
    <row r="296" spans="1:18" ht="12">
      <c r="A296" s="33"/>
      <c r="B296" s="34"/>
      <c r="C296" s="35"/>
      <c r="D296" s="33"/>
      <c r="E296" s="165"/>
      <c r="F296" s="163"/>
      <c r="G296" s="163"/>
      <c r="H296" s="163"/>
      <c r="I296" s="163"/>
      <c r="J296" s="165"/>
      <c r="K296" s="163"/>
      <c r="L296" s="163"/>
      <c r="M296" s="163"/>
      <c r="N296" s="163"/>
      <c r="O296" s="165"/>
      <c r="P296" s="163"/>
      <c r="Q296" s="163"/>
      <c r="R296" s="163"/>
    </row>
    <row r="297" spans="1:18" ht="12">
      <c r="A297" s="33"/>
      <c r="B297" s="34"/>
      <c r="C297" s="35"/>
      <c r="D297" s="33"/>
      <c r="E297" s="165"/>
      <c r="F297" s="163"/>
      <c r="G297" s="163"/>
      <c r="H297" s="163"/>
      <c r="I297" s="163"/>
      <c r="J297" s="165"/>
      <c r="K297" s="163"/>
      <c r="L297" s="163"/>
      <c r="M297" s="163"/>
      <c r="N297" s="163"/>
      <c r="O297" s="165"/>
      <c r="P297" s="163"/>
      <c r="Q297" s="163"/>
      <c r="R297" s="163"/>
    </row>
    <row r="298" spans="1:18" ht="12">
      <c r="A298" s="33"/>
      <c r="B298" s="34"/>
      <c r="C298" s="35"/>
      <c r="D298" s="33"/>
      <c r="E298" s="165"/>
      <c r="F298" s="163"/>
      <c r="G298" s="163"/>
      <c r="H298" s="163"/>
      <c r="I298" s="163"/>
      <c r="J298" s="165"/>
      <c r="K298" s="163"/>
      <c r="L298" s="163"/>
      <c r="M298" s="163"/>
      <c r="N298" s="163"/>
      <c r="O298" s="165"/>
      <c r="P298" s="163"/>
      <c r="Q298" s="163"/>
      <c r="R298" s="163"/>
    </row>
    <row r="299" spans="1:18" ht="12">
      <c r="A299" s="33"/>
      <c r="B299" s="34"/>
      <c r="C299" s="35"/>
      <c r="D299" s="33"/>
      <c r="E299" s="165"/>
      <c r="F299" s="163"/>
      <c r="G299" s="163"/>
      <c r="H299" s="163"/>
      <c r="I299" s="163"/>
      <c r="J299" s="165"/>
      <c r="K299" s="163"/>
      <c r="L299" s="163"/>
      <c r="M299" s="163"/>
      <c r="N299" s="163"/>
      <c r="O299" s="165"/>
      <c r="P299" s="163"/>
      <c r="Q299" s="163"/>
      <c r="R299" s="163"/>
    </row>
    <row r="300" spans="1:18" ht="12">
      <c r="A300" s="33"/>
      <c r="B300" s="34"/>
      <c r="C300" s="35"/>
      <c r="D300" s="33"/>
      <c r="E300" s="165"/>
      <c r="F300" s="163"/>
      <c r="G300" s="163"/>
      <c r="H300" s="163"/>
      <c r="I300" s="163"/>
      <c r="J300" s="165"/>
      <c r="K300" s="163"/>
      <c r="L300" s="163"/>
      <c r="M300" s="163"/>
      <c r="N300" s="163"/>
      <c r="O300" s="165"/>
      <c r="P300" s="163"/>
      <c r="Q300" s="163"/>
      <c r="R300" s="163"/>
    </row>
    <row r="301" spans="1:18" ht="12">
      <c r="A301" s="33"/>
      <c r="B301" s="34"/>
      <c r="C301" s="35"/>
      <c r="D301" s="33"/>
      <c r="E301" s="165"/>
      <c r="F301" s="163"/>
      <c r="G301" s="163"/>
      <c r="H301" s="163"/>
      <c r="I301" s="163"/>
      <c r="J301" s="165"/>
      <c r="K301" s="163"/>
      <c r="L301" s="163"/>
      <c r="M301" s="163"/>
      <c r="N301" s="163"/>
      <c r="O301" s="165"/>
      <c r="P301" s="163"/>
      <c r="Q301" s="163"/>
      <c r="R301" s="163"/>
    </row>
    <row r="302" spans="1:18" ht="12">
      <c r="A302" s="33"/>
      <c r="B302" s="34"/>
      <c r="C302" s="35"/>
      <c r="D302" s="33"/>
      <c r="E302" s="165"/>
      <c r="F302" s="163"/>
      <c r="G302" s="163"/>
      <c r="H302" s="163"/>
      <c r="I302" s="163"/>
      <c r="J302" s="165"/>
      <c r="K302" s="163"/>
      <c r="L302" s="163"/>
      <c r="M302" s="163"/>
      <c r="N302" s="163"/>
      <c r="O302" s="165"/>
      <c r="P302" s="163"/>
      <c r="Q302" s="163"/>
      <c r="R302" s="163"/>
    </row>
    <row r="303" spans="1:18" ht="12">
      <c r="A303" s="33"/>
      <c r="B303" s="34"/>
      <c r="C303" s="35"/>
      <c r="D303" s="33"/>
      <c r="E303" s="165"/>
      <c r="F303" s="163"/>
      <c r="G303" s="163"/>
      <c r="H303" s="163"/>
      <c r="I303" s="163"/>
      <c r="J303" s="165"/>
      <c r="K303" s="163"/>
      <c r="L303" s="163"/>
      <c r="M303" s="163"/>
      <c r="N303" s="163"/>
      <c r="O303" s="165"/>
      <c r="P303" s="163"/>
      <c r="Q303" s="163"/>
      <c r="R303" s="163"/>
    </row>
    <row r="304" spans="1:18" ht="12">
      <c r="A304" s="33"/>
      <c r="B304" s="34"/>
      <c r="C304" s="35"/>
      <c r="D304" s="33"/>
      <c r="E304" s="165"/>
      <c r="F304" s="163"/>
      <c r="G304" s="163"/>
      <c r="H304" s="163"/>
      <c r="I304" s="163"/>
      <c r="J304" s="165"/>
      <c r="K304" s="163"/>
      <c r="L304" s="163"/>
      <c r="M304" s="163"/>
      <c r="N304" s="163"/>
      <c r="O304" s="165"/>
      <c r="P304" s="163"/>
      <c r="Q304" s="163"/>
      <c r="R304" s="163"/>
    </row>
    <row r="305" spans="1:18" ht="12">
      <c r="A305" s="33"/>
      <c r="B305" s="34"/>
      <c r="C305" s="35"/>
      <c r="D305" s="33"/>
      <c r="E305" s="165"/>
      <c r="F305" s="163"/>
      <c r="G305" s="163"/>
      <c r="H305" s="163"/>
      <c r="I305" s="163"/>
      <c r="J305" s="165"/>
      <c r="K305" s="163"/>
      <c r="L305" s="163"/>
      <c r="M305" s="163"/>
      <c r="N305" s="163"/>
      <c r="O305" s="165"/>
      <c r="P305" s="163"/>
      <c r="Q305" s="163"/>
      <c r="R305" s="163"/>
    </row>
    <row r="306" spans="1:18" ht="12">
      <c r="A306" s="33"/>
      <c r="B306" s="34"/>
      <c r="C306" s="35"/>
      <c r="D306" s="33"/>
      <c r="E306" s="165"/>
      <c r="F306" s="163"/>
      <c r="G306" s="163"/>
      <c r="H306" s="163"/>
      <c r="I306" s="163"/>
      <c r="J306" s="165"/>
      <c r="K306" s="163"/>
      <c r="L306" s="163"/>
      <c r="M306" s="163"/>
      <c r="N306" s="163"/>
      <c r="O306" s="165"/>
      <c r="P306" s="163"/>
      <c r="Q306" s="163"/>
      <c r="R306" s="163"/>
    </row>
    <row r="307" spans="1:18" ht="12">
      <c r="A307" s="33"/>
      <c r="B307" s="34"/>
      <c r="C307" s="35"/>
      <c r="D307" s="33"/>
      <c r="E307" s="165"/>
      <c r="F307" s="163"/>
      <c r="G307" s="163"/>
      <c r="H307" s="163"/>
      <c r="I307" s="163"/>
      <c r="J307" s="165"/>
      <c r="K307" s="163"/>
      <c r="L307" s="163"/>
      <c r="M307" s="163"/>
      <c r="N307" s="163"/>
      <c r="O307" s="165"/>
      <c r="P307" s="163"/>
      <c r="Q307" s="163"/>
      <c r="R307" s="163"/>
    </row>
    <row r="308" spans="1:18" ht="12">
      <c r="A308" s="33"/>
      <c r="B308" s="34"/>
      <c r="C308" s="35"/>
      <c r="D308" s="33"/>
      <c r="E308" s="165"/>
      <c r="F308" s="163"/>
      <c r="G308" s="163"/>
      <c r="H308" s="163"/>
      <c r="I308" s="163"/>
      <c r="J308" s="165"/>
      <c r="K308" s="163"/>
      <c r="L308" s="163"/>
      <c r="M308" s="163"/>
      <c r="N308" s="163"/>
      <c r="O308" s="165"/>
      <c r="P308" s="163"/>
      <c r="Q308" s="163"/>
      <c r="R308" s="163"/>
    </row>
    <row r="309" spans="1:18" ht="12">
      <c r="A309" s="33"/>
      <c r="B309" s="34"/>
      <c r="C309" s="35"/>
      <c r="D309" s="33"/>
      <c r="E309" s="165"/>
      <c r="F309" s="163"/>
      <c r="G309" s="163"/>
      <c r="H309" s="163"/>
      <c r="I309" s="163"/>
      <c r="J309" s="165"/>
      <c r="K309" s="163"/>
      <c r="L309" s="163"/>
      <c r="M309" s="163"/>
      <c r="N309" s="163"/>
      <c r="O309" s="165"/>
      <c r="P309" s="163"/>
      <c r="Q309" s="163"/>
      <c r="R309" s="163"/>
    </row>
    <row r="310" spans="1:18" ht="12">
      <c r="A310" s="33"/>
      <c r="B310" s="34"/>
      <c r="C310" s="35"/>
      <c r="D310" s="33"/>
      <c r="E310" s="165"/>
      <c r="F310" s="163"/>
      <c r="G310" s="163"/>
      <c r="H310" s="163"/>
      <c r="I310" s="163"/>
      <c r="J310" s="165"/>
      <c r="K310" s="163"/>
      <c r="L310" s="163"/>
      <c r="M310" s="163"/>
      <c r="N310" s="163"/>
      <c r="O310" s="165"/>
      <c r="P310" s="163"/>
      <c r="Q310" s="163"/>
      <c r="R310" s="163"/>
    </row>
    <row r="311" spans="1:18" ht="12">
      <c r="A311" s="33"/>
      <c r="B311" s="34"/>
      <c r="C311" s="35"/>
      <c r="D311" s="33"/>
      <c r="E311" s="165"/>
      <c r="F311" s="163"/>
      <c r="G311" s="163"/>
      <c r="H311" s="163"/>
      <c r="I311" s="163"/>
      <c r="J311" s="165"/>
      <c r="K311" s="163"/>
      <c r="L311" s="163"/>
      <c r="M311" s="163"/>
      <c r="N311" s="163"/>
      <c r="O311" s="165"/>
      <c r="P311" s="163"/>
      <c r="Q311" s="163"/>
      <c r="R311" s="163"/>
    </row>
    <row r="312" spans="1:18" ht="12">
      <c r="A312" s="33"/>
      <c r="B312" s="34"/>
      <c r="C312" s="35"/>
      <c r="D312" s="33"/>
      <c r="E312" s="165"/>
      <c r="F312" s="163"/>
      <c r="G312" s="163"/>
      <c r="H312" s="163"/>
      <c r="I312" s="163"/>
      <c r="J312" s="165"/>
      <c r="K312" s="163"/>
      <c r="L312" s="163"/>
      <c r="M312" s="163"/>
      <c r="N312" s="163"/>
      <c r="O312" s="165"/>
      <c r="P312" s="163"/>
      <c r="Q312" s="163"/>
      <c r="R312" s="163"/>
    </row>
    <row r="313" spans="1:18" ht="12">
      <c r="A313" s="33"/>
      <c r="B313" s="34"/>
      <c r="C313" s="35"/>
      <c r="D313" s="33"/>
      <c r="E313" s="165"/>
      <c r="F313" s="163"/>
      <c r="G313" s="163"/>
      <c r="H313" s="163"/>
      <c r="I313" s="163"/>
      <c r="J313" s="165"/>
      <c r="K313" s="163"/>
      <c r="L313" s="163"/>
      <c r="M313" s="163"/>
      <c r="N313" s="163"/>
      <c r="O313" s="165"/>
      <c r="P313" s="163"/>
      <c r="Q313" s="163"/>
      <c r="R313" s="163"/>
    </row>
    <row r="314" spans="1:18" ht="12">
      <c r="A314" s="33"/>
      <c r="B314" s="34"/>
      <c r="C314" s="35"/>
      <c r="D314" s="33"/>
      <c r="E314" s="165"/>
      <c r="F314" s="163"/>
      <c r="G314" s="163"/>
      <c r="H314" s="163"/>
      <c r="I314" s="163"/>
      <c r="J314" s="165"/>
      <c r="K314" s="163"/>
      <c r="L314" s="163"/>
      <c r="M314" s="163"/>
      <c r="N314" s="163"/>
      <c r="O314" s="165"/>
      <c r="P314" s="163"/>
      <c r="Q314" s="163"/>
      <c r="R314" s="163"/>
    </row>
    <row r="315" spans="1:18" ht="12">
      <c r="A315" s="33"/>
      <c r="B315" s="34"/>
      <c r="C315" s="35"/>
      <c r="D315" s="33"/>
      <c r="E315" s="165"/>
      <c r="F315" s="163"/>
      <c r="G315" s="163"/>
      <c r="H315" s="163"/>
      <c r="I315" s="163"/>
      <c r="J315" s="165"/>
      <c r="K315" s="163"/>
      <c r="L315" s="163"/>
      <c r="M315" s="163"/>
      <c r="N315" s="163"/>
      <c r="O315" s="165"/>
      <c r="P315" s="163"/>
      <c r="Q315" s="163"/>
      <c r="R315" s="163"/>
    </row>
    <row r="316" spans="1:18" ht="12">
      <c r="A316" s="33"/>
      <c r="B316" s="34"/>
      <c r="C316" s="35"/>
      <c r="D316" s="33"/>
      <c r="E316" s="165"/>
      <c r="F316" s="163"/>
      <c r="G316" s="163"/>
      <c r="H316" s="163"/>
      <c r="I316" s="163"/>
      <c r="J316" s="165"/>
      <c r="K316" s="163"/>
      <c r="L316" s="163"/>
      <c r="M316" s="163"/>
      <c r="N316" s="163"/>
      <c r="O316" s="165"/>
      <c r="P316" s="163"/>
      <c r="Q316" s="163"/>
      <c r="R316" s="163"/>
    </row>
    <row r="317" spans="1:18" ht="12">
      <c r="A317" s="33"/>
      <c r="B317" s="34"/>
      <c r="C317" s="35"/>
      <c r="D317" s="33"/>
      <c r="E317" s="165"/>
      <c r="F317" s="163"/>
      <c r="G317" s="163"/>
      <c r="H317" s="163"/>
      <c r="I317" s="163"/>
      <c r="J317" s="165"/>
      <c r="K317" s="163"/>
      <c r="L317" s="163"/>
      <c r="M317" s="163"/>
      <c r="N317" s="163"/>
      <c r="O317" s="165"/>
      <c r="P317" s="163"/>
      <c r="Q317" s="163"/>
      <c r="R317" s="163"/>
    </row>
    <row r="318" spans="1:18" ht="12">
      <c r="A318" s="33"/>
      <c r="B318" s="34"/>
      <c r="C318" s="35"/>
      <c r="D318" s="33"/>
      <c r="E318" s="165"/>
      <c r="F318" s="163"/>
      <c r="G318" s="163"/>
      <c r="H318" s="163"/>
      <c r="I318" s="163"/>
      <c r="J318" s="165"/>
      <c r="K318" s="163"/>
      <c r="L318" s="163"/>
      <c r="M318" s="163"/>
      <c r="N318" s="163"/>
      <c r="O318" s="165"/>
      <c r="P318" s="163"/>
      <c r="Q318" s="163"/>
      <c r="R318" s="163"/>
    </row>
    <row r="319" spans="1:18" ht="12">
      <c r="A319" s="33"/>
      <c r="B319" s="34"/>
      <c r="C319" s="35"/>
      <c r="D319" s="33"/>
      <c r="E319" s="165"/>
      <c r="F319" s="163"/>
      <c r="G319" s="163"/>
      <c r="H319" s="163"/>
      <c r="I319" s="163"/>
      <c r="J319" s="165"/>
      <c r="K319" s="163"/>
      <c r="L319" s="163"/>
      <c r="M319" s="163"/>
      <c r="N319" s="163"/>
      <c r="O319" s="165"/>
      <c r="P319" s="163"/>
      <c r="Q319" s="163"/>
      <c r="R319" s="163"/>
    </row>
    <row r="320" spans="1:18" ht="12">
      <c r="A320" s="33"/>
      <c r="B320" s="34"/>
      <c r="C320" s="35"/>
      <c r="D320" s="33"/>
      <c r="E320" s="165"/>
      <c r="F320" s="163"/>
      <c r="G320" s="163"/>
      <c r="H320" s="163"/>
      <c r="I320" s="163"/>
      <c r="J320" s="165"/>
      <c r="K320" s="163"/>
      <c r="L320" s="163"/>
      <c r="M320" s="163"/>
      <c r="N320" s="163"/>
      <c r="O320" s="165"/>
      <c r="P320" s="163"/>
      <c r="Q320" s="163"/>
      <c r="R320" s="163"/>
    </row>
    <row r="321" spans="1:18" ht="12">
      <c r="A321" s="33"/>
      <c r="B321" s="34"/>
      <c r="C321" s="35"/>
      <c r="D321" s="33"/>
      <c r="E321" s="165"/>
      <c r="F321" s="163"/>
      <c r="G321" s="163"/>
      <c r="H321" s="163"/>
      <c r="I321" s="163"/>
      <c r="J321" s="165"/>
      <c r="K321" s="163"/>
      <c r="L321" s="163"/>
      <c r="M321" s="163"/>
      <c r="N321" s="163"/>
      <c r="O321" s="165"/>
      <c r="P321" s="163"/>
      <c r="Q321" s="163"/>
      <c r="R321" s="163"/>
    </row>
    <row r="322" spans="1:18" ht="12">
      <c r="A322" s="33"/>
      <c r="B322" s="34"/>
      <c r="C322" s="35"/>
      <c r="D322" s="33"/>
      <c r="E322" s="165"/>
      <c r="F322" s="163"/>
      <c r="G322" s="163"/>
      <c r="H322" s="163"/>
      <c r="I322" s="163"/>
      <c r="J322" s="165"/>
      <c r="K322" s="163"/>
      <c r="L322" s="163"/>
      <c r="M322" s="163"/>
      <c r="N322" s="163"/>
      <c r="O322" s="165"/>
      <c r="P322" s="163"/>
      <c r="Q322" s="163"/>
      <c r="R322" s="163"/>
    </row>
    <row r="323" spans="1:18" ht="12">
      <c r="A323" s="33"/>
      <c r="B323" s="34"/>
      <c r="C323" s="35"/>
      <c r="D323" s="33"/>
      <c r="E323" s="165"/>
      <c r="F323" s="163"/>
      <c r="G323" s="163"/>
      <c r="H323" s="163"/>
      <c r="I323" s="163"/>
      <c r="J323" s="165"/>
      <c r="K323" s="163"/>
      <c r="L323" s="163"/>
      <c r="M323" s="163"/>
      <c r="N323" s="163"/>
      <c r="O323" s="165"/>
      <c r="P323" s="163"/>
      <c r="Q323" s="163"/>
      <c r="R323" s="163"/>
    </row>
    <row r="324" spans="1:18" ht="12">
      <c r="A324" s="33"/>
      <c r="B324" s="34"/>
      <c r="C324" s="35"/>
      <c r="D324" s="33"/>
      <c r="E324" s="165"/>
      <c r="F324" s="163"/>
      <c r="G324" s="163"/>
      <c r="H324" s="163"/>
      <c r="I324" s="163"/>
      <c r="J324" s="165"/>
      <c r="K324" s="163"/>
      <c r="L324" s="163"/>
      <c r="M324" s="163"/>
      <c r="N324" s="163"/>
      <c r="O324" s="165"/>
      <c r="P324" s="163"/>
      <c r="Q324" s="163"/>
      <c r="R324" s="163"/>
    </row>
    <row r="325" spans="1:18" ht="12">
      <c r="A325" s="33"/>
      <c r="B325" s="34"/>
      <c r="C325" s="35"/>
      <c r="D325" s="33"/>
      <c r="E325" s="165"/>
      <c r="F325" s="163"/>
      <c r="G325" s="163"/>
      <c r="H325" s="163"/>
      <c r="I325" s="163"/>
      <c r="J325" s="165"/>
      <c r="K325" s="163"/>
      <c r="L325" s="163"/>
      <c r="M325" s="163"/>
      <c r="N325" s="163"/>
      <c r="O325" s="165"/>
      <c r="P325" s="163"/>
      <c r="Q325" s="163"/>
      <c r="R325" s="163"/>
    </row>
    <row r="326" spans="1:18" ht="12">
      <c r="A326" s="33"/>
      <c r="B326" s="34"/>
      <c r="C326" s="35"/>
      <c r="D326" s="33"/>
      <c r="E326" s="165"/>
      <c r="F326" s="163"/>
      <c r="G326" s="163"/>
      <c r="H326" s="163"/>
      <c r="I326" s="163"/>
      <c r="J326" s="165"/>
      <c r="K326" s="163"/>
      <c r="L326" s="163"/>
      <c r="M326" s="163"/>
      <c r="N326" s="163"/>
      <c r="O326" s="165"/>
      <c r="P326" s="163"/>
      <c r="Q326" s="163"/>
      <c r="R326" s="163"/>
    </row>
    <row r="327" spans="1:18" ht="12">
      <c r="A327" s="33"/>
      <c r="B327" s="34"/>
      <c r="C327" s="35"/>
      <c r="D327" s="33"/>
      <c r="E327" s="165"/>
      <c r="F327" s="163"/>
      <c r="G327" s="163"/>
      <c r="H327" s="163"/>
      <c r="I327" s="163"/>
      <c r="J327" s="165"/>
      <c r="K327" s="163"/>
      <c r="L327" s="163"/>
      <c r="M327" s="163"/>
      <c r="N327" s="163"/>
      <c r="O327" s="165"/>
      <c r="P327" s="163"/>
      <c r="Q327" s="163"/>
      <c r="R327" s="163"/>
    </row>
    <row r="328" spans="1:18" ht="12">
      <c r="A328" s="33"/>
      <c r="B328" s="34"/>
      <c r="C328" s="35"/>
      <c r="D328" s="33"/>
      <c r="E328" s="165"/>
      <c r="F328" s="163"/>
      <c r="G328" s="163"/>
      <c r="H328" s="163"/>
      <c r="I328" s="163"/>
      <c r="J328" s="165"/>
      <c r="K328" s="163"/>
      <c r="L328" s="163"/>
      <c r="M328" s="163"/>
      <c r="N328" s="163"/>
      <c r="O328" s="165"/>
      <c r="P328" s="163"/>
      <c r="Q328" s="163"/>
      <c r="R328" s="163"/>
    </row>
    <row r="329" spans="1:18" ht="12">
      <c r="A329" s="33"/>
      <c r="B329" s="34"/>
      <c r="C329" s="35"/>
      <c r="D329" s="33"/>
      <c r="E329" s="165"/>
      <c r="F329" s="163"/>
      <c r="G329" s="163"/>
      <c r="H329" s="163"/>
      <c r="I329" s="163"/>
      <c r="J329" s="165"/>
      <c r="K329" s="163"/>
      <c r="L329" s="163"/>
      <c r="M329" s="163"/>
      <c r="N329" s="163"/>
      <c r="O329" s="165"/>
      <c r="P329" s="163"/>
      <c r="Q329" s="163"/>
      <c r="R329" s="163"/>
    </row>
    <row r="330" spans="1:18" ht="12">
      <c r="A330" s="33"/>
      <c r="B330" s="34"/>
      <c r="C330" s="35"/>
      <c r="D330" s="33"/>
      <c r="E330" s="165"/>
      <c r="F330" s="163"/>
      <c r="G330" s="163"/>
      <c r="H330" s="163"/>
      <c r="I330" s="163"/>
      <c r="J330" s="165"/>
      <c r="K330" s="163"/>
      <c r="L330" s="163"/>
      <c r="M330" s="163"/>
      <c r="N330" s="163"/>
      <c r="O330" s="165"/>
      <c r="P330" s="163"/>
      <c r="Q330" s="163"/>
      <c r="R330" s="163"/>
    </row>
    <row r="331" spans="1:18" ht="12">
      <c r="A331" s="33"/>
      <c r="B331" s="34"/>
      <c r="C331" s="35"/>
      <c r="D331" s="33"/>
      <c r="E331" s="165"/>
      <c r="F331" s="163"/>
      <c r="G331" s="163"/>
      <c r="H331" s="163"/>
      <c r="I331" s="163"/>
      <c r="J331" s="165"/>
      <c r="K331" s="163"/>
      <c r="L331" s="163"/>
      <c r="M331" s="163"/>
      <c r="N331" s="163"/>
      <c r="O331" s="165"/>
      <c r="P331" s="163"/>
      <c r="Q331" s="163"/>
      <c r="R331" s="163"/>
    </row>
    <row r="332" spans="1:18" ht="12">
      <c r="A332" s="33"/>
      <c r="B332" s="34"/>
      <c r="C332" s="35"/>
      <c r="D332" s="33"/>
      <c r="E332" s="165"/>
      <c r="F332" s="163"/>
      <c r="G332" s="163"/>
      <c r="H332" s="163"/>
      <c r="I332" s="163"/>
      <c r="J332" s="165"/>
      <c r="K332" s="163"/>
      <c r="L332" s="163"/>
      <c r="M332" s="163"/>
      <c r="N332" s="163"/>
      <c r="O332" s="165"/>
      <c r="P332" s="163"/>
      <c r="Q332" s="163"/>
      <c r="R332" s="163"/>
    </row>
    <row r="333" spans="1:18" ht="12">
      <c r="A333" s="33"/>
      <c r="B333" s="34"/>
      <c r="C333" s="35"/>
      <c r="D333" s="33"/>
      <c r="E333" s="165"/>
      <c r="F333" s="163"/>
      <c r="G333" s="163"/>
      <c r="H333" s="163"/>
      <c r="I333" s="163"/>
      <c r="J333" s="165"/>
      <c r="K333" s="163"/>
      <c r="L333" s="163"/>
      <c r="M333" s="163"/>
      <c r="N333" s="163"/>
      <c r="O333" s="165"/>
      <c r="P333" s="163"/>
      <c r="Q333" s="163"/>
      <c r="R333" s="163"/>
    </row>
    <row r="334" spans="1:18" ht="12">
      <c r="A334" s="33"/>
      <c r="B334" s="34"/>
      <c r="C334" s="35"/>
      <c r="D334" s="33"/>
      <c r="E334" s="165"/>
      <c r="F334" s="163"/>
      <c r="G334" s="163"/>
      <c r="H334" s="163"/>
      <c r="I334" s="163"/>
      <c r="J334" s="165"/>
      <c r="K334" s="163"/>
      <c r="L334" s="163"/>
      <c r="M334" s="163"/>
      <c r="N334" s="163"/>
      <c r="O334" s="165"/>
      <c r="P334" s="163"/>
      <c r="Q334" s="163"/>
      <c r="R334" s="163"/>
    </row>
    <row r="335" spans="1:18" ht="12">
      <c r="A335" s="33"/>
      <c r="B335" s="34"/>
      <c r="C335" s="35"/>
      <c r="D335" s="33"/>
      <c r="E335" s="165"/>
      <c r="F335" s="163"/>
      <c r="G335" s="163"/>
      <c r="H335" s="163"/>
      <c r="I335" s="163"/>
      <c r="J335" s="165"/>
      <c r="K335" s="163"/>
      <c r="L335" s="163"/>
      <c r="M335" s="163"/>
      <c r="N335" s="163"/>
      <c r="O335" s="165"/>
      <c r="P335" s="163"/>
      <c r="Q335" s="163"/>
      <c r="R335" s="163"/>
    </row>
    <row r="336" spans="1:18" ht="12">
      <c r="A336" s="33"/>
      <c r="B336" s="34"/>
      <c r="C336" s="35"/>
      <c r="D336" s="33"/>
      <c r="E336" s="165"/>
      <c r="F336" s="163"/>
      <c r="G336" s="163"/>
      <c r="H336" s="163"/>
      <c r="I336" s="163"/>
      <c r="J336" s="165"/>
      <c r="K336" s="163"/>
      <c r="L336" s="163"/>
      <c r="M336" s="163"/>
      <c r="N336" s="163"/>
      <c r="O336" s="165"/>
      <c r="P336" s="163"/>
      <c r="Q336" s="163"/>
      <c r="R336" s="163"/>
    </row>
    <row r="337" spans="1:18" ht="12">
      <c r="A337" s="33"/>
      <c r="B337" s="34"/>
      <c r="C337" s="35"/>
      <c r="D337" s="33"/>
      <c r="E337" s="165"/>
      <c r="F337" s="163"/>
      <c r="G337" s="163"/>
      <c r="H337" s="163"/>
      <c r="I337" s="163"/>
      <c r="J337" s="165"/>
      <c r="K337" s="163"/>
      <c r="L337" s="163"/>
      <c r="M337" s="163"/>
      <c r="N337" s="163"/>
      <c r="O337" s="165"/>
      <c r="P337" s="163"/>
      <c r="Q337" s="163"/>
      <c r="R337" s="163"/>
    </row>
    <row r="338" spans="1:18" ht="12">
      <c r="A338" s="33"/>
      <c r="B338" s="34"/>
      <c r="C338" s="35"/>
      <c r="D338" s="33"/>
      <c r="E338" s="165"/>
      <c r="F338" s="163"/>
      <c r="G338" s="163"/>
      <c r="H338" s="163"/>
      <c r="I338" s="163"/>
      <c r="J338" s="165"/>
      <c r="K338" s="163"/>
      <c r="L338" s="163"/>
      <c r="M338" s="163"/>
      <c r="N338" s="163"/>
      <c r="O338" s="165"/>
      <c r="P338" s="163"/>
      <c r="Q338" s="163"/>
      <c r="R338" s="163"/>
    </row>
    <row r="339" spans="1:18" ht="12">
      <c r="A339" s="33"/>
      <c r="B339" s="34"/>
      <c r="C339" s="35"/>
      <c r="D339" s="33"/>
      <c r="E339" s="165"/>
      <c r="F339" s="163"/>
      <c r="G339" s="163"/>
      <c r="H339" s="163"/>
      <c r="I339" s="163"/>
      <c r="J339" s="165"/>
      <c r="K339" s="163"/>
      <c r="L339" s="163"/>
      <c r="M339" s="163"/>
      <c r="N339" s="163"/>
      <c r="O339" s="165"/>
      <c r="P339" s="163"/>
      <c r="Q339" s="163"/>
      <c r="R339" s="163"/>
    </row>
    <row r="340" spans="1:18" ht="12">
      <c r="A340" s="33"/>
      <c r="B340" s="34"/>
      <c r="C340" s="35"/>
      <c r="D340" s="33"/>
      <c r="E340" s="165"/>
      <c r="F340" s="163"/>
      <c r="G340" s="163"/>
      <c r="H340" s="163"/>
      <c r="I340" s="163"/>
      <c r="J340" s="165"/>
      <c r="K340" s="163"/>
      <c r="L340" s="163"/>
      <c r="M340" s="163"/>
      <c r="N340" s="163"/>
      <c r="O340" s="165"/>
      <c r="P340" s="163"/>
      <c r="Q340" s="163"/>
      <c r="R340" s="163"/>
    </row>
    <row r="341" spans="1:18" ht="12">
      <c r="A341" s="33"/>
      <c r="B341" s="34"/>
      <c r="C341" s="35"/>
      <c r="D341" s="33"/>
      <c r="E341" s="165"/>
      <c r="F341" s="163"/>
      <c r="G341" s="163"/>
      <c r="H341" s="163"/>
      <c r="I341" s="163"/>
      <c r="J341" s="165"/>
      <c r="K341" s="163"/>
      <c r="L341" s="163"/>
      <c r="M341" s="163"/>
      <c r="N341" s="163"/>
      <c r="O341" s="165"/>
      <c r="P341" s="163"/>
      <c r="Q341" s="163"/>
      <c r="R341" s="163"/>
    </row>
    <row r="342" spans="1:18" ht="12">
      <c r="A342" s="33"/>
      <c r="B342" s="34"/>
      <c r="C342" s="35"/>
      <c r="D342" s="33"/>
      <c r="E342" s="165"/>
      <c r="F342" s="163"/>
      <c r="G342" s="163"/>
      <c r="H342" s="163"/>
      <c r="I342" s="163"/>
      <c r="J342" s="165"/>
      <c r="K342" s="163"/>
      <c r="L342" s="163"/>
      <c r="M342" s="163"/>
      <c r="N342" s="163"/>
      <c r="O342" s="165"/>
      <c r="P342" s="163"/>
      <c r="Q342" s="163"/>
      <c r="R342" s="163"/>
    </row>
    <row r="343" spans="1:18" ht="12">
      <c r="A343" s="33"/>
      <c r="B343" s="34"/>
      <c r="C343" s="35"/>
      <c r="D343" s="33"/>
      <c r="E343" s="165"/>
      <c r="F343" s="163"/>
      <c r="G343" s="163"/>
      <c r="H343" s="163"/>
      <c r="I343" s="163"/>
      <c r="J343" s="165"/>
      <c r="K343" s="163"/>
      <c r="L343" s="163"/>
      <c r="M343" s="163"/>
      <c r="N343" s="163"/>
      <c r="O343" s="165"/>
      <c r="P343" s="163"/>
      <c r="Q343" s="163"/>
      <c r="R343" s="163"/>
    </row>
    <row r="344" spans="1:18" ht="12">
      <c r="A344" s="33"/>
      <c r="B344" s="34"/>
      <c r="C344" s="35"/>
      <c r="D344" s="33"/>
      <c r="E344" s="165"/>
      <c r="F344" s="163"/>
      <c r="G344" s="163"/>
      <c r="H344" s="163"/>
      <c r="I344" s="163"/>
      <c r="J344" s="165"/>
      <c r="K344" s="163"/>
      <c r="L344" s="163"/>
      <c r="M344" s="163"/>
      <c r="N344" s="163"/>
      <c r="O344" s="165"/>
      <c r="P344" s="163"/>
      <c r="Q344" s="163"/>
      <c r="R344" s="163"/>
    </row>
    <row r="345" spans="1:18" ht="12">
      <c r="A345" s="33"/>
      <c r="B345" s="34"/>
      <c r="C345" s="35"/>
      <c r="D345" s="33"/>
      <c r="E345" s="165"/>
      <c r="F345" s="163"/>
      <c r="G345" s="163"/>
      <c r="H345" s="163"/>
      <c r="I345" s="163"/>
      <c r="J345" s="165"/>
      <c r="K345" s="163"/>
      <c r="L345" s="163"/>
      <c r="M345" s="163"/>
      <c r="N345" s="163"/>
      <c r="O345" s="165"/>
      <c r="P345" s="163"/>
      <c r="Q345" s="163"/>
      <c r="R345" s="163"/>
    </row>
    <row r="346" spans="1:18" ht="12">
      <c r="A346" s="33"/>
      <c r="B346" s="34"/>
      <c r="C346" s="35"/>
      <c r="D346" s="33"/>
      <c r="E346" s="165"/>
      <c r="F346" s="163"/>
      <c r="G346" s="163"/>
      <c r="H346" s="163"/>
      <c r="I346" s="163"/>
      <c r="J346" s="165"/>
      <c r="K346" s="163"/>
      <c r="L346" s="163"/>
      <c r="M346" s="163"/>
      <c r="N346" s="163"/>
      <c r="O346" s="165"/>
      <c r="P346" s="163"/>
      <c r="Q346" s="163"/>
      <c r="R346" s="163"/>
    </row>
    <row r="347" spans="1:18" ht="12">
      <c r="A347" s="33"/>
      <c r="B347" s="34"/>
      <c r="C347" s="35"/>
      <c r="D347" s="33"/>
      <c r="E347" s="165"/>
      <c r="F347" s="163"/>
      <c r="G347" s="163"/>
      <c r="H347" s="163"/>
      <c r="I347" s="163"/>
      <c r="J347" s="165"/>
      <c r="K347" s="163"/>
      <c r="L347" s="163"/>
      <c r="M347" s="163"/>
      <c r="N347" s="163"/>
      <c r="O347" s="165"/>
      <c r="P347" s="163"/>
      <c r="Q347" s="163"/>
      <c r="R347" s="163"/>
    </row>
    <row r="348" spans="1:18" ht="12">
      <c r="A348" s="33"/>
      <c r="B348" s="34"/>
      <c r="C348" s="35"/>
      <c r="D348" s="33"/>
      <c r="E348" s="165"/>
      <c r="F348" s="163"/>
      <c r="G348" s="163"/>
      <c r="H348" s="163"/>
      <c r="I348" s="163"/>
      <c r="J348" s="165"/>
      <c r="K348" s="163"/>
      <c r="L348" s="163"/>
      <c r="M348" s="163"/>
      <c r="N348" s="163"/>
      <c r="O348" s="165"/>
      <c r="P348" s="163"/>
      <c r="Q348" s="163"/>
      <c r="R348" s="163"/>
    </row>
    <row r="349" spans="1:18" ht="12">
      <c r="A349" s="33"/>
      <c r="B349" s="34"/>
      <c r="C349" s="35"/>
      <c r="D349" s="33"/>
      <c r="E349" s="165"/>
      <c r="F349" s="163"/>
      <c r="G349" s="163"/>
      <c r="H349" s="163"/>
      <c r="I349" s="163"/>
      <c r="J349" s="165"/>
      <c r="K349" s="163"/>
      <c r="L349" s="163"/>
      <c r="M349" s="163"/>
      <c r="N349" s="163"/>
      <c r="O349" s="165"/>
      <c r="P349" s="163"/>
      <c r="Q349" s="163"/>
      <c r="R349" s="163"/>
    </row>
    <row r="350" spans="1:18" ht="12">
      <c r="A350" s="33"/>
      <c r="B350" s="34"/>
      <c r="C350" s="35"/>
      <c r="D350" s="33"/>
      <c r="E350" s="165"/>
      <c r="F350" s="163"/>
      <c r="G350" s="163"/>
      <c r="H350" s="163"/>
      <c r="I350" s="163"/>
      <c r="J350" s="165"/>
      <c r="K350" s="163"/>
      <c r="L350" s="163"/>
      <c r="M350" s="163"/>
      <c r="N350" s="163"/>
      <c r="O350" s="165"/>
      <c r="P350" s="163"/>
      <c r="Q350" s="163"/>
      <c r="R350" s="163"/>
    </row>
    <row r="351" spans="1:18" ht="12">
      <c r="A351" s="33"/>
      <c r="B351" s="34"/>
      <c r="C351" s="35"/>
      <c r="D351" s="33"/>
      <c r="E351" s="165"/>
      <c r="F351" s="163"/>
      <c r="G351" s="163"/>
      <c r="H351" s="163"/>
      <c r="I351" s="163"/>
      <c r="J351" s="165"/>
      <c r="K351" s="163"/>
      <c r="L351" s="163"/>
      <c r="M351" s="163"/>
      <c r="N351" s="163"/>
      <c r="O351" s="165"/>
      <c r="P351" s="163"/>
      <c r="Q351" s="163"/>
      <c r="R351" s="163"/>
    </row>
    <row r="352" spans="1:18" ht="12">
      <c r="A352" s="33"/>
      <c r="B352" s="34"/>
      <c r="C352" s="35"/>
      <c r="D352" s="33"/>
      <c r="E352" s="165"/>
      <c r="F352" s="163"/>
      <c r="G352" s="163"/>
      <c r="H352" s="163"/>
      <c r="I352" s="163"/>
      <c r="J352" s="165"/>
      <c r="K352" s="163"/>
      <c r="L352" s="163"/>
      <c r="M352" s="163"/>
      <c r="N352" s="163"/>
      <c r="O352" s="165"/>
      <c r="P352" s="163"/>
      <c r="Q352" s="163"/>
      <c r="R352" s="163"/>
    </row>
    <row r="353" spans="1:18" ht="12">
      <c r="A353" s="33"/>
      <c r="B353" s="34"/>
      <c r="C353" s="35"/>
      <c r="D353" s="33"/>
      <c r="E353" s="165"/>
      <c r="F353" s="163"/>
      <c r="G353" s="163"/>
      <c r="H353" s="163"/>
      <c r="I353" s="163"/>
      <c r="J353" s="165"/>
      <c r="K353" s="163"/>
      <c r="L353" s="163"/>
      <c r="M353" s="163"/>
      <c r="N353" s="163"/>
      <c r="O353" s="165"/>
      <c r="P353" s="163"/>
      <c r="Q353" s="163"/>
      <c r="R353" s="163"/>
    </row>
    <row r="354" spans="1:18" ht="12">
      <c r="A354" s="33"/>
      <c r="B354" s="34"/>
      <c r="C354" s="35"/>
      <c r="D354" s="33"/>
      <c r="E354" s="165"/>
      <c r="F354" s="163"/>
      <c r="G354" s="163"/>
      <c r="H354" s="163"/>
      <c r="I354" s="163"/>
      <c r="J354" s="165"/>
      <c r="K354" s="163"/>
      <c r="L354" s="163"/>
      <c r="M354" s="163"/>
      <c r="N354" s="163"/>
      <c r="O354" s="165"/>
      <c r="P354" s="163"/>
      <c r="Q354" s="163"/>
      <c r="R354" s="163"/>
    </row>
    <row r="355" spans="1:18" ht="12">
      <c r="A355" s="33"/>
      <c r="B355" s="34"/>
      <c r="C355" s="35"/>
      <c r="D355" s="33"/>
      <c r="E355" s="165"/>
      <c r="F355" s="163"/>
      <c r="G355" s="163"/>
      <c r="H355" s="163"/>
      <c r="I355" s="163"/>
      <c r="J355" s="165"/>
      <c r="K355" s="163"/>
      <c r="L355" s="163"/>
      <c r="M355" s="163"/>
      <c r="N355" s="163"/>
      <c r="O355" s="165"/>
      <c r="P355" s="163"/>
      <c r="Q355" s="163"/>
      <c r="R355" s="163"/>
    </row>
    <row r="356" spans="1:18">
      <c r="A356" s="33"/>
      <c r="B356" s="34"/>
      <c r="C356" s="35"/>
      <c r="D356" s="33"/>
      <c r="E356" s="35"/>
      <c r="F356" s="33"/>
      <c r="G356" s="33"/>
      <c r="H356" s="36"/>
      <c r="I356" s="33"/>
      <c r="J356" s="35"/>
      <c r="K356" s="33"/>
      <c r="L356" s="33"/>
      <c r="M356" s="36"/>
      <c r="N356" s="33"/>
      <c r="O356" s="35"/>
      <c r="P356" s="33"/>
      <c r="Q356" s="33"/>
      <c r="R356" s="36"/>
    </row>
    <row r="357" spans="1:18">
      <c r="A357" s="33"/>
      <c r="B357" s="34"/>
      <c r="C357" s="35"/>
      <c r="D357" s="33"/>
      <c r="E357" s="35"/>
      <c r="F357" s="33"/>
      <c r="G357" s="33"/>
      <c r="H357" s="36"/>
      <c r="I357" s="33"/>
      <c r="J357" s="35"/>
      <c r="K357" s="33"/>
      <c r="L357" s="33"/>
      <c r="M357" s="36"/>
      <c r="N357" s="33"/>
      <c r="O357" s="35"/>
      <c r="P357" s="33"/>
      <c r="Q357" s="33"/>
      <c r="R357" s="36"/>
    </row>
    <row r="358" spans="1:18">
      <c r="A358" s="33"/>
      <c r="B358" s="34"/>
      <c r="C358" s="35"/>
      <c r="D358" s="33"/>
      <c r="E358" s="35"/>
      <c r="F358" s="33"/>
      <c r="G358" s="33"/>
      <c r="H358" s="36"/>
      <c r="I358" s="33"/>
      <c r="J358" s="35"/>
      <c r="K358" s="33"/>
      <c r="L358" s="33"/>
      <c r="M358" s="36"/>
      <c r="N358" s="33"/>
      <c r="O358" s="35"/>
      <c r="P358" s="33"/>
      <c r="Q358" s="33"/>
      <c r="R358" s="36"/>
    </row>
    <row r="359" spans="1:18">
      <c r="A359" s="33"/>
      <c r="B359" s="34"/>
      <c r="C359" s="35"/>
      <c r="D359" s="33"/>
      <c r="E359" s="35"/>
      <c r="F359" s="33"/>
      <c r="G359" s="33"/>
      <c r="H359" s="36"/>
      <c r="I359" s="33"/>
      <c r="J359" s="35"/>
      <c r="K359" s="33"/>
      <c r="L359" s="33"/>
      <c r="M359" s="36"/>
      <c r="N359" s="33"/>
      <c r="O359" s="35"/>
      <c r="P359" s="33"/>
      <c r="Q359" s="33"/>
      <c r="R359" s="36"/>
    </row>
    <row r="360" spans="1:18">
      <c r="A360" s="33"/>
      <c r="B360" s="34"/>
      <c r="C360" s="35"/>
      <c r="D360" s="33"/>
      <c r="E360" s="35"/>
      <c r="F360" s="33"/>
      <c r="G360" s="33"/>
      <c r="H360" s="36"/>
      <c r="I360" s="33"/>
      <c r="J360" s="35"/>
      <c r="K360" s="33"/>
      <c r="L360" s="33"/>
      <c r="M360" s="36"/>
      <c r="N360" s="33"/>
      <c r="O360" s="35"/>
      <c r="P360" s="33"/>
      <c r="Q360" s="33"/>
      <c r="R360" s="36"/>
    </row>
    <row r="361" spans="1:18">
      <c r="A361" s="33"/>
      <c r="B361" s="34"/>
      <c r="C361" s="35"/>
      <c r="D361" s="33"/>
      <c r="E361" s="35"/>
      <c r="F361" s="33"/>
      <c r="G361" s="33"/>
      <c r="H361" s="36"/>
      <c r="I361" s="33"/>
      <c r="J361" s="35"/>
      <c r="K361" s="33"/>
      <c r="L361" s="33"/>
      <c r="M361" s="36"/>
      <c r="N361" s="33"/>
      <c r="O361" s="35"/>
      <c r="P361" s="33"/>
      <c r="Q361" s="33"/>
      <c r="R361" s="36"/>
    </row>
    <row r="362" spans="1:18">
      <c r="A362" s="33"/>
      <c r="B362" s="34"/>
      <c r="C362" s="35"/>
      <c r="D362" s="33"/>
      <c r="E362" s="35"/>
      <c r="F362" s="33"/>
      <c r="G362" s="33"/>
      <c r="H362" s="36"/>
      <c r="I362" s="33"/>
      <c r="J362" s="35"/>
      <c r="K362" s="33"/>
      <c r="L362" s="33"/>
      <c r="M362" s="36"/>
      <c r="N362" s="33"/>
      <c r="O362" s="35"/>
      <c r="P362" s="33"/>
      <c r="Q362" s="33"/>
      <c r="R362" s="36"/>
    </row>
    <row r="363" spans="1:18">
      <c r="A363" s="33"/>
      <c r="B363" s="34"/>
      <c r="C363" s="35"/>
      <c r="D363" s="33"/>
      <c r="E363" s="35"/>
      <c r="F363" s="33"/>
      <c r="G363" s="33"/>
      <c r="H363" s="36"/>
      <c r="I363" s="33"/>
      <c r="J363" s="35"/>
      <c r="K363" s="33"/>
      <c r="L363" s="33"/>
      <c r="M363" s="36"/>
      <c r="N363" s="33"/>
      <c r="O363" s="35"/>
      <c r="P363" s="33"/>
      <c r="Q363" s="33"/>
      <c r="R363" s="36"/>
    </row>
    <row r="364" spans="1:18">
      <c r="A364" s="33"/>
      <c r="B364" s="34"/>
      <c r="C364" s="35"/>
      <c r="D364" s="33"/>
      <c r="E364" s="35"/>
      <c r="F364" s="33"/>
      <c r="G364" s="33"/>
      <c r="H364" s="36"/>
      <c r="I364" s="33"/>
      <c r="J364" s="35"/>
      <c r="K364" s="33"/>
      <c r="L364" s="33"/>
      <c r="M364" s="36"/>
      <c r="N364" s="33"/>
      <c r="O364" s="35"/>
      <c r="P364" s="33"/>
      <c r="Q364" s="33"/>
      <c r="R364" s="36"/>
    </row>
    <row r="365" spans="1:18">
      <c r="A365" s="33"/>
      <c r="B365" s="34"/>
      <c r="C365" s="35"/>
      <c r="D365" s="33"/>
      <c r="E365" s="35"/>
      <c r="F365" s="33"/>
      <c r="G365" s="33"/>
      <c r="H365" s="36"/>
      <c r="I365" s="33"/>
      <c r="J365" s="35"/>
      <c r="K365" s="33"/>
      <c r="L365" s="33"/>
      <c r="M365" s="36"/>
      <c r="N365" s="33"/>
      <c r="O365" s="35"/>
      <c r="P365" s="33"/>
      <c r="Q365" s="33"/>
      <c r="R365" s="36"/>
    </row>
    <row r="366" spans="1:18">
      <c r="A366" s="33"/>
      <c r="B366" s="34"/>
      <c r="C366" s="35"/>
      <c r="D366" s="33"/>
      <c r="E366" s="35"/>
      <c r="F366" s="33"/>
      <c r="G366" s="33"/>
      <c r="H366" s="36"/>
      <c r="I366" s="33"/>
      <c r="J366" s="35"/>
      <c r="K366" s="33"/>
      <c r="L366" s="33"/>
      <c r="M366" s="36"/>
      <c r="N366" s="33"/>
      <c r="O366" s="35"/>
      <c r="P366" s="33"/>
      <c r="Q366" s="33"/>
      <c r="R366" s="36"/>
    </row>
    <row r="367" spans="1:18">
      <c r="A367" s="33"/>
      <c r="B367" s="34"/>
      <c r="C367" s="35"/>
      <c r="D367" s="33"/>
      <c r="E367" s="35"/>
      <c r="F367" s="33"/>
      <c r="G367" s="33"/>
      <c r="H367" s="36"/>
      <c r="I367" s="33"/>
      <c r="J367" s="35"/>
      <c r="K367" s="33"/>
      <c r="L367" s="33"/>
      <c r="M367" s="36"/>
      <c r="N367" s="33"/>
      <c r="O367" s="35"/>
      <c r="P367" s="33"/>
      <c r="Q367" s="33"/>
      <c r="R367" s="36"/>
    </row>
    <row r="368" spans="1:18">
      <c r="A368" s="33"/>
      <c r="B368" s="34"/>
      <c r="C368" s="35"/>
      <c r="D368" s="33"/>
      <c r="E368" s="35"/>
      <c r="F368" s="33"/>
      <c r="G368" s="33"/>
      <c r="H368" s="36"/>
      <c r="I368" s="33"/>
      <c r="J368" s="35"/>
      <c r="K368" s="33"/>
      <c r="L368" s="33"/>
      <c r="M368" s="36"/>
      <c r="N368" s="33"/>
      <c r="O368" s="35"/>
      <c r="P368" s="33"/>
      <c r="Q368" s="33"/>
      <c r="R368" s="36"/>
    </row>
    <row r="369" spans="1:18">
      <c r="A369" s="33"/>
      <c r="B369" s="34"/>
      <c r="C369" s="35"/>
      <c r="D369" s="33"/>
      <c r="E369" s="35"/>
      <c r="F369" s="33"/>
      <c r="G369" s="33"/>
      <c r="H369" s="36"/>
      <c r="I369" s="33"/>
      <c r="J369" s="35"/>
      <c r="K369" s="33"/>
      <c r="L369" s="33"/>
      <c r="M369" s="36"/>
      <c r="N369" s="33"/>
      <c r="O369" s="35"/>
      <c r="P369" s="33"/>
      <c r="Q369" s="33"/>
      <c r="R369" s="36"/>
    </row>
    <row r="370" spans="1:18">
      <c r="A370" s="33"/>
      <c r="B370" s="34"/>
      <c r="C370" s="35"/>
      <c r="D370" s="33"/>
      <c r="E370" s="35"/>
      <c r="F370" s="33"/>
      <c r="G370" s="33"/>
      <c r="H370" s="36"/>
      <c r="I370" s="33"/>
      <c r="J370" s="35"/>
      <c r="K370" s="33"/>
      <c r="L370" s="33"/>
      <c r="M370" s="36"/>
      <c r="N370" s="33"/>
      <c r="O370" s="35"/>
      <c r="P370" s="33"/>
      <c r="Q370" s="33"/>
      <c r="R370" s="36"/>
    </row>
    <row r="371" spans="1:18">
      <c r="A371" s="33"/>
      <c r="B371" s="34"/>
      <c r="C371" s="35"/>
      <c r="D371" s="33"/>
      <c r="E371" s="35"/>
      <c r="F371" s="33"/>
      <c r="G371" s="33"/>
      <c r="H371" s="36"/>
      <c r="I371" s="33"/>
      <c r="J371" s="35"/>
      <c r="K371" s="33"/>
      <c r="L371" s="33"/>
      <c r="M371" s="36"/>
      <c r="N371" s="33"/>
      <c r="O371" s="35"/>
      <c r="P371" s="33"/>
      <c r="Q371" s="33"/>
      <c r="R371" s="36"/>
    </row>
    <row r="372" spans="1:18">
      <c r="A372" s="33"/>
      <c r="B372" s="34"/>
      <c r="C372" s="35"/>
      <c r="D372" s="33"/>
      <c r="E372" s="35"/>
      <c r="F372" s="33"/>
      <c r="G372" s="33"/>
      <c r="H372" s="36"/>
      <c r="I372" s="33"/>
      <c r="J372" s="35"/>
      <c r="K372" s="33"/>
      <c r="L372" s="33"/>
      <c r="M372" s="36"/>
      <c r="N372" s="33"/>
      <c r="O372" s="35"/>
      <c r="P372" s="33"/>
      <c r="Q372" s="33"/>
      <c r="R372" s="36"/>
    </row>
    <row r="373" spans="1:18">
      <c r="A373" s="33"/>
      <c r="B373" s="34"/>
      <c r="C373" s="35"/>
      <c r="D373" s="33"/>
      <c r="E373" s="35"/>
      <c r="F373" s="33"/>
      <c r="G373" s="33"/>
      <c r="H373" s="36"/>
      <c r="I373" s="33"/>
      <c r="J373" s="35"/>
      <c r="K373" s="33"/>
      <c r="L373" s="33"/>
      <c r="M373" s="36"/>
      <c r="N373" s="33"/>
      <c r="O373" s="35"/>
      <c r="P373" s="33"/>
      <c r="Q373" s="33"/>
      <c r="R373" s="36"/>
    </row>
    <row r="374" spans="1:18">
      <c r="A374" s="33"/>
      <c r="B374" s="34"/>
      <c r="C374" s="35"/>
      <c r="D374" s="33"/>
      <c r="E374" s="35"/>
      <c r="F374" s="33"/>
      <c r="G374" s="33"/>
      <c r="H374" s="36"/>
      <c r="I374" s="33"/>
      <c r="J374" s="35"/>
      <c r="K374" s="33"/>
      <c r="L374" s="33"/>
      <c r="M374" s="36"/>
      <c r="N374" s="33"/>
      <c r="O374" s="35"/>
      <c r="P374" s="33"/>
      <c r="Q374" s="33"/>
      <c r="R374" s="36"/>
    </row>
    <row r="375" spans="1:18">
      <c r="A375" s="33"/>
      <c r="B375" s="34"/>
      <c r="C375" s="35"/>
      <c r="D375" s="33"/>
      <c r="E375" s="35"/>
      <c r="F375" s="33"/>
      <c r="G375" s="33"/>
      <c r="H375" s="36"/>
      <c r="I375" s="33"/>
      <c r="J375" s="35"/>
      <c r="K375" s="33"/>
      <c r="L375" s="33"/>
      <c r="M375" s="36"/>
      <c r="N375" s="33"/>
      <c r="O375" s="35"/>
      <c r="P375" s="33"/>
      <c r="Q375" s="33"/>
      <c r="R375" s="36"/>
    </row>
    <row r="376" spans="1:18">
      <c r="A376" s="33"/>
      <c r="B376" s="34"/>
      <c r="C376" s="35"/>
      <c r="D376" s="33"/>
      <c r="E376" s="35"/>
      <c r="F376" s="33"/>
      <c r="G376" s="33"/>
      <c r="H376" s="36"/>
      <c r="I376" s="33"/>
      <c r="J376" s="35"/>
      <c r="K376" s="33"/>
      <c r="L376" s="33"/>
      <c r="M376" s="36"/>
      <c r="N376" s="33"/>
      <c r="O376" s="35"/>
      <c r="P376" s="33"/>
      <c r="Q376" s="33"/>
      <c r="R376" s="36"/>
    </row>
    <row r="377" spans="1:18">
      <c r="A377" s="33"/>
      <c r="B377" s="34"/>
      <c r="C377" s="35"/>
      <c r="D377" s="33"/>
      <c r="E377" s="35"/>
      <c r="F377" s="33"/>
      <c r="G377" s="33"/>
      <c r="H377" s="36"/>
      <c r="I377" s="33"/>
      <c r="J377" s="35"/>
      <c r="K377" s="33"/>
      <c r="L377" s="33"/>
      <c r="M377" s="36"/>
      <c r="N377" s="33"/>
      <c r="O377" s="35"/>
      <c r="P377" s="33"/>
      <c r="Q377" s="33"/>
      <c r="R377" s="36"/>
    </row>
    <row r="378" spans="1:18">
      <c r="A378" s="33"/>
      <c r="B378" s="34"/>
      <c r="C378" s="35"/>
      <c r="D378" s="33"/>
      <c r="E378" s="35"/>
      <c r="F378" s="33"/>
      <c r="G378" s="33"/>
      <c r="H378" s="36"/>
      <c r="I378" s="33"/>
      <c r="J378" s="35"/>
      <c r="K378" s="33"/>
      <c r="L378" s="33"/>
      <c r="M378" s="36"/>
      <c r="N378" s="33"/>
      <c r="O378" s="35"/>
      <c r="P378" s="33"/>
      <c r="Q378" s="33"/>
      <c r="R378" s="36"/>
    </row>
    <row r="379" spans="1:18">
      <c r="A379" s="33"/>
      <c r="B379" s="34"/>
      <c r="C379" s="35"/>
      <c r="D379" s="33"/>
      <c r="E379" s="35"/>
      <c r="F379" s="33"/>
      <c r="G379" s="33"/>
      <c r="H379" s="36"/>
      <c r="I379" s="33"/>
      <c r="J379" s="35"/>
      <c r="K379" s="33"/>
      <c r="L379" s="33"/>
      <c r="M379" s="36"/>
      <c r="N379" s="33"/>
      <c r="O379" s="35"/>
      <c r="P379" s="33"/>
      <c r="Q379" s="33"/>
      <c r="R379" s="36"/>
    </row>
    <row r="380" spans="1:18">
      <c r="A380" s="33"/>
      <c r="B380" s="34"/>
      <c r="C380" s="35"/>
      <c r="D380" s="33"/>
      <c r="E380" s="35"/>
      <c r="F380" s="33"/>
      <c r="G380" s="33"/>
      <c r="H380" s="36"/>
      <c r="I380" s="33"/>
      <c r="J380" s="35"/>
      <c r="K380" s="33"/>
      <c r="L380" s="33"/>
      <c r="M380" s="36"/>
      <c r="N380" s="33"/>
      <c r="O380" s="35"/>
      <c r="P380" s="33"/>
      <c r="Q380" s="33"/>
      <c r="R380" s="36"/>
    </row>
    <row r="381" spans="1:18">
      <c r="A381" s="33"/>
      <c r="B381" s="34"/>
      <c r="C381" s="35"/>
      <c r="D381" s="33"/>
      <c r="E381" s="35"/>
      <c r="F381" s="33"/>
      <c r="G381" s="33"/>
      <c r="H381" s="36"/>
      <c r="I381" s="33"/>
      <c r="J381" s="35"/>
      <c r="K381" s="33"/>
      <c r="L381" s="33"/>
      <c r="M381" s="36"/>
      <c r="N381" s="33"/>
      <c r="O381" s="35"/>
      <c r="P381" s="33"/>
      <c r="Q381" s="33"/>
      <c r="R381" s="36"/>
    </row>
    <row r="382" spans="1:18">
      <c r="A382" s="33"/>
      <c r="B382" s="34"/>
      <c r="C382" s="35"/>
      <c r="D382" s="33"/>
      <c r="E382" s="35"/>
      <c r="F382" s="33"/>
      <c r="G382" s="33"/>
      <c r="H382" s="36"/>
      <c r="I382" s="33"/>
      <c r="J382" s="35"/>
      <c r="K382" s="33"/>
      <c r="L382" s="33"/>
      <c r="M382" s="36"/>
      <c r="N382" s="33"/>
      <c r="O382" s="35"/>
      <c r="P382" s="33"/>
      <c r="Q382" s="33"/>
      <c r="R382" s="36"/>
    </row>
    <row r="383" spans="1:18">
      <c r="A383" s="33"/>
      <c r="B383" s="34"/>
      <c r="C383" s="35"/>
      <c r="D383" s="33"/>
      <c r="E383" s="35"/>
      <c r="F383" s="33"/>
      <c r="G383" s="33"/>
      <c r="H383" s="36"/>
      <c r="I383" s="33"/>
      <c r="J383" s="35"/>
      <c r="K383" s="33"/>
      <c r="L383" s="33"/>
      <c r="M383" s="36"/>
      <c r="N383" s="33"/>
      <c r="O383" s="35"/>
      <c r="P383" s="33"/>
      <c r="Q383" s="33"/>
      <c r="R383" s="36"/>
    </row>
    <row r="384" spans="1:18">
      <c r="A384" s="33"/>
      <c r="B384" s="34"/>
      <c r="C384" s="35"/>
      <c r="D384" s="33"/>
      <c r="E384" s="35"/>
      <c r="F384" s="33"/>
      <c r="G384" s="33"/>
      <c r="H384" s="36"/>
      <c r="I384" s="33"/>
      <c r="J384" s="35"/>
      <c r="K384" s="33"/>
      <c r="L384" s="33"/>
      <c r="M384" s="36"/>
      <c r="N384" s="33"/>
      <c r="O384" s="35"/>
      <c r="P384" s="33"/>
      <c r="Q384" s="33"/>
      <c r="R384" s="36"/>
    </row>
    <row r="385" spans="1:18">
      <c r="A385" s="33"/>
      <c r="B385" s="34"/>
      <c r="C385" s="35"/>
      <c r="D385" s="33"/>
      <c r="E385" s="35"/>
      <c r="F385" s="33"/>
      <c r="G385" s="33"/>
      <c r="H385" s="36"/>
      <c r="I385" s="33"/>
      <c r="J385" s="35"/>
      <c r="K385" s="33"/>
      <c r="L385" s="33"/>
      <c r="M385" s="36"/>
      <c r="N385" s="33"/>
      <c r="O385" s="35"/>
      <c r="P385" s="33"/>
      <c r="Q385" s="33"/>
      <c r="R385" s="36"/>
    </row>
    <row r="386" spans="1:18">
      <c r="A386" s="33"/>
      <c r="B386" s="34"/>
      <c r="C386" s="35"/>
      <c r="D386" s="33"/>
      <c r="E386" s="35"/>
      <c r="F386" s="33"/>
      <c r="G386" s="33"/>
      <c r="H386" s="36"/>
      <c r="I386" s="33"/>
      <c r="J386" s="35"/>
      <c r="K386" s="33"/>
      <c r="L386" s="33"/>
      <c r="M386" s="36"/>
      <c r="N386" s="33"/>
      <c r="O386" s="35"/>
      <c r="P386" s="33"/>
      <c r="Q386" s="33"/>
      <c r="R386" s="36"/>
    </row>
    <row r="387" spans="1:18">
      <c r="A387" s="33"/>
      <c r="B387" s="34"/>
      <c r="C387" s="35"/>
      <c r="D387" s="33"/>
      <c r="E387" s="35"/>
      <c r="F387" s="33"/>
      <c r="G387" s="33"/>
      <c r="H387" s="36"/>
      <c r="I387" s="33"/>
      <c r="J387" s="35"/>
      <c r="K387" s="33"/>
      <c r="L387" s="33"/>
      <c r="M387" s="36"/>
      <c r="N387" s="33"/>
      <c r="O387" s="35"/>
      <c r="P387" s="33"/>
      <c r="Q387" s="33"/>
      <c r="R387" s="36"/>
    </row>
    <row r="388" spans="1:18">
      <c r="A388" s="33"/>
      <c r="B388" s="34"/>
      <c r="C388" s="35"/>
      <c r="D388" s="33"/>
      <c r="E388" s="35"/>
      <c r="F388" s="33"/>
      <c r="G388" s="33"/>
      <c r="H388" s="36"/>
      <c r="I388" s="33"/>
      <c r="J388" s="35"/>
      <c r="K388" s="33"/>
      <c r="L388" s="33"/>
      <c r="M388" s="36"/>
      <c r="N388" s="33"/>
      <c r="O388" s="35"/>
      <c r="P388" s="33"/>
      <c r="Q388" s="33"/>
      <c r="R388" s="36"/>
    </row>
    <row r="389" spans="1:18">
      <c r="A389" s="33"/>
      <c r="B389" s="34"/>
      <c r="C389" s="35"/>
      <c r="D389" s="33"/>
      <c r="E389" s="35"/>
      <c r="F389" s="33"/>
      <c r="G389" s="33"/>
      <c r="H389" s="36"/>
      <c r="I389" s="33"/>
      <c r="J389" s="35"/>
      <c r="K389" s="33"/>
      <c r="L389" s="33"/>
      <c r="M389" s="36"/>
      <c r="N389" s="33"/>
      <c r="O389" s="35"/>
      <c r="P389" s="33"/>
      <c r="Q389" s="33"/>
      <c r="R389" s="36"/>
    </row>
    <row r="390" spans="1:18">
      <c r="A390" s="33"/>
      <c r="B390" s="34"/>
      <c r="C390" s="35"/>
      <c r="D390" s="33"/>
      <c r="E390" s="35"/>
      <c r="F390" s="33"/>
      <c r="G390" s="33"/>
      <c r="H390" s="36"/>
      <c r="I390" s="33"/>
      <c r="J390" s="35"/>
      <c r="K390" s="33"/>
      <c r="L390" s="33"/>
      <c r="M390" s="36"/>
      <c r="N390" s="33"/>
      <c r="O390" s="35"/>
      <c r="P390" s="33"/>
      <c r="Q390" s="33"/>
      <c r="R390" s="36"/>
    </row>
    <row r="391" spans="1:18">
      <c r="A391" s="33"/>
      <c r="B391" s="34"/>
      <c r="C391" s="35"/>
      <c r="D391" s="33"/>
      <c r="E391" s="35"/>
      <c r="F391" s="33"/>
      <c r="G391" s="33"/>
      <c r="H391" s="36"/>
      <c r="I391" s="33"/>
      <c r="J391" s="35"/>
      <c r="K391" s="33"/>
      <c r="L391" s="33"/>
      <c r="M391" s="36"/>
      <c r="N391" s="33"/>
      <c r="O391" s="35"/>
      <c r="P391" s="33"/>
      <c r="Q391" s="33"/>
      <c r="R391" s="36"/>
    </row>
    <row r="392" spans="1:18">
      <c r="A392" s="33"/>
      <c r="B392" s="34"/>
      <c r="C392" s="35"/>
      <c r="D392" s="33"/>
      <c r="E392" s="35"/>
      <c r="F392" s="33"/>
      <c r="G392" s="33"/>
      <c r="H392" s="36"/>
      <c r="I392" s="33"/>
      <c r="J392" s="35"/>
      <c r="K392" s="33"/>
      <c r="L392" s="33"/>
      <c r="M392" s="36"/>
      <c r="N392" s="33"/>
      <c r="O392" s="35"/>
      <c r="P392" s="33"/>
      <c r="Q392" s="33"/>
      <c r="R392" s="36"/>
    </row>
    <row r="393" spans="1:18">
      <c r="A393" s="33"/>
      <c r="B393" s="34"/>
      <c r="C393" s="35"/>
      <c r="D393" s="33"/>
      <c r="E393" s="35"/>
      <c r="F393" s="33"/>
      <c r="G393" s="33"/>
      <c r="H393" s="36"/>
      <c r="I393" s="33"/>
      <c r="J393" s="35"/>
      <c r="K393" s="33"/>
      <c r="L393" s="33"/>
      <c r="M393" s="36"/>
      <c r="N393" s="33"/>
      <c r="O393" s="35"/>
      <c r="P393" s="33"/>
      <c r="Q393" s="33"/>
      <c r="R393" s="36"/>
    </row>
    <row r="394" spans="1:18">
      <c r="A394" s="33"/>
      <c r="B394" s="34"/>
      <c r="C394" s="35"/>
      <c r="D394" s="33"/>
      <c r="E394" s="35"/>
      <c r="F394" s="33"/>
      <c r="G394" s="33"/>
      <c r="H394" s="36"/>
      <c r="I394" s="33"/>
      <c r="J394" s="35"/>
      <c r="K394" s="33"/>
      <c r="L394" s="33"/>
      <c r="M394" s="36"/>
      <c r="N394" s="33"/>
      <c r="O394" s="35"/>
      <c r="P394" s="33"/>
      <c r="Q394" s="33"/>
      <c r="R394" s="36"/>
    </row>
    <row r="395" spans="1:18">
      <c r="A395" s="33"/>
      <c r="B395" s="34"/>
      <c r="C395" s="35"/>
      <c r="D395" s="33"/>
      <c r="E395" s="35"/>
      <c r="F395" s="33"/>
      <c r="G395" s="33"/>
      <c r="H395" s="36"/>
      <c r="I395" s="33"/>
      <c r="J395" s="35"/>
      <c r="K395" s="33"/>
      <c r="L395" s="33"/>
      <c r="M395" s="36"/>
      <c r="N395" s="33"/>
      <c r="O395" s="35"/>
      <c r="P395" s="33"/>
      <c r="Q395" s="33"/>
      <c r="R395" s="36"/>
    </row>
    <row r="396" spans="1:18">
      <c r="A396" s="33"/>
      <c r="B396" s="34"/>
      <c r="C396" s="35"/>
      <c r="D396" s="33"/>
      <c r="E396" s="35"/>
      <c r="F396" s="33"/>
      <c r="G396" s="33"/>
      <c r="H396" s="36"/>
      <c r="I396" s="33"/>
      <c r="J396" s="35"/>
      <c r="K396" s="33"/>
      <c r="L396" s="33"/>
      <c r="M396" s="36"/>
      <c r="N396" s="33"/>
      <c r="O396" s="35"/>
      <c r="P396" s="33"/>
      <c r="Q396" s="33"/>
      <c r="R396" s="36"/>
    </row>
    <row r="397" spans="1:18">
      <c r="A397" s="33"/>
      <c r="B397" s="34"/>
      <c r="C397" s="35"/>
      <c r="D397" s="33"/>
      <c r="E397" s="35"/>
      <c r="F397" s="33"/>
      <c r="G397" s="33"/>
      <c r="H397" s="36"/>
      <c r="I397" s="33"/>
      <c r="J397" s="35"/>
      <c r="K397" s="33"/>
      <c r="L397" s="33"/>
      <c r="M397" s="36"/>
      <c r="N397" s="33"/>
      <c r="O397" s="35"/>
      <c r="P397" s="33"/>
      <c r="Q397" s="33"/>
      <c r="R397" s="36"/>
    </row>
    <row r="398" spans="1:18">
      <c r="A398" s="33"/>
      <c r="B398" s="34"/>
      <c r="C398" s="35"/>
      <c r="D398" s="33"/>
      <c r="E398" s="35"/>
      <c r="F398" s="33"/>
      <c r="G398" s="33"/>
      <c r="H398" s="36"/>
      <c r="I398" s="33"/>
      <c r="J398" s="35"/>
      <c r="K398" s="33"/>
      <c r="L398" s="33"/>
      <c r="M398" s="36"/>
      <c r="N398" s="33"/>
      <c r="O398" s="35"/>
      <c r="P398" s="33"/>
      <c r="Q398" s="33"/>
      <c r="R398" s="36"/>
    </row>
    <row r="399" spans="1:18">
      <c r="E399" s="35"/>
      <c r="F399" s="33"/>
      <c r="G399" s="33"/>
      <c r="H399" s="36"/>
      <c r="I399" s="33"/>
      <c r="J399" s="35"/>
      <c r="K399" s="33"/>
      <c r="L399" s="33"/>
      <c r="M399" s="36"/>
      <c r="N399" s="33"/>
      <c r="O399" s="35"/>
      <c r="P399" s="33"/>
      <c r="Q399" s="33"/>
      <c r="R399" s="36"/>
    </row>
    <row r="400" spans="1:18">
      <c r="E400" s="35"/>
      <c r="F400" s="33"/>
      <c r="G400" s="33"/>
      <c r="H400" s="36"/>
      <c r="I400" s="33"/>
      <c r="J400" s="35"/>
      <c r="K400" s="33"/>
      <c r="L400" s="33"/>
      <c r="M400" s="36"/>
      <c r="N400" s="33"/>
      <c r="O400" s="35"/>
      <c r="P400" s="33"/>
      <c r="Q400" s="33"/>
      <c r="R400" s="36"/>
    </row>
    <row r="401" spans="5:18">
      <c r="E401" s="35"/>
      <c r="F401" s="33"/>
      <c r="G401" s="33"/>
      <c r="H401" s="36"/>
      <c r="I401" s="33"/>
      <c r="J401" s="35"/>
      <c r="K401" s="33"/>
      <c r="L401" s="33"/>
      <c r="M401" s="36"/>
      <c r="N401" s="33"/>
      <c r="O401" s="35"/>
      <c r="P401" s="33"/>
      <c r="Q401" s="33"/>
      <c r="R401" s="36"/>
    </row>
    <row r="402" spans="5:18">
      <c r="E402" s="35"/>
      <c r="F402" s="33"/>
      <c r="G402" s="33"/>
      <c r="H402" s="36"/>
      <c r="I402" s="33"/>
      <c r="J402" s="35"/>
      <c r="K402" s="33"/>
      <c r="L402" s="33"/>
      <c r="M402" s="36"/>
      <c r="N402" s="33"/>
      <c r="O402" s="35"/>
      <c r="P402" s="33"/>
      <c r="Q402" s="33"/>
      <c r="R402" s="36"/>
    </row>
    <row r="403" spans="5:18">
      <c r="E403" s="35"/>
      <c r="F403" s="33"/>
      <c r="G403" s="33"/>
      <c r="H403" s="36"/>
      <c r="I403" s="33"/>
      <c r="J403" s="35"/>
      <c r="K403" s="33"/>
      <c r="L403" s="33"/>
      <c r="M403" s="36"/>
      <c r="N403" s="33"/>
      <c r="O403" s="35"/>
      <c r="P403" s="33"/>
      <c r="Q403" s="33"/>
      <c r="R403" s="36"/>
    </row>
    <row r="404" spans="5:18">
      <c r="E404" s="35"/>
      <c r="F404" s="33"/>
      <c r="G404" s="33"/>
      <c r="H404" s="36"/>
      <c r="I404" s="33"/>
      <c r="J404" s="35"/>
      <c r="K404" s="33"/>
      <c r="L404" s="33"/>
      <c r="M404" s="36"/>
      <c r="N404" s="33"/>
      <c r="O404" s="35"/>
      <c r="P404" s="33"/>
      <c r="Q404" s="33"/>
      <c r="R404" s="36"/>
    </row>
    <row r="405" spans="5:18">
      <c r="E405" s="35"/>
      <c r="F405" s="33"/>
      <c r="G405" s="33"/>
      <c r="H405" s="36"/>
      <c r="I405" s="33"/>
      <c r="J405" s="35"/>
      <c r="K405" s="33"/>
      <c r="L405" s="33"/>
      <c r="M405" s="36"/>
      <c r="N405" s="33"/>
      <c r="O405" s="35"/>
      <c r="P405" s="33"/>
      <c r="Q405" s="33"/>
      <c r="R405" s="36"/>
    </row>
    <row r="406" spans="5:18">
      <c r="E406" s="35"/>
      <c r="F406" s="33"/>
      <c r="G406" s="33"/>
      <c r="H406" s="36"/>
      <c r="I406" s="33"/>
      <c r="J406" s="35"/>
      <c r="K406" s="33"/>
      <c r="L406" s="33"/>
      <c r="M406" s="36"/>
      <c r="N406" s="33"/>
      <c r="O406" s="35"/>
      <c r="P406" s="33"/>
      <c r="Q406" s="33"/>
      <c r="R406" s="36"/>
    </row>
    <row r="407" spans="5:18">
      <c r="E407" s="35"/>
      <c r="F407" s="33"/>
      <c r="G407" s="33"/>
      <c r="H407" s="36"/>
      <c r="I407" s="33"/>
      <c r="J407" s="35"/>
      <c r="K407" s="33"/>
      <c r="L407" s="33"/>
      <c r="M407" s="36"/>
      <c r="N407" s="33"/>
      <c r="O407" s="35"/>
      <c r="P407" s="33"/>
      <c r="Q407" s="33"/>
      <c r="R407" s="36"/>
    </row>
    <row r="408" spans="5:18">
      <c r="E408" s="35"/>
      <c r="F408" s="33"/>
      <c r="G408" s="33"/>
      <c r="H408" s="36"/>
      <c r="I408" s="33"/>
      <c r="J408" s="35"/>
      <c r="K408" s="33"/>
      <c r="L408" s="33"/>
      <c r="M408" s="36"/>
      <c r="N408" s="33"/>
      <c r="O408" s="35"/>
      <c r="P408" s="33"/>
      <c r="Q408" s="33"/>
      <c r="R408" s="36"/>
    </row>
    <row r="409" spans="5:18">
      <c r="E409" s="35"/>
      <c r="F409" s="33"/>
      <c r="G409" s="33"/>
      <c r="H409" s="36"/>
      <c r="I409" s="33"/>
      <c r="J409" s="35"/>
      <c r="K409" s="33"/>
      <c r="L409" s="33"/>
      <c r="M409" s="36"/>
      <c r="N409" s="33"/>
      <c r="O409" s="35"/>
      <c r="P409" s="33"/>
      <c r="Q409" s="33"/>
      <c r="R409" s="36"/>
    </row>
  </sheetData>
  <mergeCells count="23">
    <mergeCell ref="O5:Q5"/>
    <mergeCell ref="A5:A7"/>
    <mergeCell ref="B5:B7"/>
    <mergeCell ref="C5:C7"/>
    <mergeCell ref="R5:R7"/>
    <mergeCell ref="L6:L7"/>
    <mergeCell ref="O6:O7"/>
    <mergeCell ref="Q6:Q7"/>
    <mergeCell ref="J6:J7"/>
    <mergeCell ref="I5:I7"/>
    <mergeCell ref="J5:L5"/>
    <mergeCell ref="M5:M7"/>
    <mergeCell ref="N5:N7"/>
    <mergeCell ref="P6:P7"/>
    <mergeCell ref="K6:K7"/>
    <mergeCell ref="F6:F7"/>
    <mergeCell ref="B2:H2"/>
    <mergeCell ref="B3:H3"/>
    <mergeCell ref="D5:D7"/>
    <mergeCell ref="E5:G5"/>
    <mergeCell ref="H5:H7"/>
    <mergeCell ref="E6:E7"/>
    <mergeCell ref="G6:G7"/>
  </mergeCells>
  <phoneticPr fontId="4" type="noConversion"/>
  <pageMargins left="0.27559055118110237" right="0.27559055118110237" top="0.39370078740157483" bottom="0.43307086614173229" header="0.23622047244094491" footer="0.23622047244094491"/>
  <pageSetup paperSize="9" scale="60" orientation="landscape" r:id="rId1"/>
  <headerFooter alignWithMargins="0">
    <oddFooter>&amp;L&amp;F&amp;C&amp;P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sheetPr>
  <dimension ref="A1:R409"/>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C10" sqref="C10:R177"/>
    </sheetView>
  </sheetViews>
  <sheetFormatPr defaultColWidth="9.109375" defaultRowHeight="10.199999999999999"/>
  <cols>
    <col min="1" max="1" width="11.44140625" style="21" bestFit="1" customWidth="1"/>
    <col min="2" max="2" width="39.109375" style="1" customWidth="1"/>
    <col min="3" max="3" width="13" style="22" customWidth="1"/>
    <col min="4" max="4" width="12" style="21"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577"/>
      <c r="J2" s="577"/>
      <c r="K2" s="577"/>
      <c r="L2" s="577"/>
      <c r="M2" s="220"/>
      <c r="N2" s="577"/>
      <c r="O2" s="577"/>
      <c r="P2" s="577"/>
      <c r="Q2" s="577"/>
      <c r="R2" s="220"/>
    </row>
    <row r="3" spans="1:18" s="1" customFormat="1" ht="12.75" customHeight="1">
      <c r="A3" s="221"/>
      <c r="B3" s="1400" t="s">
        <v>489</v>
      </c>
      <c r="C3" s="1400"/>
      <c r="D3" s="1400"/>
      <c r="E3" s="1400"/>
      <c r="F3" s="1400"/>
      <c r="G3" s="1400"/>
      <c r="H3" s="1400"/>
      <c r="I3" s="578"/>
      <c r="J3" s="578"/>
      <c r="K3" s="578"/>
      <c r="L3" s="578"/>
      <c r="M3" s="220"/>
      <c r="N3" s="578"/>
      <c r="O3" s="578"/>
      <c r="P3" s="578"/>
      <c r="Q3" s="578"/>
      <c r="R3" s="220"/>
    </row>
    <row r="4" spans="1:18" s="1" customFormat="1" ht="13.2">
      <c r="A4" s="221"/>
      <c r="B4" s="578"/>
      <c r="C4" s="222"/>
      <c r="D4" s="578"/>
      <c r="E4" s="578"/>
      <c r="F4" s="578"/>
      <c r="G4" s="578"/>
      <c r="H4" s="578"/>
      <c r="I4" s="578"/>
      <c r="J4" s="578"/>
      <c r="K4" s="578"/>
      <c r="L4" s="578"/>
      <c r="M4" s="578"/>
      <c r="N4" s="578"/>
      <c r="O4" s="578"/>
      <c r="P4" s="578"/>
      <c r="Q4" s="578"/>
      <c r="R4" s="578"/>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8"/>
      <c r="B9" s="392" t="s">
        <v>176</v>
      </c>
      <c r="C9" s="387"/>
      <c r="D9" s="387"/>
      <c r="E9" s="226"/>
      <c r="F9" s="226"/>
      <c r="G9" s="226"/>
      <c r="H9" s="226"/>
      <c r="I9" s="365"/>
      <c r="J9" s="226"/>
      <c r="K9" s="226"/>
      <c r="L9" s="226"/>
      <c r="M9" s="226"/>
      <c r="N9" s="365"/>
      <c r="O9" s="226"/>
      <c r="P9" s="226"/>
      <c r="Q9" s="226"/>
      <c r="R9" s="226"/>
    </row>
    <row r="10" spans="1:18" s="4" customFormat="1" ht="20.399999999999999">
      <c r="A10" s="129" t="s">
        <v>201</v>
      </c>
      <c r="B10" s="123" t="s">
        <v>88</v>
      </c>
      <c r="C10" s="167">
        <v>292881</v>
      </c>
      <c r="D10" s="167">
        <v>333083</v>
      </c>
      <c r="E10" s="228">
        <f>E11+E12+E14+E32</f>
        <v>0</v>
      </c>
      <c r="F10" s="228">
        <f>F11+F12+F14+F32</f>
        <v>0</v>
      </c>
      <c r="G10" s="228">
        <f>G11+G12+G14+G32</f>
        <v>1430</v>
      </c>
      <c r="H10" s="243">
        <f t="shared" ref="H10:H73" si="0">SUM(D10:G10)</f>
        <v>334513</v>
      </c>
      <c r="I10" s="228">
        <v>333083</v>
      </c>
      <c r="J10" s="228">
        <f>J11+J12+J14+J32</f>
        <v>0</v>
      </c>
      <c r="K10" s="228">
        <f>K11+K12+K14+K32</f>
        <v>0</v>
      </c>
      <c r="L10" s="228">
        <f>L11+L12+L14+L32</f>
        <v>1430</v>
      </c>
      <c r="M10" s="243">
        <f t="shared" ref="M10:M73" si="1">SUM(I10:L10)</f>
        <v>334513</v>
      </c>
      <c r="N10" s="228">
        <v>333083</v>
      </c>
      <c r="O10" s="228">
        <f>O11+O12+O14+O32</f>
        <v>0</v>
      </c>
      <c r="P10" s="228">
        <f>P11+P12+P14+P32</f>
        <v>0</v>
      </c>
      <c r="Q10" s="228">
        <f>Q11+Q12+Q14+Q32</f>
        <v>1430</v>
      </c>
      <c r="R10" s="243">
        <f t="shared" ref="R10:R73" si="2">SUM(N10:Q10)</f>
        <v>334513</v>
      </c>
    </row>
    <row r="11" spans="1:18" ht="24" hidden="1" customHeight="1">
      <c r="A11" s="130" t="s">
        <v>177</v>
      </c>
      <c r="B11" s="124" t="s">
        <v>90</v>
      </c>
      <c r="C11" s="169">
        <v>0</v>
      </c>
      <c r="D11" s="169">
        <v>0</v>
      </c>
      <c r="E11" s="231"/>
      <c r="F11" s="231"/>
      <c r="G11" s="231"/>
      <c r="H11" s="233">
        <f t="shared" si="0"/>
        <v>0</v>
      </c>
      <c r="I11" s="231">
        <v>0</v>
      </c>
      <c r="J11" s="231"/>
      <c r="K11" s="231"/>
      <c r="L11" s="231"/>
      <c r="M11" s="233">
        <f t="shared" si="1"/>
        <v>0</v>
      </c>
      <c r="N11" s="231">
        <v>0</v>
      </c>
      <c r="O11" s="231"/>
      <c r="P11" s="231"/>
      <c r="Q11" s="231"/>
      <c r="R11" s="233">
        <f t="shared" si="2"/>
        <v>0</v>
      </c>
    </row>
    <row r="12" spans="1:18" ht="12" hidden="1" customHeight="1">
      <c r="A12" s="130" t="s">
        <v>91</v>
      </c>
      <c r="B12" s="124" t="s">
        <v>92</v>
      </c>
      <c r="C12" s="169"/>
      <c r="D12" s="169">
        <v>0</v>
      </c>
      <c r="E12" s="231"/>
      <c r="F12" s="231"/>
      <c r="G12" s="231"/>
      <c r="H12" s="233">
        <f t="shared" si="0"/>
        <v>0</v>
      </c>
      <c r="I12" s="231">
        <v>0</v>
      </c>
      <c r="J12" s="231"/>
      <c r="K12" s="231"/>
      <c r="L12" s="231"/>
      <c r="M12" s="233">
        <f t="shared" si="1"/>
        <v>0</v>
      </c>
      <c r="N12" s="231">
        <v>0</v>
      </c>
      <c r="O12" s="231"/>
      <c r="P12" s="231"/>
      <c r="Q12" s="231"/>
      <c r="R12" s="233">
        <f t="shared" si="2"/>
        <v>0</v>
      </c>
    </row>
    <row r="13" spans="1:18" ht="24" hidden="1" customHeight="1">
      <c r="A13" s="131">
        <v>21210</v>
      </c>
      <c r="B13" s="125" t="s">
        <v>93</v>
      </c>
      <c r="C13" s="169"/>
      <c r="D13" s="169">
        <v>0</v>
      </c>
      <c r="E13" s="231"/>
      <c r="F13" s="231"/>
      <c r="G13" s="231"/>
      <c r="H13" s="233">
        <f t="shared" si="0"/>
        <v>0</v>
      </c>
      <c r="I13" s="231">
        <v>0</v>
      </c>
      <c r="J13" s="231"/>
      <c r="K13" s="231"/>
      <c r="L13" s="231"/>
      <c r="M13" s="233">
        <f t="shared" si="1"/>
        <v>0</v>
      </c>
      <c r="N13" s="231">
        <v>0</v>
      </c>
      <c r="O13" s="231"/>
      <c r="P13" s="231"/>
      <c r="Q13" s="231"/>
      <c r="R13" s="233">
        <f t="shared" si="2"/>
        <v>0</v>
      </c>
    </row>
    <row r="14" spans="1:18" ht="21" hidden="1" customHeight="1">
      <c r="A14" s="130" t="s">
        <v>178</v>
      </c>
      <c r="B14" s="124" t="s">
        <v>94</v>
      </c>
      <c r="C14" s="171">
        <v>0</v>
      </c>
      <c r="D14" s="171">
        <v>0</v>
      </c>
      <c r="E14" s="233">
        <f>E15+E21</f>
        <v>0</v>
      </c>
      <c r="F14" s="233">
        <f>F15+F21</f>
        <v>0</v>
      </c>
      <c r="G14" s="233">
        <f>G15+G21</f>
        <v>0</v>
      </c>
      <c r="H14" s="233">
        <f t="shared" si="0"/>
        <v>0</v>
      </c>
      <c r="I14" s="233">
        <v>0</v>
      </c>
      <c r="J14" s="233">
        <f>J15+J21</f>
        <v>0</v>
      </c>
      <c r="K14" s="233">
        <f>K15+K21</f>
        <v>0</v>
      </c>
      <c r="L14" s="233">
        <f>L15+L21</f>
        <v>0</v>
      </c>
      <c r="M14" s="233">
        <f t="shared" si="1"/>
        <v>0</v>
      </c>
      <c r="N14" s="233">
        <v>0</v>
      </c>
      <c r="O14" s="233">
        <f>O15+O21</f>
        <v>0</v>
      </c>
      <c r="P14" s="233">
        <f>P15+P21</f>
        <v>0</v>
      </c>
      <c r="Q14" s="233">
        <f>Q15+Q21</f>
        <v>0</v>
      </c>
      <c r="R14" s="233">
        <f t="shared" si="2"/>
        <v>0</v>
      </c>
    </row>
    <row r="15" spans="1:18" ht="12" hidden="1" customHeight="1">
      <c r="A15" s="132">
        <v>18000</v>
      </c>
      <c r="B15" s="125" t="s">
        <v>95</v>
      </c>
      <c r="C15" s="171">
        <v>0</v>
      </c>
      <c r="D15" s="171">
        <v>0</v>
      </c>
      <c r="E15" s="233">
        <f t="shared" ref="E15:L16" si="3">E16</f>
        <v>0</v>
      </c>
      <c r="F15" s="233">
        <f t="shared" si="3"/>
        <v>0</v>
      </c>
      <c r="G15" s="233">
        <f t="shared" si="3"/>
        <v>0</v>
      </c>
      <c r="H15" s="233">
        <f t="shared" si="0"/>
        <v>0</v>
      </c>
      <c r="I15" s="233">
        <v>0</v>
      </c>
      <c r="J15" s="233">
        <f t="shared" si="3"/>
        <v>0</v>
      </c>
      <c r="K15" s="233">
        <f t="shared" si="3"/>
        <v>0</v>
      </c>
      <c r="L15" s="233">
        <f t="shared" si="3"/>
        <v>0</v>
      </c>
      <c r="M15" s="233">
        <f t="shared" si="1"/>
        <v>0</v>
      </c>
      <c r="N15" s="233">
        <v>0</v>
      </c>
      <c r="O15" s="233">
        <f t="shared" ref="O15:Q16" si="4">O16</f>
        <v>0</v>
      </c>
      <c r="P15" s="233">
        <f t="shared" si="4"/>
        <v>0</v>
      </c>
      <c r="Q15" s="233">
        <f t="shared" si="4"/>
        <v>0</v>
      </c>
      <c r="R15" s="233">
        <f t="shared" si="2"/>
        <v>0</v>
      </c>
    </row>
    <row r="16" spans="1:18" ht="12" hidden="1" customHeight="1">
      <c r="A16" s="132">
        <v>18100</v>
      </c>
      <c r="B16" s="125" t="s">
        <v>96</v>
      </c>
      <c r="C16" s="171">
        <v>0</v>
      </c>
      <c r="D16" s="171">
        <v>0</v>
      </c>
      <c r="E16" s="233">
        <f>E17</f>
        <v>0</v>
      </c>
      <c r="F16" s="233">
        <f t="shared" si="3"/>
        <v>0</v>
      </c>
      <c r="G16" s="233">
        <f t="shared" si="3"/>
        <v>0</v>
      </c>
      <c r="H16" s="233">
        <f t="shared" si="0"/>
        <v>0</v>
      </c>
      <c r="I16" s="233">
        <v>0</v>
      </c>
      <c r="J16" s="233">
        <f>J17</f>
        <v>0</v>
      </c>
      <c r="K16" s="233">
        <f t="shared" si="3"/>
        <v>0</v>
      </c>
      <c r="L16" s="233">
        <f t="shared" si="3"/>
        <v>0</v>
      </c>
      <c r="M16" s="233">
        <f t="shared" si="1"/>
        <v>0</v>
      </c>
      <c r="N16" s="233">
        <v>0</v>
      </c>
      <c r="O16" s="233">
        <f>O17</f>
        <v>0</v>
      </c>
      <c r="P16" s="233">
        <f t="shared" si="4"/>
        <v>0</v>
      </c>
      <c r="Q16" s="233">
        <f t="shared" si="4"/>
        <v>0</v>
      </c>
      <c r="R16" s="233">
        <f t="shared" si="2"/>
        <v>0</v>
      </c>
    </row>
    <row r="17" spans="1:18" s="4" customFormat="1" ht="24" hidden="1" customHeight="1">
      <c r="A17" s="133">
        <v>18130</v>
      </c>
      <c r="B17" s="172" t="s">
        <v>159</v>
      </c>
      <c r="C17" s="171">
        <v>0</v>
      </c>
      <c r="D17" s="171">
        <v>0</v>
      </c>
      <c r="E17" s="233">
        <f>SUM(E18:E20)</f>
        <v>0</v>
      </c>
      <c r="F17" s="233">
        <f>SUM(F18:F20)</f>
        <v>0</v>
      </c>
      <c r="G17" s="233">
        <f>SUM(G18:G20)</f>
        <v>0</v>
      </c>
      <c r="H17" s="233">
        <f t="shared" si="0"/>
        <v>0</v>
      </c>
      <c r="I17" s="233">
        <v>0</v>
      </c>
      <c r="J17" s="233">
        <f>SUM(J18:J20)</f>
        <v>0</v>
      </c>
      <c r="K17" s="233">
        <f>SUM(K18:K20)</f>
        <v>0</v>
      </c>
      <c r="L17" s="233">
        <f>SUM(L18:L20)</f>
        <v>0</v>
      </c>
      <c r="M17" s="233">
        <f t="shared" si="1"/>
        <v>0</v>
      </c>
      <c r="N17" s="233">
        <v>0</v>
      </c>
      <c r="O17" s="233">
        <f>SUM(O18:O20)</f>
        <v>0</v>
      </c>
      <c r="P17" s="233">
        <f>SUM(P18:P20)</f>
        <v>0</v>
      </c>
      <c r="Q17" s="233">
        <f>SUM(Q18:Q20)</f>
        <v>0</v>
      </c>
      <c r="R17" s="233">
        <f t="shared" si="2"/>
        <v>0</v>
      </c>
    </row>
    <row r="18" spans="1:18" s="6" customFormat="1" ht="36" hidden="1" customHeight="1">
      <c r="A18" s="134">
        <v>18131</v>
      </c>
      <c r="B18" s="172" t="s">
        <v>160</v>
      </c>
      <c r="C18" s="171"/>
      <c r="D18" s="171">
        <v>0</v>
      </c>
      <c r="E18" s="233"/>
      <c r="F18" s="233"/>
      <c r="G18" s="233"/>
      <c r="H18" s="233">
        <f t="shared" si="0"/>
        <v>0</v>
      </c>
      <c r="I18" s="233">
        <v>0</v>
      </c>
      <c r="J18" s="233"/>
      <c r="K18" s="233"/>
      <c r="L18" s="233"/>
      <c r="M18" s="233">
        <f t="shared" si="1"/>
        <v>0</v>
      </c>
      <c r="N18" s="233">
        <v>0</v>
      </c>
      <c r="O18" s="233"/>
      <c r="P18" s="233"/>
      <c r="Q18" s="233"/>
      <c r="R18" s="233">
        <f t="shared" si="2"/>
        <v>0</v>
      </c>
    </row>
    <row r="19" spans="1:18" s="6" customFormat="1" ht="24" hidden="1" customHeight="1">
      <c r="A19" s="134">
        <v>18132</v>
      </c>
      <c r="B19" s="172" t="s">
        <v>169</v>
      </c>
      <c r="C19" s="171"/>
      <c r="D19" s="171">
        <v>0</v>
      </c>
      <c r="E19" s="233"/>
      <c r="F19" s="233"/>
      <c r="G19" s="233"/>
      <c r="H19" s="233">
        <f t="shared" si="0"/>
        <v>0</v>
      </c>
      <c r="I19" s="233">
        <v>0</v>
      </c>
      <c r="J19" s="233"/>
      <c r="K19" s="233"/>
      <c r="L19" s="233"/>
      <c r="M19" s="233">
        <f t="shared" si="1"/>
        <v>0</v>
      </c>
      <c r="N19" s="233">
        <v>0</v>
      </c>
      <c r="O19" s="233"/>
      <c r="P19" s="233"/>
      <c r="Q19" s="233"/>
      <c r="R19" s="233">
        <f t="shared" si="2"/>
        <v>0</v>
      </c>
    </row>
    <row r="20" spans="1:18" s="6" customFormat="1" ht="24" hidden="1" customHeight="1">
      <c r="A20" s="134">
        <v>18139</v>
      </c>
      <c r="B20" s="172" t="s">
        <v>179</v>
      </c>
      <c r="C20" s="171"/>
      <c r="D20" s="171">
        <v>0</v>
      </c>
      <c r="E20" s="233"/>
      <c r="F20" s="233"/>
      <c r="G20" s="233"/>
      <c r="H20" s="233">
        <f t="shared" si="0"/>
        <v>0</v>
      </c>
      <c r="I20" s="233">
        <v>0</v>
      </c>
      <c r="J20" s="233"/>
      <c r="K20" s="233"/>
      <c r="L20" s="233"/>
      <c r="M20" s="233">
        <f t="shared" si="1"/>
        <v>0</v>
      </c>
      <c r="N20" s="233">
        <v>0</v>
      </c>
      <c r="O20" s="233"/>
      <c r="P20" s="233"/>
      <c r="Q20" s="233"/>
      <c r="R20" s="233">
        <f t="shared" si="2"/>
        <v>0</v>
      </c>
    </row>
    <row r="21" spans="1:18" s="6" customFormat="1" ht="12" hidden="1" customHeight="1">
      <c r="A21" s="135" t="s">
        <v>180</v>
      </c>
      <c r="B21" s="173" t="s">
        <v>173</v>
      </c>
      <c r="C21" s="174">
        <v>0</v>
      </c>
      <c r="D21" s="174">
        <v>0</v>
      </c>
      <c r="E21" s="238">
        <f t="shared" ref="E21:L21" si="5">E22</f>
        <v>0</v>
      </c>
      <c r="F21" s="238">
        <f t="shared" si="5"/>
        <v>0</v>
      </c>
      <c r="G21" s="238">
        <f t="shared" si="5"/>
        <v>0</v>
      </c>
      <c r="H21" s="233">
        <f t="shared" si="0"/>
        <v>0</v>
      </c>
      <c r="I21" s="238">
        <v>0</v>
      </c>
      <c r="J21" s="238">
        <f t="shared" si="5"/>
        <v>0</v>
      </c>
      <c r="K21" s="238">
        <f t="shared" si="5"/>
        <v>0</v>
      </c>
      <c r="L21" s="238">
        <f t="shared" si="5"/>
        <v>0</v>
      </c>
      <c r="M21" s="233">
        <f t="shared" si="1"/>
        <v>0</v>
      </c>
      <c r="N21" s="238">
        <v>0</v>
      </c>
      <c r="O21" s="238">
        <f>O22</f>
        <v>0</v>
      </c>
      <c r="P21" s="238">
        <f>P22</f>
        <v>0</v>
      </c>
      <c r="Q21" s="238">
        <f>Q22</f>
        <v>0</v>
      </c>
      <c r="R21" s="233">
        <f t="shared" si="2"/>
        <v>0</v>
      </c>
    </row>
    <row r="22" spans="1:18" s="6" customFormat="1" ht="24" hidden="1" customHeight="1">
      <c r="A22" s="135">
        <v>19500</v>
      </c>
      <c r="B22" s="172" t="s">
        <v>174</v>
      </c>
      <c r="C22" s="171">
        <v>0</v>
      </c>
      <c r="D22" s="171">
        <v>0</v>
      </c>
      <c r="E22" s="233">
        <f>SUM(E23:E25)</f>
        <v>0</v>
      </c>
      <c r="F22" s="233">
        <f>SUM(F23:F25)</f>
        <v>0</v>
      </c>
      <c r="G22" s="233">
        <f>SUM(G23:G25)</f>
        <v>0</v>
      </c>
      <c r="H22" s="233">
        <f t="shared" si="0"/>
        <v>0</v>
      </c>
      <c r="I22" s="233">
        <v>0</v>
      </c>
      <c r="J22" s="233">
        <f>SUM(J23:J25)</f>
        <v>0</v>
      </c>
      <c r="K22" s="233">
        <f>SUM(K23:K25)</f>
        <v>0</v>
      </c>
      <c r="L22" s="233">
        <f>SUM(L23:L25)</f>
        <v>0</v>
      </c>
      <c r="M22" s="233">
        <f t="shared" si="1"/>
        <v>0</v>
      </c>
      <c r="N22" s="233">
        <v>0</v>
      </c>
      <c r="O22" s="233">
        <f>SUM(O23:O25)</f>
        <v>0</v>
      </c>
      <c r="P22" s="233">
        <f>SUM(P23:P25)</f>
        <v>0</v>
      </c>
      <c r="Q22" s="233">
        <f>SUM(Q23:Q25)</f>
        <v>0</v>
      </c>
      <c r="R22" s="233">
        <f t="shared" si="2"/>
        <v>0</v>
      </c>
    </row>
    <row r="23" spans="1:18" s="6" customFormat="1" ht="24" hidden="1" customHeight="1">
      <c r="A23" s="136">
        <v>19550</v>
      </c>
      <c r="B23" s="172" t="s">
        <v>175</v>
      </c>
      <c r="C23" s="171"/>
      <c r="D23" s="171">
        <v>0</v>
      </c>
      <c r="E23" s="233"/>
      <c r="F23" s="233"/>
      <c r="G23" s="233"/>
      <c r="H23" s="233">
        <f t="shared" si="0"/>
        <v>0</v>
      </c>
      <c r="I23" s="233">
        <v>0</v>
      </c>
      <c r="J23" s="233"/>
      <c r="K23" s="233"/>
      <c r="L23" s="233"/>
      <c r="M23" s="233">
        <f t="shared" si="1"/>
        <v>0</v>
      </c>
      <c r="N23" s="233">
        <v>0</v>
      </c>
      <c r="O23" s="233"/>
      <c r="P23" s="233"/>
      <c r="Q23" s="233"/>
      <c r="R23" s="233">
        <f t="shared" si="2"/>
        <v>0</v>
      </c>
    </row>
    <row r="24" spans="1:18" s="6" customFormat="1" ht="36" hidden="1" customHeight="1">
      <c r="A24" s="136">
        <v>19560</v>
      </c>
      <c r="B24" s="172" t="s">
        <v>181</v>
      </c>
      <c r="C24" s="171"/>
      <c r="D24" s="171">
        <v>0</v>
      </c>
      <c r="E24" s="233"/>
      <c r="F24" s="233"/>
      <c r="G24" s="233"/>
      <c r="H24" s="233">
        <f t="shared" si="0"/>
        <v>0</v>
      </c>
      <c r="I24" s="233">
        <v>0</v>
      </c>
      <c r="J24" s="233"/>
      <c r="K24" s="233"/>
      <c r="L24" s="233"/>
      <c r="M24" s="233">
        <f t="shared" si="1"/>
        <v>0</v>
      </c>
      <c r="N24" s="233">
        <v>0</v>
      </c>
      <c r="O24" s="233"/>
      <c r="P24" s="233"/>
      <c r="Q24" s="233"/>
      <c r="R24" s="233">
        <f t="shared" si="2"/>
        <v>0</v>
      </c>
    </row>
    <row r="25" spans="1:18" s="6" customFormat="1" ht="72" hidden="1" customHeight="1">
      <c r="A25" s="136">
        <v>19570</v>
      </c>
      <c r="B25" s="172" t="s">
        <v>182</v>
      </c>
      <c r="C25" s="171"/>
      <c r="D25" s="171">
        <v>0</v>
      </c>
      <c r="E25" s="233"/>
      <c r="F25" s="233"/>
      <c r="G25" s="233"/>
      <c r="H25" s="233">
        <f t="shared" si="0"/>
        <v>0</v>
      </c>
      <c r="I25" s="233">
        <v>0</v>
      </c>
      <c r="J25" s="233"/>
      <c r="K25" s="233"/>
      <c r="L25" s="233"/>
      <c r="M25" s="233">
        <f t="shared" si="1"/>
        <v>0</v>
      </c>
      <c r="N25" s="233">
        <v>0</v>
      </c>
      <c r="O25" s="233"/>
      <c r="P25" s="233"/>
      <c r="Q25" s="233"/>
      <c r="R25" s="233">
        <f t="shared" si="2"/>
        <v>0</v>
      </c>
    </row>
    <row r="26" spans="1:18" s="6" customFormat="1" ht="24" hidden="1" customHeight="1">
      <c r="A26" s="209" t="s">
        <v>222</v>
      </c>
      <c r="B26" s="208" t="s">
        <v>216</v>
      </c>
      <c r="C26" s="107">
        <f>C27</f>
        <v>0</v>
      </c>
      <c r="D26" s="107">
        <v>0</v>
      </c>
      <c r="E26" s="233">
        <f t="shared" ref="E26:L26" si="6">E27</f>
        <v>0</v>
      </c>
      <c r="F26" s="233">
        <f t="shared" si="6"/>
        <v>0</v>
      </c>
      <c r="G26" s="233">
        <f t="shared" si="6"/>
        <v>0</v>
      </c>
      <c r="H26" s="233">
        <f t="shared" si="0"/>
        <v>0</v>
      </c>
      <c r="I26" s="233">
        <v>0</v>
      </c>
      <c r="J26" s="233">
        <f t="shared" si="6"/>
        <v>0</v>
      </c>
      <c r="K26" s="233">
        <f t="shared" si="6"/>
        <v>0</v>
      </c>
      <c r="L26" s="233">
        <f t="shared" si="6"/>
        <v>0</v>
      </c>
      <c r="M26" s="233">
        <f t="shared" si="1"/>
        <v>0</v>
      </c>
      <c r="N26" s="233">
        <v>0</v>
      </c>
      <c r="O26" s="233">
        <f>O27</f>
        <v>0</v>
      </c>
      <c r="P26" s="233">
        <f>P27</f>
        <v>0</v>
      </c>
      <c r="Q26" s="233">
        <f>Q27</f>
        <v>0</v>
      </c>
      <c r="R26" s="233">
        <f t="shared" si="2"/>
        <v>0</v>
      </c>
    </row>
    <row r="27" spans="1:18" s="6" customFormat="1" ht="36" hidden="1" customHeight="1">
      <c r="A27" s="209">
        <v>17100</v>
      </c>
      <c r="B27" s="208" t="s">
        <v>217</v>
      </c>
      <c r="C27" s="107">
        <f>SUM(C28:C31)</f>
        <v>0</v>
      </c>
      <c r="D27" s="107">
        <v>0</v>
      </c>
      <c r="E27" s="233">
        <f>SUM(E28:E31)</f>
        <v>0</v>
      </c>
      <c r="F27" s="233">
        <f>SUM(F28:F31)</f>
        <v>0</v>
      </c>
      <c r="G27" s="233">
        <f>SUM(G28:G31)</f>
        <v>0</v>
      </c>
      <c r="H27" s="233">
        <f t="shared" si="0"/>
        <v>0</v>
      </c>
      <c r="I27" s="233">
        <v>0</v>
      </c>
      <c r="J27" s="233">
        <f>SUM(J28:J31)</f>
        <v>0</v>
      </c>
      <c r="K27" s="233">
        <f>SUM(K28:K31)</f>
        <v>0</v>
      </c>
      <c r="L27" s="233">
        <f>SUM(L28:L31)</f>
        <v>0</v>
      </c>
      <c r="M27" s="233">
        <f t="shared" si="1"/>
        <v>0</v>
      </c>
      <c r="N27" s="233">
        <v>0</v>
      </c>
      <c r="O27" s="233">
        <f>SUM(O28:O31)</f>
        <v>0</v>
      </c>
      <c r="P27" s="233">
        <f>SUM(P28:P31)</f>
        <v>0</v>
      </c>
      <c r="Q27" s="233">
        <f>SUM(Q28:Q31)</f>
        <v>0</v>
      </c>
      <c r="R27" s="233">
        <f t="shared" si="2"/>
        <v>0</v>
      </c>
    </row>
    <row r="28" spans="1:18" s="6" customFormat="1" ht="60" hidden="1" customHeight="1">
      <c r="A28" s="149">
        <v>17110</v>
      </c>
      <c r="B28" s="208" t="s">
        <v>218</v>
      </c>
      <c r="C28" s="107"/>
      <c r="D28" s="107">
        <v>0</v>
      </c>
      <c r="E28" s="233"/>
      <c r="F28" s="233"/>
      <c r="G28" s="233"/>
      <c r="H28" s="233">
        <f t="shared" si="0"/>
        <v>0</v>
      </c>
      <c r="I28" s="233">
        <v>0</v>
      </c>
      <c r="J28" s="233"/>
      <c r="K28" s="233"/>
      <c r="L28" s="233"/>
      <c r="M28" s="233">
        <f t="shared" si="1"/>
        <v>0</v>
      </c>
      <c r="N28" s="233">
        <v>0</v>
      </c>
      <c r="O28" s="233"/>
      <c r="P28" s="233"/>
      <c r="Q28" s="233"/>
      <c r="R28" s="233">
        <f t="shared" si="2"/>
        <v>0</v>
      </c>
    </row>
    <row r="29" spans="1:18" s="6" customFormat="1" ht="60" hidden="1" customHeight="1">
      <c r="A29" s="149">
        <v>17120</v>
      </c>
      <c r="B29" s="208" t="s">
        <v>219</v>
      </c>
      <c r="C29" s="107"/>
      <c r="D29" s="107">
        <v>0</v>
      </c>
      <c r="E29" s="233"/>
      <c r="F29" s="233"/>
      <c r="G29" s="233"/>
      <c r="H29" s="233">
        <f t="shared" si="0"/>
        <v>0</v>
      </c>
      <c r="I29" s="233">
        <v>0</v>
      </c>
      <c r="J29" s="233"/>
      <c r="K29" s="233"/>
      <c r="L29" s="233"/>
      <c r="M29" s="233">
        <f t="shared" si="1"/>
        <v>0</v>
      </c>
      <c r="N29" s="233">
        <v>0</v>
      </c>
      <c r="O29" s="233"/>
      <c r="P29" s="233"/>
      <c r="Q29" s="233"/>
      <c r="R29" s="233">
        <f t="shared" si="2"/>
        <v>0</v>
      </c>
    </row>
    <row r="30" spans="1:18" s="6" customFormat="1" ht="108" hidden="1" customHeight="1">
      <c r="A30" s="149">
        <v>17130</v>
      </c>
      <c r="B30" s="208" t="s">
        <v>220</v>
      </c>
      <c r="C30" s="107"/>
      <c r="D30" s="107">
        <v>0</v>
      </c>
      <c r="E30" s="233"/>
      <c r="F30" s="233"/>
      <c r="G30" s="233"/>
      <c r="H30" s="233">
        <f t="shared" si="0"/>
        <v>0</v>
      </c>
      <c r="I30" s="233">
        <v>0</v>
      </c>
      <c r="J30" s="233"/>
      <c r="K30" s="233"/>
      <c r="L30" s="233"/>
      <c r="M30" s="233">
        <f t="shared" si="1"/>
        <v>0</v>
      </c>
      <c r="N30" s="233">
        <v>0</v>
      </c>
      <c r="O30" s="233"/>
      <c r="P30" s="233"/>
      <c r="Q30" s="233"/>
      <c r="R30" s="233">
        <f t="shared" si="2"/>
        <v>0</v>
      </c>
    </row>
    <row r="31" spans="1:18" s="6" customFormat="1" ht="108" hidden="1" customHeight="1">
      <c r="A31" s="149">
        <v>17140</v>
      </c>
      <c r="B31" s="208" t="s">
        <v>221</v>
      </c>
      <c r="C31" s="107"/>
      <c r="D31" s="107">
        <v>0</v>
      </c>
      <c r="E31" s="233"/>
      <c r="F31" s="233"/>
      <c r="G31" s="233"/>
      <c r="H31" s="233">
        <f t="shared" si="0"/>
        <v>0</v>
      </c>
      <c r="I31" s="233">
        <v>0</v>
      </c>
      <c r="J31" s="233"/>
      <c r="K31" s="233"/>
      <c r="L31" s="233"/>
      <c r="M31" s="233">
        <f t="shared" si="1"/>
        <v>0</v>
      </c>
      <c r="N31" s="233">
        <v>0</v>
      </c>
      <c r="O31" s="233"/>
      <c r="P31" s="233"/>
      <c r="Q31" s="233"/>
      <c r="R31" s="233">
        <f t="shared" si="2"/>
        <v>0</v>
      </c>
    </row>
    <row r="32" spans="1:18" s="6" customFormat="1" ht="12">
      <c r="A32" s="137">
        <v>21700</v>
      </c>
      <c r="B32" s="124" t="s">
        <v>97</v>
      </c>
      <c r="C32" s="171">
        <v>292881</v>
      </c>
      <c r="D32" s="171">
        <v>333083</v>
      </c>
      <c r="E32" s="233">
        <f>E33+E34</f>
        <v>0</v>
      </c>
      <c r="F32" s="233">
        <f>F33+F34</f>
        <v>0</v>
      </c>
      <c r="G32" s="233">
        <f>G33+G34</f>
        <v>1430</v>
      </c>
      <c r="H32" s="233">
        <f t="shared" si="0"/>
        <v>334513</v>
      </c>
      <c r="I32" s="233">
        <v>333083</v>
      </c>
      <c r="J32" s="233">
        <f>J33+J34</f>
        <v>0</v>
      </c>
      <c r="K32" s="233">
        <f>K33+K34</f>
        <v>0</v>
      </c>
      <c r="L32" s="233">
        <f>L33+L34</f>
        <v>1430</v>
      </c>
      <c r="M32" s="233">
        <f t="shared" si="1"/>
        <v>334513</v>
      </c>
      <c r="N32" s="233">
        <v>333083</v>
      </c>
      <c r="O32" s="233">
        <f>O33+O34</f>
        <v>0</v>
      </c>
      <c r="P32" s="233">
        <f>P33+P34</f>
        <v>0</v>
      </c>
      <c r="Q32" s="233">
        <f>Q33+Q34</f>
        <v>1430</v>
      </c>
      <c r="R32" s="233">
        <f t="shared" si="2"/>
        <v>334513</v>
      </c>
    </row>
    <row r="33" spans="1:18" s="6" customFormat="1" ht="24">
      <c r="A33" s="138">
        <v>21710</v>
      </c>
      <c r="B33" s="125" t="s">
        <v>98</v>
      </c>
      <c r="C33" s="171">
        <v>292881</v>
      </c>
      <c r="D33" s="171">
        <v>333083</v>
      </c>
      <c r="E33" s="233"/>
      <c r="F33" s="233"/>
      <c r="G33" s="233">
        <v>1430</v>
      </c>
      <c r="H33" s="233">
        <f t="shared" si="0"/>
        <v>334513</v>
      </c>
      <c r="I33" s="233">
        <v>333083</v>
      </c>
      <c r="J33" s="233"/>
      <c r="K33" s="233"/>
      <c r="L33" s="233">
        <v>1430</v>
      </c>
      <c r="M33" s="233">
        <f t="shared" si="1"/>
        <v>334513</v>
      </c>
      <c r="N33" s="233">
        <v>333083</v>
      </c>
      <c r="O33" s="233"/>
      <c r="P33" s="233"/>
      <c r="Q33" s="233">
        <v>1430</v>
      </c>
      <c r="R33" s="233">
        <f t="shared" si="2"/>
        <v>334513</v>
      </c>
    </row>
    <row r="34" spans="1:18" s="6" customFormat="1" ht="24" hidden="1" customHeight="1">
      <c r="A34" s="138">
        <v>21720</v>
      </c>
      <c r="B34" s="125" t="s">
        <v>99</v>
      </c>
      <c r="C34" s="171"/>
      <c r="D34" s="171">
        <v>0</v>
      </c>
      <c r="E34" s="233"/>
      <c r="F34" s="233"/>
      <c r="G34" s="233"/>
      <c r="H34" s="233">
        <f t="shared" si="0"/>
        <v>0</v>
      </c>
      <c r="I34" s="233">
        <v>0</v>
      </c>
      <c r="J34" s="233"/>
      <c r="K34" s="233"/>
      <c r="L34" s="233"/>
      <c r="M34" s="233">
        <f t="shared" si="1"/>
        <v>0</v>
      </c>
      <c r="N34" s="233">
        <v>0</v>
      </c>
      <c r="O34" s="233"/>
      <c r="P34" s="233"/>
      <c r="Q34" s="233"/>
      <c r="R34" s="233">
        <f t="shared" si="2"/>
        <v>0</v>
      </c>
    </row>
    <row r="35" spans="1:18" s="6" customFormat="1" ht="11.4">
      <c r="A35" s="129" t="s">
        <v>100</v>
      </c>
      <c r="B35" s="123" t="s">
        <v>101</v>
      </c>
      <c r="C35" s="175">
        <v>292881</v>
      </c>
      <c r="D35" s="175">
        <v>333083</v>
      </c>
      <c r="E35" s="243">
        <f>E36+E63</f>
        <v>0</v>
      </c>
      <c r="F35" s="243">
        <f>F36+F63</f>
        <v>0</v>
      </c>
      <c r="G35" s="243">
        <f>G36+G63</f>
        <v>1430</v>
      </c>
      <c r="H35" s="243">
        <f t="shared" si="0"/>
        <v>334513</v>
      </c>
      <c r="I35" s="243">
        <v>333083</v>
      </c>
      <c r="J35" s="243">
        <f>J36+J63</f>
        <v>0</v>
      </c>
      <c r="K35" s="243">
        <f>K36+K63</f>
        <v>0</v>
      </c>
      <c r="L35" s="243">
        <f>L36+L63</f>
        <v>1430</v>
      </c>
      <c r="M35" s="243">
        <f t="shared" si="1"/>
        <v>334513</v>
      </c>
      <c r="N35" s="243">
        <v>333083</v>
      </c>
      <c r="O35" s="243">
        <f>O36+O63</f>
        <v>0</v>
      </c>
      <c r="P35" s="243">
        <f>P36+P63</f>
        <v>0</v>
      </c>
      <c r="Q35" s="243">
        <f>Q36+Q63</f>
        <v>1430</v>
      </c>
      <c r="R35" s="243">
        <f t="shared" si="2"/>
        <v>334513</v>
      </c>
    </row>
    <row r="36" spans="1:18" s="6" customFormat="1" ht="20.399999999999999">
      <c r="A36" s="130" t="s">
        <v>102</v>
      </c>
      <c r="B36" s="124" t="s">
        <v>103</v>
      </c>
      <c r="C36" s="171">
        <v>284525</v>
      </c>
      <c r="D36" s="171">
        <v>333083</v>
      </c>
      <c r="E36" s="233">
        <f>E37+E41+E42+E45+E48</f>
        <v>0</v>
      </c>
      <c r="F36" s="233">
        <f>F37+F41+F42+F45+F48</f>
        <v>0</v>
      </c>
      <c r="G36" s="233">
        <f>G37+G41+G42+G45+G48</f>
        <v>1430</v>
      </c>
      <c r="H36" s="233">
        <f t="shared" si="0"/>
        <v>334513</v>
      </c>
      <c r="I36" s="233">
        <v>333083</v>
      </c>
      <c r="J36" s="233">
        <f>J37+J41+J42+J45+J48</f>
        <v>0</v>
      </c>
      <c r="K36" s="233">
        <f>K37+K41+K42+K45+K48</f>
        <v>0</v>
      </c>
      <c r="L36" s="233">
        <f>L37+L41+L42+L45+L48</f>
        <v>1430</v>
      </c>
      <c r="M36" s="233">
        <f t="shared" si="1"/>
        <v>334513</v>
      </c>
      <c r="N36" s="233">
        <v>333083</v>
      </c>
      <c r="O36" s="233">
        <f>O37+O41+O42+O45+O48</f>
        <v>0</v>
      </c>
      <c r="P36" s="233">
        <f>P37+P41+P42+P45+P48</f>
        <v>0</v>
      </c>
      <c r="Q36" s="233">
        <f>Q37+Q41+Q42+Q45+Q48</f>
        <v>1430</v>
      </c>
      <c r="R36" s="233">
        <f t="shared" si="2"/>
        <v>334513</v>
      </c>
    </row>
    <row r="37" spans="1:18" s="6" customFormat="1" ht="12">
      <c r="A37" s="130" t="s">
        <v>104</v>
      </c>
      <c r="B37" s="124" t="s">
        <v>105</v>
      </c>
      <c r="C37" s="171">
        <v>284525</v>
      </c>
      <c r="D37" s="171">
        <v>333083</v>
      </c>
      <c r="E37" s="233">
        <f>E38+E40</f>
        <v>0</v>
      </c>
      <c r="F37" s="233">
        <f>F38+F40</f>
        <v>0</v>
      </c>
      <c r="G37" s="233">
        <f>G38+G40</f>
        <v>1430</v>
      </c>
      <c r="H37" s="233">
        <f t="shared" si="0"/>
        <v>334513</v>
      </c>
      <c r="I37" s="233">
        <v>333083</v>
      </c>
      <c r="J37" s="233">
        <f>J38+J40</f>
        <v>0</v>
      </c>
      <c r="K37" s="233">
        <f>K38+K40</f>
        <v>0</v>
      </c>
      <c r="L37" s="233">
        <f>L38+L40</f>
        <v>1430</v>
      </c>
      <c r="M37" s="233">
        <f t="shared" si="1"/>
        <v>334513</v>
      </c>
      <c r="N37" s="233">
        <v>333083</v>
      </c>
      <c r="O37" s="233">
        <f>O38+O40</f>
        <v>0</v>
      </c>
      <c r="P37" s="233">
        <f>P38+P40</f>
        <v>0</v>
      </c>
      <c r="Q37" s="233">
        <f>Q38+Q40</f>
        <v>1430</v>
      </c>
      <c r="R37" s="233">
        <f t="shared" si="2"/>
        <v>334513</v>
      </c>
    </row>
    <row r="38" spans="1:18" s="6" customFormat="1" ht="12">
      <c r="A38" s="132">
        <v>1000</v>
      </c>
      <c r="B38" s="125" t="s">
        <v>106</v>
      </c>
      <c r="C38" s="171">
        <v>268598</v>
      </c>
      <c r="D38" s="171">
        <v>318035</v>
      </c>
      <c r="E38" s="233"/>
      <c r="F38" s="233"/>
      <c r="G38" s="233"/>
      <c r="H38" s="233">
        <f t="shared" si="0"/>
        <v>318035</v>
      </c>
      <c r="I38" s="233">
        <v>318035</v>
      </c>
      <c r="J38" s="233"/>
      <c r="K38" s="233"/>
      <c r="L38" s="233"/>
      <c r="M38" s="233">
        <f t="shared" si="1"/>
        <v>318035</v>
      </c>
      <c r="N38" s="233">
        <v>318035</v>
      </c>
      <c r="O38" s="233"/>
      <c r="P38" s="233"/>
      <c r="Q38" s="233"/>
      <c r="R38" s="233">
        <f t="shared" si="2"/>
        <v>318035</v>
      </c>
    </row>
    <row r="39" spans="1:18" s="6" customFormat="1" ht="12">
      <c r="A39" s="139">
        <v>1100</v>
      </c>
      <c r="B39" s="125" t="s">
        <v>107</v>
      </c>
      <c r="C39" s="171">
        <v>216456</v>
      </c>
      <c r="D39" s="171">
        <v>256296</v>
      </c>
      <c r="E39" s="233"/>
      <c r="F39" s="233"/>
      <c r="G39" s="233"/>
      <c r="H39" s="233">
        <f t="shared" si="0"/>
        <v>256296</v>
      </c>
      <c r="I39" s="233">
        <v>256296</v>
      </c>
      <c r="J39" s="233"/>
      <c r="K39" s="233"/>
      <c r="L39" s="233"/>
      <c r="M39" s="233">
        <f t="shared" si="1"/>
        <v>256296</v>
      </c>
      <c r="N39" s="233">
        <v>256296</v>
      </c>
      <c r="O39" s="233"/>
      <c r="P39" s="233"/>
      <c r="Q39" s="233"/>
      <c r="R39" s="233">
        <f t="shared" si="2"/>
        <v>256296</v>
      </c>
    </row>
    <row r="40" spans="1:18" s="6" customFormat="1" ht="12">
      <c r="A40" s="132">
        <v>2000</v>
      </c>
      <c r="B40" s="125" t="s">
        <v>108</v>
      </c>
      <c r="C40" s="171">
        <v>15927</v>
      </c>
      <c r="D40" s="171">
        <v>15048</v>
      </c>
      <c r="E40" s="233"/>
      <c r="F40" s="233"/>
      <c r="G40" s="233">
        <f>G124</f>
        <v>1430</v>
      </c>
      <c r="H40" s="233">
        <f t="shared" si="0"/>
        <v>16478</v>
      </c>
      <c r="I40" s="233">
        <v>15048</v>
      </c>
      <c r="J40" s="233"/>
      <c r="K40" s="233"/>
      <c r="L40" s="233">
        <v>1430</v>
      </c>
      <c r="M40" s="233">
        <f t="shared" si="1"/>
        <v>16478</v>
      </c>
      <c r="N40" s="233">
        <v>15048</v>
      </c>
      <c r="O40" s="233"/>
      <c r="P40" s="233"/>
      <c r="Q40" s="233">
        <v>1430</v>
      </c>
      <c r="R40" s="233">
        <f t="shared" si="2"/>
        <v>16478</v>
      </c>
    </row>
    <row r="41" spans="1:18" s="6" customFormat="1" ht="12" hidden="1" customHeight="1">
      <c r="A41" s="140">
        <v>4000</v>
      </c>
      <c r="B41" s="124" t="s">
        <v>132</v>
      </c>
      <c r="C41" s="171"/>
      <c r="D41" s="171">
        <v>0</v>
      </c>
      <c r="E41" s="233"/>
      <c r="F41" s="233"/>
      <c r="G41" s="233"/>
      <c r="H41" s="233">
        <f t="shared" si="0"/>
        <v>0</v>
      </c>
      <c r="I41" s="233">
        <v>0</v>
      </c>
      <c r="J41" s="233"/>
      <c r="K41" s="233"/>
      <c r="L41" s="233"/>
      <c r="M41" s="233">
        <f t="shared" si="1"/>
        <v>0</v>
      </c>
      <c r="N41" s="233">
        <v>0</v>
      </c>
      <c r="O41" s="233"/>
      <c r="P41" s="233"/>
      <c r="Q41" s="233"/>
      <c r="R41" s="233">
        <f t="shared" si="2"/>
        <v>0</v>
      </c>
    </row>
    <row r="42" spans="1:18" s="6" customFormat="1" ht="12" hidden="1" customHeight="1">
      <c r="A42" s="140" t="s">
        <v>109</v>
      </c>
      <c r="B42" s="124" t="s">
        <v>110</v>
      </c>
      <c r="C42" s="171">
        <v>0</v>
      </c>
      <c r="D42" s="171">
        <v>0</v>
      </c>
      <c r="E42" s="233">
        <f>E43+E44</f>
        <v>0</v>
      </c>
      <c r="F42" s="233">
        <f>F43+F44</f>
        <v>0</v>
      </c>
      <c r="G42" s="233">
        <f>G43+G44</f>
        <v>0</v>
      </c>
      <c r="H42" s="233">
        <f t="shared" si="0"/>
        <v>0</v>
      </c>
      <c r="I42" s="233">
        <v>0</v>
      </c>
      <c r="J42" s="233">
        <f>J43+J44</f>
        <v>0</v>
      </c>
      <c r="K42" s="233">
        <f>K43+K44</f>
        <v>0</v>
      </c>
      <c r="L42" s="233">
        <f>L43+L44</f>
        <v>0</v>
      </c>
      <c r="M42" s="233">
        <f t="shared" si="1"/>
        <v>0</v>
      </c>
      <c r="N42" s="233">
        <v>0</v>
      </c>
      <c r="O42" s="233">
        <f>O43+O44</f>
        <v>0</v>
      </c>
      <c r="P42" s="233">
        <f>P43+P44</f>
        <v>0</v>
      </c>
      <c r="Q42" s="233">
        <f>Q43+Q44</f>
        <v>0</v>
      </c>
      <c r="R42" s="233">
        <f t="shared" si="2"/>
        <v>0</v>
      </c>
    </row>
    <row r="43" spans="1:18" s="6" customFormat="1" ht="12" hidden="1" customHeight="1">
      <c r="A43" s="132">
        <v>3000</v>
      </c>
      <c r="B43" s="125" t="s">
        <v>111</v>
      </c>
      <c r="C43" s="213"/>
      <c r="D43" s="213">
        <v>0</v>
      </c>
      <c r="E43" s="345"/>
      <c r="F43" s="345"/>
      <c r="G43" s="345"/>
      <c r="H43" s="233">
        <f t="shared" si="0"/>
        <v>0</v>
      </c>
      <c r="I43" s="345">
        <v>0</v>
      </c>
      <c r="J43" s="345"/>
      <c r="K43" s="345"/>
      <c r="L43" s="345"/>
      <c r="M43" s="233">
        <f t="shared" si="1"/>
        <v>0</v>
      </c>
      <c r="N43" s="345">
        <v>0</v>
      </c>
      <c r="O43" s="345"/>
      <c r="P43" s="345"/>
      <c r="Q43" s="345"/>
      <c r="R43" s="233">
        <f t="shared" si="2"/>
        <v>0</v>
      </c>
    </row>
    <row r="44" spans="1:18" s="6" customFormat="1" ht="12" hidden="1" customHeight="1">
      <c r="A44" s="132">
        <v>6000</v>
      </c>
      <c r="B44" s="125" t="s">
        <v>112</v>
      </c>
      <c r="C44" s="287">
        <v>0</v>
      </c>
      <c r="D44" s="287">
        <v>0</v>
      </c>
      <c r="E44" s="346"/>
      <c r="F44" s="346"/>
      <c r="G44" s="346"/>
      <c r="H44" s="233">
        <f t="shared" si="0"/>
        <v>0</v>
      </c>
      <c r="I44" s="346">
        <v>0</v>
      </c>
      <c r="J44" s="346"/>
      <c r="K44" s="346"/>
      <c r="L44" s="346"/>
      <c r="M44" s="233">
        <f t="shared" si="1"/>
        <v>0</v>
      </c>
      <c r="N44" s="346">
        <v>0</v>
      </c>
      <c r="O44" s="346"/>
      <c r="P44" s="346"/>
      <c r="Q44" s="346"/>
      <c r="R44" s="233">
        <f t="shared" si="2"/>
        <v>0</v>
      </c>
    </row>
    <row r="45" spans="1:18" s="6" customFormat="1" ht="24" hidden="1" customHeight="1">
      <c r="A45" s="140" t="s">
        <v>113</v>
      </c>
      <c r="B45" s="124" t="s">
        <v>183</v>
      </c>
      <c r="C45" s="171">
        <v>0</v>
      </c>
      <c r="D45" s="171">
        <v>0</v>
      </c>
      <c r="E45" s="233">
        <f>E46+E47</f>
        <v>0</v>
      </c>
      <c r="F45" s="233">
        <f>F46+F47</f>
        <v>0</v>
      </c>
      <c r="G45" s="233">
        <f>G46+G47</f>
        <v>0</v>
      </c>
      <c r="H45" s="233">
        <f t="shared" si="0"/>
        <v>0</v>
      </c>
      <c r="I45" s="233">
        <v>0</v>
      </c>
      <c r="J45" s="233">
        <f>J46+J47</f>
        <v>0</v>
      </c>
      <c r="K45" s="233">
        <f>K46+K47</f>
        <v>0</v>
      </c>
      <c r="L45" s="233">
        <f>L46+L47</f>
        <v>0</v>
      </c>
      <c r="M45" s="233">
        <f t="shared" si="1"/>
        <v>0</v>
      </c>
      <c r="N45" s="233">
        <v>0</v>
      </c>
      <c r="O45" s="233">
        <f>O46+O47</f>
        <v>0</v>
      </c>
      <c r="P45" s="233">
        <f>P46+P47</f>
        <v>0</v>
      </c>
      <c r="Q45" s="233">
        <f>Q46+Q47</f>
        <v>0</v>
      </c>
      <c r="R45" s="233">
        <f t="shared" si="2"/>
        <v>0</v>
      </c>
    </row>
    <row r="46" spans="1:18" s="6" customFormat="1" ht="12" hidden="1" customHeight="1">
      <c r="A46" s="132">
        <v>7600</v>
      </c>
      <c r="B46" s="179" t="s">
        <v>184</v>
      </c>
      <c r="C46" s="171"/>
      <c r="D46" s="171">
        <v>0</v>
      </c>
      <c r="E46" s="233"/>
      <c r="F46" s="233"/>
      <c r="G46" s="233"/>
      <c r="H46" s="233">
        <f t="shared" si="0"/>
        <v>0</v>
      </c>
      <c r="I46" s="233">
        <v>0</v>
      </c>
      <c r="J46" s="233"/>
      <c r="K46" s="233"/>
      <c r="L46" s="233"/>
      <c r="M46" s="233">
        <f t="shared" si="1"/>
        <v>0</v>
      </c>
      <c r="N46" s="233">
        <v>0</v>
      </c>
      <c r="O46" s="233"/>
      <c r="P46" s="233"/>
      <c r="Q46" s="233"/>
      <c r="R46" s="233">
        <f t="shared" si="2"/>
        <v>0</v>
      </c>
    </row>
    <row r="47" spans="1:18" s="6" customFormat="1" ht="12" hidden="1" customHeight="1">
      <c r="A47" s="132">
        <v>7700</v>
      </c>
      <c r="B47" s="126" t="s">
        <v>114</v>
      </c>
      <c r="C47" s="171">
        <v>0</v>
      </c>
      <c r="D47" s="171">
        <v>0</v>
      </c>
      <c r="E47" s="233"/>
      <c r="F47" s="233"/>
      <c r="G47" s="233"/>
      <c r="H47" s="233">
        <f t="shared" si="0"/>
        <v>0</v>
      </c>
      <c r="I47" s="233">
        <v>0</v>
      </c>
      <c r="J47" s="233"/>
      <c r="K47" s="233"/>
      <c r="L47" s="233"/>
      <c r="M47" s="233">
        <f t="shared" si="1"/>
        <v>0</v>
      </c>
      <c r="N47" s="233">
        <v>0</v>
      </c>
      <c r="O47" s="233"/>
      <c r="P47" s="233"/>
      <c r="Q47" s="233"/>
      <c r="R47" s="233">
        <f t="shared" si="2"/>
        <v>0</v>
      </c>
    </row>
    <row r="48" spans="1:18" s="6" customFormat="1" ht="21" hidden="1" customHeight="1">
      <c r="A48" s="140" t="s">
        <v>185</v>
      </c>
      <c r="B48" s="124" t="s">
        <v>115</v>
      </c>
      <c r="C48" s="171">
        <v>0</v>
      </c>
      <c r="D48" s="171">
        <v>0</v>
      </c>
      <c r="E48" s="233">
        <f>E49+E55+E59+E62</f>
        <v>0</v>
      </c>
      <c r="F48" s="233">
        <f>F49+F55+F59+F62</f>
        <v>0</v>
      </c>
      <c r="G48" s="233">
        <f>G49+G55+G59+G62</f>
        <v>0</v>
      </c>
      <c r="H48" s="233">
        <f t="shared" si="0"/>
        <v>0</v>
      </c>
      <c r="I48" s="233">
        <v>0</v>
      </c>
      <c r="J48" s="233">
        <f>J49+J55+J59+J62</f>
        <v>0</v>
      </c>
      <c r="K48" s="233">
        <f>K49+K55+K59+K62</f>
        <v>0</v>
      </c>
      <c r="L48" s="233">
        <f>L49+L55+L59+L62</f>
        <v>0</v>
      </c>
      <c r="M48" s="233">
        <f t="shared" si="1"/>
        <v>0</v>
      </c>
      <c r="N48" s="233">
        <v>0</v>
      </c>
      <c r="O48" s="233">
        <f>O49+O55+O59+O62</f>
        <v>0</v>
      </c>
      <c r="P48" s="233">
        <f>P49+P55+P59+P62</f>
        <v>0</v>
      </c>
      <c r="Q48" s="233">
        <f>Q49+Q55+Q59+Q62</f>
        <v>0</v>
      </c>
      <c r="R48" s="233">
        <f t="shared" si="2"/>
        <v>0</v>
      </c>
    </row>
    <row r="49" spans="1:18" s="6" customFormat="1" ht="12" hidden="1" customHeight="1">
      <c r="A49" s="132">
        <v>7100</v>
      </c>
      <c r="B49" s="179" t="s">
        <v>116</v>
      </c>
      <c r="C49" s="171">
        <v>0</v>
      </c>
      <c r="D49" s="171">
        <v>0</v>
      </c>
      <c r="E49" s="233">
        <f>E50+E51</f>
        <v>0</v>
      </c>
      <c r="F49" s="233">
        <f>F50+F51</f>
        <v>0</v>
      </c>
      <c r="G49" s="233">
        <f>G50+G51</f>
        <v>0</v>
      </c>
      <c r="H49" s="233">
        <f t="shared" si="0"/>
        <v>0</v>
      </c>
      <c r="I49" s="233">
        <v>0</v>
      </c>
      <c r="J49" s="233">
        <f>J50+J51</f>
        <v>0</v>
      </c>
      <c r="K49" s="233">
        <f>K50+K51</f>
        <v>0</v>
      </c>
      <c r="L49" s="233">
        <f>L50+L51</f>
        <v>0</v>
      </c>
      <c r="M49" s="233">
        <f t="shared" si="1"/>
        <v>0</v>
      </c>
      <c r="N49" s="233">
        <v>0</v>
      </c>
      <c r="O49" s="233">
        <f>O50+O51</f>
        <v>0</v>
      </c>
      <c r="P49" s="233">
        <f>P50+P51</f>
        <v>0</v>
      </c>
      <c r="Q49" s="233">
        <f>Q50+Q51</f>
        <v>0</v>
      </c>
      <c r="R49" s="233">
        <f t="shared" si="2"/>
        <v>0</v>
      </c>
    </row>
    <row r="50" spans="1:18" s="6" customFormat="1" ht="24" hidden="1" customHeight="1">
      <c r="A50" s="133" t="s">
        <v>117</v>
      </c>
      <c r="B50" s="179" t="s">
        <v>118</v>
      </c>
      <c r="C50" s="171"/>
      <c r="D50" s="171">
        <v>0</v>
      </c>
      <c r="E50" s="233"/>
      <c r="F50" s="233"/>
      <c r="G50" s="233"/>
      <c r="H50" s="233">
        <f t="shared" si="0"/>
        <v>0</v>
      </c>
      <c r="I50" s="233">
        <v>0</v>
      </c>
      <c r="J50" s="233"/>
      <c r="K50" s="233"/>
      <c r="L50" s="233"/>
      <c r="M50" s="233">
        <f t="shared" si="1"/>
        <v>0</v>
      </c>
      <c r="N50" s="233">
        <v>0</v>
      </c>
      <c r="O50" s="233"/>
      <c r="P50" s="233"/>
      <c r="Q50" s="233"/>
      <c r="R50" s="233">
        <f t="shared" si="2"/>
        <v>0</v>
      </c>
    </row>
    <row r="51" spans="1:18" s="6" customFormat="1" ht="24" hidden="1" customHeight="1">
      <c r="A51" s="133">
        <v>7130</v>
      </c>
      <c r="B51" s="179" t="s">
        <v>119</v>
      </c>
      <c r="C51" s="171">
        <v>0</v>
      </c>
      <c r="D51" s="171">
        <v>0</v>
      </c>
      <c r="E51" s="233">
        <f>SUM(E52:E54)</f>
        <v>0</v>
      </c>
      <c r="F51" s="233">
        <f>SUM(F52:F54)</f>
        <v>0</v>
      </c>
      <c r="G51" s="233">
        <f>SUM(G52:G54)</f>
        <v>0</v>
      </c>
      <c r="H51" s="233">
        <f t="shared" si="0"/>
        <v>0</v>
      </c>
      <c r="I51" s="233">
        <v>0</v>
      </c>
      <c r="J51" s="233">
        <f>SUM(J52:J54)</f>
        <v>0</v>
      </c>
      <c r="K51" s="233">
        <f>SUM(K52:K54)</f>
        <v>0</v>
      </c>
      <c r="L51" s="233">
        <f>SUM(L52:L54)</f>
        <v>0</v>
      </c>
      <c r="M51" s="233">
        <f t="shared" si="1"/>
        <v>0</v>
      </c>
      <c r="N51" s="233">
        <v>0</v>
      </c>
      <c r="O51" s="233">
        <f>SUM(O52:O54)</f>
        <v>0</v>
      </c>
      <c r="P51" s="233">
        <f>SUM(P52:P54)</f>
        <v>0</v>
      </c>
      <c r="Q51" s="233">
        <f>SUM(Q52:Q54)</f>
        <v>0</v>
      </c>
      <c r="R51" s="233">
        <f t="shared" si="2"/>
        <v>0</v>
      </c>
    </row>
    <row r="52" spans="1:18" s="6" customFormat="1" ht="36" hidden="1" customHeight="1">
      <c r="A52" s="134">
        <v>7131</v>
      </c>
      <c r="B52" s="179" t="s">
        <v>120</v>
      </c>
      <c r="C52" s="171"/>
      <c r="D52" s="171">
        <v>0</v>
      </c>
      <c r="E52" s="233"/>
      <c r="F52" s="233"/>
      <c r="G52" s="233"/>
      <c r="H52" s="233">
        <f t="shared" si="0"/>
        <v>0</v>
      </c>
      <c r="I52" s="233">
        <v>0</v>
      </c>
      <c r="J52" s="233"/>
      <c r="K52" s="233"/>
      <c r="L52" s="233"/>
      <c r="M52" s="233">
        <f t="shared" si="1"/>
        <v>0</v>
      </c>
      <c r="N52" s="233">
        <v>0</v>
      </c>
      <c r="O52" s="233"/>
      <c r="P52" s="233"/>
      <c r="Q52" s="233"/>
      <c r="R52" s="233">
        <f t="shared" si="2"/>
        <v>0</v>
      </c>
    </row>
    <row r="53" spans="1:18" s="6" customFormat="1" ht="36" hidden="1" customHeight="1">
      <c r="A53" s="134">
        <v>7132</v>
      </c>
      <c r="B53" s="179" t="s">
        <v>121</v>
      </c>
      <c r="C53" s="171"/>
      <c r="D53" s="171">
        <v>0</v>
      </c>
      <c r="E53" s="233"/>
      <c r="F53" s="233"/>
      <c r="G53" s="233"/>
      <c r="H53" s="233">
        <f t="shared" si="0"/>
        <v>0</v>
      </c>
      <c r="I53" s="233">
        <v>0</v>
      </c>
      <c r="J53" s="233"/>
      <c r="K53" s="233"/>
      <c r="L53" s="233"/>
      <c r="M53" s="233">
        <f t="shared" si="1"/>
        <v>0</v>
      </c>
      <c r="N53" s="233">
        <v>0</v>
      </c>
      <c r="O53" s="233"/>
      <c r="P53" s="233"/>
      <c r="Q53" s="233"/>
      <c r="R53" s="233">
        <f t="shared" si="2"/>
        <v>0</v>
      </c>
    </row>
    <row r="54" spans="1:18" s="6" customFormat="1" ht="36" hidden="1" customHeight="1">
      <c r="A54" s="134" t="s">
        <v>186</v>
      </c>
      <c r="B54" s="179" t="s">
        <v>187</v>
      </c>
      <c r="C54" s="171"/>
      <c r="D54" s="171">
        <v>0</v>
      </c>
      <c r="E54" s="233"/>
      <c r="F54" s="233"/>
      <c r="G54" s="233"/>
      <c r="H54" s="233">
        <f t="shared" si="0"/>
        <v>0</v>
      </c>
      <c r="I54" s="233">
        <v>0</v>
      </c>
      <c r="J54" s="233"/>
      <c r="K54" s="233"/>
      <c r="L54" s="233"/>
      <c r="M54" s="233">
        <f t="shared" si="1"/>
        <v>0</v>
      </c>
      <c r="N54" s="233">
        <v>0</v>
      </c>
      <c r="O54" s="233"/>
      <c r="P54" s="233"/>
      <c r="Q54" s="233"/>
      <c r="R54" s="233">
        <f t="shared" si="2"/>
        <v>0</v>
      </c>
    </row>
    <row r="55" spans="1:18" s="6" customFormat="1" ht="24" hidden="1" customHeight="1">
      <c r="A55" s="132">
        <v>7300</v>
      </c>
      <c r="B55" s="172" t="s">
        <v>155</v>
      </c>
      <c r="C55" s="171">
        <v>0</v>
      </c>
      <c r="D55" s="171">
        <v>0</v>
      </c>
      <c r="E55" s="233">
        <f>SUM(E56:E58)</f>
        <v>0</v>
      </c>
      <c r="F55" s="233">
        <f>SUM(F56:F58)</f>
        <v>0</v>
      </c>
      <c r="G55" s="233">
        <f>SUM(G56:G58)</f>
        <v>0</v>
      </c>
      <c r="H55" s="233">
        <f t="shared" si="0"/>
        <v>0</v>
      </c>
      <c r="I55" s="233">
        <v>0</v>
      </c>
      <c r="J55" s="233">
        <f>SUM(J56:J58)</f>
        <v>0</v>
      </c>
      <c r="K55" s="233">
        <f>SUM(K56:K58)</f>
        <v>0</v>
      </c>
      <c r="L55" s="233">
        <f>SUM(L56:L58)</f>
        <v>0</v>
      </c>
      <c r="M55" s="233">
        <f t="shared" si="1"/>
        <v>0</v>
      </c>
      <c r="N55" s="233">
        <v>0</v>
      </c>
      <c r="O55" s="233">
        <f>SUM(O56:O58)</f>
        <v>0</v>
      </c>
      <c r="P55" s="233">
        <f>SUM(P56:P58)</f>
        <v>0</v>
      </c>
      <c r="Q55" s="233">
        <f>SUM(Q56:Q58)</f>
        <v>0</v>
      </c>
      <c r="R55" s="233">
        <f t="shared" si="2"/>
        <v>0</v>
      </c>
    </row>
    <row r="56" spans="1:18" s="6" customFormat="1" ht="24" hidden="1" customHeight="1">
      <c r="A56" s="133" t="s">
        <v>188</v>
      </c>
      <c r="B56" s="179" t="s">
        <v>170</v>
      </c>
      <c r="C56" s="180"/>
      <c r="D56" s="180">
        <v>0</v>
      </c>
      <c r="E56" s="252"/>
      <c r="F56" s="252"/>
      <c r="G56" s="252"/>
      <c r="H56" s="233">
        <f t="shared" si="0"/>
        <v>0</v>
      </c>
      <c r="I56" s="252">
        <v>0</v>
      </c>
      <c r="J56" s="252"/>
      <c r="K56" s="252"/>
      <c r="L56" s="252"/>
      <c r="M56" s="233">
        <f t="shared" si="1"/>
        <v>0</v>
      </c>
      <c r="N56" s="252">
        <v>0</v>
      </c>
      <c r="O56" s="252"/>
      <c r="P56" s="252"/>
      <c r="Q56" s="252"/>
      <c r="R56" s="233">
        <f t="shared" si="2"/>
        <v>0</v>
      </c>
    </row>
    <row r="57" spans="1:18" s="29" customFormat="1" ht="48" hidden="1" customHeight="1">
      <c r="A57" s="133" t="s">
        <v>189</v>
      </c>
      <c r="B57" s="179" t="s">
        <v>156</v>
      </c>
      <c r="C57" s="180"/>
      <c r="D57" s="180">
        <v>0</v>
      </c>
      <c r="E57" s="252"/>
      <c r="F57" s="252"/>
      <c r="G57" s="252"/>
      <c r="H57" s="233">
        <f t="shared" si="0"/>
        <v>0</v>
      </c>
      <c r="I57" s="252">
        <v>0</v>
      </c>
      <c r="J57" s="252"/>
      <c r="K57" s="252"/>
      <c r="L57" s="252"/>
      <c r="M57" s="233">
        <f t="shared" si="1"/>
        <v>0</v>
      </c>
      <c r="N57" s="252">
        <v>0</v>
      </c>
      <c r="O57" s="252"/>
      <c r="P57" s="252"/>
      <c r="Q57" s="252"/>
      <c r="R57" s="233">
        <f t="shared" si="2"/>
        <v>0</v>
      </c>
    </row>
    <row r="58" spans="1:18" s="89" customFormat="1" ht="36" hidden="1" customHeight="1">
      <c r="A58" s="133">
        <v>7350</v>
      </c>
      <c r="B58" s="179" t="s">
        <v>163</v>
      </c>
      <c r="C58" s="180"/>
      <c r="D58" s="180">
        <v>0</v>
      </c>
      <c r="E58" s="252"/>
      <c r="F58" s="252"/>
      <c r="G58" s="252"/>
      <c r="H58" s="233">
        <f t="shared" si="0"/>
        <v>0</v>
      </c>
      <c r="I58" s="252">
        <v>0</v>
      </c>
      <c r="J58" s="252"/>
      <c r="K58" s="252"/>
      <c r="L58" s="252"/>
      <c r="M58" s="233">
        <f t="shared" si="1"/>
        <v>0</v>
      </c>
      <c r="N58" s="252">
        <v>0</v>
      </c>
      <c r="O58" s="252"/>
      <c r="P58" s="252"/>
      <c r="Q58" s="252"/>
      <c r="R58" s="233">
        <f t="shared" si="2"/>
        <v>0</v>
      </c>
    </row>
    <row r="59" spans="1:18" s="89" customFormat="1" ht="24" hidden="1" customHeight="1">
      <c r="A59" s="132">
        <v>7400</v>
      </c>
      <c r="B59" s="172" t="s">
        <v>161</v>
      </c>
      <c r="C59" s="171">
        <v>0</v>
      </c>
      <c r="D59" s="171">
        <v>0</v>
      </c>
      <c r="E59" s="233">
        <f>SUM(E60:E61)</f>
        <v>0</v>
      </c>
      <c r="F59" s="233">
        <f>SUM(F60:F61)</f>
        <v>0</v>
      </c>
      <c r="G59" s="233">
        <f>SUM(G60:G61)</f>
        <v>0</v>
      </c>
      <c r="H59" s="233">
        <f t="shared" si="0"/>
        <v>0</v>
      </c>
      <c r="I59" s="233">
        <v>0</v>
      </c>
      <c r="J59" s="233">
        <f>SUM(J60:J61)</f>
        <v>0</v>
      </c>
      <c r="K59" s="233">
        <f>SUM(K60:K61)</f>
        <v>0</v>
      </c>
      <c r="L59" s="233">
        <f>SUM(L60:L61)</f>
        <v>0</v>
      </c>
      <c r="M59" s="233">
        <f t="shared" si="1"/>
        <v>0</v>
      </c>
      <c r="N59" s="233">
        <v>0</v>
      </c>
      <c r="O59" s="233">
        <f>SUM(O60:O61)</f>
        <v>0</v>
      </c>
      <c r="P59" s="233">
        <f>SUM(P60:P61)</f>
        <v>0</v>
      </c>
      <c r="Q59" s="233">
        <f>SUM(Q60:Q61)</f>
        <v>0</v>
      </c>
      <c r="R59" s="233">
        <f t="shared" si="2"/>
        <v>0</v>
      </c>
    </row>
    <row r="60" spans="1:18" s="89" customFormat="1" ht="24" hidden="1" customHeight="1">
      <c r="A60" s="133">
        <v>7460</v>
      </c>
      <c r="B60" s="172" t="s">
        <v>162</v>
      </c>
      <c r="C60" s="180"/>
      <c r="D60" s="180">
        <v>0</v>
      </c>
      <c r="E60" s="252"/>
      <c r="F60" s="252"/>
      <c r="G60" s="252"/>
      <c r="H60" s="233">
        <f t="shared" si="0"/>
        <v>0</v>
      </c>
      <c r="I60" s="252">
        <v>0</v>
      </c>
      <c r="J60" s="252"/>
      <c r="K60" s="252"/>
      <c r="L60" s="252"/>
      <c r="M60" s="233">
        <f t="shared" si="1"/>
        <v>0</v>
      </c>
      <c r="N60" s="252">
        <v>0</v>
      </c>
      <c r="O60" s="252"/>
      <c r="P60" s="252"/>
      <c r="Q60" s="252"/>
      <c r="R60" s="233">
        <f t="shared" si="2"/>
        <v>0</v>
      </c>
    </row>
    <row r="61" spans="1:18" s="89" customFormat="1" ht="48" hidden="1" customHeight="1">
      <c r="A61" s="133">
        <v>7470</v>
      </c>
      <c r="B61" s="179" t="s">
        <v>167</v>
      </c>
      <c r="C61" s="180"/>
      <c r="D61" s="180">
        <v>0</v>
      </c>
      <c r="E61" s="252"/>
      <c r="F61" s="252"/>
      <c r="G61" s="252"/>
      <c r="H61" s="233">
        <f t="shared" si="0"/>
        <v>0</v>
      </c>
      <c r="I61" s="252">
        <v>0</v>
      </c>
      <c r="J61" s="252"/>
      <c r="K61" s="252"/>
      <c r="L61" s="252"/>
      <c r="M61" s="233">
        <f t="shared" si="1"/>
        <v>0</v>
      </c>
      <c r="N61" s="252">
        <v>0</v>
      </c>
      <c r="O61" s="252"/>
      <c r="P61" s="252"/>
      <c r="Q61" s="252"/>
      <c r="R61" s="233">
        <f t="shared" si="2"/>
        <v>0</v>
      </c>
    </row>
    <row r="62" spans="1:18" s="89" customFormat="1" ht="24" hidden="1" customHeight="1">
      <c r="A62" s="132">
        <v>7500</v>
      </c>
      <c r="B62" s="179" t="s">
        <v>157</v>
      </c>
      <c r="C62" s="171"/>
      <c r="D62" s="171">
        <v>0</v>
      </c>
      <c r="E62" s="233"/>
      <c r="F62" s="233"/>
      <c r="G62" s="233"/>
      <c r="H62" s="233">
        <f t="shared" si="0"/>
        <v>0</v>
      </c>
      <c r="I62" s="233">
        <v>0</v>
      </c>
      <c r="J62" s="233"/>
      <c r="K62" s="233"/>
      <c r="L62" s="233"/>
      <c r="M62" s="233">
        <f t="shared" si="1"/>
        <v>0</v>
      </c>
      <c r="N62" s="233">
        <v>0</v>
      </c>
      <c r="O62" s="233"/>
      <c r="P62" s="233"/>
      <c r="Q62" s="233"/>
      <c r="R62" s="233">
        <f t="shared" si="2"/>
        <v>0</v>
      </c>
    </row>
    <row r="63" spans="1:18" s="89" customFormat="1" ht="12">
      <c r="A63" s="140" t="s">
        <v>133</v>
      </c>
      <c r="B63" s="124" t="s">
        <v>122</v>
      </c>
      <c r="C63" s="181">
        <v>8356</v>
      </c>
      <c r="D63" s="181">
        <v>0</v>
      </c>
      <c r="E63" s="254">
        <f>E64+E65</f>
        <v>0</v>
      </c>
      <c r="F63" s="254">
        <f>F64+F65</f>
        <v>0</v>
      </c>
      <c r="G63" s="254">
        <f>G64+G65</f>
        <v>0</v>
      </c>
      <c r="H63" s="233">
        <f t="shared" si="0"/>
        <v>0</v>
      </c>
      <c r="I63" s="254">
        <v>0</v>
      </c>
      <c r="J63" s="254">
        <f>J64+J65</f>
        <v>0</v>
      </c>
      <c r="K63" s="254">
        <f>K64+K65</f>
        <v>0</v>
      </c>
      <c r="L63" s="254">
        <f>L64+L65</f>
        <v>0</v>
      </c>
      <c r="M63" s="233">
        <f t="shared" si="1"/>
        <v>0</v>
      </c>
      <c r="N63" s="254">
        <v>0</v>
      </c>
      <c r="O63" s="254">
        <f>O64+O65</f>
        <v>0</v>
      </c>
      <c r="P63" s="254">
        <f>P64+P65</f>
        <v>0</v>
      </c>
      <c r="Q63" s="254">
        <f>Q64+Q65</f>
        <v>0</v>
      </c>
      <c r="R63" s="233">
        <f t="shared" si="2"/>
        <v>0</v>
      </c>
    </row>
    <row r="64" spans="1:18" s="89" customFormat="1" ht="12">
      <c r="A64" s="140">
        <v>5000</v>
      </c>
      <c r="B64" s="124" t="s">
        <v>123</v>
      </c>
      <c r="C64" s="171">
        <v>8356</v>
      </c>
      <c r="D64" s="171">
        <v>0</v>
      </c>
      <c r="E64" s="233"/>
      <c r="F64" s="233"/>
      <c r="G64" s="233"/>
      <c r="H64" s="233">
        <f t="shared" si="0"/>
        <v>0</v>
      </c>
      <c r="I64" s="233">
        <v>0</v>
      </c>
      <c r="J64" s="233"/>
      <c r="K64" s="233"/>
      <c r="L64" s="233"/>
      <c r="M64" s="233">
        <f t="shared" si="1"/>
        <v>0</v>
      </c>
      <c r="N64" s="233">
        <v>0</v>
      </c>
      <c r="O64" s="233"/>
      <c r="P64" s="233"/>
      <c r="Q64" s="233"/>
      <c r="R64" s="233">
        <f t="shared" si="2"/>
        <v>0</v>
      </c>
    </row>
    <row r="65" spans="1:18" s="89" customFormat="1" ht="12" hidden="1" customHeight="1">
      <c r="A65" s="140">
        <v>9000</v>
      </c>
      <c r="B65" s="182" t="s">
        <v>164</v>
      </c>
      <c r="C65" s="171">
        <v>0</v>
      </c>
      <c r="D65" s="171">
        <v>0</v>
      </c>
      <c r="E65" s="233">
        <f>E66+E72+E76+E79</f>
        <v>0</v>
      </c>
      <c r="F65" s="233">
        <f>F66+F72+F76+F79</f>
        <v>0</v>
      </c>
      <c r="G65" s="233">
        <f>G66+G72+G76+G79</f>
        <v>0</v>
      </c>
      <c r="H65" s="233">
        <f t="shared" si="0"/>
        <v>0</v>
      </c>
      <c r="I65" s="233">
        <v>0</v>
      </c>
      <c r="J65" s="233">
        <f>J66+J72+J76+J79</f>
        <v>0</v>
      </c>
      <c r="K65" s="233">
        <f>K66+K72+K76+K79</f>
        <v>0</v>
      </c>
      <c r="L65" s="233">
        <f>L66+L72+L76+L79</f>
        <v>0</v>
      </c>
      <c r="M65" s="233">
        <f t="shared" si="1"/>
        <v>0</v>
      </c>
      <c r="N65" s="233">
        <v>0</v>
      </c>
      <c r="O65" s="233">
        <f>O66+O72+O76+O79</f>
        <v>0</v>
      </c>
      <c r="P65" s="233">
        <f>P66+P72+P76+P79</f>
        <v>0</v>
      </c>
      <c r="Q65" s="233">
        <f>Q66+Q72+Q76+Q79</f>
        <v>0</v>
      </c>
      <c r="R65" s="233">
        <f t="shared" si="2"/>
        <v>0</v>
      </c>
    </row>
    <row r="66" spans="1:18" s="89" customFormat="1" ht="12" hidden="1" customHeight="1">
      <c r="A66" s="141">
        <v>9100</v>
      </c>
      <c r="B66" s="179" t="s">
        <v>124</v>
      </c>
      <c r="C66" s="171">
        <v>0</v>
      </c>
      <c r="D66" s="171">
        <v>0</v>
      </c>
      <c r="E66" s="233">
        <f>SUM(E67:E68)</f>
        <v>0</v>
      </c>
      <c r="F66" s="233">
        <f>SUM(F67:F68)</f>
        <v>0</v>
      </c>
      <c r="G66" s="233">
        <f>SUM(G67:G68)</f>
        <v>0</v>
      </c>
      <c r="H66" s="233">
        <f t="shared" si="0"/>
        <v>0</v>
      </c>
      <c r="I66" s="233">
        <v>0</v>
      </c>
      <c r="J66" s="233">
        <f>SUM(J67:J68)</f>
        <v>0</v>
      </c>
      <c r="K66" s="233">
        <f>SUM(K67:K68)</f>
        <v>0</v>
      </c>
      <c r="L66" s="233">
        <f>SUM(L67:L68)</f>
        <v>0</v>
      </c>
      <c r="M66" s="233">
        <f t="shared" si="1"/>
        <v>0</v>
      </c>
      <c r="N66" s="233">
        <v>0</v>
      </c>
      <c r="O66" s="233">
        <f>SUM(O67:O68)</f>
        <v>0</v>
      </c>
      <c r="P66" s="233">
        <f>SUM(P67:P68)</f>
        <v>0</v>
      </c>
      <c r="Q66" s="233">
        <f>SUM(Q67:Q68)</f>
        <v>0</v>
      </c>
      <c r="R66" s="233">
        <f t="shared" si="2"/>
        <v>0</v>
      </c>
    </row>
    <row r="67" spans="1:18" s="89" customFormat="1" ht="24" hidden="1" customHeight="1">
      <c r="A67" s="133" t="s">
        <v>125</v>
      </c>
      <c r="B67" s="179" t="s">
        <v>214</v>
      </c>
      <c r="C67" s="171"/>
      <c r="D67" s="171">
        <v>0</v>
      </c>
      <c r="E67" s="233"/>
      <c r="F67" s="233"/>
      <c r="G67" s="233"/>
      <c r="H67" s="233">
        <f t="shared" si="0"/>
        <v>0</v>
      </c>
      <c r="I67" s="233">
        <v>0</v>
      </c>
      <c r="J67" s="233"/>
      <c r="K67" s="233"/>
      <c r="L67" s="233"/>
      <c r="M67" s="233">
        <f t="shared" si="1"/>
        <v>0</v>
      </c>
      <c r="N67" s="233">
        <v>0</v>
      </c>
      <c r="O67" s="233"/>
      <c r="P67" s="233"/>
      <c r="Q67" s="233"/>
      <c r="R67" s="233">
        <f t="shared" si="2"/>
        <v>0</v>
      </c>
    </row>
    <row r="68" spans="1:18" s="89" customFormat="1" ht="24" hidden="1" customHeight="1">
      <c r="A68" s="133">
        <v>9140</v>
      </c>
      <c r="B68" s="179" t="s">
        <v>215</v>
      </c>
      <c r="C68" s="171">
        <v>0</v>
      </c>
      <c r="D68" s="171">
        <v>0</v>
      </c>
      <c r="E68" s="233">
        <f>SUM(E69:E71)</f>
        <v>0</v>
      </c>
      <c r="F68" s="233">
        <f>SUM(F69:F71)</f>
        <v>0</v>
      </c>
      <c r="G68" s="233">
        <f>SUM(G69:G71)</f>
        <v>0</v>
      </c>
      <c r="H68" s="233">
        <f t="shared" si="0"/>
        <v>0</v>
      </c>
      <c r="I68" s="233">
        <v>0</v>
      </c>
      <c r="J68" s="233">
        <f>SUM(J69:J71)</f>
        <v>0</v>
      </c>
      <c r="K68" s="233">
        <f>SUM(K69:K71)</f>
        <v>0</v>
      </c>
      <c r="L68" s="233">
        <f>SUM(L69:L71)</f>
        <v>0</v>
      </c>
      <c r="M68" s="233">
        <f t="shared" si="1"/>
        <v>0</v>
      </c>
      <c r="N68" s="233">
        <v>0</v>
      </c>
      <c r="O68" s="233">
        <f>SUM(O69:O71)</f>
        <v>0</v>
      </c>
      <c r="P68" s="233">
        <f>SUM(P69:P71)</f>
        <v>0</v>
      </c>
      <c r="Q68" s="233">
        <f>SUM(Q69:Q71)</f>
        <v>0</v>
      </c>
      <c r="R68" s="233">
        <f t="shared" si="2"/>
        <v>0</v>
      </c>
    </row>
    <row r="69" spans="1:18" s="89" customFormat="1" ht="36" hidden="1" customHeight="1">
      <c r="A69" s="134">
        <v>9141</v>
      </c>
      <c r="B69" s="172" t="s">
        <v>190</v>
      </c>
      <c r="C69" s="180"/>
      <c r="D69" s="180">
        <v>0</v>
      </c>
      <c r="E69" s="252"/>
      <c r="F69" s="252"/>
      <c r="G69" s="252"/>
      <c r="H69" s="233">
        <f t="shared" si="0"/>
        <v>0</v>
      </c>
      <c r="I69" s="252">
        <v>0</v>
      </c>
      <c r="J69" s="252"/>
      <c r="K69" s="252"/>
      <c r="L69" s="252"/>
      <c r="M69" s="233">
        <f t="shared" si="1"/>
        <v>0</v>
      </c>
      <c r="N69" s="252">
        <v>0</v>
      </c>
      <c r="O69" s="252"/>
      <c r="P69" s="252"/>
      <c r="Q69" s="252"/>
      <c r="R69" s="233">
        <f t="shared" si="2"/>
        <v>0</v>
      </c>
    </row>
    <row r="70" spans="1:18" s="89" customFormat="1" ht="36" hidden="1" customHeight="1">
      <c r="A70" s="134">
        <v>9142</v>
      </c>
      <c r="B70" s="172" t="s">
        <v>191</v>
      </c>
      <c r="C70" s="180"/>
      <c r="D70" s="180">
        <v>0</v>
      </c>
      <c r="E70" s="252"/>
      <c r="F70" s="252"/>
      <c r="G70" s="252"/>
      <c r="H70" s="233">
        <f t="shared" si="0"/>
        <v>0</v>
      </c>
      <c r="I70" s="252">
        <v>0</v>
      </c>
      <c r="J70" s="252"/>
      <c r="K70" s="252"/>
      <c r="L70" s="252"/>
      <c r="M70" s="233">
        <f t="shared" si="1"/>
        <v>0</v>
      </c>
      <c r="N70" s="252">
        <v>0</v>
      </c>
      <c r="O70" s="252"/>
      <c r="P70" s="252"/>
      <c r="Q70" s="252"/>
      <c r="R70" s="233">
        <f t="shared" si="2"/>
        <v>0</v>
      </c>
    </row>
    <row r="71" spans="1:18" s="89" customFormat="1" ht="24" hidden="1" customHeight="1">
      <c r="A71" s="134">
        <v>9149</v>
      </c>
      <c r="B71" s="172" t="s">
        <v>192</v>
      </c>
      <c r="C71" s="180"/>
      <c r="D71" s="180">
        <v>0</v>
      </c>
      <c r="E71" s="252"/>
      <c r="F71" s="252"/>
      <c r="G71" s="252"/>
      <c r="H71" s="233">
        <f t="shared" si="0"/>
        <v>0</v>
      </c>
      <c r="I71" s="252">
        <v>0</v>
      </c>
      <c r="J71" s="252"/>
      <c r="K71" s="252"/>
      <c r="L71" s="252"/>
      <c r="M71" s="233">
        <f t="shared" si="1"/>
        <v>0</v>
      </c>
      <c r="N71" s="252">
        <v>0</v>
      </c>
      <c r="O71" s="252"/>
      <c r="P71" s="252"/>
      <c r="Q71" s="252"/>
      <c r="R71" s="233">
        <f t="shared" si="2"/>
        <v>0</v>
      </c>
    </row>
    <row r="72" spans="1:18" s="29" customFormat="1" ht="24" hidden="1" customHeight="1">
      <c r="A72" s="141">
        <v>9500</v>
      </c>
      <c r="B72" s="172" t="s">
        <v>165</v>
      </c>
      <c r="C72" s="171">
        <v>0</v>
      </c>
      <c r="D72" s="171">
        <v>0</v>
      </c>
      <c r="E72" s="233">
        <f>SUM(E73:E75)</f>
        <v>0</v>
      </c>
      <c r="F72" s="233">
        <f>SUM(F73:F75)</f>
        <v>0</v>
      </c>
      <c r="G72" s="233">
        <f>SUM(G73:G75)</f>
        <v>0</v>
      </c>
      <c r="H72" s="233">
        <f t="shared" si="0"/>
        <v>0</v>
      </c>
      <c r="I72" s="233">
        <v>0</v>
      </c>
      <c r="J72" s="233">
        <f>SUM(J73:J75)</f>
        <v>0</v>
      </c>
      <c r="K72" s="233">
        <f>SUM(K73:K75)</f>
        <v>0</v>
      </c>
      <c r="L72" s="233">
        <f>SUM(L73:L75)</f>
        <v>0</v>
      </c>
      <c r="M72" s="233">
        <f t="shared" si="1"/>
        <v>0</v>
      </c>
      <c r="N72" s="233">
        <v>0</v>
      </c>
      <c r="O72" s="233">
        <f>SUM(O73:O75)</f>
        <v>0</v>
      </c>
      <c r="P72" s="233">
        <f>SUM(P73:P75)</f>
        <v>0</v>
      </c>
      <c r="Q72" s="233">
        <f>SUM(Q73:Q75)</f>
        <v>0</v>
      </c>
      <c r="R72" s="233">
        <f t="shared" si="2"/>
        <v>0</v>
      </c>
    </row>
    <row r="73" spans="1:18" s="29" customFormat="1" ht="24" hidden="1" customHeight="1">
      <c r="A73" s="133" t="s">
        <v>193</v>
      </c>
      <c r="B73" s="172" t="s">
        <v>171</v>
      </c>
      <c r="C73" s="171"/>
      <c r="D73" s="171">
        <v>0</v>
      </c>
      <c r="E73" s="233"/>
      <c r="F73" s="233"/>
      <c r="G73" s="233"/>
      <c r="H73" s="233">
        <f t="shared" si="0"/>
        <v>0</v>
      </c>
      <c r="I73" s="233">
        <v>0</v>
      </c>
      <c r="J73" s="233"/>
      <c r="K73" s="233"/>
      <c r="L73" s="233"/>
      <c r="M73" s="233">
        <f t="shared" si="1"/>
        <v>0</v>
      </c>
      <c r="N73" s="233">
        <v>0</v>
      </c>
      <c r="O73" s="233"/>
      <c r="P73" s="233"/>
      <c r="Q73" s="233"/>
      <c r="R73" s="233">
        <f t="shared" si="2"/>
        <v>0</v>
      </c>
    </row>
    <row r="74" spans="1:18" s="28" customFormat="1" ht="48" hidden="1" customHeight="1">
      <c r="A74" s="133">
        <v>9580</v>
      </c>
      <c r="B74" s="172" t="s">
        <v>166</v>
      </c>
      <c r="C74" s="180"/>
      <c r="D74" s="180">
        <v>0</v>
      </c>
      <c r="E74" s="252"/>
      <c r="F74" s="252"/>
      <c r="G74" s="252"/>
      <c r="H74" s="233">
        <f t="shared" ref="H74:H137" si="7">SUM(D74:G74)</f>
        <v>0</v>
      </c>
      <c r="I74" s="252">
        <v>0</v>
      </c>
      <c r="J74" s="252"/>
      <c r="K74" s="252"/>
      <c r="L74" s="252"/>
      <c r="M74" s="233">
        <f t="shared" ref="M74:M137" si="8">SUM(I74:L74)</f>
        <v>0</v>
      </c>
      <c r="N74" s="252">
        <v>0</v>
      </c>
      <c r="O74" s="252"/>
      <c r="P74" s="252"/>
      <c r="Q74" s="252"/>
      <c r="R74" s="233">
        <f t="shared" ref="R74:R137" si="9">SUM(N74:Q74)</f>
        <v>0</v>
      </c>
    </row>
    <row r="75" spans="1:18" s="4" customFormat="1" ht="48" hidden="1" customHeight="1">
      <c r="A75" s="133">
        <v>9590</v>
      </c>
      <c r="B75" s="179" t="s">
        <v>172</v>
      </c>
      <c r="C75" s="180"/>
      <c r="D75" s="180">
        <v>0</v>
      </c>
      <c r="E75" s="252"/>
      <c r="F75" s="252"/>
      <c r="G75" s="252"/>
      <c r="H75" s="233">
        <f t="shared" si="7"/>
        <v>0</v>
      </c>
      <c r="I75" s="252">
        <v>0</v>
      </c>
      <c r="J75" s="252"/>
      <c r="K75" s="252"/>
      <c r="L75" s="252"/>
      <c r="M75" s="233">
        <f t="shared" si="8"/>
        <v>0</v>
      </c>
      <c r="N75" s="252">
        <v>0</v>
      </c>
      <c r="O75" s="252"/>
      <c r="P75" s="252"/>
      <c r="Q75" s="252"/>
      <c r="R75" s="233">
        <f t="shared" si="9"/>
        <v>0</v>
      </c>
    </row>
    <row r="76" spans="1:18" ht="24" hidden="1" customHeight="1">
      <c r="A76" s="141">
        <v>9700</v>
      </c>
      <c r="B76" s="183" t="s">
        <v>194</v>
      </c>
      <c r="C76" s="171">
        <v>0</v>
      </c>
      <c r="D76" s="171">
        <v>0</v>
      </c>
      <c r="E76" s="233">
        <f>SUM(E77:E78)</f>
        <v>0</v>
      </c>
      <c r="F76" s="233">
        <f>SUM(F77:F78)</f>
        <v>0</v>
      </c>
      <c r="G76" s="233">
        <f>SUM(G77:G78)</f>
        <v>0</v>
      </c>
      <c r="H76" s="233">
        <f t="shared" si="7"/>
        <v>0</v>
      </c>
      <c r="I76" s="233">
        <v>0</v>
      </c>
      <c r="J76" s="233">
        <f>SUM(J77:J78)</f>
        <v>0</v>
      </c>
      <c r="K76" s="233">
        <f>SUM(K77:K78)</f>
        <v>0</v>
      </c>
      <c r="L76" s="233">
        <f>SUM(L77:L78)</f>
        <v>0</v>
      </c>
      <c r="M76" s="233">
        <f t="shared" si="8"/>
        <v>0</v>
      </c>
      <c r="N76" s="233">
        <v>0</v>
      </c>
      <c r="O76" s="233">
        <f>SUM(O77:O78)</f>
        <v>0</v>
      </c>
      <c r="P76" s="233">
        <f>SUM(P77:P78)</f>
        <v>0</v>
      </c>
      <c r="Q76" s="233">
        <f>SUM(Q77:Q78)</f>
        <v>0</v>
      </c>
      <c r="R76" s="233">
        <f t="shared" si="9"/>
        <v>0</v>
      </c>
    </row>
    <row r="77" spans="1:18" ht="24" hidden="1" customHeight="1">
      <c r="A77" s="133">
        <v>9710</v>
      </c>
      <c r="B77" s="184" t="s">
        <v>195</v>
      </c>
      <c r="C77" s="180"/>
      <c r="D77" s="180">
        <v>0</v>
      </c>
      <c r="E77" s="252"/>
      <c r="F77" s="252"/>
      <c r="G77" s="252"/>
      <c r="H77" s="233">
        <f t="shared" si="7"/>
        <v>0</v>
      </c>
      <c r="I77" s="252">
        <v>0</v>
      </c>
      <c r="J77" s="252"/>
      <c r="K77" s="252"/>
      <c r="L77" s="252"/>
      <c r="M77" s="233">
        <f t="shared" si="8"/>
        <v>0</v>
      </c>
      <c r="N77" s="252">
        <v>0</v>
      </c>
      <c r="O77" s="252"/>
      <c r="P77" s="252"/>
      <c r="Q77" s="252"/>
      <c r="R77" s="233">
        <f t="shared" si="9"/>
        <v>0</v>
      </c>
    </row>
    <row r="78" spans="1:18" ht="48" hidden="1" customHeight="1">
      <c r="A78" s="142">
        <v>9720</v>
      </c>
      <c r="B78" s="183" t="s">
        <v>196</v>
      </c>
      <c r="C78" s="180"/>
      <c r="D78" s="180">
        <v>0</v>
      </c>
      <c r="E78" s="252"/>
      <c r="F78" s="252"/>
      <c r="G78" s="252"/>
      <c r="H78" s="233">
        <f t="shared" si="7"/>
        <v>0</v>
      </c>
      <c r="I78" s="252">
        <v>0</v>
      </c>
      <c r="J78" s="252"/>
      <c r="K78" s="252"/>
      <c r="L78" s="252"/>
      <c r="M78" s="233">
        <f t="shared" si="8"/>
        <v>0</v>
      </c>
      <c r="N78" s="252">
        <v>0</v>
      </c>
      <c r="O78" s="252"/>
      <c r="P78" s="252"/>
      <c r="Q78" s="252"/>
      <c r="R78" s="233">
        <f t="shared" si="9"/>
        <v>0</v>
      </c>
    </row>
    <row r="79" spans="1:18" ht="24" hidden="1" customHeight="1">
      <c r="A79" s="141">
        <v>9600</v>
      </c>
      <c r="B79" s="179" t="s">
        <v>134</v>
      </c>
      <c r="C79" s="180"/>
      <c r="D79" s="180">
        <v>0</v>
      </c>
      <c r="E79" s="252"/>
      <c r="F79" s="252"/>
      <c r="G79" s="252"/>
      <c r="H79" s="233">
        <f t="shared" si="7"/>
        <v>0</v>
      </c>
      <c r="I79" s="252">
        <v>0</v>
      </c>
      <c r="J79" s="252"/>
      <c r="K79" s="252"/>
      <c r="L79" s="252"/>
      <c r="M79" s="233">
        <f t="shared" si="8"/>
        <v>0</v>
      </c>
      <c r="N79" s="252">
        <v>0</v>
      </c>
      <c r="O79" s="252"/>
      <c r="P79" s="252"/>
      <c r="Q79" s="252"/>
      <c r="R79" s="233">
        <f t="shared" si="9"/>
        <v>0</v>
      </c>
    </row>
    <row r="80" spans="1:18" ht="52.5" hidden="1" customHeight="1">
      <c r="A80" s="130" t="s">
        <v>197</v>
      </c>
      <c r="B80" s="185" t="s">
        <v>47</v>
      </c>
      <c r="C80" s="186"/>
      <c r="D80" s="186">
        <v>0</v>
      </c>
      <c r="E80" s="262">
        <f>E10-E35</f>
        <v>0</v>
      </c>
      <c r="F80" s="262">
        <f>F10-F35</f>
        <v>0</v>
      </c>
      <c r="G80" s="262">
        <f>G10-G35</f>
        <v>0</v>
      </c>
      <c r="H80" s="233">
        <f t="shared" si="7"/>
        <v>0</v>
      </c>
      <c r="I80" s="262">
        <v>0</v>
      </c>
      <c r="J80" s="262">
        <f>J10-J35</f>
        <v>0</v>
      </c>
      <c r="K80" s="262">
        <f>K10-K35</f>
        <v>0</v>
      </c>
      <c r="L80" s="262">
        <f>L10-L35</f>
        <v>0</v>
      </c>
      <c r="M80" s="233">
        <f t="shared" si="8"/>
        <v>0</v>
      </c>
      <c r="N80" s="262">
        <v>0</v>
      </c>
      <c r="O80" s="262">
        <f>O10-O35</f>
        <v>0</v>
      </c>
      <c r="P80" s="262">
        <f>P10-P35</f>
        <v>0</v>
      </c>
      <c r="Q80" s="262">
        <f>Q10-Q35</f>
        <v>0</v>
      </c>
      <c r="R80" s="233">
        <f t="shared" si="9"/>
        <v>0</v>
      </c>
    </row>
    <row r="81" spans="1:18" ht="12" hidden="1" customHeight="1">
      <c r="A81" s="143" t="s">
        <v>48</v>
      </c>
      <c r="B81" s="185" t="s">
        <v>49</v>
      </c>
      <c r="C81" s="186">
        <v>0</v>
      </c>
      <c r="D81" s="186">
        <v>0</v>
      </c>
      <c r="E81" s="262">
        <f>E82+E85+E89+E88</f>
        <v>0</v>
      </c>
      <c r="F81" s="262">
        <f>F82+F85+F89+F88</f>
        <v>0</v>
      </c>
      <c r="G81" s="262">
        <f>G82+G85+G89+G88</f>
        <v>0</v>
      </c>
      <c r="H81" s="233">
        <f t="shared" si="7"/>
        <v>0</v>
      </c>
      <c r="I81" s="262">
        <v>0</v>
      </c>
      <c r="J81" s="262">
        <f>J82+J85+J89+J88</f>
        <v>0</v>
      </c>
      <c r="K81" s="262">
        <f>K82+K85+K89+K88</f>
        <v>0</v>
      </c>
      <c r="L81" s="262">
        <f>L82+L85+L89+L88</f>
        <v>0</v>
      </c>
      <c r="M81" s="233">
        <f t="shared" si="8"/>
        <v>0</v>
      </c>
      <c r="N81" s="262">
        <v>0</v>
      </c>
      <c r="O81" s="262">
        <f>O82+O85+O89+O88</f>
        <v>0</v>
      </c>
      <c r="P81" s="262">
        <f>P82+P85+P89+P88</f>
        <v>0</v>
      </c>
      <c r="Q81" s="262">
        <f>Q82+Q85+Q89+Q88</f>
        <v>0</v>
      </c>
      <c r="R81" s="233">
        <f t="shared" si="9"/>
        <v>0</v>
      </c>
    </row>
    <row r="82" spans="1:18" s="4" customFormat="1" ht="12" hidden="1" customHeight="1">
      <c r="A82" s="141" t="s">
        <v>50</v>
      </c>
      <c r="B82" s="179" t="s">
        <v>51</v>
      </c>
      <c r="C82" s="169">
        <v>0</v>
      </c>
      <c r="D82" s="169">
        <v>0</v>
      </c>
      <c r="E82" s="231">
        <f>E83+E84</f>
        <v>0</v>
      </c>
      <c r="F82" s="231">
        <f>F83+F84</f>
        <v>0</v>
      </c>
      <c r="G82" s="231">
        <f>G83+G84</f>
        <v>0</v>
      </c>
      <c r="H82" s="233">
        <f t="shared" si="7"/>
        <v>0</v>
      </c>
      <c r="I82" s="231">
        <v>0</v>
      </c>
      <c r="J82" s="231">
        <f>J83+J84</f>
        <v>0</v>
      </c>
      <c r="K82" s="231">
        <f>K83+K84</f>
        <v>0</v>
      </c>
      <c r="L82" s="231">
        <f>L83+L84</f>
        <v>0</v>
      </c>
      <c r="M82" s="233">
        <f t="shared" si="8"/>
        <v>0</v>
      </c>
      <c r="N82" s="231">
        <v>0</v>
      </c>
      <c r="O82" s="231">
        <f>O83+O84</f>
        <v>0</v>
      </c>
      <c r="P82" s="231">
        <f>P83+P84</f>
        <v>0</v>
      </c>
      <c r="Q82" s="231">
        <f>Q83+Q84</f>
        <v>0</v>
      </c>
      <c r="R82" s="233">
        <f t="shared" si="9"/>
        <v>0</v>
      </c>
    </row>
    <row r="83" spans="1:18" s="6" customFormat="1" ht="12" hidden="1" customHeight="1">
      <c r="A83" s="141" t="s">
        <v>52</v>
      </c>
      <c r="B83" s="179" t="s">
        <v>53</v>
      </c>
      <c r="C83" s="169"/>
      <c r="D83" s="169">
        <v>0</v>
      </c>
      <c r="E83" s="231"/>
      <c r="F83" s="231"/>
      <c r="G83" s="231"/>
      <c r="H83" s="233">
        <f t="shared" si="7"/>
        <v>0</v>
      </c>
      <c r="I83" s="231">
        <v>0</v>
      </c>
      <c r="J83" s="231"/>
      <c r="K83" s="231"/>
      <c r="L83" s="231"/>
      <c r="M83" s="233">
        <f t="shared" si="8"/>
        <v>0</v>
      </c>
      <c r="N83" s="231">
        <v>0</v>
      </c>
      <c r="O83" s="231"/>
      <c r="P83" s="231"/>
      <c r="Q83" s="231"/>
      <c r="R83" s="233">
        <f t="shared" si="9"/>
        <v>0</v>
      </c>
    </row>
    <row r="84" spans="1:18" s="6" customFormat="1" ht="12" hidden="1" customHeight="1">
      <c r="A84" s="141" t="s">
        <v>54</v>
      </c>
      <c r="B84" s="179" t="s">
        <v>55</v>
      </c>
      <c r="C84" s="169"/>
      <c r="D84" s="169">
        <v>0</v>
      </c>
      <c r="E84" s="231"/>
      <c r="F84" s="231"/>
      <c r="G84" s="231"/>
      <c r="H84" s="233">
        <f t="shared" si="7"/>
        <v>0</v>
      </c>
      <c r="I84" s="231">
        <v>0</v>
      </c>
      <c r="J84" s="231"/>
      <c r="K84" s="231"/>
      <c r="L84" s="231"/>
      <c r="M84" s="233">
        <f t="shared" si="8"/>
        <v>0</v>
      </c>
      <c r="N84" s="231">
        <v>0</v>
      </c>
      <c r="O84" s="231"/>
      <c r="P84" s="231"/>
      <c r="Q84" s="231"/>
      <c r="R84" s="233">
        <f t="shared" si="9"/>
        <v>0</v>
      </c>
    </row>
    <row r="85" spans="1:18" s="6" customFormat="1" ht="12" hidden="1" customHeight="1">
      <c r="A85" s="141" t="s">
        <v>56</v>
      </c>
      <c r="B85" s="179" t="s">
        <v>57</v>
      </c>
      <c r="C85" s="169">
        <v>0</v>
      </c>
      <c r="D85" s="169">
        <v>0</v>
      </c>
      <c r="E85" s="231">
        <f>E86+E87</f>
        <v>0</v>
      </c>
      <c r="F85" s="231">
        <f>F86+F87</f>
        <v>0</v>
      </c>
      <c r="G85" s="231">
        <f>G86+G87</f>
        <v>0</v>
      </c>
      <c r="H85" s="233">
        <f t="shared" si="7"/>
        <v>0</v>
      </c>
      <c r="I85" s="231">
        <v>0</v>
      </c>
      <c r="J85" s="231">
        <f>J86+J87</f>
        <v>0</v>
      </c>
      <c r="K85" s="231">
        <f>K86+K87</f>
        <v>0</v>
      </c>
      <c r="L85" s="231">
        <f>L86+L87</f>
        <v>0</v>
      </c>
      <c r="M85" s="233">
        <f t="shared" si="8"/>
        <v>0</v>
      </c>
      <c r="N85" s="231">
        <v>0</v>
      </c>
      <c r="O85" s="231">
        <f>O86+O87</f>
        <v>0</v>
      </c>
      <c r="P85" s="231">
        <f>P86+P87</f>
        <v>0</v>
      </c>
      <c r="Q85" s="231">
        <f>Q86+Q87</f>
        <v>0</v>
      </c>
      <c r="R85" s="233">
        <f t="shared" si="9"/>
        <v>0</v>
      </c>
    </row>
    <row r="86" spans="1:18" s="6" customFormat="1" ht="12" hidden="1" customHeight="1">
      <c r="A86" s="141" t="s">
        <v>58</v>
      </c>
      <c r="B86" s="179" t="s">
        <v>59</v>
      </c>
      <c r="C86" s="169"/>
      <c r="D86" s="169">
        <v>0</v>
      </c>
      <c r="E86" s="231"/>
      <c r="F86" s="231"/>
      <c r="G86" s="231"/>
      <c r="H86" s="233">
        <f t="shared" si="7"/>
        <v>0</v>
      </c>
      <c r="I86" s="231">
        <v>0</v>
      </c>
      <c r="J86" s="231"/>
      <c r="K86" s="231"/>
      <c r="L86" s="231"/>
      <c r="M86" s="233">
        <f t="shared" si="8"/>
        <v>0</v>
      </c>
      <c r="N86" s="231">
        <v>0</v>
      </c>
      <c r="O86" s="231"/>
      <c r="P86" s="231"/>
      <c r="Q86" s="231"/>
      <c r="R86" s="233">
        <f t="shared" si="9"/>
        <v>0</v>
      </c>
    </row>
    <row r="87" spans="1:18" s="6" customFormat="1" ht="12" hidden="1" customHeight="1">
      <c r="A87" s="141" t="s">
        <v>60</v>
      </c>
      <c r="B87" s="179" t="s">
        <v>61</v>
      </c>
      <c r="C87" s="169"/>
      <c r="D87" s="169">
        <v>0</v>
      </c>
      <c r="E87" s="231"/>
      <c r="F87" s="231"/>
      <c r="G87" s="231"/>
      <c r="H87" s="233">
        <f t="shared" si="7"/>
        <v>0</v>
      </c>
      <c r="I87" s="231">
        <v>0</v>
      </c>
      <c r="J87" s="231"/>
      <c r="K87" s="231"/>
      <c r="L87" s="231"/>
      <c r="M87" s="233">
        <f t="shared" si="8"/>
        <v>0</v>
      </c>
      <c r="N87" s="231">
        <v>0</v>
      </c>
      <c r="O87" s="231"/>
      <c r="P87" s="231"/>
      <c r="Q87" s="231"/>
      <c r="R87" s="233">
        <f t="shared" si="9"/>
        <v>0</v>
      </c>
    </row>
    <row r="88" spans="1:18" s="6" customFormat="1" ht="12" hidden="1" customHeight="1">
      <c r="A88" s="141" t="s">
        <v>198</v>
      </c>
      <c r="B88" s="187" t="s">
        <v>168</v>
      </c>
      <c r="C88" s="169"/>
      <c r="D88" s="169">
        <v>0</v>
      </c>
      <c r="E88" s="231"/>
      <c r="F88" s="231"/>
      <c r="G88" s="231"/>
      <c r="H88" s="233">
        <f t="shared" si="7"/>
        <v>0</v>
      </c>
      <c r="I88" s="231">
        <v>0</v>
      </c>
      <c r="J88" s="231"/>
      <c r="K88" s="231"/>
      <c r="L88" s="231"/>
      <c r="M88" s="233">
        <f t="shared" si="8"/>
        <v>0</v>
      </c>
      <c r="N88" s="231">
        <v>0</v>
      </c>
      <c r="O88" s="231"/>
      <c r="P88" s="231"/>
      <c r="Q88" s="231"/>
      <c r="R88" s="233">
        <f t="shared" si="9"/>
        <v>0</v>
      </c>
    </row>
    <row r="89" spans="1:18" s="6" customFormat="1" ht="12" hidden="1" customHeight="1">
      <c r="A89" s="144" t="s">
        <v>62</v>
      </c>
      <c r="B89" s="125" t="s">
        <v>63</v>
      </c>
      <c r="C89" s="171">
        <v>0</v>
      </c>
      <c r="D89" s="171">
        <v>0</v>
      </c>
      <c r="E89" s="233">
        <f>E90+E91+E92</f>
        <v>0</v>
      </c>
      <c r="F89" s="233">
        <f>F90+F91+F92</f>
        <v>0</v>
      </c>
      <c r="G89" s="233">
        <f>G90+G91+G92</f>
        <v>0</v>
      </c>
      <c r="H89" s="233">
        <f t="shared" si="7"/>
        <v>0</v>
      </c>
      <c r="I89" s="233">
        <v>0</v>
      </c>
      <c r="J89" s="233">
        <f>J90+J91+J92</f>
        <v>0</v>
      </c>
      <c r="K89" s="233">
        <f>K90+K91+K92</f>
        <v>0</v>
      </c>
      <c r="L89" s="233">
        <f>L90+L91+L92</f>
        <v>0</v>
      </c>
      <c r="M89" s="233">
        <f t="shared" si="8"/>
        <v>0</v>
      </c>
      <c r="N89" s="233">
        <v>0</v>
      </c>
      <c r="O89" s="233">
        <f>O90+O91+O92</f>
        <v>0</v>
      </c>
      <c r="P89" s="233">
        <f>P90+P91+P92</f>
        <v>0</v>
      </c>
      <c r="Q89" s="233">
        <f>Q90+Q91+Q92</f>
        <v>0</v>
      </c>
      <c r="R89" s="233">
        <f t="shared" si="9"/>
        <v>0</v>
      </c>
    </row>
    <row r="90" spans="1:18" s="6" customFormat="1" ht="36" hidden="1" customHeight="1">
      <c r="A90" s="144" t="s">
        <v>64</v>
      </c>
      <c r="B90" s="179" t="s">
        <v>65</v>
      </c>
      <c r="C90" s="169"/>
      <c r="D90" s="169">
        <v>0</v>
      </c>
      <c r="E90" s="231"/>
      <c r="F90" s="231"/>
      <c r="G90" s="231"/>
      <c r="H90" s="233">
        <f t="shared" si="7"/>
        <v>0</v>
      </c>
      <c r="I90" s="231">
        <v>0</v>
      </c>
      <c r="J90" s="231"/>
      <c r="K90" s="231"/>
      <c r="L90" s="231"/>
      <c r="M90" s="233">
        <f t="shared" si="8"/>
        <v>0</v>
      </c>
      <c r="N90" s="231">
        <v>0</v>
      </c>
      <c r="O90" s="231"/>
      <c r="P90" s="231"/>
      <c r="Q90" s="231"/>
      <c r="R90" s="233">
        <f t="shared" si="9"/>
        <v>0</v>
      </c>
    </row>
    <row r="91" spans="1:18" s="6" customFormat="1" ht="24" hidden="1" customHeight="1">
      <c r="A91" s="144" t="s">
        <v>66</v>
      </c>
      <c r="B91" s="179" t="s">
        <v>67</v>
      </c>
      <c r="C91" s="169"/>
      <c r="D91" s="169">
        <v>0</v>
      </c>
      <c r="E91" s="231"/>
      <c r="F91" s="231"/>
      <c r="G91" s="231"/>
      <c r="H91" s="233">
        <f t="shared" si="7"/>
        <v>0</v>
      </c>
      <c r="I91" s="231">
        <v>0</v>
      </c>
      <c r="J91" s="231"/>
      <c r="K91" s="231"/>
      <c r="L91" s="231"/>
      <c r="M91" s="233">
        <f t="shared" si="8"/>
        <v>0</v>
      </c>
      <c r="N91" s="231">
        <v>0</v>
      </c>
      <c r="O91" s="231"/>
      <c r="P91" s="231"/>
      <c r="Q91" s="231"/>
      <c r="R91" s="233">
        <f t="shared" si="9"/>
        <v>0</v>
      </c>
    </row>
    <row r="92" spans="1:18" s="6" customFormat="1" ht="24" hidden="1" customHeight="1">
      <c r="A92" s="144" t="s">
        <v>68</v>
      </c>
      <c r="B92" s="125" t="s">
        <v>69</v>
      </c>
      <c r="C92" s="169"/>
      <c r="D92" s="169">
        <v>0</v>
      </c>
      <c r="E92" s="231"/>
      <c r="F92" s="231"/>
      <c r="G92" s="231"/>
      <c r="H92" s="233">
        <f t="shared" si="7"/>
        <v>0</v>
      </c>
      <c r="I92" s="231">
        <v>0</v>
      </c>
      <c r="J92" s="231"/>
      <c r="K92" s="231"/>
      <c r="L92" s="231"/>
      <c r="M92" s="233">
        <f t="shared" si="8"/>
        <v>0</v>
      </c>
      <c r="N92" s="231">
        <v>0</v>
      </c>
      <c r="O92" s="231"/>
      <c r="P92" s="231"/>
      <c r="Q92" s="231"/>
      <c r="R92" s="233">
        <f t="shared" si="9"/>
        <v>0</v>
      </c>
    </row>
    <row r="93" spans="1:18" s="6" customFormat="1" ht="12">
      <c r="A93" s="145"/>
      <c r="B93" s="188" t="s">
        <v>199</v>
      </c>
      <c r="C93" s="293"/>
      <c r="D93" s="294">
        <v>0</v>
      </c>
      <c r="E93" s="347"/>
      <c r="F93" s="347"/>
      <c r="G93" s="347"/>
      <c r="H93" s="347">
        <f t="shared" si="7"/>
        <v>0</v>
      </c>
      <c r="I93" s="347">
        <v>0</v>
      </c>
      <c r="J93" s="347"/>
      <c r="K93" s="347"/>
      <c r="L93" s="347"/>
      <c r="M93" s="347">
        <f t="shared" si="8"/>
        <v>0</v>
      </c>
      <c r="N93" s="347">
        <v>0</v>
      </c>
      <c r="O93" s="347"/>
      <c r="P93" s="347"/>
      <c r="Q93" s="347"/>
      <c r="R93" s="347">
        <f t="shared" si="9"/>
        <v>0</v>
      </c>
    </row>
    <row r="94" spans="1:18" s="6" customFormat="1" ht="20.399999999999999">
      <c r="A94" s="129" t="s">
        <v>201</v>
      </c>
      <c r="B94" s="123" t="s">
        <v>88</v>
      </c>
      <c r="C94" s="167">
        <v>292881</v>
      </c>
      <c r="D94" s="167">
        <v>333083</v>
      </c>
      <c r="E94" s="228">
        <f>E95+E96+E98+E116</f>
        <v>0</v>
      </c>
      <c r="F94" s="228">
        <f>F95+F96+F98+F116</f>
        <v>0</v>
      </c>
      <c r="G94" s="228">
        <f>G95+G96+G98+G116</f>
        <v>1430</v>
      </c>
      <c r="H94" s="243">
        <f t="shared" si="7"/>
        <v>334513</v>
      </c>
      <c r="I94" s="228">
        <v>333083</v>
      </c>
      <c r="J94" s="228">
        <f>J95+J96+J98+J116</f>
        <v>0</v>
      </c>
      <c r="K94" s="228">
        <f>K95+K96+K98+K116</f>
        <v>0</v>
      </c>
      <c r="L94" s="228">
        <f>L95+L96+L98+L116</f>
        <v>1430</v>
      </c>
      <c r="M94" s="243">
        <f t="shared" si="8"/>
        <v>334513</v>
      </c>
      <c r="N94" s="228">
        <v>333083</v>
      </c>
      <c r="O94" s="228">
        <f>O95+O96+O98+O116</f>
        <v>0</v>
      </c>
      <c r="P94" s="228">
        <f>P95+P96+P98+P116</f>
        <v>0</v>
      </c>
      <c r="Q94" s="228">
        <f>Q95+Q96+Q98+Q116</f>
        <v>1430</v>
      </c>
      <c r="R94" s="243">
        <f t="shared" si="9"/>
        <v>334513</v>
      </c>
    </row>
    <row r="95" spans="1:18" s="6" customFormat="1" ht="24" hidden="1" customHeight="1">
      <c r="A95" s="130" t="s">
        <v>177</v>
      </c>
      <c r="B95" s="124" t="s">
        <v>90</v>
      </c>
      <c r="C95" s="169">
        <v>0</v>
      </c>
      <c r="D95" s="169">
        <v>0</v>
      </c>
      <c r="E95" s="231"/>
      <c r="F95" s="231"/>
      <c r="G95" s="231"/>
      <c r="H95" s="233">
        <f t="shared" si="7"/>
        <v>0</v>
      </c>
      <c r="I95" s="231">
        <v>0</v>
      </c>
      <c r="J95" s="231"/>
      <c r="K95" s="231"/>
      <c r="L95" s="231"/>
      <c r="M95" s="233">
        <f t="shared" si="8"/>
        <v>0</v>
      </c>
      <c r="N95" s="231">
        <v>0</v>
      </c>
      <c r="O95" s="231"/>
      <c r="P95" s="231"/>
      <c r="Q95" s="231"/>
      <c r="R95" s="233">
        <f t="shared" si="9"/>
        <v>0</v>
      </c>
    </row>
    <row r="96" spans="1:18" s="6" customFormat="1" ht="12" hidden="1" customHeight="1">
      <c r="A96" s="130" t="s">
        <v>91</v>
      </c>
      <c r="B96" s="124" t="s">
        <v>92</v>
      </c>
      <c r="C96" s="169"/>
      <c r="D96" s="169">
        <v>0</v>
      </c>
      <c r="E96" s="231"/>
      <c r="F96" s="231"/>
      <c r="G96" s="231"/>
      <c r="H96" s="233">
        <f t="shared" si="7"/>
        <v>0</v>
      </c>
      <c r="I96" s="231">
        <v>0</v>
      </c>
      <c r="J96" s="231"/>
      <c r="K96" s="231"/>
      <c r="L96" s="231"/>
      <c r="M96" s="233">
        <f t="shared" si="8"/>
        <v>0</v>
      </c>
      <c r="N96" s="231">
        <v>0</v>
      </c>
      <c r="O96" s="231"/>
      <c r="P96" s="231"/>
      <c r="Q96" s="231"/>
      <c r="R96" s="233">
        <f t="shared" si="9"/>
        <v>0</v>
      </c>
    </row>
    <row r="97" spans="1:18" s="6" customFormat="1" ht="24" hidden="1" customHeight="1">
      <c r="A97" s="131">
        <v>21210</v>
      </c>
      <c r="B97" s="125" t="s">
        <v>93</v>
      </c>
      <c r="C97" s="169"/>
      <c r="D97" s="169">
        <v>0</v>
      </c>
      <c r="E97" s="231"/>
      <c r="F97" s="231"/>
      <c r="G97" s="231"/>
      <c r="H97" s="233">
        <f t="shared" si="7"/>
        <v>0</v>
      </c>
      <c r="I97" s="231">
        <v>0</v>
      </c>
      <c r="J97" s="231"/>
      <c r="K97" s="231"/>
      <c r="L97" s="231"/>
      <c r="M97" s="233">
        <f t="shared" si="8"/>
        <v>0</v>
      </c>
      <c r="N97" s="231">
        <v>0</v>
      </c>
      <c r="O97" s="231"/>
      <c r="P97" s="231"/>
      <c r="Q97" s="231"/>
      <c r="R97" s="233">
        <f t="shared" si="9"/>
        <v>0</v>
      </c>
    </row>
    <row r="98" spans="1:18" s="6" customFormat="1" ht="21" hidden="1" customHeight="1">
      <c r="A98" s="130" t="s">
        <v>178</v>
      </c>
      <c r="B98" s="124" t="s">
        <v>94</v>
      </c>
      <c r="C98" s="171">
        <v>0</v>
      </c>
      <c r="D98" s="171">
        <v>0</v>
      </c>
      <c r="E98" s="233">
        <f>E99+E105</f>
        <v>0</v>
      </c>
      <c r="F98" s="233">
        <f>F99+F105</f>
        <v>0</v>
      </c>
      <c r="G98" s="233">
        <f>G99+G105</f>
        <v>0</v>
      </c>
      <c r="H98" s="233">
        <f t="shared" si="7"/>
        <v>0</v>
      </c>
      <c r="I98" s="233">
        <v>0</v>
      </c>
      <c r="J98" s="233">
        <f>J99+J105</f>
        <v>0</v>
      </c>
      <c r="K98" s="233">
        <f>K99+K105</f>
        <v>0</v>
      </c>
      <c r="L98" s="233">
        <f>L99+L105</f>
        <v>0</v>
      </c>
      <c r="M98" s="233">
        <f t="shared" si="8"/>
        <v>0</v>
      </c>
      <c r="N98" s="233">
        <v>0</v>
      </c>
      <c r="O98" s="233">
        <f>O99+O105</f>
        <v>0</v>
      </c>
      <c r="P98" s="233">
        <f>P99+P105</f>
        <v>0</v>
      </c>
      <c r="Q98" s="233">
        <f>Q99+Q105</f>
        <v>0</v>
      </c>
      <c r="R98" s="233">
        <f t="shared" si="9"/>
        <v>0</v>
      </c>
    </row>
    <row r="99" spans="1:18" s="6" customFormat="1" ht="12" hidden="1" customHeight="1">
      <c r="A99" s="132">
        <v>18000</v>
      </c>
      <c r="B99" s="125" t="s">
        <v>95</v>
      </c>
      <c r="C99" s="171">
        <v>0</v>
      </c>
      <c r="D99" s="171">
        <v>0</v>
      </c>
      <c r="E99" s="233">
        <f t="shared" ref="E99:L100" si="10">E100</f>
        <v>0</v>
      </c>
      <c r="F99" s="233">
        <f t="shared" si="10"/>
        <v>0</v>
      </c>
      <c r="G99" s="233">
        <f t="shared" si="10"/>
        <v>0</v>
      </c>
      <c r="H99" s="233">
        <f t="shared" si="7"/>
        <v>0</v>
      </c>
      <c r="I99" s="233">
        <v>0</v>
      </c>
      <c r="J99" s="233">
        <f t="shared" si="10"/>
        <v>0</v>
      </c>
      <c r="K99" s="233">
        <f t="shared" si="10"/>
        <v>0</v>
      </c>
      <c r="L99" s="233">
        <f t="shared" si="10"/>
        <v>0</v>
      </c>
      <c r="M99" s="233">
        <f t="shared" si="8"/>
        <v>0</v>
      </c>
      <c r="N99" s="233">
        <v>0</v>
      </c>
      <c r="O99" s="233">
        <f t="shared" ref="O99:Q100" si="11">O100</f>
        <v>0</v>
      </c>
      <c r="P99" s="233">
        <f t="shared" si="11"/>
        <v>0</v>
      </c>
      <c r="Q99" s="233">
        <f t="shared" si="11"/>
        <v>0</v>
      </c>
      <c r="R99" s="233">
        <f t="shared" si="9"/>
        <v>0</v>
      </c>
    </row>
    <row r="100" spans="1:18" s="6" customFormat="1" ht="12" hidden="1" customHeight="1">
      <c r="A100" s="132">
        <v>18100</v>
      </c>
      <c r="B100" s="125" t="s">
        <v>96</v>
      </c>
      <c r="C100" s="171">
        <v>0</v>
      </c>
      <c r="D100" s="171">
        <v>0</v>
      </c>
      <c r="E100" s="233">
        <f t="shared" si="10"/>
        <v>0</v>
      </c>
      <c r="F100" s="233">
        <f t="shared" si="10"/>
        <v>0</v>
      </c>
      <c r="G100" s="233">
        <f t="shared" si="10"/>
        <v>0</v>
      </c>
      <c r="H100" s="233">
        <f t="shared" si="7"/>
        <v>0</v>
      </c>
      <c r="I100" s="233">
        <v>0</v>
      </c>
      <c r="J100" s="233">
        <f t="shared" si="10"/>
        <v>0</v>
      </c>
      <c r="K100" s="233">
        <f t="shared" si="10"/>
        <v>0</v>
      </c>
      <c r="L100" s="233">
        <f t="shared" si="10"/>
        <v>0</v>
      </c>
      <c r="M100" s="233">
        <f t="shared" si="8"/>
        <v>0</v>
      </c>
      <c r="N100" s="233">
        <v>0</v>
      </c>
      <c r="O100" s="233">
        <f t="shared" si="11"/>
        <v>0</v>
      </c>
      <c r="P100" s="233">
        <f t="shared" si="11"/>
        <v>0</v>
      </c>
      <c r="Q100" s="233">
        <f t="shared" si="11"/>
        <v>0</v>
      </c>
      <c r="R100" s="233">
        <f t="shared" si="9"/>
        <v>0</v>
      </c>
    </row>
    <row r="101" spans="1:18" s="6" customFormat="1" ht="24" hidden="1" customHeight="1">
      <c r="A101" s="133">
        <v>18130</v>
      </c>
      <c r="B101" s="172" t="s">
        <v>159</v>
      </c>
      <c r="C101" s="171">
        <v>0</v>
      </c>
      <c r="D101" s="171">
        <v>0</v>
      </c>
      <c r="E101" s="233">
        <f>SUM(E102:E104)</f>
        <v>0</v>
      </c>
      <c r="F101" s="233">
        <f>SUM(F102:F104)</f>
        <v>0</v>
      </c>
      <c r="G101" s="233">
        <f>SUM(G102:G104)</f>
        <v>0</v>
      </c>
      <c r="H101" s="233">
        <f t="shared" si="7"/>
        <v>0</v>
      </c>
      <c r="I101" s="233">
        <v>0</v>
      </c>
      <c r="J101" s="233">
        <f>SUM(J102:J104)</f>
        <v>0</v>
      </c>
      <c r="K101" s="233">
        <f>SUM(K102:K104)</f>
        <v>0</v>
      </c>
      <c r="L101" s="233">
        <f>SUM(L102:L104)</f>
        <v>0</v>
      </c>
      <c r="M101" s="233">
        <f t="shared" si="8"/>
        <v>0</v>
      </c>
      <c r="N101" s="233">
        <v>0</v>
      </c>
      <c r="O101" s="233">
        <f>SUM(O102:O104)</f>
        <v>0</v>
      </c>
      <c r="P101" s="233">
        <f>SUM(P102:P104)</f>
        <v>0</v>
      </c>
      <c r="Q101" s="233">
        <f>SUM(Q102:Q104)</f>
        <v>0</v>
      </c>
      <c r="R101" s="233">
        <f t="shared" si="9"/>
        <v>0</v>
      </c>
    </row>
    <row r="102" spans="1:18" s="6" customFormat="1" ht="36" hidden="1" customHeight="1">
      <c r="A102" s="134">
        <v>18131</v>
      </c>
      <c r="B102" s="172" t="s">
        <v>160</v>
      </c>
      <c r="C102" s="171"/>
      <c r="D102" s="171">
        <v>0</v>
      </c>
      <c r="E102" s="233"/>
      <c r="F102" s="233"/>
      <c r="G102" s="233"/>
      <c r="H102" s="233">
        <f t="shared" si="7"/>
        <v>0</v>
      </c>
      <c r="I102" s="233">
        <v>0</v>
      </c>
      <c r="J102" s="233"/>
      <c r="K102" s="233"/>
      <c r="L102" s="233"/>
      <c r="M102" s="233">
        <f t="shared" si="8"/>
        <v>0</v>
      </c>
      <c r="N102" s="233">
        <v>0</v>
      </c>
      <c r="O102" s="233"/>
      <c r="P102" s="233"/>
      <c r="Q102" s="233"/>
      <c r="R102" s="233">
        <f t="shared" si="9"/>
        <v>0</v>
      </c>
    </row>
    <row r="103" spans="1:18" s="6" customFormat="1" ht="24" hidden="1" customHeight="1">
      <c r="A103" s="134">
        <v>18132</v>
      </c>
      <c r="B103" s="172" t="s">
        <v>169</v>
      </c>
      <c r="C103" s="171"/>
      <c r="D103" s="171">
        <v>0</v>
      </c>
      <c r="E103" s="233"/>
      <c r="F103" s="233"/>
      <c r="G103" s="233"/>
      <c r="H103" s="233">
        <f t="shared" si="7"/>
        <v>0</v>
      </c>
      <c r="I103" s="233">
        <v>0</v>
      </c>
      <c r="J103" s="233"/>
      <c r="K103" s="233"/>
      <c r="L103" s="233"/>
      <c r="M103" s="233">
        <f t="shared" si="8"/>
        <v>0</v>
      </c>
      <c r="N103" s="233">
        <v>0</v>
      </c>
      <c r="O103" s="233"/>
      <c r="P103" s="233"/>
      <c r="Q103" s="233"/>
      <c r="R103" s="233">
        <f t="shared" si="9"/>
        <v>0</v>
      </c>
    </row>
    <row r="104" spans="1:18" s="6" customFormat="1" ht="24" hidden="1" customHeight="1">
      <c r="A104" s="134">
        <v>18139</v>
      </c>
      <c r="B104" s="172" t="s">
        <v>179</v>
      </c>
      <c r="C104" s="171"/>
      <c r="D104" s="171">
        <v>0</v>
      </c>
      <c r="E104" s="233"/>
      <c r="F104" s="233"/>
      <c r="G104" s="233"/>
      <c r="H104" s="233">
        <f t="shared" si="7"/>
        <v>0</v>
      </c>
      <c r="I104" s="233">
        <v>0</v>
      </c>
      <c r="J104" s="233"/>
      <c r="K104" s="233"/>
      <c r="L104" s="233"/>
      <c r="M104" s="233">
        <f t="shared" si="8"/>
        <v>0</v>
      </c>
      <c r="N104" s="233">
        <v>0</v>
      </c>
      <c r="O104" s="233"/>
      <c r="P104" s="233"/>
      <c r="Q104" s="233"/>
      <c r="R104" s="233">
        <f t="shared" si="9"/>
        <v>0</v>
      </c>
    </row>
    <row r="105" spans="1:18" s="6" customFormat="1" ht="12" hidden="1" customHeight="1">
      <c r="A105" s="135" t="s">
        <v>180</v>
      </c>
      <c r="B105" s="173" t="s">
        <v>173</v>
      </c>
      <c r="C105" s="174">
        <v>0</v>
      </c>
      <c r="D105" s="174">
        <v>0</v>
      </c>
      <c r="E105" s="238">
        <f t="shared" ref="E105:L105" si="12">E106</f>
        <v>0</v>
      </c>
      <c r="F105" s="238">
        <f t="shared" si="12"/>
        <v>0</v>
      </c>
      <c r="G105" s="238">
        <f t="shared" si="12"/>
        <v>0</v>
      </c>
      <c r="H105" s="233">
        <f t="shared" si="7"/>
        <v>0</v>
      </c>
      <c r="I105" s="238">
        <v>0</v>
      </c>
      <c r="J105" s="238">
        <f t="shared" si="12"/>
        <v>0</v>
      </c>
      <c r="K105" s="238">
        <f t="shared" si="12"/>
        <v>0</v>
      </c>
      <c r="L105" s="238">
        <f t="shared" si="12"/>
        <v>0</v>
      </c>
      <c r="M105" s="233">
        <f t="shared" si="8"/>
        <v>0</v>
      </c>
      <c r="N105" s="238">
        <v>0</v>
      </c>
      <c r="O105" s="238">
        <f>O106</f>
        <v>0</v>
      </c>
      <c r="P105" s="238">
        <f>P106</f>
        <v>0</v>
      </c>
      <c r="Q105" s="238">
        <f>Q106</f>
        <v>0</v>
      </c>
      <c r="R105" s="233">
        <f t="shared" si="9"/>
        <v>0</v>
      </c>
    </row>
    <row r="106" spans="1:18" s="6" customFormat="1" ht="24" hidden="1" customHeight="1">
      <c r="A106" s="135">
        <v>19500</v>
      </c>
      <c r="B106" s="172" t="s">
        <v>174</v>
      </c>
      <c r="C106" s="171">
        <v>0</v>
      </c>
      <c r="D106" s="171">
        <v>0</v>
      </c>
      <c r="E106" s="233">
        <f>SUM(E107:E109)</f>
        <v>0</v>
      </c>
      <c r="F106" s="233">
        <f>SUM(F107:F109)</f>
        <v>0</v>
      </c>
      <c r="G106" s="233">
        <f>SUM(G107:G109)</f>
        <v>0</v>
      </c>
      <c r="H106" s="233">
        <f t="shared" si="7"/>
        <v>0</v>
      </c>
      <c r="I106" s="233">
        <v>0</v>
      </c>
      <c r="J106" s="233">
        <f>SUM(J107:J109)</f>
        <v>0</v>
      </c>
      <c r="K106" s="233">
        <f>SUM(K107:K109)</f>
        <v>0</v>
      </c>
      <c r="L106" s="233">
        <f>SUM(L107:L109)</f>
        <v>0</v>
      </c>
      <c r="M106" s="233">
        <f t="shared" si="8"/>
        <v>0</v>
      </c>
      <c r="N106" s="233">
        <v>0</v>
      </c>
      <c r="O106" s="233">
        <f>SUM(O107:O109)</f>
        <v>0</v>
      </c>
      <c r="P106" s="233">
        <f>SUM(P107:P109)</f>
        <v>0</v>
      </c>
      <c r="Q106" s="233">
        <f>SUM(Q107:Q109)</f>
        <v>0</v>
      </c>
      <c r="R106" s="233">
        <f t="shared" si="9"/>
        <v>0</v>
      </c>
    </row>
    <row r="107" spans="1:18" s="6" customFormat="1" ht="24" hidden="1" customHeight="1">
      <c r="A107" s="136">
        <v>19550</v>
      </c>
      <c r="B107" s="172" t="s">
        <v>175</v>
      </c>
      <c r="C107" s="171"/>
      <c r="D107" s="171">
        <v>0</v>
      </c>
      <c r="E107" s="233"/>
      <c r="F107" s="233"/>
      <c r="G107" s="233"/>
      <c r="H107" s="233">
        <f t="shared" si="7"/>
        <v>0</v>
      </c>
      <c r="I107" s="233">
        <v>0</v>
      </c>
      <c r="J107" s="233"/>
      <c r="K107" s="233"/>
      <c r="L107" s="233"/>
      <c r="M107" s="233">
        <f t="shared" si="8"/>
        <v>0</v>
      </c>
      <c r="N107" s="233">
        <v>0</v>
      </c>
      <c r="O107" s="233"/>
      <c r="P107" s="233"/>
      <c r="Q107" s="233"/>
      <c r="R107" s="233">
        <f t="shared" si="9"/>
        <v>0</v>
      </c>
    </row>
    <row r="108" spans="1:18" s="6" customFormat="1" ht="36" hidden="1" customHeight="1">
      <c r="A108" s="136">
        <v>19560</v>
      </c>
      <c r="B108" s="172" t="s">
        <v>181</v>
      </c>
      <c r="C108" s="171"/>
      <c r="D108" s="171">
        <v>0</v>
      </c>
      <c r="E108" s="233"/>
      <c r="F108" s="233"/>
      <c r="G108" s="233"/>
      <c r="H108" s="233">
        <f t="shared" si="7"/>
        <v>0</v>
      </c>
      <c r="I108" s="233">
        <v>0</v>
      </c>
      <c r="J108" s="233"/>
      <c r="K108" s="233"/>
      <c r="L108" s="233"/>
      <c r="M108" s="233">
        <f t="shared" si="8"/>
        <v>0</v>
      </c>
      <c r="N108" s="233">
        <v>0</v>
      </c>
      <c r="O108" s="233"/>
      <c r="P108" s="233"/>
      <c r="Q108" s="233"/>
      <c r="R108" s="233">
        <f t="shared" si="9"/>
        <v>0</v>
      </c>
    </row>
    <row r="109" spans="1:18" s="6" customFormat="1" ht="72" hidden="1" customHeight="1">
      <c r="A109" s="136">
        <v>19570</v>
      </c>
      <c r="B109" s="172" t="s">
        <v>182</v>
      </c>
      <c r="C109" s="171"/>
      <c r="D109" s="171">
        <v>0</v>
      </c>
      <c r="E109" s="233"/>
      <c r="F109" s="233"/>
      <c r="G109" s="233"/>
      <c r="H109" s="233">
        <f t="shared" si="7"/>
        <v>0</v>
      </c>
      <c r="I109" s="233">
        <v>0</v>
      </c>
      <c r="J109" s="233"/>
      <c r="K109" s="233"/>
      <c r="L109" s="233"/>
      <c r="M109" s="233">
        <f t="shared" si="8"/>
        <v>0</v>
      </c>
      <c r="N109" s="233">
        <v>0</v>
      </c>
      <c r="O109" s="233"/>
      <c r="P109" s="233"/>
      <c r="Q109" s="233"/>
      <c r="R109" s="233">
        <f t="shared" si="9"/>
        <v>0</v>
      </c>
    </row>
    <row r="110" spans="1:18" s="6" customFormat="1" ht="24" hidden="1" customHeight="1">
      <c r="A110" s="209" t="s">
        <v>222</v>
      </c>
      <c r="B110" s="208" t="s">
        <v>216</v>
      </c>
      <c r="C110" s="107">
        <f>C111</f>
        <v>0</v>
      </c>
      <c r="D110" s="107">
        <v>0</v>
      </c>
      <c r="E110" s="233">
        <f t="shared" ref="E110:L110" si="13">E111</f>
        <v>0</v>
      </c>
      <c r="F110" s="233">
        <f t="shared" si="13"/>
        <v>0</v>
      </c>
      <c r="G110" s="233">
        <f t="shared" si="13"/>
        <v>0</v>
      </c>
      <c r="H110" s="233">
        <f t="shared" si="7"/>
        <v>0</v>
      </c>
      <c r="I110" s="233">
        <v>0</v>
      </c>
      <c r="J110" s="233">
        <f t="shared" si="13"/>
        <v>0</v>
      </c>
      <c r="K110" s="233">
        <f t="shared" si="13"/>
        <v>0</v>
      </c>
      <c r="L110" s="233">
        <f t="shared" si="13"/>
        <v>0</v>
      </c>
      <c r="M110" s="233">
        <f t="shared" si="8"/>
        <v>0</v>
      </c>
      <c r="N110" s="233">
        <v>0</v>
      </c>
      <c r="O110" s="233">
        <f>O111</f>
        <v>0</v>
      </c>
      <c r="P110" s="233">
        <f>P111</f>
        <v>0</v>
      </c>
      <c r="Q110" s="233">
        <f>Q111</f>
        <v>0</v>
      </c>
      <c r="R110" s="233">
        <f t="shared" si="9"/>
        <v>0</v>
      </c>
    </row>
    <row r="111" spans="1:18" s="6" customFormat="1" ht="36" hidden="1" customHeight="1">
      <c r="A111" s="209">
        <v>17100</v>
      </c>
      <c r="B111" s="208" t="s">
        <v>217</v>
      </c>
      <c r="C111" s="107">
        <f>SUM(C112:C115)</f>
        <v>0</v>
      </c>
      <c r="D111" s="107">
        <v>0</v>
      </c>
      <c r="E111" s="233">
        <f>SUM(E112:E115)</f>
        <v>0</v>
      </c>
      <c r="F111" s="233">
        <f>SUM(F112:F115)</f>
        <v>0</v>
      </c>
      <c r="G111" s="233">
        <f>SUM(G112:G115)</f>
        <v>0</v>
      </c>
      <c r="H111" s="233">
        <f t="shared" si="7"/>
        <v>0</v>
      </c>
      <c r="I111" s="233">
        <v>0</v>
      </c>
      <c r="J111" s="233">
        <f>SUM(J112:J115)</f>
        <v>0</v>
      </c>
      <c r="K111" s="233">
        <f>SUM(K112:K115)</f>
        <v>0</v>
      </c>
      <c r="L111" s="233">
        <f>SUM(L112:L115)</f>
        <v>0</v>
      </c>
      <c r="M111" s="233">
        <f t="shared" si="8"/>
        <v>0</v>
      </c>
      <c r="N111" s="233">
        <v>0</v>
      </c>
      <c r="O111" s="233">
        <f>SUM(O112:O115)</f>
        <v>0</v>
      </c>
      <c r="P111" s="233">
        <f>SUM(P112:P115)</f>
        <v>0</v>
      </c>
      <c r="Q111" s="233">
        <f>SUM(Q112:Q115)</f>
        <v>0</v>
      </c>
      <c r="R111" s="233">
        <f t="shared" si="9"/>
        <v>0</v>
      </c>
    </row>
    <row r="112" spans="1:18" s="6" customFormat="1" ht="60" hidden="1" customHeight="1">
      <c r="A112" s="149">
        <v>17110</v>
      </c>
      <c r="B112" s="208" t="s">
        <v>218</v>
      </c>
      <c r="C112" s="107"/>
      <c r="D112" s="107">
        <v>0</v>
      </c>
      <c r="E112" s="233"/>
      <c r="F112" s="233"/>
      <c r="G112" s="233"/>
      <c r="H112" s="233">
        <f t="shared" si="7"/>
        <v>0</v>
      </c>
      <c r="I112" s="233">
        <v>0</v>
      </c>
      <c r="J112" s="233"/>
      <c r="K112" s="233"/>
      <c r="L112" s="233"/>
      <c r="M112" s="233">
        <f t="shared" si="8"/>
        <v>0</v>
      </c>
      <c r="N112" s="233">
        <v>0</v>
      </c>
      <c r="O112" s="233"/>
      <c r="P112" s="233"/>
      <c r="Q112" s="233"/>
      <c r="R112" s="233">
        <f t="shared" si="9"/>
        <v>0</v>
      </c>
    </row>
    <row r="113" spans="1:18" s="6" customFormat="1" ht="60" hidden="1" customHeight="1">
      <c r="A113" s="149">
        <v>17120</v>
      </c>
      <c r="B113" s="208" t="s">
        <v>219</v>
      </c>
      <c r="C113" s="107"/>
      <c r="D113" s="107">
        <v>0</v>
      </c>
      <c r="E113" s="233"/>
      <c r="F113" s="233"/>
      <c r="G113" s="233"/>
      <c r="H113" s="233">
        <f t="shared" si="7"/>
        <v>0</v>
      </c>
      <c r="I113" s="233">
        <v>0</v>
      </c>
      <c r="J113" s="233"/>
      <c r="K113" s="233"/>
      <c r="L113" s="233"/>
      <c r="M113" s="233">
        <f t="shared" si="8"/>
        <v>0</v>
      </c>
      <c r="N113" s="233">
        <v>0</v>
      </c>
      <c r="O113" s="233"/>
      <c r="P113" s="233"/>
      <c r="Q113" s="233"/>
      <c r="R113" s="233">
        <f t="shared" si="9"/>
        <v>0</v>
      </c>
    </row>
    <row r="114" spans="1:18" s="6" customFormat="1" ht="108" hidden="1" customHeight="1">
      <c r="A114" s="149">
        <v>17130</v>
      </c>
      <c r="B114" s="208" t="s">
        <v>220</v>
      </c>
      <c r="C114" s="107"/>
      <c r="D114" s="107">
        <v>0</v>
      </c>
      <c r="E114" s="233"/>
      <c r="F114" s="233"/>
      <c r="G114" s="233"/>
      <c r="H114" s="233">
        <f t="shared" si="7"/>
        <v>0</v>
      </c>
      <c r="I114" s="233">
        <v>0</v>
      </c>
      <c r="J114" s="233"/>
      <c r="K114" s="233"/>
      <c r="L114" s="233"/>
      <c r="M114" s="233">
        <f t="shared" si="8"/>
        <v>0</v>
      </c>
      <c r="N114" s="233">
        <v>0</v>
      </c>
      <c r="O114" s="233"/>
      <c r="P114" s="233"/>
      <c r="Q114" s="233"/>
      <c r="R114" s="233">
        <f t="shared" si="9"/>
        <v>0</v>
      </c>
    </row>
    <row r="115" spans="1:18" s="6" customFormat="1" ht="108" hidden="1" customHeight="1">
      <c r="A115" s="149">
        <v>17140</v>
      </c>
      <c r="B115" s="208" t="s">
        <v>221</v>
      </c>
      <c r="C115" s="107"/>
      <c r="D115" s="107">
        <v>0</v>
      </c>
      <c r="E115" s="233"/>
      <c r="F115" s="233"/>
      <c r="G115" s="233"/>
      <c r="H115" s="233">
        <f t="shared" si="7"/>
        <v>0</v>
      </c>
      <c r="I115" s="233">
        <v>0</v>
      </c>
      <c r="J115" s="233"/>
      <c r="K115" s="233"/>
      <c r="L115" s="233"/>
      <c r="M115" s="233">
        <f t="shared" si="8"/>
        <v>0</v>
      </c>
      <c r="N115" s="233">
        <v>0</v>
      </c>
      <c r="O115" s="233"/>
      <c r="P115" s="233"/>
      <c r="Q115" s="233"/>
      <c r="R115" s="233">
        <f t="shared" si="9"/>
        <v>0</v>
      </c>
    </row>
    <row r="116" spans="1:18" s="6" customFormat="1" ht="12">
      <c r="A116" s="137">
        <v>21700</v>
      </c>
      <c r="B116" s="124" t="s">
        <v>97</v>
      </c>
      <c r="C116" s="171">
        <v>292881</v>
      </c>
      <c r="D116" s="171">
        <v>333083</v>
      </c>
      <c r="E116" s="233">
        <f>E117+E118</f>
        <v>0</v>
      </c>
      <c r="F116" s="233">
        <f>F117+F118</f>
        <v>0</v>
      </c>
      <c r="G116" s="233">
        <f>G117+G118</f>
        <v>1430</v>
      </c>
      <c r="H116" s="233">
        <f t="shared" si="7"/>
        <v>334513</v>
      </c>
      <c r="I116" s="233">
        <v>333083</v>
      </c>
      <c r="J116" s="233">
        <f>J117+J118</f>
        <v>0</v>
      </c>
      <c r="K116" s="233">
        <f>K117+K118</f>
        <v>0</v>
      </c>
      <c r="L116" s="233">
        <f>L117+L118</f>
        <v>1430</v>
      </c>
      <c r="M116" s="233">
        <f t="shared" si="8"/>
        <v>334513</v>
      </c>
      <c r="N116" s="233">
        <v>333083</v>
      </c>
      <c r="O116" s="233">
        <f>O117+O118</f>
        <v>0</v>
      </c>
      <c r="P116" s="233">
        <f>P117+P118</f>
        <v>0</v>
      </c>
      <c r="Q116" s="233">
        <f>Q117+Q118</f>
        <v>1430</v>
      </c>
      <c r="R116" s="233">
        <f t="shared" si="9"/>
        <v>334513</v>
      </c>
    </row>
    <row r="117" spans="1:18" s="6" customFormat="1" ht="24">
      <c r="A117" s="138">
        <v>21710</v>
      </c>
      <c r="B117" s="125" t="s">
        <v>98</v>
      </c>
      <c r="C117" s="171">
        <v>292881</v>
      </c>
      <c r="D117" s="171">
        <v>333083</v>
      </c>
      <c r="E117" s="233"/>
      <c r="F117" s="233"/>
      <c r="G117" s="233">
        <v>1430</v>
      </c>
      <c r="H117" s="233">
        <f t="shared" si="7"/>
        <v>334513</v>
      </c>
      <c r="I117" s="233">
        <v>333083</v>
      </c>
      <c r="J117" s="233"/>
      <c r="K117" s="233"/>
      <c r="L117" s="233">
        <v>1430</v>
      </c>
      <c r="M117" s="233">
        <f t="shared" si="8"/>
        <v>334513</v>
      </c>
      <c r="N117" s="233">
        <v>333083</v>
      </c>
      <c r="O117" s="233"/>
      <c r="P117" s="233"/>
      <c r="Q117" s="233">
        <v>1430</v>
      </c>
      <c r="R117" s="233">
        <f t="shared" si="9"/>
        <v>334513</v>
      </c>
    </row>
    <row r="118" spans="1:18" s="6" customFormat="1" ht="24" hidden="1" customHeight="1">
      <c r="A118" s="138">
        <v>21720</v>
      </c>
      <c r="B118" s="125" t="s">
        <v>99</v>
      </c>
      <c r="C118" s="171"/>
      <c r="D118" s="171">
        <v>0</v>
      </c>
      <c r="E118" s="233"/>
      <c r="F118" s="233"/>
      <c r="G118" s="233"/>
      <c r="H118" s="233">
        <f t="shared" si="7"/>
        <v>0</v>
      </c>
      <c r="I118" s="233">
        <v>0</v>
      </c>
      <c r="J118" s="233"/>
      <c r="K118" s="233"/>
      <c r="L118" s="233"/>
      <c r="M118" s="233">
        <f t="shared" si="8"/>
        <v>0</v>
      </c>
      <c r="N118" s="233">
        <v>0</v>
      </c>
      <c r="O118" s="233"/>
      <c r="P118" s="233"/>
      <c r="Q118" s="233"/>
      <c r="R118" s="233">
        <f t="shared" si="9"/>
        <v>0</v>
      </c>
    </row>
    <row r="119" spans="1:18" s="6" customFormat="1" ht="11.4">
      <c r="A119" s="129" t="s">
        <v>100</v>
      </c>
      <c r="B119" s="123" t="s">
        <v>101</v>
      </c>
      <c r="C119" s="175">
        <v>292881</v>
      </c>
      <c r="D119" s="175">
        <v>333083</v>
      </c>
      <c r="E119" s="243">
        <f>E120+E147</f>
        <v>0</v>
      </c>
      <c r="F119" s="243">
        <f>F120+F147</f>
        <v>0</v>
      </c>
      <c r="G119" s="243">
        <f>G120+G147</f>
        <v>1430</v>
      </c>
      <c r="H119" s="243">
        <f t="shared" si="7"/>
        <v>334513</v>
      </c>
      <c r="I119" s="243">
        <v>333083</v>
      </c>
      <c r="J119" s="243">
        <f>J120+J147</f>
        <v>0</v>
      </c>
      <c r="K119" s="243">
        <f>K120+K147</f>
        <v>0</v>
      </c>
      <c r="L119" s="243">
        <f>L120+L147</f>
        <v>1430</v>
      </c>
      <c r="M119" s="243">
        <f t="shared" si="8"/>
        <v>334513</v>
      </c>
      <c r="N119" s="243">
        <v>333083</v>
      </c>
      <c r="O119" s="243">
        <f>O120+O147</f>
        <v>0</v>
      </c>
      <c r="P119" s="243">
        <f>P120+P147</f>
        <v>0</v>
      </c>
      <c r="Q119" s="243">
        <f>Q120+Q147</f>
        <v>1430</v>
      </c>
      <c r="R119" s="243">
        <f t="shared" si="9"/>
        <v>334513</v>
      </c>
    </row>
    <row r="120" spans="1:18" s="6" customFormat="1" ht="20.399999999999999">
      <c r="A120" s="130" t="s">
        <v>102</v>
      </c>
      <c r="B120" s="124" t="s">
        <v>103</v>
      </c>
      <c r="C120" s="171">
        <v>284525</v>
      </c>
      <c r="D120" s="171">
        <v>333083</v>
      </c>
      <c r="E120" s="233">
        <f>E121+E125+E126+E129+E132</f>
        <v>0</v>
      </c>
      <c r="F120" s="233">
        <f>F121+F125+F126+F129+F132</f>
        <v>0</v>
      </c>
      <c r="G120" s="233">
        <f>G121+G125+G126+G129+G132</f>
        <v>1430</v>
      </c>
      <c r="H120" s="233">
        <f t="shared" si="7"/>
        <v>334513</v>
      </c>
      <c r="I120" s="233">
        <v>333083</v>
      </c>
      <c r="J120" s="233">
        <f>J121+J125+J126+J129+J132</f>
        <v>0</v>
      </c>
      <c r="K120" s="233">
        <f>K121+K125+K126+K129+K132</f>
        <v>0</v>
      </c>
      <c r="L120" s="233">
        <f>L121+L125+L126+L129+L132</f>
        <v>1430</v>
      </c>
      <c r="M120" s="233">
        <f t="shared" si="8"/>
        <v>334513</v>
      </c>
      <c r="N120" s="233">
        <v>333083</v>
      </c>
      <c r="O120" s="233">
        <f>O121+O125+O126+O129+O132</f>
        <v>0</v>
      </c>
      <c r="P120" s="233">
        <f>P121+P125+P126+P129+P132</f>
        <v>0</v>
      </c>
      <c r="Q120" s="233">
        <f>Q121+Q125+Q126+Q129+Q132</f>
        <v>1430</v>
      </c>
      <c r="R120" s="233">
        <f t="shared" si="9"/>
        <v>334513</v>
      </c>
    </row>
    <row r="121" spans="1:18" s="6" customFormat="1" ht="12">
      <c r="A121" s="130" t="s">
        <v>104</v>
      </c>
      <c r="B121" s="124" t="s">
        <v>105</v>
      </c>
      <c r="C121" s="171">
        <v>284525</v>
      </c>
      <c r="D121" s="171">
        <v>333083</v>
      </c>
      <c r="E121" s="233">
        <f>E122+E124</f>
        <v>0</v>
      </c>
      <c r="F121" s="233">
        <f>F122+F124</f>
        <v>0</v>
      </c>
      <c r="G121" s="233">
        <f>G122+G124</f>
        <v>1430</v>
      </c>
      <c r="H121" s="233">
        <f t="shared" si="7"/>
        <v>334513</v>
      </c>
      <c r="I121" s="233">
        <v>333083</v>
      </c>
      <c r="J121" s="233">
        <f>J122+J124</f>
        <v>0</v>
      </c>
      <c r="K121" s="233">
        <f>K122+K124</f>
        <v>0</v>
      </c>
      <c r="L121" s="233">
        <f>L122+L124</f>
        <v>1430</v>
      </c>
      <c r="M121" s="233">
        <f t="shared" si="8"/>
        <v>334513</v>
      </c>
      <c r="N121" s="233">
        <v>333083</v>
      </c>
      <c r="O121" s="233">
        <f>O122+O124</f>
        <v>0</v>
      </c>
      <c r="P121" s="233">
        <f>P122+P124</f>
        <v>0</v>
      </c>
      <c r="Q121" s="233">
        <f>Q122+Q124</f>
        <v>1430</v>
      </c>
      <c r="R121" s="233">
        <f t="shared" si="9"/>
        <v>334513</v>
      </c>
    </row>
    <row r="122" spans="1:18" s="29" customFormat="1" ht="12">
      <c r="A122" s="132">
        <v>1000</v>
      </c>
      <c r="B122" s="125" t="s">
        <v>106</v>
      </c>
      <c r="C122" s="171">
        <v>268598</v>
      </c>
      <c r="D122" s="171">
        <v>318035</v>
      </c>
      <c r="E122" s="233"/>
      <c r="F122" s="233"/>
      <c r="G122" s="233"/>
      <c r="H122" s="233">
        <f t="shared" si="7"/>
        <v>318035</v>
      </c>
      <c r="I122" s="233">
        <v>318035</v>
      </c>
      <c r="J122" s="233"/>
      <c r="K122" s="233"/>
      <c r="L122" s="233"/>
      <c r="M122" s="233">
        <f t="shared" si="8"/>
        <v>318035</v>
      </c>
      <c r="N122" s="233">
        <v>318035</v>
      </c>
      <c r="O122" s="233"/>
      <c r="P122" s="233"/>
      <c r="Q122" s="233"/>
      <c r="R122" s="233">
        <f t="shared" si="9"/>
        <v>318035</v>
      </c>
    </row>
    <row r="123" spans="1:18" s="89" customFormat="1" ht="12">
      <c r="A123" s="139">
        <v>1100</v>
      </c>
      <c r="B123" s="125" t="s">
        <v>107</v>
      </c>
      <c r="C123" s="171">
        <v>216456</v>
      </c>
      <c r="D123" s="171">
        <v>256296</v>
      </c>
      <c r="E123" s="233"/>
      <c r="F123" s="233"/>
      <c r="G123" s="233"/>
      <c r="H123" s="233">
        <f t="shared" si="7"/>
        <v>256296</v>
      </c>
      <c r="I123" s="233">
        <v>256296</v>
      </c>
      <c r="J123" s="233"/>
      <c r="K123" s="233"/>
      <c r="L123" s="233"/>
      <c r="M123" s="233">
        <f t="shared" si="8"/>
        <v>256296</v>
      </c>
      <c r="N123" s="233">
        <v>256296</v>
      </c>
      <c r="O123" s="233"/>
      <c r="P123" s="233"/>
      <c r="Q123" s="233"/>
      <c r="R123" s="233">
        <f t="shared" si="9"/>
        <v>256296</v>
      </c>
    </row>
    <row r="124" spans="1:18" s="89" customFormat="1" ht="12">
      <c r="A124" s="132">
        <v>2000</v>
      </c>
      <c r="B124" s="125" t="s">
        <v>108</v>
      </c>
      <c r="C124" s="171">
        <v>15927</v>
      </c>
      <c r="D124" s="171">
        <v>15048</v>
      </c>
      <c r="E124" s="233"/>
      <c r="F124" s="233"/>
      <c r="G124" s="233">
        <v>1430</v>
      </c>
      <c r="H124" s="233">
        <f t="shared" si="7"/>
        <v>16478</v>
      </c>
      <c r="I124" s="233">
        <v>15048</v>
      </c>
      <c r="J124" s="233"/>
      <c r="K124" s="233"/>
      <c r="L124" s="233">
        <v>1430</v>
      </c>
      <c r="M124" s="233">
        <f t="shared" si="8"/>
        <v>16478</v>
      </c>
      <c r="N124" s="233">
        <v>15048</v>
      </c>
      <c r="O124" s="233"/>
      <c r="P124" s="233"/>
      <c r="Q124" s="233">
        <v>1430</v>
      </c>
      <c r="R124" s="233">
        <f t="shared" si="9"/>
        <v>16478</v>
      </c>
    </row>
    <row r="125" spans="1:18" s="89" customFormat="1" ht="12" hidden="1" customHeight="1">
      <c r="A125" s="140">
        <v>4000</v>
      </c>
      <c r="B125" s="124" t="s">
        <v>132</v>
      </c>
      <c r="C125" s="171"/>
      <c r="D125" s="171">
        <v>0</v>
      </c>
      <c r="E125" s="233"/>
      <c r="F125" s="233"/>
      <c r="G125" s="233"/>
      <c r="H125" s="233">
        <f t="shared" si="7"/>
        <v>0</v>
      </c>
      <c r="I125" s="233">
        <v>0</v>
      </c>
      <c r="J125" s="233"/>
      <c r="K125" s="233"/>
      <c r="L125" s="233"/>
      <c r="M125" s="233">
        <f t="shared" si="8"/>
        <v>0</v>
      </c>
      <c r="N125" s="233">
        <v>0</v>
      </c>
      <c r="O125" s="233"/>
      <c r="P125" s="233"/>
      <c r="Q125" s="233"/>
      <c r="R125" s="233">
        <f t="shared" si="9"/>
        <v>0</v>
      </c>
    </row>
    <row r="126" spans="1:18" s="89" customFormat="1" ht="12" hidden="1" customHeight="1">
      <c r="A126" s="140" t="s">
        <v>109</v>
      </c>
      <c r="B126" s="124" t="s">
        <v>110</v>
      </c>
      <c r="C126" s="171">
        <v>0</v>
      </c>
      <c r="D126" s="171">
        <v>0</v>
      </c>
      <c r="E126" s="233">
        <f>E127+E128</f>
        <v>0</v>
      </c>
      <c r="F126" s="233">
        <f>F127+F128</f>
        <v>0</v>
      </c>
      <c r="G126" s="233">
        <f>G127+G128</f>
        <v>0</v>
      </c>
      <c r="H126" s="233">
        <f t="shared" si="7"/>
        <v>0</v>
      </c>
      <c r="I126" s="233">
        <v>0</v>
      </c>
      <c r="J126" s="233">
        <f>J127+J128</f>
        <v>0</v>
      </c>
      <c r="K126" s="233">
        <f>K127+K128</f>
        <v>0</v>
      </c>
      <c r="L126" s="233">
        <f>L127+L128</f>
        <v>0</v>
      </c>
      <c r="M126" s="233">
        <f t="shared" si="8"/>
        <v>0</v>
      </c>
      <c r="N126" s="233">
        <v>0</v>
      </c>
      <c r="O126" s="233">
        <f>O127+O128</f>
        <v>0</v>
      </c>
      <c r="P126" s="233">
        <f>P127+P128</f>
        <v>0</v>
      </c>
      <c r="Q126" s="233">
        <f>Q127+Q128</f>
        <v>0</v>
      </c>
      <c r="R126" s="233">
        <f t="shared" si="9"/>
        <v>0</v>
      </c>
    </row>
    <row r="127" spans="1:18" s="89" customFormat="1" ht="12" hidden="1" customHeight="1">
      <c r="A127" s="132">
        <v>3000</v>
      </c>
      <c r="B127" s="125" t="s">
        <v>111</v>
      </c>
      <c r="C127" s="213"/>
      <c r="D127" s="213">
        <v>0</v>
      </c>
      <c r="E127" s="345"/>
      <c r="F127" s="345"/>
      <c r="G127" s="345"/>
      <c r="H127" s="233">
        <f t="shared" si="7"/>
        <v>0</v>
      </c>
      <c r="I127" s="345">
        <v>0</v>
      </c>
      <c r="J127" s="345"/>
      <c r="K127" s="345"/>
      <c r="L127" s="345"/>
      <c r="M127" s="233">
        <f t="shared" si="8"/>
        <v>0</v>
      </c>
      <c r="N127" s="345">
        <v>0</v>
      </c>
      <c r="O127" s="345"/>
      <c r="P127" s="345"/>
      <c r="Q127" s="345"/>
      <c r="R127" s="233">
        <f t="shared" si="9"/>
        <v>0</v>
      </c>
    </row>
    <row r="128" spans="1:18" s="89" customFormat="1" ht="12" hidden="1" customHeight="1">
      <c r="A128" s="132">
        <v>6000</v>
      </c>
      <c r="B128" s="125" t="s">
        <v>112</v>
      </c>
      <c r="C128" s="287">
        <v>0</v>
      </c>
      <c r="D128" s="287">
        <v>0</v>
      </c>
      <c r="E128" s="346"/>
      <c r="F128" s="346"/>
      <c r="G128" s="346"/>
      <c r="H128" s="233">
        <f t="shared" si="7"/>
        <v>0</v>
      </c>
      <c r="I128" s="346">
        <v>0</v>
      </c>
      <c r="J128" s="346"/>
      <c r="K128" s="346"/>
      <c r="L128" s="346"/>
      <c r="M128" s="233">
        <f t="shared" si="8"/>
        <v>0</v>
      </c>
      <c r="N128" s="346">
        <v>0</v>
      </c>
      <c r="O128" s="346"/>
      <c r="P128" s="346"/>
      <c r="Q128" s="346"/>
      <c r="R128" s="233">
        <f t="shared" si="9"/>
        <v>0</v>
      </c>
    </row>
    <row r="129" spans="1:18" s="89" customFormat="1" ht="24" hidden="1" customHeight="1">
      <c r="A129" s="140" t="s">
        <v>113</v>
      </c>
      <c r="B129" s="124" t="s">
        <v>183</v>
      </c>
      <c r="C129" s="171">
        <v>0</v>
      </c>
      <c r="D129" s="171">
        <v>0</v>
      </c>
      <c r="E129" s="233">
        <f>E130+E131</f>
        <v>0</v>
      </c>
      <c r="F129" s="233">
        <f>F130+F131</f>
        <v>0</v>
      </c>
      <c r="G129" s="233">
        <f>G130+G131</f>
        <v>0</v>
      </c>
      <c r="H129" s="233">
        <f t="shared" si="7"/>
        <v>0</v>
      </c>
      <c r="I129" s="233">
        <v>0</v>
      </c>
      <c r="J129" s="233">
        <f>J130+J131</f>
        <v>0</v>
      </c>
      <c r="K129" s="233">
        <f>K130+K131</f>
        <v>0</v>
      </c>
      <c r="L129" s="233">
        <f>L130+L131</f>
        <v>0</v>
      </c>
      <c r="M129" s="233">
        <f t="shared" si="8"/>
        <v>0</v>
      </c>
      <c r="N129" s="233">
        <v>0</v>
      </c>
      <c r="O129" s="233">
        <f>O130+O131</f>
        <v>0</v>
      </c>
      <c r="P129" s="233">
        <f>P130+P131</f>
        <v>0</v>
      </c>
      <c r="Q129" s="233">
        <f>Q130+Q131</f>
        <v>0</v>
      </c>
      <c r="R129" s="233">
        <f t="shared" si="9"/>
        <v>0</v>
      </c>
    </row>
    <row r="130" spans="1:18" s="89" customFormat="1" ht="12" hidden="1" customHeight="1">
      <c r="A130" s="132">
        <v>7600</v>
      </c>
      <c r="B130" s="179" t="s">
        <v>184</v>
      </c>
      <c r="C130" s="171"/>
      <c r="D130" s="171">
        <v>0</v>
      </c>
      <c r="E130" s="233"/>
      <c r="F130" s="233"/>
      <c r="G130" s="233"/>
      <c r="H130" s="233">
        <f t="shared" si="7"/>
        <v>0</v>
      </c>
      <c r="I130" s="233">
        <v>0</v>
      </c>
      <c r="J130" s="233"/>
      <c r="K130" s="233"/>
      <c r="L130" s="233"/>
      <c r="M130" s="233">
        <f t="shared" si="8"/>
        <v>0</v>
      </c>
      <c r="N130" s="233">
        <v>0</v>
      </c>
      <c r="O130" s="233"/>
      <c r="P130" s="233"/>
      <c r="Q130" s="233"/>
      <c r="R130" s="233">
        <f t="shared" si="9"/>
        <v>0</v>
      </c>
    </row>
    <row r="131" spans="1:18" s="89" customFormat="1" ht="12" hidden="1" customHeight="1">
      <c r="A131" s="132">
        <v>7700</v>
      </c>
      <c r="B131" s="126" t="s">
        <v>114</v>
      </c>
      <c r="C131" s="171">
        <v>0</v>
      </c>
      <c r="D131" s="171">
        <v>0</v>
      </c>
      <c r="E131" s="233"/>
      <c r="F131" s="233"/>
      <c r="G131" s="233"/>
      <c r="H131" s="233">
        <f t="shared" si="7"/>
        <v>0</v>
      </c>
      <c r="I131" s="233">
        <v>0</v>
      </c>
      <c r="J131" s="233"/>
      <c r="K131" s="233"/>
      <c r="L131" s="233"/>
      <c r="M131" s="233">
        <f t="shared" si="8"/>
        <v>0</v>
      </c>
      <c r="N131" s="233">
        <v>0</v>
      </c>
      <c r="O131" s="233"/>
      <c r="P131" s="233"/>
      <c r="Q131" s="233"/>
      <c r="R131" s="233">
        <f t="shared" si="9"/>
        <v>0</v>
      </c>
    </row>
    <row r="132" spans="1:18" s="89" customFormat="1" ht="21" hidden="1" customHeight="1">
      <c r="A132" s="140" t="s">
        <v>185</v>
      </c>
      <c r="B132" s="124" t="s">
        <v>115</v>
      </c>
      <c r="C132" s="171">
        <v>0</v>
      </c>
      <c r="D132" s="171">
        <v>0</v>
      </c>
      <c r="E132" s="233">
        <f>E133+E139+E143+E146</f>
        <v>0</v>
      </c>
      <c r="F132" s="233">
        <f>F133+F139+F143+F146</f>
        <v>0</v>
      </c>
      <c r="G132" s="233">
        <f>G133+G139+G143+G146</f>
        <v>0</v>
      </c>
      <c r="H132" s="233">
        <f t="shared" si="7"/>
        <v>0</v>
      </c>
      <c r="I132" s="233">
        <v>0</v>
      </c>
      <c r="J132" s="233">
        <f>J133+J139+J143+J146</f>
        <v>0</v>
      </c>
      <c r="K132" s="233">
        <f>K133+K139+K143+K146</f>
        <v>0</v>
      </c>
      <c r="L132" s="233">
        <f>L133+L139+L143+L146</f>
        <v>0</v>
      </c>
      <c r="M132" s="233">
        <f t="shared" si="8"/>
        <v>0</v>
      </c>
      <c r="N132" s="233">
        <v>0</v>
      </c>
      <c r="O132" s="233">
        <f>O133+O139+O143+O146</f>
        <v>0</v>
      </c>
      <c r="P132" s="233">
        <f>P133+P139+P143+P146</f>
        <v>0</v>
      </c>
      <c r="Q132" s="233">
        <f>Q133+Q139+Q143+Q146</f>
        <v>0</v>
      </c>
      <c r="R132" s="233">
        <f t="shared" si="9"/>
        <v>0</v>
      </c>
    </row>
    <row r="133" spans="1:18" s="89" customFormat="1" ht="12" hidden="1" customHeight="1">
      <c r="A133" s="132">
        <v>7100</v>
      </c>
      <c r="B133" s="179" t="s">
        <v>116</v>
      </c>
      <c r="C133" s="171">
        <v>0</v>
      </c>
      <c r="D133" s="171">
        <v>0</v>
      </c>
      <c r="E133" s="233">
        <f>E134+E135</f>
        <v>0</v>
      </c>
      <c r="F133" s="233">
        <f>F134+F135</f>
        <v>0</v>
      </c>
      <c r="G133" s="233">
        <f>G134+G135</f>
        <v>0</v>
      </c>
      <c r="H133" s="233">
        <f t="shared" si="7"/>
        <v>0</v>
      </c>
      <c r="I133" s="233">
        <v>0</v>
      </c>
      <c r="J133" s="233">
        <f>J134+J135</f>
        <v>0</v>
      </c>
      <c r="K133" s="233">
        <f>K134+K135</f>
        <v>0</v>
      </c>
      <c r="L133" s="233">
        <f>L134+L135</f>
        <v>0</v>
      </c>
      <c r="M133" s="233">
        <f t="shared" si="8"/>
        <v>0</v>
      </c>
      <c r="N133" s="233">
        <v>0</v>
      </c>
      <c r="O133" s="233">
        <f>O134+O135</f>
        <v>0</v>
      </c>
      <c r="P133" s="233">
        <f>P134+P135</f>
        <v>0</v>
      </c>
      <c r="Q133" s="233">
        <f>Q134+Q135</f>
        <v>0</v>
      </c>
      <c r="R133" s="233">
        <f t="shared" si="9"/>
        <v>0</v>
      </c>
    </row>
    <row r="134" spans="1:18" s="89" customFormat="1" ht="24" hidden="1" customHeight="1">
      <c r="A134" s="133" t="s">
        <v>117</v>
      </c>
      <c r="B134" s="179" t="s">
        <v>118</v>
      </c>
      <c r="C134" s="171"/>
      <c r="D134" s="171">
        <v>0</v>
      </c>
      <c r="E134" s="233"/>
      <c r="F134" s="233"/>
      <c r="G134" s="233"/>
      <c r="H134" s="233">
        <f t="shared" si="7"/>
        <v>0</v>
      </c>
      <c r="I134" s="233">
        <v>0</v>
      </c>
      <c r="J134" s="233"/>
      <c r="K134" s="233"/>
      <c r="L134" s="233"/>
      <c r="M134" s="233">
        <f t="shared" si="8"/>
        <v>0</v>
      </c>
      <c r="N134" s="233">
        <v>0</v>
      </c>
      <c r="O134" s="233"/>
      <c r="P134" s="233"/>
      <c r="Q134" s="233"/>
      <c r="R134" s="233">
        <f t="shared" si="9"/>
        <v>0</v>
      </c>
    </row>
    <row r="135" spans="1:18" s="89" customFormat="1" ht="24" hidden="1" customHeight="1">
      <c r="A135" s="133">
        <v>7130</v>
      </c>
      <c r="B135" s="179" t="s">
        <v>119</v>
      </c>
      <c r="C135" s="171">
        <v>0</v>
      </c>
      <c r="D135" s="171">
        <v>0</v>
      </c>
      <c r="E135" s="233">
        <f>SUM(E136:E138)</f>
        <v>0</v>
      </c>
      <c r="F135" s="233">
        <f>SUM(F136:F138)</f>
        <v>0</v>
      </c>
      <c r="G135" s="233">
        <f>SUM(G136:G138)</f>
        <v>0</v>
      </c>
      <c r="H135" s="233">
        <f t="shared" si="7"/>
        <v>0</v>
      </c>
      <c r="I135" s="233">
        <v>0</v>
      </c>
      <c r="J135" s="233">
        <f>SUM(J136:J138)</f>
        <v>0</v>
      </c>
      <c r="K135" s="233">
        <f>SUM(K136:K138)</f>
        <v>0</v>
      </c>
      <c r="L135" s="233">
        <f>SUM(L136:L138)</f>
        <v>0</v>
      </c>
      <c r="M135" s="233">
        <f t="shared" si="8"/>
        <v>0</v>
      </c>
      <c r="N135" s="233">
        <v>0</v>
      </c>
      <c r="O135" s="233">
        <f>SUM(O136:O138)</f>
        <v>0</v>
      </c>
      <c r="P135" s="233">
        <f>SUM(P136:P138)</f>
        <v>0</v>
      </c>
      <c r="Q135" s="233">
        <f>SUM(Q136:Q138)</f>
        <v>0</v>
      </c>
      <c r="R135" s="233">
        <f t="shared" si="9"/>
        <v>0</v>
      </c>
    </row>
    <row r="136" spans="1:18" s="89" customFormat="1" ht="36" hidden="1" customHeight="1">
      <c r="A136" s="134">
        <v>7131</v>
      </c>
      <c r="B136" s="179" t="s">
        <v>120</v>
      </c>
      <c r="C136" s="171"/>
      <c r="D136" s="171">
        <v>0</v>
      </c>
      <c r="E136" s="233"/>
      <c r="F136" s="233"/>
      <c r="G136" s="233"/>
      <c r="H136" s="233">
        <f t="shared" si="7"/>
        <v>0</v>
      </c>
      <c r="I136" s="233">
        <v>0</v>
      </c>
      <c r="J136" s="233"/>
      <c r="K136" s="233"/>
      <c r="L136" s="233"/>
      <c r="M136" s="233">
        <f t="shared" si="8"/>
        <v>0</v>
      </c>
      <c r="N136" s="233">
        <v>0</v>
      </c>
      <c r="O136" s="233"/>
      <c r="P136" s="233"/>
      <c r="Q136" s="233"/>
      <c r="R136" s="233">
        <f t="shared" si="9"/>
        <v>0</v>
      </c>
    </row>
    <row r="137" spans="1:18" s="29" customFormat="1" ht="36" hidden="1" customHeight="1">
      <c r="A137" s="134">
        <v>7132</v>
      </c>
      <c r="B137" s="179" t="s">
        <v>121</v>
      </c>
      <c r="C137" s="171"/>
      <c r="D137" s="171">
        <v>0</v>
      </c>
      <c r="E137" s="233"/>
      <c r="F137" s="233"/>
      <c r="G137" s="233"/>
      <c r="H137" s="233">
        <f t="shared" si="7"/>
        <v>0</v>
      </c>
      <c r="I137" s="233">
        <v>0</v>
      </c>
      <c r="J137" s="233"/>
      <c r="K137" s="233"/>
      <c r="L137" s="233"/>
      <c r="M137" s="233">
        <f t="shared" si="8"/>
        <v>0</v>
      </c>
      <c r="N137" s="233">
        <v>0</v>
      </c>
      <c r="O137" s="233"/>
      <c r="P137" s="233"/>
      <c r="Q137" s="233"/>
      <c r="R137" s="233">
        <f t="shared" si="9"/>
        <v>0</v>
      </c>
    </row>
    <row r="138" spans="1:18" s="29" customFormat="1" ht="36" hidden="1" customHeight="1">
      <c r="A138" s="134" t="s">
        <v>186</v>
      </c>
      <c r="B138" s="179" t="s">
        <v>187</v>
      </c>
      <c r="C138" s="171"/>
      <c r="D138" s="171">
        <v>0</v>
      </c>
      <c r="E138" s="233"/>
      <c r="F138" s="233"/>
      <c r="G138" s="233"/>
      <c r="H138" s="233">
        <f t="shared" ref="H138:H201" si="14">SUM(D138:G138)</f>
        <v>0</v>
      </c>
      <c r="I138" s="233">
        <v>0</v>
      </c>
      <c r="J138" s="233"/>
      <c r="K138" s="233"/>
      <c r="L138" s="233"/>
      <c r="M138" s="233">
        <f t="shared" ref="M138:M201" si="15">SUM(I138:L138)</f>
        <v>0</v>
      </c>
      <c r="N138" s="233">
        <v>0</v>
      </c>
      <c r="O138" s="233"/>
      <c r="P138" s="233"/>
      <c r="Q138" s="233"/>
      <c r="R138" s="233">
        <f t="shared" ref="R138:R201" si="16">SUM(N138:Q138)</f>
        <v>0</v>
      </c>
    </row>
    <row r="139" spans="1:18" s="29" customFormat="1" ht="24" hidden="1" customHeight="1">
      <c r="A139" s="132">
        <v>7300</v>
      </c>
      <c r="B139" s="172" t="s">
        <v>155</v>
      </c>
      <c r="C139" s="171">
        <v>0</v>
      </c>
      <c r="D139" s="171">
        <v>0</v>
      </c>
      <c r="E139" s="233">
        <f>SUM(E140:E142)</f>
        <v>0</v>
      </c>
      <c r="F139" s="233">
        <f>SUM(F140:F142)</f>
        <v>0</v>
      </c>
      <c r="G139" s="233">
        <f>SUM(G140:G142)</f>
        <v>0</v>
      </c>
      <c r="H139" s="233">
        <f t="shared" si="14"/>
        <v>0</v>
      </c>
      <c r="I139" s="233">
        <v>0</v>
      </c>
      <c r="J139" s="233">
        <f>SUM(J140:J142)</f>
        <v>0</v>
      </c>
      <c r="K139" s="233">
        <f>SUM(K140:K142)</f>
        <v>0</v>
      </c>
      <c r="L139" s="233">
        <f>SUM(L140:L142)</f>
        <v>0</v>
      </c>
      <c r="M139" s="233">
        <f t="shared" si="15"/>
        <v>0</v>
      </c>
      <c r="N139" s="233">
        <v>0</v>
      </c>
      <c r="O139" s="233">
        <f>SUM(O140:O142)</f>
        <v>0</v>
      </c>
      <c r="P139" s="233">
        <f>SUM(P140:P142)</f>
        <v>0</v>
      </c>
      <c r="Q139" s="233">
        <f>SUM(Q140:Q142)</f>
        <v>0</v>
      </c>
      <c r="R139" s="233">
        <f t="shared" si="16"/>
        <v>0</v>
      </c>
    </row>
    <row r="140" spans="1:18" s="4" customFormat="1" ht="24" hidden="1" customHeight="1">
      <c r="A140" s="133" t="s">
        <v>188</v>
      </c>
      <c r="B140" s="179" t="s">
        <v>170</v>
      </c>
      <c r="C140" s="180"/>
      <c r="D140" s="180">
        <v>0</v>
      </c>
      <c r="E140" s="252"/>
      <c r="F140" s="252"/>
      <c r="G140" s="252"/>
      <c r="H140" s="233">
        <f t="shared" si="14"/>
        <v>0</v>
      </c>
      <c r="I140" s="252">
        <v>0</v>
      </c>
      <c r="J140" s="252"/>
      <c r="K140" s="252"/>
      <c r="L140" s="252"/>
      <c r="M140" s="233">
        <f t="shared" si="15"/>
        <v>0</v>
      </c>
      <c r="N140" s="252">
        <v>0</v>
      </c>
      <c r="O140" s="252"/>
      <c r="P140" s="252"/>
      <c r="Q140" s="252"/>
      <c r="R140" s="233">
        <f t="shared" si="16"/>
        <v>0</v>
      </c>
    </row>
    <row r="141" spans="1:18" ht="48" hidden="1" customHeight="1">
      <c r="A141" s="133" t="s">
        <v>189</v>
      </c>
      <c r="B141" s="179" t="s">
        <v>156</v>
      </c>
      <c r="C141" s="180"/>
      <c r="D141" s="180">
        <v>0</v>
      </c>
      <c r="E141" s="252"/>
      <c r="F141" s="252"/>
      <c r="G141" s="252"/>
      <c r="H141" s="233">
        <f t="shared" si="14"/>
        <v>0</v>
      </c>
      <c r="I141" s="252">
        <v>0</v>
      </c>
      <c r="J141" s="252"/>
      <c r="K141" s="252"/>
      <c r="L141" s="252"/>
      <c r="M141" s="233">
        <f t="shared" si="15"/>
        <v>0</v>
      </c>
      <c r="N141" s="252">
        <v>0</v>
      </c>
      <c r="O141" s="252"/>
      <c r="P141" s="252"/>
      <c r="Q141" s="252"/>
      <c r="R141" s="233">
        <f t="shared" si="16"/>
        <v>0</v>
      </c>
    </row>
    <row r="142" spans="1:18" ht="36" hidden="1" customHeight="1">
      <c r="A142" s="133">
        <v>7350</v>
      </c>
      <c r="B142" s="179" t="s">
        <v>163</v>
      </c>
      <c r="C142" s="180"/>
      <c r="D142" s="180">
        <v>0</v>
      </c>
      <c r="E142" s="252"/>
      <c r="F142" s="252"/>
      <c r="G142" s="252"/>
      <c r="H142" s="233">
        <f t="shared" si="14"/>
        <v>0</v>
      </c>
      <c r="I142" s="252">
        <v>0</v>
      </c>
      <c r="J142" s="252"/>
      <c r="K142" s="252"/>
      <c r="L142" s="252"/>
      <c r="M142" s="233">
        <f t="shared" si="15"/>
        <v>0</v>
      </c>
      <c r="N142" s="252">
        <v>0</v>
      </c>
      <c r="O142" s="252"/>
      <c r="P142" s="252"/>
      <c r="Q142" s="252"/>
      <c r="R142" s="233">
        <f t="shared" si="16"/>
        <v>0</v>
      </c>
    </row>
    <row r="143" spans="1:18" ht="24" hidden="1" customHeight="1">
      <c r="A143" s="132">
        <v>7400</v>
      </c>
      <c r="B143" s="172" t="s">
        <v>161</v>
      </c>
      <c r="C143" s="171">
        <v>0</v>
      </c>
      <c r="D143" s="171">
        <v>0</v>
      </c>
      <c r="E143" s="233">
        <f>SUM(E144:E145)</f>
        <v>0</v>
      </c>
      <c r="F143" s="233">
        <f>SUM(F144:F145)</f>
        <v>0</v>
      </c>
      <c r="G143" s="233">
        <f>SUM(G144:G145)</f>
        <v>0</v>
      </c>
      <c r="H143" s="233">
        <f t="shared" si="14"/>
        <v>0</v>
      </c>
      <c r="I143" s="233">
        <v>0</v>
      </c>
      <c r="J143" s="233">
        <f>SUM(J144:J145)</f>
        <v>0</v>
      </c>
      <c r="K143" s="233">
        <f>SUM(K144:K145)</f>
        <v>0</v>
      </c>
      <c r="L143" s="233">
        <f>SUM(L144:L145)</f>
        <v>0</v>
      </c>
      <c r="M143" s="233">
        <f t="shared" si="15"/>
        <v>0</v>
      </c>
      <c r="N143" s="233">
        <v>0</v>
      </c>
      <c r="O143" s="233">
        <f>SUM(O144:O145)</f>
        <v>0</v>
      </c>
      <c r="P143" s="233">
        <f>SUM(P144:P145)</f>
        <v>0</v>
      </c>
      <c r="Q143" s="233">
        <f>SUM(Q144:Q145)</f>
        <v>0</v>
      </c>
      <c r="R143" s="233">
        <f t="shared" si="16"/>
        <v>0</v>
      </c>
    </row>
    <row r="144" spans="1:18" ht="24" hidden="1" customHeight="1">
      <c r="A144" s="133">
        <v>7460</v>
      </c>
      <c r="B144" s="172" t="s">
        <v>162</v>
      </c>
      <c r="C144" s="180"/>
      <c r="D144" s="180">
        <v>0</v>
      </c>
      <c r="E144" s="252"/>
      <c r="F144" s="252"/>
      <c r="G144" s="252"/>
      <c r="H144" s="233">
        <f t="shared" si="14"/>
        <v>0</v>
      </c>
      <c r="I144" s="252">
        <v>0</v>
      </c>
      <c r="J144" s="252"/>
      <c r="K144" s="252"/>
      <c r="L144" s="252"/>
      <c r="M144" s="233">
        <f t="shared" si="15"/>
        <v>0</v>
      </c>
      <c r="N144" s="252">
        <v>0</v>
      </c>
      <c r="O144" s="252"/>
      <c r="P144" s="252"/>
      <c r="Q144" s="252"/>
      <c r="R144" s="233">
        <f t="shared" si="16"/>
        <v>0</v>
      </c>
    </row>
    <row r="145" spans="1:18" ht="48" hidden="1" customHeight="1">
      <c r="A145" s="133">
        <v>7470</v>
      </c>
      <c r="B145" s="179" t="s">
        <v>167</v>
      </c>
      <c r="C145" s="180"/>
      <c r="D145" s="180">
        <v>0</v>
      </c>
      <c r="E145" s="252"/>
      <c r="F145" s="252"/>
      <c r="G145" s="252"/>
      <c r="H145" s="233">
        <f t="shared" si="14"/>
        <v>0</v>
      </c>
      <c r="I145" s="252">
        <v>0</v>
      </c>
      <c r="J145" s="252"/>
      <c r="K145" s="252"/>
      <c r="L145" s="252"/>
      <c r="M145" s="233">
        <f t="shared" si="15"/>
        <v>0</v>
      </c>
      <c r="N145" s="252">
        <v>0</v>
      </c>
      <c r="O145" s="252"/>
      <c r="P145" s="252"/>
      <c r="Q145" s="252"/>
      <c r="R145" s="233">
        <f t="shared" si="16"/>
        <v>0</v>
      </c>
    </row>
    <row r="146" spans="1:18" ht="24" hidden="1" customHeight="1">
      <c r="A146" s="132">
        <v>7500</v>
      </c>
      <c r="B146" s="179" t="s">
        <v>157</v>
      </c>
      <c r="C146" s="171"/>
      <c r="D146" s="171">
        <v>0</v>
      </c>
      <c r="E146" s="233"/>
      <c r="F146" s="233"/>
      <c r="G146" s="233"/>
      <c r="H146" s="233">
        <f t="shared" si="14"/>
        <v>0</v>
      </c>
      <c r="I146" s="233">
        <v>0</v>
      </c>
      <c r="J146" s="233"/>
      <c r="K146" s="233"/>
      <c r="L146" s="233"/>
      <c r="M146" s="233">
        <f t="shared" si="15"/>
        <v>0</v>
      </c>
      <c r="N146" s="233">
        <v>0</v>
      </c>
      <c r="O146" s="233"/>
      <c r="P146" s="233"/>
      <c r="Q146" s="233"/>
      <c r="R146" s="233">
        <f t="shared" si="16"/>
        <v>0</v>
      </c>
    </row>
    <row r="147" spans="1:18" s="4" customFormat="1" ht="12">
      <c r="A147" s="140" t="s">
        <v>133</v>
      </c>
      <c r="B147" s="124" t="s">
        <v>122</v>
      </c>
      <c r="C147" s="181">
        <v>8356</v>
      </c>
      <c r="D147" s="181">
        <v>0</v>
      </c>
      <c r="E147" s="254">
        <f>E148+E149</f>
        <v>0</v>
      </c>
      <c r="F147" s="254">
        <f>F148+F149</f>
        <v>0</v>
      </c>
      <c r="G147" s="254">
        <f>G148+G149</f>
        <v>0</v>
      </c>
      <c r="H147" s="233">
        <f t="shared" si="14"/>
        <v>0</v>
      </c>
      <c r="I147" s="254">
        <v>0</v>
      </c>
      <c r="J147" s="254">
        <f>J148+J149</f>
        <v>0</v>
      </c>
      <c r="K147" s="254">
        <f>K148+K149</f>
        <v>0</v>
      </c>
      <c r="L147" s="254">
        <f>L148+L149</f>
        <v>0</v>
      </c>
      <c r="M147" s="233">
        <f t="shared" si="15"/>
        <v>0</v>
      </c>
      <c r="N147" s="254">
        <v>0</v>
      </c>
      <c r="O147" s="254">
        <f>O148+O149</f>
        <v>0</v>
      </c>
      <c r="P147" s="254">
        <f>P148+P149</f>
        <v>0</v>
      </c>
      <c r="Q147" s="254">
        <f>Q148+Q149</f>
        <v>0</v>
      </c>
      <c r="R147" s="233">
        <f t="shared" si="16"/>
        <v>0</v>
      </c>
    </row>
    <row r="148" spans="1:18" s="6" customFormat="1" ht="12">
      <c r="A148" s="140">
        <v>5000</v>
      </c>
      <c r="B148" s="124" t="s">
        <v>123</v>
      </c>
      <c r="C148" s="171">
        <v>8356</v>
      </c>
      <c r="D148" s="171">
        <v>0</v>
      </c>
      <c r="E148" s="233"/>
      <c r="F148" s="233"/>
      <c r="G148" s="233"/>
      <c r="H148" s="233">
        <f t="shared" si="14"/>
        <v>0</v>
      </c>
      <c r="I148" s="233">
        <v>0</v>
      </c>
      <c r="J148" s="233"/>
      <c r="K148" s="233"/>
      <c r="L148" s="233"/>
      <c r="M148" s="233">
        <f t="shared" si="15"/>
        <v>0</v>
      </c>
      <c r="N148" s="233">
        <v>0</v>
      </c>
      <c r="O148" s="233"/>
      <c r="P148" s="233"/>
      <c r="Q148" s="233"/>
      <c r="R148" s="233">
        <f t="shared" si="16"/>
        <v>0</v>
      </c>
    </row>
    <row r="149" spans="1:18" s="6" customFormat="1" ht="12" hidden="1" customHeight="1">
      <c r="A149" s="140">
        <v>9000</v>
      </c>
      <c r="B149" s="182" t="s">
        <v>164</v>
      </c>
      <c r="C149" s="171">
        <v>0</v>
      </c>
      <c r="D149" s="171">
        <v>0</v>
      </c>
      <c r="E149" s="233">
        <f>E150+E156+E160+E163</f>
        <v>0</v>
      </c>
      <c r="F149" s="233">
        <f>F150+F156+F160+F163</f>
        <v>0</v>
      </c>
      <c r="G149" s="233">
        <f>G150+G156+G160+G163</f>
        <v>0</v>
      </c>
      <c r="H149" s="233">
        <f t="shared" si="14"/>
        <v>0</v>
      </c>
      <c r="I149" s="233">
        <v>0</v>
      </c>
      <c r="J149" s="233">
        <f>J150+J156+J160+J163</f>
        <v>0</v>
      </c>
      <c r="K149" s="233">
        <f>K150+K156+K160+K163</f>
        <v>0</v>
      </c>
      <c r="L149" s="233">
        <f>L150+L156+L160+L163</f>
        <v>0</v>
      </c>
      <c r="M149" s="233">
        <f t="shared" si="15"/>
        <v>0</v>
      </c>
      <c r="N149" s="233">
        <v>0</v>
      </c>
      <c r="O149" s="233">
        <f>O150+O156+O160+O163</f>
        <v>0</v>
      </c>
      <c r="P149" s="233">
        <f>P150+P156+P160+P163</f>
        <v>0</v>
      </c>
      <c r="Q149" s="233">
        <f>Q150+Q156+Q160+Q163</f>
        <v>0</v>
      </c>
      <c r="R149" s="233">
        <f t="shared" si="16"/>
        <v>0</v>
      </c>
    </row>
    <row r="150" spans="1:18" s="6" customFormat="1" ht="12" hidden="1" customHeight="1">
      <c r="A150" s="141">
        <v>9100</v>
      </c>
      <c r="B150" s="179" t="s">
        <v>124</v>
      </c>
      <c r="C150" s="171">
        <v>0</v>
      </c>
      <c r="D150" s="171">
        <v>0</v>
      </c>
      <c r="E150" s="233">
        <f>SUM(E151:E152)</f>
        <v>0</v>
      </c>
      <c r="F150" s="233">
        <f>SUM(F151:F152)</f>
        <v>0</v>
      </c>
      <c r="G150" s="233">
        <f>SUM(G151:G152)</f>
        <v>0</v>
      </c>
      <c r="H150" s="233">
        <f t="shared" si="14"/>
        <v>0</v>
      </c>
      <c r="I150" s="233">
        <v>0</v>
      </c>
      <c r="J150" s="233">
        <f>SUM(J151:J152)</f>
        <v>0</v>
      </c>
      <c r="K150" s="233">
        <f>SUM(K151:K152)</f>
        <v>0</v>
      </c>
      <c r="L150" s="233">
        <f>SUM(L151:L152)</f>
        <v>0</v>
      </c>
      <c r="M150" s="233">
        <f t="shared" si="15"/>
        <v>0</v>
      </c>
      <c r="N150" s="233">
        <v>0</v>
      </c>
      <c r="O150" s="233">
        <f>SUM(O151:O152)</f>
        <v>0</v>
      </c>
      <c r="P150" s="233">
        <f>SUM(P151:P152)</f>
        <v>0</v>
      </c>
      <c r="Q150" s="233">
        <f>SUM(Q151:Q152)</f>
        <v>0</v>
      </c>
      <c r="R150" s="233">
        <f t="shared" si="16"/>
        <v>0</v>
      </c>
    </row>
    <row r="151" spans="1:18" s="6" customFormat="1" ht="24" hidden="1" customHeight="1">
      <c r="A151" s="133" t="s">
        <v>125</v>
      </c>
      <c r="B151" s="179" t="s">
        <v>214</v>
      </c>
      <c r="C151" s="171"/>
      <c r="D151" s="171">
        <v>0</v>
      </c>
      <c r="E151" s="233"/>
      <c r="F151" s="233"/>
      <c r="G151" s="233"/>
      <c r="H151" s="233">
        <f t="shared" si="14"/>
        <v>0</v>
      </c>
      <c r="I151" s="233">
        <v>0</v>
      </c>
      <c r="J151" s="233"/>
      <c r="K151" s="233"/>
      <c r="L151" s="233"/>
      <c r="M151" s="233">
        <f t="shared" si="15"/>
        <v>0</v>
      </c>
      <c r="N151" s="233">
        <v>0</v>
      </c>
      <c r="O151" s="233"/>
      <c r="P151" s="233"/>
      <c r="Q151" s="233"/>
      <c r="R151" s="233">
        <f t="shared" si="16"/>
        <v>0</v>
      </c>
    </row>
    <row r="152" spans="1:18" s="6" customFormat="1" ht="24" hidden="1" customHeight="1">
      <c r="A152" s="133">
        <v>9140</v>
      </c>
      <c r="B152" s="179" t="s">
        <v>215</v>
      </c>
      <c r="C152" s="171">
        <v>0</v>
      </c>
      <c r="D152" s="171">
        <v>0</v>
      </c>
      <c r="E152" s="233">
        <f>SUM(E153:E155)</f>
        <v>0</v>
      </c>
      <c r="F152" s="233">
        <f>SUM(F153:F155)</f>
        <v>0</v>
      </c>
      <c r="G152" s="233">
        <f>SUM(G153:G155)</f>
        <v>0</v>
      </c>
      <c r="H152" s="233">
        <f t="shared" si="14"/>
        <v>0</v>
      </c>
      <c r="I152" s="233">
        <v>0</v>
      </c>
      <c r="J152" s="233">
        <f>SUM(J153:J155)</f>
        <v>0</v>
      </c>
      <c r="K152" s="233">
        <f>SUM(K153:K155)</f>
        <v>0</v>
      </c>
      <c r="L152" s="233">
        <f>SUM(L153:L155)</f>
        <v>0</v>
      </c>
      <c r="M152" s="233">
        <f t="shared" si="15"/>
        <v>0</v>
      </c>
      <c r="N152" s="233">
        <v>0</v>
      </c>
      <c r="O152" s="233">
        <f>SUM(O153:O155)</f>
        <v>0</v>
      </c>
      <c r="P152" s="233">
        <f>SUM(P153:P155)</f>
        <v>0</v>
      </c>
      <c r="Q152" s="233">
        <f>SUM(Q153:Q155)</f>
        <v>0</v>
      </c>
      <c r="R152" s="233">
        <f t="shared" si="16"/>
        <v>0</v>
      </c>
    </row>
    <row r="153" spans="1:18" s="6" customFormat="1" ht="36" hidden="1" customHeight="1">
      <c r="A153" s="134">
        <v>9141</v>
      </c>
      <c r="B153" s="172" t="s">
        <v>190</v>
      </c>
      <c r="C153" s="180"/>
      <c r="D153" s="180">
        <v>0</v>
      </c>
      <c r="E153" s="252"/>
      <c r="F153" s="252"/>
      <c r="G153" s="252"/>
      <c r="H153" s="233">
        <f t="shared" si="14"/>
        <v>0</v>
      </c>
      <c r="I153" s="252">
        <v>0</v>
      </c>
      <c r="J153" s="252"/>
      <c r="K153" s="252"/>
      <c r="L153" s="252"/>
      <c r="M153" s="233">
        <f t="shared" si="15"/>
        <v>0</v>
      </c>
      <c r="N153" s="252">
        <v>0</v>
      </c>
      <c r="O153" s="252"/>
      <c r="P153" s="252"/>
      <c r="Q153" s="252"/>
      <c r="R153" s="233">
        <f t="shared" si="16"/>
        <v>0</v>
      </c>
    </row>
    <row r="154" spans="1:18" s="6" customFormat="1" ht="36" hidden="1" customHeight="1">
      <c r="A154" s="134">
        <v>9142</v>
      </c>
      <c r="B154" s="172" t="s">
        <v>191</v>
      </c>
      <c r="C154" s="180"/>
      <c r="D154" s="180">
        <v>0</v>
      </c>
      <c r="E154" s="252"/>
      <c r="F154" s="252"/>
      <c r="G154" s="252"/>
      <c r="H154" s="233">
        <f t="shared" si="14"/>
        <v>0</v>
      </c>
      <c r="I154" s="252">
        <v>0</v>
      </c>
      <c r="J154" s="252"/>
      <c r="K154" s="252"/>
      <c r="L154" s="252"/>
      <c r="M154" s="233">
        <f t="shared" si="15"/>
        <v>0</v>
      </c>
      <c r="N154" s="252">
        <v>0</v>
      </c>
      <c r="O154" s="252"/>
      <c r="P154" s="252"/>
      <c r="Q154" s="252"/>
      <c r="R154" s="233">
        <f t="shared" si="16"/>
        <v>0</v>
      </c>
    </row>
    <row r="155" spans="1:18" s="6" customFormat="1" ht="24" hidden="1" customHeight="1">
      <c r="A155" s="134">
        <v>9149</v>
      </c>
      <c r="B155" s="172" t="s">
        <v>192</v>
      </c>
      <c r="C155" s="180"/>
      <c r="D155" s="180">
        <v>0</v>
      </c>
      <c r="E155" s="252"/>
      <c r="F155" s="252"/>
      <c r="G155" s="252"/>
      <c r="H155" s="233">
        <f t="shared" si="14"/>
        <v>0</v>
      </c>
      <c r="I155" s="252">
        <v>0</v>
      </c>
      <c r="J155" s="252"/>
      <c r="K155" s="252"/>
      <c r="L155" s="252"/>
      <c r="M155" s="233">
        <f t="shared" si="15"/>
        <v>0</v>
      </c>
      <c r="N155" s="252">
        <v>0</v>
      </c>
      <c r="O155" s="252"/>
      <c r="P155" s="252"/>
      <c r="Q155" s="252"/>
      <c r="R155" s="233">
        <f t="shared" si="16"/>
        <v>0</v>
      </c>
    </row>
    <row r="156" spans="1:18" s="6" customFormat="1" ht="24" hidden="1" customHeight="1">
      <c r="A156" s="141">
        <v>9500</v>
      </c>
      <c r="B156" s="172" t="s">
        <v>165</v>
      </c>
      <c r="C156" s="171">
        <v>0</v>
      </c>
      <c r="D156" s="171">
        <v>0</v>
      </c>
      <c r="E156" s="233">
        <f>SUM(E157:E159)</f>
        <v>0</v>
      </c>
      <c r="F156" s="233">
        <f>SUM(F157:F159)</f>
        <v>0</v>
      </c>
      <c r="G156" s="233">
        <f>SUM(G157:G159)</f>
        <v>0</v>
      </c>
      <c r="H156" s="233">
        <f t="shared" si="14"/>
        <v>0</v>
      </c>
      <c r="I156" s="233">
        <v>0</v>
      </c>
      <c r="J156" s="233">
        <f>SUM(J157:J159)</f>
        <v>0</v>
      </c>
      <c r="K156" s="233">
        <f>SUM(K157:K159)</f>
        <v>0</v>
      </c>
      <c r="L156" s="233">
        <f>SUM(L157:L159)</f>
        <v>0</v>
      </c>
      <c r="M156" s="233">
        <f t="shared" si="15"/>
        <v>0</v>
      </c>
      <c r="N156" s="233">
        <v>0</v>
      </c>
      <c r="O156" s="233">
        <f>SUM(O157:O159)</f>
        <v>0</v>
      </c>
      <c r="P156" s="233">
        <f>SUM(P157:P159)</f>
        <v>0</v>
      </c>
      <c r="Q156" s="233">
        <f>SUM(Q157:Q159)</f>
        <v>0</v>
      </c>
      <c r="R156" s="233">
        <f t="shared" si="16"/>
        <v>0</v>
      </c>
    </row>
    <row r="157" spans="1:18" s="6" customFormat="1" ht="24" hidden="1" customHeight="1">
      <c r="A157" s="133" t="s">
        <v>193</v>
      </c>
      <c r="B157" s="172" t="s">
        <v>171</v>
      </c>
      <c r="C157" s="171"/>
      <c r="D157" s="171">
        <v>0</v>
      </c>
      <c r="E157" s="233"/>
      <c r="F157" s="233"/>
      <c r="G157" s="233"/>
      <c r="H157" s="233">
        <f t="shared" si="14"/>
        <v>0</v>
      </c>
      <c r="I157" s="233">
        <v>0</v>
      </c>
      <c r="J157" s="233"/>
      <c r="K157" s="233"/>
      <c r="L157" s="233"/>
      <c r="M157" s="233">
        <f t="shared" si="15"/>
        <v>0</v>
      </c>
      <c r="N157" s="233">
        <v>0</v>
      </c>
      <c r="O157" s="233"/>
      <c r="P157" s="233"/>
      <c r="Q157" s="233"/>
      <c r="R157" s="233">
        <f t="shared" si="16"/>
        <v>0</v>
      </c>
    </row>
    <row r="158" spans="1:18" s="6" customFormat="1" ht="48" hidden="1" customHeight="1">
      <c r="A158" s="133">
        <v>9580</v>
      </c>
      <c r="B158" s="172" t="s">
        <v>166</v>
      </c>
      <c r="C158" s="180"/>
      <c r="D158" s="180">
        <v>0</v>
      </c>
      <c r="E158" s="252"/>
      <c r="F158" s="252"/>
      <c r="G158" s="252"/>
      <c r="H158" s="233">
        <f t="shared" si="14"/>
        <v>0</v>
      </c>
      <c r="I158" s="252">
        <v>0</v>
      </c>
      <c r="J158" s="252"/>
      <c r="K158" s="252"/>
      <c r="L158" s="252"/>
      <c r="M158" s="233">
        <f t="shared" si="15"/>
        <v>0</v>
      </c>
      <c r="N158" s="252">
        <v>0</v>
      </c>
      <c r="O158" s="252"/>
      <c r="P158" s="252"/>
      <c r="Q158" s="252"/>
      <c r="R158" s="233">
        <f t="shared" si="16"/>
        <v>0</v>
      </c>
    </row>
    <row r="159" spans="1:18" s="6" customFormat="1" ht="48" hidden="1" customHeight="1">
      <c r="A159" s="133">
        <v>9590</v>
      </c>
      <c r="B159" s="179" t="s">
        <v>172</v>
      </c>
      <c r="C159" s="180"/>
      <c r="D159" s="180">
        <v>0</v>
      </c>
      <c r="E159" s="252"/>
      <c r="F159" s="252"/>
      <c r="G159" s="252"/>
      <c r="H159" s="233">
        <f t="shared" si="14"/>
        <v>0</v>
      </c>
      <c r="I159" s="252">
        <v>0</v>
      </c>
      <c r="J159" s="252"/>
      <c r="K159" s="252"/>
      <c r="L159" s="252"/>
      <c r="M159" s="233">
        <f t="shared" si="15"/>
        <v>0</v>
      </c>
      <c r="N159" s="252">
        <v>0</v>
      </c>
      <c r="O159" s="252"/>
      <c r="P159" s="252"/>
      <c r="Q159" s="252"/>
      <c r="R159" s="233">
        <f t="shared" si="16"/>
        <v>0</v>
      </c>
    </row>
    <row r="160" spans="1:18" s="6" customFormat="1" ht="24" hidden="1" customHeight="1">
      <c r="A160" s="141">
        <v>9700</v>
      </c>
      <c r="B160" s="183" t="s">
        <v>194</v>
      </c>
      <c r="C160" s="171">
        <v>0</v>
      </c>
      <c r="D160" s="171">
        <v>0</v>
      </c>
      <c r="E160" s="233">
        <f>SUM(E161:E162)</f>
        <v>0</v>
      </c>
      <c r="F160" s="233">
        <f>SUM(F161:F162)</f>
        <v>0</v>
      </c>
      <c r="G160" s="233">
        <f>SUM(G161:G162)</f>
        <v>0</v>
      </c>
      <c r="H160" s="233">
        <f t="shared" si="14"/>
        <v>0</v>
      </c>
      <c r="I160" s="233">
        <v>0</v>
      </c>
      <c r="J160" s="233">
        <f>SUM(J161:J162)</f>
        <v>0</v>
      </c>
      <c r="K160" s="233">
        <f>SUM(K161:K162)</f>
        <v>0</v>
      </c>
      <c r="L160" s="233">
        <f>SUM(L161:L162)</f>
        <v>0</v>
      </c>
      <c r="M160" s="233">
        <f t="shared" si="15"/>
        <v>0</v>
      </c>
      <c r="N160" s="233">
        <v>0</v>
      </c>
      <c r="O160" s="233">
        <f>SUM(O161:O162)</f>
        <v>0</v>
      </c>
      <c r="P160" s="233">
        <f>SUM(P161:P162)</f>
        <v>0</v>
      </c>
      <c r="Q160" s="233">
        <f>SUM(Q161:Q162)</f>
        <v>0</v>
      </c>
      <c r="R160" s="233">
        <f t="shared" si="16"/>
        <v>0</v>
      </c>
    </row>
    <row r="161" spans="1:18" s="6" customFormat="1" ht="24" hidden="1" customHeight="1">
      <c r="A161" s="133">
        <v>9710</v>
      </c>
      <c r="B161" s="184" t="s">
        <v>195</v>
      </c>
      <c r="C161" s="180"/>
      <c r="D161" s="180">
        <v>0</v>
      </c>
      <c r="E161" s="252"/>
      <c r="F161" s="252"/>
      <c r="G161" s="252"/>
      <c r="H161" s="233">
        <f t="shared" si="14"/>
        <v>0</v>
      </c>
      <c r="I161" s="252">
        <v>0</v>
      </c>
      <c r="J161" s="252"/>
      <c r="K161" s="252"/>
      <c r="L161" s="252"/>
      <c r="M161" s="233">
        <f t="shared" si="15"/>
        <v>0</v>
      </c>
      <c r="N161" s="252">
        <v>0</v>
      </c>
      <c r="O161" s="252"/>
      <c r="P161" s="252"/>
      <c r="Q161" s="252"/>
      <c r="R161" s="233">
        <f t="shared" si="16"/>
        <v>0</v>
      </c>
    </row>
    <row r="162" spans="1:18" s="6" customFormat="1" ht="48" hidden="1" customHeight="1">
      <c r="A162" s="142">
        <v>9720</v>
      </c>
      <c r="B162" s="183" t="s">
        <v>196</v>
      </c>
      <c r="C162" s="180"/>
      <c r="D162" s="180">
        <v>0</v>
      </c>
      <c r="E162" s="252"/>
      <c r="F162" s="252"/>
      <c r="G162" s="252"/>
      <c r="H162" s="233">
        <f t="shared" si="14"/>
        <v>0</v>
      </c>
      <c r="I162" s="252">
        <v>0</v>
      </c>
      <c r="J162" s="252"/>
      <c r="K162" s="252"/>
      <c r="L162" s="252"/>
      <c r="M162" s="233">
        <f t="shared" si="15"/>
        <v>0</v>
      </c>
      <c r="N162" s="252">
        <v>0</v>
      </c>
      <c r="O162" s="252"/>
      <c r="P162" s="252"/>
      <c r="Q162" s="252"/>
      <c r="R162" s="233">
        <f t="shared" si="16"/>
        <v>0</v>
      </c>
    </row>
    <row r="163" spans="1:18" s="6" customFormat="1" ht="24" hidden="1" customHeight="1">
      <c r="A163" s="141">
        <v>9600</v>
      </c>
      <c r="B163" s="179" t="s">
        <v>134</v>
      </c>
      <c r="C163" s="180"/>
      <c r="D163" s="180">
        <v>0</v>
      </c>
      <c r="E163" s="252"/>
      <c r="F163" s="252"/>
      <c r="G163" s="252"/>
      <c r="H163" s="233">
        <f t="shared" si="14"/>
        <v>0</v>
      </c>
      <c r="I163" s="252">
        <v>0</v>
      </c>
      <c r="J163" s="252"/>
      <c r="K163" s="252"/>
      <c r="L163" s="252"/>
      <c r="M163" s="233">
        <f t="shared" si="15"/>
        <v>0</v>
      </c>
      <c r="N163" s="252">
        <v>0</v>
      </c>
      <c r="O163" s="252"/>
      <c r="P163" s="252"/>
      <c r="Q163" s="252"/>
      <c r="R163" s="233">
        <f t="shared" si="16"/>
        <v>0</v>
      </c>
    </row>
    <row r="164" spans="1:18" s="6" customFormat="1" ht="52.5" hidden="1" customHeight="1">
      <c r="A164" s="130" t="s">
        <v>197</v>
      </c>
      <c r="B164" s="185" t="s">
        <v>47</v>
      </c>
      <c r="C164" s="186"/>
      <c r="D164" s="186">
        <v>0</v>
      </c>
      <c r="E164" s="262">
        <f>E94-E119</f>
        <v>0</v>
      </c>
      <c r="F164" s="262">
        <f>F94-F119</f>
        <v>0</v>
      </c>
      <c r="G164" s="262">
        <f>G94-G119</f>
        <v>0</v>
      </c>
      <c r="H164" s="233">
        <f t="shared" si="14"/>
        <v>0</v>
      </c>
      <c r="I164" s="262">
        <v>0</v>
      </c>
      <c r="J164" s="262">
        <f>J94-J119</f>
        <v>0</v>
      </c>
      <c r="K164" s="262">
        <f>K94-K119</f>
        <v>0</v>
      </c>
      <c r="L164" s="262">
        <f>L94-L119</f>
        <v>0</v>
      </c>
      <c r="M164" s="233">
        <f t="shared" si="15"/>
        <v>0</v>
      </c>
      <c r="N164" s="262">
        <v>0</v>
      </c>
      <c r="O164" s="262">
        <f>O94-O119</f>
        <v>0</v>
      </c>
      <c r="P164" s="262">
        <f>P94-P119</f>
        <v>0</v>
      </c>
      <c r="Q164" s="262">
        <f>Q94-Q119</f>
        <v>0</v>
      </c>
      <c r="R164" s="233">
        <f t="shared" si="16"/>
        <v>0</v>
      </c>
    </row>
    <row r="165" spans="1:18" s="6" customFormat="1" ht="12" hidden="1" customHeight="1">
      <c r="A165" s="143" t="s">
        <v>48</v>
      </c>
      <c r="B165" s="185" t="s">
        <v>49</v>
      </c>
      <c r="C165" s="186">
        <v>0</v>
      </c>
      <c r="D165" s="186">
        <v>0</v>
      </c>
      <c r="E165" s="262">
        <f>E166+E169+E173+E172</f>
        <v>0</v>
      </c>
      <c r="F165" s="262">
        <f>F166+F169+F173+F172</f>
        <v>0</v>
      </c>
      <c r="G165" s="262">
        <f>G166+G169+G173+G172</f>
        <v>0</v>
      </c>
      <c r="H165" s="233">
        <f t="shared" si="14"/>
        <v>0</v>
      </c>
      <c r="I165" s="262">
        <v>0</v>
      </c>
      <c r="J165" s="262">
        <f>J166+J169+J173+J172</f>
        <v>0</v>
      </c>
      <c r="K165" s="262">
        <f>K166+K169+K173+K172</f>
        <v>0</v>
      </c>
      <c r="L165" s="262">
        <f>L166+L169+L173+L172</f>
        <v>0</v>
      </c>
      <c r="M165" s="233">
        <f t="shared" si="15"/>
        <v>0</v>
      </c>
      <c r="N165" s="262">
        <v>0</v>
      </c>
      <c r="O165" s="262">
        <f>O166+O169+O173+O172</f>
        <v>0</v>
      </c>
      <c r="P165" s="262">
        <f>P166+P169+P173+P172</f>
        <v>0</v>
      </c>
      <c r="Q165" s="262">
        <f>Q166+Q169+Q173+Q172</f>
        <v>0</v>
      </c>
      <c r="R165" s="233">
        <f t="shared" si="16"/>
        <v>0</v>
      </c>
    </row>
    <row r="166" spans="1:18" s="6" customFormat="1" ht="12" hidden="1" customHeight="1">
      <c r="A166" s="141" t="s">
        <v>50</v>
      </c>
      <c r="B166" s="179" t="s">
        <v>51</v>
      </c>
      <c r="C166" s="169">
        <v>0</v>
      </c>
      <c r="D166" s="169">
        <v>0</v>
      </c>
      <c r="E166" s="231">
        <f>E167+E168</f>
        <v>0</v>
      </c>
      <c r="F166" s="231">
        <f>F167+F168</f>
        <v>0</v>
      </c>
      <c r="G166" s="231">
        <f>G167+G168</f>
        <v>0</v>
      </c>
      <c r="H166" s="233">
        <f t="shared" si="14"/>
        <v>0</v>
      </c>
      <c r="I166" s="231">
        <v>0</v>
      </c>
      <c r="J166" s="231">
        <f>J167+J168</f>
        <v>0</v>
      </c>
      <c r="K166" s="231">
        <f>K167+K168</f>
        <v>0</v>
      </c>
      <c r="L166" s="231">
        <f>L167+L168</f>
        <v>0</v>
      </c>
      <c r="M166" s="233">
        <f t="shared" si="15"/>
        <v>0</v>
      </c>
      <c r="N166" s="231">
        <v>0</v>
      </c>
      <c r="O166" s="231">
        <f>O167+O168</f>
        <v>0</v>
      </c>
      <c r="P166" s="231">
        <f>P167+P168</f>
        <v>0</v>
      </c>
      <c r="Q166" s="231">
        <f>Q167+Q168</f>
        <v>0</v>
      </c>
      <c r="R166" s="233">
        <f t="shared" si="16"/>
        <v>0</v>
      </c>
    </row>
    <row r="167" spans="1:18" s="6" customFormat="1" ht="12" hidden="1" customHeight="1">
      <c r="A167" s="141" t="s">
        <v>52</v>
      </c>
      <c r="B167" s="179" t="s">
        <v>53</v>
      </c>
      <c r="C167" s="169"/>
      <c r="D167" s="169">
        <v>0</v>
      </c>
      <c r="E167" s="231"/>
      <c r="F167" s="231"/>
      <c r="G167" s="231"/>
      <c r="H167" s="233">
        <f t="shared" si="14"/>
        <v>0</v>
      </c>
      <c r="I167" s="231">
        <v>0</v>
      </c>
      <c r="J167" s="231"/>
      <c r="K167" s="231"/>
      <c r="L167" s="231"/>
      <c r="M167" s="233">
        <f t="shared" si="15"/>
        <v>0</v>
      </c>
      <c r="N167" s="231">
        <v>0</v>
      </c>
      <c r="O167" s="231"/>
      <c r="P167" s="231"/>
      <c r="Q167" s="231"/>
      <c r="R167" s="233">
        <f t="shared" si="16"/>
        <v>0</v>
      </c>
    </row>
    <row r="168" spans="1:18" s="6" customFormat="1" ht="12" hidden="1" customHeight="1">
      <c r="A168" s="141" t="s">
        <v>54</v>
      </c>
      <c r="B168" s="179" t="s">
        <v>55</v>
      </c>
      <c r="C168" s="169"/>
      <c r="D168" s="169">
        <v>0</v>
      </c>
      <c r="E168" s="231"/>
      <c r="F168" s="231"/>
      <c r="G168" s="231"/>
      <c r="H168" s="233">
        <f t="shared" si="14"/>
        <v>0</v>
      </c>
      <c r="I168" s="231">
        <v>0</v>
      </c>
      <c r="J168" s="231"/>
      <c r="K168" s="231"/>
      <c r="L168" s="231"/>
      <c r="M168" s="233">
        <f t="shared" si="15"/>
        <v>0</v>
      </c>
      <c r="N168" s="231">
        <v>0</v>
      </c>
      <c r="O168" s="231"/>
      <c r="P168" s="231"/>
      <c r="Q168" s="231"/>
      <c r="R168" s="233">
        <f t="shared" si="16"/>
        <v>0</v>
      </c>
    </row>
    <row r="169" spans="1:18" s="6" customFormat="1" ht="12" hidden="1" customHeight="1">
      <c r="A169" s="141" t="s">
        <v>56</v>
      </c>
      <c r="B169" s="179" t="s">
        <v>57</v>
      </c>
      <c r="C169" s="169">
        <v>0</v>
      </c>
      <c r="D169" s="169">
        <v>0</v>
      </c>
      <c r="E169" s="231">
        <f>E170+E171</f>
        <v>0</v>
      </c>
      <c r="F169" s="231">
        <f>F170+F171</f>
        <v>0</v>
      </c>
      <c r="G169" s="231">
        <f>G170+G171</f>
        <v>0</v>
      </c>
      <c r="H169" s="233">
        <f t="shared" si="14"/>
        <v>0</v>
      </c>
      <c r="I169" s="231">
        <v>0</v>
      </c>
      <c r="J169" s="231">
        <f>J170+J171</f>
        <v>0</v>
      </c>
      <c r="K169" s="231">
        <f>K170+K171</f>
        <v>0</v>
      </c>
      <c r="L169" s="231">
        <f>L170+L171</f>
        <v>0</v>
      </c>
      <c r="M169" s="233">
        <f t="shared" si="15"/>
        <v>0</v>
      </c>
      <c r="N169" s="231">
        <v>0</v>
      </c>
      <c r="O169" s="231">
        <f>O170+O171</f>
        <v>0</v>
      </c>
      <c r="P169" s="231">
        <f>P170+P171</f>
        <v>0</v>
      </c>
      <c r="Q169" s="231">
        <f>Q170+Q171</f>
        <v>0</v>
      </c>
      <c r="R169" s="233">
        <f t="shared" si="16"/>
        <v>0</v>
      </c>
    </row>
    <row r="170" spans="1:18" s="6" customFormat="1" ht="12" hidden="1" customHeight="1">
      <c r="A170" s="141" t="s">
        <v>58</v>
      </c>
      <c r="B170" s="179" t="s">
        <v>59</v>
      </c>
      <c r="C170" s="169"/>
      <c r="D170" s="169">
        <v>0</v>
      </c>
      <c r="E170" s="231"/>
      <c r="F170" s="231"/>
      <c r="G170" s="231"/>
      <c r="H170" s="233">
        <f t="shared" si="14"/>
        <v>0</v>
      </c>
      <c r="I170" s="231">
        <v>0</v>
      </c>
      <c r="J170" s="231"/>
      <c r="K170" s="231"/>
      <c r="L170" s="231"/>
      <c r="M170" s="233">
        <f t="shared" si="15"/>
        <v>0</v>
      </c>
      <c r="N170" s="231">
        <v>0</v>
      </c>
      <c r="O170" s="231"/>
      <c r="P170" s="231"/>
      <c r="Q170" s="231"/>
      <c r="R170" s="233">
        <f t="shared" si="16"/>
        <v>0</v>
      </c>
    </row>
    <row r="171" spans="1:18" s="6" customFormat="1" ht="12" hidden="1" customHeight="1">
      <c r="A171" s="141" t="s">
        <v>60</v>
      </c>
      <c r="B171" s="179" t="s">
        <v>61</v>
      </c>
      <c r="C171" s="169"/>
      <c r="D171" s="169">
        <v>0</v>
      </c>
      <c r="E171" s="231"/>
      <c r="F171" s="231"/>
      <c r="G171" s="231"/>
      <c r="H171" s="233">
        <f t="shared" si="14"/>
        <v>0</v>
      </c>
      <c r="I171" s="231">
        <v>0</v>
      </c>
      <c r="J171" s="231"/>
      <c r="K171" s="231"/>
      <c r="L171" s="231"/>
      <c r="M171" s="233">
        <f t="shared" si="15"/>
        <v>0</v>
      </c>
      <c r="N171" s="231">
        <v>0</v>
      </c>
      <c r="O171" s="231"/>
      <c r="P171" s="231"/>
      <c r="Q171" s="231"/>
      <c r="R171" s="233">
        <f t="shared" si="16"/>
        <v>0</v>
      </c>
    </row>
    <row r="172" spans="1:18" s="6" customFormat="1" ht="12" hidden="1" customHeight="1">
      <c r="A172" s="141" t="s">
        <v>198</v>
      </c>
      <c r="B172" s="187" t="s">
        <v>168</v>
      </c>
      <c r="C172" s="169"/>
      <c r="D172" s="169">
        <v>0</v>
      </c>
      <c r="E172" s="231"/>
      <c r="F172" s="231"/>
      <c r="G172" s="231"/>
      <c r="H172" s="233">
        <f t="shared" si="14"/>
        <v>0</v>
      </c>
      <c r="I172" s="231">
        <v>0</v>
      </c>
      <c r="J172" s="231"/>
      <c r="K172" s="231"/>
      <c r="L172" s="231"/>
      <c r="M172" s="233">
        <f t="shared" si="15"/>
        <v>0</v>
      </c>
      <c r="N172" s="231">
        <v>0</v>
      </c>
      <c r="O172" s="231"/>
      <c r="P172" s="231"/>
      <c r="Q172" s="231"/>
      <c r="R172" s="233">
        <f t="shared" si="16"/>
        <v>0</v>
      </c>
    </row>
    <row r="173" spans="1:18" s="6" customFormat="1" ht="12" hidden="1" customHeight="1">
      <c r="A173" s="144" t="s">
        <v>62</v>
      </c>
      <c r="B173" s="125" t="s">
        <v>63</v>
      </c>
      <c r="C173" s="171">
        <v>0</v>
      </c>
      <c r="D173" s="171">
        <v>0</v>
      </c>
      <c r="E173" s="233">
        <f>E174+E175+E176</f>
        <v>0</v>
      </c>
      <c r="F173" s="233">
        <f>F174+F175+F176</f>
        <v>0</v>
      </c>
      <c r="G173" s="233">
        <f>G174+G175+G176</f>
        <v>0</v>
      </c>
      <c r="H173" s="233">
        <f t="shared" si="14"/>
        <v>0</v>
      </c>
      <c r="I173" s="233">
        <v>0</v>
      </c>
      <c r="J173" s="233">
        <f>J174+J175+J176</f>
        <v>0</v>
      </c>
      <c r="K173" s="233">
        <f>K174+K175+K176</f>
        <v>0</v>
      </c>
      <c r="L173" s="233">
        <f>L174+L175+L176</f>
        <v>0</v>
      </c>
      <c r="M173" s="233">
        <f t="shared" si="15"/>
        <v>0</v>
      </c>
      <c r="N173" s="233">
        <v>0</v>
      </c>
      <c r="O173" s="233">
        <f>O174+O175+O176</f>
        <v>0</v>
      </c>
      <c r="P173" s="233">
        <f>P174+P175+P176</f>
        <v>0</v>
      </c>
      <c r="Q173" s="233">
        <f>Q174+Q175+Q176</f>
        <v>0</v>
      </c>
      <c r="R173" s="233">
        <f t="shared" si="16"/>
        <v>0</v>
      </c>
    </row>
    <row r="174" spans="1:18" s="6" customFormat="1" ht="36" hidden="1" customHeight="1">
      <c r="A174" s="144" t="s">
        <v>64</v>
      </c>
      <c r="B174" s="179" t="s">
        <v>65</v>
      </c>
      <c r="C174" s="169"/>
      <c r="D174" s="169">
        <v>0</v>
      </c>
      <c r="E174" s="231"/>
      <c r="F174" s="231"/>
      <c r="G174" s="231"/>
      <c r="H174" s="233">
        <f t="shared" si="14"/>
        <v>0</v>
      </c>
      <c r="I174" s="231">
        <v>0</v>
      </c>
      <c r="J174" s="231"/>
      <c r="K174" s="231"/>
      <c r="L174" s="231"/>
      <c r="M174" s="233">
        <f t="shared" si="15"/>
        <v>0</v>
      </c>
      <c r="N174" s="231">
        <v>0</v>
      </c>
      <c r="O174" s="231"/>
      <c r="P174" s="231"/>
      <c r="Q174" s="231"/>
      <c r="R174" s="233">
        <f t="shared" si="16"/>
        <v>0</v>
      </c>
    </row>
    <row r="175" spans="1:18" s="6" customFormat="1" ht="24" hidden="1" customHeight="1">
      <c r="A175" s="144" t="s">
        <v>66</v>
      </c>
      <c r="B175" s="179" t="s">
        <v>67</v>
      </c>
      <c r="C175" s="169"/>
      <c r="D175" s="169">
        <v>0</v>
      </c>
      <c r="E175" s="231"/>
      <c r="F175" s="231"/>
      <c r="G175" s="231"/>
      <c r="H175" s="233">
        <f t="shared" si="14"/>
        <v>0</v>
      </c>
      <c r="I175" s="231">
        <v>0</v>
      </c>
      <c r="J175" s="231"/>
      <c r="K175" s="231"/>
      <c r="L175" s="231"/>
      <c r="M175" s="233">
        <f t="shared" si="15"/>
        <v>0</v>
      </c>
      <c r="N175" s="231">
        <v>0</v>
      </c>
      <c r="O175" s="231"/>
      <c r="P175" s="231"/>
      <c r="Q175" s="231"/>
      <c r="R175" s="233">
        <f t="shared" si="16"/>
        <v>0</v>
      </c>
    </row>
    <row r="176" spans="1:18" s="6" customFormat="1" ht="24" hidden="1" customHeight="1">
      <c r="A176" s="144" t="s">
        <v>68</v>
      </c>
      <c r="B176" s="125" t="s">
        <v>69</v>
      </c>
      <c r="C176" s="169"/>
      <c r="D176" s="169">
        <v>0</v>
      </c>
      <c r="E176" s="231"/>
      <c r="F176" s="231"/>
      <c r="G176" s="231"/>
      <c r="H176" s="233">
        <f t="shared" si="14"/>
        <v>0</v>
      </c>
      <c r="I176" s="231">
        <v>0</v>
      </c>
      <c r="J176" s="231"/>
      <c r="K176" s="231"/>
      <c r="L176" s="231"/>
      <c r="M176" s="233">
        <f t="shared" si="15"/>
        <v>0</v>
      </c>
      <c r="N176" s="231">
        <v>0</v>
      </c>
      <c r="O176" s="231"/>
      <c r="P176" s="231"/>
      <c r="Q176" s="231"/>
      <c r="R176" s="233">
        <f t="shared" si="16"/>
        <v>0</v>
      </c>
    </row>
    <row r="177" spans="1:18" s="6" customFormat="1" ht="34.200000000000003">
      <c r="A177" s="145"/>
      <c r="B177" s="188" t="s">
        <v>200</v>
      </c>
      <c r="C177" s="293"/>
      <c r="D177" s="294">
        <v>0</v>
      </c>
      <c r="E177" s="347"/>
      <c r="F177" s="347"/>
      <c r="G177" s="347"/>
      <c r="H177" s="347">
        <f t="shared" si="14"/>
        <v>0</v>
      </c>
      <c r="I177" s="347">
        <v>0</v>
      </c>
      <c r="J177" s="347"/>
      <c r="K177" s="347"/>
      <c r="L177" s="347"/>
      <c r="M177" s="347">
        <f t="shared" si="15"/>
        <v>0</v>
      </c>
      <c r="N177" s="347">
        <v>0</v>
      </c>
      <c r="O177" s="347"/>
      <c r="P177" s="347"/>
      <c r="Q177" s="347"/>
      <c r="R177" s="347">
        <f t="shared" si="16"/>
        <v>0</v>
      </c>
    </row>
    <row r="178" spans="1:18" s="6" customFormat="1" ht="21" hidden="1" customHeight="1">
      <c r="A178" s="129" t="s">
        <v>201</v>
      </c>
      <c r="B178" s="123" t="s">
        <v>88</v>
      </c>
      <c r="C178" s="200">
        <v>0</v>
      </c>
      <c r="D178" s="200">
        <v>0</v>
      </c>
      <c r="E178" s="228">
        <f>E179+E180+E182+E200</f>
        <v>0</v>
      </c>
      <c r="F178" s="228">
        <f>F179+F180+F182+F200</f>
        <v>0</v>
      </c>
      <c r="G178" s="228">
        <f>G179+G180+G182+G200</f>
        <v>0</v>
      </c>
      <c r="H178" s="229">
        <f t="shared" si="14"/>
        <v>0</v>
      </c>
      <c r="I178" s="228">
        <v>0</v>
      </c>
      <c r="J178" s="228">
        <f>J179+J180+J182+J200</f>
        <v>0</v>
      </c>
      <c r="K178" s="228">
        <f>K179+K180+K182+K200</f>
        <v>0</v>
      </c>
      <c r="L178" s="228">
        <f>L179+L180+L182+L200</f>
        <v>0</v>
      </c>
      <c r="M178" s="229">
        <f t="shared" si="15"/>
        <v>0</v>
      </c>
      <c r="N178" s="228">
        <v>0</v>
      </c>
      <c r="O178" s="228">
        <f>O179+O180+O182+O200</f>
        <v>0</v>
      </c>
      <c r="P178" s="228">
        <f>P179+P180+P182+P200</f>
        <v>0</v>
      </c>
      <c r="Q178" s="228">
        <f>Q179+Q180+Q182+Q200</f>
        <v>0</v>
      </c>
      <c r="R178" s="229">
        <f t="shared" si="16"/>
        <v>0</v>
      </c>
    </row>
    <row r="179" spans="1:18" s="6" customFormat="1" ht="24" hidden="1" customHeight="1">
      <c r="A179" s="130" t="s">
        <v>177</v>
      </c>
      <c r="B179" s="124" t="s">
        <v>90</v>
      </c>
      <c r="C179" s="98">
        <v>0</v>
      </c>
      <c r="D179" s="98">
        <v>0</v>
      </c>
      <c r="E179" s="231"/>
      <c r="F179" s="231"/>
      <c r="G179" s="231"/>
      <c r="H179" s="232">
        <f t="shared" si="14"/>
        <v>0</v>
      </c>
      <c r="I179" s="231">
        <v>0</v>
      </c>
      <c r="J179" s="231"/>
      <c r="K179" s="231"/>
      <c r="L179" s="231"/>
      <c r="M179" s="232">
        <f t="shared" si="15"/>
        <v>0</v>
      </c>
      <c r="N179" s="231">
        <v>0</v>
      </c>
      <c r="O179" s="231"/>
      <c r="P179" s="231"/>
      <c r="Q179" s="231"/>
      <c r="R179" s="232">
        <f t="shared" si="16"/>
        <v>0</v>
      </c>
    </row>
    <row r="180" spans="1:18" s="6" customFormat="1" ht="12" hidden="1" customHeight="1">
      <c r="A180" s="130" t="s">
        <v>91</v>
      </c>
      <c r="B180" s="124" t="s">
        <v>92</v>
      </c>
      <c r="C180" s="98"/>
      <c r="D180" s="98">
        <v>0</v>
      </c>
      <c r="E180" s="231"/>
      <c r="F180" s="231"/>
      <c r="G180" s="231"/>
      <c r="H180" s="232">
        <f t="shared" si="14"/>
        <v>0</v>
      </c>
      <c r="I180" s="231">
        <v>0</v>
      </c>
      <c r="J180" s="231"/>
      <c r="K180" s="231"/>
      <c r="L180" s="231"/>
      <c r="M180" s="232">
        <f t="shared" si="15"/>
        <v>0</v>
      </c>
      <c r="N180" s="231">
        <v>0</v>
      </c>
      <c r="O180" s="231"/>
      <c r="P180" s="231"/>
      <c r="Q180" s="231"/>
      <c r="R180" s="232">
        <f t="shared" si="16"/>
        <v>0</v>
      </c>
    </row>
    <row r="181" spans="1:18" s="29" customFormat="1" ht="24" hidden="1" customHeight="1">
      <c r="A181" s="131">
        <v>21210</v>
      </c>
      <c r="B181" s="125" t="s">
        <v>93</v>
      </c>
      <c r="C181" s="98"/>
      <c r="D181" s="98">
        <v>0</v>
      </c>
      <c r="E181" s="231"/>
      <c r="F181" s="231"/>
      <c r="G181" s="231"/>
      <c r="H181" s="232">
        <f t="shared" si="14"/>
        <v>0</v>
      </c>
      <c r="I181" s="231">
        <v>0</v>
      </c>
      <c r="J181" s="231"/>
      <c r="K181" s="231"/>
      <c r="L181" s="231"/>
      <c r="M181" s="232">
        <f t="shared" si="15"/>
        <v>0</v>
      </c>
      <c r="N181" s="231">
        <v>0</v>
      </c>
      <c r="O181" s="231"/>
      <c r="P181" s="231"/>
      <c r="Q181" s="231"/>
      <c r="R181" s="232">
        <f t="shared" si="16"/>
        <v>0</v>
      </c>
    </row>
    <row r="182" spans="1:18" s="89" customFormat="1" ht="21" hidden="1" customHeight="1">
      <c r="A182" s="130" t="s">
        <v>178</v>
      </c>
      <c r="B182" s="124" t="s">
        <v>94</v>
      </c>
      <c r="C182" s="170">
        <v>0</v>
      </c>
      <c r="D182" s="170">
        <v>0</v>
      </c>
      <c r="E182" s="233">
        <f>E183+E189</f>
        <v>0</v>
      </c>
      <c r="F182" s="233">
        <f>F183+F189</f>
        <v>0</v>
      </c>
      <c r="G182" s="233">
        <f>G183+G189</f>
        <v>0</v>
      </c>
      <c r="H182" s="232">
        <f t="shared" si="14"/>
        <v>0</v>
      </c>
      <c r="I182" s="233">
        <v>0</v>
      </c>
      <c r="J182" s="233">
        <f>J183+J189</f>
        <v>0</v>
      </c>
      <c r="K182" s="233">
        <f>K183+K189</f>
        <v>0</v>
      </c>
      <c r="L182" s="233">
        <f>L183+L189</f>
        <v>0</v>
      </c>
      <c r="M182" s="232">
        <f t="shared" si="15"/>
        <v>0</v>
      </c>
      <c r="N182" s="233">
        <v>0</v>
      </c>
      <c r="O182" s="233">
        <f>O183+O189</f>
        <v>0</v>
      </c>
      <c r="P182" s="233">
        <f>P183+P189</f>
        <v>0</v>
      </c>
      <c r="Q182" s="233">
        <f>Q183+Q189</f>
        <v>0</v>
      </c>
      <c r="R182" s="232">
        <f t="shared" si="16"/>
        <v>0</v>
      </c>
    </row>
    <row r="183" spans="1:18" s="89" customFormat="1" ht="12" hidden="1" customHeight="1">
      <c r="A183" s="132">
        <v>18000</v>
      </c>
      <c r="B183" s="125" t="s">
        <v>95</v>
      </c>
      <c r="C183" s="170">
        <v>0</v>
      </c>
      <c r="D183" s="170">
        <v>0</v>
      </c>
      <c r="E183" s="233">
        <f t="shared" ref="E183:L184" si="17">E184</f>
        <v>0</v>
      </c>
      <c r="F183" s="233">
        <f t="shared" si="17"/>
        <v>0</v>
      </c>
      <c r="G183" s="233">
        <f t="shared" si="17"/>
        <v>0</v>
      </c>
      <c r="H183" s="232">
        <f t="shared" si="14"/>
        <v>0</v>
      </c>
      <c r="I183" s="233">
        <v>0</v>
      </c>
      <c r="J183" s="233">
        <f t="shared" si="17"/>
        <v>0</v>
      </c>
      <c r="K183" s="233">
        <f t="shared" si="17"/>
        <v>0</v>
      </c>
      <c r="L183" s="233">
        <f t="shared" si="17"/>
        <v>0</v>
      </c>
      <c r="M183" s="232">
        <f t="shared" si="15"/>
        <v>0</v>
      </c>
      <c r="N183" s="233">
        <v>0</v>
      </c>
      <c r="O183" s="233">
        <f t="shared" ref="O183:Q184" si="18">O184</f>
        <v>0</v>
      </c>
      <c r="P183" s="233">
        <f t="shared" si="18"/>
        <v>0</v>
      </c>
      <c r="Q183" s="233">
        <f t="shared" si="18"/>
        <v>0</v>
      </c>
      <c r="R183" s="232">
        <f t="shared" si="16"/>
        <v>0</v>
      </c>
    </row>
    <row r="184" spans="1:18" s="89" customFormat="1" ht="12" hidden="1" customHeight="1">
      <c r="A184" s="132">
        <v>18100</v>
      </c>
      <c r="B184" s="125" t="s">
        <v>96</v>
      </c>
      <c r="C184" s="170">
        <v>0</v>
      </c>
      <c r="D184" s="170">
        <v>0</v>
      </c>
      <c r="E184" s="233">
        <f t="shared" si="17"/>
        <v>0</v>
      </c>
      <c r="F184" s="233">
        <f t="shared" si="17"/>
        <v>0</v>
      </c>
      <c r="G184" s="233">
        <f t="shared" si="17"/>
        <v>0</v>
      </c>
      <c r="H184" s="232">
        <f t="shared" si="14"/>
        <v>0</v>
      </c>
      <c r="I184" s="233">
        <v>0</v>
      </c>
      <c r="J184" s="233">
        <f t="shared" si="17"/>
        <v>0</v>
      </c>
      <c r="K184" s="233">
        <f t="shared" si="17"/>
        <v>0</v>
      </c>
      <c r="L184" s="233">
        <f t="shared" si="17"/>
        <v>0</v>
      </c>
      <c r="M184" s="232">
        <f t="shared" si="15"/>
        <v>0</v>
      </c>
      <c r="N184" s="233">
        <v>0</v>
      </c>
      <c r="O184" s="233">
        <f t="shared" si="18"/>
        <v>0</v>
      </c>
      <c r="P184" s="233">
        <f t="shared" si="18"/>
        <v>0</v>
      </c>
      <c r="Q184" s="233">
        <f t="shared" si="18"/>
        <v>0</v>
      </c>
      <c r="R184" s="232">
        <f t="shared" si="16"/>
        <v>0</v>
      </c>
    </row>
    <row r="185" spans="1:18" s="89" customFormat="1" ht="24" hidden="1" customHeight="1">
      <c r="A185" s="133">
        <v>18130</v>
      </c>
      <c r="B185" s="172" t="s">
        <v>159</v>
      </c>
      <c r="C185" s="170">
        <v>0</v>
      </c>
      <c r="D185" s="170">
        <v>0</v>
      </c>
      <c r="E185" s="233">
        <f>SUM(E186:E188)</f>
        <v>0</v>
      </c>
      <c r="F185" s="233">
        <f>SUM(F186:F188)</f>
        <v>0</v>
      </c>
      <c r="G185" s="233">
        <f>SUM(G186:G188)</f>
        <v>0</v>
      </c>
      <c r="H185" s="232">
        <f t="shared" si="14"/>
        <v>0</v>
      </c>
      <c r="I185" s="233">
        <v>0</v>
      </c>
      <c r="J185" s="233">
        <f>SUM(J186:J188)</f>
        <v>0</v>
      </c>
      <c r="K185" s="233">
        <f>SUM(K186:K188)</f>
        <v>0</v>
      </c>
      <c r="L185" s="233">
        <f>SUM(L186:L188)</f>
        <v>0</v>
      </c>
      <c r="M185" s="232">
        <f t="shared" si="15"/>
        <v>0</v>
      </c>
      <c r="N185" s="233">
        <v>0</v>
      </c>
      <c r="O185" s="233">
        <f>SUM(O186:O188)</f>
        <v>0</v>
      </c>
      <c r="P185" s="233">
        <f>SUM(P186:P188)</f>
        <v>0</v>
      </c>
      <c r="Q185" s="233">
        <f>SUM(Q186:Q188)</f>
        <v>0</v>
      </c>
      <c r="R185" s="232">
        <f t="shared" si="16"/>
        <v>0</v>
      </c>
    </row>
    <row r="186" spans="1:18" s="89" customFormat="1" ht="36" hidden="1" customHeight="1">
      <c r="A186" s="134">
        <v>18131</v>
      </c>
      <c r="B186" s="172" t="s">
        <v>160</v>
      </c>
      <c r="C186" s="170"/>
      <c r="D186" s="170">
        <v>0</v>
      </c>
      <c r="E186" s="233"/>
      <c r="F186" s="233"/>
      <c r="G186" s="233"/>
      <c r="H186" s="232">
        <f t="shared" si="14"/>
        <v>0</v>
      </c>
      <c r="I186" s="233">
        <v>0</v>
      </c>
      <c r="J186" s="233"/>
      <c r="K186" s="233"/>
      <c r="L186" s="233"/>
      <c r="M186" s="232">
        <f t="shared" si="15"/>
        <v>0</v>
      </c>
      <c r="N186" s="233">
        <v>0</v>
      </c>
      <c r="O186" s="233"/>
      <c r="P186" s="233"/>
      <c r="Q186" s="233"/>
      <c r="R186" s="232">
        <f t="shared" si="16"/>
        <v>0</v>
      </c>
    </row>
    <row r="187" spans="1:18" s="89" customFormat="1" ht="24" hidden="1" customHeight="1">
      <c r="A187" s="134">
        <v>18132</v>
      </c>
      <c r="B187" s="172" t="s">
        <v>169</v>
      </c>
      <c r="C187" s="170"/>
      <c r="D187" s="170">
        <v>0</v>
      </c>
      <c r="E187" s="233"/>
      <c r="F187" s="233"/>
      <c r="G187" s="233"/>
      <c r="H187" s="232">
        <f t="shared" si="14"/>
        <v>0</v>
      </c>
      <c r="I187" s="233">
        <v>0</v>
      </c>
      <c r="J187" s="233"/>
      <c r="K187" s="233"/>
      <c r="L187" s="233"/>
      <c r="M187" s="232">
        <f t="shared" si="15"/>
        <v>0</v>
      </c>
      <c r="N187" s="233">
        <v>0</v>
      </c>
      <c r="O187" s="233"/>
      <c r="P187" s="233"/>
      <c r="Q187" s="233"/>
      <c r="R187" s="232">
        <f t="shared" si="16"/>
        <v>0</v>
      </c>
    </row>
    <row r="188" spans="1:18" s="89" customFormat="1" ht="24" hidden="1" customHeight="1">
      <c r="A188" s="134">
        <v>18139</v>
      </c>
      <c r="B188" s="172" t="s">
        <v>179</v>
      </c>
      <c r="C188" s="170"/>
      <c r="D188" s="170">
        <v>0</v>
      </c>
      <c r="E188" s="233"/>
      <c r="F188" s="233"/>
      <c r="G188" s="233"/>
      <c r="H188" s="232">
        <f t="shared" si="14"/>
        <v>0</v>
      </c>
      <c r="I188" s="233">
        <v>0</v>
      </c>
      <c r="J188" s="233"/>
      <c r="K188" s="233"/>
      <c r="L188" s="233"/>
      <c r="M188" s="232">
        <f t="shared" si="15"/>
        <v>0</v>
      </c>
      <c r="N188" s="233">
        <v>0</v>
      </c>
      <c r="O188" s="233"/>
      <c r="P188" s="233"/>
      <c r="Q188" s="233"/>
      <c r="R188" s="232">
        <f t="shared" si="16"/>
        <v>0</v>
      </c>
    </row>
    <row r="189" spans="1:18" s="89" customFormat="1" ht="12" hidden="1" customHeight="1">
      <c r="A189" s="135" t="s">
        <v>180</v>
      </c>
      <c r="B189" s="173" t="s">
        <v>173</v>
      </c>
      <c r="C189" s="201">
        <v>0</v>
      </c>
      <c r="D189" s="201">
        <v>0</v>
      </c>
      <c r="E189" s="238">
        <f t="shared" ref="E189:L189" si="19">E190</f>
        <v>0</v>
      </c>
      <c r="F189" s="238">
        <f t="shared" si="19"/>
        <v>0</v>
      </c>
      <c r="G189" s="238">
        <f t="shared" si="19"/>
        <v>0</v>
      </c>
      <c r="H189" s="232">
        <f t="shared" si="14"/>
        <v>0</v>
      </c>
      <c r="I189" s="238">
        <v>0</v>
      </c>
      <c r="J189" s="238">
        <f t="shared" si="19"/>
        <v>0</v>
      </c>
      <c r="K189" s="238">
        <f t="shared" si="19"/>
        <v>0</v>
      </c>
      <c r="L189" s="238">
        <f t="shared" si="19"/>
        <v>0</v>
      </c>
      <c r="M189" s="232">
        <f t="shared" si="15"/>
        <v>0</v>
      </c>
      <c r="N189" s="238">
        <v>0</v>
      </c>
      <c r="O189" s="238">
        <f>O190</f>
        <v>0</v>
      </c>
      <c r="P189" s="238">
        <f>P190</f>
        <v>0</v>
      </c>
      <c r="Q189" s="238">
        <f>Q190</f>
        <v>0</v>
      </c>
      <c r="R189" s="232">
        <f t="shared" si="16"/>
        <v>0</v>
      </c>
    </row>
    <row r="190" spans="1:18" s="89" customFormat="1" ht="24" hidden="1" customHeight="1">
      <c r="A190" s="135">
        <v>19500</v>
      </c>
      <c r="B190" s="172" t="s">
        <v>174</v>
      </c>
      <c r="C190" s="170">
        <v>0</v>
      </c>
      <c r="D190" s="170">
        <v>0</v>
      </c>
      <c r="E190" s="233">
        <f>SUM(E191:E193)</f>
        <v>0</v>
      </c>
      <c r="F190" s="233">
        <f>SUM(F191:F193)</f>
        <v>0</v>
      </c>
      <c r="G190" s="233">
        <f>SUM(G191:G193)</f>
        <v>0</v>
      </c>
      <c r="H190" s="232">
        <f t="shared" si="14"/>
        <v>0</v>
      </c>
      <c r="I190" s="233">
        <v>0</v>
      </c>
      <c r="J190" s="233">
        <f>SUM(J191:J193)</f>
        <v>0</v>
      </c>
      <c r="K190" s="233">
        <f>SUM(K191:K193)</f>
        <v>0</v>
      </c>
      <c r="L190" s="233">
        <f>SUM(L191:L193)</f>
        <v>0</v>
      </c>
      <c r="M190" s="232">
        <f t="shared" si="15"/>
        <v>0</v>
      </c>
      <c r="N190" s="233">
        <v>0</v>
      </c>
      <c r="O190" s="233">
        <f>SUM(O191:O193)</f>
        <v>0</v>
      </c>
      <c r="P190" s="233">
        <f>SUM(P191:P193)</f>
        <v>0</v>
      </c>
      <c r="Q190" s="233">
        <f>SUM(Q191:Q193)</f>
        <v>0</v>
      </c>
      <c r="R190" s="232">
        <f t="shared" si="16"/>
        <v>0</v>
      </c>
    </row>
    <row r="191" spans="1:18" s="89" customFormat="1" ht="24" hidden="1" customHeight="1">
      <c r="A191" s="136">
        <v>19550</v>
      </c>
      <c r="B191" s="172" t="s">
        <v>175</v>
      </c>
      <c r="C191" s="170"/>
      <c r="D191" s="170">
        <v>0</v>
      </c>
      <c r="E191" s="233"/>
      <c r="F191" s="233"/>
      <c r="G191" s="233"/>
      <c r="H191" s="232">
        <f t="shared" si="14"/>
        <v>0</v>
      </c>
      <c r="I191" s="233">
        <v>0</v>
      </c>
      <c r="J191" s="233"/>
      <c r="K191" s="233"/>
      <c r="L191" s="233"/>
      <c r="M191" s="232">
        <f t="shared" si="15"/>
        <v>0</v>
      </c>
      <c r="N191" s="233">
        <v>0</v>
      </c>
      <c r="O191" s="233"/>
      <c r="P191" s="233"/>
      <c r="Q191" s="233"/>
      <c r="R191" s="232">
        <f t="shared" si="16"/>
        <v>0</v>
      </c>
    </row>
    <row r="192" spans="1:18" s="89" customFormat="1" ht="36" hidden="1" customHeight="1">
      <c r="A192" s="136">
        <v>19560</v>
      </c>
      <c r="B192" s="172" t="s">
        <v>181</v>
      </c>
      <c r="C192" s="170"/>
      <c r="D192" s="170">
        <v>0</v>
      </c>
      <c r="E192" s="233"/>
      <c r="F192" s="233"/>
      <c r="G192" s="233"/>
      <c r="H192" s="232">
        <f t="shared" si="14"/>
        <v>0</v>
      </c>
      <c r="I192" s="233">
        <v>0</v>
      </c>
      <c r="J192" s="233"/>
      <c r="K192" s="233"/>
      <c r="L192" s="233"/>
      <c r="M192" s="232">
        <f t="shared" si="15"/>
        <v>0</v>
      </c>
      <c r="N192" s="233">
        <v>0</v>
      </c>
      <c r="O192" s="233"/>
      <c r="P192" s="233"/>
      <c r="Q192" s="233"/>
      <c r="R192" s="232">
        <f t="shared" si="16"/>
        <v>0</v>
      </c>
    </row>
    <row r="193" spans="1:18" s="89" customFormat="1" ht="72" hidden="1" customHeight="1">
      <c r="A193" s="136">
        <v>19570</v>
      </c>
      <c r="B193" s="172" t="s">
        <v>182</v>
      </c>
      <c r="C193" s="170"/>
      <c r="D193" s="170">
        <v>0</v>
      </c>
      <c r="E193" s="233"/>
      <c r="F193" s="233"/>
      <c r="G193" s="233"/>
      <c r="H193" s="232">
        <f t="shared" si="14"/>
        <v>0</v>
      </c>
      <c r="I193" s="233">
        <v>0</v>
      </c>
      <c r="J193" s="233"/>
      <c r="K193" s="233"/>
      <c r="L193" s="233"/>
      <c r="M193" s="232">
        <f t="shared" si="15"/>
        <v>0</v>
      </c>
      <c r="N193" s="233">
        <v>0</v>
      </c>
      <c r="O193" s="233"/>
      <c r="P193" s="233"/>
      <c r="Q193" s="233"/>
      <c r="R193" s="232">
        <f t="shared" si="16"/>
        <v>0</v>
      </c>
    </row>
    <row r="194" spans="1:18" s="6" customFormat="1" ht="24" hidden="1" customHeight="1">
      <c r="A194" s="209" t="s">
        <v>222</v>
      </c>
      <c r="B194" s="208" t="s">
        <v>216</v>
      </c>
      <c r="C194" s="106">
        <f>C195</f>
        <v>0</v>
      </c>
      <c r="D194" s="106">
        <v>0</v>
      </c>
      <c r="E194" s="232">
        <f t="shared" ref="E194:L194" si="20">E195</f>
        <v>0</v>
      </c>
      <c r="F194" s="232">
        <f t="shared" si="20"/>
        <v>0</v>
      </c>
      <c r="G194" s="232">
        <f t="shared" si="20"/>
        <v>0</v>
      </c>
      <c r="H194" s="232">
        <f t="shared" si="14"/>
        <v>0</v>
      </c>
      <c r="I194" s="233">
        <v>0</v>
      </c>
      <c r="J194" s="232">
        <f t="shared" si="20"/>
        <v>0</v>
      </c>
      <c r="K194" s="232">
        <f t="shared" si="20"/>
        <v>0</v>
      </c>
      <c r="L194" s="232">
        <f t="shared" si="20"/>
        <v>0</v>
      </c>
      <c r="M194" s="232">
        <f t="shared" si="15"/>
        <v>0</v>
      </c>
      <c r="N194" s="233">
        <v>0</v>
      </c>
      <c r="O194" s="232">
        <f>O195</f>
        <v>0</v>
      </c>
      <c r="P194" s="232">
        <f>P195</f>
        <v>0</v>
      </c>
      <c r="Q194" s="232">
        <f>Q195</f>
        <v>0</v>
      </c>
      <c r="R194" s="232">
        <f t="shared" si="16"/>
        <v>0</v>
      </c>
    </row>
    <row r="195" spans="1:18" s="6" customFormat="1" ht="36" hidden="1" customHeight="1">
      <c r="A195" s="209">
        <v>17100</v>
      </c>
      <c r="B195" s="208" t="s">
        <v>217</v>
      </c>
      <c r="C195" s="106">
        <f>SUM(C196:C199)</f>
        <v>0</v>
      </c>
      <c r="D195" s="106">
        <v>0</v>
      </c>
      <c r="E195" s="232">
        <f>SUM(E196:E199)</f>
        <v>0</v>
      </c>
      <c r="F195" s="232">
        <f>SUM(F196:F199)</f>
        <v>0</v>
      </c>
      <c r="G195" s="232">
        <f>SUM(G196:G199)</f>
        <v>0</v>
      </c>
      <c r="H195" s="232">
        <f t="shared" si="14"/>
        <v>0</v>
      </c>
      <c r="I195" s="233">
        <v>0</v>
      </c>
      <c r="J195" s="232">
        <f>SUM(J196:J199)</f>
        <v>0</v>
      </c>
      <c r="K195" s="232">
        <f>SUM(K196:K199)</f>
        <v>0</v>
      </c>
      <c r="L195" s="232">
        <f>SUM(L196:L199)</f>
        <v>0</v>
      </c>
      <c r="M195" s="232">
        <f t="shared" si="15"/>
        <v>0</v>
      </c>
      <c r="N195" s="233">
        <v>0</v>
      </c>
      <c r="O195" s="232">
        <f>SUM(O196:O199)</f>
        <v>0</v>
      </c>
      <c r="P195" s="232">
        <f>SUM(P196:P199)</f>
        <v>0</v>
      </c>
      <c r="Q195" s="232">
        <f>SUM(Q196:Q199)</f>
        <v>0</v>
      </c>
      <c r="R195" s="232">
        <f t="shared" si="16"/>
        <v>0</v>
      </c>
    </row>
    <row r="196" spans="1:18" s="6" customFormat="1" ht="60" hidden="1" customHeight="1">
      <c r="A196" s="149">
        <v>17110</v>
      </c>
      <c r="B196" s="208" t="s">
        <v>218</v>
      </c>
      <c r="C196" s="106"/>
      <c r="D196" s="106">
        <v>0</v>
      </c>
      <c r="E196" s="233"/>
      <c r="F196" s="233"/>
      <c r="G196" s="233"/>
      <c r="H196" s="232">
        <f t="shared" si="14"/>
        <v>0</v>
      </c>
      <c r="I196" s="233">
        <v>0</v>
      </c>
      <c r="J196" s="233"/>
      <c r="K196" s="233"/>
      <c r="L196" s="233"/>
      <c r="M196" s="232">
        <f t="shared" si="15"/>
        <v>0</v>
      </c>
      <c r="N196" s="233">
        <v>0</v>
      </c>
      <c r="O196" s="233"/>
      <c r="P196" s="233"/>
      <c r="Q196" s="233"/>
      <c r="R196" s="232">
        <f t="shared" si="16"/>
        <v>0</v>
      </c>
    </row>
    <row r="197" spans="1:18" s="6" customFormat="1" ht="60" hidden="1" customHeight="1">
      <c r="A197" s="149">
        <v>17120</v>
      </c>
      <c r="B197" s="208" t="s">
        <v>219</v>
      </c>
      <c r="C197" s="106"/>
      <c r="D197" s="106">
        <v>0</v>
      </c>
      <c r="E197" s="233"/>
      <c r="F197" s="233"/>
      <c r="G197" s="233"/>
      <c r="H197" s="232">
        <f t="shared" si="14"/>
        <v>0</v>
      </c>
      <c r="I197" s="233">
        <v>0</v>
      </c>
      <c r="J197" s="233"/>
      <c r="K197" s="233"/>
      <c r="L197" s="233"/>
      <c r="M197" s="232">
        <f t="shared" si="15"/>
        <v>0</v>
      </c>
      <c r="N197" s="233">
        <v>0</v>
      </c>
      <c r="O197" s="233"/>
      <c r="P197" s="233"/>
      <c r="Q197" s="233"/>
      <c r="R197" s="232">
        <f t="shared" si="16"/>
        <v>0</v>
      </c>
    </row>
    <row r="198" spans="1:18" s="6" customFormat="1" ht="108" hidden="1" customHeight="1">
      <c r="A198" s="149">
        <v>17130</v>
      </c>
      <c r="B198" s="208" t="s">
        <v>220</v>
      </c>
      <c r="C198" s="106"/>
      <c r="D198" s="106">
        <v>0</v>
      </c>
      <c r="E198" s="233"/>
      <c r="F198" s="233"/>
      <c r="G198" s="233"/>
      <c r="H198" s="232">
        <f t="shared" si="14"/>
        <v>0</v>
      </c>
      <c r="I198" s="233">
        <v>0</v>
      </c>
      <c r="J198" s="233"/>
      <c r="K198" s="233"/>
      <c r="L198" s="233"/>
      <c r="M198" s="232">
        <f t="shared" si="15"/>
        <v>0</v>
      </c>
      <c r="N198" s="233">
        <v>0</v>
      </c>
      <c r="O198" s="233"/>
      <c r="P198" s="233"/>
      <c r="Q198" s="233"/>
      <c r="R198" s="232">
        <f t="shared" si="16"/>
        <v>0</v>
      </c>
    </row>
    <row r="199" spans="1:18" s="6" customFormat="1" ht="108" hidden="1" customHeight="1">
      <c r="A199" s="149">
        <v>17140</v>
      </c>
      <c r="B199" s="208" t="s">
        <v>221</v>
      </c>
      <c r="C199" s="106"/>
      <c r="D199" s="106">
        <v>0</v>
      </c>
      <c r="E199" s="233"/>
      <c r="F199" s="233"/>
      <c r="G199" s="233"/>
      <c r="H199" s="232">
        <f t="shared" si="14"/>
        <v>0</v>
      </c>
      <c r="I199" s="233">
        <v>0</v>
      </c>
      <c r="J199" s="233"/>
      <c r="K199" s="233"/>
      <c r="L199" s="233"/>
      <c r="M199" s="232">
        <f t="shared" si="15"/>
        <v>0</v>
      </c>
      <c r="N199" s="233">
        <v>0</v>
      </c>
      <c r="O199" s="233"/>
      <c r="P199" s="233"/>
      <c r="Q199" s="233"/>
      <c r="R199" s="232">
        <f t="shared" si="16"/>
        <v>0</v>
      </c>
    </row>
    <row r="200" spans="1:18" s="89" customFormat="1" ht="12" hidden="1" customHeight="1">
      <c r="A200" s="137">
        <v>21700</v>
      </c>
      <c r="B200" s="124" t="s">
        <v>97</v>
      </c>
      <c r="C200" s="170">
        <v>0</v>
      </c>
      <c r="D200" s="170">
        <v>0</v>
      </c>
      <c r="E200" s="233">
        <f>E201+E202</f>
        <v>0</v>
      </c>
      <c r="F200" s="233">
        <f>F201+F202</f>
        <v>0</v>
      </c>
      <c r="G200" s="233">
        <f>G201+G202</f>
        <v>0</v>
      </c>
      <c r="H200" s="232">
        <f t="shared" si="14"/>
        <v>0</v>
      </c>
      <c r="I200" s="233">
        <v>0</v>
      </c>
      <c r="J200" s="233">
        <f>J201+J202</f>
        <v>0</v>
      </c>
      <c r="K200" s="233">
        <f>K201+K202</f>
        <v>0</v>
      </c>
      <c r="L200" s="233">
        <f>L201+L202</f>
        <v>0</v>
      </c>
      <c r="M200" s="232">
        <f t="shared" si="15"/>
        <v>0</v>
      </c>
      <c r="N200" s="233">
        <v>0</v>
      </c>
      <c r="O200" s="233">
        <f>O201+O202</f>
        <v>0</v>
      </c>
      <c r="P200" s="233">
        <f>P201+P202</f>
        <v>0</v>
      </c>
      <c r="Q200" s="233">
        <f>Q201+Q202</f>
        <v>0</v>
      </c>
      <c r="R200" s="232">
        <f t="shared" si="16"/>
        <v>0</v>
      </c>
    </row>
    <row r="201" spans="1:18" s="89" customFormat="1" ht="24" hidden="1" customHeight="1">
      <c r="A201" s="138">
        <v>21710</v>
      </c>
      <c r="B201" s="125" t="s">
        <v>98</v>
      </c>
      <c r="C201" s="170">
        <v>0</v>
      </c>
      <c r="D201" s="170">
        <v>0</v>
      </c>
      <c r="E201" s="233"/>
      <c r="F201" s="233"/>
      <c r="G201" s="233"/>
      <c r="H201" s="232">
        <f t="shared" si="14"/>
        <v>0</v>
      </c>
      <c r="I201" s="233">
        <v>0</v>
      </c>
      <c r="J201" s="233"/>
      <c r="K201" s="233"/>
      <c r="L201" s="233"/>
      <c r="M201" s="232">
        <f t="shared" si="15"/>
        <v>0</v>
      </c>
      <c r="N201" s="233">
        <v>0</v>
      </c>
      <c r="O201" s="233"/>
      <c r="P201" s="233"/>
      <c r="Q201" s="233"/>
      <c r="R201" s="232">
        <f t="shared" si="16"/>
        <v>0</v>
      </c>
    </row>
    <row r="202" spans="1:18" s="29" customFormat="1" ht="24" hidden="1" customHeight="1">
      <c r="A202" s="138">
        <v>21720</v>
      </c>
      <c r="B202" s="125" t="s">
        <v>99</v>
      </c>
      <c r="C202" s="170"/>
      <c r="D202" s="170">
        <v>0</v>
      </c>
      <c r="E202" s="233"/>
      <c r="F202" s="233"/>
      <c r="G202" s="233"/>
      <c r="H202" s="232">
        <f t="shared" ref="H202:H260" si="21">SUM(D202:G202)</f>
        <v>0</v>
      </c>
      <c r="I202" s="233">
        <v>0</v>
      </c>
      <c r="J202" s="233"/>
      <c r="K202" s="233"/>
      <c r="L202" s="233"/>
      <c r="M202" s="232">
        <f t="shared" ref="M202:M260" si="22">SUM(I202:L202)</f>
        <v>0</v>
      </c>
      <c r="N202" s="233">
        <v>0</v>
      </c>
      <c r="O202" s="233"/>
      <c r="P202" s="233"/>
      <c r="Q202" s="233"/>
      <c r="R202" s="232">
        <f t="shared" ref="R202:R260" si="23">SUM(N202:Q202)</f>
        <v>0</v>
      </c>
    </row>
    <row r="203" spans="1:18" s="29" customFormat="1" ht="12" hidden="1" customHeight="1">
      <c r="A203" s="129" t="s">
        <v>100</v>
      </c>
      <c r="B203" s="123" t="s">
        <v>101</v>
      </c>
      <c r="C203" s="168">
        <v>0</v>
      </c>
      <c r="D203" s="168">
        <v>0</v>
      </c>
      <c r="E203" s="243">
        <f>E204+E231</f>
        <v>0</v>
      </c>
      <c r="F203" s="243">
        <f>F204+F231</f>
        <v>0</v>
      </c>
      <c r="G203" s="243">
        <f>G204+G231</f>
        <v>0</v>
      </c>
      <c r="H203" s="270">
        <f t="shared" si="21"/>
        <v>0</v>
      </c>
      <c r="I203" s="243">
        <v>0</v>
      </c>
      <c r="J203" s="243">
        <f>J204+J231</f>
        <v>0</v>
      </c>
      <c r="K203" s="243">
        <f>K204+K231</f>
        <v>0</v>
      </c>
      <c r="L203" s="243">
        <f>L204+L231</f>
        <v>0</v>
      </c>
      <c r="M203" s="270">
        <f t="shared" si="22"/>
        <v>0</v>
      </c>
      <c r="N203" s="243">
        <v>0</v>
      </c>
      <c r="O203" s="243">
        <f>O204+O231</f>
        <v>0</v>
      </c>
      <c r="P203" s="243">
        <f>P204+P231</f>
        <v>0</v>
      </c>
      <c r="Q203" s="243">
        <f>Q204+Q231</f>
        <v>0</v>
      </c>
      <c r="R203" s="270">
        <f t="shared" si="23"/>
        <v>0</v>
      </c>
    </row>
    <row r="204" spans="1:18" s="29" customFormat="1" ht="21" hidden="1" customHeight="1">
      <c r="A204" s="130" t="s">
        <v>102</v>
      </c>
      <c r="B204" s="124" t="s">
        <v>103</v>
      </c>
      <c r="C204" s="170">
        <v>0</v>
      </c>
      <c r="D204" s="170">
        <v>0</v>
      </c>
      <c r="E204" s="233">
        <f>E205+E209+E210+E213+E216</f>
        <v>0</v>
      </c>
      <c r="F204" s="233">
        <f>F205+F209+F210+F213+F216</f>
        <v>0</v>
      </c>
      <c r="G204" s="233">
        <f>G205+G209+G210+G213+G216</f>
        <v>0</v>
      </c>
      <c r="H204" s="232">
        <f t="shared" si="21"/>
        <v>0</v>
      </c>
      <c r="I204" s="233">
        <v>0</v>
      </c>
      <c r="J204" s="233">
        <f>J205+J209+J210+J213+J216</f>
        <v>0</v>
      </c>
      <c r="K204" s="233">
        <f>K205+K209+K210+K213+K216</f>
        <v>0</v>
      </c>
      <c r="L204" s="233">
        <f>L205+L209+L210+L213+L216</f>
        <v>0</v>
      </c>
      <c r="M204" s="232">
        <f t="shared" si="22"/>
        <v>0</v>
      </c>
      <c r="N204" s="233">
        <v>0</v>
      </c>
      <c r="O204" s="233">
        <f>O205+O209+O210+O213+O216</f>
        <v>0</v>
      </c>
      <c r="P204" s="233">
        <f>P205+P209+P210+P213+P216</f>
        <v>0</v>
      </c>
      <c r="Q204" s="233">
        <f>Q205+Q209+Q210+Q213+Q216</f>
        <v>0</v>
      </c>
      <c r="R204" s="232">
        <f t="shared" si="23"/>
        <v>0</v>
      </c>
    </row>
    <row r="205" spans="1:18" s="29" customFormat="1" ht="12" hidden="1" customHeight="1">
      <c r="A205" s="130" t="s">
        <v>104</v>
      </c>
      <c r="B205" s="124" t="s">
        <v>105</v>
      </c>
      <c r="C205" s="170">
        <v>0</v>
      </c>
      <c r="D205" s="170">
        <v>0</v>
      </c>
      <c r="E205" s="233">
        <f>E206+E208</f>
        <v>0</v>
      </c>
      <c r="F205" s="233">
        <f>F206+F208</f>
        <v>0</v>
      </c>
      <c r="G205" s="233">
        <f>G206+G208</f>
        <v>0</v>
      </c>
      <c r="H205" s="232">
        <f t="shared" si="21"/>
        <v>0</v>
      </c>
      <c r="I205" s="233">
        <v>0</v>
      </c>
      <c r="J205" s="233">
        <f>J206+J208</f>
        <v>0</v>
      </c>
      <c r="K205" s="233">
        <f>K206+K208</f>
        <v>0</v>
      </c>
      <c r="L205" s="233">
        <f>L206+L208</f>
        <v>0</v>
      </c>
      <c r="M205" s="232">
        <f t="shared" si="22"/>
        <v>0</v>
      </c>
      <c r="N205" s="233">
        <v>0</v>
      </c>
      <c r="O205" s="233">
        <f>O206+O208</f>
        <v>0</v>
      </c>
      <c r="P205" s="233">
        <f>P206+P208</f>
        <v>0</v>
      </c>
      <c r="Q205" s="233">
        <f>Q206+Q208</f>
        <v>0</v>
      </c>
      <c r="R205" s="232">
        <f t="shared" si="23"/>
        <v>0</v>
      </c>
    </row>
    <row r="206" spans="1:18" s="29" customFormat="1" ht="12" hidden="1" customHeight="1">
      <c r="A206" s="132">
        <v>1000</v>
      </c>
      <c r="B206" s="125" t="s">
        <v>106</v>
      </c>
      <c r="C206" s="170">
        <v>0</v>
      </c>
      <c r="D206" s="170">
        <v>0</v>
      </c>
      <c r="E206" s="244"/>
      <c r="F206" s="244"/>
      <c r="G206" s="244"/>
      <c r="H206" s="232">
        <f t="shared" si="21"/>
        <v>0</v>
      </c>
      <c r="I206" s="233">
        <v>0</v>
      </c>
      <c r="J206" s="244"/>
      <c r="K206" s="244"/>
      <c r="L206" s="244"/>
      <c r="M206" s="232">
        <f t="shared" si="22"/>
        <v>0</v>
      </c>
      <c r="N206" s="233">
        <v>0</v>
      </c>
      <c r="O206" s="244"/>
      <c r="P206" s="244"/>
      <c r="Q206" s="244"/>
      <c r="R206" s="232">
        <f t="shared" si="23"/>
        <v>0</v>
      </c>
    </row>
    <row r="207" spans="1:18" s="29" customFormat="1" ht="12" hidden="1" customHeight="1">
      <c r="A207" s="139">
        <v>1100</v>
      </c>
      <c r="B207" s="125" t="s">
        <v>107</v>
      </c>
      <c r="C207" s="170">
        <v>0</v>
      </c>
      <c r="D207" s="170">
        <v>0</v>
      </c>
      <c r="E207" s="244"/>
      <c r="F207" s="244"/>
      <c r="G207" s="244"/>
      <c r="H207" s="232">
        <f t="shared" si="21"/>
        <v>0</v>
      </c>
      <c r="I207" s="233">
        <v>0</v>
      </c>
      <c r="J207" s="244"/>
      <c r="K207" s="244"/>
      <c r="L207" s="244"/>
      <c r="M207" s="232">
        <f t="shared" si="22"/>
        <v>0</v>
      </c>
      <c r="N207" s="233">
        <v>0</v>
      </c>
      <c r="O207" s="244"/>
      <c r="P207" s="244"/>
      <c r="Q207" s="244"/>
      <c r="R207" s="232">
        <f t="shared" si="23"/>
        <v>0</v>
      </c>
    </row>
    <row r="208" spans="1:18" s="29" customFormat="1" ht="12" hidden="1" customHeight="1">
      <c r="A208" s="132">
        <v>2000</v>
      </c>
      <c r="B208" s="125" t="s">
        <v>108</v>
      </c>
      <c r="C208" s="170">
        <v>0</v>
      </c>
      <c r="D208" s="170">
        <v>0</v>
      </c>
      <c r="E208" s="244"/>
      <c r="F208" s="244"/>
      <c r="G208" s="244"/>
      <c r="H208" s="232">
        <f t="shared" si="21"/>
        <v>0</v>
      </c>
      <c r="I208" s="233">
        <v>0</v>
      </c>
      <c r="J208" s="244"/>
      <c r="K208" s="244"/>
      <c r="L208" s="244"/>
      <c r="M208" s="232">
        <f t="shared" si="22"/>
        <v>0</v>
      </c>
      <c r="N208" s="233">
        <v>0</v>
      </c>
      <c r="O208" s="244"/>
      <c r="P208" s="244"/>
      <c r="Q208" s="244"/>
      <c r="R208" s="232">
        <f t="shared" si="23"/>
        <v>0</v>
      </c>
    </row>
    <row r="209" spans="1:18" s="29" customFormat="1" ht="12" hidden="1" customHeight="1">
      <c r="A209" s="140">
        <v>4000</v>
      </c>
      <c r="B209" s="124" t="s">
        <v>132</v>
      </c>
      <c r="C209" s="170"/>
      <c r="D209" s="170">
        <v>0</v>
      </c>
      <c r="E209" s="244"/>
      <c r="F209" s="244"/>
      <c r="G209" s="244"/>
      <c r="H209" s="232">
        <f t="shared" si="21"/>
        <v>0</v>
      </c>
      <c r="I209" s="233">
        <v>0</v>
      </c>
      <c r="J209" s="244"/>
      <c r="K209" s="244"/>
      <c r="L209" s="244"/>
      <c r="M209" s="232">
        <f t="shared" si="22"/>
        <v>0</v>
      </c>
      <c r="N209" s="233">
        <v>0</v>
      </c>
      <c r="O209" s="244"/>
      <c r="P209" s="244"/>
      <c r="Q209" s="244"/>
      <c r="R209" s="232">
        <f t="shared" si="23"/>
        <v>0</v>
      </c>
    </row>
    <row r="210" spans="1:18" s="29" customFormat="1" ht="12" hidden="1" customHeight="1">
      <c r="A210" s="140" t="s">
        <v>109</v>
      </c>
      <c r="B210" s="124" t="s">
        <v>110</v>
      </c>
      <c r="C210" s="170">
        <v>0</v>
      </c>
      <c r="D210" s="170">
        <v>0</v>
      </c>
      <c r="E210" s="233">
        <f>E211+E212</f>
        <v>0</v>
      </c>
      <c r="F210" s="233">
        <f>F211+F212</f>
        <v>0</v>
      </c>
      <c r="G210" s="233">
        <f>G211+G212</f>
        <v>0</v>
      </c>
      <c r="H210" s="232">
        <f t="shared" si="21"/>
        <v>0</v>
      </c>
      <c r="I210" s="233">
        <v>0</v>
      </c>
      <c r="J210" s="233">
        <f>J211+J212</f>
        <v>0</v>
      </c>
      <c r="K210" s="233">
        <f>K211+K212</f>
        <v>0</v>
      </c>
      <c r="L210" s="233">
        <f>L211+L212</f>
        <v>0</v>
      </c>
      <c r="M210" s="232">
        <f t="shared" si="22"/>
        <v>0</v>
      </c>
      <c r="N210" s="233">
        <v>0</v>
      </c>
      <c r="O210" s="233">
        <f>O211+O212</f>
        <v>0</v>
      </c>
      <c r="P210" s="233">
        <f>P211+P212</f>
        <v>0</v>
      </c>
      <c r="Q210" s="233">
        <f>Q211+Q212</f>
        <v>0</v>
      </c>
      <c r="R210" s="232">
        <f t="shared" si="23"/>
        <v>0</v>
      </c>
    </row>
    <row r="211" spans="1:18" s="29" customFormat="1" ht="12" hidden="1" customHeight="1">
      <c r="A211" s="132">
        <v>3000</v>
      </c>
      <c r="B211" s="125" t="s">
        <v>111</v>
      </c>
      <c r="C211" s="202"/>
      <c r="D211" s="202">
        <v>0</v>
      </c>
      <c r="E211" s="246"/>
      <c r="F211" s="246"/>
      <c r="G211" s="246"/>
      <c r="H211" s="232">
        <f t="shared" si="21"/>
        <v>0</v>
      </c>
      <c r="I211" s="345">
        <v>0</v>
      </c>
      <c r="J211" s="246"/>
      <c r="K211" s="246"/>
      <c r="L211" s="246"/>
      <c r="M211" s="232">
        <f t="shared" si="22"/>
        <v>0</v>
      </c>
      <c r="N211" s="345">
        <v>0</v>
      </c>
      <c r="O211" s="246"/>
      <c r="P211" s="246"/>
      <c r="Q211" s="246"/>
      <c r="R211" s="232">
        <f t="shared" si="23"/>
        <v>0</v>
      </c>
    </row>
    <row r="212" spans="1:18" s="29" customFormat="1" ht="12" hidden="1" customHeight="1">
      <c r="A212" s="132">
        <v>6000</v>
      </c>
      <c r="B212" s="125" t="s">
        <v>112</v>
      </c>
      <c r="C212" s="203">
        <v>0</v>
      </c>
      <c r="D212" s="203">
        <v>0</v>
      </c>
      <c r="E212" s="248"/>
      <c r="F212" s="248"/>
      <c r="G212" s="248"/>
      <c r="H212" s="232">
        <f t="shared" si="21"/>
        <v>0</v>
      </c>
      <c r="I212" s="346">
        <v>0</v>
      </c>
      <c r="J212" s="248"/>
      <c r="K212" s="248"/>
      <c r="L212" s="248"/>
      <c r="M212" s="232">
        <f t="shared" si="22"/>
        <v>0</v>
      </c>
      <c r="N212" s="346">
        <v>0</v>
      </c>
      <c r="O212" s="248"/>
      <c r="P212" s="248"/>
      <c r="Q212" s="248"/>
      <c r="R212" s="232">
        <f t="shared" si="23"/>
        <v>0</v>
      </c>
    </row>
    <row r="213" spans="1:18" s="29" customFormat="1" ht="24" hidden="1" customHeight="1">
      <c r="A213" s="140" t="s">
        <v>113</v>
      </c>
      <c r="B213" s="124" t="s">
        <v>183</v>
      </c>
      <c r="C213" s="170">
        <v>0</v>
      </c>
      <c r="D213" s="170">
        <v>0</v>
      </c>
      <c r="E213" s="233">
        <f>E214+E215</f>
        <v>0</v>
      </c>
      <c r="F213" s="233">
        <f>F214+F215</f>
        <v>0</v>
      </c>
      <c r="G213" s="233">
        <f>G214+G215</f>
        <v>0</v>
      </c>
      <c r="H213" s="232">
        <f t="shared" si="21"/>
        <v>0</v>
      </c>
      <c r="I213" s="233">
        <v>0</v>
      </c>
      <c r="J213" s="233">
        <f>J214+J215</f>
        <v>0</v>
      </c>
      <c r="K213" s="233">
        <f>K214+K215</f>
        <v>0</v>
      </c>
      <c r="L213" s="233">
        <f>L214+L215</f>
        <v>0</v>
      </c>
      <c r="M213" s="232">
        <f t="shared" si="22"/>
        <v>0</v>
      </c>
      <c r="N213" s="233">
        <v>0</v>
      </c>
      <c r="O213" s="233">
        <f>O214+O215</f>
        <v>0</v>
      </c>
      <c r="P213" s="233">
        <f>P214+P215</f>
        <v>0</v>
      </c>
      <c r="Q213" s="233">
        <f>Q214+Q215</f>
        <v>0</v>
      </c>
      <c r="R213" s="232">
        <f t="shared" si="23"/>
        <v>0</v>
      </c>
    </row>
    <row r="214" spans="1:18" s="29" customFormat="1" ht="12" hidden="1" customHeight="1">
      <c r="A214" s="132">
        <v>7600</v>
      </c>
      <c r="B214" s="179" t="s">
        <v>184</v>
      </c>
      <c r="C214" s="170"/>
      <c r="D214" s="170">
        <v>0</v>
      </c>
      <c r="E214" s="244"/>
      <c r="F214" s="244"/>
      <c r="G214" s="244"/>
      <c r="H214" s="232">
        <f t="shared" si="21"/>
        <v>0</v>
      </c>
      <c r="I214" s="233">
        <v>0</v>
      </c>
      <c r="J214" s="244"/>
      <c r="K214" s="244"/>
      <c r="L214" s="244"/>
      <c r="M214" s="232">
        <f t="shared" si="22"/>
        <v>0</v>
      </c>
      <c r="N214" s="233">
        <v>0</v>
      </c>
      <c r="O214" s="244"/>
      <c r="P214" s="244"/>
      <c r="Q214" s="244"/>
      <c r="R214" s="232">
        <f t="shared" si="23"/>
        <v>0</v>
      </c>
    </row>
    <row r="215" spans="1:18" s="29" customFormat="1" ht="12" hidden="1" customHeight="1">
      <c r="A215" s="132">
        <v>7700</v>
      </c>
      <c r="B215" s="126" t="s">
        <v>114</v>
      </c>
      <c r="C215" s="170">
        <v>0</v>
      </c>
      <c r="D215" s="170">
        <v>0</v>
      </c>
      <c r="E215" s="244"/>
      <c r="F215" s="244"/>
      <c r="G215" s="244"/>
      <c r="H215" s="232">
        <f t="shared" si="21"/>
        <v>0</v>
      </c>
      <c r="I215" s="233">
        <v>0</v>
      </c>
      <c r="J215" s="244"/>
      <c r="K215" s="244"/>
      <c r="L215" s="244"/>
      <c r="M215" s="232">
        <f t="shared" si="22"/>
        <v>0</v>
      </c>
      <c r="N215" s="233">
        <v>0</v>
      </c>
      <c r="O215" s="244"/>
      <c r="P215" s="244"/>
      <c r="Q215" s="244"/>
      <c r="R215" s="232">
        <f t="shared" si="23"/>
        <v>0</v>
      </c>
    </row>
    <row r="216" spans="1:18" s="29" customFormat="1" ht="21" hidden="1" customHeight="1">
      <c r="A216" s="140" t="s">
        <v>185</v>
      </c>
      <c r="B216" s="124" t="s">
        <v>115</v>
      </c>
      <c r="C216" s="170">
        <v>0</v>
      </c>
      <c r="D216" s="170">
        <v>0</v>
      </c>
      <c r="E216" s="233">
        <f>E217+E223+E227+E230</f>
        <v>0</v>
      </c>
      <c r="F216" s="233">
        <f>F217+F223+F227+F230</f>
        <v>0</v>
      </c>
      <c r="G216" s="233">
        <f>G217+G223+G227+G230</f>
        <v>0</v>
      </c>
      <c r="H216" s="232">
        <f t="shared" si="21"/>
        <v>0</v>
      </c>
      <c r="I216" s="233">
        <v>0</v>
      </c>
      <c r="J216" s="233">
        <f>J217+J223+J227+J230</f>
        <v>0</v>
      </c>
      <c r="K216" s="233">
        <f>K217+K223+K227+K230</f>
        <v>0</v>
      </c>
      <c r="L216" s="233">
        <f>L217+L223+L227+L230</f>
        <v>0</v>
      </c>
      <c r="M216" s="232">
        <f t="shared" si="22"/>
        <v>0</v>
      </c>
      <c r="N216" s="233">
        <v>0</v>
      </c>
      <c r="O216" s="233">
        <f>O217+O223+O227+O230</f>
        <v>0</v>
      </c>
      <c r="P216" s="233">
        <f>P217+P223+P227+P230</f>
        <v>0</v>
      </c>
      <c r="Q216" s="233">
        <f>Q217+Q223+Q227+Q230</f>
        <v>0</v>
      </c>
      <c r="R216" s="232">
        <f t="shared" si="23"/>
        <v>0</v>
      </c>
    </row>
    <row r="217" spans="1:18" s="29" customFormat="1" ht="12" hidden="1" customHeight="1">
      <c r="A217" s="132">
        <v>7100</v>
      </c>
      <c r="B217" s="179" t="s">
        <v>116</v>
      </c>
      <c r="C217" s="170">
        <v>0</v>
      </c>
      <c r="D217" s="170">
        <v>0</v>
      </c>
      <c r="E217" s="233">
        <f>E218+E219</f>
        <v>0</v>
      </c>
      <c r="F217" s="233">
        <f>F218+F219</f>
        <v>0</v>
      </c>
      <c r="G217" s="233">
        <f>G218+G219</f>
        <v>0</v>
      </c>
      <c r="H217" s="232">
        <f t="shared" si="21"/>
        <v>0</v>
      </c>
      <c r="I217" s="233">
        <v>0</v>
      </c>
      <c r="J217" s="233">
        <f>J218+J219</f>
        <v>0</v>
      </c>
      <c r="K217" s="233">
        <f>K218+K219</f>
        <v>0</v>
      </c>
      <c r="L217" s="233">
        <f>L218+L219</f>
        <v>0</v>
      </c>
      <c r="M217" s="232">
        <f t="shared" si="22"/>
        <v>0</v>
      </c>
      <c r="N217" s="233">
        <v>0</v>
      </c>
      <c r="O217" s="233">
        <f>O218+O219</f>
        <v>0</v>
      </c>
      <c r="P217" s="233">
        <f>P218+P219</f>
        <v>0</v>
      </c>
      <c r="Q217" s="233">
        <f>Q218+Q219</f>
        <v>0</v>
      </c>
      <c r="R217" s="232">
        <f t="shared" si="23"/>
        <v>0</v>
      </c>
    </row>
    <row r="218" spans="1:18" s="29" customFormat="1" ht="24" hidden="1" customHeight="1">
      <c r="A218" s="133" t="s">
        <v>117</v>
      </c>
      <c r="B218" s="179" t="s">
        <v>118</v>
      </c>
      <c r="C218" s="170"/>
      <c r="D218" s="170">
        <v>0</v>
      </c>
      <c r="E218" s="233"/>
      <c r="F218" s="233"/>
      <c r="G218" s="233"/>
      <c r="H218" s="232">
        <f t="shared" si="21"/>
        <v>0</v>
      </c>
      <c r="I218" s="233">
        <v>0</v>
      </c>
      <c r="J218" s="233"/>
      <c r="K218" s="233"/>
      <c r="L218" s="233"/>
      <c r="M218" s="232">
        <f t="shared" si="22"/>
        <v>0</v>
      </c>
      <c r="N218" s="233">
        <v>0</v>
      </c>
      <c r="O218" s="233"/>
      <c r="P218" s="233"/>
      <c r="Q218" s="233"/>
      <c r="R218" s="232">
        <f t="shared" si="23"/>
        <v>0</v>
      </c>
    </row>
    <row r="219" spans="1:18" s="29" customFormat="1" ht="24" hidden="1" customHeight="1">
      <c r="A219" s="133">
        <v>7130</v>
      </c>
      <c r="B219" s="179" t="s">
        <v>119</v>
      </c>
      <c r="C219" s="170">
        <v>0</v>
      </c>
      <c r="D219" s="170">
        <v>0</v>
      </c>
      <c r="E219" s="233">
        <f>SUM(E220:E222)</f>
        <v>0</v>
      </c>
      <c r="F219" s="233">
        <f>SUM(F220:F222)</f>
        <v>0</v>
      </c>
      <c r="G219" s="233">
        <f>SUM(G220:G222)</f>
        <v>0</v>
      </c>
      <c r="H219" s="232">
        <f t="shared" si="21"/>
        <v>0</v>
      </c>
      <c r="I219" s="233">
        <v>0</v>
      </c>
      <c r="J219" s="233">
        <f>SUM(J220:J222)</f>
        <v>0</v>
      </c>
      <c r="K219" s="233">
        <f>SUM(K220:K222)</f>
        <v>0</v>
      </c>
      <c r="L219" s="233">
        <f>SUM(L220:L222)</f>
        <v>0</v>
      </c>
      <c r="M219" s="232">
        <f t="shared" si="22"/>
        <v>0</v>
      </c>
      <c r="N219" s="233">
        <v>0</v>
      </c>
      <c r="O219" s="233">
        <f>SUM(O220:O222)</f>
        <v>0</v>
      </c>
      <c r="P219" s="233">
        <f>SUM(P220:P222)</f>
        <v>0</v>
      </c>
      <c r="Q219" s="233">
        <f>SUM(Q220:Q222)</f>
        <v>0</v>
      </c>
      <c r="R219" s="232">
        <f t="shared" si="23"/>
        <v>0</v>
      </c>
    </row>
    <row r="220" spans="1:18" s="29" customFormat="1" ht="36" hidden="1" customHeight="1">
      <c r="A220" s="134">
        <v>7131</v>
      </c>
      <c r="B220" s="179" t="s">
        <v>120</v>
      </c>
      <c r="C220" s="170"/>
      <c r="D220" s="170">
        <v>0</v>
      </c>
      <c r="E220" s="233"/>
      <c r="F220" s="233"/>
      <c r="G220" s="233"/>
      <c r="H220" s="232">
        <f t="shared" si="21"/>
        <v>0</v>
      </c>
      <c r="I220" s="233">
        <v>0</v>
      </c>
      <c r="J220" s="233"/>
      <c r="K220" s="233"/>
      <c r="L220" s="233"/>
      <c r="M220" s="232">
        <f t="shared" si="22"/>
        <v>0</v>
      </c>
      <c r="N220" s="233">
        <v>0</v>
      </c>
      <c r="O220" s="233"/>
      <c r="P220" s="233"/>
      <c r="Q220" s="233"/>
      <c r="R220" s="232">
        <f t="shared" si="23"/>
        <v>0</v>
      </c>
    </row>
    <row r="221" spans="1:18" s="29" customFormat="1" ht="36" hidden="1" customHeight="1">
      <c r="A221" s="134">
        <v>7132</v>
      </c>
      <c r="B221" s="179" t="s">
        <v>121</v>
      </c>
      <c r="C221" s="170"/>
      <c r="D221" s="170">
        <v>0</v>
      </c>
      <c r="E221" s="233"/>
      <c r="F221" s="233"/>
      <c r="G221" s="233"/>
      <c r="H221" s="232">
        <f t="shared" si="21"/>
        <v>0</v>
      </c>
      <c r="I221" s="233">
        <v>0</v>
      </c>
      <c r="J221" s="233"/>
      <c r="K221" s="233"/>
      <c r="L221" s="233"/>
      <c r="M221" s="232">
        <f t="shared" si="22"/>
        <v>0</v>
      </c>
      <c r="N221" s="233">
        <v>0</v>
      </c>
      <c r="O221" s="233"/>
      <c r="P221" s="233"/>
      <c r="Q221" s="233"/>
      <c r="R221" s="232">
        <f t="shared" si="23"/>
        <v>0</v>
      </c>
    </row>
    <row r="222" spans="1:18" s="29" customFormat="1" ht="36" hidden="1" customHeight="1">
      <c r="A222" s="134" t="s">
        <v>186</v>
      </c>
      <c r="B222" s="179" t="s">
        <v>187</v>
      </c>
      <c r="C222" s="170"/>
      <c r="D222" s="170">
        <v>0</v>
      </c>
      <c r="E222" s="233"/>
      <c r="F222" s="233"/>
      <c r="G222" s="233"/>
      <c r="H222" s="232">
        <f t="shared" si="21"/>
        <v>0</v>
      </c>
      <c r="I222" s="233">
        <v>0</v>
      </c>
      <c r="J222" s="233"/>
      <c r="K222" s="233"/>
      <c r="L222" s="233"/>
      <c r="M222" s="232">
        <f t="shared" si="22"/>
        <v>0</v>
      </c>
      <c r="N222" s="233">
        <v>0</v>
      </c>
      <c r="O222" s="233"/>
      <c r="P222" s="233"/>
      <c r="Q222" s="233"/>
      <c r="R222" s="232">
        <f t="shared" si="23"/>
        <v>0</v>
      </c>
    </row>
    <row r="223" spans="1:18" s="29" customFormat="1" ht="24" hidden="1" customHeight="1">
      <c r="A223" s="132">
        <v>7300</v>
      </c>
      <c r="B223" s="172" t="s">
        <v>155</v>
      </c>
      <c r="C223" s="170">
        <v>0</v>
      </c>
      <c r="D223" s="170">
        <v>0</v>
      </c>
      <c r="E223" s="233">
        <f>SUM(E224:E226)</f>
        <v>0</v>
      </c>
      <c r="F223" s="233">
        <f>SUM(F224:F226)</f>
        <v>0</v>
      </c>
      <c r="G223" s="233">
        <f>SUM(G224:G226)</f>
        <v>0</v>
      </c>
      <c r="H223" s="232">
        <f t="shared" si="21"/>
        <v>0</v>
      </c>
      <c r="I223" s="233">
        <v>0</v>
      </c>
      <c r="J223" s="233">
        <f>SUM(J224:J226)</f>
        <v>0</v>
      </c>
      <c r="K223" s="233">
        <f>SUM(K224:K226)</f>
        <v>0</v>
      </c>
      <c r="L223" s="233">
        <f>SUM(L224:L226)</f>
        <v>0</v>
      </c>
      <c r="M223" s="232">
        <f t="shared" si="22"/>
        <v>0</v>
      </c>
      <c r="N223" s="233">
        <v>0</v>
      </c>
      <c r="O223" s="233">
        <f>SUM(O224:O226)</f>
        <v>0</v>
      </c>
      <c r="P223" s="233">
        <f>SUM(P224:P226)</f>
        <v>0</v>
      </c>
      <c r="Q223" s="233">
        <f>SUM(Q224:Q226)</f>
        <v>0</v>
      </c>
      <c r="R223" s="232">
        <f t="shared" si="23"/>
        <v>0</v>
      </c>
    </row>
    <row r="224" spans="1:18" s="29" customFormat="1" ht="24" hidden="1" customHeight="1">
      <c r="A224" s="133" t="s">
        <v>188</v>
      </c>
      <c r="B224" s="179" t="s">
        <v>170</v>
      </c>
      <c r="C224" s="204"/>
      <c r="D224" s="204">
        <v>0</v>
      </c>
      <c r="E224" s="252"/>
      <c r="F224" s="252"/>
      <c r="G224" s="252"/>
      <c r="H224" s="232">
        <f t="shared" si="21"/>
        <v>0</v>
      </c>
      <c r="I224" s="252">
        <v>0</v>
      </c>
      <c r="J224" s="252"/>
      <c r="K224" s="252"/>
      <c r="L224" s="252"/>
      <c r="M224" s="232">
        <f t="shared" si="22"/>
        <v>0</v>
      </c>
      <c r="N224" s="252">
        <v>0</v>
      </c>
      <c r="O224" s="252"/>
      <c r="P224" s="252"/>
      <c r="Q224" s="252"/>
      <c r="R224" s="232">
        <f t="shared" si="23"/>
        <v>0</v>
      </c>
    </row>
    <row r="225" spans="1:18" s="29" customFormat="1" ht="48" hidden="1" customHeight="1">
      <c r="A225" s="133" t="s">
        <v>189</v>
      </c>
      <c r="B225" s="179" t="s">
        <v>156</v>
      </c>
      <c r="C225" s="204"/>
      <c r="D225" s="204">
        <v>0</v>
      </c>
      <c r="E225" s="252"/>
      <c r="F225" s="252"/>
      <c r="G225" s="252"/>
      <c r="H225" s="232">
        <f t="shared" si="21"/>
        <v>0</v>
      </c>
      <c r="I225" s="252">
        <v>0</v>
      </c>
      <c r="J225" s="252"/>
      <c r="K225" s="252"/>
      <c r="L225" s="252"/>
      <c r="M225" s="232">
        <f t="shared" si="22"/>
        <v>0</v>
      </c>
      <c r="N225" s="252">
        <v>0</v>
      </c>
      <c r="O225" s="252"/>
      <c r="P225" s="252"/>
      <c r="Q225" s="252"/>
      <c r="R225" s="232">
        <f t="shared" si="23"/>
        <v>0</v>
      </c>
    </row>
    <row r="226" spans="1:18" s="29" customFormat="1" ht="36" hidden="1" customHeight="1">
      <c r="A226" s="133">
        <v>7350</v>
      </c>
      <c r="B226" s="179" t="s">
        <v>163</v>
      </c>
      <c r="C226" s="204"/>
      <c r="D226" s="204">
        <v>0</v>
      </c>
      <c r="E226" s="252"/>
      <c r="F226" s="252"/>
      <c r="G226" s="252"/>
      <c r="H226" s="232">
        <f t="shared" si="21"/>
        <v>0</v>
      </c>
      <c r="I226" s="252">
        <v>0</v>
      </c>
      <c r="J226" s="252"/>
      <c r="K226" s="252"/>
      <c r="L226" s="252"/>
      <c r="M226" s="232">
        <f t="shared" si="22"/>
        <v>0</v>
      </c>
      <c r="N226" s="252">
        <v>0</v>
      </c>
      <c r="O226" s="252"/>
      <c r="P226" s="252"/>
      <c r="Q226" s="252"/>
      <c r="R226" s="232">
        <f t="shared" si="23"/>
        <v>0</v>
      </c>
    </row>
    <row r="227" spans="1:18" s="29" customFormat="1" ht="24" hidden="1" customHeight="1">
      <c r="A227" s="132">
        <v>7400</v>
      </c>
      <c r="B227" s="172" t="s">
        <v>161</v>
      </c>
      <c r="C227" s="170">
        <v>0</v>
      </c>
      <c r="D227" s="170">
        <v>0</v>
      </c>
      <c r="E227" s="233">
        <f>SUM(E228:E229)</f>
        <v>0</v>
      </c>
      <c r="F227" s="233">
        <f>SUM(F228:F229)</f>
        <v>0</v>
      </c>
      <c r="G227" s="233">
        <f>SUM(G228:G229)</f>
        <v>0</v>
      </c>
      <c r="H227" s="232">
        <f t="shared" si="21"/>
        <v>0</v>
      </c>
      <c r="I227" s="233">
        <v>0</v>
      </c>
      <c r="J227" s="233">
        <f>SUM(J228:J229)</f>
        <v>0</v>
      </c>
      <c r="K227" s="233">
        <f>SUM(K228:K229)</f>
        <v>0</v>
      </c>
      <c r="L227" s="233">
        <f>SUM(L228:L229)</f>
        <v>0</v>
      </c>
      <c r="M227" s="232">
        <f t="shared" si="22"/>
        <v>0</v>
      </c>
      <c r="N227" s="233">
        <v>0</v>
      </c>
      <c r="O227" s="233">
        <f>SUM(O228:O229)</f>
        <v>0</v>
      </c>
      <c r="P227" s="233">
        <f>SUM(P228:P229)</f>
        <v>0</v>
      </c>
      <c r="Q227" s="233">
        <f>SUM(Q228:Q229)</f>
        <v>0</v>
      </c>
      <c r="R227" s="232">
        <f t="shared" si="23"/>
        <v>0</v>
      </c>
    </row>
    <row r="228" spans="1:18" s="29" customFormat="1" ht="24" hidden="1" customHeight="1">
      <c r="A228" s="133">
        <v>7460</v>
      </c>
      <c r="B228" s="172" t="s">
        <v>162</v>
      </c>
      <c r="C228" s="204"/>
      <c r="D228" s="204">
        <v>0</v>
      </c>
      <c r="E228" s="252"/>
      <c r="F228" s="252"/>
      <c r="G228" s="252"/>
      <c r="H228" s="232">
        <f t="shared" si="21"/>
        <v>0</v>
      </c>
      <c r="I228" s="252">
        <v>0</v>
      </c>
      <c r="J228" s="252"/>
      <c r="K228" s="252"/>
      <c r="L228" s="252"/>
      <c r="M228" s="232">
        <f t="shared" si="22"/>
        <v>0</v>
      </c>
      <c r="N228" s="252">
        <v>0</v>
      </c>
      <c r="O228" s="252"/>
      <c r="P228" s="252"/>
      <c r="Q228" s="252"/>
      <c r="R228" s="232">
        <f t="shared" si="23"/>
        <v>0</v>
      </c>
    </row>
    <row r="229" spans="1:18" s="29" customFormat="1" ht="48" hidden="1" customHeight="1">
      <c r="A229" s="133">
        <v>7470</v>
      </c>
      <c r="B229" s="179" t="s">
        <v>167</v>
      </c>
      <c r="C229" s="204"/>
      <c r="D229" s="204">
        <v>0</v>
      </c>
      <c r="E229" s="252"/>
      <c r="F229" s="252"/>
      <c r="G229" s="252"/>
      <c r="H229" s="232">
        <f t="shared" si="21"/>
        <v>0</v>
      </c>
      <c r="I229" s="252">
        <v>0</v>
      </c>
      <c r="J229" s="252"/>
      <c r="K229" s="252"/>
      <c r="L229" s="252"/>
      <c r="M229" s="232">
        <f t="shared" si="22"/>
        <v>0</v>
      </c>
      <c r="N229" s="252">
        <v>0</v>
      </c>
      <c r="O229" s="252"/>
      <c r="P229" s="252"/>
      <c r="Q229" s="252"/>
      <c r="R229" s="232">
        <f t="shared" si="23"/>
        <v>0</v>
      </c>
    </row>
    <row r="230" spans="1:18" s="29" customFormat="1" ht="24" hidden="1" customHeight="1">
      <c r="A230" s="132">
        <v>7500</v>
      </c>
      <c r="B230" s="179" t="s">
        <v>157</v>
      </c>
      <c r="C230" s="170"/>
      <c r="D230" s="170">
        <v>0</v>
      </c>
      <c r="E230" s="233"/>
      <c r="F230" s="233"/>
      <c r="G230" s="233"/>
      <c r="H230" s="232">
        <f t="shared" si="21"/>
        <v>0</v>
      </c>
      <c r="I230" s="233">
        <v>0</v>
      </c>
      <c r="J230" s="233"/>
      <c r="K230" s="233"/>
      <c r="L230" s="233"/>
      <c r="M230" s="232">
        <f t="shared" si="22"/>
        <v>0</v>
      </c>
      <c r="N230" s="233">
        <v>0</v>
      </c>
      <c r="O230" s="233"/>
      <c r="P230" s="233"/>
      <c r="Q230" s="233"/>
      <c r="R230" s="232">
        <f t="shared" si="23"/>
        <v>0</v>
      </c>
    </row>
    <row r="231" spans="1:18" s="29" customFormat="1" ht="12" hidden="1" customHeight="1">
      <c r="A231" s="140" t="s">
        <v>133</v>
      </c>
      <c r="B231" s="124" t="s">
        <v>122</v>
      </c>
      <c r="C231" s="205">
        <v>0</v>
      </c>
      <c r="D231" s="205">
        <v>0</v>
      </c>
      <c r="E231" s="254">
        <f>E232+E233</f>
        <v>0</v>
      </c>
      <c r="F231" s="254">
        <f>F232+F233</f>
        <v>0</v>
      </c>
      <c r="G231" s="254">
        <f>G232+G233</f>
        <v>0</v>
      </c>
      <c r="H231" s="232">
        <f t="shared" si="21"/>
        <v>0</v>
      </c>
      <c r="I231" s="254">
        <v>0</v>
      </c>
      <c r="J231" s="254">
        <f>J232+J233</f>
        <v>0</v>
      </c>
      <c r="K231" s="254">
        <f>K232+K233</f>
        <v>0</v>
      </c>
      <c r="L231" s="254">
        <f>L232+L233</f>
        <v>0</v>
      </c>
      <c r="M231" s="232">
        <f t="shared" si="22"/>
        <v>0</v>
      </c>
      <c r="N231" s="254">
        <v>0</v>
      </c>
      <c r="O231" s="254">
        <f>O232+O233</f>
        <v>0</v>
      </c>
      <c r="P231" s="254">
        <f>P232+P233</f>
        <v>0</v>
      </c>
      <c r="Q231" s="254">
        <f>Q232+Q233</f>
        <v>0</v>
      </c>
      <c r="R231" s="232">
        <f t="shared" si="23"/>
        <v>0</v>
      </c>
    </row>
    <row r="232" spans="1:18" s="29" customFormat="1" ht="12" hidden="1" customHeight="1">
      <c r="A232" s="140">
        <v>5000</v>
      </c>
      <c r="B232" s="124" t="s">
        <v>123</v>
      </c>
      <c r="C232" s="170">
        <v>0</v>
      </c>
      <c r="D232" s="170">
        <v>0</v>
      </c>
      <c r="E232" s="244"/>
      <c r="F232" s="244"/>
      <c r="G232" s="244"/>
      <c r="H232" s="232">
        <f t="shared" si="21"/>
        <v>0</v>
      </c>
      <c r="I232" s="233">
        <v>0</v>
      </c>
      <c r="J232" s="244"/>
      <c r="K232" s="244"/>
      <c r="L232" s="244"/>
      <c r="M232" s="232">
        <f t="shared" si="22"/>
        <v>0</v>
      </c>
      <c r="N232" s="233">
        <v>0</v>
      </c>
      <c r="O232" s="244"/>
      <c r="P232" s="244"/>
      <c r="Q232" s="244"/>
      <c r="R232" s="232">
        <f t="shared" si="23"/>
        <v>0</v>
      </c>
    </row>
    <row r="233" spans="1:18" s="29" customFormat="1" ht="12" hidden="1" customHeight="1">
      <c r="A233" s="140">
        <v>9000</v>
      </c>
      <c r="B233" s="182" t="s">
        <v>164</v>
      </c>
      <c r="C233" s="170">
        <v>0</v>
      </c>
      <c r="D233" s="170">
        <v>0</v>
      </c>
      <c r="E233" s="233">
        <f>E234+E240+E244+E247</f>
        <v>0</v>
      </c>
      <c r="F233" s="233">
        <f>F234+F240+F244+F247</f>
        <v>0</v>
      </c>
      <c r="G233" s="233">
        <f>G234+G240+G244+G247</f>
        <v>0</v>
      </c>
      <c r="H233" s="232">
        <f t="shared" si="21"/>
        <v>0</v>
      </c>
      <c r="I233" s="233">
        <v>0</v>
      </c>
      <c r="J233" s="233">
        <f>J234+J240+J244+J247</f>
        <v>0</v>
      </c>
      <c r="K233" s="233">
        <f>K234+K240+K244+K247</f>
        <v>0</v>
      </c>
      <c r="L233" s="233">
        <f>L234+L240+L244+L247</f>
        <v>0</v>
      </c>
      <c r="M233" s="232">
        <f t="shared" si="22"/>
        <v>0</v>
      </c>
      <c r="N233" s="233">
        <v>0</v>
      </c>
      <c r="O233" s="233">
        <f>O234+O240+O244+O247</f>
        <v>0</v>
      </c>
      <c r="P233" s="233">
        <f>P234+P240+P244+P247</f>
        <v>0</v>
      </c>
      <c r="Q233" s="233">
        <f>Q234+Q240+Q244+Q247</f>
        <v>0</v>
      </c>
      <c r="R233" s="232">
        <f t="shared" si="23"/>
        <v>0</v>
      </c>
    </row>
    <row r="234" spans="1:18" s="29" customFormat="1" ht="12" hidden="1" customHeight="1">
      <c r="A234" s="141">
        <v>9100</v>
      </c>
      <c r="B234" s="179" t="s">
        <v>124</v>
      </c>
      <c r="C234" s="170">
        <v>0</v>
      </c>
      <c r="D234" s="170">
        <v>0</v>
      </c>
      <c r="E234" s="233">
        <f>SUM(E235:E236)</f>
        <v>0</v>
      </c>
      <c r="F234" s="233">
        <f>SUM(F235:F236)</f>
        <v>0</v>
      </c>
      <c r="G234" s="233">
        <f>SUM(G235:G236)</f>
        <v>0</v>
      </c>
      <c r="H234" s="232">
        <f t="shared" si="21"/>
        <v>0</v>
      </c>
      <c r="I234" s="233">
        <v>0</v>
      </c>
      <c r="J234" s="233">
        <f>SUM(J235:J236)</f>
        <v>0</v>
      </c>
      <c r="K234" s="233">
        <f>SUM(K235:K236)</f>
        <v>0</v>
      </c>
      <c r="L234" s="233">
        <f>SUM(L235:L236)</f>
        <v>0</v>
      </c>
      <c r="M234" s="232">
        <f t="shared" si="22"/>
        <v>0</v>
      </c>
      <c r="N234" s="233">
        <v>0</v>
      </c>
      <c r="O234" s="233">
        <f>SUM(O235:O236)</f>
        <v>0</v>
      </c>
      <c r="P234" s="233">
        <f>SUM(P235:P236)</f>
        <v>0</v>
      </c>
      <c r="Q234" s="233">
        <f>SUM(Q235:Q236)</f>
        <v>0</v>
      </c>
      <c r="R234" s="232">
        <f t="shared" si="23"/>
        <v>0</v>
      </c>
    </row>
    <row r="235" spans="1:18" s="29" customFormat="1" ht="24" hidden="1" customHeight="1">
      <c r="A235" s="133" t="s">
        <v>125</v>
      </c>
      <c r="B235" s="179" t="s">
        <v>214</v>
      </c>
      <c r="C235" s="170"/>
      <c r="D235" s="170">
        <v>0</v>
      </c>
      <c r="E235" s="233"/>
      <c r="F235" s="233"/>
      <c r="G235" s="233"/>
      <c r="H235" s="232">
        <f t="shared" si="21"/>
        <v>0</v>
      </c>
      <c r="I235" s="233">
        <v>0</v>
      </c>
      <c r="J235" s="233"/>
      <c r="K235" s="233"/>
      <c r="L235" s="233"/>
      <c r="M235" s="232">
        <f t="shared" si="22"/>
        <v>0</v>
      </c>
      <c r="N235" s="233">
        <v>0</v>
      </c>
      <c r="O235" s="233"/>
      <c r="P235" s="233"/>
      <c r="Q235" s="233"/>
      <c r="R235" s="232">
        <f t="shared" si="23"/>
        <v>0</v>
      </c>
    </row>
    <row r="236" spans="1:18" s="29" customFormat="1" ht="24" hidden="1" customHeight="1">
      <c r="A236" s="133">
        <v>9140</v>
      </c>
      <c r="B236" s="179" t="s">
        <v>215</v>
      </c>
      <c r="C236" s="170">
        <v>0</v>
      </c>
      <c r="D236" s="170">
        <v>0</v>
      </c>
      <c r="E236" s="233">
        <f>SUM(E237:E239)</f>
        <v>0</v>
      </c>
      <c r="F236" s="233">
        <f>SUM(F237:F239)</f>
        <v>0</v>
      </c>
      <c r="G236" s="233">
        <f>SUM(G237:G239)</f>
        <v>0</v>
      </c>
      <c r="H236" s="232">
        <f t="shared" si="21"/>
        <v>0</v>
      </c>
      <c r="I236" s="233">
        <v>0</v>
      </c>
      <c r="J236" s="233">
        <f>SUM(J237:J239)</f>
        <v>0</v>
      </c>
      <c r="K236" s="233">
        <f>SUM(K237:K239)</f>
        <v>0</v>
      </c>
      <c r="L236" s="233">
        <f>SUM(L237:L239)</f>
        <v>0</v>
      </c>
      <c r="M236" s="232">
        <f t="shared" si="22"/>
        <v>0</v>
      </c>
      <c r="N236" s="233">
        <v>0</v>
      </c>
      <c r="O236" s="233">
        <f>SUM(O237:O239)</f>
        <v>0</v>
      </c>
      <c r="P236" s="233">
        <f>SUM(P237:P239)</f>
        <v>0</v>
      </c>
      <c r="Q236" s="233">
        <f>SUM(Q237:Q239)</f>
        <v>0</v>
      </c>
      <c r="R236" s="232">
        <f t="shared" si="23"/>
        <v>0</v>
      </c>
    </row>
    <row r="237" spans="1:18" s="29" customFormat="1" ht="36" hidden="1" customHeight="1">
      <c r="A237" s="134">
        <v>9141</v>
      </c>
      <c r="B237" s="172" t="s">
        <v>190</v>
      </c>
      <c r="C237" s="204"/>
      <c r="D237" s="204">
        <v>0</v>
      </c>
      <c r="E237" s="252"/>
      <c r="F237" s="252"/>
      <c r="G237" s="252"/>
      <c r="H237" s="232">
        <f t="shared" si="21"/>
        <v>0</v>
      </c>
      <c r="I237" s="252">
        <v>0</v>
      </c>
      <c r="J237" s="252"/>
      <c r="K237" s="252"/>
      <c r="L237" s="252"/>
      <c r="M237" s="232">
        <f t="shared" si="22"/>
        <v>0</v>
      </c>
      <c r="N237" s="252">
        <v>0</v>
      </c>
      <c r="O237" s="252"/>
      <c r="P237" s="252"/>
      <c r="Q237" s="252"/>
      <c r="R237" s="232">
        <f t="shared" si="23"/>
        <v>0</v>
      </c>
    </row>
    <row r="238" spans="1:18" s="29" customFormat="1" ht="36" hidden="1" customHeight="1">
      <c r="A238" s="134">
        <v>9142</v>
      </c>
      <c r="B238" s="172" t="s">
        <v>191</v>
      </c>
      <c r="C238" s="204"/>
      <c r="D238" s="204">
        <v>0</v>
      </c>
      <c r="E238" s="252"/>
      <c r="F238" s="252"/>
      <c r="G238" s="252"/>
      <c r="H238" s="232">
        <f t="shared" si="21"/>
        <v>0</v>
      </c>
      <c r="I238" s="252">
        <v>0</v>
      </c>
      <c r="J238" s="252"/>
      <c r="K238" s="252"/>
      <c r="L238" s="252"/>
      <c r="M238" s="232">
        <f t="shared" si="22"/>
        <v>0</v>
      </c>
      <c r="N238" s="252">
        <v>0</v>
      </c>
      <c r="O238" s="252"/>
      <c r="P238" s="252"/>
      <c r="Q238" s="252"/>
      <c r="R238" s="232">
        <f t="shared" si="23"/>
        <v>0</v>
      </c>
    </row>
    <row r="239" spans="1:18" s="29" customFormat="1" ht="24" hidden="1" customHeight="1">
      <c r="A239" s="134">
        <v>9149</v>
      </c>
      <c r="B239" s="172" t="s">
        <v>192</v>
      </c>
      <c r="C239" s="204"/>
      <c r="D239" s="204">
        <v>0</v>
      </c>
      <c r="E239" s="252"/>
      <c r="F239" s="252"/>
      <c r="G239" s="252"/>
      <c r="H239" s="232">
        <f t="shared" si="21"/>
        <v>0</v>
      </c>
      <c r="I239" s="252">
        <v>0</v>
      </c>
      <c r="J239" s="252"/>
      <c r="K239" s="252"/>
      <c r="L239" s="252"/>
      <c r="M239" s="232">
        <f t="shared" si="22"/>
        <v>0</v>
      </c>
      <c r="N239" s="252">
        <v>0</v>
      </c>
      <c r="O239" s="252"/>
      <c r="P239" s="252"/>
      <c r="Q239" s="252"/>
      <c r="R239" s="232">
        <f t="shared" si="23"/>
        <v>0</v>
      </c>
    </row>
    <row r="240" spans="1:18" s="29" customFormat="1" ht="24" hidden="1" customHeight="1">
      <c r="A240" s="141">
        <v>9500</v>
      </c>
      <c r="B240" s="172" t="s">
        <v>165</v>
      </c>
      <c r="C240" s="170">
        <v>0</v>
      </c>
      <c r="D240" s="170">
        <v>0</v>
      </c>
      <c r="E240" s="233">
        <f>SUM(E241:E243)</f>
        <v>0</v>
      </c>
      <c r="F240" s="233">
        <f>SUM(F241:F243)</f>
        <v>0</v>
      </c>
      <c r="G240" s="233">
        <f>SUM(G241:G243)</f>
        <v>0</v>
      </c>
      <c r="H240" s="232">
        <f t="shared" si="21"/>
        <v>0</v>
      </c>
      <c r="I240" s="233">
        <v>0</v>
      </c>
      <c r="J240" s="233">
        <f>SUM(J241:J243)</f>
        <v>0</v>
      </c>
      <c r="K240" s="233">
        <f>SUM(K241:K243)</f>
        <v>0</v>
      </c>
      <c r="L240" s="233">
        <f>SUM(L241:L243)</f>
        <v>0</v>
      </c>
      <c r="M240" s="232">
        <f t="shared" si="22"/>
        <v>0</v>
      </c>
      <c r="N240" s="233">
        <v>0</v>
      </c>
      <c r="O240" s="233">
        <f>SUM(O241:O243)</f>
        <v>0</v>
      </c>
      <c r="P240" s="233">
        <f>SUM(P241:P243)</f>
        <v>0</v>
      </c>
      <c r="Q240" s="233">
        <f>SUM(Q241:Q243)</f>
        <v>0</v>
      </c>
      <c r="R240" s="232">
        <f t="shared" si="23"/>
        <v>0</v>
      </c>
    </row>
    <row r="241" spans="1:18" s="29" customFormat="1" ht="24" hidden="1" customHeight="1">
      <c r="A241" s="133" t="s">
        <v>193</v>
      </c>
      <c r="B241" s="172" t="s">
        <v>171</v>
      </c>
      <c r="C241" s="170"/>
      <c r="D241" s="170">
        <v>0</v>
      </c>
      <c r="E241" s="233"/>
      <c r="F241" s="233"/>
      <c r="G241" s="233"/>
      <c r="H241" s="232">
        <f t="shared" si="21"/>
        <v>0</v>
      </c>
      <c r="I241" s="233">
        <v>0</v>
      </c>
      <c r="J241" s="233"/>
      <c r="K241" s="233"/>
      <c r="L241" s="233"/>
      <c r="M241" s="232">
        <f t="shared" si="22"/>
        <v>0</v>
      </c>
      <c r="N241" s="233">
        <v>0</v>
      </c>
      <c r="O241" s="233"/>
      <c r="P241" s="233"/>
      <c r="Q241" s="233"/>
      <c r="R241" s="232">
        <f t="shared" si="23"/>
        <v>0</v>
      </c>
    </row>
    <row r="242" spans="1:18" s="29" customFormat="1" ht="48" hidden="1" customHeight="1">
      <c r="A242" s="133">
        <v>9580</v>
      </c>
      <c r="B242" s="172" t="s">
        <v>166</v>
      </c>
      <c r="C242" s="204"/>
      <c r="D242" s="204">
        <v>0</v>
      </c>
      <c r="E242" s="252"/>
      <c r="F242" s="252"/>
      <c r="G242" s="252"/>
      <c r="H242" s="232">
        <f t="shared" si="21"/>
        <v>0</v>
      </c>
      <c r="I242" s="252">
        <v>0</v>
      </c>
      <c r="J242" s="252"/>
      <c r="K242" s="252"/>
      <c r="L242" s="252"/>
      <c r="M242" s="232">
        <f t="shared" si="22"/>
        <v>0</v>
      </c>
      <c r="N242" s="252">
        <v>0</v>
      </c>
      <c r="O242" s="252"/>
      <c r="P242" s="252"/>
      <c r="Q242" s="252"/>
      <c r="R242" s="232">
        <f t="shared" si="23"/>
        <v>0</v>
      </c>
    </row>
    <row r="243" spans="1:18" s="29" customFormat="1" ht="48" hidden="1" customHeight="1">
      <c r="A243" s="133">
        <v>9590</v>
      </c>
      <c r="B243" s="179" t="s">
        <v>172</v>
      </c>
      <c r="C243" s="204"/>
      <c r="D243" s="204">
        <v>0</v>
      </c>
      <c r="E243" s="252"/>
      <c r="F243" s="252"/>
      <c r="G243" s="252"/>
      <c r="H243" s="232">
        <f t="shared" si="21"/>
        <v>0</v>
      </c>
      <c r="I243" s="252">
        <v>0</v>
      </c>
      <c r="J243" s="252"/>
      <c r="K243" s="252"/>
      <c r="L243" s="252"/>
      <c r="M243" s="232">
        <f t="shared" si="22"/>
        <v>0</v>
      </c>
      <c r="N243" s="252">
        <v>0</v>
      </c>
      <c r="O243" s="252"/>
      <c r="P243" s="252"/>
      <c r="Q243" s="252"/>
      <c r="R243" s="232">
        <f t="shared" si="23"/>
        <v>0</v>
      </c>
    </row>
    <row r="244" spans="1:18" s="29" customFormat="1" ht="24" hidden="1" customHeight="1">
      <c r="A244" s="141">
        <v>9700</v>
      </c>
      <c r="B244" s="183" t="s">
        <v>194</v>
      </c>
      <c r="C244" s="170">
        <v>0</v>
      </c>
      <c r="D244" s="170">
        <v>0</v>
      </c>
      <c r="E244" s="233">
        <f>SUM(E245:E246)</f>
        <v>0</v>
      </c>
      <c r="F244" s="233">
        <f>SUM(F245:F246)</f>
        <v>0</v>
      </c>
      <c r="G244" s="233">
        <f>SUM(G245:G246)</f>
        <v>0</v>
      </c>
      <c r="H244" s="232">
        <f t="shared" si="21"/>
        <v>0</v>
      </c>
      <c r="I244" s="233">
        <v>0</v>
      </c>
      <c r="J244" s="233">
        <f>SUM(J245:J246)</f>
        <v>0</v>
      </c>
      <c r="K244" s="233">
        <f>SUM(K245:K246)</f>
        <v>0</v>
      </c>
      <c r="L244" s="233">
        <f>SUM(L245:L246)</f>
        <v>0</v>
      </c>
      <c r="M244" s="232">
        <f t="shared" si="22"/>
        <v>0</v>
      </c>
      <c r="N244" s="233">
        <v>0</v>
      </c>
      <c r="O244" s="233">
        <f>SUM(O245:O246)</f>
        <v>0</v>
      </c>
      <c r="P244" s="233">
        <f>SUM(P245:P246)</f>
        <v>0</v>
      </c>
      <c r="Q244" s="233">
        <f>SUM(Q245:Q246)</f>
        <v>0</v>
      </c>
      <c r="R244" s="232">
        <f t="shared" si="23"/>
        <v>0</v>
      </c>
    </row>
    <row r="245" spans="1:18" s="29" customFormat="1" ht="24" hidden="1" customHeight="1">
      <c r="A245" s="133">
        <v>9710</v>
      </c>
      <c r="B245" s="184" t="s">
        <v>195</v>
      </c>
      <c r="C245" s="204"/>
      <c r="D245" s="204">
        <v>0</v>
      </c>
      <c r="E245" s="252"/>
      <c r="F245" s="252"/>
      <c r="G245" s="252"/>
      <c r="H245" s="232">
        <f t="shared" si="21"/>
        <v>0</v>
      </c>
      <c r="I245" s="252">
        <v>0</v>
      </c>
      <c r="J245" s="252"/>
      <c r="K245" s="252"/>
      <c r="L245" s="252"/>
      <c r="M245" s="232">
        <f t="shared" si="22"/>
        <v>0</v>
      </c>
      <c r="N245" s="252">
        <v>0</v>
      </c>
      <c r="O245" s="252"/>
      <c r="P245" s="252"/>
      <c r="Q245" s="252"/>
      <c r="R245" s="232">
        <f t="shared" si="23"/>
        <v>0</v>
      </c>
    </row>
    <row r="246" spans="1:18" s="29" customFormat="1" ht="48" hidden="1" customHeight="1">
      <c r="A246" s="142">
        <v>9720</v>
      </c>
      <c r="B246" s="183" t="s">
        <v>196</v>
      </c>
      <c r="C246" s="204"/>
      <c r="D246" s="204">
        <v>0</v>
      </c>
      <c r="E246" s="252"/>
      <c r="F246" s="252"/>
      <c r="G246" s="252"/>
      <c r="H246" s="232">
        <f t="shared" si="21"/>
        <v>0</v>
      </c>
      <c r="I246" s="252">
        <v>0</v>
      </c>
      <c r="J246" s="252"/>
      <c r="K246" s="252"/>
      <c r="L246" s="252"/>
      <c r="M246" s="232">
        <f t="shared" si="22"/>
        <v>0</v>
      </c>
      <c r="N246" s="252">
        <v>0</v>
      </c>
      <c r="O246" s="252"/>
      <c r="P246" s="252"/>
      <c r="Q246" s="252"/>
      <c r="R246" s="232">
        <f t="shared" si="23"/>
        <v>0</v>
      </c>
    </row>
    <row r="247" spans="1:18" s="29" customFormat="1" ht="24" hidden="1" customHeight="1">
      <c r="A247" s="141">
        <v>9600</v>
      </c>
      <c r="B247" s="179" t="s">
        <v>134</v>
      </c>
      <c r="C247" s="204"/>
      <c r="D247" s="204">
        <v>0</v>
      </c>
      <c r="E247" s="252"/>
      <c r="F247" s="252"/>
      <c r="G247" s="252"/>
      <c r="H247" s="232">
        <f t="shared" si="21"/>
        <v>0</v>
      </c>
      <c r="I247" s="252">
        <v>0</v>
      </c>
      <c r="J247" s="252"/>
      <c r="K247" s="252"/>
      <c r="L247" s="252"/>
      <c r="M247" s="232">
        <f t="shared" si="22"/>
        <v>0</v>
      </c>
      <c r="N247" s="252">
        <v>0</v>
      </c>
      <c r="O247" s="252"/>
      <c r="P247" s="252"/>
      <c r="Q247" s="252"/>
      <c r="R247" s="232">
        <f t="shared" si="23"/>
        <v>0</v>
      </c>
    </row>
    <row r="248" spans="1:18" s="29" customFormat="1" ht="52.5" hidden="1" customHeight="1">
      <c r="A248" s="130" t="s">
        <v>197</v>
      </c>
      <c r="B248" s="185" t="s">
        <v>47</v>
      </c>
      <c r="C248" s="206"/>
      <c r="D248" s="206">
        <v>0</v>
      </c>
      <c r="E248" s="262">
        <f>E178-E203</f>
        <v>0</v>
      </c>
      <c r="F248" s="262">
        <f>F178-F203</f>
        <v>0</v>
      </c>
      <c r="G248" s="262">
        <f>G178-G203</f>
        <v>0</v>
      </c>
      <c r="H248" s="232">
        <f t="shared" si="21"/>
        <v>0</v>
      </c>
      <c r="I248" s="262">
        <v>0</v>
      </c>
      <c r="J248" s="262">
        <f>J178-J203</f>
        <v>0</v>
      </c>
      <c r="K248" s="262">
        <f>K178-K203</f>
        <v>0</v>
      </c>
      <c r="L248" s="262">
        <f>L178-L203</f>
        <v>0</v>
      </c>
      <c r="M248" s="232">
        <f t="shared" si="22"/>
        <v>0</v>
      </c>
      <c r="N248" s="262">
        <v>0</v>
      </c>
      <c r="O248" s="262">
        <f>O178-O203</f>
        <v>0</v>
      </c>
      <c r="P248" s="262">
        <f>P178-P203</f>
        <v>0</v>
      </c>
      <c r="Q248" s="262">
        <f>Q178-Q203</f>
        <v>0</v>
      </c>
      <c r="R248" s="232">
        <f t="shared" si="23"/>
        <v>0</v>
      </c>
    </row>
    <row r="249" spans="1:18" s="29" customFormat="1" ht="12" hidden="1" customHeight="1">
      <c r="A249" s="143" t="s">
        <v>48</v>
      </c>
      <c r="B249" s="185" t="s">
        <v>49</v>
      </c>
      <c r="C249" s="206">
        <v>0</v>
      </c>
      <c r="D249" s="206">
        <v>0</v>
      </c>
      <c r="E249" s="262">
        <f>E250+E253+E257+E256</f>
        <v>0</v>
      </c>
      <c r="F249" s="262">
        <f>F250+F253+F257+F256</f>
        <v>0</v>
      </c>
      <c r="G249" s="262">
        <f>G250+G253+G257+G256</f>
        <v>0</v>
      </c>
      <c r="H249" s="232">
        <f t="shared" si="21"/>
        <v>0</v>
      </c>
      <c r="I249" s="262">
        <v>0</v>
      </c>
      <c r="J249" s="262">
        <f>J250+J253+J257+J256</f>
        <v>0</v>
      </c>
      <c r="K249" s="262">
        <f>K250+K253+K257+K256</f>
        <v>0</v>
      </c>
      <c r="L249" s="262">
        <f>L250+L253+L257+L256</f>
        <v>0</v>
      </c>
      <c r="M249" s="232">
        <f t="shared" si="22"/>
        <v>0</v>
      </c>
      <c r="N249" s="262">
        <v>0</v>
      </c>
      <c r="O249" s="262">
        <f>O250+O253+O257+O256</f>
        <v>0</v>
      </c>
      <c r="P249" s="262">
        <f>P250+P253+P257+P256</f>
        <v>0</v>
      </c>
      <c r="Q249" s="262">
        <f>Q250+Q253+Q257+Q256</f>
        <v>0</v>
      </c>
      <c r="R249" s="232">
        <f t="shared" si="23"/>
        <v>0</v>
      </c>
    </row>
    <row r="250" spans="1:18" s="29" customFormat="1" ht="12" hidden="1" customHeight="1">
      <c r="A250" s="141" t="s">
        <v>50</v>
      </c>
      <c r="B250" s="179" t="s">
        <v>51</v>
      </c>
      <c r="C250" s="98">
        <v>0</v>
      </c>
      <c r="D250" s="98">
        <v>0</v>
      </c>
      <c r="E250" s="231">
        <f>E251+E252</f>
        <v>0</v>
      </c>
      <c r="F250" s="231">
        <f>F251+F252</f>
        <v>0</v>
      </c>
      <c r="G250" s="231">
        <f>G251+G252</f>
        <v>0</v>
      </c>
      <c r="H250" s="232">
        <f t="shared" si="21"/>
        <v>0</v>
      </c>
      <c r="I250" s="231">
        <v>0</v>
      </c>
      <c r="J250" s="231">
        <f>J251+J252</f>
        <v>0</v>
      </c>
      <c r="K250" s="231">
        <f>K251+K252</f>
        <v>0</v>
      </c>
      <c r="L250" s="231">
        <f>L251+L252</f>
        <v>0</v>
      </c>
      <c r="M250" s="232">
        <f t="shared" si="22"/>
        <v>0</v>
      </c>
      <c r="N250" s="231">
        <v>0</v>
      </c>
      <c r="O250" s="231">
        <f>O251+O252</f>
        <v>0</v>
      </c>
      <c r="P250" s="231">
        <f>P251+P252</f>
        <v>0</v>
      </c>
      <c r="Q250" s="231">
        <f>Q251+Q252</f>
        <v>0</v>
      </c>
      <c r="R250" s="232">
        <f t="shared" si="23"/>
        <v>0</v>
      </c>
    </row>
    <row r="251" spans="1:18" s="29" customFormat="1" ht="12" hidden="1" customHeight="1">
      <c r="A251" s="141" t="s">
        <v>52</v>
      </c>
      <c r="B251" s="179" t="s">
        <v>53</v>
      </c>
      <c r="C251" s="98"/>
      <c r="D251" s="98">
        <v>0</v>
      </c>
      <c r="E251" s="231"/>
      <c r="F251" s="231"/>
      <c r="G251" s="231"/>
      <c r="H251" s="232">
        <f t="shared" si="21"/>
        <v>0</v>
      </c>
      <c r="I251" s="231">
        <v>0</v>
      </c>
      <c r="J251" s="231"/>
      <c r="K251" s="231"/>
      <c r="L251" s="231"/>
      <c r="M251" s="232">
        <f t="shared" si="22"/>
        <v>0</v>
      </c>
      <c r="N251" s="231">
        <v>0</v>
      </c>
      <c r="O251" s="231"/>
      <c r="P251" s="231"/>
      <c r="Q251" s="231"/>
      <c r="R251" s="232">
        <f t="shared" si="23"/>
        <v>0</v>
      </c>
    </row>
    <row r="252" spans="1:18" s="29" customFormat="1" ht="12" hidden="1" customHeight="1">
      <c r="A252" s="141" t="s">
        <v>54</v>
      </c>
      <c r="B252" s="179" t="s">
        <v>55</v>
      </c>
      <c r="C252" s="98"/>
      <c r="D252" s="98">
        <v>0</v>
      </c>
      <c r="E252" s="231"/>
      <c r="F252" s="231"/>
      <c r="G252" s="231"/>
      <c r="H252" s="232">
        <f t="shared" si="21"/>
        <v>0</v>
      </c>
      <c r="I252" s="231">
        <v>0</v>
      </c>
      <c r="J252" s="231"/>
      <c r="K252" s="231"/>
      <c r="L252" s="231"/>
      <c r="M252" s="232">
        <f t="shared" si="22"/>
        <v>0</v>
      </c>
      <c r="N252" s="231">
        <v>0</v>
      </c>
      <c r="O252" s="231"/>
      <c r="P252" s="231"/>
      <c r="Q252" s="231"/>
      <c r="R252" s="232">
        <f t="shared" si="23"/>
        <v>0</v>
      </c>
    </row>
    <row r="253" spans="1:18" s="29" customFormat="1" ht="12" hidden="1" customHeight="1">
      <c r="A253" s="141" t="s">
        <v>56</v>
      </c>
      <c r="B253" s="179" t="s">
        <v>57</v>
      </c>
      <c r="C253" s="98">
        <v>0</v>
      </c>
      <c r="D253" s="98">
        <v>0</v>
      </c>
      <c r="E253" s="231">
        <f>E254+E255</f>
        <v>0</v>
      </c>
      <c r="F253" s="231">
        <f>F254+F255</f>
        <v>0</v>
      </c>
      <c r="G253" s="231">
        <f>G254+G255</f>
        <v>0</v>
      </c>
      <c r="H253" s="232">
        <f t="shared" si="21"/>
        <v>0</v>
      </c>
      <c r="I253" s="231">
        <v>0</v>
      </c>
      <c r="J253" s="231">
        <f>J254+J255</f>
        <v>0</v>
      </c>
      <c r="K253" s="231">
        <f>K254+K255</f>
        <v>0</v>
      </c>
      <c r="L253" s="231">
        <f>L254+L255</f>
        <v>0</v>
      </c>
      <c r="M253" s="232">
        <f t="shared" si="22"/>
        <v>0</v>
      </c>
      <c r="N253" s="231">
        <v>0</v>
      </c>
      <c r="O253" s="231">
        <f>O254+O255</f>
        <v>0</v>
      </c>
      <c r="P253" s="231">
        <f>P254+P255</f>
        <v>0</v>
      </c>
      <c r="Q253" s="231">
        <f>Q254+Q255</f>
        <v>0</v>
      </c>
      <c r="R253" s="232">
        <f t="shared" si="23"/>
        <v>0</v>
      </c>
    </row>
    <row r="254" spans="1:18" s="29" customFormat="1" ht="12" hidden="1" customHeight="1">
      <c r="A254" s="141" t="s">
        <v>58</v>
      </c>
      <c r="B254" s="179" t="s">
        <v>59</v>
      </c>
      <c r="C254" s="98"/>
      <c r="D254" s="98">
        <v>0</v>
      </c>
      <c r="E254" s="231"/>
      <c r="F254" s="231"/>
      <c r="G254" s="231"/>
      <c r="H254" s="232">
        <f t="shared" si="21"/>
        <v>0</v>
      </c>
      <c r="I254" s="231">
        <v>0</v>
      </c>
      <c r="J254" s="231"/>
      <c r="K254" s="231"/>
      <c r="L254" s="231"/>
      <c r="M254" s="232">
        <f t="shared" si="22"/>
        <v>0</v>
      </c>
      <c r="N254" s="231">
        <v>0</v>
      </c>
      <c r="O254" s="231"/>
      <c r="P254" s="231"/>
      <c r="Q254" s="231"/>
      <c r="R254" s="232">
        <f t="shared" si="23"/>
        <v>0</v>
      </c>
    </row>
    <row r="255" spans="1:18" s="29" customFormat="1" ht="12" hidden="1" customHeight="1">
      <c r="A255" s="141" t="s">
        <v>60</v>
      </c>
      <c r="B255" s="179" t="s">
        <v>61</v>
      </c>
      <c r="C255" s="98"/>
      <c r="D255" s="98">
        <v>0</v>
      </c>
      <c r="E255" s="231"/>
      <c r="F255" s="231"/>
      <c r="G255" s="231"/>
      <c r="H255" s="232">
        <f t="shared" si="21"/>
        <v>0</v>
      </c>
      <c r="I255" s="231">
        <v>0</v>
      </c>
      <c r="J255" s="231"/>
      <c r="K255" s="231"/>
      <c r="L255" s="231"/>
      <c r="M255" s="232">
        <f t="shared" si="22"/>
        <v>0</v>
      </c>
      <c r="N255" s="231">
        <v>0</v>
      </c>
      <c r="O255" s="231"/>
      <c r="P255" s="231"/>
      <c r="Q255" s="231"/>
      <c r="R255" s="232">
        <f t="shared" si="23"/>
        <v>0</v>
      </c>
    </row>
    <row r="256" spans="1:18" s="29" customFormat="1" ht="12" hidden="1" customHeight="1">
      <c r="A256" s="141" t="s">
        <v>198</v>
      </c>
      <c r="B256" s="187" t="s">
        <v>168</v>
      </c>
      <c r="C256" s="98"/>
      <c r="D256" s="98">
        <v>0</v>
      </c>
      <c r="E256" s="231"/>
      <c r="F256" s="231"/>
      <c r="G256" s="231"/>
      <c r="H256" s="232">
        <f t="shared" si="21"/>
        <v>0</v>
      </c>
      <c r="I256" s="231">
        <v>0</v>
      </c>
      <c r="J256" s="231"/>
      <c r="K256" s="231"/>
      <c r="L256" s="231"/>
      <c r="M256" s="232">
        <f t="shared" si="22"/>
        <v>0</v>
      </c>
      <c r="N256" s="231">
        <v>0</v>
      </c>
      <c r="O256" s="231"/>
      <c r="P256" s="231"/>
      <c r="Q256" s="231"/>
      <c r="R256" s="232">
        <f t="shared" si="23"/>
        <v>0</v>
      </c>
    </row>
    <row r="257" spans="1:18" s="29" customFormat="1" ht="12" hidden="1" customHeight="1">
      <c r="A257" s="144" t="s">
        <v>62</v>
      </c>
      <c r="B257" s="125" t="s">
        <v>63</v>
      </c>
      <c r="C257" s="170">
        <v>0</v>
      </c>
      <c r="D257" s="170">
        <v>0</v>
      </c>
      <c r="E257" s="233">
        <f>E258+E259+E260</f>
        <v>0</v>
      </c>
      <c r="F257" s="233">
        <f>F258+F259+F260</f>
        <v>0</v>
      </c>
      <c r="G257" s="233">
        <f>G258+G259+G260</f>
        <v>0</v>
      </c>
      <c r="H257" s="232">
        <f t="shared" si="21"/>
        <v>0</v>
      </c>
      <c r="I257" s="233">
        <v>0</v>
      </c>
      <c r="J257" s="233">
        <f>J258+J259+J260</f>
        <v>0</v>
      </c>
      <c r="K257" s="233">
        <f>K258+K259+K260</f>
        <v>0</v>
      </c>
      <c r="L257" s="233">
        <f>L258+L259+L260</f>
        <v>0</v>
      </c>
      <c r="M257" s="232">
        <f t="shared" si="22"/>
        <v>0</v>
      </c>
      <c r="N257" s="233">
        <v>0</v>
      </c>
      <c r="O257" s="233">
        <f>O258+O259+O260</f>
        <v>0</v>
      </c>
      <c r="P257" s="233">
        <f>P258+P259+P260</f>
        <v>0</v>
      </c>
      <c r="Q257" s="233">
        <f>Q258+Q259+Q260</f>
        <v>0</v>
      </c>
      <c r="R257" s="232">
        <f t="shared" si="23"/>
        <v>0</v>
      </c>
    </row>
    <row r="258" spans="1:18" s="29" customFormat="1" ht="36" hidden="1" customHeight="1">
      <c r="A258" s="144" t="s">
        <v>64</v>
      </c>
      <c r="B258" s="179" t="s">
        <v>65</v>
      </c>
      <c r="C258" s="98"/>
      <c r="D258" s="98">
        <v>0</v>
      </c>
      <c r="E258" s="231"/>
      <c r="F258" s="231"/>
      <c r="G258" s="231"/>
      <c r="H258" s="232">
        <f t="shared" si="21"/>
        <v>0</v>
      </c>
      <c r="I258" s="231">
        <v>0</v>
      </c>
      <c r="J258" s="231"/>
      <c r="K258" s="231"/>
      <c r="L258" s="231"/>
      <c r="M258" s="232">
        <f t="shared" si="22"/>
        <v>0</v>
      </c>
      <c r="N258" s="231">
        <v>0</v>
      </c>
      <c r="O258" s="231"/>
      <c r="P258" s="231"/>
      <c r="Q258" s="231"/>
      <c r="R258" s="232">
        <f t="shared" si="23"/>
        <v>0</v>
      </c>
    </row>
    <row r="259" spans="1:18" s="29" customFormat="1" ht="24" hidden="1" customHeight="1">
      <c r="A259" s="144" t="s">
        <v>66</v>
      </c>
      <c r="B259" s="179" t="s">
        <v>67</v>
      </c>
      <c r="C259" s="98"/>
      <c r="D259" s="98">
        <v>0</v>
      </c>
      <c r="E259" s="231"/>
      <c r="F259" s="231"/>
      <c r="G259" s="231"/>
      <c r="H259" s="232">
        <f t="shared" si="21"/>
        <v>0</v>
      </c>
      <c r="I259" s="231">
        <v>0</v>
      </c>
      <c r="J259" s="231"/>
      <c r="K259" s="231"/>
      <c r="L259" s="231"/>
      <c r="M259" s="232">
        <f t="shared" si="22"/>
        <v>0</v>
      </c>
      <c r="N259" s="231">
        <v>0</v>
      </c>
      <c r="O259" s="231"/>
      <c r="P259" s="231"/>
      <c r="Q259" s="231"/>
      <c r="R259" s="232">
        <f t="shared" si="23"/>
        <v>0</v>
      </c>
    </row>
    <row r="260" spans="1:18" s="29" customFormat="1" ht="24" hidden="1" customHeight="1">
      <c r="A260" s="144" t="s">
        <v>68</v>
      </c>
      <c r="B260" s="125" t="s">
        <v>69</v>
      </c>
      <c r="C260" s="98"/>
      <c r="D260" s="98">
        <v>0</v>
      </c>
      <c r="E260" s="231"/>
      <c r="F260" s="231"/>
      <c r="G260" s="231"/>
      <c r="H260" s="232">
        <f t="shared" si="21"/>
        <v>0</v>
      </c>
      <c r="I260" s="231">
        <v>0</v>
      </c>
      <c r="J260" s="231"/>
      <c r="K260" s="231"/>
      <c r="L260" s="231"/>
      <c r="M260" s="232">
        <f t="shared" si="22"/>
        <v>0</v>
      </c>
      <c r="N260" s="231">
        <v>0</v>
      </c>
      <c r="O260" s="231"/>
      <c r="P260" s="231"/>
      <c r="Q260" s="231"/>
      <c r="R260" s="232">
        <f t="shared" si="23"/>
        <v>0</v>
      </c>
    </row>
    <row r="261" spans="1:18" s="29" customFormat="1" ht="12">
      <c r="A261" s="271"/>
      <c r="B261" s="272"/>
      <c r="C261" s="253"/>
      <c r="D261" s="254"/>
      <c r="E261" s="253"/>
      <c r="F261" s="253"/>
      <c r="G261" s="253"/>
      <c r="H261" s="232"/>
      <c r="I261" s="254"/>
      <c r="J261" s="253"/>
      <c r="K261" s="253"/>
      <c r="L261" s="253"/>
      <c r="M261" s="232"/>
      <c r="N261" s="254"/>
      <c r="O261" s="253"/>
      <c r="P261" s="253"/>
      <c r="Q261" s="253"/>
      <c r="R261" s="232"/>
    </row>
    <row r="262" spans="1:18" ht="12">
      <c r="A262" s="33"/>
      <c r="B262" s="164"/>
      <c r="C262" s="165"/>
      <c r="D262" s="163"/>
      <c r="E262" s="165"/>
      <c r="F262" s="163"/>
      <c r="G262" s="163"/>
      <c r="H262" s="163"/>
      <c r="I262" s="163"/>
      <c r="J262" s="165"/>
      <c r="K262" s="163"/>
      <c r="L262" s="163"/>
      <c r="M262" s="163"/>
      <c r="N262" s="163"/>
      <c r="O262" s="165"/>
      <c r="P262" s="163"/>
      <c r="Q262" s="163"/>
      <c r="R262" s="163"/>
    </row>
    <row r="263" spans="1:18" ht="12">
      <c r="A263" s="33"/>
      <c r="B263" s="164"/>
      <c r="C263" s="165"/>
      <c r="D263" s="163"/>
      <c r="E263" s="165"/>
      <c r="F263" s="163"/>
      <c r="G263" s="163"/>
      <c r="H263" s="163"/>
      <c r="I263" s="163"/>
      <c r="J263" s="165"/>
      <c r="K263" s="163"/>
      <c r="L263" s="163"/>
      <c r="M263" s="163"/>
      <c r="N263" s="163"/>
      <c r="O263" s="165"/>
      <c r="P263" s="163"/>
      <c r="Q263" s="163"/>
      <c r="R263" s="163"/>
    </row>
    <row r="264" spans="1:18" ht="13.2">
      <c r="A264" s="369" t="s">
        <v>236</v>
      </c>
      <c r="B264" s="370" t="s">
        <v>237</v>
      </c>
      <c r="C264" s="165"/>
      <c r="D264" s="163"/>
      <c r="E264" s="165"/>
      <c r="F264" s="163"/>
      <c r="G264" s="163"/>
      <c r="H264" s="163"/>
      <c r="I264" s="163"/>
      <c r="J264" s="165"/>
      <c r="K264" s="163"/>
      <c r="L264" s="163"/>
      <c r="M264" s="163"/>
      <c r="N264" s="163"/>
      <c r="O264" s="165"/>
      <c r="P264" s="163"/>
      <c r="Q264" s="163"/>
      <c r="R264" s="163"/>
    </row>
    <row r="265" spans="1:18" ht="13.2">
      <c r="A265" s="371"/>
      <c r="B265" s="372" t="s">
        <v>238</v>
      </c>
      <c r="C265" s="165"/>
      <c r="D265" s="163"/>
      <c r="E265" s="165"/>
      <c r="F265" s="163"/>
      <c r="G265" s="163"/>
      <c r="H265" s="163"/>
      <c r="I265" s="163"/>
      <c r="J265" s="165"/>
      <c r="K265" s="163"/>
      <c r="L265" s="163"/>
      <c r="M265" s="163"/>
      <c r="N265" s="163"/>
      <c r="O265" s="165"/>
      <c r="P265" s="163"/>
      <c r="Q265" s="163"/>
      <c r="R265" s="163"/>
    </row>
    <row r="266" spans="1:18" ht="13.2">
      <c r="A266" s="373" t="s">
        <v>223</v>
      </c>
      <c r="B266" s="374" t="s">
        <v>434</v>
      </c>
      <c r="C266" s="165"/>
      <c r="D266" s="163"/>
      <c r="E266" s="165"/>
      <c r="F266" s="163"/>
      <c r="G266" s="163"/>
      <c r="H266" s="163"/>
      <c r="I266" s="163"/>
      <c r="J266" s="165"/>
      <c r="K266" s="163"/>
      <c r="L266" s="163"/>
      <c r="M266" s="163"/>
      <c r="N266" s="163"/>
      <c r="O266" s="165"/>
      <c r="P266" s="163"/>
      <c r="Q266" s="163"/>
      <c r="R266" s="163"/>
    </row>
    <row r="267" spans="1:18" ht="13.2">
      <c r="A267" s="375" t="s">
        <v>240</v>
      </c>
      <c r="B267" s="376" t="s">
        <v>241</v>
      </c>
      <c r="C267" s="165"/>
      <c r="D267" s="163"/>
      <c r="E267" s="165"/>
      <c r="F267" s="163"/>
      <c r="G267" s="163"/>
      <c r="H267" s="163"/>
      <c r="I267" s="163"/>
      <c r="J267" s="165"/>
      <c r="K267" s="163"/>
      <c r="L267" s="163"/>
      <c r="M267" s="163"/>
      <c r="N267" s="163"/>
      <c r="O267" s="165"/>
      <c r="P267" s="163"/>
      <c r="Q267" s="163"/>
      <c r="R267" s="163"/>
    </row>
    <row r="268" spans="1:18" ht="13.2">
      <c r="A268" s="377"/>
      <c r="B268" s="376"/>
      <c r="C268" s="165"/>
      <c r="D268" s="163"/>
      <c r="E268" s="165"/>
      <c r="F268" s="163"/>
      <c r="G268" s="163"/>
      <c r="H268" s="163"/>
      <c r="I268" s="163"/>
      <c r="J268" s="165"/>
      <c r="K268" s="163"/>
      <c r="L268" s="163"/>
      <c r="M268" s="163"/>
      <c r="N268" s="163"/>
      <c r="O268" s="165"/>
      <c r="P268" s="163"/>
      <c r="Q268" s="163"/>
      <c r="R268" s="163"/>
    </row>
    <row r="269" spans="1:18" ht="13.2">
      <c r="A269" s="378" t="s">
        <v>224</v>
      </c>
      <c r="B269" s="374" t="s">
        <v>242</v>
      </c>
      <c r="C269" s="165"/>
      <c r="D269" s="163"/>
      <c r="E269" s="165"/>
      <c r="F269" s="163"/>
      <c r="G269" s="163"/>
      <c r="H269" s="163"/>
      <c r="I269" s="163"/>
      <c r="J269" s="165"/>
      <c r="K269" s="163"/>
      <c r="L269" s="163"/>
      <c r="M269" s="163"/>
      <c r="N269" s="163"/>
      <c r="O269" s="165"/>
      <c r="P269" s="163"/>
      <c r="Q269" s="163"/>
      <c r="R269" s="163"/>
    </row>
    <row r="270" spans="1:18" ht="52.8">
      <c r="A270" s="375" t="s">
        <v>243</v>
      </c>
      <c r="B270" s="376" t="s">
        <v>570</v>
      </c>
      <c r="C270" s="165"/>
      <c r="D270" s="163"/>
      <c r="E270" s="165"/>
      <c r="F270" s="163"/>
      <c r="G270" s="165">
        <v>1430</v>
      </c>
      <c r="H270" s="165"/>
      <c r="I270" s="165"/>
      <c r="J270" s="165"/>
      <c r="K270" s="165"/>
      <c r="L270" s="165">
        <v>1430</v>
      </c>
      <c r="M270" s="165"/>
      <c r="N270" s="165"/>
      <c r="O270" s="165"/>
      <c r="P270" s="165"/>
      <c r="Q270" s="165">
        <v>1430</v>
      </c>
      <c r="R270" s="165"/>
    </row>
    <row r="271" spans="1:18" ht="13.2">
      <c r="A271" s="377"/>
      <c r="B271" s="376"/>
      <c r="C271" s="165"/>
      <c r="D271" s="163"/>
      <c r="E271" s="165"/>
      <c r="F271" s="163"/>
      <c r="G271" s="163"/>
      <c r="H271" s="163"/>
      <c r="I271" s="163"/>
      <c r="J271" s="165"/>
      <c r="K271" s="163"/>
      <c r="L271" s="163"/>
      <c r="M271" s="163"/>
      <c r="N271" s="163"/>
      <c r="O271" s="165"/>
      <c r="P271" s="163"/>
      <c r="Q271" s="163"/>
      <c r="R271" s="163"/>
    </row>
    <row r="272" spans="1:18" ht="13.2">
      <c r="A272" s="369" t="s">
        <v>245</v>
      </c>
      <c r="B272" s="370" t="s">
        <v>140</v>
      </c>
      <c r="C272" s="165"/>
      <c r="D272" s="163"/>
      <c r="E272" s="165"/>
      <c r="F272" s="163"/>
      <c r="G272" s="163"/>
      <c r="H272" s="163"/>
      <c r="I272" s="163"/>
      <c r="J272" s="165"/>
      <c r="K272" s="163"/>
      <c r="L272" s="163"/>
      <c r="M272" s="163"/>
      <c r="N272" s="163"/>
      <c r="O272" s="165"/>
      <c r="P272" s="163"/>
      <c r="Q272" s="163"/>
      <c r="R272" s="163"/>
    </row>
    <row r="273" spans="1:18" ht="13.2">
      <c r="A273" s="371"/>
      <c r="B273" s="372" t="s">
        <v>238</v>
      </c>
      <c r="C273" s="165"/>
      <c r="D273" s="163"/>
      <c r="E273" s="165"/>
      <c r="F273" s="163"/>
      <c r="G273" s="163"/>
      <c r="H273" s="163"/>
      <c r="I273" s="163"/>
      <c r="J273" s="165"/>
      <c r="K273" s="163"/>
      <c r="L273" s="163"/>
      <c r="M273" s="163"/>
      <c r="N273" s="163"/>
      <c r="O273" s="165"/>
      <c r="P273" s="163"/>
      <c r="Q273" s="163"/>
      <c r="R273" s="163"/>
    </row>
    <row r="274" spans="1:18" ht="13.2">
      <c r="A274" s="373" t="s">
        <v>223</v>
      </c>
      <c r="B274" s="374" t="s">
        <v>434</v>
      </c>
      <c r="C274" s="165"/>
      <c r="D274" s="163"/>
      <c r="E274" s="165"/>
      <c r="F274" s="163"/>
      <c r="G274" s="163"/>
      <c r="H274" s="163"/>
      <c r="I274" s="163"/>
      <c r="J274" s="165"/>
      <c r="K274" s="163"/>
      <c r="L274" s="163"/>
      <c r="M274" s="163"/>
      <c r="N274" s="163"/>
      <c r="O274" s="165"/>
      <c r="P274" s="163"/>
      <c r="Q274" s="163"/>
      <c r="R274" s="163"/>
    </row>
    <row r="275" spans="1:18" ht="13.2">
      <c r="A275" s="375" t="s">
        <v>240</v>
      </c>
      <c r="B275" s="376" t="s">
        <v>241</v>
      </c>
      <c r="C275" s="165"/>
      <c r="D275" s="163"/>
      <c r="E275" s="165"/>
      <c r="F275" s="163"/>
      <c r="G275" s="163"/>
      <c r="H275" s="163"/>
      <c r="I275" s="163"/>
      <c r="J275" s="165"/>
      <c r="K275" s="163"/>
      <c r="L275" s="163"/>
      <c r="M275" s="163"/>
      <c r="N275" s="163"/>
      <c r="O275" s="165"/>
      <c r="P275" s="163"/>
      <c r="Q275" s="163"/>
      <c r="R275" s="163"/>
    </row>
    <row r="276" spans="1:18" ht="13.2">
      <c r="A276" s="377"/>
      <c r="B276" s="376"/>
      <c r="C276" s="165"/>
      <c r="D276" s="163"/>
      <c r="E276" s="165"/>
      <c r="F276" s="163"/>
      <c r="G276" s="163"/>
      <c r="H276" s="376"/>
      <c r="I276" s="163"/>
      <c r="J276" s="165"/>
      <c r="K276" s="163"/>
      <c r="L276" s="163"/>
      <c r="M276" s="163"/>
      <c r="N276" s="163"/>
      <c r="O276" s="165"/>
      <c r="P276" s="163"/>
      <c r="Q276" s="163"/>
      <c r="R276" s="163"/>
    </row>
    <row r="277" spans="1:18" ht="13.2">
      <c r="A277" s="378" t="s">
        <v>224</v>
      </c>
      <c r="B277" s="374" t="s">
        <v>242</v>
      </c>
      <c r="C277" s="165"/>
      <c r="D277" s="163"/>
      <c r="E277" s="165"/>
      <c r="F277" s="163"/>
      <c r="G277" s="163"/>
      <c r="H277" s="163"/>
      <c r="I277" s="163"/>
      <c r="J277" s="165"/>
      <c r="K277" s="163"/>
      <c r="L277" s="163"/>
      <c r="M277" s="163"/>
      <c r="N277" s="163"/>
      <c r="O277" s="165"/>
      <c r="P277" s="163"/>
      <c r="Q277" s="163"/>
      <c r="R277" s="163"/>
    </row>
    <row r="278" spans="1:18" ht="13.2">
      <c r="A278" s="375" t="s">
        <v>243</v>
      </c>
      <c r="B278" s="376" t="s">
        <v>244</v>
      </c>
      <c r="C278" s="165"/>
      <c r="D278" s="163"/>
      <c r="E278" s="165"/>
      <c r="F278" s="163"/>
      <c r="G278" s="163"/>
      <c r="H278" s="163"/>
      <c r="I278" s="163"/>
      <c r="J278" s="165"/>
      <c r="K278" s="163"/>
      <c r="L278" s="163"/>
      <c r="M278" s="163"/>
      <c r="N278" s="163"/>
      <c r="O278" s="165"/>
      <c r="P278" s="163"/>
      <c r="Q278" s="163"/>
      <c r="R278" s="163"/>
    </row>
    <row r="279" spans="1:18" ht="12">
      <c r="A279" s="33"/>
      <c r="B279" s="34"/>
      <c r="C279" s="165"/>
      <c r="D279" s="163"/>
      <c r="E279" s="165"/>
      <c r="F279" s="163"/>
      <c r="G279" s="163"/>
      <c r="H279" s="163"/>
      <c r="I279" s="163"/>
      <c r="J279" s="165"/>
      <c r="K279" s="163"/>
      <c r="L279" s="163"/>
      <c r="M279" s="163"/>
      <c r="N279" s="163"/>
      <c r="O279" s="165"/>
      <c r="P279" s="163"/>
      <c r="Q279" s="163"/>
      <c r="R279" s="163"/>
    </row>
    <row r="280" spans="1:18" ht="12">
      <c r="A280" s="33"/>
      <c r="B280" s="34"/>
      <c r="C280" s="165"/>
      <c r="D280" s="163"/>
      <c r="E280" s="165"/>
      <c r="F280" s="163"/>
      <c r="G280" s="163"/>
      <c r="H280" s="163"/>
      <c r="I280" s="163"/>
      <c r="J280" s="165"/>
      <c r="K280" s="163"/>
      <c r="L280" s="163"/>
      <c r="M280" s="163"/>
      <c r="N280" s="163"/>
      <c r="O280" s="165"/>
      <c r="P280" s="163"/>
      <c r="Q280" s="163"/>
      <c r="R280" s="163"/>
    </row>
    <row r="281" spans="1:18" ht="12">
      <c r="A281" s="33"/>
      <c r="B281" s="31"/>
      <c r="C281" s="165"/>
      <c r="D281" s="163"/>
      <c r="E281" s="165"/>
      <c r="F281" s="163"/>
      <c r="G281" s="163"/>
      <c r="H281" s="163"/>
      <c r="I281" s="163"/>
      <c r="J281" s="165"/>
      <c r="K281" s="163"/>
      <c r="L281" s="163"/>
      <c r="M281" s="163"/>
      <c r="N281" s="163"/>
      <c r="O281" s="165"/>
      <c r="P281" s="163"/>
      <c r="Q281" s="163"/>
      <c r="R281" s="163"/>
    </row>
    <row r="282" spans="1:18" ht="12">
      <c r="E282" s="165"/>
      <c r="F282" s="163"/>
      <c r="G282" s="163"/>
      <c r="H282" s="163"/>
      <c r="I282" s="163"/>
      <c r="J282" s="165"/>
      <c r="K282" s="163"/>
      <c r="L282" s="163"/>
      <c r="M282" s="163"/>
      <c r="N282" s="163"/>
      <c r="O282" s="165"/>
      <c r="P282" s="163"/>
      <c r="Q282" s="163"/>
      <c r="R282" s="163"/>
    </row>
    <row r="283" spans="1:18" ht="12">
      <c r="E283" s="165"/>
      <c r="F283" s="163"/>
      <c r="G283" s="163"/>
      <c r="H283" s="163"/>
      <c r="I283" s="163"/>
      <c r="J283" s="165"/>
      <c r="K283" s="163"/>
      <c r="L283" s="163"/>
      <c r="M283" s="163"/>
      <c r="N283" s="163"/>
      <c r="O283" s="165"/>
      <c r="P283" s="163"/>
      <c r="Q283" s="163"/>
      <c r="R283" s="163"/>
    </row>
    <row r="284" spans="1:18" ht="12">
      <c r="E284" s="165"/>
      <c r="F284" s="163"/>
      <c r="G284" s="163"/>
      <c r="H284" s="163"/>
      <c r="I284" s="163"/>
      <c r="J284" s="165"/>
      <c r="K284" s="163"/>
      <c r="L284" s="163"/>
      <c r="M284" s="163"/>
      <c r="N284" s="163"/>
      <c r="O284" s="165"/>
      <c r="P284" s="163"/>
      <c r="Q284" s="163"/>
      <c r="R284" s="163"/>
    </row>
    <row r="285" spans="1:18" ht="12">
      <c r="E285" s="165"/>
      <c r="F285" s="163"/>
      <c r="G285" s="163"/>
      <c r="H285" s="163"/>
      <c r="I285" s="163"/>
      <c r="J285" s="165"/>
      <c r="K285" s="163"/>
      <c r="L285" s="163"/>
      <c r="M285" s="163"/>
      <c r="N285" s="163"/>
      <c r="O285" s="165"/>
      <c r="P285" s="163"/>
      <c r="Q285" s="163"/>
      <c r="R285" s="163"/>
    </row>
    <row r="286" spans="1:18" ht="12">
      <c r="E286" s="165"/>
      <c r="F286" s="163"/>
      <c r="G286" s="163"/>
      <c r="H286" s="163"/>
      <c r="I286" s="163"/>
      <c r="J286" s="165"/>
      <c r="K286" s="163"/>
      <c r="L286" s="163"/>
      <c r="M286" s="163"/>
      <c r="N286" s="163"/>
      <c r="O286" s="165"/>
      <c r="P286" s="163"/>
      <c r="Q286" s="163"/>
      <c r="R286" s="163"/>
    </row>
    <row r="287" spans="1:18" ht="12">
      <c r="E287" s="165"/>
      <c r="F287" s="163"/>
      <c r="G287" s="163"/>
      <c r="H287" s="163"/>
      <c r="I287" s="163"/>
      <c r="J287" s="165"/>
      <c r="K287" s="163"/>
      <c r="L287" s="163"/>
      <c r="M287" s="163"/>
      <c r="N287" s="163"/>
      <c r="O287" s="165"/>
      <c r="P287" s="163"/>
      <c r="Q287" s="163"/>
      <c r="R287" s="163"/>
    </row>
    <row r="288" spans="1:18" ht="12">
      <c r="E288" s="165"/>
      <c r="F288" s="163"/>
      <c r="G288" s="163"/>
      <c r="H288" s="163"/>
      <c r="I288" s="163"/>
      <c r="J288" s="165"/>
      <c r="K288" s="163"/>
      <c r="L288" s="163"/>
      <c r="M288" s="163"/>
      <c r="N288" s="163"/>
      <c r="O288" s="165"/>
      <c r="P288" s="163"/>
      <c r="Q288" s="163"/>
      <c r="R288" s="163"/>
    </row>
    <row r="289" spans="5:18" ht="12">
      <c r="E289" s="165"/>
      <c r="F289" s="163"/>
      <c r="G289" s="163"/>
      <c r="H289" s="163"/>
      <c r="I289" s="163"/>
      <c r="J289" s="165"/>
      <c r="K289" s="163"/>
      <c r="L289" s="163"/>
      <c r="M289" s="163"/>
      <c r="N289" s="163"/>
      <c r="O289" s="165"/>
      <c r="P289" s="163"/>
      <c r="Q289" s="163"/>
      <c r="R289" s="163"/>
    </row>
    <row r="290" spans="5:18" ht="12">
      <c r="E290" s="165"/>
      <c r="F290" s="163"/>
      <c r="G290" s="163"/>
      <c r="H290" s="163"/>
      <c r="I290" s="163"/>
      <c r="J290" s="165"/>
      <c r="K290" s="163"/>
      <c r="L290" s="163"/>
      <c r="M290" s="163"/>
      <c r="N290" s="163"/>
      <c r="O290" s="165"/>
      <c r="P290" s="163"/>
      <c r="Q290" s="163"/>
      <c r="R290" s="163"/>
    </row>
    <row r="291" spans="5:18" ht="12">
      <c r="E291" s="165"/>
      <c r="F291" s="163"/>
      <c r="G291" s="163"/>
      <c r="H291" s="163"/>
      <c r="I291" s="163"/>
      <c r="J291" s="165"/>
      <c r="K291" s="163"/>
      <c r="L291" s="163"/>
      <c r="M291" s="163"/>
      <c r="N291" s="163"/>
      <c r="O291" s="165"/>
      <c r="P291" s="163"/>
      <c r="Q291" s="163"/>
      <c r="R291" s="163"/>
    </row>
    <row r="292" spans="5:18" ht="12">
      <c r="E292" s="165"/>
      <c r="F292" s="163"/>
      <c r="G292" s="163"/>
      <c r="H292" s="163"/>
      <c r="I292" s="163"/>
      <c r="J292" s="165"/>
      <c r="K292" s="163"/>
      <c r="L292" s="163"/>
      <c r="M292" s="163"/>
      <c r="N292" s="163"/>
      <c r="O292" s="165"/>
      <c r="P292" s="163"/>
      <c r="Q292" s="163"/>
      <c r="R292" s="163"/>
    </row>
    <row r="293" spans="5:18" ht="12">
      <c r="E293" s="165"/>
      <c r="F293" s="163"/>
      <c r="G293" s="163"/>
      <c r="H293" s="163"/>
      <c r="I293" s="163"/>
      <c r="J293" s="165"/>
      <c r="K293" s="163"/>
      <c r="L293" s="163"/>
      <c r="M293" s="163"/>
      <c r="N293" s="163"/>
      <c r="O293" s="165"/>
      <c r="P293" s="163"/>
      <c r="Q293" s="163"/>
      <c r="R293" s="163"/>
    </row>
    <row r="294" spans="5:18" ht="12">
      <c r="E294" s="165"/>
      <c r="F294" s="163"/>
      <c r="G294" s="163"/>
      <c r="H294" s="163"/>
      <c r="I294" s="163"/>
      <c r="J294" s="165"/>
      <c r="K294" s="163"/>
      <c r="L294" s="163"/>
      <c r="M294" s="163"/>
      <c r="N294" s="163"/>
      <c r="O294" s="165"/>
      <c r="P294" s="163"/>
      <c r="Q294" s="163"/>
      <c r="R294" s="163"/>
    </row>
    <row r="295" spans="5:18" ht="12">
      <c r="E295" s="165"/>
      <c r="F295" s="163"/>
      <c r="G295" s="163"/>
      <c r="H295" s="163"/>
      <c r="I295" s="163"/>
      <c r="J295" s="165"/>
      <c r="K295" s="163"/>
      <c r="L295" s="163"/>
      <c r="M295" s="163"/>
      <c r="N295" s="163"/>
      <c r="O295" s="165"/>
      <c r="P295" s="163"/>
      <c r="Q295" s="163"/>
      <c r="R295" s="163"/>
    </row>
    <row r="296" spans="5:18" ht="12">
      <c r="E296" s="165"/>
      <c r="F296" s="163"/>
      <c r="G296" s="163"/>
      <c r="H296" s="163"/>
      <c r="I296" s="163"/>
      <c r="J296" s="165"/>
      <c r="K296" s="163"/>
      <c r="L296" s="163"/>
      <c r="M296" s="163"/>
      <c r="N296" s="163"/>
      <c r="O296" s="165"/>
      <c r="P296" s="163"/>
      <c r="Q296" s="163"/>
      <c r="R296" s="163"/>
    </row>
    <row r="297" spans="5:18" ht="12">
      <c r="E297" s="165"/>
      <c r="F297" s="163"/>
      <c r="G297" s="163"/>
      <c r="H297" s="163"/>
      <c r="I297" s="163"/>
      <c r="J297" s="165"/>
      <c r="K297" s="163"/>
      <c r="L297" s="163"/>
      <c r="M297" s="163"/>
      <c r="N297" s="163"/>
      <c r="O297" s="165"/>
      <c r="P297" s="163"/>
      <c r="Q297" s="163"/>
      <c r="R297" s="163"/>
    </row>
    <row r="298" spans="5:18" ht="12">
      <c r="E298" s="165"/>
      <c r="F298" s="163"/>
      <c r="G298" s="163"/>
      <c r="H298" s="163"/>
      <c r="I298" s="163"/>
      <c r="J298" s="165"/>
      <c r="K298" s="163"/>
      <c r="L298" s="163"/>
      <c r="M298" s="163"/>
      <c r="N298" s="163"/>
      <c r="O298" s="165"/>
      <c r="P298" s="163"/>
      <c r="Q298" s="163"/>
      <c r="R298" s="163"/>
    </row>
    <row r="299" spans="5:18" ht="12">
      <c r="E299" s="165"/>
      <c r="F299" s="163"/>
      <c r="G299" s="163"/>
      <c r="H299" s="163"/>
      <c r="I299" s="163"/>
      <c r="J299" s="165"/>
      <c r="K299" s="163"/>
      <c r="L299" s="163"/>
      <c r="M299" s="163"/>
      <c r="N299" s="163"/>
      <c r="O299" s="165"/>
      <c r="P299" s="163"/>
      <c r="Q299" s="163"/>
      <c r="R299" s="163"/>
    </row>
    <row r="300" spans="5:18" ht="12">
      <c r="E300" s="165"/>
      <c r="F300" s="163"/>
      <c r="G300" s="163"/>
      <c r="H300" s="163"/>
      <c r="I300" s="163"/>
      <c r="J300" s="165"/>
      <c r="K300" s="163"/>
      <c r="L300" s="163"/>
      <c r="M300" s="163"/>
      <c r="N300" s="163"/>
      <c r="O300" s="165"/>
      <c r="P300" s="163"/>
      <c r="Q300" s="163"/>
      <c r="R300" s="163"/>
    </row>
    <row r="301" spans="5:18" ht="12">
      <c r="E301" s="165"/>
      <c r="F301" s="163"/>
      <c r="G301" s="163"/>
      <c r="H301" s="163"/>
      <c r="I301" s="163"/>
      <c r="J301" s="165"/>
      <c r="K301" s="163"/>
      <c r="L301" s="163"/>
      <c r="M301" s="163"/>
      <c r="N301" s="163"/>
      <c r="O301" s="165"/>
      <c r="P301" s="163"/>
      <c r="Q301" s="163"/>
      <c r="R301" s="163"/>
    </row>
    <row r="302" spans="5:18" ht="12">
      <c r="E302" s="165"/>
      <c r="F302" s="163"/>
      <c r="G302" s="163"/>
      <c r="H302" s="163"/>
      <c r="I302" s="163"/>
      <c r="J302" s="165"/>
      <c r="K302" s="163"/>
      <c r="L302" s="163"/>
      <c r="M302" s="163"/>
      <c r="N302" s="163"/>
      <c r="O302" s="165"/>
      <c r="P302" s="163"/>
      <c r="Q302" s="163"/>
      <c r="R302" s="163"/>
    </row>
    <row r="303" spans="5:18" ht="12">
      <c r="E303" s="165"/>
      <c r="F303" s="163"/>
      <c r="G303" s="163"/>
      <c r="H303" s="163"/>
      <c r="I303" s="163"/>
      <c r="J303" s="165"/>
      <c r="K303" s="163"/>
      <c r="L303" s="163"/>
      <c r="M303" s="163"/>
      <c r="N303" s="163"/>
      <c r="O303" s="165"/>
      <c r="P303" s="163"/>
      <c r="Q303" s="163"/>
      <c r="R303" s="163"/>
    </row>
    <row r="304" spans="5:18" ht="12">
      <c r="E304" s="165"/>
      <c r="F304" s="163"/>
      <c r="G304" s="163"/>
      <c r="H304" s="163"/>
      <c r="I304" s="163"/>
      <c r="J304" s="165"/>
      <c r="K304" s="163"/>
      <c r="L304" s="163"/>
      <c r="M304" s="163"/>
      <c r="N304" s="163"/>
      <c r="O304" s="165"/>
      <c r="P304" s="163"/>
      <c r="Q304" s="163"/>
      <c r="R304" s="163"/>
    </row>
    <row r="305" spans="5:18" ht="12">
      <c r="E305" s="165"/>
      <c r="F305" s="163"/>
      <c r="G305" s="163"/>
      <c r="H305" s="163"/>
      <c r="I305" s="163"/>
      <c r="J305" s="165"/>
      <c r="K305" s="163"/>
      <c r="L305" s="163"/>
      <c r="M305" s="163"/>
      <c r="N305" s="163"/>
      <c r="O305" s="165"/>
      <c r="P305" s="163"/>
      <c r="Q305" s="163"/>
      <c r="R305" s="163"/>
    </row>
    <row r="306" spans="5:18" ht="12">
      <c r="E306" s="165"/>
      <c r="F306" s="163"/>
      <c r="G306" s="163"/>
      <c r="H306" s="163"/>
      <c r="I306" s="163"/>
      <c r="J306" s="165"/>
      <c r="K306" s="163"/>
      <c r="L306" s="163"/>
      <c r="M306" s="163"/>
      <c r="N306" s="163"/>
      <c r="O306" s="165"/>
      <c r="P306" s="163"/>
      <c r="Q306" s="163"/>
      <c r="R306" s="163"/>
    </row>
    <row r="307" spans="5:18" ht="12">
      <c r="E307" s="165"/>
      <c r="F307" s="163"/>
      <c r="G307" s="163"/>
      <c r="H307" s="163"/>
      <c r="I307" s="163"/>
      <c r="J307" s="165"/>
      <c r="K307" s="163"/>
      <c r="L307" s="163"/>
      <c r="M307" s="163"/>
      <c r="N307" s="163"/>
      <c r="O307" s="165"/>
      <c r="P307" s="163"/>
      <c r="Q307" s="163"/>
      <c r="R307" s="163"/>
    </row>
    <row r="308" spans="5:18" ht="12">
      <c r="E308" s="165"/>
      <c r="F308" s="163"/>
      <c r="G308" s="163"/>
      <c r="H308" s="163"/>
      <c r="I308" s="163"/>
      <c r="J308" s="165"/>
      <c r="K308" s="163"/>
      <c r="L308" s="163"/>
      <c r="M308" s="163"/>
      <c r="N308" s="163"/>
      <c r="O308" s="165"/>
      <c r="P308" s="163"/>
      <c r="Q308" s="163"/>
      <c r="R308" s="163"/>
    </row>
    <row r="309" spans="5:18" ht="12">
      <c r="E309" s="165"/>
      <c r="F309" s="163"/>
      <c r="G309" s="163"/>
      <c r="H309" s="163"/>
      <c r="I309" s="163"/>
      <c r="J309" s="165"/>
      <c r="K309" s="163"/>
      <c r="L309" s="163"/>
      <c r="M309" s="163"/>
      <c r="N309" s="163"/>
      <c r="O309" s="165"/>
      <c r="P309" s="163"/>
      <c r="Q309" s="163"/>
      <c r="R309" s="163"/>
    </row>
    <row r="310" spans="5:18" ht="12">
      <c r="E310" s="165"/>
      <c r="F310" s="163"/>
      <c r="G310" s="163"/>
      <c r="H310" s="163"/>
      <c r="I310" s="163"/>
      <c r="J310" s="165"/>
      <c r="K310" s="163"/>
      <c r="L310" s="163"/>
      <c r="M310" s="163"/>
      <c r="N310" s="163"/>
      <c r="O310" s="165"/>
      <c r="P310" s="163"/>
      <c r="Q310" s="163"/>
      <c r="R310" s="163"/>
    </row>
    <row r="311" spans="5:18" ht="12">
      <c r="E311" s="165"/>
      <c r="F311" s="163"/>
      <c r="G311" s="163"/>
      <c r="H311" s="163"/>
      <c r="I311" s="163"/>
      <c r="J311" s="165"/>
      <c r="K311" s="163"/>
      <c r="L311" s="163"/>
      <c r="M311" s="163"/>
      <c r="N311" s="163"/>
      <c r="O311" s="165"/>
      <c r="P311" s="163"/>
      <c r="Q311" s="163"/>
      <c r="R311" s="163"/>
    </row>
    <row r="312" spans="5:18" ht="12">
      <c r="E312" s="165"/>
      <c r="F312" s="163"/>
      <c r="G312" s="163"/>
      <c r="H312" s="163"/>
      <c r="I312" s="163"/>
      <c r="J312" s="165"/>
      <c r="K312" s="163"/>
      <c r="L312" s="163"/>
      <c r="M312" s="163"/>
      <c r="N312" s="163"/>
      <c r="O312" s="165"/>
      <c r="P312" s="163"/>
      <c r="Q312" s="163"/>
      <c r="R312" s="163"/>
    </row>
    <row r="313" spans="5:18" ht="12">
      <c r="E313" s="165"/>
      <c r="F313" s="163"/>
      <c r="G313" s="163"/>
      <c r="H313" s="163"/>
      <c r="I313" s="163"/>
      <c r="J313" s="165"/>
      <c r="K313" s="163"/>
      <c r="L313" s="163"/>
      <c r="M313" s="163"/>
      <c r="N313" s="163"/>
      <c r="O313" s="165"/>
      <c r="P313" s="163"/>
      <c r="Q313" s="163"/>
      <c r="R313" s="163"/>
    </row>
    <row r="314" spans="5:18" ht="12">
      <c r="E314" s="165"/>
      <c r="F314" s="163"/>
      <c r="G314" s="163"/>
      <c r="H314" s="163"/>
      <c r="I314" s="163"/>
      <c r="J314" s="165"/>
      <c r="K314" s="163"/>
      <c r="L314" s="163"/>
      <c r="M314" s="163"/>
      <c r="N314" s="163"/>
      <c r="O314" s="165"/>
      <c r="P314" s="163"/>
      <c r="Q314" s="163"/>
      <c r="R314" s="163"/>
    </row>
    <row r="315" spans="5:18" ht="12">
      <c r="E315" s="165"/>
      <c r="F315" s="163"/>
      <c r="G315" s="163"/>
      <c r="H315" s="163"/>
      <c r="I315" s="163"/>
      <c r="J315" s="165"/>
      <c r="K315" s="163"/>
      <c r="L315" s="163"/>
      <c r="M315" s="163"/>
      <c r="N315" s="163"/>
      <c r="O315" s="165"/>
      <c r="P315" s="163"/>
      <c r="Q315" s="163"/>
      <c r="R315" s="163"/>
    </row>
    <row r="316" spans="5:18" ht="12">
      <c r="E316" s="165"/>
      <c r="F316" s="163"/>
      <c r="G316" s="163"/>
      <c r="H316" s="163"/>
      <c r="I316" s="163"/>
      <c r="J316" s="165"/>
      <c r="K316" s="163"/>
      <c r="L316" s="163"/>
      <c r="M316" s="163"/>
      <c r="N316" s="163"/>
      <c r="O316" s="165"/>
      <c r="P316" s="163"/>
      <c r="Q316" s="163"/>
      <c r="R316" s="163"/>
    </row>
    <row r="317" spans="5:18" ht="12">
      <c r="E317" s="165"/>
      <c r="F317" s="163"/>
      <c r="G317" s="163"/>
      <c r="H317" s="163"/>
      <c r="I317" s="163"/>
      <c r="J317" s="165"/>
      <c r="K317" s="163"/>
      <c r="L317" s="163"/>
      <c r="M317" s="163"/>
      <c r="N317" s="163"/>
      <c r="O317" s="165"/>
      <c r="P317" s="163"/>
      <c r="Q317" s="163"/>
      <c r="R317" s="163"/>
    </row>
    <row r="318" spans="5:18" ht="12">
      <c r="E318" s="165"/>
      <c r="F318" s="163"/>
      <c r="G318" s="163"/>
      <c r="H318" s="163"/>
      <c r="I318" s="163"/>
      <c r="J318" s="165"/>
      <c r="K318" s="163"/>
      <c r="L318" s="163"/>
      <c r="M318" s="163"/>
      <c r="N318" s="163"/>
      <c r="O318" s="165"/>
      <c r="P318" s="163"/>
      <c r="Q318" s="163"/>
      <c r="R318" s="163"/>
    </row>
    <row r="319" spans="5:18" ht="12">
      <c r="E319" s="165"/>
      <c r="F319" s="163"/>
      <c r="G319" s="163"/>
      <c r="H319" s="163"/>
      <c r="I319" s="163"/>
      <c r="J319" s="165"/>
      <c r="K319" s="163"/>
      <c r="L319" s="163"/>
      <c r="M319" s="163"/>
      <c r="N319" s="163"/>
      <c r="O319" s="165"/>
      <c r="P319" s="163"/>
      <c r="Q319" s="163"/>
      <c r="R319" s="163"/>
    </row>
    <row r="320" spans="5:18" ht="12">
      <c r="E320" s="165"/>
      <c r="F320" s="163"/>
      <c r="G320" s="163"/>
      <c r="H320" s="163"/>
      <c r="I320" s="163"/>
      <c r="J320" s="165"/>
      <c r="K320" s="163"/>
      <c r="L320" s="163"/>
      <c r="M320" s="163"/>
      <c r="N320" s="163"/>
      <c r="O320" s="165"/>
      <c r="P320" s="163"/>
      <c r="Q320" s="163"/>
      <c r="R320" s="163"/>
    </row>
    <row r="321" spans="5:18" ht="12">
      <c r="E321" s="165"/>
      <c r="F321" s="163"/>
      <c r="G321" s="163"/>
      <c r="H321" s="163"/>
      <c r="I321" s="163"/>
      <c r="J321" s="165"/>
      <c r="K321" s="163"/>
      <c r="L321" s="163"/>
      <c r="M321" s="163"/>
      <c r="N321" s="163"/>
      <c r="O321" s="165"/>
      <c r="P321" s="163"/>
      <c r="Q321" s="163"/>
      <c r="R321" s="163"/>
    </row>
    <row r="322" spans="5:18" ht="12">
      <c r="E322" s="165"/>
      <c r="F322" s="163"/>
      <c r="G322" s="163"/>
      <c r="H322" s="163"/>
      <c r="I322" s="163"/>
      <c r="J322" s="165"/>
      <c r="K322" s="163"/>
      <c r="L322" s="163"/>
      <c r="M322" s="163"/>
      <c r="N322" s="163"/>
      <c r="O322" s="165"/>
      <c r="P322" s="163"/>
      <c r="Q322" s="163"/>
      <c r="R322" s="163"/>
    </row>
    <row r="323" spans="5:18" ht="12">
      <c r="E323" s="165"/>
      <c r="F323" s="163"/>
      <c r="G323" s="163"/>
      <c r="H323" s="163"/>
      <c r="I323" s="163"/>
      <c r="J323" s="165"/>
      <c r="K323" s="163"/>
      <c r="L323" s="163"/>
      <c r="M323" s="163"/>
      <c r="N323" s="163"/>
      <c r="O323" s="165"/>
      <c r="P323" s="163"/>
      <c r="Q323" s="163"/>
      <c r="R323" s="163"/>
    </row>
    <row r="324" spans="5:18" ht="12">
      <c r="E324" s="165"/>
      <c r="F324" s="163"/>
      <c r="G324" s="163"/>
      <c r="H324" s="163"/>
      <c r="I324" s="163"/>
      <c r="J324" s="165"/>
      <c r="K324" s="163"/>
      <c r="L324" s="163"/>
      <c r="M324" s="163"/>
      <c r="N324" s="163"/>
      <c r="O324" s="165"/>
      <c r="P324" s="163"/>
      <c r="Q324" s="163"/>
      <c r="R324" s="163"/>
    </row>
    <row r="325" spans="5:18" ht="12">
      <c r="E325" s="165"/>
      <c r="F325" s="163"/>
      <c r="G325" s="163"/>
      <c r="H325" s="163"/>
      <c r="I325" s="163"/>
      <c r="J325" s="165"/>
      <c r="K325" s="163"/>
      <c r="L325" s="163"/>
      <c r="M325" s="163"/>
      <c r="N325" s="163"/>
      <c r="O325" s="165"/>
      <c r="P325" s="163"/>
      <c r="Q325" s="163"/>
      <c r="R325" s="163"/>
    </row>
    <row r="326" spans="5:18" ht="12">
      <c r="E326" s="165"/>
      <c r="F326" s="163"/>
      <c r="G326" s="163"/>
      <c r="H326" s="163"/>
      <c r="I326" s="163"/>
      <c r="J326" s="165"/>
      <c r="K326" s="163"/>
      <c r="L326" s="163"/>
      <c r="M326" s="163"/>
      <c r="N326" s="163"/>
      <c r="O326" s="165"/>
      <c r="P326" s="163"/>
      <c r="Q326" s="163"/>
      <c r="R326" s="163"/>
    </row>
    <row r="327" spans="5:18" ht="12">
      <c r="E327" s="165"/>
      <c r="F327" s="163"/>
      <c r="G327" s="163"/>
      <c r="H327" s="163"/>
      <c r="I327" s="163"/>
      <c r="J327" s="165"/>
      <c r="K327" s="163"/>
      <c r="L327" s="163"/>
      <c r="M327" s="163"/>
      <c r="N327" s="163"/>
      <c r="O327" s="165"/>
      <c r="P327" s="163"/>
      <c r="Q327" s="163"/>
      <c r="R327" s="163"/>
    </row>
    <row r="328" spans="5:18" ht="12">
      <c r="E328" s="165"/>
      <c r="F328" s="163"/>
      <c r="G328" s="163"/>
      <c r="H328" s="163"/>
      <c r="I328" s="163"/>
      <c r="J328" s="165"/>
      <c r="K328" s="163"/>
      <c r="L328" s="163"/>
      <c r="M328" s="163"/>
      <c r="N328" s="163"/>
      <c r="O328" s="165"/>
      <c r="P328" s="163"/>
      <c r="Q328" s="163"/>
      <c r="R328" s="163"/>
    </row>
    <row r="329" spans="5:18" ht="12">
      <c r="E329" s="165"/>
      <c r="F329" s="163"/>
      <c r="G329" s="163"/>
      <c r="H329" s="163"/>
      <c r="I329" s="163"/>
      <c r="J329" s="165"/>
      <c r="K329" s="163"/>
      <c r="L329" s="163"/>
      <c r="M329" s="163"/>
      <c r="N329" s="163"/>
      <c r="O329" s="165"/>
      <c r="P329" s="163"/>
      <c r="Q329" s="163"/>
      <c r="R329" s="163"/>
    </row>
    <row r="330" spans="5:18" ht="12">
      <c r="E330" s="165"/>
      <c r="F330" s="163"/>
      <c r="G330" s="163"/>
      <c r="H330" s="163"/>
      <c r="I330" s="163"/>
      <c r="J330" s="165"/>
      <c r="K330" s="163"/>
      <c r="L330" s="163"/>
      <c r="M330" s="163"/>
      <c r="N330" s="163"/>
      <c r="O330" s="165"/>
      <c r="P330" s="163"/>
      <c r="Q330" s="163"/>
      <c r="R330" s="163"/>
    </row>
    <row r="331" spans="5:18" ht="12">
      <c r="E331" s="165"/>
      <c r="F331" s="163"/>
      <c r="G331" s="163"/>
      <c r="H331" s="163"/>
      <c r="I331" s="163"/>
      <c r="J331" s="165"/>
      <c r="K331" s="163"/>
      <c r="L331" s="163"/>
      <c r="M331" s="163"/>
      <c r="N331" s="163"/>
      <c r="O331" s="165"/>
      <c r="P331" s="163"/>
      <c r="Q331" s="163"/>
      <c r="R331" s="163"/>
    </row>
    <row r="332" spans="5:18" ht="12">
      <c r="E332" s="165"/>
      <c r="F332" s="163"/>
      <c r="G332" s="163"/>
      <c r="H332" s="163"/>
      <c r="I332" s="163"/>
      <c r="J332" s="165"/>
      <c r="K332" s="163"/>
      <c r="L332" s="163"/>
      <c r="M332" s="163"/>
      <c r="N332" s="163"/>
      <c r="O332" s="165"/>
      <c r="P332" s="163"/>
      <c r="Q332" s="163"/>
      <c r="R332" s="163"/>
    </row>
    <row r="333" spans="5:18" ht="12">
      <c r="E333" s="165"/>
      <c r="F333" s="163"/>
      <c r="G333" s="163"/>
      <c r="H333" s="163"/>
      <c r="I333" s="163"/>
      <c r="J333" s="165"/>
      <c r="K333" s="163"/>
      <c r="L333" s="163"/>
      <c r="M333" s="163"/>
      <c r="N333" s="163"/>
      <c r="O333" s="165"/>
      <c r="P333" s="163"/>
      <c r="Q333" s="163"/>
      <c r="R333" s="163"/>
    </row>
    <row r="334" spans="5:18" ht="12">
      <c r="E334" s="165"/>
      <c r="F334" s="163"/>
      <c r="G334" s="163"/>
      <c r="H334" s="163"/>
      <c r="I334" s="163"/>
      <c r="J334" s="165"/>
      <c r="K334" s="163"/>
      <c r="L334" s="163"/>
      <c r="M334" s="163"/>
      <c r="N334" s="163"/>
      <c r="O334" s="165"/>
      <c r="P334" s="163"/>
      <c r="Q334" s="163"/>
      <c r="R334" s="163"/>
    </row>
    <row r="335" spans="5:18" ht="12">
      <c r="E335" s="165"/>
      <c r="F335" s="163"/>
      <c r="G335" s="163"/>
      <c r="H335" s="163"/>
      <c r="I335" s="163"/>
      <c r="J335" s="165"/>
      <c r="K335" s="163"/>
      <c r="L335" s="163"/>
      <c r="M335" s="163"/>
      <c r="N335" s="163"/>
      <c r="O335" s="165"/>
      <c r="P335" s="163"/>
      <c r="Q335" s="163"/>
      <c r="R335" s="163"/>
    </row>
    <row r="336" spans="5:18" ht="12">
      <c r="E336" s="165"/>
      <c r="F336" s="163"/>
      <c r="G336" s="163"/>
      <c r="H336" s="163"/>
      <c r="I336" s="163"/>
      <c r="J336" s="165"/>
      <c r="K336" s="163"/>
      <c r="L336" s="163"/>
      <c r="M336" s="163"/>
      <c r="N336" s="163"/>
      <c r="O336" s="165"/>
      <c r="P336" s="163"/>
      <c r="Q336" s="163"/>
      <c r="R336" s="163"/>
    </row>
    <row r="337" spans="5:18" ht="12">
      <c r="E337" s="165"/>
      <c r="F337" s="163"/>
      <c r="G337" s="163"/>
      <c r="H337" s="163"/>
      <c r="I337" s="163"/>
      <c r="J337" s="165"/>
      <c r="K337" s="163"/>
      <c r="L337" s="163"/>
      <c r="M337" s="163"/>
      <c r="N337" s="163"/>
      <c r="O337" s="165"/>
      <c r="P337" s="163"/>
      <c r="Q337" s="163"/>
      <c r="R337" s="163"/>
    </row>
    <row r="338" spans="5:18" ht="12">
      <c r="E338" s="165"/>
      <c r="F338" s="163"/>
      <c r="G338" s="163"/>
      <c r="H338" s="163"/>
      <c r="I338" s="163"/>
      <c r="J338" s="165"/>
      <c r="K338" s="163"/>
      <c r="L338" s="163"/>
      <c r="M338" s="163"/>
      <c r="N338" s="163"/>
      <c r="O338" s="165"/>
      <c r="P338" s="163"/>
      <c r="Q338" s="163"/>
      <c r="R338" s="163"/>
    </row>
    <row r="339" spans="5:18" ht="12">
      <c r="E339" s="165"/>
      <c r="F339" s="163"/>
      <c r="G339" s="163"/>
      <c r="H339" s="163"/>
      <c r="I339" s="163"/>
      <c r="J339" s="165"/>
      <c r="K339" s="163"/>
      <c r="L339" s="163"/>
      <c r="M339" s="163"/>
      <c r="N339" s="163"/>
      <c r="O339" s="165"/>
      <c r="P339" s="163"/>
      <c r="Q339" s="163"/>
      <c r="R339" s="163"/>
    </row>
    <row r="340" spans="5:18" ht="12">
      <c r="E340" s="165"/>
      <c r="F340" s="163"/>
      <c r="G340" s="163"/>
      <c r="H340" s="163"/>
      <c r="I340" s="163"/>
      <c r="J340" s="165"/>
      <c r="K340" s="163"/>
      <c r="L340" s="163"/>
      <c r="M340" s="163"/>
      <c r="N340" s="163"/>
      <c r="O340" s="165"/>
      <c r="P340" s="163"/>
      <c r="Q340" s="163"/>
      <c r="R340" s="163"/>
    </row>
    <row r="341" spans="5:18" ht="12">
      <c r="E341" s="165"/>
      <c r="F341" s="163"/>
      <c r="G341" s="163"/>
      <c r="H341" s="163"/>
      <c r="I341" s="163"/>
      <c r="J341" s="165"/>
      <c r="K341" s="163"/>
      <c r="L341" s="163"/>
      <c r="M341" s="163"/>
      <c r="N341" s="163"/>
      <c r="O341" s="165"/>
      <c r="P341" s="163"/>
      <c r="Q341" s="163"/>
      <c r="R341" s="163"/>
    </row>
    <row r="342" spans="5:18" ht="12">
      <c r="E342" s="165"/>
      <c r="F342" s="163"/>
      <c r="G342" s="163"/>
      <c r="H342" s="163"/>
      <c r="I342" s="163"/>
      <c r="J342" s="165"/>
      <c r="K342" s="163"/>
      <c r="L342" s="163"/>
      <c r="M342" s="163"/>
      <c r="N342" s="163"/>
      <c r="O342" s="165"/>
      <c r="P342" s="163"/>
      <c r="Q342" s="163"/>
      <c r="R342" s="163"/>
    </row>
    <row r="343" spans="5:18" ht="12">
      <c r="E343" s="165"/>
      <c r="F343" s="163"/>
      <c r="G343" s="163"/>
      <c r="H343" s="163"/>
      <c r="I343" s="163"/>
      <c r="J343" s="165"/>
      <c r="K343" s="163"/>
      <c r="L343" s="163"/>
      <c r="M343" s="163"/>
      <c r="N343" s="163"/>
      <c r="O343" s="165"/>
      <c r="P343" s="163"/>
      <c r="Q343" s="163"/>
      <c r="R343" s="163"/>
    </row>
    <row r="344" spans="5:18" ht="12">
      <c r="E344" s="165"/>
      <c r="F344" s="163"/>
      <c r="G344" s="163"/>
      <c r="H344" s="163"/>
      <c r="I344" s="163"/>
      <c r="J344" s="165"/>
      <c r="K344" s="163"/>
      <c r="L344" s="163"/>
      <c r="M344" s="163"/>
      <c r="N344" s="163"/>
      <c r="O344" s="165"/>
      <c r="P344" s="163"/>
      <c r="Q344" s="163"/>
      <c r="R344" s="163"/>
    </row>
    <row r="345" spans="5:18" ht="12">
      <c r="E345" s="165"/>
      <c r="F345" s="163"/>
      <c r="G345" s="163"/>
      <c r="H345" s="163"/>
      <c r="I345" s="163"/>
      <c r="J345" s="165"/>
      <c r="K345" s="163"/>
      <c r="L345" s="163"/>
      <c r="M345" s="163"/>
      <c r="N345" s="163"/>
      <c r="O345" s="165"/>
      <c r="P345" s="163"/>
      <c r="Q345" s="163"/>
      <c r="R345" s="163"/>
    </row>
    <row r="346" spans="5:18" ht="12">
      <c r="E346" s="165"/>
      <c r="F346" s="163"/>
      <c r="G346" s="163"/>
      <c r="H346" s="163"/>
      <c r="I346" s="163"/>
      <c r="J346" s="165"/>
      <c r="K346" s="163"/>
      <c r="L346" s="163"/>
      <c r="M346" s="163"/>
      <c r="N346" s="163"/>
      <c r="O346" s="165"/>
      <c r="P346" s="163"/>
      <c r="Q346" s="163"/>
      <c r="R346" s="163"/>
    </row>
    <row r="347" spans="5:18" ht="12">
      <c r="E347" s="165"/>
      <c r="F347" s="163"/>
      <c r="G347" s="163"/>
      <c r="H347" s="163"/>
      <c r="I347" s="163"/>
      <c r="J347" s="165"/>
      <c r="K347" s="163"/>
      <c r="L347" s="163"/>
      <c r="M347" s="163"/>
      <c r="N347" s="163"/>
      <c r="O347" s="165"/>
      <c r="P347" s="163"/>
      <c r="Q347" s="163"/>
      <c r="R347" s="163"/>
    </row>
    <row r="348" spans="5:18" ht="12">
      <c r="E348" s="165"/>
      <c r="F348" s="163"/>
      <c r="G348" s="163"/>
      <c r="H348" s="163"/>
      <c r="I348" s="163"/>
      <c r="J348" s="165"/>
      <c r="K348" s="163"/>
      <c r="L348" s="163"/>
      <c r="M348" s="163"/>
      <c r="N348" s="163"/>
      <c r="O348" s="165"/>
      <c r="P348" s="163"/>
      <c r="Q348" s="163"/>
      <c r="R348" s="163"/>
    </row>
    <row r="349" spans="5:18" ht="12">
      <c r="E349" s="165"/>
      <c r="F349" s="163"/>
      <c r="G349" s="163"/>
      <c r="H349" s="163"/>
      <c r="I349" s="163"/>
      <c r="J349" s="165"/>
      <c r="K349" s="163"/>
      <c r="L349" s="163"/>
      <c r="M349" s="163"/>
      <c r="N349" s="163"/>
      <c r="O349" s="165"/>
      <c r="P349" s="163"/>
      <c r="Q349" s="163"/>
      <c r="R349" s="163"/>
    </row>
    <row r="350" spans="5:18" ht="12">
      <c r="E350" s="165"/>
      <c r="F350" s="163"/>
      <c r="G350" s="163"/>
      <c r="H350" s="163"/>
      <c r="I350" s="163"/>
      <c r="J350" s="165"/>
      <c r="K350" s="163"/>
      <c r="L350" s="163"/>
      <c r="M350" s="163"/>
      <c r="N350" s="163"/>
      <c r="O350" s="165"/>
      <c r="P350" s="163"/>
      <c r="Q350" s="163"/>
      <c r="R350" s="163"/>
    </row>
    <row r="351" spans="5:18" ht="12">
      <c r="E351" s="165"/>
      <c r="F351" s="163"/>
      <c r="G351" s="163"/>
      <c r="H351" s="163"/>
      <c r="I351" s="163"/>
      <c r="J351" s="165"/>
      <c r="K351" s="163"/>
      <c r="L351" s="163"/>
      <c r="M351" s="163"/>
      <c r="N351" s="163"/>
      <c r="O351" s="165"/>
      <c r="P351" s="163"/>
      <c r="Q351" s="163"/>
      <c r="R351" s="163"/>
    </row>
    <row r="352" spans="5:18" ht="12">
      <c r="E352" s="165"/>
      <c r="F352" s="163"/>
      <c r="G352" s="163"/>
      <c r="H352" s="163"/>
      <c r="I352" s="163"/>
      <c r="J352" s="165"/>
      <c r="K352" s="163"/>
      <c r="L352" s="163"/>
      <c r="M352" s="163"/>
      <c r="N352" s="163"/>
      <c r="O352" s="165"/>
      <c r="P352" s="163"/>
      <c r="Q352" s="163"/>
      <c r="R352" s="163"/>
    </row>
    <row r="353" spans="5:18" ht="12">
      <c r="E353" s="165"/>
      <c r="F353" s="163"/>
      <c r="G353" s="163"/>
      <c r="H353" s="163"/>
      <c r="I353" s="163"/>
      <c r="J353" s="165"/>
      <c r="K353" s="163"/>
      <c r="L353" s="163"/>
      <c r="M353" s="163"/>
      <c r="N353" s="163"/>
      <c r="O353" s="165"/>
      <c r="P353" s="163"/>
      <c r="Q353" s="163"/>
      <c r="R353" s="163"/>
    </row>
    <row r="354" spans="5:18" ht="12">
      <c r="E354" s="165"/>
      <c r="F354" s="163"/>
      <c r="G354" s="163"/>
      <c r="H354" s="163"/>
      <c r="I354" s="163"/>
      <c r="J354" s="165"/>
      <c r="K354" s="163"/>
      <c r="L354" s="163"/>
      <c r="M354" s="163"/>
      <c r="N354" s="163"/>
      <c r="O354" s="165"/>
      <c r="P354" s="163"/>
      <c r="Q354" s="163"/>
      <c r="R354" s="163"/>
    </row>
    <row r="355" spans="5:18" ht="12">
      <c r="E355" s="165"/>
      <c r="F355" s="163"/>
      <c r="G355" s="163"/>
      <c r="H355" s="163"/>
      <c r="I355" s="163"/>
      <c r="J355" s="165"/>
      <c r="K355" s="163"/>
      <c r="L355" s="163"/>
      <c r="M355" s="163"/>
      <c r="N355" s="163"/>
      <c r="O355" s="165"/>
      <c r="P355" s="163"/>
      <c r="Q355" s="163"/>
      <c r="R355" s="163"/>
    </row>
    <row r="356" spans="5:18">
      <c r="E356" s="35"/>
      <c r="F356" s="33"/>
      <c r="G356" s="33"/>
      <c r="H356" s="36"/>
      <c r="I356" s="33"/>
      <c r="J356" s="35"/>
      <c r="K356" s="33"/>
      <c r="L356" s="33"/>
      <c r="M356" s="36"/>
      <c r="N356" s="33"/>
      <c r="O356" s="35"/>
      <c r="P356" s="33"/>
      <c r="Q356" s="33"/>
      <c r="R356" s="36"/>
    </row>
    <row r="357" spans="5:18">
      <c r="E357" s="35"/>
      <c r="F357" s="33"/>
      <c r="G357" s="33"/>
      <c r="H357" s="36"/>
      <c r="I357" s="33"/>
      <c r="J357" s="35"/>
      <c r="K357" s="33"/>
      <c r="L357" s="33"/>
      <c r="M357" s="36"/>
      <c r="N357" s="33"/>
      <c r="O357" s="35"/>
      <c r="P357" s="33"/>
      <c r="Q357" s="33"/>
      <c r="R357" s="36"/>
    </row>
    <row r="358" spans="5:18">
      <c r="E358" s="35"/>
      <c r="F358" s="33"/>
      <c r="G358" s="33"/>
      <c r="H358" s="36"/>
      <c r="I358" s="33"/>
      <c r="J358" s="35"/>
      <c r="K358" s="33"/>
      <c r="L358" s="33"/>
      <c r="M358" s="36"/>
      <c r="N358" s="33"/>
      <c r="O358" s="35"/>
      <c r="P358" s="33"/>
      <c r="Q358" s="33"/>
      <c r="R358" s="36"/>
    </row>
    <row r="359" spans="5:18">
      <c r="E359" s="35"/>
      <c r="F359" s="33"/>
      <c r="G359" s="33"/>
      <c r="H359" s="36"/>
      <c r="I359" s="33"/>
      <c r="J359" s="35"/>
      <c r="K359" s="33"/>
      <c r="L359" s="33"/>
      <c r="M359" s="36"/>
      <c r="N359" s="33"/>
      <c r="O359" s="35"/>
      <c r="P359" s="33"/>
      <c r="Q359" s="33"/>
      <c r="R359" s="36"/>
    </row>
    <row r="360" spans="5:18">
      <c r="E360" s="35"/>
      <c r="F360" s="33"/>
      <c r="G360" s="33"/>
      <c r="H360" s="36"/>
      <c r="I360" s="33"/>
      <c r="J360" s="35"/>
      <c r="K360" s="33"/>
      <c r="L360" s="33"/>
      <c r="M360" s="36"/>
      <c r="N360" s="33"/>
      <c r="O360" s="35"/>
      <c r="P360" s="33"/>
      <c r="Q360" s="33"/>
      <c r="R360" s="36"/>
    </row>
    <row r="361" spans="5:18">
      <c r="E361" s="35"/>
      <c r="F361" s="33"/>
      <c r="G361" s="33"/>
      <c r="H361" s="36"/>
      <c r="I361" s="33"/>
      <c r="J361" s="35"/>
      <c r="K361" s="33"/>
      <c r="L361" s="33"/>
      <c r="M361" s="36"/>
      <c r="N361" s="33"/>
      <c r="O361" s="35"/>
      <c r="P361" s="33"/>
      <c r="Q361" s="33"/>
      <c r="R361" s="36"/>
    </row>
    <row r="362" spans="5:18">
      <c r="E362" s="35"/>
      <c r="F362" s="33"/>
      <c r="G362" s="33"/>
      <c r="H362" s="36"/>
      <c r="I362" s="33"/>
      <c r="J362" s="35"/>
      <c r="K362" s="33"/>
      <c r="L362" s="33"/>
      <c r="M362" s="36"/>
      <c r="N362" s="33"/>
      <c r="O362" s="35"/>
      <c r="P362" s="33"/>
      <c r="Q362" s="33"/>
      <c r="R362" s="36"/>
    </row>
    <row r="363" spans="5:18">
      <c r="E363" s="35"/>
      <c r="F363" s="33"/>
      <c r="G363" s="33"/>
      <c r="H363" s="36"/>
      <c r="I363" s="33"/>
      <c r="J363" s="35"/>
      <c r="K363" s="33"/>
      <c r="L363" s="33"/>
      <c r="M363" s="36"/>
      <c r="N363" s="33"/>
      <c r="O363" s="35"/>
      <c r="P363" s="33"/>
      <c r="Q363" s="33"/>
      <c r="R363" s="36"/>
    </row>
    <row r="364" spans="5:18">
      <c r="E364" s="35"/>
      <c r="F364" s="33"/>
      <c r="G364" s="33"/>
      <c r="H364" s="36"/>
      <c r="I364" s="33"/>
      <c r="J364" s="35"/>
      <c r="K364" s="33"/>
      <c r="L364" s="33"/>
      <c r="M364" s="36"/>
      <c r="N364" s="33"/>
      <c r="O364" s="35"/>
      <c r="P364" s="33"/>
      <c r="Q364" s="33"/>
      <c r="R364" s="36"/>
    </row>
    <row r="365" spans="5:18">
      <c r="E365" s="35"/>
      <c r="F365" s="33"/>
      <c r="G365" s="33"/>
      <c r="H365" s="36"/>
      <c r="I365" s="33"/>
      <c r="J365" s="35"/>
      <c r="K365" s="33"/>
      <c r="L365" s="33"/>
      <c r="M365" s="36"/>
      <c r="N365" s="33"/>
      <c r="O365" s="35"/>
      <c r="P365" s="33"/>
      <c r="Q365" s="33"/>
      <c r="R365" s="36"/>
    </row>
    <row r="366" spans="5:18">
      <c r="E366" s="35"/>
      <c r="F366" s="33"/>
      <c r="G366" s="33"/>
      <c r="H366" s="36"/>
      <c r="I366" s="33"/>
      <c r="J366" s="35"/>
      <c r="K366" s="33"/>
      <c r="L366" s="33"/>
      <c r="M366" s="36"/>
      <c r="N366" s="33"/>
      <c r="O366" s="35"/>
      <c r="P366" s="33"/>
      <c r="Q366" s="33"/>
      <c r="R366" s="36"/>
    </row>
    <row r="367" spans="5:18">
      <c r="E367" s="35"/>
      <c r="F367" s="33"/>
      <c r="G367" s="33"/>
      <c r="H367" s="36"/>
      <c r="I367" s="33"/>
      <c r="J367" s="35"/>
      <c r="K367" s="33"/>
      <c r="L367" s="33"/>
      <c r="M367" s="36"/>
      <c r="N367" s="33"/>
      <c r="O367" s="35"/>
      <c r="P367" s="33"/>
      <c r="Q367" s="33"/>
      <c r="R367" s="36"/>
    </row>
    <row r="368" spans="5:18">
      <c r="E368" s="35"/>
      <c r="F368" s="33"/>
      <c r="G368" s="33"/>
      <c r="H368" s="36"/>
      <c r="I368" s="33"/>
      <c r="J368" s="35"/>
      <c r="K368" s="33"/>
      <c r="L368" s="33"/>
      <c r="M368" s="36"/>
      <c r="N368" s="33"/>
      <c r="O368" s="35"/>
      <c r="P368" s="33"/>
      <c r="Q368" s="33"/>
      <c r="R368" s="36"/>
    </row>
    <row r="369" spans="5:18">
      <c r="E369" s="35"/>
      <c r="F369" s="33"/>
      <c r="G369" s="33"/>
      <c r="H369" s="36"/>
      <c r="I369" s="33"/>
      <c r="J369" s="35"/>
      <c r="K369" s="33"/>
      <c r="L369" s="33"/>
      <c r="M369" s="36"/>
      <c r="N369" s="33"/>
      <c r="O369" s="35"/>
      <c r="P369" s="33"/>
      <c r="Q369" s="33"/>
      <c r="R369" s="36"/>
    </row>
    <row r="370" spans="5:18">
      <c r="E370" s="35"/>
      <c r="F370" s="33"/>
      <c r="G370" s="33"/>
      <c r="H370" s="36"/>
      <c r="I370" s="33"/>
      <c r="J370" s="35"/>
      <c r="K370" s="33"/>
      <c r="L370" s="33"/>
      <c r="M370" s="36"/>
      <c r="N370" s="33"/>
      <c r="O370" s="35"/>
      <c r="P370" s="33"/>
      <c r="Q370" s="33"/>
      <c r="R370" s="36"/>
    </row>
    <row r="371" spans="5:18">
      <c r="E371" s="35"/>
      <c r="F371" s="33"/>
      <c r="G371" s="33"/>
      <c r="H371" s="36"/>
      <c r="I371" s="33"/>
      <c r="J371" s="35"/>
      <c r="K371" s="33"/>
      <c r="L371" s="33"/>
      <c r="M371" s="36"/>
      <c r="N371" s="33"/>
      <c r="O371" s="35"/>
      <c r="P371" s="33"/>
      <c r="Q371" s="33"/>
      <c r="R371" s="36"/>
    </row>
    <row r="372" spans="5:18">
      <c r="E372" s="35"/>
      <c r="F372" s="33"/>
      <c r="G372" s="33"/>
      <c r="H372" s="36"/>
      <c r="I372" s="33"/>
      <c r="J372" s="35"/>
      <c r="K372" s="33"/>
      <c r="L372" s="33"/>
      <c r="M372" s="36"/>
      <c r="N372" s="33"/>
      <c r="O372" s="35"/>
      <c r="P372" s="33"/>
      <c r="Q372" s="33"/>
      <c r="R372" s="36"/>
    </row>
    <row r="373" spans="5:18">
      <c r="E373" s="35"/>
      <c r="F373" s="33"/>
      <c r="G373" s="33"/>
      <c r="H373" s="36"/>
      <c r="I373" s="33"/>
      <c r="J373" s="35"/>
      <c r="K373" s="33"/>
      <c r="L373" s="33"/>
      <c r="M373" s="36"/>
      <c r="N373" s="33"/>
      <c r="O373" s="35"/>
      <c r="P373" s="33"/>
      <c r="Q373" s="33"/>
      <c r="R373" s="36"/>
    </row>
    <row r="374" spans="5:18">
      <c r="E374" s="35"/>
      <c r="F374" s="33"/>
      <c r="G374" s="33"/>
      <c r="H374" s="36"/>
      <c r="I374" s="33"/>
      <c r="J374" s="35"/>
      <c r="K374" s="33"/>
      <c r="L374" s="33"/>
      <c r="M374" s="36"/>
      <c r="N374" s="33"/>
      <c r="O374" s="35"/>
      <c r="P374" s="33"/>
      <c r="Q374" s="33"/>
      <c r="R374" s="36"/>
    </row>
    <row r="375" spans="5:18">
      <c r="E375" s="35"/>
      <c r="F375" s="33"/>
      <c r="G375" s="33"/>
      <c r="H375" s="36"/>
      <c r="I375" s="33"/>
      <c r="J375" s="35"/>
      <c r="K375" s="33"/>
      <c r="L375" s="33"/>
      <c r="M375" s="36"/>
      <c r="N375" s="33"/>
      <c r="O375" s="35"/>
      <c r="P375" s="33"/>
      <c r="Q375" s="33"/>
      <c r="R375" s="36"/>
    </row>
    <row r="376" spans="5:18">
      <c r="E376" s="35"/>
      <c r="F376" s="33"/>
      <c r="G376" s="33"/>
      <c r="H376" s="36"/>
      <c r="I376" s="33"/>
      <c r="J376" s="35"/>
      <c r="K376" s="33"/>
      <c r="L376" s="33"/>
      <c r="M376" s="36"/>
      <c r="N376" s="33"/>
      <c r="O376" s="35"/>
      <c r="P376" s="33"/>
      <c r="Q376" s="33"/>
      <c r="R376" s="36"/>
    </row>
    <row r="377" spans="5:18">
      <c r="E377" s="35"/>
      <c r="F377" s="33"/>
      <c r="G377" s="33"/>
      <c r="H377" s="36"/>
      <c r="I377" s="33"/>
      <c r="J377" s="35"/>
      <c r="K377" s="33"/>
      <c r="L377" s="33"/>
      <c r="M377" s="36"/>
      <c r="N377" s="33"/>
      <c r="O377" s="35"/>
      <c r="P377" s="33"/>
      <c r="Q377" s="33"/>
      <c r="R377" s="36"/>
    </row>
    <row r="378" spans="5:18">
      <c r="E378" s="35"/>
      <c r="F378" s="33"/>
      <c r="G378" s="33"/>
      <c r="H378" s="36"/>
      <c r="I378" s="33"/>
      <c r="J378" s="35"/>
      <c r="K378" s="33"/>
      <c r="L378" s="33"/>
      <c r="M378" s="36"/>
      <c r="N378" s="33"/>
      <c r="O378" s="35"/>
      <c r="P378" s="33"/>
      <c r="Q378" s="33"/>
      <c r="R378" s="36"/>
    </row>
    <row r="379" spans="5:18">
      <c r="E379" s="35"/>
      <c r="F379" s="33"/>
      <c r="G379" s="33"/>
      <c r="H379" s="36"/>
      <c r="I379" s="33"/>
      <c r="J379" s="35"/>
      <c r="K379" s="33"/>
      <c r="L379" s="33"/>
      <c r="M379" s="36"/>
      <c r="N379" s="33"/>
      <c r="O379" s="35"/>
      <c r="P379" s="33"/>
      <c r="Q379" s="33"/>
      <c r="R379" s="36"/>
    </row>
    <row r="380" spans="5:18">
      <c r="E380" s="35"/>
      <c r="F380" s="33"/>
      <c r="G380" s="33"/>
      <c r="H380" s="36"/>
      <c r="I380" s="33"/>
      <c r="J380" s="35"/>
      <c r="K380" s="33"/>
      <c r="L380" s="33"/>
      <c r="M380" s="36"/>
      <c r="N380" s="33"/>
      <c r="O380" s="35"/>
      <c r="P380" s="33"/>
      <c r="Q380" s="33"/>
      <c r="R380" s="36"/>
    </row>
    <row r="381" spans="5:18">
      <c r="E381" s="35"/>
      <c r="F381" s="33"/>
      <c r="G381" s="33"/>
      <c r="H381" s="36"/>
      <c r="I381" s="33"/>
      <c r="J381" s="35"/>
      <c r="K381" s="33"/>
      <c r="L381" s="33"/>
      <c r="M381" s="36"/>
      <c r="N381" s="33"/>
      <c r="O381" s="35"/>
      <c r="P381" s="33"/>
      <c r="Q381" s="33"/>
      <c r="R381" s="36"/>
    </row>
    <row r="382" spans="5:18">
      <c r="E382" s="35"/>
      <c r="F382" s="33"/>
      <c r="G382" s="33"/>
      <c r="H382" s="36"/>
      <c r="I382" s="33"/>
      <c r="J382" s="35"/>
      <c r="K382" s="33"/>
      <c r="L382" s="33"/>
      <c r="M382" s="36"/>
      <c r="N382" s="33"/>
      <c r="O382" s="35"/>
      <c r="P382" s="33"/>
      <c r="Q382" s="33"/>
      <c r="R382" s="36"/>
    </row>
    <row r="383" spans="5:18">
      <c r="E383" s="35"/>
      <c r="F383" s="33"/>
      <c r="G383" s="33"/>
      <c r="H383" s="36"/>
      <c r="I383" s="33"/>
      <c r="J383" s="35"/>
      <c r="K383" s="33"/>
      <c r="L383" s="33"/>
      <c r="M383" s="36"/>
      <c r="N383" s="33"/>
      <c r="O383" s="35"/>
      <c r="P383" s="33"/>
      <c r="Q383" s="33"/>
      <c r="R383" s="36"/>
    </row>
    <row r="384" spans="5:18">
      <c r="E384" s="35"/>
      <c r="F384" s="33"/>
      <c r="G384" s="33"/>
      <c r="H384" s="36"/>
      <c r="I384" s="33"/>
      <c r="J384" s="35"/>
      <c r="K384" s="33"/>
      <c r="L384" s="33"/>
      <c r="M384" s="36"/>
      <c r="N384" s="33"/>
      <c r="O384" s="35"/>
      <c r="P384" s="33"/>
      <c r="Q384" s="33"/>
      <c r="R384" s="36"/>
    </row>
    <row r="385" spans="5:18">
      <c r="E385" s="35"/>
      <c r="F385" s="33"/>
      <c r="G385" s="33"/>
      <c r="H385" s="36"/>
      <c r="I385" s="33"/>
      <c r="J385" s="35"/>
      <c r="K385" s="33"/>
      <c r="L385" s="33"/>
      <c r="M385" s="36"/>
      <c r="N385" s="33"/>
      <c r="O385" s="35"/>
      <c r="P385" s="33"/>
      <c r="Q385" s="33"/>
      <c r="R385" s="36"/>
    </row>
    <row r="386" spans="5:18">
      <c r="E386" s="35"/>
      <c r="F386" s="33"/>
      <c r="G386" s="33"/>
      <c r="H386" s="36"/>
      <c r="I386" s="33"/>
      <c r="J386" s="35"/>
      <c r="K386" s="33"/>
      <c r="L386" s="33"/>
      <c r="M386" s="36"/>
      <c r="N386" s="33"/>
      <c r="O386" s="35"/>
      <c r="P386" s="33"/>
      <c r="Q386" s="33"/>
      <c r="R386" s="36"/>
    </row>
    <row r="387" spans="5:18">
      <c r="E387" s="35"/>
      <c r="F387" s="33"/>
      <c r="G387" s="33"/>
      <c r="H387" s="36"/>
      <c r="I387" s="33"/>
      <c r="J387" s="35"/>
      <c r="K387" s="33"/>
      <c r="L387" s="33"/>
      <c r="M387" s="36"/>
      <c r="N387" s="33"/>
      <c r="O387" s="35"/>
      <c r="P387" s="33"/>
      <c r="Q387" s="33"/>
      <c r="R387" s="36"/>
    </row>
    <row r="388" spans="5:18">
      <c r="E388" s="35"/>
      <c r="F388" s="33"/>
      <c r="G388" s="33"/>
      <c r="H388" s="36"/>
      <c r="I388" s="33"/>
      <c r="J388" s="35"/>
      <c r="K388" s="33"/>
      <c r="L388" s="33"/>
      <c r="M388" s="36"/>
      <c r="N388" s="33"/>
      <c r="O388" s="35"/>
      <c r="P388" s="33"/>
      <c r="Q388" s="33"/>
      <c r="R388" s="36"/>
    </row>
    <row r="389" spans="5:18">
      <c r="E389" s="35"/>
      <c r="F389" s="33"/>
      <c r="G389" s="33"/>
      <c r="H389" s="36"/>
      <c r="I389" s="33"/>
      <c r="J389" s="35"/>
      <c r="K389" s="33"/>
      <c r="L389" s="33"/>
      <c r="M389" s="36"/>
      <c r="N389" s="33"/>
      <c r="O389" s="35"/>
      <c r="P389" s="33"/>
      <c r="Q389" s="33"/>
      <c r="R389" s="36"/>
    </row>
    <row r="390" spans="5:18">
      <c r="E390" s="35"/>
      <c r="F390" s="33"/>
      <c r="G390" s="33"/>
      <c r="H390" s="36"/>
      <c r="I390" s="33"/>
      <c r="J390" s="35"/>
      <c r="K390" s="33"/>
      <c r="L390" s="33"/>
      <c r="M390" s="36"/>
      <c r="N390" s="33"/>
      <c r="O390" s="35"/>
      <c r="P390" s="33"/>
      <c r="Q390" s="33"/>
      <c r="R390" s="36"/>
    </row>
    <row r="391" spans="5:18">
      <c r="E391" s="35"/>
      <c r="F391" s="33"/>
      <c r="G391" s="33"/>
      <c r="H391" s="36"/>
      <c r="I391" s="33"/>
      <c r="J391" s="35"/>
      <c r="K391" s="33"/>
      <c r="L391" s="33"/>
      <c r="M391" s="36"/>
      <c r="N391" s="33"/>
      <c r="O391" s="35"/>
      <c r="P391" s="33"/>
      <c r="Q391" s="33"/>
      <c r="R391" s="36"/>
    </row>
    <row r="392" spans="5:18">
      <c r="E392" s="35"/>
      <c r="F392" s="33"/>
      <c r="G392" s="33"/>
      <c r="H392" s="36"/>
      <c r="I392" s="33"/>
      <c r="J392" s="35"/>
      <c r="K392" s="33"/>
      <c r="L392" s="33"/>
      <c r="M392" s="36"/>
      <c r="N392" s="33"/>
      <c r="O392" s="35"/>
      <c r="P392" s="33"/>
      <c r="Q392" s="33"/>
      <c r="R392" s="36"/>
    </row>
    <row r="393" spans="5:18">
      <c r="E393" s="35"/>
      <c r="F393" s="33"/>
      <c r="G393" s="33"/>
      <c r="H393" s="36"/>
      <c r="I393" s="33"/>
      <c r="J393" s="35"/>
      <c r="K393" s="33"/>
      <c r="L393" s="33"/>
      <c r="M393" s="36"/>
      <c r="N393" s="33"/>
      <c r="O393" s="35"/>
      <c r="P393" s="33"/>
      <c r="Q393" s="33"/>
      <c r="R393" s="36"/>
    </row>
    <row r="394" spans="5:18">
      <c r="E394" s="35"/>
      <c r="F394" s="33"/>
      <c r="G394" s="33"/>
      <c r="H394" s="36"/>
      <c r="I394" s="33"/>
      <c r="J394" s="35"/>
      <c r="K394" s="33"/>
      <c r="L394" s="33"/>
      <c r="M394" s="36"/>
      <c r="N394" s="33"/>
      <c r="O394" s="35"/>
      <c r="P394" s="33"/>
      <c r="Q394" s="33"/>
      <c r="R394" s="36"/>
    </row>
    <row r="395" spans="5:18">
      <c r="E395" s="35"/>
      <c r="F395" s="33"/>
      <c r="G395" s="33"/>
      <c r="H395" s="36"/>
      <c r="I395" s="33"/>
      <c r="J395" s="35"/>
      <c r="K395" s="33"/>
      <c r="L395" s="33"/>
      <c r="M395" s="36"/>
      <c r="N395" s="33"/>
      <c r="O395" s="35"/>
      <c r="P395" s="33"/>
      <c r="Q395" s="33"/>
      <c r="R395" s="36"/>
    </row>
    <row r="396" spans="5:18">
      <c r="E396" s="35"/>
      <c r="F396" s="33"/>
      <c r="G396" s="33"/>
      <c r="H396" s="36"/>
      <c r="I396" s="33"/>
      <c r="J396" s="35"/>
      <c r="K396" s="33"/>
      <c r="L396" s="33"/>
      <c r="M396" s="36"/>
      <c r="N396" s="33"/>
      <c r="O396" s="35"/>
      <c r="P396" s="33"/>
      <c r="Q396" s="33"/>
      <c r="R396" s="36"/>
    </row>
    <row r="397" spans="5:18">
      <c r="E397" s="35"/>
      <c r="F397" s="33"/>
      <c r="G397" s="33"/>
      <c r="H397" s="36"/>
      <c r="I397" s="33"/>
      <c r="J397" s="35"/>
      <c r="K397" s="33"/>
      <c r="L397" s="33"/>
      <c r="M397" s="36"/>
      <c r="N397" s="33"/>
      <c r="O397" s="35"/>
      <c r="P397" s="33"/>
      <c r="Q397" s="33"/>
      <c r="R397" s="36"/>
    </row>
    <row r="398" spans="5:18">
      <c r="E398" s="35"/>
      <c r="F398" s="33"/>
      <c r="G398" s="33"/>
      <c r="H398" s="36"/>
      <c r="I398" s="33"/>
      <c r="J398" s="35"/>
      <c r="K398" s="33"/>
      <c r="L398" s="33"/>
      <c r="M398" s="36"/>
      <c r="N398" s="33"/>
      <c r="O398" s="35"/>
      <c r="P398" s="33"/>
      <c r="Q398" s="33"/>
      <c r="R398" s="36"/>
    </row>
    <row r="399" spans="5:18">
      <c r="E399" s="35"/>
      <c r="F399" s="33"/>
      <c r="G399" s="33"/>
      <c r="H399" s="36"/>
      <c r="I399" s="33"/>
      <c r="J399" s="35"/>
      <c r="K399" s="33"/>
      <c r="L399" s="33"/>
      <c r="M399" s="36"/>
      <c r="N399" s="33"/>
      <c r="O399" s="35"/>
      <c r="P399" s="33"/>
      <c r="Q399" s="33"/>
      <c r="R399" s="36"/>
    </row>
    <row r="400" spans="5:18">
      <c r="E400" s="35"/>
      <c r="F400" s="33"/>
      <c r="G400" s="33"/>
      <c r="H400" s="36"/>
      <c r="I400" s="33"/>
      <c r="J400" s="35"/>
      <c r="K400" s="33"/>
      <c r="L400" s="33"/>
      <c r="M400" s="36"/>
      <c r="N400" s="33"/>
      <c r="O400" s="35"/>
      <c r="P400" s="33"/>
      <c r="Q400" s="33"/>
      <c r="R400" s="36"/>
    </row>
    <row r="401" spans="5:18">
      <c r="E401" s="35"/>
      <c r="F401" s="33"/>
      <c r="G401" s="33"/>
      <c r="H401" s="36"/>
      <c r="I401" s="33"/>
      <c r="J401" s="35"/>
      <c r="K401" s="33"/>
      <c r="L401" s="33"/>
      <c r="M401" s="36"/>
      <c r="N401" s="33"/>
      <c r="O401" s="35"/>
      <c r="P401" s="33"/>
      <c r="Q401" s="33"/>
      <c r="R401" s="36"/>
    </row>
    <row r="402" spans="5:18">
      <c r="E402" s="35"/>
      <c r="F402" s="33"/>
      <c r="G402" s="33"/>
      <c r="H402" s="36"/>
      <c r="I402" s="33"/>
      <c r="J402" s="35"/>
      <c r="K402" s="33"/>
      <c r="L402" s="33"/>
      <c r="M402" s="36"/>
      <c r="N402" s="33"/>
      <c r="O402" s="35"/>
      <c r="P402" s="33"/>
      <c r="Q402" s="33"/>
      <c r="R402" s="36"/>
    </row>
    <row r="403" spans="5:18">
      <c r="E403" s="35"/>
      <c r="F403" s="33"/>
      <c r="G403" s="33"/>
      <c r="H403" s="36"/>
      <c r="I403" s="33"/>
      <c r="J403" s="35"/>
      <c r="K403" s="33"/>
      <c r="L403" s="33"/>
      <c r="M403" s="36"/>
      <c r="N403" s="33"/>
      <c r="O403" s="35"/>
      <c r="P403" s="33"/>
      <c r="Q403" s="33"/>
      <c r="R403" s="36"/>
    </row>
    <row r="404" spans="5:18">
      <c r="E404" s="35"/>
      <c r="F404" s="33"/>
      <c r="G404" s="33"/>
      <c r="H404" s="36"/>
      <c r="I404" s="33"/>
      <c r="J404" s="35"/>
      <c r="K404" s="33"/>
      <c r="L404" s="33"/>
      <c r="M404" s="36"/>
      <c r="N404" s="33"/>
      <c r="O404" s="35"/>
      <c r="P404" s="33"/>
      <c r="Q404" s="33"/>
      <c r="R404" s="36"/>
    </row>
    <row r="405" spans="5:18">
      <c r="E405" s="35"/>
      <c r="F405" s="33"/>
      <c r="G405" s="33"/>
      <c r="H405" s="36"/>
      <c r="I405" s="33"/>
      <c r="J405" s="35"/>
      <c r="K405" s="33"/>
      <c r="L405" s="33"/>
      <c r="M405" s="36"/>
      <c r="N405" s="33"/>
      <c r="O405" s="35"/>
      <c r="P405" s="33"/>
      <c r="Q405" s="33"/>
      <c r="R405" s="36"/>
    </row>
    <row r="406" spans="5:18">
      <c r="E406" s="35"/>
      <c r="F406" s="33"/>
      <c r="G406" s="33"/>
      <c r="H406" s="36"/>
      <c r="I406" s="33"/>
      <c r="J406" s="35"/>
      <c r="K406" s="33"/>
      <c r="L406" s="33"/>
      <c r="M406" s="36"/>
      <c r="N406" s="33"/>
      <c r="O406" s="35"/>
      <c r="P406" s="33"/>
      <c r="Q406" s="33"/>
      <c r="R406" s="36"/>
    </row>
    <row r="407" spans="5:18">
      <c r="E407" s="35"/>
      <c r="F407" s="33"/>
      <c r="G407" s="33"/>
      <c r="H407" s="36"/>
      <c r="I407" s="33"/>
      <c r="J407" s="35"/>
      <c r="K407" s="33"/>
      <c r="L407" s="33"/>
      <c r="M407" s="36"/>
      <c r="N407" s="33"/>
      <c r="O407" s="35"/>
      <c r="P407" s="33"/>
      <c r="Q407" s="33"/>
      <c r="R407" s="36"/>
    </row>
    <row r="408" spans="5:18">
      <c r="E408" s="35"/>
      <c r="F408" s="33"/>
      <c r="G408" s="33"/>
      <c r="H408" s="36"/>
      <c r="I408" s="33"/>
      <c r="J408" s="35"/>
      <c r="K408" s="33"/>
      <c r="L408" s="33"/>
      <c r="M408" s="36"/>
      <c r="N408" s="33"/>
      <c r="O408" s="35"/>
      <c r="P408" s="33"/>
      <c r="Q408" s="33"/>
      <c r="R408" s="36"/>
    </row>
    <row r="409" spans="5:18">
      <c r="E409" s="35"/>
      <c r="F409" s="33"/>
      <c r="G409" s="33"/>
      <c r="H409" s="36"/>
      <c r="I409" s="33"/>
      <c r="J409" s="35"/>
      <c r="K409" s="33"/>
      <c r="L409" s="33"/>
      <c r="M409" s="36"/>
      <c r="N409" s="33"/>
      <c r="O409" s="35"/>
      <c r="P409" s="33"/>
      <c r="Q409" s="33"/>
      <c r="R409" s="36"/>
    </row>
  </sheetData>
  <mergeCells count="23">
    <mergeCell ref="A5:A7"/>
    <mergeCell ref="B5:B7"/>
    <mergeCell ref="C5:C7"/>
    <mergeCell ref="I5:I7"/>
    <mergeCell ref="R5:R7"/>
    <mergeCell ref="L6:L7"/>
    <mergeCell ref="O6:O7"/>
    <mergeCell ref="Q6:Q7"/>
    <mergeCell ref="J6:J7"/>
    <mergeCell ref="J5:L5"/>
    <mergeCell ref="M5:M7"/>
    <mergeCell ref="N5:N7"/>
    <mergeCell ref="O5:Q5"/>
    <mergeCell ref="P6:P7"/>
    <mergeCell ref="K6:K7"/>
    <mergeCell ref="F6:F7"/>
    <mergeCell ref="B2:H2"/>
    <mergeCell ref="B3:H3"/>
    <mergeCell ref="D5:D7"/>
    <mergeCell ref="E5:G5"/>
    <mergeCell ref="H5:H7"/>
    <mergeCell ref="E6:E7"/>
    <mergeCell ref="G6:G7"/>
  </mergeCells>
  <pageMargins left="0.27559055118110237" right="0.19685039370078741" top="0.39370078740157483" bottom="0.35433070866141736" header="0.23622047244094491" footer="0.19685039370078741"/>
  <pageSetup paperSize="9" scale="60" orientation="landscape" r:id="rId1"/>
  <headerFooter alignWithMargins="0">
    <oddFooter>&amp;L&amp;F&amp;C&amp;P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FFC000"/>
  </sheetPr>
  <dimension ref="A2:R452"/>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C9" sqref="C9"/>
    </sheetView>
  </sheetViews>
  <sheetFormatPr defaultColWidth="9.109375" defaultRowHeight="10.199999999999999"/>
  <cols>
    <col min="1" max="1" width="11.44140625" style="21" bestFit="1" customWidth="1"/>
    <col min="2" max="2" width="44.6640625" style="1" customWidth="1"/>
    <col min="3" max="3" width="13" style="22" customWidth="1"/>
    <col min="4" max="4" width="11.5546875" style="21" customWidth="1"/>
    <col min="5" max="5" width="11.109375" style="274" customWidth="1"/>
    <col min="6" max="7" width="11.109375" style="273" customWidth="1"/>
    <col min="8" max="8" width="12.33203125" style="275" customWidth="1"/>
    <col min="9" max="9" width="11.44140625" style="273" customWidth="1"/>
    <col min="10" max="10" width="11.33203125" style="274" customWidth="1"/>
    <col min="11" max="12" width="11.33203125" style="273" customWidth="1"/>
    <col min="13" max="13" width="11.6640625" style="275" customWidth="1"/>
    <col min="14" max="14" width="11.44140625" style="273" customWidth="1"/>
    <col min="15" max="15" width="11.44140625" style="274" customWidth="1"/>
    <col min="16" max="17" width="11.44140625" style="273" customWidth="1"/>
    <col min="18" max="18" width="11.6640625" style="275" customWidth="1"/>
    <col min="19" max="16384" width="9.109375" style="3"/>
  </cols>
  <sheetData>
    <row r="2" spans="1:18" ht="13.2">
      <c r="A2" s="216"/>
      <c r="B2" s="216"/>
      <c r="C2" s="216"/>
      <c r="D2" s="216"/>
      <c r="E2" s="216"/>
      <c r="F2" s="216"/>
      <c r="G2" s="216"/>
      <c r="H2" s="217"/>
      <c r="I2" s="216"/>
      <c r="J2" s="216"/>
      <c r="K2" s="216"/>
      <c r="L2" s="216"/>
      <c r="M2" s="217"/>
      <c r="N2" s="216"/>
      <c r="O2" s="216"/>
      <c r="P2" s="216"/>
      <c r="Q2" s="216"/>
      <c r="R2" s="217"/>
    </row>
    <row r="3" spans="1:18" s="1" customFormat="1" ht="12.75" customHeight="1">
      <c r="A3" s="221"/>
      <c r="B3" s="1400" t="s">
        <v>489</v>
      </c>
      <c r="C3" s="1400"/>
      <c r="D3" s="1400"/>
      <c r="E3" s="1400"/>
      <c r="F3" s="1400"/>
      <c r="G3" s="1400"/>
      <c r="H3" s="1400"/>
      <c r="I3" s="578"/>
      <c r="J3" s="578"/>
      <c r="K3" s="578"/>
      <c r="L3" s="578"/>
      <c r="M3" s="220"/>
      <c r="N3" s="578"/>
      <c r="O3" s="578"/>
      <c r="P3" s="578"/>
      <c r="Q3" s="578"/>
      <c r="R3" s="220"/>
    </row>
    <row r="4" spans="1:18" s="1" customFormat="1" ht="13.2">
      <c r="A4" s="221"/>
      <c r="B4" s="578"/>
      <c r="C4" s="222"/>
      <c r="D4" s="578"/>
      <c r="E4" s="578"/>
      <c r="F4" s="578"/>
      <c r="G4" s="578"/>
      <c r="H4" s="578"/>
      <c r="I4" s="578"/>
      <c r="J4" s="578"/>
      <c r="K4" s="578"/>
      <c r="L4" s="578"/>
      <c r="M4" s="578"/>
      <c r="N4" s="578"/>
      <c r="O4" s="578"/>
      <c r="P4" s="578"/>
      <c r="Q4" s="578"/>
      <c r="R4" s="578"/>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8"/>
      <c r="B9" s="389" t="s">
        <v>127</v>
      </c>
      <c r="C9" s="387"/>
      <c r="D9" s="387"/>
      <c r="E9" s="226"/>
      <c r="F9" s="226"/>
      <c r="G9" s="226"/>
      <c r="H9" s="226"/>
      <c r="I9" s="365"/>
      <c r="J9" s="226"/>
      <c r="K9" s="226"/>
      <c r="L9" s="226"/>
      <c r="M9" s="226"/>
      <c r="N9" s="365"/>
      <c r="O9" s="226"/>
      <c r="P9" s="226"/>
      <c r="Q9" s="226"/>
      <c r="R9" s="226"/>
    </row>
    <row r="10" spans="1:18" s="4" customFormat="1" ht="20.399999999999999">
      <c r="A10" s="129" t="s">
        <v>201</v>
      </c>
      <c r="B10" s="123" t="s">
        <v>88</v>
      </c>
      <c r="C10" s="200">
        <v>2931358</v>
      </c>
      <c r="D10" s="167">
        <v>2934170</v>
      </c>
      <c r="E10" s="228">
        <f>E11+E12+E14+E32</f>
        <v>0</v>
      </c>
      <c r="F10" s="228">
        <f t="shared" ref="F10" si="0">F11+F12+F14+F32</f>
        <v>0</v>
      </c>
      <c r="G10" s="228">
        <f>G94</f>
        <v>252521</v>
      </c>
      <c r="H10" s="229">
        <f t="shared" ref="H10:H73" si="1">SUM(D10:G10)</f>
        <v>3186691</v>
      </c>
      <c r="I10" s="228">
        <v>2934170</v>
      </c>
      <c r="J10" s="228">
        <f>J11+J12+J14+J32</f>
        <v>0</v>
      </c>
      <c r="K10" s="228">
        <f t="shared" ref="K10" si="2">K11+K12+K14+K32</f>
        <v>0</v>
      </c>
      <c r="L10" s="228">
        <f>L94</f>
        <v>252521</v>
      </c>
      <c r="M10" s="229">
        <f t="shared" ref="M10:M73" si="3">SUM(I10:L10)</f>
        <v>3186691</v>
      </c>
      <c r="N10" s="228">
        <v>2934170</v>
      </c>
      <c r="O10" s="228">
        <f>O11+O12+O14+O32</f>
        <v>0</v>
      </c>
      <c r="P10" s="228">
        <f t="shared" ref="P10" si="4">P11+P12+P14+P32</f>
        <v>0</v>
      </c>
      <c r="Q10" s="228">
        <f>Q94</f>
        <v>252521</v>
      </c>
      <c r="R10" s="229">
        <f t="shared" ref="R10:R73" si="5">SUM(N10:Q10)</f>
        <v>3186691</v>
      </c>
    </row>
    <row r="11" spans="1:18" ht="22.8">
      <c r="A11" s="130" t="s">
        <v>177</v>
      </c>
      <c r="B11" s="124" t="s">
        <v>90</v>
      </c>
      <c r="C11" s="98">
        <v>1500</v>
      </c>
      <c r="D11" s="169">
        <v>1500</v>
      </c>
      <c r="E11" s="231"/>
      <c r="F11" s="231"/>
      <c r="G11" s="231"/>
      <c r="H11" s="232">
        <f t="shared" si="1"/>
        <v>1500</v>
      </c>
      <c r="I11" s="231">
        <v>1500</v>
      </c>
      <c r="J11" s="231"/>
      <c r="K11" s="231"/>
      <c r="L11" s="231"/>
      <c r="M11" s="232">
        <f t="shared" si="3"/>
        <v>1500</v>
      </c>
      <c r="N11" s="231">
        <v>1500</v>
      </c>
      <c r="O11" s="231"/>
      <c r="P11" s="231"/>
      <c r="Q11" s="231"/>
      <c r="R11" s="232">
        <f t="shared" si="5"/>
        <v>1500</v>
      </c>
    </row>
    <row r="12" spans="1:18" ht="12" hidden="1" customHeight="1">
      <c r="A12" s="130" t="s">
        <v>91</v>
      </c>
      <c r="B12" s="124" t="s">
        <v>92</v>
      </c>
      <c r="C12" s="98"/>
      <c r="D12" s="169">
        <v>0</v>
      </c>
      <c r="E12" s="231"/>
      <c r="F12" s="231"/>
      <c r="G12" s="231"/>
      <c r="H12" s="232">
        <f t="shared" si="1"/>
        <v>0</v>
      </c>
      <c r="I12" s="231">
        <v>0</v>
      </c>
      <c r="J12" s="231"/>
      <c r="K12" s="231"/>
      <c r="L12" s="231"/>
      <c r="M12" s="232">
        <f t="shared" si="3"/>
        <v>0</v>
      </c>
      <c r="N12" s="231">
        <v>0</v>
      </c>
      <c r="O12" s="231"/>
      <c r="P12" s="231"/>
      <c r="Q12" s="231"/>
      <c r="R12" s="232">
        <f t="shared" si="5"/>
        <v>0</v>
      </c>
    </row>
    <row r="13" spans="1:18" ht="12" hidden="1" customHeight="1">
      <c r="A13" s="131">
        <v>21210</v>
      </c>
      <c r="B13" s="125" t="s">
        <v>93</v>
      </c>
      <c r="C13" s="98"/>
      <c r="D13" s="169">
        <v>0</v>
      </c>
      <c r="E13" s="231"/>
      <c r="F13" s="231"/>
      <c r="G13" s="231"/>
      <c r="H13" s="232">
        <f t="shared" si="1"/>
        <v>0</v>
      </c>
      <c r="I13" s="231">
        <v>0</v>
      </c>
      <c r="J13" s="231"/>
      <c r="K13" s="231"/>
      <c r="L13" s="231"/>
      <c r="M13" s="232">
        <f t="shared" si="3"/>
        <v>0</v>
      </c>
      <c r="N13" s="231">
        <v>0</v>
      </c>
      <c r="O13" s="231"/>
      <c r="P13" s="231"/>
      <c r="Q13" s="231"/>
      <c r="R13" s="232">
        <f t="shared" si="5"/>
        <v>0</v>
      </c>
    </row>
    <row r="14" spans="1:18" ht="21" hidden="1" customHeight="1">
      <c r="A14" s="130" t="s">
        <v>178</v>
      </c>
      <c r="B14" s="124" t="s">
        <v>94</v>
      </c>
      <c r="C14" s="170">
        <v>0</v>
      </c>
      <c r="D14" s="171">
        <v>0</v>
      </c>
      <c r="E14" s="233">
        <f>E15+E21</f>
        <v>0</v>
      </c>
      <c r="F14" s="233">
        <f t="shared" ref="F14:G14" si="6">F15+F21</f>
        <v>0</v>
      </c>
      <c r="G14" s="233">
        <f t="shared" si="6"/>
        <v>0</v>
      </c>
      <c r="H14" s="232">
        <f t="shared" si="1"/>
        <v>0</v>
      </c>
      <c r="I14" s="233">
        <v>0</v>
      </c>
      <c r="J14" s="233">
        <f>J15+J21</f>
        <v>0</v>
      </c>
      <c r="K14" s="233">
        <f t="shared" ref="K14:L14" si="7">K15+K21</f>
        <v>0</v>
      </c>
      <c r="L14" s="233">
        <f t="shared" si="7"/>
        <v>0</v>
      </c>
      <c r="M14" s="232">
        <f t="shared" si="3"/>
        <v>0</v>
      </c>
      <c r="N14" s="233">
        <v>0</v>
      </c>
      <c r="O14" s="233">
        <f>O15+O21</f>
        <v>0</v>
      </c>
      <c r="P14" s="233">
        <f t="shared" ref="P14:Q14" si="8">P15+P21</f>
        <v>0</v>
      </c>
      <c r="Q14" s="233">
        <f t="shared" si="8"/>
        <v>0</v>
      </c>
      <c r="R14" s="232">
        <f t="shared" si="5"/>
        <v>0</v>
      </c>
    </row>
    <row r="15" spans="1:18" ht="12" hidden="1" customHeight="1">
      <c r="A15" s="132">
        <v>18000</v>
      </c>
      <c r="B15" s="125" t="s">
        <v>95</v>
      </c>
      <c r="C15" s="170">
        <v>0</v>
      </c>
      <c r="D15" s="171">
        <v>0</v>
      </c>
      <c r="E15" s="233">
        <f t="shared" ref="E15:L16" si="9">E16</f>
        <v>0</v>
      </c>
      <c r="F15" s="233">
        <f t="shared" si="9"/>
        <v>0</v>
      </c>
      <c r="G15" s="233">
        <f t="shared" si="9"/>
        <v>0</v>
      </c>
      <c r="H15" s="232">
        <f t="shared" si="1"/>
        <v>0</v>
      </c>
      <c r="I15" s="233">
        <v>0</v>
      </c>
      <c r="J15" s="233">
        <f t="shared" si="9"/>
        <v>0</v>
      </c>
      <c r="K15" s="233">
        <f t="shared" si="9"/>
        <v>0</v>
      </c>
      <c r="L15" s="233">
        <f t="shared" si="9"/>
        <v>0</v>
      </c>
      <c r="M15" s="232">
        <f t="shared" si="3"/>
        <v>0</v>
      </c>
      <c r="N15" s="233">
        <v>0</v>
      </c>
      <c r="O15" s="233">
        <f t="shared" ref="O15:Q16" si="10">O16</f>
        <v>0</v>
      </c>
      <c r="P15" s="233">
        <f t="shared" si="10"/>
        <v>0</v>
      </c>
      <c r="Q15" s="233">
        <f t="shared" si="10"/>
        <v>0</v>
      </c>
      <c r="R15" s="232">
        <f t="shared" si="5"/>
        <v>0</v>
      </c>
    </row>
    <row r="16" spans="1:18" ht="12" hidden="1" customHeight="1">
      <c r="A16" s="132">
        <v>18100</v>
      </c>
      <c r="B16" s="125" t="s">
        <v>96</v>
      </c>
      <c r="C16" s="170">
        <v>0</v>
      </c>
      <c r="D16" s="171">
        <v>0</v>
      </c>
      <c r="E16" s="233">
        <f>E17</f>
        <v>0</v>
      </c>
      <c r="F16" s="233">
        <f t="shared" si="9"/>
        <v>0</v>
      </c>
      <c r="G16" s="233">
        <f t="shared" si="9"/>
        <v>0</v>
      </c>
      <c r="H16" s="232">
        <f t="shared" si="1"/>
        <v>0</v>
      </c>
      <c r="I16" s="233">
        <v>0</v>
      </c>
      <c r="J16" s="233">
        <f>J17</f>
        <v>0</v>
      </c>
      <c r="K16" s="233">
        <f t="shared" si="9"/>
        <v>0</v>
      </c>
      <c r="L16" s="233">
        <f t="shared" si="9"/>
        <v>0</v>
      </c>
      <c r="M16" s="232">
        <f t="shared" si="3"/>
        <v>0</v>
      </c>
      <c r="N16" s="233">
        <v>0</v>
      </c>
      <c r="O16" s="233">
        <f>O17</f>
        <v>0</v>
      </c>
      <c r="P16" s="233">
        <f t="shared" si="10"/>
        <v>0</v>
      </c>
      <c r="Q16" s="233">
        <f t="shared" si="10"/>
        <v>0</v>
      </c>
      <c r="R16" s="232">
        <f t="shared" si="5"/>
        <v>0</v>
      </c>
    </row>
    <row r="17" spans="1:18" s="4" customFormat="1" ht="24" hidden="1" customHeight="1">
      <c r="A17" s="133">
        <v>18130</v>
      </c>
      <c r="B17" s="172" t="s">
        <v>159</v>
      </c>
      <c r="C17" s="170">
        <v>0</v>
      </c>
      <c r="D17" s="171">
        <v>0</v>
      </c>
      <c r="E17" s="233">
        <f>SUM(E18:E20)</f>
        <v>0</v>
      </c>
      <c r="F17" s="233">
        <f t="shared" ref="F17:G17" si="11">SUM(F18:F20)</f>
        <v>0</v>
      </c>
      <c r="G17" s="233">
        <f t="shared" si="11"/>
        <v>0</v>
      </c>
      <c r="H17" s="232">
        <f t="shared" si="1"/>
        <v>0</v>
      </c>
      <c r="I17" s="233">
        <v>0</v>
      </c>
      <c r="J17" s="233">
        <f>SUM(J18:J20)</f>
        <v>0</v>
      </c>
      <c r="K17" s="233">
        <f t="shared" ref="K17:L17" si="12">SUM(K18:K20)</f>
        <v>0</v>
      </c>
      <c r="L17" s="233">
        <f t="shared" si="12"/>
        <v>0</v>
      </c>
      <c r="M17" s="232">
        <f t="shared" si="3"/>
        <v>0</v>
      </c>
      <c r="N17" s="233">
        <v>0</v>
      </c>
      <c r="O17" s="233">
        <f>SUM(O18:O20)</f>
        <v>0</v>
      </c>
      <c r="P17" s="233">
        <f t="shared" ref="P17:Q17" si="13">SUM(P18:P20)</f>
        <v>0</v>
      </c>
      <c r="Q17" s="233">
        <f t="shared" si="13"/>
        <v>0</v>
      </c>
      <c r="R17" s="232">
        <f t="shared" si="5"/>
        <v>0</v>
      </c>
    </row>
    <row r="18" spans="1:18" s="6" customFormat="1" ht="24" hidden="1" customHeight="1">
      <c r="A18" s="134">
        <v>18131</v>
      </c>
      <c r="B18" s="172" t="s">
        <v>160</v>
      </c>
      <c r="C18" s="170"/>
      <c r="D18" s="171">
        <v>0</v>
      </c>
      <c r="E18" s="233"/>
      <c r="F18" s="233"/>
      <c r="G18" s="233"/>
      <c r="H18" s="232">
        <f t="shared" si="1"/>
        <v>0</v>
      </c>
      <c r="I18" s="233">
        <v>0</v>
      </c>
      <c r="J18" s="233"/>
      <c r="K18" s="233"/>
      <c r="L18" s="233"/>
      <c r="M18" s="232">
        <f t="shared" si="3"/>
        <v>0</v>
      </c>
      <c r="N18" s="233">
        <v>0</v>
      </c>
      <c r="O18" s="233"/>
      <c r="P18" s="233"/>
      <c r="Q18" s="233"/>
      <c r="R18" s="232">
        <f t="shared" si="5"/>
        <v>0</v>
      </c>
    </row>
    <row r="19" spans="1:18" s="6" customFormat="1" ht="24" hidden="1" customHeight="1">
      <c r="A19" s="134">
        <v>18132</v>
      </c>
      <c r="B19" s="172" t="s">
        <v>169</v>
      </c>
      <c r="C19" s="170"/>
      <c r="D19" s="171">
        <v>0</v>
      </c>
      <c r="E19" s="233"/>
      <c r="F19" s="233"/>
      <c r="G19" s="233"/>
      <c r="H19" s="232">
        <f t="shared" si="1"/>
        <v>0</v>
      </c>
      <c r="I19" s="233">
        <v>0</v>
      </c>
      <c r="J19" s="233"/>
      <c r="K19" s="233"/>
      <c r="L19" s="233"/>
      <c r="M19" s="232">
        <f t="shared" si="3"/>
        <v>0</v>
      </c>
      <c r="N19" s="233">
        <v>0</v>
      </c>
      <c r="O19" s="233"/>
      <c r="P19" s="233"/>
      <c r="Q19" s="233"/>
      <c r="R19" s="232">
        <f t="shared" si="5"/>
        <v>0</v>
      </c>
    </row>
    <row r="20" spans="1:18" s="6" customFormat="1" ht="24" hidden="1" customHeight="1">
      <c r="A20" s="134">
        <v>18139</v>
      </c>
      <c r="B20" s="172" t="s">
        <v>179</v>
      </c>
      <c r="C20" s="170"/>
      <c r="D20" s="171">
        <v>0</v>
      </c>
      <c r="E20" s="233"/>
      <c r="F20" s="233"/>
      <c r="G20" s="233"/>
      <c r="H20" s="232">
        <f t="shared" si="1"/>
        <v>0</v>
      </c>
      <c r="I20" s="233">
        <v>0</v>
      </c>
      <c r="J20" s="233"/>
      <c r="K20" s="233"/>
      <c r="L20" s="233"/>
      <c r="M20" s="232">
        <f t="shared" si="3"/>
        <v>0</v>
      </c>
      <c r="N20" s="233">
        <v>0</v>
      </c>
      <c r="O20" s="233"/>
      <c r="P20" s="233"/>
      <c r="Q20" s="233"/>
      <c r="R20" s="232">
        <f t="shared" si="5"/>
        <v>0</v>
      </c>
    </row>
    <row r="21" spans="1:18" s="6" customFormat="1" ht="12" hidden="1" customHeight="1">
      <c r="A21" s="135" t="s">
        <v>180</v>
      </c>
      <c r="B21" s="173" t="s">
        <v>173</v>
      </c>
      <c r="C21" s="201">
        <v>0</v>
      </c>
      <c r="D21" s="174">
        <v>0</v>
      </c>
      <c r="E21" s="238">
        <f t="shared" ref="E21:L21" si="14">E22</f>
        <v>0</v>
      </c>
      <c r="F21" s="238">
        <f t="shared" si="14"/>
        <v>0</v>
      </c>
      <c r="G21" s="238">
        <f t="shared" si="14"/>
        <v>0</v>
      </c>
      <c r="H21" s="232">
        <f t="shared" si="1"/>
        <v>0</v>
      </c>
      <c r="I21" s="238">
        <v>0</v>
      </c>
      <c r="J21" s="238">
        <f t="shared" si="14"/>
        <v>0</v>
      </c>
      <c r="K21" s="238">
        <f t="shared" si="14"/>
        <v>0</v>
      </c>
      <c r="L21" s="238">
        <f t="shared" si="14"/>
        <v>0</v>
      </c>
      <c r="M21" s="232">
        <f t="shared" si="3"/>
        <v>0</v>
      </c>
      <c r="N21" s="238">
        <v>0</v>
      </c>
      <c r="O21" s="238">
        <f t="shared" ref="O21:Q21" si="15">O22</f>
        <v>0</v>
      </c>
      <c r="P21" s="238">
        <f t="shared" si="15"/>
        <v>0</v>
      </c>
      <c r="Q21" s="238">
        <f t="shared" si="15"/>
        <v>0</v>
      </c>
      <c r="R21" s="232">
        <f t="shared" si="5"/>
        <v>0</v>
      </c>
    </row>
    <row r="22" spans="1:18" s="6" customFormat="1" ht="12" hidden="1" customHeight="1">
      <c r="A22" s="135">
        <v>19500</v>
      </c>
      <c r="B22" s="172" t="s">
        <v>174</v>
      </c>
      <c r="C22" s="170">
        <v>0</v>
      </c>
      <c r="D22" s="171">
        <v>0</v>
      </c>
      <c r="E22" s="233">
        <f>SUM(E23:E25)</f>
        <v>0</v>
      </c>
      <c r="F22" s="233">
        <f t="shared" ref="F22:G22" si="16">SUM(F23:F25)</f>
        <v>0</v>
      </c>
      <c r="G22" s="233">
        <f t="shared" si="16"/>
        <v>0</v>
      </c>
      <c r="H22" s="232">
        <f t="shared" si="1"/>
        <v>0</v>
      </c>
      <c r="I22" s="233">
        <v>0</v>
      </c>
      <c r="J22" s="233">
        <f>SUM(J23:J25)</f>
        <v>0</v>
      </c>
      <c r="K22" s="233">
        <f t="shared" ref="K22:L22" si="17">SUM(K23:K25)</f>
        <v>0</v>
      </c>
      <c r="L22" s="233">
        <f t="shared" si="17"/>
        <v>0</v>
      </c>
      <c r="M22" s="232">
        <f t="shared" si="3"/>
        <v>0</v>
      </c>
      <c r="N22" s="233">
        <v>0</v>
      </c>
      <c r="O22" s="233">
        <f>SUM(O23:O25)</f>
        <v>0</v>
      </c>
      <c r="P22" s="233">
        <f t="shared" ref="P22:Q22" si="18">SUM(P23:P25)</f>
        <v>0</v>
      </c>
      <c r="Q22" s="233">
        <f t="shared" si="18"/>
        <v>0</v>
      </c>
      <c r="R22" s="232">
        <f t="shared" si="5"/>
        <v>0</v>
      </c>
    </row>
    <row r="23" spans="1:18" s="6" customFormat="1" ht="24" hidden="1" customHeight="1">
      <c r="A23" s="136">
        <v>19550</v>
      </c>
      <c r="B23" s="172" t="s">
        <v>175</v>
      </c>
      <c r="C23" s="170"/>
      <c r="D23" s="171">
        <v>0</v>
      </c>
      <c r="E23" s="233"/>
      <c r="F23" s="233"/>
      <c r="G23" s="233"/>
      <c r="H23" s="232">
        <f t="shared" si="1"/>
        <v>0</v>
      </c>
      <c r="I23" s="233">
        <v>0</v>
      </c>
      <c r="J23" s="233"/>
      <c r="K23" s="233"/>
      <c r="L23" s="233"/>
      <c r="M23" s="232">
        <f t="shared" si="3"/>
        <v>0</v>
      </c>
      <c r="N23" s="233">
        <v>0</v>
      </c>
      <c r="O23" s="233"/>
      <c r="P23" s="233"/>
      <c r="Q23" s="233"/>
      <c r="R23" s="232">
        <f t="shared" si="5"/>
        <v>0</v>
      </c>
    </row>
    <row r="24" spans="1:18" s="6" customFormat="1" ht="36" hidden="1" customHeight="1">
      <c r="A24" s="136">
        <v>19560</v>
      </c>
      <c r="B24" s="172" t="s">
        <v>181</v>
      </c>
      <c r="C24" s="170"/>
      <c r="D24" s="171">
        <v>0</v>
      </c>
      <c r="E24" s="233"/>
      <c r="F24" s="233"/>
      <c r="G24" s="233"/>
      <c r="H24" s="232">
        <f t="shared" si="1"/>
        <v>0</v>
      </c>
      <c r="I24" s="233">
        <v>0</v>
      </c>
      <c r="J24" s="233"/>
      <c r="K24" s="233"/>
      <c r="L24" s="233"/>
      <c r="M24" s="232">
        <f t="shared" si="3"/>
        <v>0</v>
      </c>
      <c r="N24" s="233">
        <v>0</v>
      </c>
      <c r="O24" s="233"/>
      <c r="P24" s="233"/>
      <c r="Q24" s="233"/>
      <c r="R24" s="232">
        <f t="shared" si="5"/>
        <v>0</v>
      </c>
    </row>
    <row r="25" spans="1:18" s="6" customFormat="1" ht="60" hidden="1" customHeight="1">
      <c r="A25" s="136">
        <v>19570</v>
      </c>
      <c r="B25" s="172" t="s">
        <v>182</v>
      </c>
      <c r="C25" s="170"/>
      <c r="D25" s="171">
        <v>0</v>
      </c>
      <c r="E25" s="233"/>
      <c r="F25" s="233"/>
      <c r="G25" s="233"/>
      <c r="H25" s="232">
        <f t="shared" si="1"/>
        <v>0</v>
      </c>
      <c r="I25" s="233">
        <v>0</v>
      </c>
      <c r="J25" s="233"/>
      <c r="K25" s="233"/>
      <c r="L25" s="233"/>
      <c r="M25" s="232">
        <f t="shared" si="3"/>
        <v>0</v>
      </c>
      <c r="N25" s="233">
        <v>0</v>
      </c>
      <c r="O25" s="233"/>
      <c r="P25" s="233"/>
      <c r="Q25" s="233"/>
      <c r="R25" s="232">
        <f t="shared" si="5"/>
        <v>0</v>
      </c>
    </row>
    <row r="26" spans="1:18" s="6" customFormat="1" ht="24" hidden="1" customHeight="1">
      <c r="A26" s="209" t="s">
        <v>222</v>
      </c>
      <c r="B26" s="208" t="s">
        <v>216</v>
      </c>
      <c r="C26" s="106">
        <v>0</v>
      </c>
      <c r="D26" s="107">
        <v>0</v>
      </c>
      <c r="E26" s="232">
        <f t="shared" ref="E26:L26" si="19">E27</f>
        <v>0</v>
      </c>
      <c r="F26" s="232">
        <f t="shared" si="19"/>
        <v>0</v>
      </c>
      <c r="G26" s="232">
        <f t="shared" si="19"/>
        <v>0</v>
      </c>
      <c r="H26" s="232">
        <f t="shared" si="1"/>
        <v>0</v>
      </c>
      <c r="I26" s="233">
        <v>0</v>
      </c>
      <c r="J26" s="232">
        <f t="shared" si="19"/>
        <v>0</v>
      </c>
      <c r="K26" s="232">
        <f t="shared" si="19"/>
        <v>0</v>
      </c>
      <c r="L26" s="232">
        <f t="shared" si="19"/>
        <v>0</v>
      </c>
      <c r="M26" s="232">
        <f t="shared" si="3"/>
        <v>0</v>
      </c>
      <c r="N26" s="233">
        <v>0</v>
      </c>
      <c r="O26" s="232">
        <f t="shared" ref="O26:Q26" si="20">O27</f>
        <v>0</v>
      </c>
      <c r="P26" s="232">
        <f t="shared" si="20"/>
        <v>0</v>
      </c>
      <c r="Q26" s="232">
        <f t="shared" si="20"/>
        <v>0</v>
      </c>
      <c r="R26" s="232">
        <f t="shared" si="5"/>
        <v>0</v>
      </c>
    </row>
    <row r="27" spans="1:18" s="6" customFormat="1" ht="36" hidden="1" customHeight="1">
      <c r="A27" s="209">
        <v>17100</v>
      </c>
      <c r="B27" s="208" t="s">
        <v>217</v>
      </c>
      <c r="C27" s="106">
        <v>0</v>
      </c>
      <c r="D27" s="107">
        <v>0</v>
      </c>
      <c r="E27" s="232">
        <f t="shared" ref="E27:G27" si="21">SUM(E28:E31)</f>
        <v>0</v>
      </c>
      <c r="F27" s="232">
        <f t="shared" si="21"/>
        <v>0</v>
      </c>
      <c r="G27" s="232">
        <f t="shared" si="21"/>
        <v>0</v>
      </c>
      <c r="H27" s="232">
        <f t="shared" si="1"/>
        <v>0</v>
      </c>
      <c r="I27" s="233">
        <v>0</v>
      </c>
      <c r="J27" s="232">
        <f t="shared" ref="J27:L27" si="22">SUM(J28:J31)</f>
        <v>0</v>
      </c>
      <c r="K27" s="232">
        <f t="shared" si="22"/>
        <v>0</v>
      </c>
      <c r="L27" s="232">
        <f t="shared" si="22"/>
        <v>0</v>
      </c>
      <c r="M27" s="232">
        <f t="shared" si="3"/>
        <v>0</v>
      </c>
      <c r="N27" s="233">
        <v>0</v>
      </c>
      <c r="O27" s="232">
        <f t="shared" ref="O27:Q27" si="23">SUM(O28:O31)</f>
        <v>0</v>
      </c>
      <c r="P27" s="232">
        <f t="shared" si="23"/>
        <v>0</v>
      </c>
      <c r="Q27" s="232">
        <f t="shared" si="23"/>
        <v>0</v>
      </c>
      <c r="R27" s="232">
        <f t="shared" si="5"/>
        <v>0</v>
      </c>
    </row>
    <row r="28" spans="1:18" s="6" customFormat="1" ht="48" hidden="1" customHeight="1">
      <c r="A28" s="149">
        <v>17110</v>
      </c>
      <c r="B28" s="208" t="s">
        <v>218</v>
      </c>
      <c r="C28" s="106"/>
      <c r="D28" s="107">
        <v>0</v>
      </c>
      <c r="E28" s="233"/>
      <c r="F28" s="233"/>
      <c r="G28" s="233"/>
      <c r="H28" s="232">
        <f t="shared" si="1"/>
        <v>0</v>
      </c>
      <c r="I28" s="233">
        <v>0</v>
      </c>
      <c r="J28" s="233"/>
      <c r="K28" s="233"/>
      <c r="L28" s="233"/>
      <c r="M28" s="232">
        <f t="shared" si="3"/>
        <v>0</v>
      </c>
      <c r="N28" s="233">
        <v>0</v>
      </c>
      <c r="O28" s="233"/>
      <c r="P28" s="233"/>
      <c r="Q28" s="233"/>
      <c r="R28" s="232">
        <f t="shared" si="5"/>
        <v>0</v>
      </c>
    </row>
    <row r="29" spans="1:18" s="6" customFormat="1" ht="48" hidden="1" customHeight="1">
      <c r="A29" s="149">
        <v>17120</v>
      </c>
      <c r="B29" s="208" t="s">
        <v>219</v>
      </c>
      <c r="C29" s="106"/>
      <c r="D29" s="107">
        <v>0</v>
      </c>
      <c r="E29" s="233"/>
      <c r="F29" s="233"/>
      <c r="G29" s="233"/>
      <c r="H29" s="232">
        <f t="shared" si="1"/>
        <v>0</v>
      </c>
      <c r="I29" s="233">
        <v>0</v>
      </c>
      <c r="J29" s="233"/>
      <c r="K29" s="233"/>
      <c r="L29" s="233"/>
      <c r="M29" s="232">
        <f t="shared" si="3"/>
        <v>0</v>
      </c>
      <c r="N29" s="233">
        <v>0</v>
      </c>
      <c r="O29" s="233"/>
      <c r="P29" s="233"/>
      <c r="Q29" s="233"/>
      <c r="R29" s="232">
        <f t="shared" si="5"/>
        <v>0</v>
      </c>
    </row>
    <row r="30" spans="1:18" s="6" customFormat="1" ht="96" hidden="1" customHeight="1">
      <c r="A30" s="149">
        <v>17130</v>
      </c>
      <c r="B30" s="208" t="s">
        <v>220</v>
      </c>
      <c r="C30" s="106"/>
      <c r="D30" s="107">
        <v>0</v>
      </c>
      <c r="E30" s="233"/>
      <c r="F30" s="233"/>
      <c r="G30" s="233"/>
      <c r="H30" s="232">
        <f t="shared" si="1"/>
        <v>0</v>
      </c>
      <c r="I30" s="233">
        <v>0</v>
      </c>
      <c r="J30" s="233"/>
      <c r="K30" s="233"/>
      <c r="L30" s="233"/>
      <c r="M30" s="232">
        <f t="shared" si="3"/>
        <v>0</v>
      </c>
      <c r="N30" s="233">
        <v>0</v>
      </c>
      <c r="O30" s="233"/>
      <c r="P30" s="233"/>
      <c r="Q30" s="233"/>
      <c r="R30" s="232">
        <f t="shared" si="5"/>
        <v>0</v>
      </c>
    </row>
    <row r="31" spans="1:18" s="6" customFormat="1" ht="96" hidden="1" customHeight="1">
      <c r="A31" s="149">
        <v>17140</v>
      </c>
      <c r="B31" s="208" t="s">
        <v>221</v>
      </c>
      <c r="C31" s="106"/>
      <c r="D31" s="107">
        <v>0</v>
      </c>
      <c r="E31" s="233"/>
      <c r="F31" s="233"/>
      <c r="G31" s="233"/>
      <c r="H31" s="232">
        <f t="shared" si="1"/>
        <v>0</v>
      </c>
      <c r="I31" s="233">
        <v>0</v>
      </c>
      <c r="J31" s="233"/>
      <c r="K31" s="233"/>
      <c r="L31" s="233"/>
      <c r="M31" s="232">
        <f t="shared" si="3"/>
        <v>0</v>
      </c>
      <c r="N31" s="233">
        <v>0</v>
      </c>
      <c r="O31" s="233"/>
      <c r="P31" s="233"/>
      <c r="Q31" s="233"/>
      <c r="R31" s="232">
        <f t="shared" si="5"/>
        <v>0</v>
      </c>
    </row>
    <row r="32" spans="1:18" s="6" customFormat="1" ht="12">
      <c r="A32" s="137">
        <v>21700</v>
      </c>
      <c r="B32" s="124" t="s">
        <v>97</v>
      </c>
      <c r="C32" s="170">
        <v>2929858</v>
      </c>
      <c r="D32" s="171">
        <v>2932670</v>
      </c>
      <c r="E32" s="233">
        <f>E33+E34</f>
        <v>0</v>
      </c>
      <c r="F32" s="233">
        <f t="shared" ref="F32" si="24">F33+F34</f>
        <v>0</v>
      </c>
      <c r="G32" s="233">
        <f>G116</f>
        <v>252521</v>
      </c>
      <c r="H32" s="232">
        <f t="shared" si="1"/>
        <v>3185191</v>
      </c>
      <c r="I32" s="233">
        <v>2932670</v>
      </c>
      <c r="J32" s="233">
        <f>J33+J34</f>
        <v>0</v>
      </c>
      <c r="K32" s="233">
        <f t="shared" ref="K32" si="25">K33+K34</f>
        <v>0</v>
      </c>
      <c r="L32" s="233">
        <f>L116</f>
        <v>252521</v>
      </c>
      <c r="M32" s="232">
        <f t="shared" si="3"/>
        <v>3185191</v>
      </c>
      <c r="N32" s="233">
        <v>2932670</v>
      </c>
      <c r="O32" s="233">
        <f>O33+O34</f>
        <v>0</v>
      </c>
      <c r="P32" s="233">
        <f t="shared" ref="P32" si="26">P33+P34</f>
        <v>0</v>
      </c>
      <c r="Q32" s="233">
        <f>Q116</f>
        <v>252521</v>
      </c>
      <c r="R32" s="232">
        <f t="shared" si="5"/>
        <v>3185191</v>
      </c>
    </row>
    <row r="33" spans="1:18" s="6" customFormat="1" ht="12">
      <c r="A33" s="138">
        <v>21710</v>
      </c>
      <c r="B33" s="125" t="s">
        <v>98</v>
      </c>
      <c r="C33" s="170">
        <v>2929858</v>
      </c>
      <c r="D33" s="171">
        <v>2932670</v>
      </c>
      <c r="E33" s="233"/>
      <c r="F33" s="233"/>
      <c r="G33" s="233">
        <f>G117</f>
        <v>252521</v>
      </c>
      <c r="H33" s="232">
        <f t="shared" si="1"/>
        <v>3185191</v>
      </c>
      <c r="I33" s="233">
        <v>2932670</v>
      </c>
      <c r="J33" s="233"/>
      <c r="K33" s="233"/>
      <c r="L33" s="233">
        <f>L117</f>
        <v>252521</v>
      </c>
      <c r="M33" s="232">
        <f t="shared" si="3"/>
        <v>3185191</v>
      </c>
      <c r="N33" s="233">
        <v>2932670</v>
      </c>
      <c r="O33" s="233"/>
      <c r="P33" s="233"/>
      <c r="Q33" s="233">
        <f>Q117</f>
        <v>252521</v>
      </c>
      <c r="R33" s="232">
        <f t="shared" si="5"/>
        <v>3185191</v>
      </c>
    </row>
    <row r="34" spans="1:18" s="6" customFormat="1" ht="24" hidden="1" customHeight="1">
      <c r="A34" s="138">
        <v>21720</v>
      </c>
      <c r="B34" s="125" t="s">
        <v>99</v>
      </c>
      <c r="C34" s="170"/>
      <c r="D34" s="171">
        <v>0</v>
      </c>
      <c r="E34" s="233"/>
      <c r="F34" s="233"/>
      <c r="G34" s="233"/>
      <c r="H34" s="232">
        <f t="shared" si="1"/>
        <v>0</v>
      </c>
      <c r="I34" s="233">
        <v>0</v>
      </c>
      <c r="J34" s="233"/>
      <c r="K34" s="233"/>
      <c r="L34" s="233"/>
      <c r="M34" s="232">
        <f t="shared" si="3"/>
        <v>0</v>
      </c>
      <c r="N34" s="233">
        <v>0</v>
      </c>
      <c r="O34" s="233"/>
      <c r="P34" s="233"/>
      <c r="Q34" s="233"/>
      <c r="R34" s="232">
        <f t="shared" si="5"/>
        <v>0</v>
      </c>
    </row>
    <row r="35" spans="1:18" s="6" customFormat="1" ht="11.4">
      <c r="A35" s="129" t="s">
        <v>100</v>
      </c>
      <c r="B35" s="123" t="s">
        <v>101</v>
      </c>
      <c r="C35" s="168">
        <v>2931358</v>
      </c>
      <c r="D35" s="175">
        <v>2934170</v>
      </c>
      <c r="E35" s="243">
        <f t="shared" ref="E35:F35" si="27">E36+E63</f>
        <v>0</v>
      </c>
      <c r="F35" s="243">
        <f t="shared" si="27"/>
        <v>0</v>
      </c>
      <c r="G35" s="243">
        <f t="shared" ref="G35:G40" si="28">G119</f>
        <v>252521</v>
      </c>
      <c r="H35" s="229">
        <f t="shared" si="1"/>
        <v>3186691</v>
      </c>
      <c r="I35" s="243">
        <v>2934170</v>
      </c>
      <c r="J35" s="243">
        <f t="shared" ref="J35:K35" si="29">J36+J63</f>
        <v>0</v>
      </c>
      <c r="K35" s="243">
        <f t="shared" si="29"/>
        <v>0</v>
      </c>
      <c r="L35" s="243">
        <f t="shared" ref="L35:L40" si="30">L119</f>
        <v>252521</v>
      </c>
      <c r="M35" s="229">
        <f t="shared" si="3"/>
        <v>3186691</v>
      </c>
      <c r="N35" s="243">
        <v>2934170</v>
      </c>
      <c r="O35" s="243">
        <f t="shared" ref="O35:P35" si="31">O36+O63</f>
        <v>0</v>
      </c>
      <c r="P35" s="243">
        <f t="shared" si="31"/>
        <v>0</v>
      </c>
      <c r="Q35" s="243">
        <f t="shared" ref="Q35:Q40" si="32">Q119</f>
        <v>252521</v>
      </c>
      <c r="R35" s="229">
        <f t="shared" si="5"/>
        <v>3186691</v>
      </c>
    </row>
    <row r="36" spans="1:18" s="6" customFormat="1" ht="20.399999999999999">
      <c r="A36" s="130" t="s">
        <v>102</v>
      </c>
      <c r="B36" s="124" t="s">
        <v>103</v>
      </c>
      <c r="C36" s="170">
        <v>2931358</v>
      </c>
      <c r="D36" s="171">
        <v>2934170</v>
      </c>
      <c r="E36" s="233">
        <f>E37+E41+E42+E45+E48</f>
        <v>0</v>
      </c>
      <c r="F36" s="233">
        <f t="shared" ref="F36" si="33">F37+F41+F42+F45+F48</f>
        <v>0</v>
      </c>
      <c r="G36" s="233">
        <f t="shared" si="28"/>
        <v>252521</v>
      </c>
      <c r="H36" s="232">
        <f t="shared" si="1"/>
        <v>3186691</v>
      </c>
      <c r="I36" s="233">
        <v>2934170</v>
      </c>
      <c r="J36" s="233">
        <f>J37+J41+J42+J45+J48</f>
        <v>0</v>
      </c>
      <c r="K36" s="233">
        <f t="shared" ref="K36" si="34">K37+K41+K42+K45+K48</f>
        <v>0</v>
      </c>
      <c r="L36" s="233">
        <f t="shared" si="30"/>
        <v>252521</v>
      </c>
      <c r="M36" s="232">
        <f t="shared" si="3"/>
        <v>3186691</v>
      </c>
      <c r="N36" s="233">
        <v>2934170</v>
      </c>
      <c r="O36" s="233">
        <f>O37+O41+O42+O45+O48</f>
        <v>0</v>
      </c>
      <c r="P36" s="233">
        <f t="shared" ref="P36" si="35">P37+P41+P42+P45+P48</f>
        <v>0</v>
      </c>
      <c r="Q36" s="233">
        <f t="shared" si="32"/>
        <v>252521</v>
      </c>
      <c r="R36" s="232">
        <f t="shared" si="5"/>
        <v>3186691</v>
      </c>
    </row>
    <row r="37" spans="1:18" s="6" customFormat="1" ht="12">
      <c r="A37" s="130" t="s">
        <v>104</v>
      </c>
      <c r="B37" s="124" t="s">
        <v>105</v>
      </c>
      <c r="C37" s="170">
        <v>2928195</v>
      </c>
      <c r="D37" s="171">
        <v>2928195</v>
      </c>
      <c r="E37" s="233">
        <f>E38+E40</f>
        <v>0</v>
      </c>
      <c r="F37" s="233">
        <f t="shared" ref="F37" si="36">F38+F40</f>
        <v>0</v>
      </c>
      <c r="G37" s="233">
        <f t="shared" si="28"/>
        <v>252521</v>
      </c>
      <c r="H37" s="232">
        <f t="shared" si="1"/>
        <v>3180716</v>
      </c>
      <c r="I37" s="233">
        <v>2928195</v>
      </c>
      <c r="J37" s="233">
        <f>J38+J40</f>
        <v>0</v>
      </c>
      <c r="K37" s="233">
        <f t="shared" ref="K37" si="37">K38+K40</f>
        <v>0</v>
      </c>
      <c r="L37" s="233">
        <f t="shared" si="30"/>
        <v>252521</v>
      </c>
      <c r="M37" s="232">
        <f t="shared" si="3"/>
        <v>3180716</v>
      </c>
      <c r="N37" s="233">
        <v>2928195</v>
      </c>
      <c r="O37" s="233">
        <f>O38+O40</f>
        <v>0</v>
      </c>
      <c r="P37" s="233">
        <f t="shared" ref="P37" si="38">P38+P40</f>
        <v>0</v>
      </c>
      <c r="Q37" s="233">
        <f t="shared" si="32"/>
        <v>252521</v>
      </c>
      <c r="R37" s="232">
        <f t="shared" si="5"/>
        <v>3180716</v>
      </c>
    </row>
    <row r="38" spans="1:18" s="6" customFormat="1" ht="12">
      <c r="A38" s="132">
        <v>1000</v>
      </c>
      <c r="B38" s="125" t="s">
        <v>106</v>
      </c>
      <c r="C38" s="170">
        <v>2743175</v>
      </c>
      <c r="D38" s="171">
        <v>2743175</v>
      </c>
      <c r="E38" s="244"/>
      <c r="F38" s="244"/>
      <c r="G38" s="233">
        <f t="shared" si="28"/>
        <v>227699</v>
      </c>
      <c r="H38" s="232">
        <f t="shared" si="1"/>
        <v>2970874</v>
      </c>
      <c r="I38" s="233">
        <v>2743175</v>
      </c>
      <c r="J38" s="244"/>
      <c r="K38" s="244"/>
      <c r="L38" s="233">
        <f t="shared" si="30"/>
        <v>227699</v>
      </c>
      <c r="M38" s="232">
        <f t="shared" si="3"/>
        <v>2970874</v>
      </c>
      <c r="N38" s="233">
        <v>2743175</v>
      </c>
      <c r="O38" s="244"/>
      <c r="P38" s="244"/>
      <c r="Q38" s="233">
        <f t="shared" si="32"/>
        <v>227699</v>
      </c>
      <c r="R38" s="232">
        <f t="shared" si="5"/>
        <v>2970874</v>
      </c>
    </row>
    <row r="39" spans="1:18" s="6" customFormat="1" ht="12">
      <c r="A39" s="139">
        <v>1100</v>
      </c>
      <c r="B39" s="125" t="s">
        <v>107</v>
      </c>
      <c r="C39" s="170">
        <v>2197819</v>
      </c>
      <c r="D39" s="171">
        <v>2197819</v>
      </c>
      <c r="E39" s="244"/>
      <c r="F39" s="244"/>
      <c r="G39" s="233">
        <f t="shared" si="28"/>
        <v>145297</v>
      </c>
      <c r="H39" s="232">
        <f t="shared" si="1"/>
        <v>2343116</v>
      </c>
      <c r="I39" s="233">
        <v>2197819</v>
      </c>
      <c r="J39" s="244"/>
      <c r="K39" s="244"/>
      <c r="L39" s="233">
        <f t="shared" si="30"/>
        <v>145297</v>
      </c>
      <c r="M39" s="232">
        <f t="shared" si="3"/>
        <v>2343116</v>
      </c>
      <c r="N39" s="233">
        <v>2197819</v>
      </c>
      <c r="O39" s="244"/>
      <c r="P39" s="244"/>
      <c r="Q39" s="233">
        <f t="shared" si="32"/>
        <v>145297</v>
      </c>
      <c r="R39" s="232">
        <f t="shared" si="5"/>
        <v>2343116</v>
      </c>
    </row>
    <row r="40" spans="1:18" s="6" customFormat="1" ht="12">
      <c r="A40" s="132">
        <v>2000</v>
      </c>
      <c r="B40" s="125" t="s">
        <v>108</v>
      </c>
      <c r="C40" s="170">
        <v>185020</v>
      </c>
      <c r="D40" s="171">
        <v>185020</v>
      </c>
      <c r="E40" s="244"/>
      <c r="F40" s="244"/>
      <c r="G40" s="233">
        <f t="shared" si="28"/>
        <v>24822</v>
      </c>
      <c r="H40" s="232">
        <f t="shared" si="1"/>
        <v>209842</v>
      </c>
      <c r="I40" s="233">
        <v>185020</v>
      </c>
      <c r="J40" s="244"/>
      <c r="K40" s="244"/>
      <c r="L40" s="233">
        <f t="shared" si="30"/>
        <v>24822</v>
      </c>
      <c r="M40" s="232">
        <f t="shared" si="3"/>
        <v>209842</v>
      </c>
      <c r="N40" s="233">
        <v>185020</v>
      </c>
      <c r="O40" s="244"/>
      <c r="P40" s="244"/>
      <c r="Q40" s="233">
        <f t="shared" si="32"/>
        <v>24822</v>
      </c>
      <c r="R40" s="232">
        <f t="shared" si="5"/>
        <v>209842</v>
      </c>
    </row>
    <row r="41" spans="1:18" s="6" customFormat="1" ht="12" hidden="1" customHeight="1">
      <c r="A41" s="140">
        <v>4000</v>
      </c>
      <c r="B41" s="124" t="s">
        <v>132</v>
      </c>
      <c r="C41" s="170"/>
      <c r="D41" s="171">
        <v>0</v>
      </c>
      <c r="E41" s="244"/>
      <c r="F41" s="244"/>
      <c r="G41" s="244"/>
      <c r="H41" s="232">
        <f t="shared" si="1"/>
        <v>0</v>
      </c>
      <c r="I41" s="233">
        <v>0</v>
      </c>
      <c r="J41" s="244"/>
      <c r="K41" s="244"/>
      <c r="L41" s="244"/>
      <c r="M41" s="232">
        <f t="shared" si="3"/>
        <v>0</v>
      </c>
      <c r="N41" s="233">
        <v>0</v>
      </c>
      <c r="O41" s="244"/>
      <c r="P41" s="244"/>
      <c r="Q41" s="244"/>
      <c r="R41" s="232">
        <f t="shared" si="5"/>
        <v>0</v>
      </c>
    </row>
    <row r="42" spans="1:18" s="6" customFormat="1" ht="12" hidden="1" customHeight="1">
      <c r="A42" s="140" t="s">
        <v>109</v>
      </c>
      <c r="B42" s="124" t="s">
        <v>110</v>
      </c>
      <c r="C42" s="170">
        <v>0</v>
      </c>
      <c r="D42" s="171">
        <v>0</v>
      </c>
      <c r="E42" s="233">
        <f>E43+E44</f>
        <v>0</v>
      </c>
      <c r="F42" s="233">
        <f t="shared" ref="F42:G42" si="39">F43+F44</f>
        <v>0</v>
      </c>
      <c r="G42" s="233">
        <f t="shared" si="39"/>
        <v>0</v>
      </c>
      <c r="H42" s="232">
        <f t="shared" si="1"/>
        <v>0</v>
      </c>
      <c r="I42" s="233">
        <v>0</v>
      </c>
      <c r="J42" s="233">
        <f>J43+J44</f>
        <v>0</v>
      </c>
      <c r="K42" s="233">
        <f t="shared" ref="K42:L42" si="40">K43+K44</f>
        <v>0</v>
      </c>
      <c r="L42" s="233">
        <f t="shared" si="40"/>
        <v>0</v>
      </c>
      <c r="M42" s="232">
        <f t="shared" si="3"/>
        <v>0</v>
      </c>
      <c r="N42" s="233">
        <v>0</v>
      </c>
      <c r="O42" s="233">
        <f>O43+O44</f>
        <v>0</v>
      </c>
      <c r="P42" s="233">
        <f t="shared" ref="P42:Q42" si="41">P43+P44</f>
        <v>0</v>
      </c>
      <c r="Q42" s="233">
        <f t="shared" si="41"/>
        <v>0</v>
      </c>
      <c r="R42" s="232">
        <f t="shared" si="5"/>
        <v>0</v>
      </c>
    </row>
    <row r="43" spans="1:18" s="6" customFormat="1" ht="12" hidden="1" customHeight="1">
      <c r="A43" s="132">
        <v>3000</v>
      </c>
      <c r="B43" s="125" t="s">
        <v>111</v>
      </c>
      <c r="C43" s="202"/>
      <c r="D43" s="213">
        <v>0</v>
      </c>
      <c r="E43" s="246"/>
      <c r="F43" s="246"/>
      <c r="G43" s="246"/>
      <c r="H43" s="232">
        <f t="shared" si="1"/>
        <v>0</v>
      </c>
      <c r="I43" s="345">
        <v>0</v>
      </c>
      <c r="J43" s="246"/>
      <c r="K43" s="246"/>
      <c r="L43" s="246"/>
      <c r="M43" s="232">
        <f t="shared" si="3"/>
        <v>0</v>
      </c>
      <c r="N43" s="345">
        <v>0</v>
      </c>
      <c r="O43" s="246"/>
      <c r="P43" s="246"/>
      <c r="Q43" s="246"/>
      <c r="R43" s="232">
        <f t="shared" si="5"/>
        <v>0</v>
      </c>
    </row>
    <row r="44" spans="1:18" s="6" customFormat="1" ht="12" hidden="1" customHeight="1">
      <c r="A44" s="132">
        <v>6000</v>
      </c>
      <c r="B44" s="125" t="s">
        <v>112</v>
      </c>
      <c r="C44" s="203"/>
      <c r="D44" s="287">
        <v>0</v>
      </c>
      <c r="E44" s="248"/>
      <c r="F44" s="248"/>
      <c r="G44" s="248"/>
      <c r="H44" s="232">
        <f t="shared" si="1"/>
        <v>0</v>
      </c>
      <c r="I44" s="346">
        <v>0</v>
      </c>
      <c r="J44" s="248"/>
      <c r="K44" s="248"/>
      <c r="L44" s="248"/>
      <c r="M44" s="232">
        <f t="shared" si="3"/>
        <v>0</v>
      </c>
      <c r="N44" s="346">
        <v>0</v>
      </c>
      <c r="O44" s="248"/>
      <c r="P44" s="248"/>
      <c r="Q44" s="248"/>
      <c r="R44" s="232">
        <f t="shared" si="5"/>
        <v>0</v>
      </c>
    </row>
    <row r="45" spans="1:18" s="6" customFormat="1" ht="22.8">
      <c r="A45" s="140" t="s">
        <v>113</v>
      </c>
      <c r="B45" s="124" t="s">
        <v>183</v>
      </c>
      <c r="C45" s="170">
        <v>3163</v>
      </c>
      <c r="D45" s="171">
        <v>5975</v>
      </c>
      <c r="E45" s="233">
        <f>E46+E47</f>
        <v>0</v>
      </c>
      <c r="F45" s="233">
        <f t="shared" ref="F45:G45" si="42">F46+F47</f>
        <v>0</v>
      </c>
      <c r="G45" s="233">
        <f t="shared" si="42"/>
        <v>0</v>
      </c>
      <c r="H45" s="232">
        <f t="shared" si="1"/>
        <v>5975</v>
      </c>
      <c r="I45" s="233">
        <v>5975</v>
      </c>
      <c r="J45" s="233">
        <f>J46+J47</f>
        <v>0</v>
      </c>
      <c r="K45" s="233">
        <f t="shared" ref="K45:L45" si="43">K46+K47</f>
        <v>0</v>
      </c>
      <c r="L45" s="233">
        <f t="shared" si="43"/>
        <v>0</v>
      </c>
      <c r="M45" s="232">
        <f t="shared" si="3"/>
        <v>5975</v>
      </c>
      <c r="N45" s="233">
        <v>5975</v>
      </c>
      <c r="O45" s="233">
        <f>O46+O47</f>
        <v>0</v>
      </c>
      <c r="P45" s="233">
        <f t="shared" ref="P45:Q45" si="44">P46+P47</f>
        <v>0</v>
      </c>
      <c r="Q45" s="233">
        <f t="shared" si="44"/>
        <v>0</v>
      </c>
      <c r="R45" s="232">
        <f t="shared" si="5"/>
        <v>5975</v>
      </c>
    </row>
    <row r="46" spans="1:18" s="6" customFormat="1" ht="12" hidden="1" customHeight="1">
      <c r="A46" s="132">
        <v>7600</v>
      </c>
      <c r="B46" s="179" t="s">
        <v>184</v>
      </c>
      <c r="C46" s="170"/>
      <c r="D46" s="171">
        <v>0</v>
      </c>
      <c r="E46" s="244"/>
      <c r="F46" s="244"/>
      <c r="G46" s="244"/>
      <c r="H46" s="232">
        <f t="shared" si="1"/>
        <v>0</v>
      </c>
      <c r="I46" s="233">
        <v>0</v>
      </c>
      <c r="J46" s="244"/>
      <c r="K46" s="244"/>
      <c r="L46" s="244"/>
      <c r="M46" s="232">
        <f t="shared" si="3"/>
        <v>0</v>
      </c>
      <c r="N46" s="233">
        <v>0</v>
      </c>
      <c r="O46" s="244"/>
      <c r="P46" s="244"/>
      <c r="Q46" s="244"/>
      <c r="R46" s="232">
        <f t="shared" si="5"/>
        <v>0</v>
      </c>
    </row>
    <row r="47" spans="1:18" s="6" customFormat="1" ht="12">
      <c r="A47" s="132">
        <v>7700</v>
      </c>
      <c r="B47" s="126" t="s">
        <v>114</v>
      </c>
      <c r="C47" s="170">
        <v>3163</v>
      </c>
      <c r="D47" s="171">
        <v>5975</v>
      </c>
      <c r="E47" s="244"/>
      <c r="F47" s="244"/>
      <c r="G47" s="244"/>
      <c r="H47" s="232">
        <f t="shared" si="1"/>
        <v>5975</v>
      </c>
      <c r="I47" s="233">
        <v>5975</v>
      </c>
      <c r="J47" s="244"/>
      <c r="K47" s="244"/>
      <c r="L47" s="244"/>
      <c r="M47" s="232">
        <f t="shared" si="3"/>
        <v>5975</v>
      </c>
      <c r="N47" s="233">
        <v>5975</v>
      </c>
      <c r="O47" s="244"/>
      <c r="P47" s="244"/>
      <c r="Q47" s="244"/>
      <c r="R47" s="232">
        <f t="shared" si="5"/>
        <v>5975</v>
      </c>
    </row>
    <row r="48" spans="1:18" s="6" customFormat="1" ht="21" hidden="1" customHeight="1">
      <c r="A48" s="140" t="s">
        <v>185</v>
      </c>
      <c r="B48" s="124" t="s">
        <v>115</v>
      </c>
      <c r="C48" s="170">
        <v>0</v>
      </c>
      <c r="D48" s="171">
        <v>0</v>
      </c>
      <c r="E48" s="233">
        <f t="shared" ref="E48:G48" si="45">E49+E55+E59+E62</f>
        <v>0</v>
      </c>
      <c r="F48" s="233">
        <f t="shared" si="45"/>
        <v>0</v>
      </c>
      <c r="G48" s="233">
        <f t="shared" si="45"/>
        <v>0</v>
      </c>
      <c r="H48" s="232">
        <f t="shared" si="1"/>
        <v>0</v>
      </c>
      <c r="I48" s="233">
        <v>0</v>
      </c>
      <c r="J48" s="233">
        <f t="shared" ref="J48:L48" si="46">J49+J55+J59+J62</f>
        <v>0</v>
      </c>
      <c r="K48" s="233">
        <f t="shared" si="46"/>
        <v>0</v>
      </c>
      <c r="L48" s="233">
        <f t="shared" si="46"/>
        <v>0</v>
      </c>
      <c r="M48" s="232">
        <f t="shared" si="3"/>
        <v>0</v>
      </c>
      <c r="N48" s="233">
        <v>0</v>
      </c>
      <c r="O48" s="233">
        <f t="shared" ref="O48:Q48" si="47">O49+O55+O59+O62</f>
        <v>0</v>
      </c>
      <c r="P48" s="233">
        <f t="shared" si="47"/>
        <v>0</v>
      </c>
      <c r="Q48" s="233">
        <f t="shared" si="47"/>
        <v>0</v>
      </c>
      <c r="R48" s="232">
        <f t="shared" si="5"/>
        <v>0</v>
      </c>
    </row>
    <row r="49" spans="1:18" s="6" customFormat="1" ht="12" hidden="1" customHeight="1">
      <c r="A49" s="132">
        <v>7100</v>
      </c>
      <c r="B49" s="179" t="s">
        <v>116</v>
      </c>
      <c r="C49" s="170">
        <v>0</v>
      </c>
      <c r="D49" s="171">
        <v>0</v>
      </c>
      <c r="E49" s="233">
        <f>E50+E51</f>
        <v>0</v>
      </c>
      <c r="F49" s="233">
        <f t="shared" ref="F49:G49" si="48">F50+F51</f>
        <v>0</v>
      </c>
      <c r="G49" s="233">
        <f t="shared" si="48"/>
        <v>0</v>
      </c>
      <c r="H49" s="232">
        <f t="shared" si="1"/>
        <v>0</v>
      </c>
      <c r="I49" s="233">
        <v>0</v>
      </c>
      <c r="J49" s="233">
        <f>J50+J51</f>
        <v>0</v>
      </c>
      <c r="K49" s="233">
        <f t="shared" ref="K49:L49" si="49">K50+K51</f>
        <v>0</v>
      </c>
      <c r="L49" s="233">
        <f t="shared" si="49"/>
        <v>0</v>
      </c>
      <c r="M49" s="232">
        <f t="shared" si="3"/>
        <v>0</v>
      </c>
      <c r="N49" s="233">
        <v>0</v>
      </c>
      <c r="O49" s="233">
        <f>O50+O51</f>
        <v>0</v>
      </c>
      <c r="P49" s="233">
        <f t="shared" ref="P49:Q49" si="50">P50+P51</f>
        <v>0</v>
      </c>
      <c r="Q49" s="233">
        <f t="shared" si="50"/>
        <v>0</v>
      </c>
      <c r="R49" s="232">
        <f t="shared" si="5"/>
        <v>0</v>
      </c>
    </row>
    <row r="50" spans="1:18" s="6" customFormat="1" ht="24" hidden="1" customHeight="1">
      <c r="A50" s="133" t="s">
        <v>117</v>
      </c>
      <c r="B50" s="179" t="s">
        <v>118</v>
      </c>
      <c r="C50" s="170"/>
      <c r="D50" s="171">
        <v>0</v>
      </c>
      <c r="E50" s="233"/>
      <c r="F50" s="233"/>
      <c r="G50" s="233"/>
      <c r="H50" s="232">
        <f t="shared" si="1"/>
        <v>0</v>
      </c>
      <c r="I50" s="233">
        <v>0</v>
      </c>
      <c r="J50" s="233"/>
      <c r="K50" s="233"/>
      <c r="L50" s="233"/>
      <c r="M50" s="232">
        <f t="shared" si="3"/>
        <v>0</v>
      </c>
      <c r="N50" s="233">
        <v>0</v>
      </c>
      <c r="O50" s="233"/>
      <c r="P50" s="233"/>
      <c r="Q50" s="233"/>
      <c r="R50" s="232">
        <f t="shared" si="5"/>
        <v>0</v>
      </c>
    </row>
    <row r="51" spans="1:18" s="6" customFormat="1" ht="24" hidden="1" customHeight="1">
      <c r="A51" s="133">
        <v>7130</v>
      </c>
      <c r="B51" s="179" t="s">
        <v>119</v>
      </c>
      <c r="C51" s="170">
        <v>0</v>
      </c>
      <c r="D51" s="171">
        <v>0</v>
      </c>
      <c r="E51" s="233">
        <f>SUM(E52:E54)</f>
        <v>0</v>
      </c>
      <c r="F51" s="233">
        <f t="shared" ref="F51:G51" si="51">SUM(F52:F54)</f>
        <v>0</v>
      </c>
      <c r="G51" s="233">
        <f t="shared" si="51"/>
        <v>0</v>
      </c>
      <c r="H51" s="232">
        <f t="shared" si="1"/>
        <v>0</v>
      </c>
      <c r="I51" s="233">
        <v>0</v>
      </c>
      <c r="J51" s="233">
        <f>SUM(J52:J54)</f>
        <v>0</v>
      </c>
      <c r="K51" s="233">
        <f t="shared" ref="K51:L51" si="52">SUM(K52:K54)</f>
        <v>0</v>
      </c>
      <c r="L51" s="233">
        <f t="shared" si="52"/>
        <v>0</v>
      </c>
      <c r="M51" s="232">
        <f t="shared" si="3"/>
        <v>0</v>
      </c>
      <c r="N51" s="233">
        <v>0</v>
      </c>
      <c r="O51" s="233">
        <f>SUM(O52:O54)</f>
        <v>0</v>
      </c>
      <c r="P51" s="233">
        <f t="shared" ref="P51:Q51" si="53">SUM(P52:P54)</f>
        <v>0</v>
      </c>
      <c r="Q51" s="233">
        <f t="shared" si="53"/>
        <v>0</v>
      </c>
      <c r="R51" s="232">
        <f t="shared" si="5"/>
        <v>0</v>
      </c>
    </row>
    <row r="52" spans="1:18" s="6" customFormat="1" ht="36" hidden="1" customHeight="1">
      <c r="A52" s="134">
        <v>7131</v>
      </c>
      <c r="B52" s="179" t="s">
        <v>120</v>
      </c>
      <c r="C52" s="170"/>
      <c r="D52" s="171">
        <v>0</v>
      </c>
      <c r="E52" s="233"/>
      <c r="F52" s="233"/>
      <c r="G52" s="233"/>
      <c r="H52" s="232">
        <f t="shared" si="1"/>
        <v>0</v>
      </c>
      <c r="I52" s="233">
        <v>0</v>
      </c>
      <c r="J52" s="233"/>
      <c r="K52" s="233"/>
      <c r="L52" s="233"/>
      <c r="M52" s="232">
        <f t="shared" si="3"/>
        <v>0</v>
      </c>
      <c r="N52" s="233">
        <v>0</v>
      </c>
      <c r="O52" s="233"/>
      <c r="P52" s="233"/>
      <c r="Q52" s="233"/>
      <c r="R52" s="232">
        <f t="shared" si="5"/>
        <v>0</v>
      </c>
    </row>
    <row r="53" spans="1:18" s="6" customFormat="1" ht="36" hidden="1" customHeight="1">
      <c r="A53" s="134">
        <v>7132</v>
      </c>
      <c r="B53" s="179" t="s">
        <v>121</v>
      </c>
      <c r="C53" s="170"/>
      <c r="D53" s="171">
        <v>0</v>
      </c>
      <c r="E53" s="233"/>
      <c r="F53" s="233"/>
      <c r="G53" s="233"/>
      <c r="H53" s="232">
        <f t="shared" si="1"/>
        <v>0</v>
      </c>
      <c r="I53" s="233">
        <v>0</v>
      </c>
      <c r="J53" s="233"/>
      <c r="K53" s="233"/>
      <c r="L53" s="233"/>
      <c r="M53" s="232">
        <f t="shared" si="3"/>
        <v>0</v>
      </c>
      <c r="N53" s="233">
        <v>0</v>
      </c>
      <c r="O53" s="233"/>
      <c r="P53" s="233"/>
      <c r="Q53" s="233"/>
      <c r="R53" s="232">
        <f t="shared" si="5"/>
        <v>0</v>
      </c>
    </row>
    <row r="54" spans="1:18" s="6" customFormat="1" ht="24" hidden="1" customHeight="1">
      <c r="A54" s="134" t="s">
        <v>186</v>
      </c>
      <c r="B54" s="179" t="s">
        <v>187</v>
      </c>
      <c r="C54" s="170"/>
      <c r="D54" s="171">
        <v>0</v>
      </c>
      <c r="E54" s="233"/>
      <c r="F54" s="233"/>
      <c r="G54" s="233"/>
      <c r="H54" s="232">
        <f t="shared" si="1"/>
        <v>0</v>
      </c>
      <c r="I54" s="233">
        <v>0</v>
      </c>
      <c r="J54" s="233"/>
      <c r="K54" s="233"/>
      <c r="L54" s="233"/>
      <c r="M54" s="232">
        <f t="shared" si="3"/>
        <v>0</v>
      </c>
      <c r="N54" s="233">
        <v>0</v>
      </c>
      <c r="O54" s="233"/>
      <c r="P54" s="233"/>
      <c r="Q54" s="233"/>
      <c r="R54" s="232">
        <f t="shared" si="5"/>
        <v>0</v>
      </c>
    </row>
    <row r="55" spans="1:18" s="6" customFormat="1" ht="24" hidden="1" customHeight="1">
      <c r="A55" s="132">
        <v>7300</v>
      </c>
      <c r="B55" s="172" t="s">
        <v>155</v>
      </c>
      <c r="C55" s="170">
        <v>0</v>
      </c>
      <c r="D55" s="171">
        <v>0</v>
      </c>
      <c r="E55" s="233">
        <f>SUM(E56:E58)</f>
        <v>0</v>
      </c>
      <c r="F55" s="233">
        <f t="shared" ref="F55:G55" si="54">SUM(F56:F58)</f>
        <v>0</v>
      </c>
      <c r="G55" s="233">
        <f t="shared" si="54"/>
        <v>0</v>
      </c>
      <c r="H55" s="232">
        <f t="shared" si="1"/>
        <v>0</v>
      </c>
      <c r="I55" s="233">
        <v>0</v>
      </c>
      <c r="J55" s="233">
        <f>SUM(J56:J58)</f>
        <v>0</v>
      </c>
      <c r="K55" s="233">
        <f t="shared" ref="K55:L55" si="55">SUM(K56:K58)</f>
        <v>0</v>
      </c>
      <c r="L55" s="233">
        <f t="shared" si="55"/>
        <v>0</v>
      </c>
      <c r="M55" s="232">
        <f t="shared" si="3"/>
        <v>0</v>
      </c>
      <c r="N55" s="233">
        <v>0</v>
      </c>
      <c r="O55" s="233">
        <f>SUM(O56:O58)</f>
        <v>0</v>
      </c>
      <c r="P55" s="233">
        <f t="shared" ref="P55:Q55" si="56">SUM(P56:P58)</f>
        <v>0</v>
      </c>
      <c r="Q55" s="233">
        <f t="shared" si="56"/>
        <v>0</v>
      </c>
      <c r="R55" s="232">
        <f t="shared" si="5"/>
        <v>0</v>
      </c>
    </row>
    <row r="56" spans="1:18" s="6" customFormat="1" ht="24" hidden="1" customHeight="1">
      <c r="A56" s="133" t="s">
        <v>188</v>
      </c>
      <c r="B56" s="179" t="s">
        <v>170</v>
      </c>
      <c r="C56" s="204"/>
      <c r="D56" s="180">
        <v>0</v>
      </c>
      <c r="E56" s="252"/>
      <c r="F56" s="252"/>
      <c r="G56" s="252"/>
      <c r="H56" s="232">
        <f t="shared" si="1"/>
        <v>0</v>
      </c>
      <c r="I56" s="252">
        <v>0</v>
      </c>
      <c r="J56" s="252"/>
      <c r="K56" s="252"/>
      <c r="L56" s="252"/>
      <c r="M56" s="232">
        <f t="shared" si="3"/>
        <v>0</v>
      </c>
      <c r="N56" s="252">
        <v>0</v>
      </c>
      <c r="O56" s="252"/>
      <c r="P56" s="252"/>
      <c r="Q56" s="252"/>
      <c r="R56" s="232">
        <f t="shared" si="5"/>
        <v>0</v>
      </c>
    </row>
    <row r="57" spans="1:18" s="29" customFormat="1" ht="48" hidden="1" customHeight="1">
      <c r="A57" s="133" t="s">
        <v>189</v>
      </c>
      <c r="B57" s="179" t="s">
        <v>156</v>
      </c>
      <c r="C57" s="204"/>
      <c r="D57" s="180">
        <v>0</v>
      </c>
      <c r="E57" s="252"/>
      <c r="F57" s="252"/>
      <c r="G57" s="252"/>
      <c r="H57" s="232">
        <f t="shared" si="1"/>
        <v>0</v>
      </c>
      <c r="I57" s="252">
        <v>0</v>
      </c>
      <c r="J57" s="252"/>
      <c r="K57" s="252"/>
      <c r="L57" s="252"/>
      <c r="M57" s="232">
        <f t="shared" si="3"/>
        <v>0</v>
      </c>
      <c r="N57" s="252">
        <v>0</v>
      </c>
      <c r="O57" s="252"/>
      <c r="P57" s="252"/>
      <c r="Q57" s="252"/>
      <c r="R57" s="232">
        <f t="shared" si="5"/>
        <v>0</v>
      </c>
    </row>
    <row r="58" spans="1:18" s="89" customFormat="1" ht="36" hidden="1" customHeight="1">
      <c r="A58" s="133">
        <v>7350</v>
      </c>
      <c r="B58" s="179" t="s">
        <v>163</v>
      </c>
      <c r="C58" s="204"/>
      <c r="D58" s="180">
        <v>0</v>
      </c>
      <c r="E58" s="252"/>
      <c r="F58" s="252"/>
      <c r="G58" s="252"/>
      <c r="H58" s="232">
        <f t="shared" si="1"/>
        <v>0</v>
      </c>
      <c r="I58" s="252">
        <v>0</v>
      </c>
      <c r="J58" s="252"/>
      <c r="K58" s="252"/>
      <c r="L58" s="252"/>
      <c r="M58" s="232">
        <f t="shared" si="3"/>
        <v>0</v>
      </c>
      <c r="N58" s="252">
        <v>0</v>
      </c>
      <c r="O58" s="252"/>
      <c r="P58" s="252"/>
      <c r="Q58" s="252"/>
      <c r="R58" s="232">
        <f t="shared" si="5"/>
        <v>0</v>
      </c>
    </row>
    <row r="59" spans="1:18" s="89" customFormat="1" ht="24" hidden="1" customHeight="1">
      <c r="A59" s="132">
        <v>7400</v>
      </c>
      <c r="B59" s="172" t="s">
        <v>161</v>
      </c>
      <c r="C59" s="170">
        <v>0</v>
      </c>
      <c r="D59" s="171">
        <v>0</v>
      </c>
      <c r="E59" s="233">
        <f>SUM(E60:E61)</f>
        <v>0</v>
      </c>
      <c r="F59" s="233">
        <f t="shared" ref="F59:G59" si="57">SUM(F60:F61)</f>
        <v>0</v>
      </c>
      <c r="G59" s="233">
        <f t="shared" si="57"/>
        <v>0</v>
      </c>
      <c r="H59" s="232">
        <f t="shared" si="1"/>
        <v>0</v>
      </c>
      <c r="I59" s="233">
        <v>0</v>
      </c>
      <c r="J59" s="233">
        <f>SUM(J60:J61)</f>
        <v>0</v>
      </c>
      <c r="K59" s="233">
        <f t="shared" ref="K59:L59" si="58">SUM(K60:K61)</f>
        <v>0</v>
      </c>
      <c r="L59" s="233">
        <f t="shared" si="58"/>
        <v>0</v>
      </c>
      <c r="M59" s="232">
        <f t="shared" si="3"/>
        <v>0</v>
      </c>
      <c r="N59" s="233">
        <v>0</v>
      </c>
      <c r="O59" s="233">
        <f>SUM(O60:O61)</f>
        <v>0</v>
      </c>
      <c r="P59" s="233">
        <f t="shared" ref="P59:Q59" si="59">SUM(P60:P61)</f>
        <v>0</v>
      </c>
      <c r="Q59" s="233">
        <f t="shared" si="59"/>
        <v>0</v>
      </c>
      <c r="R59" s="232">
        <f t="shared" si="5"/>
        <v>0</v>
      </c>
    </row>
    <row r="60" spans="1:18" s="89" customFormat="1" ht="24" hidden="1" customHeight="1">
      <c r="A60" s="133">
        <v>7460</v>
      </c>
      <c r="B60" s="172" t="s">
        <v>162</v>
      </c>
      <c r="C60" s="204"/>
      <c r="D60" s="180">
        <v>0</v>
      </c>
      <c r="E60" s="252"/>
      <c r="F60" s="252"/>
      <c r="G60" s="252"/>
      <c r="H60" s="232">
        <f t="shared" si="1"/>
        <v>0</v>
      </c>
      <c r="I60" s="252">
        <v>0</v>
      </c>
      <c r="J60" s="252"/>
      <c r="K60" s="252"/>
      <c r="L60" s="252"/>
      <c r="M60" s="232">
        <f t="shared" si="3"/>
        <v>0</v>
      </c>
      <c r="N60" s="252">
        <v>0</v>
      </c>
      <c r="O60" s="252"/>
      <c r="P60" s="252"/>
      <c r="Q60" s="252"/>
      <c r="R60" s="232">
        <f t="shared" si="5"/>
        <v>0</v>
      </c>
    </row>
    <row r="61" spans="1:18" s="89" customFormat="1" ht="36" hidden="1" customHeight="1">
      <c r="A61" s="133">
        <v>7470</v>
      </c>
      <c r="B61" s="179" t="s">
        <v>167</v>
      </c>
      <c r="C61" s="204"/>
      <c r="D61" s="180">
        <v>0</v>
      </c>
      <c r="E61" s="252"/>
      <c r="F61" s="252"/>
      <c r="G61" s="252"/>
      <c r="H61" s="232">
        <f t="shared" si="1"/>
        <v>0</v>
      </c>
      <c r="I61" s="252">
        <v>0</v>
      </c>
      <c r="J61" s="252"/>
      <c r="K61" s="252"/>
      <c r="L61" s="252"/>
      <c r="M61" s="232">
        <f t="shared" si="3"/>
        <v>0</v>
      </c>
      <c r="N61" s="252">
        <v>0</v>
      </c>
      <c r="O61" s="252"/>
      <c r="P61" s="252"/>
      <c r="Q61" s="252"/>
      <c r="R61" s="232">
        <f t="shared" si="5"/>
        <v>0</v>
      </c>
    </row>
    <row r="62" spans="1:18" s="89" customFormat="1" ht="24" hidden="1" customHeight="1">
      <c r="A62" s="132">
        <v>7500</v>
      </c>
      <c r="B62" s="179" t="s">
        <v>157</v>
      </c>
      <c r="C62" s="170"/>
      <c r="D62" s="171">
        <v>0</v>
      </c>
      <c r="E62" s="233"/>
      <c r="F62" s="233"/>
      <c r="G62" s="233"/>
      <c r="H62" s="232">
        <f t="shared" si="1"/>
        <v>0</v>
      </c>
      <c r="I62" s="233">
        <v>0</v>
      </c>
      <c r="J62" s="233"/>
      <c r="K62" s="233"/>
      <c r="L62" s="233"/>
      <c r="M62" s="232">
        <f t="shared" si="3"/>
        <v>0</v>
      </c>
      <c r="N62" s="233">
        <v>0</v>
      </c>
      <c r="O62" s="233"/>
      <c r="P62" s="233"/>
      <c r="Q62" s="233"/>
      <c r="R62" s="232">
        <f t="shared" si="5"/>
        <v>0</v>
      </c>
    </row>
    <row r="63" spans="1:18" s="89" customFormat="1" ht="12" hidden="1" customHeight="1">
      <c r="A63" s="140" t="s">
        <v>133</v>
      </c>
      <c r="B63" s="124" t="s">
        <v>122</v>
      </c>
      <c r="C63" s="205">
        <v>0</v>
      </c>
      <c r="D63" s="181">
        <v>0</v>
      </c>
      <c r="E63" s="254">
        <f>E64+E65</f>
        <v>0</v>
      </c>
      <c r="F63" s="254">
        <f t="shared" ref="F63:G63" si="60">F64+F65</f>
        <v>0</v>
      </c>
      <c r="G63" s="254">
        <f t="shared" si="60"/>
        <v>0</v>
      </c>
      <c r="H63" s="232">
        <f t="shared" si="1"/>
        <v>0</v>
      </c>
      <c r="I63" s="254">
        <v>0</v>
      </c>
      <c r="J63" s="254">
        <f>J64+J65</f>
        <v>0</v>
      </c>
      <c r="K63" s="254">
        <f t="shared" ref="K63:L63" si="61">K64+K65</f>
        <v>0</v>
      </c>
      <c r="L63" s="254">
        <f t="shared" si="61"/>
        <v>0</v>
      </c>
      <c r="M63" s="232">
        <f t="shared" si="3"/>
        <v>0</v>
      </c>
      <c r="N63" s="254">
        <v>0</v>
      </c>
      <c r="O63" s="254">
        <f>O64+O65</f>
        <v>0</v>
      </c>
      <c r="P63" s="254">
        <f t="shared" ref="P63:Q63" si="62">P64+P65</f>
        <v>0</v>
      </c>
      <c r="Q63" s="254">
        <f t="shared" si="62"/>
        <v>0</v>
      </c>
      <c r="R63" s="232">
        <f t="shared" si="5"/>
        <v>0</v>
      </c>
    </row>
    <row r="64" spans="1:18" s="89" customFormat="1" ht="12" hidden="1" customHeight="1">
      <c r="A64" s="140">
        <v>5000</v>
      </c>
      <c r="B64" s="124" t="s">
        <v>123</v>
      </c>
      <c r="C64" s="170">
        <v>0</v>
      </c>
      <c r="D64" s="171">
        <v>0</v>
      </c>
      <c r="E64" s="244"/>
      <c r="F64" s="244"/>
      <c r="G64" s="244"/>
      <c r="H64" s="232">
        <f t="shared" si="1"/>
        <v>0</v>
      </c>
      <c r="I64" s="233">
        <v>0</v>
      </c>
      <c r="J64" s="244"/>
      <c r="K64" s="244"/>
      <c r="L64" s="244"/>
      <c r="M64" s="232">
        <f t="shared" si="3"/>
        <v>0</v>
      </c>
      <c r="N64" s="233">
        <v>0</v>
      </c>
      <c r="O64" s="244"/>
      <c r="P64" s="244"/>
      <c r="Q64" s="244"/>
      <c r="R64" s="232">
        <f t="shared" si="5"/>
        <v>0</v>
      </c>
    </row>
    <row r="65" spans="1:18" s="89" customFormat="1" ht="12" hidden="1" customHeight="1">
      <c r="A65" s="140">
        <v>9000</v>
      </c>
      <c r="B65" s="182" t="s">
        <v>164</v>
      </c>
      <c r="C65" s="170">
        <v>0</v>
      </c>
      <c r="D65" s="171">
        <v>0</v>
      </c>
      <c r="E65" s="233">
        <f t="shared" ref="E65:G65" si="63">E66+E72+E76+E79</f>
        <v>0</v>
      </c>
      <c r="F65" s="233">
        <f t="shared" si="63"/>
        <v>0</v>
      </c>
      <c r="G65" s="233">
        <f t="shared" si="63"/>
        <v>0</v>
      </c>
      <c r="H65" s="232">
        <f t="shared" si="1"/>
        <v>0</v>
      </c>
      <c r="I65" s="233">
        <v>0</v>
      </c>
      <c r="J65" s="233">
        <f t="shared" ref="J65:L65" si="64">J66+J72+J76+J79</f>
        <v>0</v>
      </c>
      <c r="K65" s="233">
        <f t="shared" si="64"/>
        <v>0</v>
      </c>
      <c r="L65" s="233">
        <f t="shared" si="64"/>
        <v>0</v>
      </c>
      <c r="M65" s="232">
        <f t="shared" si="3"/>
        <v>0</v>
      </c>
      <c r="N65" s="233">
        <v>0</v>
      </c>
      <c r="O65" s="233">
        <f t="shared" ref="O65:Q65" si="65">O66+O72+O76+O79</f>
        <v>0</v>
      </c>
      <c r="P65" s="233">
        <f t="shared" si="65"/>
        <v>0</v>
      </c>
      <c r="Q65" s="233">
        <f t="shared" si="65"/>
        <v>0</v>
      </c>
      <c r="R65" s="232">
        <f t="shared" si="5"/>
        <v>0</v>
      </c>
    </row>
    <row r="66" spans="1:18" s="89" customFormat="1" ht="12" hidden="1" customHeight="1">
      <c r="A66" s="141">
        <v>9100</v>
      </c>
      <c r="B66" s="179" t="s">
        <v>124</v>
      </c>
      <c r="C66" s="170">
        <v>0</v>
      </c>
      <c r="D66" s="171">
        <v>0</v>
      </c>
      <c r="E66" s="233">
        <f t="shared" ref="E66:G66" si="66">SUM(E67:E68)</f>
        <v>0</v>
      </c>
      <c r="F66" s="233">
        <f t="shared" ref="F66" si="67">SUM(F67:F68)</f>
        <v>0</v>
      </c>
      <c r="G66" s="233">
        <f t="shared" si="66"/>
        <v>0</v>
      </c>
      <c r="H66" s="232">
        <f t="shared" si="1"/>
        <v>0</v>
      </c>
      <c r="I66" s="233">
        <v>0</v>
      </c>
      <c r="J66" s="233">
        <f t="shared" ref="J66:L66" si="68">SUM(J67:J68)</f>
        <v>0</v>
      </c>
      <c r="K66" s="233">
        <f t="shared" si="68"/>
        <v>0</v>
      </c>
      <c r="L66" s="233">
        <f t="shared" si="68"/>
        <v>0</v>
      </c>
      <c r="M66" s="232">
        <f t="shared" si="3"/>
        <v>0</v>
      </c>
      <c r="N66" s="233">
        <v>0</v>
      </c>
      <c r="O66" s="233">
        <f t="shared" ref="O66:Q66" si="69">SUM(O67:O68)</f>
        <v>0</v>
      </c>
      <c r="P66" s="233">
        <f t="shared" si="69"/>
        <v>0</v>
      </c>
      <c r="Q66" s="233">
        <f t="shared" si="69"/>
        <v>0</v>
      </c>
      <c r="R66" s="232">
        <f t="shared" si="5"/>
        <v>0</v>
      </c>
    </row>
    <row r="67" spans="1:18" s="89" customFormat="1" ht="24" hidden="1" customHeight="1">
      <c r="A67" s="133" t="s">
        <v>125</v>
      </c>
      <c r="B67" s="179" t="s">
        <v>214</v>
      </c>
      <c r="C67" s="170"/>
      <c r="D67" s="171">
        <v>0</v>
      </c>
      <c r="E67" s="233"/>
      <c r="F67" s="233"/>
      <c r="G67" s="233"/>
      <c r="H67" s="232">
        <f t="shared" si="1"/>
        <v>0</v>
      </c>
      <c r="I67" s="233">
        <v>0</v>
      </c>
      <c r="J67" s="233"/>
      <c r="K67" s="233"/>
      <c r="L67" s="233"/>
      <c r="M67" s="232">
        <f t="shared" si="3"/>
        <v>0</v>
      </c>
      <c r="N67" s="233">
        <v>0</v>
      </c>
      <c r="O67" s="233"/>
      <c r="P67" s="233"/>
      <c r="Q67" s="233"/>
      <c r="R67" s="232">
        <f t="shared" si="5"/>
        <v>0</v>
      </c>
    </row>
    <row r="68" spans="1:18" s="89" customFormat="1" ht="24" hidden="1" customHeight="1">
      <c r="A68" s="133">
        <v>9140</v>
      </c>
      <c r="B68" s="179" t="s">
        <v>215</v>
      </c>
      <c r="C68" s="170">
        <v>0</v>
      </c>
      <c r="D68" s="171">
        <v>0</v>
      </c>
      <c r="E68" s="233">
        <f>SUM(E69:E71)</f>
        <v>0</v>
      </c>
      <c r="F68" s="233">
        <f t="shared" ref="F68:G68" si="70">SUM(F69:F71)</f>
        <v>0</v>
      </c>
      <c r="G68" s="233">
        <f t="shared" si="70"/>
        <v>0</v>
      </c>
      <c r="H68" s="232">
        <f t="shared" si="1"/>
        <v>0</v>
      </c>
      <c r="I68" s="233">
        <v>0</v>
      </c>
      <c r="J68" s="233">
        <f>SUM(J69:J71)</f>
        <v>0</v>
      </c>
      <c r="K68" s="233">
        <f t="shared" ref="K68:L68" si="71">SUM(K69:K71)</f>
        <v>0</v>
      </c>
      <c r="L68" s="233">
        <f t="shared" si="71"/>
        <v>0</v>
      </c>
      <c r="M68" s="232">
        <f t="shared" si="3"/>
        <v>0</v>
      </c>
      <c r="N68" s="233">
        <v>0</v>
      </c>
      <c r="O68" s="233">
        <f>SUM(O69:O71)</f>
        <v>0</v>
      </c>
      <c r="P68" s="233">
        <f t="shared" ref="P68:Q68" si="72">SUM(P69:P71)</f>
        <v>0</v>
      </c>
      <c r="Q68" s="233">
        <f t="shared" si="72"/>
        <v>0</v>
      </c>
      <c r="R68" s="232">
        <f t="shared" si="5"/>
        <v>0</v>
      </c>
    </row>
    <row r="69" spans="1:18" s="89" customFormat="1" ht="36" hidden="1" customHeight="1">
      <c r="A69" s="134">
        <v>9141</v>
      </c>
      <c r="B69" s="172" t="s">
        <v>190</v>
      </c>
      <c r="C69" s="204"/>
      <c r="D69" s="180">
        <v>0</v>
      </c>
      <c r="E69" s="252"/>
      <c r="F69" s="252"/>
      <c r="G69" s="252"/>
      <c r="H69" s="232">
        <f t="shared" si="1"/>
        <v>0</v>
      </c>
      <c r="I69" s="252">
        <v>0</v>
      </c>
      <c r="J69" s="252"/>
      <c r="K69" s="252"/>
      <c r="L69" s="252"/>
      <c r="M69" s="232">
        <f t="shared" si="3"/>
        <v>0</v>
      </c>
      <c r="N69" s="252">
        <v>0</v>
      </c>
      <c r="O69" s="252"/>
      <c r="P69" s="252"/>
      <c r="Q69" s="252"/>
      <c r="R69" s="232">
        <f t="shared" si="5"/>
        <v>0</v>
      </c>
    </row>
    <row r="70" spans="1:18" s="89" customFormat="1" ht="36" hidden="1" customHeight="1">
      <c r="A70" s="134">
        <v>9142</v>
      </c>
      <c r="B70" s="172" t="s">
        <v>191</v>
      </c>
      <c r="C70" s="204"/>
      <c r="D70" s="180">
        <v>0</v>
      </c>
      <c r="E70" s="252"/>
      <c r="F70" s="252"/>
      <c r="G70" s="252"/>
      <c r="H70" s="232">
        <f t="shared" si="1"/>
        <v>0</v>
      </c>
      <c r="I70" s="252">
        <v>0</v>
      </c>
      <c r="J70" s="252"/>
      <c r="K70" s="252"/>
      <c r="L70" s="252"/>
      <c r="M70" s="232">
        <f t="shared" si="3"/>
        <v>0</v>
      </c>
      <c r="N70" s="252">
        <v>0</v>
      </c>
      <c r="O70" s="252"/>
      <c r="P70" s="252"/>
      <c r="Q70" s="252"/>
      <c r="R70" s="232">
        <f t="shared" si="5"/>
        <v>0</v>
      </c>
    </row>
    <row r="71" spans="1:18" s="89" customFormat="1" ht="24" hidden="1" customHeight="1">
      <c r="A71" s="134">
        <v>9149</v>
      </c>
      <c r="B71" s="172" t="s">
        <v>192</v>
      </c>
      <c r="C71" s="204"/>
      <c r="D71" s="180">
        <v>0</v>
      </c>
      <c r="E71" s="252"/>
      <c r="F71" s="252"/>
      <c r="G71" s="252"/>
      <c r="H71" s="232">
        <f t="shared" si="1"/>
        <v>0</v>
      </c>
      <c r="I71" s="252">
        <v>0</v>
      </c>
      <c r="J71" s="252"/>
      <c r="K71" s="252"/>
      <c r="L71" s="252"/>
      <c r="M71" s="232">
        <f t="shared" si="3"/>
        <v>0</v>
      </c>
      <c r="N71" s="252">
        <v>0</v>
      </c>
      <c r="O71" s="252"/>
      <c r="P71" s="252"/>
      <c r="Q71" s="252"/>
      <c r="R71" s="232">
        <f t="shared" si="5"/>
        <v>0</v>
      </c>
    </row>
    <row r="72" spans="1:18" s="29" customFormat="1" ht="24" hidden="1" customHeight="1">
      <c r="A72" s="141">
        <v>9500</v>
      </c>
      <c r="B72" s="172" t="s">
        <v>165</v>
      </c>
      <c r="C72" s="170">
        <v>0</v>
      </c>
      <c r="D72" s="171">
        <v>0</v>
      </c>
      <c r="E72" s="233">
        <f>SUM(E73:E75)</f>
        <v>0</v>
      </c>
      <c r="F72" s="233">
        <f t="shared" ref="F72:G72" si="73">SUM(F73:F75)</f>
        <v>0</v>
      </c>
      <c r="G72" s="233">
        <f t="shared" si="73"/>
        <v>0</v>
      </c>
      <c r="H72" s="232">
        <f t="shared" si="1"/>
        <v>0</v>
      </c>
      <c r="I72" s="233">
        <v>0</v>
      </c>
      <c r="J72" s="233">
        <f>SUM(J73:J75)</f>
        <v>0</v>
      </c>
      <c r="K72" s="233">
        <f t="shared" ref="K72:L72" si="74">SUM(K73:K75)</f>
        <v>0</v>
      </c>
      <c r="L72" s="233">
        <f t="shared" si="74"/>
        <v>0</v>
      </c>
      <c r="M72" s="232">
        <f t="shared" si="3"/>
        <v>0</v>
      </c>
      <c r="N72" s="233">
        <v>0</v>
      </c>
      <c r="O72" s="233">
        <f>SUM(O73:O75)</f>
        <v>0</v>
      </c>
      <c r="P72" s="233">
        <f t="shared" ref="P72:Q72" si="75">SUM(P73:P75)</f>
        <v>0</v>
      </c>
      <c r="Q72" s="233">
        <f t="shared" si="75"/>
        <v>0</v>
      </c>
      <c r="R72" s="232">
        <f t="shared" si="5"/>
        <v>0</v>
      </c>
    </row>
    <row r="73" spans="1:18" s="29" customFormat="1" ht="24" hidden="1" customHeight="1">
      <c r="A73" s="133" t="s">
        <v>193</v>
      </c>
      <c r="B73" s="172" t="s">
        <v>171</v>
      </c>
      <c r="C73" s="170"/>
      <c r="D73" s="171">
        <v>0</v>
      </c>
      <c r="E73" s="233"/>
      <c r="F73" s="233"/>
      <c r="G73" s="233"/>
      <c r="H73" s="232">
        <f t="shared" si="1"/>
        <v>0</v>
      </c>
      <c r="I73" s="233">
        <v>0</v>
      </c>
      <c r="J73" s="233"/>
      <c r="K73" s="233"/>
      <c r="L73" s="233"/>
      <c r="M73" s="232">
        <f t="shared" si="3"/>
        <v>0</v>
      </c>
      <c r="N73" s="233">
        <v>0</v>
      </c>
      <c r="O73" s="233"/>
      <c r="P73" s="233"/>
      <c r="Q73" s="233"/>
      <c r="R73" s="232">
        <f t="shared" si="5"/>
        <v>0</v>
      </c>
    </row>
    <row r="74" spans="1:18" s="28" customFormat="1" ht="48" hidden="1" customHeight="1">
      <c r="A74" s="133">
        <v>9580</v>
      </c>
      <c r="B74" s="172" t="s">
        <v>166</v>
      </c>
      <c r="C74" s="204"/>
      <c r="D74" s="180">
        <v>0</v>
      </c>
      <c r="E74" s="252"/>
      <c r="F74" s="252"/>
      <c r="G74" s="252"/>
      <c r="H74" s="232">
        <f t="shared" ref="H74:H137" si="76">SUM(D74:G74)</f>
        <v>0</v>
      </c>
      <c r="I74" s="252">
        <v>0</v>
      </c>
      <c r="J74" s="252"/>
      <c r="K74" s="252"/>
      <c r="L74" s="252"/>
      <c r="M74" s="232">
        <f t="shared" ref="M74:M137" si="77">SUM(I74:L74)</f>
        <v>0</v>
      </c>
      <c r="N74" s="252">
        <v>0</v>
      </c>
      <c r="O74" s="252"/>
      <c r="P74" s="252"/>
      <c r="Q74" s="252"/>
      <c r="R74" s="232">
        <f t="shared" ref="R74:R137" si="78">SUM(N74:Q74)</f>
        <v>0</v>
      </c>
    </row>
    <row r="75" spans="1:18" s="4" customFormat="1" ht="36" hidden="1" customHeight="1">
      <c r="A75" s="133">
        <v>9590</v>
      </c>
      <c r="B75" s="179" t="s">
        <v>172</v>
      </c>
      <c r="C75" s="204"/>
      <c r="D75" s="180">
        <v>0</v>
      </c>
      <c r="E75" s="252"/>
      <c r="F75" s="252"/>
      <c r="G75" s="252"/>
      <c r="H75" s="232">
        <f t="shared" si="76"/>
        <v>0</v>
      </c>
      <c r="I75" s="252">
        <v>0</v>
      </c>
      <c r="J75" s="252"/>
      <c r="K75" s="252"/>
      <c r="L75" s="252"/>
      <c r="M75" s="232">
        <f t="shared" si="77"/>
        <v>0</v>
      </c>
      <c r="N75" s="252">
        <v>0</v>
      </c>
      <c r="O75" s="252"/>
      <c r="P75" s="252"/>
      <c r="Q75" s="252"/>
      <c r="R75" s="232">
        <f t="shared" si="78"/>
        <v>0</v>
      </c>
    </row>
    <row r="76" spans="1:18" ht="24" hidden="1" customHeight="1">
      <c r="A76" s="141">
        <v>9700</v>
      </c>
      <c r="B76" s="183" t="s">
        <v>194</v>
      </c>
      <c r="C76" s="170">
        <v>0</v>
      </c>
      <c r="D76" s="171">
        <v>0</v>
      </c>
      <c r="E76" s="233">
        <f>SUM(E77:E78)</f>
        <v>0</v>
      </c>
      <c r="F76" s="233">
        <f t="shared" ref="F76:G76" si="79">SUM(F77:F78)</f>
        <v>0</v>
      </c>
      <c r="G76" s="233">
        <f t="shared" si="79"/>
        <v>0</v>
      </c>
      <c r="H76" s="232">
        <f t="shared" si="76"/>
        <v>0</v>
      </c>
      <c r="I76" s="233">
        <v>0</v>
      </c>
      <c r="J76" s="233">
        <f>SUM(J77:J78)</f>
        <v>0</v>
      </c>
      <c r="K76" s="233">
        <f t="shared" ref="K76:L76" si="80">SUM(K77:K78)</f>
        <v>0</v>
      </c>
      <c r="L76" s="233">
        <f t="shared" si="80"/>
        <v>0</v>
      </c>
      <c r="M76" s="232">
        <f t="shared" si="77"/>
        <v>0</v>
      </c>
      <c r="N76" s="233">
        <v>0</v>
      </c>
      <c r="O76" s="233">
        <f>SUM(O77:O78)</f>
        <v>0</v>
      </c>
      <c r="P76" s="233">
        <f t="shared" ref="P76:Q76" si="81">SUM(P77:P78)</f>
        <v>0</v>
      </c>
      <c r="Q76" s="233">
        <f t="shared" si="81"/>
        <v>0</v>
      </c>
      <c r="R76" s="232">
        <f t="shared" si="78"/>
        <v>0</v>
      </c>
    </row>
    <row r="77" spans="1:18" ht="24" hidden="1" customHeight="1">
      <c r="A77" s="133">
        <v>9710</v>
      </c>
      <c r="B77" s="184" t="s">
        <v>195</v>
      </c>
      <c r="C77" s="204"/>
      <c r="D77" s="180">
        <v>0</v>
      </c>
      <c r="E77" s="252"/>
      <c r="F77" s="252"/>
      <c r="G77" s="252"/>
      <c r="H77" s="232">
        <f t="shared" si="76"/>
        <v>0</v>
      </c>
      <c r="I77" s="252">
        <v>0</v>
      </c>
      <c r="J77" s="252"/>
      <c r="K77" s="252"/>
      <c r="L77" s="252"/>
      <c r="M77" s="232">
        <f t="shared" si="77"/>
        <v>0</v>
      </c>
      <c r="N77" s="252">
        <v>0</v>
      </c>
      <c r="O77" s="252"/>
      <c r="P77" s="252"/>
      <c r="Q77" s="252"/>
      <c r="R77" s="232">
        <f t="shared" si="78"/>
        <v>0</v>
      </c>
    </row>
    <row r="78" spans="1:18" ht="36" hidden="1" customHeight="1">
      <c r="A78" s="142">
        <v>9720</v>
      </c>
      <c r="B78" s="183" t="s">
        <v>196</v>
      </c>
      <c r="C78" s="204"/>
      <c r="D78" s="180">
        <v>0</v>
      </c>
      <c r="E78" s="252"/>
      <c r="F78" s="252"/>
      <c r="G78" s="252"/>
      <c r="H78" s="232">
        <f t="shared" si="76"/>
        <v>0</v>
      </c>
      <c r="I78" s="252">
        <v>0</v>
      </c>
      <c r="J78" s="252"/>
      <c r="K78" s="252"/>
      <c r="L78" s="252"/>
      <c r="M78" s="232">
        <f t="shared" si="77"/>
        <v>0</v>
      </c>
      <c r="N78" s="252">
        <v>0</v>
      </c>
      <c r="O78" s="252"/>
      <c r="P78" s="252"/>
      <c r="Q78" s="252"/>
      <c r="R78" s="232">
        <f t="shared" si="78"/>
        <v>0</v>
      </c>
    </row>
    <row r="79" spans="1:18" ht="24" hidden="1" customHeight="1">
      <c r="A79" s="141">
        <v>9600</v>
      </c>
      <c r="B79" s="179" t="s">
        <v>134</v>
      </c>
      <c r="C79" s="204"/>
      <c r="D79" s="180">
        <v>0</v>
      </c>
      <c r="E79" s="252"/>
      <c r="F79" s="252"/>
      <c r="G79" s="252"/>
      <c r="H79" s="232">
        <f t="shared" si="76"/>
        <v>0</v>
      </c>
      <c r="I79" s="252">
        <v>0</v>
      </c>
      <c r="J79" s="252"/>
      <c r="K79" s="252"/>
      <c r="L79" s="252"/>
      <c r="M79" s="232">
        <f t="shared" si="77"/>
        <v>0</v>
      </c>
      <c r="N79" s="252">
        <v>0</v>
      </c>
      <c r="O79" s="252"/>
      <c r="P79" s="252"/>
      <c r="Q79" s="252"/>
      <c r="R79" s="232">
        <f t="shared" si="78"/>
        <v>0</v>
      </c>
    </row>
    <row r="80" spans="1:18" ht="52.5" hidden="1" customHeight="1">
      <c r="A80" s="130" t="s">
        <v>197</v>
      </c>
      <c r="B80" s="185" t="s">
        <v>47</v>
      </c>
      <c r="C80" s="206"/>
      <c r="D80" s="186">
        <v>0</v>
      </c>
      <c r="E80" s="262">
        <f>E10-E35</f>
        <v>0</v>
      </c>
      <c r="F80" s="262">
        <f t="shared" ref="F80:G80" si="82">F10-F35</f>
        <v>0</v>
      </c>
      <c r="G80" s="262">
        <f t="shared" si="82"/>
        <v>0</v>
      </c>
      <c r="H80" s="232">
        <f t="shared" si="76"/>
        <v>0</v>
      </c>
      <c r="I80" s="262">
        <v>0</v>
      </c>
      <c r="J80" s="262">
        <f>J10-J35</f>
        <v>0</v>
      </c>
      <c r="K80" s="262">
        <f t="shared" ref="K80:L80" si="83">K10-K35</f>
        <v>0</v>
      </c>
      <c r="L80" s="262">
        <f t="shared" si="83"/>
        <v>0</v>
      </c>
      <c r="M80" s="232">
        <f t="shared" si="77"/>
        <v>0</v>
      </c>
      <c r="N80" s="262">
        <v>0</v>
      </c>
      <c r="O80" s="262">
        <f>O10-O35</f>
        <v>0</v>
      </c>
      <c r="P80" s="262">
        <f t="shared" ref="P80:Q80" si="84">P10-P35</f>
        <v>0</v>
      </c>
      <c r="Q80" s="262">
        <f t="shared" si="84"/>
        <v>0</v>
      </c>
      <c r="R80" s="232">
        <f t="shared" si="78"/>
        <v>0</v>
      </c>
    </row>
    <row r="81" spans="1:18" ht="12" hidden="1" customHeight="1">
      <c r="A81" s="143" t="s">
        <v>48</v>
      </c>
      <c r="B81" s="185" t="s">
        <v>49</v>
      </c>
      <c r="C81" s="206">
        <v>0</v>
      </c>
      <c r="D81" s="186">
        <v>0</v>
      </c>
      <c r="E81" s="262">
        <f>E82+E85+E89+E88</f>
        <v>0</v>
      </c>
      <c r="F81" s="262">
        <f t="shared" ref="F81:G81" si="85">F82+F85+F89+F88</f>
        <v>0</v>
      </c>
      <c r="G81" s="262">
        <f t="shared" si="85"/>
        <v>0</v>
      </c>
      <c r="H81" s="232">
        <f t="shared" si="76"/>
        <v>0</v>
      </c>
      <c r="I81" s="262">
        <v>0</v>
      </c>
      <c r="J81" s="262">
        <f>J82+J85+J89+J88</f>
        <v>0</v>
      </c>
      <c r="K81" s="262">
        <f t="shared" ref="K81:L81" si="86">K82+K85+K89+K88</f>
        <v>0</v>
      </c>
      <c r="L81" s="262">
        <f t="shared" si="86"/>
        <v>0</v>
      </c>
      <c r="M81" s="232">
        <f t="shared" si="77"/>
        <v>0</v>
      </c>
      <c r="N81" s="262">
        <v>0</v>
      </c>
      <c r="O81" s="262">
        <f>O82+O85+O89+O88</f>
        <v>0</v>
      </c>
      <c r="P81" s="262">
        <f t="shared" ref="P81:Q81" si="87">P82+P85+P89+P88</f>
        <v>0</v>
      </c>
      <c r="Q81" s="262">
        <f t="shared" si="87"/>
        <v>0</v>
      </c>
      <c r="R81" s="232">
        <f t="shared" si="78"/>
        <v>0</v>
      </c>
    </row>
    <row r="82" spans="1:18" s="4" customFormat="1" ht="12" hidden="1" customHeight="1">
      <c r="A82" s="141" t="s">
        <v>50</v>
      </c>
      <c r="B82" s="179" t="s">
        <v>51</v>
      </c>
      <c r="C82" s="98">
        <v>0</v>
      </c>
      <c r="D82" s="169">
        <v>0</v>
      </c>
      <c r="E82" s="231">
        <f>E83+E84</f>
        <v>0</v>
      </c>
      <c r="F82" s="231">
        <f t="shared" ref="F82:G82" si="88">F83+F84</f>
        <v>0</v>
      </c>
      <c r="G82" s="231">
        <f t="shared" si="88"/>
        <v>0</v>
      </c>
      <c r="H82" s="232">
        <f t="shared" si="76"/>
        <v>0</v>
      </c>
      <c r="I82" s="231">
        <v>0</v>
      </c>
      <c r="J82" s="231">
        <f>J83+J84</f>
        <v>0</v>
      </c>
      <c r="K82" s="231">
        <f t="shared" ref="K82:L82" si="89">K83+K84</f>
        <v>0</v>
      </c>
      <c r="L82" s="231">
        <f t="shared" si="89"/>
        <v>0</v>
      </c>
      <c r="M82" s="232">
        <f t="shared" si="77"/>
        <v>0</v>
      </c>
      <c r="N82" s="231">
        <v>0</v>
      </c>
      <c r="O82" s="231">
        <f>O83+O84</f>
        <v>0</v>
      </c>
      <c r="P82" s="231">
        <f t="shared" ref="P82:Q82" si="90">P83+P84</f>
        <v>0</v>
      </c>
      <c r="Q82" s="231">
        <f t="shared" si="90"/>
        <v>0</v>
      </c>
      <c r="R82" s="232">
        <f t="shared" si="78"/>
        <v>0</v>
      </c>
    </row>
    <row r="83" spans="1:18" s="6" customFormat="1" ht="12" hidden="1" customHeight="1">
      <c r="A83" s="141" t="s">
        <v>52</v>
      </c>
      <c r="B83" s="179" t="s">
        <v>53</v>
      </c>
      <c r="C83" s="98"/>
      <c r="D83" s="169">
        <v>0</v>
      </c>
      <c r="E83" s="231"/>
      <c r="F83" s="231"/>
      <c r="G83" s="231"/>
      <c r="H83" s="232">
        <f t="shared" si="76"/>
        <v>0</v>
      </c>
      <c r="I83" s="231">
        <v>0</v>
      </c>
      <c r="J83" s="231"/>
      <c r="K83" s="231"/>
      <c r="L83" s="231"/>
      <c r="M83" s="232">
        <f t="shared" si="77"/>
        <v>0</v>
      </c>
      <c r="N83" s="231">
        <v>0</v>
      </c>
      <c r="O83" s="231"/>
      <c r="P83" s="231"/>
      <c r="Q83" s="231"/>
      <c r="R83" s="232">
        <f t="shared" si="78"/>
        <v>0</v>
      </c>
    </row>
    <row r="84" spans="1:18" s="6" customFormat="1" ht="12" hidden="1" customHeight="1">
      <c r="A84" s="141" t="s">
        <v>54</v>
      </c>
      <c r="B84" s="179" t="s">
        <v>55</v>
      </c>
      <c r="C84" s="98"/>
      <c r="D84" s="169">
        <v>0</v>
      </c>
      <c r="E84" s="231"/>
      <c r="F84" s="231"/>
      <c r="G84" s="231"/>
      <c r="H84" s="232">
        <f t="shared" si="76"/>
        <v>0</v>
      </c>
      <c r="I84" s="231">
        <v>0</v>
      </c>
      <c r="J84" s="231"/>
      <c r="K84" s="231"/>
      <c r="L84" s="231"/>
      <c r="M84" s="232">
        <f t="shared" si="77"/>
        <v>0</v>
      </c>
      <c r="N84" s="231">
        <v>0</v>
      </c>
      <c r="O84" s="231"/>
      <c r="P84" s="231"/>
      <c r="Q84" s="231"/>
      <c r="R84" s="232">
        <f t="shared" si="78"/>
        <v>0</v>
      </c>
    </row>
    <row r="85" spans="1:18" s="6" customFormat="1" ht="12" hidden="1" customHeight="1">
      <c r="A85" s="141" t="s">
        <v>56</v>
      </c>
      <c r="B85" s="179" t="s">
        <v>57</v>
      </c>
      <c r="C85" s="98">
        <v>0</v>
      </c>
      <c r="D85" s="169">
        <v>0</v>
      </c>
      <c r="E85" s="231">
        <f>E86+E87</f>
        <v>0</v>
      </c>
      <c r="F85" s="231">
        <f t="shared" ref="F85:G85" si="91">F86+F87</f>
        <v>0</v>
      </c>
      <c r="G85" s="231">
        <f t="shared" si="91"/>
        <v>0</v>
      </c>
      <c r="H85" s="232">
        <f t="shared" si="76"/>
        <v>0</v>
      </c>
      <c r="I85" s="231">
        <v>0</v>
      </c>
      <c r="J85" s="231">
        <f>J86+J87</f>
        <v>0</v>
      </c>
      <c r="K85" s="231">
        <f t="shared" ref="K85:L85" si="92">K86+K87</f>
        <v>0</v>
      </c>
      <c r="L85" s="231">
        <f t="shared" si="92"/>
        <v>0</v>
      </c>
      <c r="M85" s="232">
        <f t="shared" si="77"/>
        <v>0</v>
      </c>
      <c r="N85" s="231">
        <v>0</v>
      </c>
      <c r="O85" s="231">
        <f>O86+O87</f>
        <v>0</v>
      </c>
      <c r="P85" s="231">
        <f t="shared" ref="P85:Q85" si="93">P86+P87</f>
        <v>0</v>
      </c>
      <c r="Q85" s="231">
        <f t="shared" si="93"/>
        <v>0</v>
      </c>
      <c r="R85" s="232">
        <f t="shared" si="78"/>
        <v>0</v>
      </c>
    </row>
    <row r="86" spans="1:18" s="6" customFormat="1" ht="12" hidden="1" customHeight="1">
      <c r="A86" s="141" t="s">
        <v>58</v>
      </c>
      <c r="B86" s="179" t="s">
        <v>59</v>
      </c>
      <c r="C86" s="98"/>
      <c r="D86" s="169">
        <v>0</v>
      </c>
      <c r="E86" s="231"/>
      <c r="F86" s="231"/>
      <c r="G86" s="231"/>
      <c r="H86" s="232">
        <f t="shared" si="76"/>
        <v>0</v>
      </c>
      <c r="I86" s="231">
        <v>0</v>
      </c>
      <c r="J86" s="231"/>
      <c r="K86" s="231"/>
      <c r="L86" s="231"/>
      <c r="M86" s="232">
        <f t="shared" si="77"/>
        <v>0</v>
      </c>
      <c r="N86" s="231">
        <v>0</v>
      </c>
      <c r="O86" s="231"/>
      <c r="P86" s="231"/>
      <c r="Q86" s="231"/>
      <c r="R86" s="232">
        <f t="shared" si="78"/>
        <v>0</v>
      </c>
    </row>
    <row r="87" spans="1:18" s="6" customFormat="1" ht="12" hidden="1" customHeight="1">
      <c r="A87" s="141" t="s">
        <v>60</v>
      </c>
      <c r="B87" s="179" t="s">
        <v>61</v>
      </c>
      <c r="C87" s="98"/>
      <c r="D87" s="169">
        <v>0</v>
      </c>
      <c r="E87" s="231"/>
      <c r="F87" s="231"/>
      <c r="G87" s="231"/>
      <c r="H87" s="232">
        <f t="shared" si="76"/>
        <v>0</v>
      </c>
      <c r="I87" s="231">
        <v>0</v>
      </c>
      <c r="J87" s="231"/>
      <c r="K87" s="231"/>
      <c r="L87" s="231"/>
      <c r="M87" s="232">
        <f t="shared" si="77"/>
        <v>0</v>
      </c>
      <c r="N87" s="231">
        <v>0</v>
      </c>
      <c r="O87" s="231"/>
      <c r="P87" s="231"/>
      <c r="Q87" s="231"/>
      <c r="R87" s="232">
        <f t="shared" si="78"/>
        <v>0</v>
      </c>
    </row>
    <row r="88" spans="1:18" s="6" customFormat="1" ht="12" hidden="1" customHeight="1">
      <c r="A88" s="141" t="s">
        <v>198</v>
      </c>
      <c r="B88" s="187" t="s">
        <v>168</v>
      </c>
      <c r="C88" s="98"/>
      <c r="D88" s="169">
        <v>0</v>
      </c>
      <c r="E88" s="231"/>
      <c r="F88" s="231"/>
      <c r="G88" s="231"/>
      <c r="H88" s="232">
        <f t="shared" si="76"/>
        <v>0</v>
      </c>
      <c r="I88" s="231">
        <v>0</v>
      </c>
      <c r="J88" s="231"/>
      <c r="K88" s="231"/>
      <c r="L88" s="231"/>
      <c r="M88" s="232">
        <f t="shared" si="77"/>
        <v>0</v>
      </c>
      <c r="N88" s="231">
        <v>0</v>
      </c>
      <c r="O88" s="231"/>
      <c r="P88" s="231"/>
      <c r="Q88" s="231"/>
      <c r="R88" s="232">
        <f t="shared" si="78"/>
        <v>0</v>
      </c>
    </row>
    <row r="89" spans="1:18" s="6" customFormat="1" ht="12" hidden="1" customHeight="1">
      <c r="A89" s="144" t="s">
        <v>62</v>
      </c>
      <c r="B89" s="125" t="s">
        <v>63</v>
      </c>
      <c r="C89" s="170">
        <v>0</v>
      </c>
      <c r="D89" s="171">
        <v>0</v>
      </c>
      <c r="E89" s="233">
        <f t="shared" ref="E89:G89" si="94">E90+E91+E92</f>
        <v>0</v>
      </c>
      <c r="F89" s="233">
        <f t="shared" si="94"/>
        <v>0</v>
      </c>
      <c r="G89" s="233">
        <f t="shared" si="94"/>
        <v>0</v>
      </c>
      <c r="H89" s="232">
        <f t="shared" si="76"/>
        <v>0</v>
      </c>
      <c r="I89" s="233">
        <v>0</v>
      </c>
      <c r="J89" s="233">
        <f t="shared" ref="J89:L89" si="95">J90+J91+J92</f>
        <v>0</v>
      </c>
      <c r="K89" s="233">
        <f t="shared" si="95"/>
        <v>0</v>
      </c>
      <c r="L89" s="233">
        <f t="shared" si="95"/>
        <v>0</v>
      </c>
      <c r="M89" s="232">
        <f t="shared" si="77"/>
        <v>0</v>
      </c>
      <c r="N89" s="233">
        <v>0</v>
      </c>
      <c r="O89" s="233">
        <f t="shared" ref="O89:Q89" si="96">O90+O91+O92</f>
        <v>0</v>
      </c>
      <c r="P89" s="233">
        <f t="shared" si="96"/>
        <v>0</v>
      </c>
      <c r="Q89" s="233">
        <f t="shared" si="96"/>
        <v>0</v>
      </c>
      <c r="R89" s="232">
        <f t="shared" si="78"/>
        <v>0</v>
      </c>
    </row>
    <row r="90" spans="1:18" s="6" customFormat="1" ht="24" hidden="1" customHeight="1">
      <c r="A90" s="144" t="s">
        <v>64</v>
      </c>
      <c r="B90" s="179" t="s">
        <v>65</v>
      </c>
      <c r="C90" s="98"/>
      <c r="D90" s="169">
        <v>0</v>
      </c>
      <c r="E90" s="231"/>
      <c r="F90" s="231"/>
      <c r="G90" s="231"/>
      <c r="H90" s="232">
        <f t="shared" si="76"/>
        <v>0</v>
      </c>
      <c r="I90" s="231">
        <v>0</v>
      </c>
      <c r="J90" s="231"/>
      <c r="K90" s="231"/>
      <c r="L90" s="231"/>
      <c r="M90" s="232">
        <f t="shared" si="77"/>
        <v>0</v>
      </c>
      <c r="N90" s="231">
        <v>0</v>
      </c>
      <c r="O90" s="231"/>
      <c r="P90" s="231"/>
      <c r="Q90" s="231"/>
      <c r="R90" s="232">
        <f t="shared" si="78"/>
        <v>0</v>
      </c>
    </row>
    <row r="91" spans="1:18" s="6" customFormat="1" ht="24" hidden="1" customHeight="1">
      <c r="A91" s="144" t="s">
        <v>66</v>
      </c>
      <c r="B91" s="179" t="s">
        <v>67</v>
      </c>
      <c r="C91" s="98"/>
      <c r="D91" s="169">
        <v>0</v>
      </c>
      <c r="E91" s="231"/>
      <c r="F91" s="231"/>
      <c r="G91" s="231"/>
      <c r="H91" s="232">
        <f t="shared" si="76"/>
        <v>0</v>
      </c>
      <c r="I91" s="231">
        <v>0</v>
      </c>
      <c r="J91" s="231"/>
      <c r="K91" s="231"/>
      <c r="L91" s="231"/>
      <c r="M91" s="232">
        <f t="shared" si="77"/>
        <v>0</v>
      </c>
      <c r="N91" s="231">
        <v>0</v>
      </c>
      <c r="O91" s="231"/>
      <c r="P91" s="231"/>
      <c r="Q91" s="231"/>
      <c r="R91" s="232">
        <f t="shared" si="78"/>
        <v>0</v>
      </c>
    </row>
    <row r="92" spans="1:18" s="6" customFormat="1" ht="24" hidden="1" customHeight="1">
      <c r="A92" s="144" t="s">
        <v>68</v>
      </c>
      <c r="B92" s="125" t="s">
        <v>69</v>
      </c>
      <c r="C92" s="98"/>
      <c r="D92" s="169">
        <v>0</v>
      </c>
      <c r="E92" s="231"/>
      <c r="F92" s="231"/>
      <c r="G92" s="231"/>
      <c r="H92" s="232">
        <f t="shared" si="76"/>
        <v>0</v>
      </c>
      <c r="I92" s="231">
        <v>0</v>
      </c>
      <c r="J92" s="231"/>
      <c r="K92" s="231"/>
      <c r="L92" s="231"/>
      <c r="M92" s="232">
        <f t="shared" si="77"/>
        <v>0</v>
      </c>
      <c r="N92" s="231">
        <v>0</v>
      </c>
      <c r="O92" s="231"/>
      <c r="P92" s="231"/>
      <c r="Q92" s="231"/>
      <c r="R92" s="232">
        <f t="shared" si="78"/>
        <v>0</v>
      </c>
    </row>
    <row r="93" spans="1:18" s="6" customFormat="1" ht="12">
      <c r="A93" s="145"/>
      <c r="B93" s="188" t="s">
        <v>199</v>
      </c>
      <c r="C93" s="207"/>
      <c r="D93" s="294">
        <v>0</v>
      </c>
      <c r="E93" s="268"/>
      <c r="F93" s="268"/>
      <c r="G93" s="268"/>
      <c r="H93" s="269">
        <f t="shared" si="76"/>
        <v>0</v>
      </c>
      <c r="I93" s="347">
        <v>0</v>
      </c>
      <c r="J93" s="268"/>
      <c r="K93" s="268"/>
      <c r="L93" s="268"/>
      <c r="M93" s="269">
        <f t="shared" si="77"/>
        <v>0</v>
      </c>
      <c r="N93" s="347">
        <v>0</v>
      </c>
      <c r="O93" s="268"/>
      <c r="P93" s="268"/>
      <c r="Q93" s="268"/>
      <c r="R93" s="269">
        <f t="shared" si="78"/>
        <v>0</v>
      </c>
    </row>
    <row r="94" spans="1:18" s="6" customFormat="1" ht="20.399999999999999">
      <c r="A94" s="129" t="s">
        <v>201</v>
      </c>
      <c r="B94" s="123" t="s">
        <v>88</v>
      </c>
      <c r="C94" s="200">
        <v>2931358</v>
      </c>
      <c r="D94" s="167">
        <v>2934170</v>
      </c>
      <c r="E94" s="228">
        <f t="shared" ref="E94:G94" si="97">E95+E96+E98+E116</f>
        <v>0</v>
      </c>
      <c r="F94" s="228">
        <f t="shared" si="97"/>
        <v>0</v>
      </c>
      <c r="G94" s="228">
        <f t="shared" si="97"/>
        <v>252521</v>
      </c>
      <c r="H94" s="229">
        <f t="shared" si="76"/>
        <v>3186691</v>
      </c>
      <c r="I94" s="228">
        <v>2934170</v>
      </c>
      <c r="J94" s="228">
        <f t="shared" ref="J94:L94" si="98">J95+J96+J98+J116</f>
        <v>0</v>
      </c>
      <c r="K94" s="228">
        <f t="shared" si="98"/>
        <v>0</v>
      </c>
      <c r="L94" s="228">
        <f t="shared" si="98"/>
        <v>252521</v>
      </c>
      <c r="M94" s="229">
        <f t="shared" si="77"/>
        <v>3186691</v>
      </c>
      <c r="N94" s="228">
        <v>2934170</v>
      </c>
      <c r="O94" s="228">
        <f t="shared" ref="O94:Q94" si="99">O95+O96+O98+O116</f>
        <v>0</v>
      </c>
      <c r="P94" s="228">
        <f t="shared" si="99"/>
        <v>0</v>
      </c>
      <c r="Q94" s="228">
        <f t="shared" si="99"/>
        <v>252521</v>
      </c>
      <c r="R94" s="229">
        <f t="shared" si="78"/>
        <v>3186691</v>
      </c>
    </row>
    <row r="95" spans="1:18" s="6" customFormat="1" ht="22.8">
      <c r="A95" s="130" t="s">
        <v>177</v>
      </c>
      <c r="B95" s="124" t="s">
        <v>90</v>
      </c>
      <c r="C95" s="98">
        <v>1500</v>
      </c>
      <c r="D95" s="169">
        <v>1500</v>
      </c>
      <c r="E95" s="231"/>
      <c r="F95" s="231"/>
      <c r="G95" s="231"/>
      <c r="H95" s="232">
        <f t="shared" si="76"/>
        <v>1500</v>
      </c>
      <c r="I95" s="231">
        <v>1500</v>
      </c>
      <c r="J95" s="231"/>
      <c r="K95" s="231"/>
      <c r="L95" s="231"/>
      <c r="M95" s="232">
        <f t="shared" si="77"/>
        <v>1500</v>
      </c>
      <c r="N95" s="231">
        <v>1500</v>
      </c>
      <c r="O95" s="231"/>
      <c r="P95" s="231"/>
      <c r="Q95" s="231"/>
      <c r="R95" s="232">
        <f t="shared" si="78"/>
        <v>1500</v>
      </c>
    </row>
    <row r="96" spans="1:18" s="6" customFormat="1" ht="12" hidden="1" customHeight="1">
      <c r="A96" s="130" t="s">
        <v>91</v>
      </c>
      <c r="B96" s="124" t="s">
        <v>92</v>
      </c>
      <c r="C96" s="98"/>
      <c r="D96" s="169">
        <v>0</v>
      </c>
      <c r="E96" s="231"/>
      <c r="F96" s="231"/>
      <c r="G96" s="231"/>
      <c r="H96" s="232">
        <f t="shared" si="76"/>
        <v>0</v>
      </c>
      <c r="I96" s="231">
        <v>0</v>
      </c>
      <c r="J96" s="231"/>
      <c r="K96" s="231"/>
      <c r="L96" s="231"/>
      <c r="M96" s="232">
        <f t="shared" si="77"/>
        <v>0</v>
      </c>
      <c r="N96" s="231">
        <v>0</v>
      </c>
      <c r="O96" s="231"/>
      <c r="P96" s="231"/>
      <c r="Q96" s="231"/>
      <c r="R96" s="232">
        <f t="shared" si="78"/>
        <v>0</v>
      </c>
    </row>
    <row r="97" spans="1:18" s="6" customFormat="1" ht="12" hidden="1" customHeight="1">
      <c r="A97" s="131">
        <v>21210</v>
      </c>
      <c r="B97" s="125" t="s">
        <v>93</v>
      </c>
      <c r="C97" s="98"/>
      <c r="D97" s="169">
        <v>0</v>
      </c>
      <c r="E97" s="231"/>
      <c r="F97" s="231"/>
      <c r="G97" s="231"/>
      <c r="H97" s="232">
        <f t="shared" si="76"/>
        <v>0</v>
      </c>
      <c r="I97" s="231">
        <v>0</v>
      </c>
      <c r="J97" s="231"/>
      <c r="K97" s="231"/>
      <c r="L97" s="231"/>
      <c r="M97" s="232">
        <f t="shared" si="77"/>
        <v>0</v>
      </c>
      <c r="N97" s="231">
        <v>0</v>
      </c>
      <c r="O97" s="231"/>
      <c r="P97" s="231"/>
      <c r="Q97" s="231"/>
      <c r="R97" s="232">
        <f t="shared" si="78"/>
        <v>0</v>
      </c>
    </row>
    <row r="98" spans="1:18" s="6" customFormat="1" ht="21" hidden="1" customHeight="1">
      <c r="A98" s="130" t="s">
        <v>178</v>
      </c>
      <c r="B98" s="124" t="s">
        <v>94</v>
      </c>
      <c r="C98" s="170">
        <v>0</v>
      </c>
      <c r="D98" s="171">
        <v>0</v>
      </c>
      <c r="E98" s="233">
        <f t="shared" ref="E98:G98" si="100">E99+E105</f>
        <v>0</v>
      </c>
      <c r="F98" s="233">
        <f t="shared" si="100"/>
        <v>0</v>
      </c>
      <c r="G98" s="233">
        <f t="shared" si="100"/>
        <v>0</v>
      </c>
      <c r="H98" s="232">
        <f t="shared" si="76"/>
        <v>0</v>
      </c>
      <c r="I98" s="233">
        <v>0</v>
      </c>
      <c r="J98" s="233">
        <f t="shared" ref="J98:L98" si="101">J99+J105</f>
        <v>0</v>
      </c>
      <c r="K98" s="233">
        <f t="shared" si="101"/>
        <v>0</v>
      </c>
      <c r="L98" s="233">
        <f t="shared" si="101"/>
        <v>0</v>
      </c>
      <c r="M98" s="232">
        <f t="shared" si="77"/>
        <v>0</v>
      </c>
      <c r="N98" s="233">
        <v>0</v>
      </c>
      <c r="O98" s="233">
        <f t="shared" ref="O98:Q98" si="102">O99+O105</f>
        <v>0</v>
      </c>
      <c r="P98" s="233">
        <f t="shared" si="102"/>
        <v>0</v>
      </c>
      <c r="Q98" s="233">
        <f t="shared" si="102"/>
        <v>0</v>
      </c>
      <c r="R98" s="232">
        <f t="shared" si="78"/>
        <v>0</v>
      </c>
    </row>
    <row r="99" spans="1:18" s="6" customFormat="1" ht="12" hidden="1" customHeight="1">
      <c r="A99" s="132">
        <v>18000</v>
      </c>
      <c r="B99" s="125" t="s">
        <v>95</v>
      </c>
      <c r="C99" s="170">
        <v>0</v>
      </c>
      <c r="D99" s="171">
        <v>0</v>
      </c>
      <c r="E99" s="233">
        <f t="shared" ref="E99:L100" si="103">E100</f>
        <v>0</v>
      </c>
      <c r="F99" s="233">
        <f t="shared" si="103"/>
        <v>0</v>
      </c>
      <c r="G99" s="233">
        <f t="shared" si="103"/>
        <v>0</v>
      </c>
      <c r="H99" s="232">
        <f t="shared" si="76"/>
        <v>0</v>
      </c>
      <c r="I99" s="233">
        <v>0</v>
      </c>
      <c r="J99" s="233">
        <f t="shared" si="103"/>
        <v>0</v>
      </c>
      <c r="K99" s="233">
        <f t="shared" si="103"/>
        <v>0</v>
      </c>
      <c r="L99" s="233">
        <f t="shared" si="103"/>
        <v>0</v>
      </c>
      <c r="M99" s="232">
        <f t="shared" si="77"/>
        <v>0</v>
      </c>
      <c r="N99" s="233">
        <v>0</v>
      </c>
      <c r="O99" s="233">
        <f t="shared" ref="O99:Q100" si="104">O100</f>
        <v>0</v>
      </c>
      <c r="P99" s="233">
        <f t="shared" si="104"/>
        <v>0</v>
      </c>
      <c r="Q99" s="233">
        <f t="shared" si="104"/>
        <v>0</v>
      </c>
      <c r="R99" s="232">
        <f t="shared" si="78"/>
        <v>0</v>
      </c>
    </row>
    <row r="100" spans="1:18" s="6" customFormat="1" ht="12" hidden="1" customHeight="1">
      <c r="A100" s="132">
        <v>18100</v>
      </c>
      <c r="B100" s="125" t="s">
        <v>96</v>
      </c>
      <c r="C100" s="170">
        <v>0</v>
      </c>
      <c r="D100" s="171">
        <v>0</v>
      </c>
      <c r="E100" s="233">
        <f t="shared" si="103"/>
        <v>0</v>
      </c>
      <c r="F100" s="233">
        <f t="shared" si="103"/>
        <v>0</v>
      </c>
      <c r="G100" s="233">
        <f t="shared" si="103"/>
        <v>0</v>
      </c>
      <c r="H100" s="232">
        <f t="shared" si="76"/>
        <v>0</v>
      </c>
      <c r="I100" s="233">
        <v>0</v>
      </c>
      <c r="J100" s="233">
        <f t="shared" si="103"/>
        <v>0</v>
      </c>
      <c r="K100" s="233">
        <f t="shared" si="103"/>
        <v>0</v>
      </c>
      <c r="L100" s="233">
        <f t="shared" si="103"/>
        <v>0</v>
      </c>
      <c r="M100" s="232">
        <f t="shared" si="77"/>
        <v>0</v>
      </c>
      <c r="N100" s="233">
        <v>0</v>
      </c>
      <c r="O100" s="233">
        <f t="shared" si="104"/>
        <v>0</v>
      </c>
      <c r="P100" s="233">
        <f t="shared" si="104"/>
        <v>0</v>
      </c>
      <c r="Q100" s="233">
        <f t="shared" si="104"/>
        <v>0</v>
      </c>
      <c r="R100" s="232">
        <f t="shared" si="78"/>
        <v>0</v>
      </c>
    </row>
    <row r="101" spans="1:18" s="6" customFormat="1" ht="24" hidden="1" customHeight="1">
      <c r="A101" s="133">
        <v>18130</v>
      </c>
      <c r="B101" s="172" t="s">
        <v>159</v>
      </c>
      <c r="C101" s="170">
        <v>0</v>
      </c>
      <c r="D101" s="171">
        <v>0</v>
      </c>
      <c r="E101" s="233">
        <f t="shared" ref="E101:G101" si="105">SUM(E102:E104)</f>
        <v>0</v>
      </c>
      <c r="F101" s="233">
        <f t="shared" ref="F101" si="106">SUM(F102:F104)</f>
        <v>0</v>
      </c>
      <c r="G101" s="233">
        <f t="shared" si="105"/>
        <v>0</v>
      </c>
      <c r="H101" s="232">
        <f t="shared" si="76"/>
        <v>0</v>
      </c>
      <c r="I101" s="233">
        <v>0</v>
      </c>
      <c r="J101" s="233">
        <f t="shared" ref="J101:L101" si="107">SUM(J102:J104)</f>
        <v>0</v>
      </c>
      <c r="K101" s="233">
        <f t="shared" si="107"/>
        <v>0</v>
      </c>
      <c r="L101" s="233">
        <f t="shared" si="107"/>
        <v>0</v>
      </c>
      <c r="M101" s="232">
        <f t="shared" si="77"/>
        <v>0</v>
      </c>
      <c r="N101" s="233">
        <v>0</v>
      </c>
      <c r="O101" s="233">
        <f t="shared" ref="O101:Q101" si="108">SUM(O102:O104)</f>
        <v>0</v>
      </c>
      <c r="P101" s="233">
        <f t="shared" si="108"/>
        <v>0</v>
      </c>
      <c r="Q101" s="233">
        <f t="shared" si="108"/>
        <v>0</v>
      </c>
      <c r="R101" s="232">
        <f t="shared" si="78"/>
        <v>0</v>
      </c>
    </row>
    <row r="102" spans="1:18" s="6" customFormat="1" ht="24" hidden="1" customHeight="1">
      <c r="A102" s="134">
        <v>18131</v>
      </c>
      <c r="B102" s="172" t="s">
        <v>160</v>
      </c>
      <c r="C102" s="170"/>
      <c r="D102" s="171">
        <v>0</v>
      </c>
      <c r="E102" s="233"/>
      <c r="F102" s="233"/>
      <c r="G102" s="233"/>
      <c r="H102" s="232">
        <f t="shared" si="76"/>
        <v>0</v>
      </c>
      <c r="I102" s="233">
        <v>0</v>
      </c>
      <c r="J102" s="233"/>
      <c r="K102" s="233"/>
      <c r="L102" s="233"/>
      <c r="M102" s="232">
        <f t="shared" si="77"/>
        <v>0</v>
      </c>
      <c r="N102" s="233">
        <v>0</v>
      </c>
      <c r="O102" s="233"/>
      <c r="P102" s="233"/>
      <c r="Q102" s="233"/>
      <c r="R102" s="232">
        <f t="shared" si="78"/>
        <v>0</v>
      </c>
    </row>
    <row r="103" spans="1:18" s="6" customFormat="1" ht="24" hidden="1" customHeight="1">
      <c r="A103" s="134">
        <v>18132</v>
      </c>
      <c r="B103" s="172" t="s">
        <v>169</v>
      </c>
      <c r="C103" s="170"/>
      <c r="D103" s="171">
        <v>0</v>
      </c>
      <c r="E103" s="233"/>
      <c r="F103" s="233"/>
      <c r="G103" s="233"/>
      <c r="H103" s="232">
        <f t="shared" si="76"/>
        <v>0</v>
      </c>
      <c r="I103" s="233">
        <v>0</v>
      </c>
      <c r="J103" s="233"/>
      <c r="K103" s="233"/>
      <c r="L103" s="233"/>
      <c r="M103" s="232">
        <f t="shared" si="77"/>
        <v>0</v>
      </c>
      <c r="N103" s="233">
        <v>0</v>
      </c>
      <c r="O103" s="233"/>
      <c r="P103" s="233"/>
      <c r="Q103" s="233"/>
      <c r="R103" s="232">
        <f t="shared" si="78"/>
        <v>0</v>
      </c>
    </row>
    <row r="104" spans="1:18" s="6" customFormat="1" ht="24" hidden="1" customHeight="1">
      <c r="A104" s="134">
        <v>18139</v>
      </c>
      <c r="B104" s="172" t="s">
        <v>179</v>
      </c>
      <c r="C104" s="170"/>
      <c r="D104" s="171">
        <v>0</v>
      </c>
      <c r="E104" s="233"/>
      <c r="F104" s="233"/>
      <c r="G104" s="233"/>
      <c r="H104" s="232">
        <f t="shared" si="76"/>
        <v>0</v>
      </c>
      <c r="I104" s="233">
        <v>0</v>
      </c>
      <c r="J104" s="233"/>
      <c r="K104" s="233"/>
      <c r="L104" s="233"/>
      <c r="M104" s="232">
        <f t="shared" si="77"/>
        <v>0</v>
      </c>
      <c r="N104" s="233">
        <v>0</v>
      </c>
      <c r="O104" s="233"/>
      <c r="P104" s="233"/>
      <c r="Q104" s="233"/>
      <c r="R104" s="232">
        <f t="shared" si="78"/>
        <v>0</v>
      </c>
    </row>
    <row r="105" spans="1:18" s="6" customFormat="1" ht="12" hidden="1" customHeight="1">
      <c r="A105" s="135" t="s">
        <v>180</v>
      </c>
      <c r="B105" s="173" t="s">
        <v>173</v>
      </c>
      <c r="C105" s="201">
        <v>0</v>
      </c>
      <c r="D105" s="174">
        <v>0</v>
      </c>
      <c r="E105" s="238">
        <f t="shared" ref="E105:L105" si="109">E106</f>
        <v>0</v>
      </c>
      <c r="F105" s="238">
        <f t="shared" si="109"/>
        <v>0</v>
      </c>
      <c r="G105" s="238">
        <f t="shared" si="109"/>
        <v>0</v>
      </c>
      <c r="H105" s="232">
        <f t="shared" si="76"/>
        <v>0</v>
      </c>
      <c r="I105" s="238">
        <v>0</v>
      </c>
      <c r="J105" s="238">
        <f t="shared" si="109"/>
        <v>0</v>
      </c>
      <c r="K105" s="238">
        <f t="shared" si="109"/>
        <v>0</v>
      </c>
      <c r="L105" s="238">
        <f t="shared" si="109"/>
        <v>0</v>
      </c>
      <c r="M105" s="232">
        <f t="shared" si="77"/>
        <v>0</v>
      </c>
      <c r="N105" s="238">
        <v>0</v>
      </c>
      <c r="O105" s="238">
        <f t="shared" ref="O105:Q105" si="110">O106</f>
        <v>0</v>
      </c>
      <c r="P105" s="238">
        <f t="shared" si="110"/>
        <v>0</v>
      </c>
      <c r="Q105" s="238">
        <f t="shared" si="110"/>
        <v>0</v>
      </c>
      <c r="R105" s="232">
        <f t="shared" si="78"/>
        <v>0</v>
      </c>
    </row>
    <row r="106" spans="1:18" s="6" customFormat="1" ht="12" hidden="1" customHeight="1">
      <c r="A106" s="135">
        <v>19500</v>
      </c>
      <c r="B106" s="172" t="s">
        <v>174</v>
      </c>
      <c r="C106" s="170">
        <v>0</v>
      </c>
      <c r="D106" s="171">
        <v>0</v>
      </c>
      <c r="E106" s="233">
        <f t="shared" ref="E106:G106" si="111">SUM(E107:E109)</f>
        <v>0</v>
      </c>
      <c r="F106" s="233">
        <f t="shared" si="111"/>
        <v>0</v>
      </c>
      <c r="G106" s="233">
        <f t="shared" si="111"/>
        <v>0</v>
      </c>
      <c r="H106" s="232">
        <f t="shared" si="76"/>
        <v>0</v>
      </c>
      <c r="I106" s="233">
        <v>0</v>
      </c>
      <c r="J106" s="233">
        <f t="shared" ref="J106:L106" si="112">SUM(J107:J109)</f>
        <v>0</v>
      </c>
      <c r="K106" s="233">
        <f t="shared" si="112"/>
        <v>0</v>
      </c>
      <c r="L106" s="233">
        <f t="shared" si="112"/>
        <v>0</v>
      </c>
      <c r="M106" s="232">
        <f t="shared" si="77"/>
        <v>0</v>
      </c>
      <c r="N106" s="233">
        <v>0</v>
      </c>
      <c r="O106" s="233">
        <f t="shared" ref="O106:Q106" si="113">SUM(O107:O109)</f>
        <v>0</v>
      </c>
      <c r="P106" s="233">
        <f t="shared" si="113"/>
        <v>0</v>
      </c>
      <c r="Q106" s="233">
        <f t="shared" si="113"/>
        <v>0</v>
      </c>
      <c r="R106" s="232">
        <f t="shared" si="78"/>
        <v>0</v>
      </c>
    </row>
    <row r="107" spans="1:18" s="6" customFormat="1" ht="24" hidden="1" customHeight="1">
      <c r="A107" s="136">
        <v>19550</v>
      </c>
      <c r="B107" s="172" t="s">
        <v>175</v>
      </c>
      <c r="C107" s="170"/>
      <c r="D107" s="171">
        <v>0</v>
      </c>
      <c r="E107" s="233"/>
      <c r="F107" s="233"/>
      <c r="G107" s="233"/>
      <c r="H107" s="232">
        <f t="shared" si="76"/>
        <v>0</v>
      </c>
      <c r="I107" s="233">
        <v>0</v>
      </c>
      <c r="J107" s="233"/>
      <c r="K107" s="233"/>
      <c r="L107" s="233"/>
      <c r="M107" s="232">
        <f t="shared" si="77"/>
        <v>0</v>
      </c>
      <c r="N107" s="233">
        <v>0</v>
      </c>
      <c r="O107" s="233"/>
      <c r="P107" s="233"/>
      <c r="Q107" s="233"/>
      <c r="R107" s="232">
        <f t="shared" si="78"/>
        <v>0</v>
      </c>
    </row>
    <row r="108" spans="1:18" s="6" customFormat="1" ht="36" hidden="1" customHeight="1">
      <c r="A108" s="136">
        <v>19560</v>
      </c>
      <c r="B108" s="172" t="s">
        <v>181</v>
      </c>
      <c r="C108" s="170"/>
      <c r="D108" s="171">
        <v>0</v>
      </c>
      <c r="E108" s="233"/>
      <c r="F108" s="233"/>
      <c r="G108" s="233"/>
      <c r="H108" s="232">
        <f t="shared" si="76"/>
        <v>0</v>
      </c>
      <c r="I108" s="233">
        <v>0</v>
      </c>
      <c r="J108" s="233"/>
      <c r="K108" s="233"/>
      <c r="L108" s="233"/>
      <c r="M108" s="232">
        <f t="shared" si="77"/>
        <v>0</v>
      </c>
      <c r="N108" s="233">
        <v>0</v>
      </c>
      <c r="O108" s="233"/>
      <c r="P108" s="233"/>
      <c r="Q108" s="233"/>
      <c r="R108" s="232">
        <f t="shared" si="78"/>
        <v>0</v>
      </c>
    </row>
    <row r="109" spans="1:18" s="6" customFormat="1" ht="60" hidden="1" customHeight="1">
      <c r="A109" s="136">
        <v>19570</v>
      </c>
      <c r="B109" s="172" t="s">
        <v>182</v>
      </c>
      <c r="C109" s="170"/>
      <c r="D109" s="171">
        <v>0</v>
      </c>
      <c r="E109" s="233"/>
      <c r="F109" s="233"/>
      <c r="G109" s="233"/>
      <c r="H109" s="232">
        <f t="shared" si="76"/>
        <v>0</v>
      </c>
      <c r="I109" s="233">
        <v>0</v>
      </c>
      <c r="J109" s="233"/>
      <c r="K109" s="233"/>
      <c r="L109" s="233"/>
      <c r="M109" s="232">
        <f t="shared" si="77"/>
        <v>0</v>
      </c>
      <c r="N109" s="233">
        <v>0</v>
      </c>
      <c r="O109" s="233"/>
      <c r="P109" s="233"/>
      <c r="Q109" s="233"/>
      <c r="R109" s="232">
        <f t="shared" si="78"/>
        <v>0</v>
      </c>
    </row>
    <row r="110" spans="1:18" s="6" customFormat="1" ht="24" hidden="1" customHeight="1">
      <c r="A110" s="209" t="s">
        <v>222</v>
      </c>
      <c r="B110" s="208" t="s">
        <v>216</v>
      </c>
      <c r="C110" s="106">
        <v>0</v>
      </c>
      <c r="D110" s="107">
        <v>0</v>
      </c>
      <c r="E110" s="232">
        <f t="shared" ref="E110:L110" si="114">E111</f>
        <v>0</v>
      </c>
      <c r="F110" s="232">
        <f t="shared" si="114"/>
        <v>0</v>
      </c>
      <c r="G110" s="232">
        <f t="shared" si="114"/>
        <v>0</v>
      </c>
      <c r="H110" s="232">
        <f t="shared" si="76"/>
        <v>0</v>
      </c>
      <c r="I110" s="233">
        <v>0</v>
      </c>
      <c r="J110" s="232">
        <f t="shared" si="114"/>
        <v>0</v>
      </c>
      <c r="K110" s="232">
        <f t="shared" si="114"/>
        <v>0</v>
      </c>
      <c r="L110" s="232">
        <f t="shared" si="114"/>
        <v>0</v>
      </c>
      <c r="M110" s="232">
        <f t="shared" si="77"/>
        <v>0</v>
      </c>
      <c r="N110" s="233">
        <v>0</v>
      </c>
      <c r="O110" s="232">
        <f t="shared" ref="O110:Q110" si="115">O111</f>
        <v>0</v>
      </c>
      <c r="P110" s="232">
        <f t="shared" si="115"/>
        <v>0</v>
      </c>
      <c r="Q110" s="232">
        <f t="shared" si="115"/>
        <v>0</v>
      </c>
      <c r="R110" s="232">
        <f t="shared" si="78"/>
        <v>0</v>
      </c>
    </row>
    <row r="111" spans="1:18" s="6" customFormat="1" ht="36" hidden="1" customHeight="1">
      <c r="A111" s="209">
        <v>17100</v>
      </c>
      <c r="B111" s="208" t="s">
        <v>217</v>
      </c>
      <c r="C111" s="106">
        <v>0</v>
      </c>
      <c r="D111" s="107">
        <v>0</v>
      </c>
      <c r="E111" s="232">
        <f t="shared" ref="E111:G111" si="116">SUM(E112:E115)</f>
        <v>0</v>
      </c>
      <c r="F111" s="232">
        <f t="shared" si="116"/>
        <v>0</v>
      </c>
      <c r="G111" s="232">
        <f t="shared" si="116"/>
        <v>0</v>
      </c>
      <c r="H111" s="232">
        <f t="shared" si="76"/>
        <v>0</v>
      </c>
      <c r="I111" s="233">
        <v>0</v>
      </c>
      <c r="J111" s="232">
        <f t="shared" ref="J111:L111" si="117">SUM(J112:J115)</f>
        <v>0</v>
      </c>
      <c r="K111" s="232">
        <f t="shared" si="117"/>
        <v>0</v>
      </c>
      <c r="L111" s="232">
        <f t="shared" si="117"/>
        <v>0</v>
      </c>
      <c r="M111" s="232">
        <f t="shared" si="77"/>
        <v>0</v>
      </c>
      <c r="N111" s="233">
        <v>0</v>
      </c>
      <c r="O111" s="232">
        <f t="shared" ref="O111:Q111" si="118">SUM(O112:O115)</f>
        <v>0</v>
      </c>
      <c r="P111" s="232">
        <f t="shared" si="118"/>
        <v>0</v>
      </c>
      <c r="Q111" s="232">
        <f t="shared" si="118"/>
        <v>0</v>
      </c>
      <c r="R111" s="232">
        <f t="shared" si="78"/>
        <v>0</v>
      </c>
    </row>
    <row r="112" spans="1:18" s="6" customFormat="1" ht="48" hidden="1" customHeight="1">
      <c r="A112" s="149">
        <v>17110</v>
      </c>
      <c r="B112" s="208" t="s">
        <v>218</v>
      </c>
      <c r="C112" s="106"/>
      <c r="D112" s="107">
        <v>0</v>
      </c>
      <c r="E112" s="233"/>
      <c r="F112" s="233"/>
      <c r="G112" s="233"/>
      <c r="H112" s="232">
        <f t="shared" si="76"/>
        <v>0</v>
      </c>
      <c r="I112" s="233">
        <v>0</v>
      </c>
      <c r="J112" s="233"/>
      <c r="K112" s="233"/>
      <c r="L112" s="233"/>
      <c r="M112" s="232">
        <f t="shared" si="77"/>
        <v>0</v>
      </c>
      <c r="N112" s="233">
        <v>0</v>
      </c>
      <c r="O112" s="233"/>
      <c r="P112" s="233"/>
      <c r="Q112" s="233"/>
      <c r="R112" s="232">
        <f t="shared" si="78"/>
        <v>0</v>
      </c>
    </row>
    <row r="113" spans="1:18" s="6" customFormat="1" ht="48" hidden="1" customHeight="1">
      <c r="A113" s="149">
        <v>17120</v>
      </c>
      <c r="B113" s="208" t="s">
        <v>219</v>
      </c>
      <c r="C113" s="106"/>
      <c r="D113" s="107">
        <v>0</v>
      </c>
      <c r="E113" s="233"/>
      <c r="F113" s="233"/>
      <c r="G113" s="233"/>
      <c r="H113" s="232">
        <f t="shared" si="76"/>
        <v>0</v>
      </c>
      <c r="I113" s="233">
        <v>0</v>
      </c>
      <c r="J113" s="233"/>
      <c r="K113" s="233"/>
      <c r="L113" s="233"/>
      <c r="M113" s="232">
        <f t="shared" si="77"/>
        <v>0</v>
      </c>
      <c r="N113" s="233">
        <v>0</v>
      </c>
      <c r="O113" s="233"/>
      <c r="P113" s="233"/>
      <c r="Q113" s="233"/>
      <c r="R113" s="232">
        <f t="shared" si="78"/>
        <v>0</v>
      </c>
    </row>
    <row r="114" spans="1:18" s="6" customFormat="1" ht="96" hidden="1" customHeight="1">
      <c r="A114" s="149">
        <v>17130</v>
      </c>
      <c r="B114" s="208" t="s">
        <v>220</v>
      </c>
      <c r="C114" s="106"/>
      <c r="D114" s="107">
        <v>0</v>
      </c>
      <c r="E114" s="233"/>
      <c r="F114" s="233"/>
      <c r="G114" s="233"/>
      <c r="H114" s="232">
        <f t="shared" si="76"/>
        <v>0</v>
      </c>
      <c r="I114" s="233">
        <v>0</v>
      </c>
      <c r="J114" s="233"/>
      <c r="K114" s="233"/>
      <c r="L114" s="233"/>
      <c r="M114" s="232">
        <f t="shared" si="77"/>
        <v>0</v>
      </c>
      <c r="N114" s="233">
        <v>0</v>
      </c>
      <c r="O114" s="233"/>
      <c r="P114" s="233"/>
      <c r="Q114" s="233"/>
      <c r="R114" s="232">
        <f t="shared" si="78"/>
        <v>0</v>
      </c>
    </row>
    <row r="115" spans="1:18" s="6" customFormat="1" ht="96" hidden="1" customHeight="1">
      <c r="A115" s="149">
        <v>17140</v>
      </c>
      <c r="B115" s="208" t="s">
        <v>221</v>
      </c>
      <c r="C115" s="106"/>
      <c r="D115" s="107">
        <v>0</v>
      </c>
      <c r="E115" s="233"/>
      <c r="F115" s="233"/>
      <c r="G115" s="233"/>
      <c r="H115" s="232">
        <f t="shared" si="76"/>
        <v>0</v>
      </c>
      <c r="I115" s="233">
        <v>0</v>
      </c>
      <c r="J115" s="233"/>
      <c r="K115" s="233"/>
      <c r="L115" s="233"/>
      <c r="M115" s="232">
        <f t="shared" si="77"/>
        <v>0</v>
      </c>
      <c r="N115" s="233">
        <v>0</v>
      </c>
      <c r="O115" s="233"/>
      <c r="P115" s="233"/>
      <c r="Q115" s="233"/>
      <c r="R115" s="232">
        <f t="shared" si="78"/>
        <v>0</v>
      </c>
    </row>
    <row r="116" spans="1:18" s="6" customFormat="1" ht="12">
      <c r="A116" s="137">
        <v>21700</v>
      </c>
      <c r="B116" s="124" t="s">
        <v>97</v>
      </c>
      <c r="C116" s="170">
        <v>2929858</v>
      </c>
      <c r="D116" s="171">
        <v>2932670</v>
      </c>
      <c r="E116" s="233">
        <f t="shared" ref="E116:G116" si="119">E117+E118</f>
        <v>0</v>
      </c>
      <c r="F116" s="233">
        <f t="shared" si="119"/>
        <v>0</v>
      </c>
      <c r="G116" s="233">
        <f t="shared" si="119"/>
        <v>252521</v>
      </c>
      <c r="H116" s="232">
        <f t="shared" si="76"/>
        <v>3185191</v>
      </c>
      <c r="I116" s="233">
        <v>2932670</v>
      </c>
      <c r="J116" s="233">
        <f t="shared" ref="J116:L116" si="120">J117+J118</f>
        <v>0</v>
      </c>
      <c r="K116" s="233">
        <f t="shared" si="120"/>
        <v>0</v>
      </c>
      <c r="L116" s="233">
        <f t="shared" si="120"/>
        <v>252521</v>
      </c>
      <c r="M116" s="232">
        <f t="shared" si="77"/>
        <v>3185191</v>
      </c>
      <c r="N116" s="233">
        <v>2932670</v>
      </c>
      <c r="O116" s="233">
        <f t="shared" ref="O116:Q116" si="121">O117+O118</f>
        <v>0</v>
      </c>
      <c r="P116" s="233">
        <f t="shared" si="121"/>
        <v>0</v>
      </c>
      <c r="Q116" s="233">
        <f t="shared" si="121"/>
        <v>252521</v>
      </c>
      <c r="R116" s="232">
        <f t="shared" si="78"/>
        <v>3185191</v>
      </c>
    </row>
    <row r="117" spans="1:18" s="6" customFormat="1" ht="12">
      <c r="A117" s="138">
        <v>21710</v>
      </c>
      <c r="B117" s="125" t="s">
        <v>98</v>
      </c>
      <c r="C117" s="170">
        <v>2929858</v>
      </c>
      <c r="D117" s="171">
        <v>2932670</v>
      </c>
      <c r="E117" s="233"/>
      <c r="F117" s="233"/>
      <c r="G117" s="233">
        <f>G273+G282+G290+G300+G309+G317</f>
        <v>252521</v>
      </c>
      <c r="H117" s="232">
        <f t="shared" si="76"/>
        <v>3185191</v>
      </c>
      <c r="I117" s="233">
        <v>2932670</v>
      </c>
      <c r="J117" s="233"/>
      <c r="K117" s="233"/>
      <c r="L117" s="233">
        <f>L273+L282+L290+L300+L309+L317</f>
        <v>252521</v>
      </c>
      <c r="M117" s="232">
        <f t="shared" si="77"/>
        <v>3185191</v>
      </c>
      <c r="N117" s="233">
        <v>2932670</v>
      </c>
      <c r="O117" s="233"/>
      <c r="P117" s="233"/>
      <c r="Q117" s="233">
        <f>Q273+Q282+Q290+Q300+Q309+Q317</f>
        <v>252521</v>
      </c>
      <c r="R117" s="232">
        <f t="shared" si="78"/>
        <v>3185191</v>
      </c>
    </row>
    <row r="118" spans="1:18" s="6" customFormat="1" ht="24" hidden="1" customHeight="1">
      <c r="A118" s="138">
        <v>21720</v>
      </c>
      <c r="B118" s="125" t="s">
        <v>99</v>
      </c>
      <c r="C118" s="170"/>
      <c r="D118" s="171">
        <v>0</v>
      </c>
      <c r="E118" s="233"/>
      <c r="F118" s="233"/>
      <c r="G118" s="233"/>
      <c r="H118" s="232">
        <f t="shared" si="76"/>
        <v>0</v>
      </c>
      <c r="I118" s="233">
        <v>0</v>
      </c>
      <c r="J118" s="233"/>
      <c r="K118" s="233"/>
      <c r="L118" s="233"/>
      <c r="M118" s="232">
        <f t="shared" si="77"/>
        <v>0</v>
      </c>
      <c r="N118" s="233">
        <v>0</v>
      </c>
      <c r="O118" s="233"/>
      <c r="P118" s="233"/>
      <c r="Q118" s="233"/>
      <c r="R118" s="232">
        <f t="shared" si="78"/>
        <v>0</v>
      </c>
    </row>
    <row r="119" spans="1:18" s="6" customFormat="1" ht="11.4">
      <c r="A119" s="129" t="s">
        <v>100</v>
      </c>
      <c r="B119" s="123" t="s">
        <v>101</v>
      </c>
      <c r="C119" s="168">
        <v>2931358</v>
      </c>
      <c r="D119" s="175">
        <v>2934170</v>
      </c>
      <c r="E119" s="243">
        <f t="shared" ref="E119:F119" si="122">E120+E147</f>
        <v>0</v>
      </c>
      <c r="F119" s="243">
        <f t="shared" si="122"/>
        <v>0</v>
      </c>
      <c r="G119" s="243">
        <f>G120+G147</f>
        <v>252521</v>
      </c>
      <c r="H119" s="229">
        <f t="shared" si="76"/>
        <v>3186691</v>
      </c>
      <c r="I119" s="243">
        <v>2934170</v>
      </c>
      <c r="J119" s="243">
        <f t="shared" ref="J119:L119" si="123">J120+J147</f>
        <v>0</v>
      </c>
      <c r="K119" s="243">
        <f t="shared" si="123"/>
        <v>0</v>
      </c>
      <c r="L119" s="243">
        <f t="shared" si="123"/>
        <v>252521</v>
      </c>
      <c r="M119" s="229">
        <f t="shared" si="77"/>
        <v>3186691</v>
      </c>
      <c r="N119" s="243">
        <v>2934170</v>
      </c>
      <c r="O119" s="243">
        <f t="shared" ref="O119:Q119" si="124">O120+O147</f>
        <v>0</v>
      </c>
      <c r="P119" s="243">
        <f t="shared" si="124"/>
        <v>0</v>
      </c>
      <c r="Q119" s="243">
        <f t="shared" si="124"/>
        <v>252521</v>
      </c>
      <c r="R119" s="229">
        <f t="shared" si="78"/>
        <v>3186691</v>
      </c>
    </row>
    <row r="120" spans="1:18" s="6" customFormat="1" ht="20.399999999999999">
      <c r="A120" s="130" t="s">
        <v>102</v>
      </c>
      <c r="B120" s="124" t="s">
        <v>103</v>
      </c>
      <c r="C120" s="170">
        <v>2931358</v>
      </c>
      <c r="D120" s="171">
        <v>2934170</v>
      </c>
      <c r="E120" s="233">
        <f t="shared" ref="E120:G120" si="125">E121+E125+E126+E129+E132</f>
        <v>0</v>
      </c>
      <c r="F120" s="233">
        <f t="shared" si="125"/>
        <v>0</v>
      </c>
      <c r="G120" s="233">
        <f t="shared" si="125"/>
        <v>252521</v>
      </c>
      <c r="H120" s="232">
        <f t="shared" si="76"/>
        <v>3186691</v>
      </c>
      <c r="I120" s="233">
        <v>2934170</v>
      </c>
      <c r="J120" s="233">
        <f t="shared" ref="J120:L120" si="126">J121+J125+J126+J129+J132</f>
        <v>0</v>
      </c>
      <c r="K120" s="233">
        <f t="shared" si="126"/>
        <v>0</v>
      </c>
      <c r="L120" s="233">
        <f t="shared" si="126"/>
        <v>252521</v>
      </c>
      <c r="M120" s="232">
        <f t="shared" si="77"/>
        <v>3186691</v>
      </c>
      <c r="N120" s="233">
        <v>2934170</v>
      </c>
      <c r="O120" s="233">
        <f t="shared" ref="O120:Q120" si="127">O121+O125+O126+O129+O132</f>
        <v>0</v>
      </c>
      <c r="P120" s="233">
        <f t="shared" si="127"/>
        <v>0</v>
      </c>
      <c r="Q120" s="233">
        <f t="shared" si="127"/>
        <v>252521</v>
      </c>
      <c r="R120" s="232">
        <f t="shared" si="78"/>
        <v>3186691</v>
      </c>
    </row>
    <row r="121" spans="1:18" s="6" customFormat="1" ht="12">
      <c r="A121" s="130" t="s">
        <v>104</v>
      </c>
      <c r="B121" s="124" t="s">
        <v>105</v>
      </c>
      <c r="C121" s="170">
        <v>2928195</v>
      </c>
      <c r="D121" s="171">
        <v>2928195</v>
      </c>
      <c r="E121" s="233">
        <f t="shared" ref="E121:F121" si="128">E122+E124</f>
        <v>0</v>
      </c>
      <c r="F121" s="233">
        <f t="shared" si="128"/>
        <v>0</v>
      </c>
      <c r="G121" s="233">
        <f>G122+G124</f>
        <v>252521</v>
      </c>
      <c r="H121" s="232">
        <f t="shared" si="76"/>
        <v>3180716</v>
      </c>
      <c r="I121" s="233">
        <v>2928195</v>
      </c>
      <c r="J121" s="233">
        <f t="shared" ref="J121:K121" si="129">J122+J124</f>
        <v>0</v>
      </c>
      <c r="K121" s="233">
        <f t="shared" si="129"/>
        <v>0</v>
      </c>
      <c r="L121" s="233">
        <f>L122+L124</f>
        <v>252521</v>
      </c>
      <c r="M121" s="232">
        <f t="shared" si="77"/>
        <v>3180716</v>
      </c>
      <c r="N121" s="233">
        <v>2928195</v>
      </c>
      <c r="O121" s="233">
        <f t="shared" ref="O121:P121" si="130">O122+O124</f>
        <v>0</v>
      </c>
      <c r="P121" s="233">
        <f t="shared" si="130"/>
        <v>0</v>
      </c>
      <c r="Q121" s="233">
        <f>Q122+Q124</f>
        <v>252521</v>
      </c>
      <c r="R121" s="232">
        <f t="shared" si="78"/>
        <v>3180716</v>
      </c>
    </row>
    <row r="122" spans="1:18" s="29" customFormat="1" ht="12">
      <c r="A122" s="132">
        <v>1000</v>
      </c>
      <c r="B122" s="125" t="s">
        <v>106</v>
      </c>
      <c r="C122" s="170">
        <v>2743175</v>
      </c>
      <c r="D122" s="171">
        <v>2743175</v>
      </c>
      <c r="E122" s="244"/>
      <c r="F122" s="244"/>
      <c r="G122" s="233">
        <f>G277+G286+G294+G304+G313</f>
        <v>227699</v>
      </c>
      <c r="H122" s="232">
        <f t="shared" si="76"/>
        <v>2970874</v>
      </c>
      <c r="I122" s="233">
        <v>2743175</v>
      </c>
      <c r="J122" s="244"/>
      <c r="K122" s="244"/>
      <c r="L122" s="233">
        <f>L277+L286+L294+L304+L313</f>
        <v>227699</v>
      </c>
      <c r="M122" s="232">
        <f t="shared" si="77"/>
        <v>2970874</v>
      </c>
      <c r="N122" s="233">
        <v>2743175</v>
      </c>
      <c r="O122" s="244"/>
      <c r="P122" s="244"/>
      <c r="Q122" s="233">
        <f>Q277+Q286+Q294+Q304+Q313</f>
        <v>227699</v>
      </c>
      <c r="R122" s="232">
        <f t="shared" si="78"/>
        <v>2970874</v>
      </c>
    </row>
    <row r="123" spans="1:18" s="89" customFormat="1" ht="12">
      <c r="A123" s="139">
        <v>1100</v>
      </c>
      <c r="B123" s="125" t="s">
        <v>107</v>
      </c>
      <c r="C123" s="170">
        <v>2197819</v>
      </c>
      <c r="D123" s="171">
        <v>2197819</v>
      </c>
      <c r="E123" s="244"/>
      <c r="F123" s="244"/>
      <c r="G123" s="233">
        <f>G278+G295+G305</f>
        <v>145297</v>
      </c>
      <c r="H123" s="232">
        <f t="shared" si="76"/>
        <v>2343116</v>
      </c>
      <c r="I123" s="233">
        <v>2197819</v>
      </c>
      <c r="J123" s="244"/>
      <c r="K123" s="244"/>
      <c r="L123" s="233">
        <f>L278+L295+L305</f>
        <v>145297</v>
      </c>
      <c r="M123" s="232">
        <f t="shared" si="77"/>
        <v>2343116</v>
      </c>
      <c r="N123" s="233">
        <v>2197819</v>
      </c>
      <c r="O123" s="244"/>
      <c r="P123" s="244"/>
      <c r="Q123" s="233">
        <f>Q278+Q295+Q305</f>
        <v>145297</v>
      </c>
      <c r="R123" s="232">
        <f t="shared" si="78"/>
        <v>2343116</v>
      </c>
    </row>
    <row r="124" spans="1:18" s="89" customFormat="1" ht="12">
      <c r="A124" s="132">
        <v>2000</v>
      </c>
      <c r="B124" s="125" t="s">
        <v>108</v>
      </c>
      <c r="C124" s="170">
        <v>185020</v>
      </c>
      <c r="D124" s="171">
        <v>185020</v>
      </c>
      <c r="E124" s="244"/>
      <c r="F124" s="244"/>
      <c r="G124" s="233">
        <f>+G296+G321</f>
        <v>24822</v>
      </c>
      <c r="H124" s="232">
        <f t="shared" si="76"/>
        <v>209842</v>
      </c>
      <c r="I124" s="233">
        <v>185020</v>
      </c>
      <c r="J124" s="244"/>
      <c r="K124" s="244"/>
      <c r="L124" s="233">
        <f>+L296+L321</f>
        <v>24822</v>
      </c>
      <c r="M124" s="232">
        <f t="shared" si="77"/>
        <v>209842</v>
      </c>
      <c r="N124" s="233">
        <v>185020</v>
      </c>
      <c r="O124" s="244"/>
      <c r="P124" s="244"/>
      <c r="Q124" s="233">
        <f>+Q296+Q321</f>
        <v>24822</v>
      </c>
      <c r="R124" s="232">
        <f t="shared" si="78"/>
        <v>209842</v>
      </c>
    </row>
    <row r="125" spans="1:18" s="89" customFormat="1" ht="12" hidden="1" customHeight="1">
      <c r="A125" s="140">
        <v>4000</v>
      </c>
      <c r="B125" s="124" t="s">
        <v>132</v>
      </c>
      <c r="C125" s="170"/>
      <c r="D125" s="171">
        <v>0</v>
      </c>
      <c r="E125" s="244"/>
      <c r="F125" s="244"/>
      <c r="G125" s="244"/>
      <c r="H125" s="232">
        <f t="shared" si="76"/>
        <v>0</v>
      </c>
      <c r="I125" s="233">
        <v>0</v>
      </c>
      <c r="J125" s="244"/>
      <c r="K125" s="244"/>
      <c r="L125" s="244"/>
      <c r="M125" s="232">
        <f t="shared" si="77"/>
        <v>0</v>
      </c>
      <c r="N125" s="233">
        <v>0</v>
      </c>
      <c r="O125" s="244"/>
      <c r="P125" s="244"/>
      <c r="Q125" s="244"/>
      <c r="R125" s="232">
        <f t="shared" si="78"/>
        <v>0</v>
      </c>
    </row>
    <row r="126" spans="1:18" s="89" customFormat="1" ht="12" hidden="1" customHeight="1">
      <c r="A126" s="140" t="s">
        <v>109</v>
      </c>
      <c r="B126" s="124" t="s">
        <v>110</v>
      </c>
      <c r="C126" s="170">
        <v>0</v>
      </c>
      <c r="D126" s="171">
        <v>0</v>
      </c>
      <c r="E126" s="233">
        <f t="shared" ref="E126:G126" si="131">E127+E128</f>
        <v>0</v>
      </c>
      <c r="F126" s="233">
        <f t="shared" si="131"/>
        <v>0</v>
      </c>
      <c r="G126" s="233">
        <f t="shared" si="131"/>
        <v>0</v>
      </c>
      <c r="H126" s="232">
        <f t="shared" si="76"/>
        <v>0</v>
      </c>
      <c r="I126" s="233">
        <v>0</v>
      </c>
      <c r="J126" s="233">
        <f t="shared" ref="J126:L126" si="132">J127+J128</f>
        <v>0</v>
      </c>
      <c r="K126" s="233">
        <f t="shared" si="132"/>
        <v>0</v>
      </c>
      <c r="L126" s="233">
        <f t="shared" si="132"/>
        <v>0</v>
      </c>
      <c r="M126" s="232">
        <f t="shared" si="77"/>
        <v>0</v>
      </c>
      <c r="N126" s="233">
        <v>0</v>
      </c>
      <c r="O126" s="233">
        <f t="shared" ref="O126:Q126" si="133">O127+O128</f>
        <v>0</v>
      </c>
      <c r="P126" s="233">
        <f t="shared" si="133"/>
        <v>0</v>
      </c>
      <c r="Q126" s="233">
        <f t="shared" si="133"/>
        <v>0</v>
      </c>
      <c r="R126" s="232">
        <f t="shared" si="78"/>
        <v>0</v>
      </c>
    </row>
    <row r="127" spans="1:18" s="89" customFormat="1" ht="12" hidden="1" customHeight="1">
      <c r="A127" s="132">
        <v>3000</v>
      </c>
      <c r="B127" s="125" t="s">
        <v>111</v>
      </c>
      <c r="C127" s="202"/>
      <c r="D127" s="213">
        <v>0</v>
      </c>
      <c r="E127" s="246"/>
      <c r="F127" s="246"/>
      <c r="G127" s="246"/>
      <c r="H127" s="232">
        <f t="shared" si="76"/>
        <v>0</v>
      </c>
      <c r="I127" s="345">
        <v>0</v>
      </c>
      <c r="J127" s="246"/>
      <c r="K127" s="246"/>
      <c r="L127" s="246"/>
      <c r="M127" s="232">
        <f t="shared" si="77"/>
        <v>0</v>
      </c>
      <c r="N127" s="345">
        <v>0</v>
      </c>
      <c r="O127" s="246"/>
      <c r="P127" s="246"/>
      <c r="Q127" s="246"/>
      <c r="R127" s="232">
        <f t="shared" si="78"/>
        <v>0</v>
      </c>
    </row>
    <row r="128" spans="1:18" s="89" customFormat="1" ht="12" hidden="1" customHeight="1">
      <c r="A128" s="132">
        <v>6000</v>
      </c>
      <c r="B128" s="125" t="s">
        <v>112</v>
      </c>
      <c r="C128" s="203"/>
      <c r="D128" s="287">
        <v>0</v>
      </c>
      <c r="E128" s="248"/>
      <c r="F128" s="248"/>
      <c r="G128" s="248"/>
      <c r="H128" s="232">
        <f t="shared" si="76"/>
        <v>0</v>
      </c>
      <c r="I128" s="346">
        <v>0</v>
      </c>
      <c r="J128" s="248"/>
      <c r="K128" s="248"/>
      <c r="L128" s="248"/>
      <c r="M128" s="232">
        <f t="shared" si="77"/>
        <v>0</v>
      </c>
      <c r="N128" s="346">
        <v>0</v>
      </c>
      <c r="O128" s="248"/>
      <c r="P128" s="248"/>
      <c r="Q128" s="248"/>
      <c r="R128" s="232">
        <f t="shared" si="78"/>
        <v>0</v>
      </c>
    </row>
    <row r="129" spans="1:18" s="89" customFormat="1" ht="22.8">
      <c r="A129" s="140" t="s">
        <v>113</v>
      </c>
      <c r="B129" s="124" t="s">
        <v>183</v>
      </c>
      <c r="C129" s="170">
        <v>3163</v>
      </c>
      <c r="D129" s="171">
        <v>5975</v>
      </c>
      <c r="E129" s="233">
        <f t="shared" ref="E129:G129" si="134">E130+E131</f>
        <v>0</v>
      </c>
      <c r="F129" s="233">
        <f t="shared" si="134"/>
        <v>0</v>
      </c>
      <c r="G129" s="233">
        <f t="shared" si="134"/>
        <v>0</v>
      </c>
      <c r="H129" s="232">
        <f t="shared" si="76"/>
        <v>5975</v>
      </c>
      <c r="I129" s="233">
        <v>5975</v>
      </c>
      <c r="J129" s="233">
        <f t="shared" ref="J129:L129" si="135">J130+J131</f>
        <v>0</v>
      </c>
      <c r="K129" s="233">
        <f t="shared" si="135"/>
        <v>0</v>
      </c>
      <c r="L129" s="233">
        <f t="shared" si="135"/>
        <v>0</v>
      </c>
      <c r="M129" s="232">
        <f t="shared" si="77"/>
        <v>5975</v>
      </c>
      <c r="N129" s="233">
        <v>5975</v>
      </c>
      <c r="O129" s="233">
        <f t="shared" ref="O129:Q129" si="136">O130+O131</f>
        <v>0</v>
      </c>
      <c r="P129" s="233">
        <f t="shared" si="136"/>
        <v>0</v>
      </c>
      <c r="Q129" s="233">
        <f t="shared" si="136"/>
        <v>0</v>
      </c>
      <c r="R129" s="232">
        <f t="shared" si="78"/>
        <v>5975</v>
      </c>
    </row>
    <row r="130" spans="1:18" s="89" customFormat="1" ht="12" hidden="1" customHeight="1">
      <c r="A130" s="132">
        <v>7600</v>
      </c>
      <c r="B130" s="179" t="s">
        <v>184</v>
      </c>
      <c r="C130" s="170"/>
      <c r="D130" s="171">
        <v>0</v>
      </c>
      <c r="E130" s="244"/>
      <c r="F130" s="244"/>
      <c r="G130" s="244"/>
      <c r="H130" s="232">
        <f t="shared" si="76"/>
        <v>0</v>
      </c>
      <c r="I130" s="233">
        <v>0</v>
      </c>
      <c r="J130" s="244"/>
      <c r="K130" s="244"/>
      <c r="L130" s="244"/>
      <c r="M130" s="232">
        <f t="shared" si="77"/>
        <v>0</v>
      </c>
      <c r="N130" s="233">
        <v>0</v>
      </c>
      <c r="O130" s="244"/>
      <c r="P130" s="244"/>
      <c r="Q130" s="244"/>
      <c r="R130" s="232">
        <f t="shared" si="78"/>
        <v>0</v>
      </c>
    </row>
    <row r="131" spans="1:18" s="89" customFormat="1" ht="12">
      <c r="A131" s="132">
        <v>7700</v>
      </c>
      <c r="B131" s="126" t="s">
        <v>114</v>
      </c>
      <c r="C131" s="170">
        <v>3163</v>
      </c>
      <c r="D131" s="171">
        <v>5975</v>
      </c>
      <c r="E131" s="244"/>
      <c r="F131" s="244"/>
      <c r="G131" s="244"/>
      <c r="H131" s="232">
        <f t="shared" si="76"/>
        <v>5975</v>
      </c>
      <c r="I131" s="233">
        <v>5975</v>
      </c>
      <c r="J131" s="244"/>
      <c r="K131" s="244"/>
      <c r="L131" s="244"/>
      <c r="M131" s="232">
        <f>SUM(I131:L131)</f>
        <v>5975</v>
      </c>
      <c r="N131" s="233">
        <v>5975</v>
      </c>
      <c r="O131" s="244"/>
      <c r="P131" s="244"/>
      <c r="Q131" s="244"/>
      <c r="R131" s="232">
        <f t="shared" si="78"/>
        <v>5975</v>
      </c>
    </row>
    <row r="132" spans="1:18" s="89" customFormat="1" ht="21" hidden="1" customHeight="1">
      <c r="A132" s="140" t="s">
        <v>185</v>
      </c>
      <c r="B132" s="124" t="s">
        <v>115</v>
      </c>
      <c r="C132" s="170">
        <v>0</v>
      </c>
      <c r="D132" s="171">
        <v>0</v>
      </c>
      <c r="E132" s="233">
        <f t="shared" ref="E132:G132" si="137">E133+E139+E143+E146</f>
        <v>0</v>
      </c>
      <c r="F132" s="233">
        <f t="shared" si="137"/>
        <v>0</v>
      </c>
      <c r="G132" s="233">
        <f t="shared" si="137"/>
        <v>0</v>
      </c>
      <c r="H132" s="232">
        <f t="shared" si="76"/>
        <v>0</v>
      </c>
      <c r="I132" s="233">
        <v>0</v>
      </c>
      <c r="J132" s="233">
        <f t="shared" ref="J132:L132" si="138">J133+J139+J143+J146</f>
        <v>0</v>
      </c>
      <c r="K132" s="233">
        <f t="shared" si="138"/>
        <v>0</v>
      </c>
      <c r="L132" s="233">
        <f t="shared" si="138"/>
        <v>0</v>
      </c>
      <c r="M132" s="232">
        <f t="shared" si="77"/>
        <v>0</v>
      </c>
      <c r="N132" s="233">
        <v>0</v>
      </c>
      <c r="O132" s="233">
        <f t="shared" ref="O132:Q132" si="139">O133+O139+O143+O146</f>
        <v>0</v>
      </c>
      <c r="P132" s="233">
        <f t="shared" si="139"/>
        <v>0</v>
      </c>
      <c r="Q132" s="233">
        <f t="shared" si="139"/>
        <v>0</v>
      </c>
      <c r="R132" s="232">
        <f t="shared" si="78"/>
        <v>0</v>
      </c>
    </row>
    <row r="133" spans="1:18" s="89" customFormat="1" ht="12" hidden="1" customHeight="1">
      <c r="A133" s="132">
        <v>7100</v>
      </c>
      <c r="B133" s="179" t="s">
        <v>116</v>
      </c>
      <c r="C133" s="170">
        <v>0</v>
      </c>
      <c r="D133" s="171">
        <v>0</v>
      </c>
      <c r="E133" s="233">
        <f t="shared" ref="E133:G133" si="140">E134+E135</f>
        <v>0</v>
      </c>
      <c r="F133" s="233">
        <f t="shared" si="140"/>
        <v>0</v>
      </c>
      <c r="G133" s="233">
        <f t="shared" si="140"/>
        <v>0</v>
      </c>
      <c r="H133" s="232">
        <f t="shared" si="76"/>
        <v>0</v>
      </c>
      <c r="I133" s="233">
        <v>0</v>
      </c>
      <c r="J133" s="233">
        <f t="shared" ref="J133:L133" si="141">J134+J135</f>
        <v>0</v>
      </c>
      <c r="K133" s="233">
        <f t="shared" si="141"/>
        <v>0</v>
      </c>
      <c r="L133" s="233">
        <f t="shared" si="141"/>
        <v>0</v>
      </c>
      <c r="M133" s="232">
        <f t="shared" si="77"/>
        <v>0</v>
      </c>
      <c r="N133" s="233">
        <v>0</v>
      </c>
      <c r="O133" s="233">
        <f t="shared" ref="O133:Q133" si="142">O134+O135</f>
        <v>0</v>
      </c>
      <c r="P133" s="233">
        <f t="shared" si="142"/>
        <v>0</v>
      </c>
      <c r="Q133" s="233">
        <f t="shared" si="142"/>
        <v>0</v>
      </c>
      <c r="R133" s="232">
        <f t="shared" si="78"/>
        <v>0</v>
      </c>
    </row>
    <row r="134" spans="1:18" s="89" customFormat="1" ht="24" hidden="1" customHeight="1">
      <c r="A134" s="133" t="s">
        <v>117</v>
      </c>
      <c r="B134" s="179" t="s">
        <v>118</v>
      </c>
      <c r="C134" s="170"/>
      <c r="D134" s="171">
        <v>0</v>
      </c>
      <c r="E134" s="233"/>
      <c r="F134" s="233"/>
      <c r="G134" s="233"/>
      <c r="H134" s="232">
        <f t="shared" si="76"/>
        <v>0</v>
      </c>
      <c r="I134" s="233">
        <v>0</v>
      </c>
      <c r="J134" s="233"/>
      <c r="K134" s="233"/>
      <c r="L134" s="233"/>
      <c r="M134" s="232">
        <f t="shared" si="77"/>
        <v>0</v>
      </c>
      <c r="N134" s="233">
        <v>0</v>
      </c>
      <c r="O134" s="233"/>
      <c r="P134" s="233"/>
      <c r="Q134" s="233"/>
      <c r="R134" s="232">
        <f t="shared" si="78"/>
        <v>0</v>
      </c>
    </row>
    <row r="135" spans="1:18" s="89" customFormat="1" ht="24" hidden="1" customHeight="1">
      <c r="A135" s="133">
        <v>7130</v>
      </c>
      <c r="B135" s="179" t="s">
        <v>119</v>
      </c>
      <c r="C135" s="170">
        <v>0</v>
      </c>
      <c r="D135" s="171">
        <v>0</v>
      </c>
      <c r="E135" s="233">
        <f t="shared" ref="E135:G135" si="143">SUM(E136:E138)</f>
        <v>0</v>
      </c>
      <c r="F135" s="233">
        <f t="shared" ref="F135" si="144">SUM(F136:F138)</f>
        <v>0</v>
      </c>
      <c r="G135" s="233">
        <f t="shared" si="143"/>
        <v>0</v>
      </c>
      <c r="H135" s="232">
        <f t="shared" si="76"/>
        <v>0</v>
      </c>
      <c r="I135" s="233">
        <v>0</v>
      </c>
      <c r="J135" s="233">
        <f t="shared" ref="J135:L135" si="145">SUM(J136:J138)</f>
        <v>0</v>
      </c>
      <c r="K135" s="233">
        <f t="shared" si="145"/>
        <v>0</v>
      </c>
      <c r="L135" s="233">
        <f t="shared" si="145"/>
        <v>0</v>
      </c>
      <c r="M135" s="232">
        <f t="shared" si="77"/>
        <v>0</v>
      </c>
      <c r="N135" s="233">
        <v>0</v>
      </c>
      <c r="O135" s="233">
        <f t="shared" ref="O135:Q135" si="146">SUM(O136:O138)</f>
        <v>0</v>
      </c>
      <c r="P135" s="233">
        <f t="shared" si="146"/>
        <v>0</v>
      </c>
      <c r="Q135" s="233">
        <f t="shared" si="146"/>
        <v>0</v>
      </c>
      <c r="R135" s="232">
        <f t="shared" si="78"/>
        <v>0</v>
      </c>
    </row>
    <row r="136" spans="1:18" s="89" customFormat="1" ht="36" hidden="1" customHeight="1">
      <c r="A136" s="134">
        <v>7131</v>
      </c>
      <c r="B136" s="179" t="s">
        <v>120</v>
      </c>
      <c r="C136" s="170"/>
      <c r="D136" s="171">
        <v>0</v>
      </c>
      <c r="E136" s="233"/>
      <c r="F136" s="233"/>
      <c r="G136" s="233"/>
      <c r="H136" s="232">
        <f t="shared" si="76"/>
        <v>0</v>
      </c>
      <c r="I136" s="233">
        <v>0</v>
      </c>
      <c r="J136" s="233"/>
      <c r="K136" s="233"/>
      <c r="L136" s="233"/>
      <c r="M136" s="232">
        <f t="shared" si="77"/>
        <v>0</v>
      </c>
      <c r="N136" s="233">
        <v>0</v>
      </c>
      <c r="O136" s="233"/>
      <c r="P136" s="233"/>
      <c r="Q136" s="233"/>
      <c r="R136" s="232">
        <f t="shared" si="78"/>
        <v>0</v>
      </c>
    </row>
    <row r="137" spans="1:18" s="29" customFormat="1" ht="36" hidden="1" customHeight="1">
      <c r="A137" s="134">
        <v>7132</v>
      </c>
      <c r="B137" s="179" t="s">
        <v>121</v>
      </c>
      <c r="C137" s="170"/>
      <c r="D137" s="171">
        <v>0</v>
      </c>
      <c r="E137" s="233"/>
      <c r="F137" s="233"/>
      <c r="G137" s="233"/>
      <c r="H137" s="232">
        <f t="shared" si="76"/>
        <v>0</v>
      </c>
      <c r="I137" s="233">
        <v>0</v>
      </c>
      <c r="J137" s="233"/>
      <c r="K137" s="233"/>
      <c r="L137" s="233"/>
      <c r="M137" s="232">
        <f t="shared" si="77"/>
        <v>0</v>
      </c>
      <c r="N137" s="233">
        <v>0</v>
      </c>
      <c r="O137" s="233"/>
      <c r="P137" s="233"/>
      <c r="Q137" s="233"/>
      <c r="R137" s="232">
        <f t="shared" si="78"/>
        <v>0</v>
      </c>
    </row>
    <row r="138" spans="1:18" s="29" customFormat="1" ht="24" hidden="1" customHeight="1">
      <c r="A138" s="134" t="s">
        <v>186</v>
      </c>
      <c r="B138" s="179" t="s">
        <v>187</v>
      </c>
      <c r="C138" s="170"/>
      <c r="D138" s="171">
        <v>0</v>
      </c>
      <c r="E138" s="233"/>
      <c r="F138" s="233"/>
      <c r="G138" s="233"/>
      <c r="H138" s="232">
        <f t="shared" ref="H138:H201" si="147">SUM(D138:G138)</f>
        <v>0</v>
      </c>
      <c r="I138" s="233">
        <v>0</v>
      </c>
      <c r="J138" s="233"/>
      <c r="K138" s="233"/>
      <c r="L138" s="233"/>
      <c r="M138" s="232">
        <f t="shared" ref="M138:M201" si="148">SUM(I138:L138)</f>
        <v>0</v>
      </c>
      <c r="N138" s="233">
        <v>0</v>
      </c>
      <c r="O138" s="233"/>
      <c r="P138" s="233"/>
      <c r="Q138" s="233"/>
      <c r="R138" s="232">
        <f t="shared" ref="R138:R201" si="149">SUM(N138:Q138)</f>
        <v>0</v>
      </c>
    </row>
    <row r="139" spans="1:18" s="29" customFormat="1" ht="24" hidden="1" customHeight="1">
      <c r="A139" s="132">
        <v>7300</v>
      </c>
      <c r="B139" s="172" t="s">
        <v>155</v>
      </c>
      <c r="C139" s="170">
        <v>0</v>
      </c>
      <c r="D139" s="171">
        <v>0</v>
      </c>
      <c r="E139" s="233">
        <f t="shared" ref="E139:G139" si="150">SUM(E140:E142)</f>
        <v>0</v>
      </c>
      <c r="F139" s="233">
        <f t="shared" si="150"/>
        <v>0</v>
      </c>
      <c r="G139" s="233">
        <f t="shared" si="150"/>
        <v>0</v>
      </c>
      <c r="H139" s="232">
        <f t="shared" si="147"/>
        <v>0</v>
      </c>
      <c r="I139" s="233">
        <v>0</v>
      </c>
      <c r="J139" s="233">
        <f t="shared" ref="J139:L139" si="151">SUM(J140:J142)</f>
        <v>0</v>
      </c>
      <c r="K139" s="233">
        <f t="shared" si="151"/>
        <v>0</v>
      </c>
      <c r="L139" s="233">
        <f t="shared" si="151"/>
        <v>0</v>
      </c>
      <c r="M139" s="232">
        <f t="shared" si="148"/>
        <v>0</v>
      </c>
      <c r="N139" s="233">
        <v>0</v>
      </c>
      <c r="O139" s="233">
        <f t="shared" ref="O139:Q139" si="152">SUM(O140:O142)</f>
        <v>0</v>
      </c>
      <c r="P139" s="233">
        <f t="shared" si="152"/>
        <v>0</v>
      </c>
      <c r="Q139" s="233">
        <f t="shared" si="152"/>
        <v>0</v>
      </c>
      <c r="R139" s="232">
        <f t="shared" si="149"/>
        <v>0</v>
      </c>
    </row>
    <row r="140" spans="1:18" s="4" customFormat="1" ht="24" hidden="1" customHeight="1">
      <c r="A140" s="133" t="s">
        <v>188</v>
      </c>
      <c r="B140" s="179" t="s">
        <v>170</v>
      </c>
      <c r="C140" s="204"/>
      <c r="D140" s="180">
        <v>0</v>
      </c>
      <c r="E140" s="252"/>
      <c r="F140" s="252"/>
      <c r="G140" s="252"/>
      <c r="H140" s="232">
        <f t="shared" si="147"/>
        <v>0</v>
      </c>
      <c r="I140" s="252">
        <v>0</v>
      </c>
      <c r="J140" s="252"/>
      <c r="K140" s="252"/>
      <c r="L140" s="252"/>
      <c r="M140" s="232">
        <f t="shared" si="148"/>
        <v>0</v>
      </c>
      <c r="N140" s="252">
        <v>0</v>
      </c>
      <c r="O140" s="252"/>
      <c r="P140" s="252"/>
      <c r="Q140" s="252"/>
      <c r="R140" s="232">
        <f t="shared" si="149"/>
        <v>0</v>
      </c>
    </row>
    <row r="141" spans="1:18" ht="48" hidden="1" customHeight="1">
      <c r="A141" s="133" t="s">
        <v>189</v>
      </c>
      <c r="B141" s="179" t="s">
        <v>156</v>
      </c>
      <c r="C141" s="204"/>
      <c r="D141" s="180">
        <v>0</v>
      </c>
      <c r="E141" s="252"/>
      <c r="F141" s="252"/>
      <c r="G141" s="252"/>
      <c r="H141" s="232">
        <f t="shared" si="147"/>
        <v>0</v>
      </c>
      <c r="I141" s="252">
        <v>0</v>
      </c>
      <c r="J141" s="252"/>
      <c r="K141" s="252"/>
      <c r="L141" s="252"/>
      <c r="M141" s="232">
        <f t="shared" si="148"/>
        <v>0</v>
      </c>
      <c r="N141" s="252">
        <v>0</v>
      </c>
      <c r="O141" s="252"/>
      <c r="P141" s="252"/>
      <c r="Q141" s="252"/>
      <c r="R141" s="232">
        <f t="shared" si="149"/>
        <v>0</v>
      </c>
    </row>
    <row r="142" spans="1:18" ht="36" hidden="1" customHeight="1">
      <c r="A142" s="133">
        <v>7350</v>
      </c>
      <c r="B142" s="179" t="s">
        <v>163</v>
      </c>
      <c r="C142" s="204"/>
      <c r="D142" s="180">
        <v>0</v>
      </c>
      <c r="E142" s="252"/>
      <c r="F142" s="252"/>
      <c r="G142" s="252"/>
      <c r="H142" s="232">
        <f t="shared" si="147"/>
        <v>0</v>
      </c>
      <c r="I142" s="252">
        <v>0</v>
      </c>
      <c r="J142" s="252"/>
      <c r="K142" s="252"/>
      <c r="L142" s="252"/>
      <c r="M142" s="232">
        <f t="shared" si="148"/>
        <v>0</v>
      </c>
      <c r="N142" s="252">
        <v>0</v>
      </c>
      <c r="O142" s="252"/>
      <c r="P142" s="252"/>
      <c r="Q142" s="252"/>
      <c r="R142" s="232">
        <f t="shared" si="149"/>
        <v>0</v>
      </c>
    </row>
    <row r="143" spans="1:18" ht="24" hidden="1" customHeight="1">
      <c r="A143" s="132">
        <v>7400</v>
      </c>
      <c r="B143" s="172" t="s">
        <v>161</v>
      </c>
      <c r="C143" s="170">
        <v>0</v>
      </c>
      <c r="D143" s="171">
        <v>0</v>
      </c>
      <c r="E143" s="233">
        <f t="shared" ref="E143:G143" si="153">SUM(E144:E145)</f>
        <v>0</v>
      </c>
      <c r="F143" s="233">
        <f t="shared" si="153"/>
        <v>0</v>
      </c>
      <c r="G143" s="233">
        <f t="shared" si="153"/>
        <v>0</v>
      </c>
      <c r="H143" s="232">
        <f t="shared" si="147"/>
        <v>0</v>
      </c>
      <c r="I143" s="233">
        <v>0</v>
      </c>
      <c r="J143" s="233">
        <f t="shared" ref="J143:L143" si="154">SUM(J144:J145)</f>
        <v>0</v>
      </c>
      <c r="K143" s="233">
        <f t="shared" si="154"/>
        <v>0</v>
      </c>
      <c r="L143" s="233">
        <f t="shared" si="154"/>
        <v>0</v>
      </c>
      <c r="M143" s="232">
        <f t="shared" si="148"/>
        <v>0</v>
      </c>
      <c r="N143" s="233">
        <v>0</v>
      </c>
      <c r="O143" s="233">
        <f t="shared" ref="O143:Q143" si="155">SUM(O144:O145)</f>
        <v>0</v>
      </c>
      <c r="P143" s="233">
        <f t="shared" si="155"/>
        <v>0</v>
      </c>
      <c r="Q143" s="233">
        <f t="shared" si="155"/>
        <v>0</v>
      </c>
      <c r="R143" s="232">
        <f t="shared" si="149"/>
        <v>0</v>
      </c>
    </row>
    <row r="144" spans="1:18" ht="24" hidden="1" customHeight="1">
      <c r="A144" s="133">
        <v>7460</v>
      </c>
      <c r="B144" s="172" t="s">
        <v>162</v>
      </c>
      <c r="C144" s="204"/>
      <c r="D144" s="180">
        <v>0</v>
      </c>
      <c r="E144" s="252"/>
      <c r="F144" s="252"/>
      <c r="G144" s="252"/>
      <c r="H144" s="232">
        <f t="shared" si="147"/>
        <v>0</v>
      </c>
      <c r="I144" s="252">
        <v>0</v>
      </c>
      <c r="J144" s="252"/>
      <c r="K144" s="252"/>
      <c r="L144" s="252"/>
      <c r="M144" s="232">
        <f t="shared" si="148"/>
        <v>0</v>
      </c>
      <c r="N144" s="252">
        <v>0</v>
      </c>
      <c r="O144" s="252"/>
      <c r="P144" s="252"/>
      <c r="Q144" s="252"/>
      <c r="R144" s="232">
        <f t="shared" si="149"/>
        <v>0</v>
      </c>
    </row>
    <row r="145" spans="1:18" ht="36" hidden="1" customHeight="1">
      <c r="A145" s="133">
        <v>7470</v>
      </c>
      <c r="B145" s="179" t="s">
        <v>167</v>
      </c>
      <c r="C145" s="204"/>
      <c r="D145" s="180">
        <v>0</v>
      </c>
      <c r="E145" s="252"/>
      <c r="F145" s="252"/>
      <c r="G145" s="252"/>
      <c r="H145" s="232">
        <f t="shared" si="147"/>
        <v>0</v>
      </c>
      <c r="I145" s="252">
        <v>0</v>
      </c>
      <c r="J145" s="252"/>
      <c r="K145" s="252"/>
      <c r="L145" s="252"/>
      <c r="M145" s="232">
        <f t="shared" si="148"/>
        <v>0</v>
      </c>
      <c r="N145" s="252">
        <v>0</v>
      </c>
      <c r="O145" s="252"/>
      <c r="P145" s="252"/>
      <c r="Q145" s="252"/>
      <c r="R145" s="232">
        <f t="shared" si="149"/>
        <v>0</v>
      </c>
    </row>
    <row r="146" spans="1:18" ht="24" hidden="1" customHeight="1">
      <c r="A146" s="132">
        <v>7500</v>
      </c>
      <c r="B146" s="179" t="s">
        <v>157</v>
      </c>
      <c r="C146" s="170"/>
      <c r="D146" s="171">
        <v>0</v>
      </c>
      <c r="E146" s="233"/>
      <c r="F146" s="233"/>
      <c r="G146" s="233"/>
      <c r="H146" s="232">
        <f t="shared" si="147"/>
        <v>0</v>
      </c>
      <c r="I146" s="233">
        <v>0</v>
      </c>
      <c r="J146" s="233"/>
      <c r="K146" s="233"/>
      <c r="L146" s="233"/>
      <c r="M146" s="232">
        <f t="shared" si="148"/>
        <v>0</v>
      </c>
      <c r="N146" s="233">
        <v>0</v>
      </c>
      <c r="O146" s="233"/>
      <c r="P146" s="233"/>
      <c r="Q146" s="233"/>
      <c r="R146" s="232">
        <f t="shared" si="149"/>
        <v>0</v>
      </c>
    </row>
    <row r="147" spans="1:18" s="4" customFormat="1" ht="12" hidden="1" customHeight="1">
      <c r="A147" s="140" t="s">
        <v>133</v>
      </c>
      <c r="B147" s="124" t="s">
        <v>122</v>
      </c>
      <c r="C147" s="205">
        <v>0</v>
      </c>
      <c r="D147" s="181">
        <v>0</v>
      </c>
      <c r="E147" s="254">
        <f t="shared" ref="E147:G147" si="156">E148+E149</f>
        <v>0</v>
      </c>
      <c r="F147" s="254">
        <f t="shared" si="156"/>
        <v>0</v>
      </c>
      <c r="G147" s="254">
        <f t="shared" si="156"/>
        <v>0</v>
      </c>
      <c r="H147" s="232">
        <f t="shared" si="147"/>
        <v>0</v>
      </c>
      <c r="I147" s="254">
        <v>0</v>
      </c>
      <c r="J147" s="254">
        <f t="shared" ref="J147:L147" si="157">J148+J149</f>
        <v>0</v>
      </c>
      <c r="K147" s="254">
        <f t="shared" si="157"/>
        <v>0</v>
      </c>
      <c r="L147" s="254">
        <f t="shared" si="157"/>
        <v>0</v>
      </c>
      <c r="M147" s="232">
        <f t="shared" si="148"/>
        <v>0</v>
      </c>
      <c r="N147" s="254">
        <v>0</v>
      </c>
      <c r="O147" s="254">
        <f t="shared" ref="O147:Q147" si="158">O148+O149</f>
        <v>0</v>
      </c>
      <c r="P147" s="254">
        <f t="shared" si="158"/>
        <v>0</v>
      </c>
      <c r="Q147" s="254">
        <f t="shared" si="158"/>
        <v>0</v>
      </c>
      <c r="R147" s="232">
        <f t="shared" si="149"/>
        <v>0</v>
      </c>
    </row>
    <row r="148" spans="1:18" s="6" customFormat="1" ht="12" hidden="1" customHeight="1">
      <c r="A148" s="140">
        <v>5000</v>
      </c>
      <c r="B148" s="124" t="s">
        <v>123</v>
      </c>
      <c r="C148" s="170"/>
      <c r="D148" s="171">
        <v>0</v>
      </c>
      <c r="E148" s="244"/>
      <c r="F148" s="244"/>
      <c r="G148" s="244"/>
      <c r="H148" s="232">
        <f t="shared" si="147"/>
        <v>0</v>
      </c>
      <c r="I148" s="233">
        <v>0</v>
      </c>
      <c r="J148" s="244"/>
      <c r="K148" s="244"/>
      <c r="L148" s="244"/>
      <c r="M148" s="232">
        <f t="shared" si="148"/>
        <v>0</v>
      </c>
      <c r="N148" s="233">
        <v>0</v>
      </c>
      <c r="O148" s="244"/>
      <c r="P148" s="244"/>
      <c r="Q148" s="244"/>
      <c r="R148" s="232">
        <f t="shared" si="149"/>
        <v>0</v>
      </c>
    </row>
    <row r="149" spans="1:18" s="6" customFormat="1" ht="12" hidden="1" customHeight="1">
      <c r="A149" s="140">
        <v>9000</v>
      </c>
      <c r="B149" s="182" t="s">
        <v>164</v>
      </c>
      <c r="C149" s="170">
        <v>0</v>
      </c>
      <c r="D149" s="171">
        <v>0</v>
      </c>
      <c r="E149" s="233">
        <f t="shared" ref="E149:G149" si="159">E150+E156+E160+E163</f>
        <v>0</v>
      </c>
      <c r="F149" s="233">
        <f t="shared" si="159"/>
        <v>0</v>
      </c>
      <c r="G149" s="233">
        <f t="shared" si="159"/>
        <v>0</v>
      </c>
      <c r="H149" s="232">
        <f t="shared" si="147"/>
        <v>0</v>
      </c>
      <c r="I149" s="233">
        <v>0</v>
      </c>
      <c r="J149" s="233">
        <f t="shared" ref="J149:L149" si="160">J150+J156+J160+J163</f>
        <v>0</v>
      </c>
      <c r="K149" s="233">
        <f t="shared" si="160"/>
        <v>0</v>
      </c>
      <c r="L149" s="233">
        <f t="shared" si="160"/>
        <v>0</v>
      </c>
      <c r="M149" s="232">
        <f t="shared" si="148"/>
        <v>0</v>
      </c>
      <c r="N149" s="233">
        <v>0</v>
      </c>
      <c r="O149" s="233">
        <f t="shared" ref="O149:Q149" si="161">O150+O156+O160+O163</f>
        <v>0</v>
      </c>
      <c r="P149" s="233">
        <f t="shared" si="161"/>
        <v>0</v>
      </c>
      <c r="Q149" s="233">
        <f t="shared" si="161"/>
        <v>0</v>
      </c>
      <c r="R149" s="232">
        <f t="shared" si="149"/>
        <v>0</v>
      </c>
    </row>
    <row r="150" spans="1:18" s="6" customFormat="1" ht="12" hidden="1" customHeight="1">
      <c r="A150" s="141">
        <v>9100</v>
      </c>
      <c r="B150" s="179" t="s">
        <v>124</v>
      </c>
      <c r="C150" s="170">
        <v>0</v>
      </c>
      <c r="D150" s="171">
        <v>0</v>
      </c>
      <c r="E150" s="233">
        <f t="shared" ref="E150:G150" si="162">SUM(E151:E152)</f>
        <v>0</v>
      </c>
      <c r="F150" s="233">
        <f t="shared" ref="F150" si="163">SUM(F151:F152)</f>
        <v>0</v>
      </c>
      <c r="G150" s="233">
        <f t="shared" si="162"/>
        <v>0</v>
      </c>
      <c r="H150" s="232">
        <f t="shared" si="147"/>
        <v>0</v>
      </c>
      <c r="I150" s="233">
        <v>0</v>
      </c>
      <c r="J150" s="233">
        <f t="shared" ref="J150:L150" si="164">SUM(J151:J152)</f>
        <v>0</v>
      </c>
      <c r="K150" s="233">
        <f t="shared" si="164"/>
        <v>0</v>
      </c>
      <c r="L150" s="233">
        <f t="shared" si="164"/>
        <v>0</v>
      </c>
      <c r="M150" s="232">
        <f t="shared" si="148"/>
        <v>0</v>
      </c>
      <c r="N150" s="233">
        <v>0</v>
      </c>
      <c r="O150" s="233">
        <f t="shared" ref="O150:Q150" si="165">SUM(O151:O152)</f>
        <v>0</v>
      </c>
      <c r="P150" s="233">
        <f t="shared" si="165"/>
        <v>0</v>
      </c>
      <c r="Q150" s="233">
        <f t="shared" si="165"/>
        <v>0</v>
      </c>
      <c r="R150" s="232">
        <f t="shared" si="149"/>
        <v>0</v>
      </c>
    </row>
    <row r="151" spans="1:18" s="6" customFormat="1" ht="24" hidden="1" customHeight="1">
      <c r="A151" s="133" t="s">
        <v>125</v>
      </c>
      <c r="B151" s="179" t="s">
        <v>214</v>
      </c>
      <c r="C151" s="170"/>
      <c r="D151" s="171">
        <v>0</v>
      </c>
      <c r="E151" s="233"/>
      <c r="F151" s="233"/>
      <c r="G151" s="233"/>
      <c r="H151" s="232">
        <f t="shared" si="147"/>
        <v>0</v>
      </c>
      <c r="I151" s="233">
        <v>0</v>
      </c>
      <c r="J151" s="233"/>
      <c r="K151" s="233"/>
      <c r="L151" s="233"/>
      <c r="M151" s="232">
        <f t="shared" si="148"/>
        <v>0</v>
      </c>
      <c r="N151" s="233">
        <v>0</v>
      </c>
      <c r="O151" s="233"/>
      <c r="P151" s="233"/>
      <c r="Q151" s="233"/>
      <c r="R151" s="232">
        <f t="shared" si="149"/>
        <v>0</v>
      </c>
    </row>
    <row r="152" spans="1:18" s="6" customFormat="1" ht="24" hidden="1" customHeight="1">
      <c r="A152" s="133">
        <v>9140</v>
      </c>
      <c r="B152" s="179" t="s">
        <v>215</v>
      </c>
      <c r="C152" s="170">
        <v>0</v>
      </c>
      <c r="D152" s="171">
        <v>0</v>
      </c>
      <c r="E152" s="233">
        <f t="shared" ref="E152:G152" si="166">SUM(E153:E155)</f>
        <v>0</v>
      </c>
      <c r="F152" s="233">
        <f t="shared" si="166"/>
        <v>0</v>
      </c>
      <c r="G152" s="233">
        <f t="shared" si="166"/>
        <v>0</v>
      </c>
      <c r="H152" s="232">
        <f t="shared" si="147"/>
        <v>0</v>
      </c>
      <c r="I152" s="233">
        <v>0</v>
      </c>
      <c r="J152" s="233">
        <f t="shared" ref="J152:L152" si="167">SUM(J153:J155)</f>
        <v>0</v>
      </c>
      <c r="K152" s="233">
        <f t="shared" si="167"/>
        <v>0</v>
      </c>
      <c r="L152" s="233">
        <f t="shared" si="167"/>
        <v>0</v>
      </c>
      <c r="M152" s="232">
        <f t="shared" si="148"/>
        <v>0</v>
      </c>
      <c r="N152" s="233">
        <v>0</v>
      </c>
      <c r="O152" s="233">
        <f t="shared" ref="O152:Q152" si="168">SUM(O153:O155)</f>
        <v>0</v>
      </c>
      <c r="P152" s="233">
        <f t="shared" si="168"/>
        <v>0</v>
      </c>
      <c r="Q152" s="233">
        <f t="shared" si="168"/>
        <v>0</v>
      </c>
      <c r="R152" s="232">
        <f t="shared" si="149"/>
        <v>0</v>
      </c>
    </row>
    <row r="153" spans="1:18" s="6" customFormat="1" ht="36" hidden="1" customHeight="1">
      <c r="A153" s="134">
        <v>9141</v>
      </c>
      <c r="B153" s="172" t="s">
        <v>190</v>
      </c>
      <c r="C153" s="204"/>
      <c r="D153" s="180">
        <v>0</v>
      </c>
      <c r="E153" s="252"/>
      <c r="F153" s="252"/>
      <c r="G153" s="252"/>
      <c r="H153" s="232">
        <f t="shared" si="147"/>
        <v>0</v>
      </c>
      <c r="I153" s="252">
        <v>0</v>
      </c>
      <c r="J153" s="252"/>
      <c r="K153" s="252"/>
      <c r="L153" s="252"/>
      <c r="M153" s="232">
        <f t="shared" si="148"/>
        <v>0</v>
      </c>
      <c r="N153" s="252">
        <v>0</v>
      </c>
      <c r="O153" s="252"/>
      <c r="P153" s="252"/>
      <c r="Q153" s="252"/>
      <c r="R153" s="232">
        <f t="shared" si="149"/>
        <v>0</v>
      </c>
    </row>
    <row r="154" spans="1:18" s="6" customFormat="1" ht="36" hidden="1" customHeight="1">
      <c r="A154" s="134">
        <v>9142</v>
      </c>
      <c r="B154" s="172" t="s">
        <v>191</v>
      </c>
      <c r="C154" s="204"/>
      <c r="D154" s="180">
        <v>0</v>
      </c>
      <c r="E154" s="252"/>
      <c r="F154" s="252"/>
      <c r="G154" s="252"/>
      <c r="H154" s="232">
        <f t="shared" si="147"/>
        <v>0</v>
      </c>
      <c r="I154" s="252">
        <v>0</v>
      </c>
      <c r="J154" s="252"/>
      <c r="K154" s="252"/>
      <c r="L154" s="252"/>
      <c r="M154" s="232">
        <f t="shared" si="148"/>
        <v>0</v>
      </c>
      <c r="N154" s="252">
        <v>0</v>
      </c>
      <c r="O154" s="252"/>
      <c r="P154" s="252"/>
      <c r="Q154" s="252"/>
      <c r="R154" s="232">
        <f t="shared" si="149"/>
        <v>0</v>
      </c>
    </row>
    <row r="155" spans="1:18" s="6" customFormat="1" ht="24" hidden="1" customHeight="1">
      <c r="A155" s="134">
        <v>9149</v>
      </c>
      <c r="B155" s="172" t="s">
        <v>192</v>
      </c>
      <c r="C155" s="204"/>
      <c r="D155" s="180">
        <v>0</v>
      </c>
      <c r="E155" s="252"/>
      <c r="F155" s="252"/>
      <c r="G155" s="252"/>
      <c r="H155" s="232">
        <f t="shared" si="147"/>
        <v>0</v>
      </c>
      <c r="I155" s="252">
        <v>0</v>
      </c>
      <c r="J155" s="252"/>
      <c r="K155" s="252"/>
      <c r="L155" s="252"/>
      <c r="M155" s="232">
        <f t="shared" si="148"/>
        <v>0</v>
      </c>
      <c r="N155" s="252">
        <v>0</v>
      </c>
      <c r="O155" s="252"/>
      <c r="P155" s="252"/>
      <c r="Q155" s="252"/>
      <c r="R155" s="232">
        <f t="shared" si="149"/>
        <v>0</v>
      </c>
    </row>
    <row r="156" spans="1:18" s="6" customFormat="1" ht="24" hidden="1" customHeight="1">
      <c r="A156" s="141">
        <v>9500</v>
      </c>
      <c r="B156" s="172" t="s">
        <v>165</v>
      </c>
      <c r="C156" s="170">
        <v>0</v>
      </c>
      <c r="D156" s="171">
        <v>0</v>
      </c>
      <c r="E156" s="233">
        <f t="shared" ref="E156:G156" si="169">SUM(E157:E159)</f>
        <v>0</v>
      </c>
      <c r="F156" s="233">
        <f t="shared" si="169"/>
        <v>0</v>
      </c>
      <c r="G156" s="233">
        <f t="shared" si="169"/>
        <v>0</v>
      </c>
      <c r="H156" s="232">
        <f t="shared" si="147"/>
        <v>0</v>
      </c>
      <c r="I156" s="233">
        <v>0</v>
      </c>
      <c r="J156" s="233">
        <f t="shared" ref="J156:L156" si="170">SUM(J157:J159)</f>
        <v>0</v>
      </c>
      <c r="K156" s="233">
        <f t="shared" si="170"/>
        <v>0</v>
      </c>
      <c r="L156" s="233">
        <f t="shared" si="170"/>
        <v>0</v>
      </c>
      <c r="M156" s="232">
        <f t="shared" si="148"/>
        <v>0</v>
      </c>
      <c r="N156" s="233">
        <v>0</v>
      </c>
      <c r="O156" s="233">
        <f t="shared" ref="O156:Q156" si="171">SUM(O157:O159)</f>
        <v>0</v>
      </c>
      <c r="P156" s="233">
        <f t="shared" si="171"/>
        <v>0</v>
      </c>
      <c r="Q156" s="233">
        <f t="shared" si="171"/>
        <v>0</v>
      </c>
      <c r="R156" s="232">
        <f t="shared" si="149"/>
        <v>0</v>
      </c>
    </row>
    <row r="157" spans="1:18" s="6" customFormat="1" ht="24" hidden="1" customHeight="1">
      <c r="A157" s="133" t="s">
        <v>193</v>
      </c>
      <c r="B157" s="172" t="s">
        <v>171</v>
      </c>
      <c r="C157" s="170"/>
      <c r="D157" s="171">
        <v>0</v>
      </c>
      <c r="E157" s="233"/>
      <c r="F157" s="233"/>
      <c r="G157" s="233"/>
      <c r="H157" s="232">
        <f t="shared" si="147"/>
        <v>0</v>
      </c>
      <c r="I157" s="233">
        <v>0</v>
      </c>
      <c r="J157" s="233"/>
      <c r="K157" s="233"/>
      <c r="L157" s="233"/>
      <c r="M157" s="232">
        <f t="shared" si="148"/>
        <v>0</v>
      </c>
      <c r="N157" s="233">
        <v>0</v>
      </c>
      <c r="O157" s="233"/>
      <c r="P157" s="233"/>
      <c r="Q157" s="233"/>
      <c r="R157" s="232">
        <f t="shared" si="149"/>
        <v>0</v>
      </c>
    </row>
    <row r="158" spans="1:18" s="6" customFormat="1" ht="48" hidden="1" customHeight="1">
      <c r="A158" s="133">
        <v>9580</v>
      </c>
      <c r="B158" s="172" t="s">
        <v>166</v>
      </c>
      <c r="C158" s="204"/>
      <c r="D158" s="180">
        <v>0</v>
      </c>
      <c r="E158" s="252"/>
      <c r="F158" s="252"/>
      <c r="G158" s="252"/>
      <c r="H158" s="232">
        <f t="shared" si="147"/>
        <v>0</v>
      </c>
      <c r="I158" s="252">
        <v>0</v>
      </c>
      <c r="J158" s="252"/>
      <c r="K158" s="252"/>
      <c r="L158" s="252"/>
      <c r="M158" s="232">
        <f t="shared" si="148"/>
        <v>0</v>
      </c>
      <c r="N158" s="252">
        <v>0</v>
      </c>
      <c r="O158" s="252"/>
      <c r="P158" s="252"/>
      <c r="Q158" s="252"/>
      <c r="R158" s="232">
        <f t="shared" si="149"/>
        <v>0</v>
      </c>
    </row>
    <row r="159" spans="1:18" s="6" customFormat="1" ht="36" hidden="1" customHeight="1">
      <c r="A159" s="133">
        <v>9590</v>
      </c>
      <c r="B159" s="179" t="s">
        <v>172</v>
      </c>
      <c r="C159" s="204"/>
      <c r="D159" s="180">
        <v>0</v>
      </c>
      <c r="E159" s="252"/>
      <c r="F159" s="252"/>
      <c r="G159" s="252"/>
      <c r="H159" s="232">
        <f t="shared" si="147"/>
        <v>0</v>
      </c>
      <c r="I159" s="252">
        <v>0</v>
      </c>
      <c r="J159" s="252"/>
      <c r="K159" s="252"/>
      <c r="L159" s="252"/>
      <c r="M159" s="232">
        <f t="shared" si="148"/>
        <v>0</v>
      </c>
      <c r="N159" s="252">
        <v>0</v>
      </c>
      <c r="O159" s="252"/>
      <c r="P159" s="252"/>
      <c r="Q159" s="252"/>
      <c r="R159" s="232">
        <f t="shared" si="149"/>
        <v>0</v>
      </c>
    </row>
    <row r="160" spans="1:18" s="6" customFormat="1" ht="24" hidden="1" customHeight="1">
      <c r="A160" s="141">
        <v>9700</v>
      </c>
      <c r="B160" s="183" t="s">
        <v>194</v>
      </c>
      <c r="C160" s="170">
        <v>0</v>
      </c>
      <c r="D160" s="171">
        <v>0</v>
      </c>
      <c r="E160" s="233">
        <f t="shared" ref="E160:G160" si="172">SUM(E161:E162)</f>
        <v>0</v>
      </c>
      <c r="F160" s="233">
        <f t="shared" si="172"/>
        <v>0</v>
      </c>
      <c r="G160" s="233">
        <f t="shared" si="172"/>
        <v>0</v>
      </c>
      <c r="H160" s="232">
        <f t="shared" si="147"/>
        <v>0</v>
      </c>
      <c r="I160" s="233">
        <v>0</v>
      </c>
      <c r="J160" s="233">
        <f t="shared" ref="J160:L160" si="173">SUM(J161:J162)</f>
        <v>0</v>
      </c>
      <c r="K160" s="233">
        <f t="shared" si="173"/>
        <v>0</v>
      </c>
      <c r="L160" s="233">
        <f t="shared" si="173"/>
        <v>0</v>
      </c>
      <c r="M160" s="232">
        <f t="shared" si="148"/>
        <v>0</v>
      </c>
      <c r="N160" s="233">
        <v>0</v>
      </c>
      <c r="O160" s="233">
        <f t="shared" ref="O160:Q160" si="174">SUM(O161:O162)</f>
        <v>0</v>
      </c>
      <c r="P160" s="233">
        <f t="shared" si="174"/>
        <v>0</v>
      </c>
      <c r="Q160" s="233">
        <f t="shared" si="174"/>
        <v>0</v>
      </c>
      <c r="R160" s="232">
        <f t="shared" si="149"/>
        <v>0</v>
      </c>
    </row>
    <row r="161" spans="1:18" s="6" customFormat="1" ht="24" hidden="1" customHeight="1">
      <c r="A161" s="133">
        <v>9710</v>
      </c>
      <c r="B161" s="184" t="s">
        <v>195</v>
      </c>
      <c r="C161" s="204"/>
      <c r="D161" s="180">
        <v>0</v>
      </c>
      <c r="E161" s="252"/>
      <c r="F161" s="252"/>
      <c r="G161" s="252"/>
      <c r="H161" s="232">
        <f t="shared" si="147"/>
        <v>0</v>
      </c>
      <c r="I161" s="252">
        <v>0</v>
      </c>
      <c r="J161" s="252"/>
      <c r="K161" s="252"/>
      <c r="L161" s="252"/>
      <c r="M161" s="232">
        <f t="shared" si="148"/>
        <v>0</v>
      </c>
      <c r="N161" s="252">
        <v>0</v>
      </c>
      <c r="O161" s="252"/>
      <c r="P161" s="252"/>
      <c r="Q161" s="252"/>
      <c r="R161" s="232">
        <f t="shared" si="149"/>
        <v>0</v>
      </c>
    </row>
    <row r="162" spans="1:18" s="6" customFormat="1" ht="36" hidden="1" customHeight="1">
      <c r="A162" s="142">
        <v>9720</v>
      </c>
      <c r="B162" s="183" t="s">
        <v>196</v>
      </c>
      <c r="C162" s="204"/>
      <c r="D162" s="180">
        <v>0</v>
      </c>
      <c r="E162" s="252"/>
      <c r="F162" s="252"/>
      <c r="G162" s="252"/>
      <c r="H162" s="232">
        <f t="shared" si="147"/>
        <v>0</v>
      </c>
      <c r="I162" s="252">
        <v>0</v>
      </c>
      <c r="J162" s="252"/>
      <c r="K162" s="252"/>
      <c r="L162" s="252"/>
      <c r="M162" s="232">
        <f t="shared" si="148"/>
        <v>0</v>
      </c>
      <c r="N162" s="252">
        <v>0</v>
      </c>
      <c r="O162" s="252"/>
      <c r="P162" s="252"/>
      <c r="Q162" s="252"/>
      <c r="R162" s="232">
        <f t="shared" si="149"/>
        <v>0</v>
      </c>
    </row>
    <row r="163" spans="1:18" s="6" customFormat="1" ht="24" hidden="1" customHeight="1">
      <c r="A163" s="141">
        <v>9600</v>
      </c>
      <c r="B163" s="179" t="s">
        <v>134</v>
      </c>
      <c r="C163" s="204"/>
      <c r="D163" s="180">
        <v>0</v>
      </c>
      <c r="E163" s="252"/>
      <c r="F163" s="252"/>
      <c r="G163" s="252"/>
      <c r="H163" s="232">
        <f t="shared" si="147"/>
        <v>0</v>
      </c>
      <c r="I163" s="252">
        <v>0</v>
      </c>
      <c r="J163" s="252"/>
      <c r="K163" s="252"/>
      <c r="L163" s="252"/>
      <c r="M163" s="232">
        <f t="shared" si="148"/>
        <v>0</v>
      </c>
      <c r="N163" s="252">
        <v>0</v>
      </c>
      <c r="O163" s="252"/>
      <c r="P163" s="252"/>
      <c r="Q163" s="252"/>
      <c r="R163" s="232">
        <f t="shared" si="149"/>
        <v>0</v>
      </c>
    </row>
    <row r="164" spans="1:18" s="6" customFormat="1" ht="52.5" hidden="1" customHeight="1">
      <c r="A164" s="130" t="s">
        <v>197</v>
      </c>
      <c r="B164" s="185" t="s">
        <v>47</v>
      </c>
      <c r="C164" s="206"/>
      <c r="D164" s="186">
        <v>0</v>
      </c>
      <c r="E164" s="262">
        <f t="shared" ref="E164:G164" si="175">E94-E119</f>
        <v>0</v>
      </c>
      <c r="F164" s="262">
        <f t="shared" si="175"/>
        <v>0</v>
      </c>
      <c r="G164" s="262">
        <f t="shared" si="175"/>
        <v>0</v>
      </c>
      <c r="H164" s="232">
        <f t="shared" si="147"/>
        <v>0</v>
      </c>
      <c r="I164" s="262">
        <v>0</v>
      </c>
      <c r="J164" s="262">
        <f t="shared" ref="J164:L164" si="176">J94-J119</f>
        <v>0</v>
      </c>
      <c r="K164" s="262">
        <f t="shared" si="176"/>
        <v>0</v>
      </c>
      <c r="L164" s="262">
        <f t="shared" si="176"/>
        <v>0</v>
      </c>
      <c r="M164" s="232">
        <f t="shared" si="148"/>
        <v>0</v>
      </c>
      <c r="N164" s="262">
        <v>0</v>
      </c>
      <c r="O164" s="262">
        <f t="shared" ref="O164:Q164" si="177">O94-O119</f>
        <v>0</v>
      </c>
      <c r="P164" s="262">
        <f t="shared" si="177"/>
        <v>0</v>
      </c>
      <c r="Q164" s="262">
        <f t="shared" si="177"/>
        <v>0</v>
      </c>
      <c r="R164" s="232">
        <f t="shared" si="149"/>
        <v>0</v>
      </c>
    </row>
    <row r="165" spans="1:18" s="6" customFormat="1" ht="12" hidden="1" customHeight="1">
      <c r="A165" s="143" t="s">
        <v>48</v>
      </c>
      <c r="B165" s="185" t="s">
        <v>49</v>
      </c>
      <c r="C165" s="206">
        <v>0</v>
      </c>
      <c r="D165" s="186">
        <v>0</v>
      </c>
      <c r="E165" s="262">
        <f t="shared" ref="E165:G165" si="178">E166+E169+E173+E172</f>
        <v>0</v>
      </c>
      <c r="F165" s="262">
        <f t="shared" si="178"/>
        <v>0</v>
      </c>
      <c r="G165" s="262">
        <f t="shared" si="178"/>
        <v>0</v>
      </c>
      <c r="H165" s="232">
        <f t="shared" si="147"/>
        <v>0</v>
      </c>
      <c r="I165" s="262">
        <v>0</v>
      </c>
      <c r="J165" s="262">
        <f t="shared" ref="J165:L165" si="179">J166+J169+J173+J172</f>
        <v>0</v>
      </c>
      <c r="K165" s="262">
        <f t="shared" si="179"/>
        <v>0</v>
      </c>
      <c r="L165" s="262">
        <f t="shared" si="179"/>
        <v>0</v>
      </c>
      <c r="M165" s="232">
        <f t="shared" si="148"/>
        <v>0</v>
      </c>
      <c r="N165" s="262">
        <v>0</v>
      </c>
      <c r="O165" s="262">
        <f t="shared" ref="O165:Q165" si="180">O166+O169+O173+O172</f>
        <v>0</v>
      </c>
      <c r="P165" s="262">
        <f t="shared" si="180"/>
        <v>0</v>
      </c>
      <c r="Q165" s="262">
        <f t="shared" si="180"/>
        <v>0</v>
      </c>
      <c r="R165" s="232">
        <f t="shared" si="149"/>
        <v>0</v>
      </c>
    </row>
    <row r="166" spans="1:18" s="6" customFormat="1" ht="12" hidden="1" customHeight="1">
      <c r="A166" s="141" t="s">
        <v>50</v>
      </c>
      <c r="B166" s="179" t="s">
        <v>51</v>
      </c>
      <c r="C166" s="98">
        <v>0</v>
      </c>
      <c r="D166" s="169">
        <v>0</v>
      </c>
      <c r="E166" s="231">
        <f t="shared" ref="E166:G166" si="181">E167+E168</f>
        <v>0</v>
      </c>
      <c r="F166" s="231">
        <f t="shared" si="181"/>
        <v>0</v>
      </c>
      <c r="G166" s="231">
        <f t="shared" si="181"/>
        <v>0</v>
      </c>
      <c r="H166" s="232">
        <f t="shared" si="147"/>
        <v>0</v>
      </c>
      <c r="I166" s="231">
        <v>0</v>
      </c>
      <c r="J166" s="231">
        <f t="shared" ref="J166:L166" si="182">J167+J168</f>
        <v>0</v>
      </c>
      <c r="K166" s="231">
        <f t="shared" si="182"/>
        <v>0</v>
      </c>
      <c r="L166" s="231">
        <f t="shared" si="182"/>
        <v>0</v>
      </c>
      <c r="M166" s="232">
        <f t="shared" si="148"/>
        <v>0</v>
      </c>
      <c r="N166" s="231">
        <v>0</v>
      </c>
      <c r="O166" s="231">
        <f t="shared" ref="O166:Q166" si="183">O167+O168</f>
        <v>0</v>
      </c>
      <c r="P166" s="231">
        <f t="shared" si="183"/>
        <v>0</v>
      </c>
      <c r="Q166" s="231">
        <f t="shared" si="183"/>
        <v>0</v>
      </c>
      <c r="R166" s="232">
        <f t="shared" si="149"/>
        <v>0</v>
      </c>
    </row>
    <row r="167" spans="1:18" s="6" customFormat="1" ht="12" hidden="1" customHeight="1">
      <c r="A167" s="141" t="s">
        <v>52</v>
      </c>
      <c r="B167" s="179" t="s">
        <v>53</v>
      </c>
      <c r="C167" s="98"/>
      <c r="D167" s="169">
        <v>0</v>
      </c>
      <c r="E167" s="231"/>
      <c r="F167" s="231"/>
      <c r="G167" s="231"/>
      <c r="H167" s="232">
        <f t="shared" si="147"/>
        <v>0</v>
      </c>
      <c r="I167" s="231">
        <v>0</v>
      </c>
      <c r="J167" s="231"/>
      <c r="K167" s="231"/>
      <c r="L167" s="231"/>
      <c r="M167" s="232">
        <f t="shared" si="148"/>
        <v>0</v>
      </c>
      <c r="N167" s="231">
        <v>0</v>
      </c>
      <c r="O167" s="231"/>
      <c r="P167" s="231"/>
      <c r="Q167" s="231"/>
      <c r="R167" s="232">
        <f t="shared" si="149"/>
        <v>0</v>
      </c>
    </row>
    <row r="168" spans="1:18" s="6" customFormat="1" ht="12" hidden="1" customHeight="1">
      <c r="A168" s="141" t="s">
        <v>54</v>
      </c>
      <c r="B168" s="179" t="s">
        <v>55</v>
      </c>
      <c r="C168" s="98"/>
      <c r="D168" s="169">
        <v>0</v>
      </c>
      <c r="E168" s="231"/>
      <c r="F168" s="231"/>
      <c r="G168" s="231"/>
      <c r="H168" s="232">
        <f t="shared" si="147"/>
        <v>0</v>
      </c>
      <c r="I168" s="231">
        <v>0</v>
      </c>
      <c r="J168" s="231"/>
      <c r="K168" s="231"/>
      <c r="L168" s="231"/>
      <c r="M168" s="232">
        <f t="shared" si="148"/>
        <v>0</v>
      </c>
      <c r="N168" s="231">
        <v>0</v>
      </c>
      <c r="O168" s="231"/>
      <c r="P168" s="231"/>
      <c r="Q168" s="231"/>
      <c r="R168" s="232">
        <f t="shared" si="149"/>
        <v>0</v>
      </c>
    </row>
    <row r="169" spans="1:18" s="6" customFormat="1" ht="12" hidden="1" customHeight="1">
      <c r="A169" s="141" t="s">
        <v>56</v>
      </c>
      <c r="B169" s="179" t="s">
        <v>57</v>
      </c>
      <c r="C169" s="98">
        <v>0</v>
      </c>
      <c r="D169" s="169">
        <v>0</v>
      </c>
      <c r="E169" s="231">
        <f t="shared" ref="E169:G169" si="184">E170+E171</f>
        <v>0</v>
      </c>
      <c r="F169" s="231">
        <f t="shared" si="184"/>
        <v>0</v>
      </c>
      <c r="G169" s="231">
        <f t="shared" si="184"/>
        <v>0</v>
      </c>
      <c r="H169" s="232">
        <f t="shared" si="147"/>
        <v>0</v>
      </c>
      <c r="I169" s="231">
        <v>0</v>
      </c>
      <c r="J169" s="231">
        <f t="shared" ref="J169:L169" si="185">J170+J171</f>
        <v>0</v>
      </c>
      <c r="K169" s="231">
        <f t="shared" si="185"/>
        <v>0</v>
      </c>
      <c r="L169" s="231">
        <f t="shared" si="185"/>
        <v>0</v>
      </c>
      <c r="M169" s="232">
        <f t="shared" si="148"/>
        <v>0</v>
      </c>
      <c r="N169" s="231">
        <v>0</v>
      </c>
      <c r="O169" s="231">
        <f t="shared" ref="O169:Q169" si="186">O170+O171</f>
        <v>0</v>
      </c>
      <c r="P169" s="231">
        <f t="shared" si="186"/>
        <v>0</v>
      </c>
      <c r="Q169" s="231">
        <f t="shared" si="186"/>
        <v>0</v>
      </c>
      <c r="R169" s="232">
        <f t="shared" si="149"/>
        <v>0</v>
      </c>
    </row>
    <row r="170" spans="1:18" s="6" customFormat="1" ht="12" hidden="1" customHeight="1">
      <c r="A170" s="141" t="s">
        <v>58</v>
      </c>
      <c r="B170" s="179" t="s">
        <v>59</v>
      </c>
      <c r="C170" s="98"/>
      <c r="D170" s="169">
        <v>0</v>
      </c>
      <c r="E170" s="231"/>
      <c r="F170" s="231"/>
      <c r="G170" s="231"/>
      <c r="H170" s="232">
        <f t="shared" si="147"/>
        <v>0</v>
      </c>
      <c r="I170" s="231">
        <v>0</v>
      </c>
      <c r="J170" s="231"/>
      <c r="K170" s="231"/>
      <c r="L170" s="231"/>
      <c r="M170" s="232">
        <f t="shared" si="148"/>
        <v>0</v>
      </c>
      <c r="N170" s="231">
        <v>0</v>
      </c>
      <c r="O170" s="231"/>
      <c r="P170" s="231"/>
      <c r="Q170" s="231"/>
      <c r="R170" s="232">
        <f t="shared" si="149"/>
        <v>0</v>
      </c>
    </row>
    <row r="171" spans="1:18" s="6" customFormat="1" ht="12" hidden="1" customHeight="1">
      <c r="A171" s="141" t="s">
        <v>60</v>
      </c>
      <c r="B171" s="179" t="s">
        <v>61</v>
      </c>
      <c r="C171" s="98"/>
      <c r="D171" s="169">
        <v>0</v>
      </c>
      <c r="E171" s="231"/>
      <c r="F171" s="231"/>
      <c r="G171" s="231"/>
      <c r="H171" s="232">
        <f t="shared" si="147"/>
        <v>0</v>
      </c>
      <c r="I171" s="231">
        <v>0</v>
      </c>
      <c r="J171" s="231"/>
      <c r="K171" s="231"/>
      <c r="L171" s="231"/>
      <c r="M171" s="232">
        <f t="shared" si="148"/>
        <v>0</v>
      </c>
      <c r="N171" s="231">
        <v>0</v>
      </c>
      <c r="O171" s="231"/>
      <c r="P171" s="231"/>
      <c r="Q171" s="231"/>
      <c r="R171" s="232">
        <f t="shared" si="149"/>
        <v>0</v>
      </c>
    </row>
    <row r="172" spans="1:18" s="6" customFormat="1" ht="12" hidden="1" customHeight="1">
      <c r="A172" s="141" t="s">
        <v>198</v>
      </c>
      <c r="B172" s="187" t="s">
        <v>168</v>
      </c>
      <c r="C172" s="98"/>
      <c r="D172" s="169">
        <v>0</v>
      </c>
      <c r="E172" s="231"/>
      <c r="F172" s="231"/>
      <c r="G172" s="231"/>
      <c r="H172" s="232">
        <f t="shared" si="147"/>
        <v>0</v>
      </c>
      <c r="I172" s="231">
        <v>0</v>
      </c>
      <c r="J172" s="231"/>
      <c r="K172" s="231"/>
      <c r="L172" s="231"/>
      <c r="M172" s="232">
        <f t="shared" si="148"/>
        <v>0</v>
      </c>
      <c r="N172" s="231">
        <v>0</v>
      </c>
      <c r="O172" s="231"/>
      <c r="P172" s="231"/>
      <c r="Q172" s="231"/>
      <c r="R172" s="232">
        <f t="shared" si="149"/>
        <v>0</v>
      </c>
    </row>
    <row r="173" spans="1:18" s="6" customFormat="1" ht="12" hidden="1" customHeight="1">
      <c r="A173" s="144" t="s">
        <v>62</v>
      </c>
      <c r="B173" s="125" t="s">
        <v>63</v>
      </c>
      <c r="C173" s="170">
        <v>0</v>
      </c>
      <c r="D173" s="171">
        <v>0</v>
      </c>
      <c r="E173" s="233">
        <f t="shared" ref="E173:G173" si="187">E174+E175+E176</f>
        <v>0</v>
      </c>
      <c r="F173" s="233">
        <f t="shared" si="187"/>
        <v>0</v>
      </c>
      <c r="G173" s="233">
        <f t="shared" si="187"/>
        <v>0</v>
      </c>
      <c r="H173" s="232">
        <f t="shared" si="147"/>
        <v>0</v>
      </c>
      <c r="I173" s="233">
        <v>0</v>
      </c>
      <c r="J173" s="233">
        <f t="shared" ref="J173:L173" si="188">J174+J175+J176</f>
        <v>0</v>
      </c>
      <c r="K173" s="233">
        <f t="shared" si="188"/>
        <v>0</v>
      </c>
      <c r="L173" s="233">
        <f t="shared" si="188"/>
        <v>0</v>
      </c>
      <c r="M173" s="232">
        <f t="shared" si="148"/>
        <v>0</v>
      </c>
      <c r="N173" s="233">
        <v>0</v>
      </c>
      <c r="O173" s="233">
        <f t="shared" ref="O173:Q173" si="189">O174+O175+O176</f>
        <v>0</v>
      </c>
      <c r="P173" s="233">
        <f t="shared" si="189"/>
        <v>0</v>
      </c>
      <c r="Q173" s="233">
        <f t="shared" si="189"/>
        <v>0</v>
      </c>
      <c r="R173" s="232">
        <f t="shared" si="149"/>
        <v>0</v>
      </c>
    </row>
    <row r="174" spans="1:18" s="6" customFormat="1" ht="24" hidden="1" customHeight="1">
      <c r="A174" s="144" t="s">
        <v>64</v>
      </c>
      <c r="B174" s="179" t="s">
        <v>65</v>
      </c>
      <c r="C174" s="98"/>
      <c r="D174" s="169">
        <v>0</v>
      </c>
      <c r="E174" s="231"/>
      <c r="F174" s="231"/>
      <c r="G174" s="231"/>
      <c r="H174" s="232">
        <f t="shared" si="147"/>
        <v>0</v>
      </c>
      <c r="I174" s="231">
        <v>0</v>
      </c>
      <c r="J174" s="231"/>
      <c r="K174" s="231"/>
      <c r="L174" s="231"/>
      <c r="M174" s="232">
        <f t="shared" si="148"/>
        <v>0</v>
      </c>
      <c r="N174" s="231">
        <v>0</v>
      </c>
      <c r="O174" s="231"/>
      <c r="P174" s="231"/>
      <c r="Q174" s="231"/>
      <c r="R174" s="232">
        <f t="shared" si="149"/>
        <v>0</v>
      </c>
    </row>
    <row r="175" spans="1:18" s="6" customFormat="1" ht="24" hidden="1" customHeight="1">
      <c r="A175" s="144" t="s">
        <v>66</v>
      </c>
      <c r="B175" s="179" t="s">
        <v>67</v>
      </c>
      <c r="C175" s="98"/>
      <c r="D175" s="169">
        <v>0</v>
      </c>
      <c r="E175" s="231"/>
      <c r="F175" s="231"/>
      <c r="G175" s="231"/>
      <c r="H175" s="232">
        <f t="shared" si="147"/>
        <v>0</v>
      </c>
      <c r="I175" s="231">
        <v>0</v>
      </c>
      <c r="J175" s="231"/>
      <c r="K175" s="231"/>
      <c r="L175" s="231"/>
      <c r="M175" s="232">
        <f t="shared" si="148"/>
        <v>0</v>
      </c>
      <c r="N175" s="231">
        <v>0</v>
      </c>
      <c r="O175" s="231"/>
      <c r="P175" s="231"/>
      <c r="Q175" s="231"/>
      <c r="R175" s="232">
        <f t="shared" si="149"/>
        <v>0</v>
      </c>
    </row>
    <row r="176" spans="1:18" s="6" customFormat="1" ht="24" hidden="1" customHeight="1">
      <c r="A176" s="144" t="s">
        <v>68</v>
      </c>
      <c r="B176" s="125" t="s">
        <v>69</v>
      </c>
      <c r="C176" s="98"/>
      <c r="D176" s="169">
        <v>0</v>
      </c>
      <c r="E176" s="231"/>
      <c r="F176" s="231"/>
      <c r="G176" s="231"/>
      <c r="H176" s="232">
        <f t="shared" si="147"/>
        <v>0</v>
      </c>
      <c r="I176" s="231">
        <v>0</v>
      </c>
      <c r="J176" s="231"/>
      <c r="K176" s="231"/>
      <c r="L176" s="231"/>
      <c r="M176" s="232">
        <f t="shared" si="148"/>
        <v>0</v>
      </c>
      <c r="N176" s="231">
        <v>0</v>
      </c>
      <c r="O176" s="231"/>
      <c r="P176" s="231"/>
      <c r="Q176" s="231"/>
      <c r="R176" s="232">
        <f t="shared" si="149"/>
        <v>0</v>
      </c>
    </row>
    <row r="177" spans="1:18" s="6" customFormat="1" ht="22.8">
      <c r="A177" s="145"/>
      <c r="B177" s="188" t="s">
        <v>200</v>
      </c>
      <c r="C177" s="207"/>
      <c r="D177" s="294">
        <v>0</v>
      </c>
      <c r="E177" s="268"/>
      <c r="F177" s="268"/>
      <c r="G177" s="268"/>
      <c r="H177" s="269">
        <f t="shared" si="147"/>
        <v>0</v>
      </c>
      <c r="I177" s="347">
        <v>0</v>
      </c>
      <c r="J177" s="268"/>
      <c r="K177" s="268"/>
      <c r="L177" s="268"/>
      <c r="M177" s="269">
        <f t="shared" si="148"/>
        <v>0</v>
      </c>
      <c r="N177" s="347">
        <v>0</v>
      </c>
      <c r="O177" s="268"/>
      <c r="P177" s="268"/>
      <c r="Q177" s="268"/>
      <c r="R177" s="269">
        <f t="shared" si="149"/>
        <v>0</v>
      </c>
    </row>
    <row r="178" spans="1:18" s="6" customFormat="1" ht="21" hidden="1" customHeight="1">
      <c r="A178" s="129" t="s">
        <v>201</v>
      </c>
      <c r="B178" s="123" t="s">
        <v>88</v>
      </c>
      <c r="C178" s="200">
        <v>0</v>
      </c>
      <c r="D178" s="167">
        <v>0</v>
      </c>
      <c r="E178" s="228">
        <f t="shared" ref="E178:G178" si="190">E179+E180+E182+E200</f>
        <v>0</v>
      </c>
      <c r="F178" s="228">
        <f t="shared" si="190"/>
        <v>0</v>
      </c>
      <c r="G178" s="228">
        <f t="shared" si="190"/>
        <v>0</v>
      </c>
      <c r="H178" s="229">
        <f t="shared" si="147"/>
        <v>0</v>
      </c>
      <c r="I178" s="228">
        <v>0</v>
      </c>
      <c r="J178" s="228">
        <f t="shared" ref="J178:L178" si="191">J179+J180+J182+J200</f>
        <v>0</v>
      </c>
      <c r="K178" s="228">
        <f t="shared" si="191"/>
        <v>0</v>
      </c>
      <c r="L178" s="228">
        <f t="shared" si="191"/>
        <v>0</v>
      </c>
      <c r="M178" s="229">
        <f t="shared" si="148"/>
        <v>0</v>
      </c>
      <c r="N178" s="228">
        <v>0</v>
      </c>
      <c r="O178" s="228">
        <f t="shared" ref="O178:Q178" si="192">O179+O180+O182+O200</f>
        <v>0</v>
      </c>
      <c r="P178" s="228">
        <f t="shared" si="192"/>
        <v>0</v>
      </c>
      <c r="Q178" s="228">
        <f t="shared" si="192"/>
        <v>0</v>
      </c>
      <c r="R178" s="229">
        <f t="shared" si="149"/>
        <v>0</v>
      </c>
    </row>
    <row r="179" spans="1:18" s="6" customFormat="1" ht="24" hidden="1" customHeight="1">
      <c r="A179" s="130" t="s">
        <v>177</v>
      </c>
      <c r="B179" s="124" t="s">
        <v>90</v>
      </c>
      <c r="C179" s="98"/>
      <c r="D179" s="169">
        <v>0</v>
      </c>
      <c r="E179" s="231"/>
      <c r="F179" s="231"/>
      <c r="G179" s="231"/>
      <c r="H179" s="232">
        <f t="shared" si="147"/>
        <v>0</v>
      </c>
      <c r="I179" s="231">
        <v>0</v>
      </c>
      <c r="J179" s="231"/>
      <c r="K179" s="231"/>
      <c r="L179" s="231"/>
      <c r="M179" s="232">
        <f t="shared" si="148"/>
        <v>0</v>
      </c>
      <c r="N179" s="231">
        <v>0</v>
      </c>
      <c r="O179" s="231"/>
      <c r="P179" s="231"/>
      <c r="Q179" s="231"/>
      <c r="R179" s="232">
        <f t="shared" si="149"/>
        <v>0</v>
      </c>
    </row>
    <row r="180" spans="1:18" s="6" customFormat="1" ht="12" hidden="1" customHeight="1">
      <c r="A180" s="130" t="s">
        <v>91</v>
      </c>
      <c r="B180" s="124" t="s">
        <v>92</v>
      </c>
      <c r="C180" s="98"/>
      <c r="D180" s="169">
        <v>0</v>
      </c>
      <c r="E180" s="231"/>
      <c r="F180" s="231"/>
      <c r="G180" s="231"/>
      <c r="H180" s="232">
        <f t="shared" si="147"/>
        <v>0</v>
      </c>
      <c r="I180" s="231">
        <v>0</v>
      </c>
      <c r="J180" s="231"/>
      <c r="K180" s="231"/>
      <c r="L180" s="231"/>
      <c r="M180" s="232">
        <f t="shared" si="148"/>
        <v>0</v>
      </c>
      <c r="N180" s="231">
        <v>0</v>
      </c>
      <c r="O180" s="231"/>
      <c r="P180" s="231"/>
      <c r="Q180" s="231"/>
      <c r="R180" s="232">
        <f t="shared" si="149"/>
        <v>0</v>
      </c>
    </row>
    <row r="181" spans="1:18" s="29" customFormat="1" ht="12" hidden="1" customHeight="1">
      <c r="A181" s="131">
        <v>21210</v>
      </c>
      <c r="B181" s="125" t="s">
        <v>93</v>
      </c>
      <c r="C181" s="98"/>
      <c r="D181" s="169">
        <v>0</v>
      </c>
      <c r="E181" s="231"/>
      <c r="F181" s="231"/>
      <c r="G181" s="231"/>
      <c r="H181" s="232">
        <f t="shared" si="147"/>
        <v>0</v>
      </c>
      <c r="I181" s="231">
        <v>0</v>
      </c>
      <c r="J181" s="231"/>
      <c r="K181" s="231"/>
      <c r="L181" s="231"/>
      <c r="M181" s="232">
        <f t="shared" si="148"/>
        <v>0</v>
      </c>
      <c r="N181" s="231">
        <v>0</v>
      </c>
      <c r="O181" s="231"/>
      <c r="P181" s="231"/>
      <c r="Q181" s="231"/>
      <c r="R181" s="232">
        <f t="shared" si="149"/>
        <v>0</v>
      </c>
    </row>
    <row r="182" spans="1:18" s="89" customFormat="1" ht="21" hidden="1" customHeight="1">
      <c r="A182" s="130" t="s">
        <v>178</v>
      </c>
      <c r="B182" s="124" t="s">
        <v>94</v>
      </c>
      <c r="C182" s="170">
        <v>0</v>
      </c>
      <c r="D182" s="171">
        <v>0</v>
      </c>
      <c r="E182" s="233">
        <f t="shared" ref="E182:G182" si="193">E183+E189</f>
        <v>0</v>
      </c>
      <c r="F182" s="233">
        <f t="shared" si="193"/>
        <v>0</v>
      </c>
      <c r="G182" s="233">
        <f t="shared" si="193"/>
        <v>0</v>
      </c>
      <c r="H182" s="232">
        <f t="shared" si="147"/>
        <v>0</v>
      </c>
      <c r="I182" s="233">
        <v>0</v>
      </c>
      <c r="J182" s="233">
        <f t="shared" ref="J182:L182" si="194">J183+J189</f>
        <v>0</v>
      </c>
      <c r="K182" s="233">
        <f t="shared" si="194"/>
        <v>0</v>
      </c>
      <c r="L182" s="233">
        <f t="shared" si="194"/>
        <v>0</v>
      </c>
      <c r="M182" s="232">
        <f t="shared" si="148"/>
        <v>0</v>
      </c>
      <c r="N182" s="233">
        <v>0</v>
      </c>
      <c r="O182" s="233">
        <f t="shared" ref="O182:Q182" si="195">O183+O189</f>
        <v>0</v>
      </c>
      <c r="P182" s="233">
        <f t="shared" si="195"/>
        <v>0</v>
      </c>
      <c r="Q182" s="233">
        <f t="shared" si="195"/>
        <v>0</v>
      </c>
      <c r="R182" s="232">
        <f t="shared" si="149"/>
        <v>0</v>
      </c>
    </row>
    <row r="183" spans="1:18" s="89" customFormat="1" ht="12" hidden="1" customHeight="1">
      <c r="A183" s="132">
        <v>18000</v>
      </c>
      <c r="B183" s="125" t="s">
        <v>95</v>
      </c>
      <c r="C183" s="170">
        <v>0</v>
      </c>
      <c r="D183" s="171">
        <v>0</v>
      </c>
      <c r="E183" s="233">
        <f t="shared" ref="E183:L184" si="196">E184</f>
        <v>0</v>
      </c>
      <c r="F183" s="233">
        <f t="shared" si="196"/>
        <v>0</v>
      </c>
      <c r="G183" s="233">
        <f t="shared" si="196"/>
        <v>0</v>
      </c>
      <c r="H183" s="232">
        <f t="shared" si="147"/>
        <v>0</v>
      </c>
      <c r="I183" s="233">
        <v>0</v>
      </c>
      <c r="J183" s="233">
        <f t="shared" si="196"/>
        <v>0</v>
      </c>
      <c r="K183" s="233">
        <f t="shared" si="196"/>
        <v>0</v>
      </c>
      <c r="L183" s="233">
        <f t="shared" si="196"/>
        <v>0</v>
      </c>
      <c r="M183" s="232">
        <f t="shared" si="148"/>
        <v>0</v>
      </c>
      <c r="N183" s="233">
        <v>0</v>
      </c>
      <c r="O183" s="233">
        <f t="shared" ref="O183:Q184" si="197">O184</f>
        <v>0</v>
      </c>
      <c r="P183" s="233">
        <f t="shared" si="197"/>
        <v>0</v>
      </c>
      <c r="Q183" s="233">
        <f t="shared" si="197"/>
        <v>0</v>
      </c>
      <c r="R183" s="232">
        <f t="shared" si="149"/>
        <v>0</v>
      </c>
    </row>
    <row r="184" spans="1:18" s="89" customFormat="1" ht="12" hidden="1" customHeight="1">
      <c r="A184" s="132">
        <v>18100</v>
      </c>
      <c r="B184" s="125" t="s">
        <v>96</v>
      </c>
      <c r="C184" s="170">
        <v>0</v>
      </c>
      <c r="D184" s="171">
        <v>0</v>
      </c>
      <c r="E184" s="233">
        <f t="shared" si="196"/>
        <v>0</v>
      </c>
      <c r="F184" s="233">
        <f t="shared" si="196"/>
        <v>0</v>
      </c>
      <c r="G184" s="233">
        <f t="shared" si="196"/>
        <v>0</v>
      </c>
      <c r="H184" s="232">
        <f t="shared" si="147"/>
        <v>0</v>
      </c>
      <c r="I184" s="233">
        <v>0</v>
      </c>
      <c r="J184" s="233">
        <f t="shared" si="196"/>
        <v>0</v>
      </c>
      <c r="K184" s="233">
        <f t="shared" si="196"/>
        <v>0</v>
      </c>
      <c r="L184" s="233">
        <f t="shared" si="196"/>
        <v>0</v>
      </c>
      <c r="M184" s="232">
        <f t="shared" si="148"/>
        <v>0</v>
      </c>
      <c r="N184" s="233">
        <v>0</v>
      </c>
      <c r="O184" s="233">
        <f t="shared" si="197"/>
        <v>0</v>
      </c>
      <c r="P184" s="233">
        <f t="shared" si="197"/>
        <v>0</v>
      </c>
      <c r="Q184" s="233">
        <f t="shared" si="197"/>
        <v>0</v>
      </c>
      <c r="R184" s="232">
        <f t="shared" si="149"/>
        <v>0</v>
      </c>
    </row>
    <row r="185" spans="1:18" s="89" customFormat="1" ht="24" hidden="1" customHeight="1">
      <c r="A185" s="133">
        <v>18130</v>
      </c>
      <c r="B185" s="172" t="s">
        <v>159</v>
      </c>
      <c r="C185" s="170">
        <v>0</v>
      </c>
      <c r="D185" s="171">
        <v>0</v>
      </c>
      <c r="E185" s="233">
        <f t="shared" ref="E185:G185" si="198">SUM(E186:E188)</f>
        <v>0</v>
      </c>
      <c r="F185" s="233">
        <f t="shared" ref="F185" si="199">SUM(F186:F188)</f>
        <v>0</v>
      </c>
      <c r="G185" s="233">
        <f t="shared" si="198"/>
        <v>0</v>
      </c>
      <c r="H185" s="232">
        <f t="shared" si="147"/>
        <v>0</v>
      </c>
      <c r="I185" s="233">
        <v>0</v>
      </c>
      <c r="J185" s="233">
        <f t="shared" ref="J185:L185" si="200">SUM(J186:J188)</f>
        <v>0</v>
      </c>
      <c r="K185" s="233">
        <f t="shared" si="200"/>
        <v>0</v>
      </c>
      <c r="L185" s="233">
        <f t="shared" si="200"/>
        <v>0</v>
      </c>
      <c r="M185" s="232">
        <f t="shared" si="148"/>
        <v>0</v>
      </c>
      <c r="N185" s="233">
        <v>0</v>
      </c>
      <c r="O185" s="233">
        <f t="shared" ref="O185:Q185" si="201">SUM(O186:O188)</f>
        <v>0</v>
      </c>
      <c r="P185" s="233">
        <f t="shared" si="201"/>
        <v>0</v>
      </c>
      <c r="Q185" s="233">
        <f t="shared" si="201"/>
        <v>0</v>
      </c>
      <c r="R185" s="232">
        <f t="shared" si="149"/>
        <v>0</v>
      </c>
    </row>
    <row r="186" spans="1:18" s="89" customFormat="1" ht="24" hidden="1" customHeight="1">
      <c r="A186" s="134">
        <v>18131</v>
      </c>
      <c r="B186" s="172" t="s">
        <v>160</v>
      </c>
      <c r="C186" s="170"/>
      <c r="D186" s="171">
        <v>0</v>
      </c>
      <c r="E186" s="233"/>
      <c r="F186" s="233"/>
      <c r="G186" s="233"/>
      <c r="H186" s="232">
        <f t="shared" si="147"/>
        <v>0</v>
      </c>
      <c r="I186" s="233">
        <v>0</v>
      </c>
      <c r="J186" s="233"/>
      <c r="K186" s="233"/>
      <c r="L186" s="233"/>
      <c r="M186" s="232">
        <f t="shared" si="148"/>
        <v>0</v>
      </c>
      <c r="N186" s="233">
        <v>0</v>
      </c>
      <c r="O186" s="233"/>
      <c r="P186" s="233"/>
      <c r="Q186" s="233"/>
      <c r="R186" s="232">
        <f t="shared" si="149"/>
        <v>0</v>
      </c>
    </row>
    <row r="187" spans="1:18" s="89" customFormat="1" ht="24" hidden="1" customHeight="1">
      <c r="A187" s="134">
        <v>18132</v>
      </c>
      <c r="B187" s="172" t="s">
        <v>169</v>
      </c>
      <c r="C187" s="170"/>
      <c r="D187" s="171">
        <v>0</v>
      </c>
      <c r="E187" s="233"/>
      <c r="F187" s="233"/>
      <c r="G187" s="233"/>
      <c r="H187" s="232">
        <f t="shared" si="147"/>
        <v>0</v>
      </c>
      <c r="I187" s="233">
        <v>0</v>
      </c>
      <c r="J187" s="233"/>
      <c r="K187" s="233"/>
      <c r="L187" s="233"/>
      <c r="M187" s="232">
        <f t="shared" si="148"/>
        <v>0</v>
      </c>
      <c r="N187" s="233">
        <v>0</v>
      </c>
      <c r="O187" s="233"/>
      <c r="P187" s="233"/>
      <c r="Q187" s="233"/>
      <c r="R187" s="232">
        <f t="shared" si="149"/>
        <v>0</v>
      </c>
    </row>
    <row r="188" spans="1:18" s="89" customFormat="1" ht="24" hidden="1" customHeight="1">
      <c r="A188" s="134">
        <v>18139</v>
      </c>
      <c r="B188" s="172" t="s">
        <v>179</v>
      </c>
      <c r="C188" s="170"/>
      <c r="D188" s="171">
        <v>0</v>
      </c>
      <c r="E188" s="233"/>
      <c r="F188" s="233"/>
      <c r="G188" s="233"/>
      <c r="H188" s="232">
        <f t="shared" si="147"/>
        <v>0</v>
      </c>
      <c r="I188" s="233">
        <v>0</v>
      </c>
      <c r="J188" s="233"/>
      <c r="K188" s="233"/>
      <c r="L188" s="233"/>
      <c r="M188" s="232">
        <f t="shared" si="148"/>
        <v>0</v>
      </c>
      <c r="N188" s="233">
        <v>0</v>
      </c>
      <c r="O188" s="233"/>
      <c r="P188" s="233"/>
      <c r="Q188" s="233"/>
      <c r="R188" s="232">
        <f t="shared" si="149"/>
        <v>0</v>
      </c>
    </row>
    <row r="189" spans="1:18" s="89" customFormat="1" ht="12" hidden="1" customHeight="1">
      <c r="A189" s="135" t="s">
        <v>180</v>
      </c>
      <c r="B189" s="173" t="s">
        <v>173</v>
      </c>
      <c r="C189" s="201">
        <v>0</v>
      </c>
      <c r="D189" s="174">
        <v>0</v>
      </c>
      <c r="E189" s="238">
        <f t="shared" ref="E189:L189" si="202">E190</f>
        <v>0</v>
      </c>
      <c r="F189" s="238">
        <f t="shared" si="202"/>
        <v>0</v>
      </c>
      <c r="G189" s="238">
        <f t="shared" si="202"/>
        <v>0</v>
      </c>
      <c r="H189" s="232">
        <f t="shared" si="147"/>
        <v>0</v>
      </c>
      <c r="I189" s="238">
        <v>0</v>
      </c>
      <c r="J189" s="238">
        <f t="shared" si="202"/>
        <v>0</v>
      </c>
      <c r="K189" s="238">
        <f t="shared" si="202"/>
        <v>0</v>
      </c>
      <c r="L189" s="238">
        <f t="shared" si="202"/>
        <v>0</v>
      </c>
      <c r="M189" s="232">
        <f t="shared" si="148"/>
        <v>0</v>
      </c>
      <c r="N189" s="238">
        <v>0</v>
      </c>
      <c r="O189" s="238">
        <f t="shared" ref="O189:Q189" si="203">O190</f>
        <v>0</v>
      </c>
      <c r="P189" s="238">
        <f t="shared" si="203"/>
        <v>0</v>
      </c>
      <c r="Q189" s="238">
        <f t="shared" si="203"/>
        <v>0</v>
      </c>
      <c r="R189" s="232">
        <f t="shared" si="149"/>
        <v>0</v>
      </c>
    </row>
    <row r="190" spans="1:18" s="89" customFormat="1" ht="12" hidden="1" customHeight="1">
      <c r="A190" s="135">
        <v>19500</v>
      </c>
      <c r="B190" s="172" t="s">
        <v>174</v>
      </c>
      <c r="C190" s="170">
        <v>0</v>
      </c>
      <c r="D190" s="171">
        <v>0</v>
      </c>
      <c r="E190" s="233">
        <f t="shared" ref="E190:G190" si="204">SUM(E191:E193)</f>
        <v>0</v>
      </c>
      <c r="F190" s="233">
        <f t="shared" si="204"/>
        <v>0</v>
      </c>
      <c r="G190" s="233">
        <f t="shared" si="204"/>
        <v>0</v>
      </c>
      <c r="H190" s="232">
        <f t="shared" si="147"/>
        <v>0</v>
      </c>
      <c r="I190" s="233">
        <v>0</v>
      </c>
      <c r="J190" s="233">
        <f t="shared" ref="J190:L190" si="205">SUM(J191:J193)</f>
        <v>0</v>
      </c>
      <c r="K190" s="233">
        <f t="shared" si="205"/>
        <v>0</v>
      </c>
      <c r="L190" s="233">
        <f t="shared" si="205"/>
        <v>0</v>
      </c>
      <c r="M190" s="232">
        <f t="shared" si="148"/>
        <v>0</v>
      </c>
      <c r="N190" s="233">
        <v>0</v>
      </c>
      <c r="O190" s="233">
        <f t="shared" ref="O190:Q190" si="206">SUM(O191:O193)</f>
        <v>0</v>
      </c>
      <c r="P190" s="233">
        <f t="shared" si="206"/>
        <v>0</v>
      </c>
      <c r="Q190" s="233">
        <f t="shared" si="206"/>
        <v>0</v>
      </c>
      <c r="R190" s="232">
        <f t="shared" si="149"/>
        <v>0</v>
      </c>
    </row>
    <row r="191" spans="1:18" s="89" customFormat="1" ht="24" hidden="1" customHeight="1">
      <c r="A191" s="136">
        <v>19550</v>
      </c>
      <c r="B191" s="172" t="s">
        <v>175</v>
      </c>
      <c r="C191" s="170"/>
      <c r="D191" s="171">
        <v>0</v>
      </c>
      <c r="E191" s="233"/>
      <c r="F191" s="233"/>
      <c r="G191" s="233"/>
      <c r="H191" s="232">
        <f t="shared" si="147"/>
        <v>0</v>
      </c>
      <c r="I191" s="233">
        <v>0</v>
      </c>
      <c r="J191" s="233"/>
      <c r="K191" s="233"/>
      <c r="L191" s="233"/>
      <c r="M191" s="232">
        <f t="shared" si="148"/>
        <v>0</v>
      </c>
      <c r="N191" s="233">
        <v>0</v>
      </c>
      <c r="O191" s="233"/>
      <c r="P191" s="233"/>
      <c r="Q191" s="233"/>
      <c r="R191" s="232">
        <f t="shared" si="149"/>
        <v>0</v>
      </c>
    </row>
    <row r="192" spans="1:18" s="89" customFormat="1" ht="36" hidden="1" customHeight="1">
      <c r="A192" s="136">
        <v>19560</v>
      </c>
      <c r="B192" s="172" t="s">
        <v>181</v>
      </c>
      <c r="C192" s="170"/>
      <c r="D192" s="171">
        <v>0</v>
      </c>
      <c r="E192" s="233"/>
      <c r="F192" s="233"/>
      <c r="G192" s="233"/>
      <c r="H192" s="232">
        <f t="shared" si="147"/>
        <v>0</v>
      </c>
      <c r="I192" s="233">
        <v>0</v>
      </c>
      <c r="J192" s="233"/>
      <c r="K192" s="233"/>
      <c r="L192" s="233"/>
      <c r="M192" s="232">
        <f t="shared" si="148"/>
        <v>0</v>
      </c>
      <c r="N192" s="233">
        <v>0</v>
      </c>
      <c r="O192" s="233"/>
      <c r="P192" s="233"/>
      <c r="Q192" s="233"/>
      <c r="R192" s="232">
        <f t="shared" si="149"/>
        <v>0</v>
      </c>
    </row>
    <row r="193" spans="1:18" s="89" customFormat="1" ht="60" hidden="1" customHeight="1">
      <c r="A193" s="136">
        <v>19570</v>
      </c>
      <c r="B193" s="172" t="s">
        <v>182</v>
      </c>
      <c r="C193" s="170"/>
      <c r="D193" s="171">
        <v>0</v>
      </c>
      <c r="E193" s="233"/>
      <c r="F193" s="233"/>
      <c r="G193" s="233"/>
      <c r="H193" s="232">
        <f t="shared" si="147"/>
        <v>0</v>
      </c>
      <c r="I193" s="233">
        <v>0</v>
      </c>
      <c r="J193" s="233"/>
      <c r="K193" s="233"/>
      <c r="L193" s="233"/>
      <c r="M193" s="232">
        <f t="shared" si="148"/>
        <v>0</v>
      </c>
      <c r="N193" s="233">
        <v>0</v>
      </c>
      <c r="O193" s="233"/>
      <c r="P193" s="233"/>
      <c r="Q193" s="233"/>
      <c r="R193" s="232">
        <f t="shared" si="149"/>
        <v>0</v>
      </c>
    </row>
    <row r="194" spans="1:18" s="6" customFormat="1" ht="24" hidden="1" customHeight="1">
      <c r="A194" s="209" t="s">
        <v>222</v>
      </c>
      <c r="B194" s="208" t="s">
        <v>216</v>
      </c>
      <c r="C194" s="106">
        <v>0</v>
      </c>
      <c r="D194" s="107">
        <v>0</v>
      </c>
      <c r="E194" s="232">
        <f t="shared" ref="E194:L194" si="207">E195</f>
        <v>0</v>
      </c>
      <c r="F194" s="232">
        <f t="shared" si="207"/>
        <v>0</v>
      </c>
      <c r="G194" s="232">
        <f t="shared" si="207"/>
        <v>0</v>
      </c>
      <c r="H194" s="232">
        <f t="shared" si="147"/>
        <v>0</v>
      </c>
      <c r="I194" s="233">
        <v>0</v>
      </c>
      <c r="J194" s="232">
        <f t="shared" si="207"/>
        <v>0</v>
      </c>
      <c r="K194" s="232">
        <f t="shared" si="207"/>
        <v>0</v>
      </c>
      <c r="L194" s="232">
        <f t="shared" si="207"/>
        <v>0</v>
      </c>
      <c r="M194" s="232">
        <f t="shared" si="148"/>
        <v>0</v>
      </c>
      <c r="N194" s="233">
        <v>0</v>
      </c>
      <c r="O194" s="232">
        <f t="shared" ref="O194:Q194" si="208">O195</f>
        <v>0</v>
      </c>
      <c r="P194" s="232">
        <f t="shared" si="208"/>
        <v>0</v>
      </c>
      <c r="Q194" s="232">
        <f t="shared" si="208"/>
        <v>0</v>
      </c>
      <c r="R194" s="232">
        <f t="shared" si="149"/>
        <v>0</v>
      </c>
    </row>
    <row r="195" spans="1:18" s="6" customFormat="1" ht="36" hidden="1" customHeight="1">
      <c r="A195" s="209">
        <v>17100</v>
      </c>
      <c r="B195" s="208" t="s">
        <v>217</v>
      </c>
      <c r="C195" s="106">
        <v>0</v>
      </c>
      <c r="D195" s="107">
        <v>0</v>
      </c>
      <c r="E195" s="232">
        <f t="shared" ref="E195:G195" si="209">SUM(E196:E199)</f>
        <v>0</v>
      </c>
      <c r="F195" s="232">
        <f t="shared" si="209"/>
        <v>0</v>
      </c>
      <c r="G195" s="232">
        <f t="shared" si="209"/>
        <v>0</v>
      </c>
      <c r="H195" s="232">
        <f t="shared" si="147"/>
        <v>0</v>
      </c>
      <c r="I195" s="233">
        <v>0</v>
      </c>
      <c r="J195" s="232">
        <f t="shared" ref="J195:L195" si="210">SUM(J196:J199)</f>
        <v>0</v>
      </c>
      <c r="K195" s="232">
        <f t="shared" si="210"/>
        <v>0</v>
      </c>
      <c r="L195" s="232">
        <f t="shared" si="210"/>
        <v>0</v>
      </c>
      <c r="M195" s="232">
        <f t="shared" si="148"/>
        <v>0</v>
      </c>
      <c r="N195" s="233">
        <v>0</v>
      </c>
      <c r="O195" s="232">
        <f t="shared" ref="O195:Q195" si="211">SUM(O196:O199)</f>
        <v>0</v>
      </c>
      <c r="P195" s="232">
        <f t="shared" si="211"/>
        <v>0</v>
      </c>
      <c r="Q195" s="232">
        <f t="shared" si="211"/>
        <v>0</v>
      </c>
      <c r="R195" s="232">
        <f t="shared" si="149"/>
        <v>0</v>
      </c>
    </row>
    <row r="196" spans="1:18" s="6" customFormat="1" ht="48" hidden="1" customHeight="1">
      <c r="A196" s="149">
        <v>17110</v>
      </c>
      <c r="B196" s="208" t="s">
        <v>218</v>
      </c>
      <c r="C196" s="106"/>
      <c r="D196" s="107">
        <v>0</v>
      </c>
      <c r="E196" s="233"/>
      <c r="F196" s="233"/>
      <c r="G196" s="233"/>
      <c r="H196" s="232">
        <f t="shared" si="147"/>
        <v>0</v>
      </c>
      <c r="I196" s="233">
        <v>0</v>
      </c>
      <c r="J196" s="233"/>
      <c r="K196" s="233"/>
      <c r="L196" s="233"/>
      <c r="M196" s="232">
        <f t="shared" si="148"/>
        <v>0</v>
      </c>
      <c r="N196" s="233">
        <v>0</v>
      </c>
      <c r="O196" s="233"/>
      <c r="P196" s="233"/>
      <c r="Q196" s="233"/>
      <c r="R196" s="232">
        <f t="shared" si="149"/>
        <v>0</v>
      </c>
    </row>
    <row r="197" spans="1:18" s="6" customFormat="1" ht="48" hidden="1" customHeight="1">
      <c r="A197" s="149">
        <v>17120</v>
      </c>
      <c r="B197" s="208" t="s">
        <v>219</v>
      </c>
      <c r="C197" s="106"/>
      <c r="D197" s="107">
        <v>0</v>
      </c>
      <c r="E197" s="233"/>
      <c r="F197" s="233"/>
      <c r="G197" s="233"/>
      <c r="H197" s="232">
        <f t="shared" si="147"/>
        <v>0</v>
      </c>
      <c r="I197" s="233">
        <v>0</v>
      </c>
      <c r="J197" s="233"/>
      <c r="K197" s="233"/>
      <c r="L197" s="233"/>
      <c r="M197" s="232">
        <f t="shared" si="148"/>
        <v>0</v>
      </c>
      <c r="N197" s="233">
        <v>0</v>
      </c>
      <c r="O197" s="233"/>
      <c r="P197" s="233"/>
      <c r="Q197" s="233"/>
      <c r="R197" s="232">
        <f t="shared" si="149"/>
        <v>0</v>
      </c>
    </row>
    <row r="198" spans="1:18" s="6" customFormat="1" ht="96" hidden="1" customHeight="1">
      <c r="A198" s="149">
        <v>17130</v>
      </c>
      <c r="B198" s="208" t="s">
        <v>220</v>
      </c>
      <c r="C198" s="106"/>
      <c r="D198" s="107">
        <v>0</v>
      </c>
      <c r="E198" s="233"/>
      <c r="F198" s="233"/>
      <c r="G198" s="233"/>
      <c r="H198" s="232">
        <f t="shared" si="147"/>
        <v>0</v>
      </c>
      <c r="I198" s="233">
        <v>0</v>
      </c>
      <c r="J198" s="233"/>
      <c r="K198" s="233"/>
      <c r="L198" s="233"/>
      <c r="M198" s="232">
        <f t="shared" si="148"/>
        <v>0</v>
      </c>
      <c r="N198" s="233">
        <v>0</v>
      </c>
      <c r="O198" s="233"/>
      <c r="P198" s="233"/>
      <c r="Q198" s="233"/>
      <c r="R198" s="232">
        <f t="shared" si="149"/>
        <v>0</v>
      </c>
    </row>
    <row r="199" spans="1:18" s="6" customFormat="1" ht="96" hidden="1" customHeight="1">
      <c r="A199" s="149">
        <v>17140</v>
      </c>
      <c r="B199" s="208" t="s">
        <v>221</v>
      </c>
      <c r="C199" s="106"/>
      <c r="D199" s="107">
        <v>0</v>
      </c>
      <c r="E199" s="233"/>
      <c r="F199" s="233"/>
      <c r="G199" s="233"/>
      <c r="H199" s="232">
        <f t="shared" si="147"/>
        <v>0</v>
      </c>
      <c r="I199" s="233">
        <v>0</v>
      </c>
      <c r="J199" s="233"/>
      <c r="K199" s="233"/>
      <c r="L199" s="233"/>
      <c r="M199" s="232">
        <f t="shared" si="148"/>
        <v>0</v>
      </c>
      <c r="N199" s="233">
        <v>0</v>
      </c>
      <c r="O199" s="233"/>
      <c r="P199" s="233"/>
      <c r="Q199" s="233"/>
      <c r="R199" s="232">
        <f t="shared" si="149"/>
        <v>0</v>
      </c>
    </row>
    <row r="200" spans="1:18" s="89" customFormat="1" ht="12" hidden="1" customHeight="1">
      <c r="A200" s="137">
        <v>21700</v>
      </c>
      <c r="B200" s="124" t="s">
        <v>97</v>
      </c>
      <c r="C200" s="170">
        <v>0</v>
      </c>
      <c r="D200" s="171">
        <v>0</v>
      </c>
      <c r="E200" s="233">
        <f t="shared" ref="E200:G200" si="212">E201+E202</f>
        <v>0</v>
      </c>
      <c r="F200" s="233">
        <f t="shared" si="212"/>
        <v>0</v>
      </c>
      <c r="G200" s="233">
        <f t="shared" si="212"/>
        <v>0</v>
      </c>
      <c r="H200" s="232">
        <f t="shared" si="147"/>
        <v>0</v>
      </c>
      <c r="I200" s="233">
        <v>0</v>
      </c>
      <c r="J200" s="233">
        <f t="shared" ref="J200:L200" si="213">J201+J202</f>
        <v>0</v>
      </c>
      <c r="K200" s="233">
        <f t="shared" si="213"/>
        <v>0</v>
      </c>
      <c r="L200" s="233">
        <f t="shared" si="213"/>
        <v>0</v>
      </c>
      <c r="M200" s="232">
        <f t="shared" si="148"/>
        <v>0</v>
      </c>
      <c r="N200" s="233">
        <v>0</v>
      </c>
      <c r="O200" s="233">
        <f t="shared" ref="O200:Q200" si="214">O201+O202</f>
        <v>0</v>
      </c>
      <c r="P200" s="233">
        <f t="shared" si="214"/>
        <v>0</v>
      </c>
      <c r="Q200" s="233">
        <f t="shared" si="214"/>
        <v>0</v>
      </c>
      <c r="R200" s="232">
        <f t="shared" si="149"/>
        <v>0</v>
      </c>
    </row>
    <row r="201" spans="1:18" s="89" customFormat="1" ht="24" hidden="1" customHeight="1">
      <c r="A201" s="138">
        <v>21710</v>
      </c>
      <c r="B201" s="125" t="s">
        <v>98</v>
      </c>
      <c r="C201" s="170"/>
      <c r="D201" s="171">
        <v>0</v>
      </c>
      <c r="E201" s="233"/>
      <c r="F201" s="233"/>
      <c r="G201" s="233"/>
      <c r="H201" s="232">
        <f t="shared" si="147"/>
        <v>0</v>
      </c>
      <c r="I201" s="233">
        <v>0</v>
      </c>
      <c r="J201" s="233"/>
      <c r="K201" s="233"/>
      <c r="L201" s="233"/>
      <c r="M201" s="232">
        <f t="shared" si="148"/>
        <v>0</v>
      </c>
      <c r="N201" s="233">
        <v>0</v>
      </c>
      <c r="O201" s="233"/>
      <c r="P201" s="233"/>
      <c r="Q201" s="233"/>
      <c r="R201" s="232">
        <f t="shared" si="149"/>
        <v>0</v>
      </c>
    </row>
    <row r="202" spans="1:18" s="29" customFormat="1" ht="24" hidden="1" customHeight="1">
      <c r="A202" s="138">
        <v>21720</v>
      </c>
      <c r="B202" s="125" t="s">
        <v>99</v>
      </c>
      <c r="C202" s="170"/>
      <c r="D202" s="171">
        <v>0</v>
      </c>
      <c r="E202" s="233"/>
      <c r="F202" s="233"/>
      <c r="G202" s="233"/>
      <c r="H202" s="232">
        <f t="shared" ref="H202:H260" si="215">SUM(D202:G202)</f>
        <v>0</v>
      </c>
      <c r="I202" s="233">
        <v>0</v>
      </c>
      <c r="J202" s="233"/>
      <c r="K202" s="233"/>
      <c r="L202" s="233"/>
      <c r="M202" s="232">
        <f t="shared" ref="M202:M260" si="216">SUM(I202:L202)</f>
        <v>0</v>
      </c>
      <c r="N202" s="233">
        <v>0</v>
      </c>
      <c r="O202" s="233"/>
      <c r="P202" s="233"/>
      <c r="Q202" s="233"/>
      <c r="R202" s="232">
        <f t="shared" ref="R202:R260" si="217">SUM(N202:Q202)</f>
        <v>0</v>
      </c>
    </row>
    <row r="203" spans="1:18" s="29" customFormat="1" ht="12" hidden="1" customHeight="1">
      <c r="A203" s="129" t="s">
        <v>100</v>
      </c>
      <c r="B203" s="123" t="s">
        <v>101</v>
      </c>
      <c r="C203" s="168">
        <v>0</v>
      </c>
      <c r="D203" s="175">
        <v>0</v>
      </c>
      <c r="E203" s="243">
        <f t="shared" ref="E203:G203" si="218">E204+E231</f>
        <v>0</v>
      </c>
      <c r="F203" s="243">
        <f t="shared" si="218"/>
        <v>0</v>
      </c>
      <c r="G203" s="243">
        <f t="shared" si="218"/>
        <v>0</v>
      </c>
      <c r="H203" s="270">
        <f t="shared" si="215"/>
        <v>0</v>
      </c>
      <c r="I203" s="243">
        <v>0</v>
      </c>
      <c r="J203" s="243">
        <f t="shared" ref="J203:L203" si="219">J204+J231</f>
        <v>0</v>
      </c>
      <c r="K203" s="243">
        <f t="shared" si="219"/>
        <v>0</v>
      </c>
      <c r="L203" s="243">
        <f t="shared" si="219"/>
        <v>0</v>
      </c>
      <c r="M203" s="270">
        <f t="shared" si="216"/>
        <v>0</v>
      </c>
      <c r="N203" s="243">
        <v>0</v>
      </c>
      <c r="O203" s="243">
        <f t="shared" ref="O203:Q203" si="220">O204+O231</f>
        <v>0</v>
      </c>
      <c r="P203" s="243">
        <f t="shared" si="220"/>
        <v>0</v>
      </c>
      <c r="Q203" s="243">
        <f t="shared" si="220"/>
        <v>0</v>
      </c>
      <c r="R203" s="270">
        <f t="shared" si="217"/>
        <v>0</v>
      </c>
    </row>
    <row r="204" spans="1:18" s="29" customFormat="1" ht="21" hidden="1" customHeight="1">
      <c r="A204" s="130" t="s">
        <v>102</v>
      </c>
      <c r="B204" s="124" t="s">
        <v>103</v>
      </c>
      <c r="C204" s="170">
        <v>0</v>
      </c>
      <c r="D204" s="171">
        <v>0</v>
      </c>
      <c r="E204" s="233">
        <f t="shared" ref="E204:G204" si="221">E205+E209+E210+E213+E216</f>
        <v>0</v>
      </c>
      <c r="F204" s="233">
        <f t="shared" si="221"/>
        <v>0</v>
      </c>
      <c r="G204" s="233">
        <f t="shared" si="221"/>
        <v>0</v>
      </c>
      <c r="H204" s="232">
        <f t="shared" si="215"/>
        <v>0</v>
      </c>
      <c r="I204" s="233">
        <v>0</v>
      </c>
      <c r="J204" s="233">
        <f t="shared" ref="J204:L204" si="222">J205+J209+J210+J213+J216</f>
        <v>0</v>
      </c>
      <c r="K204" s="233">
        <f t="shared" si="222"/>
        <v>0</v>
      </c>
      <c r="L204" s="233">
        <f t="shared" si="222"/>
        <v>0</v>
      </c>
      <c r="M204" s="232">
        <f t="shared" si="216"/>
        <v>0</v>
      </c>
      <c r="N204" s="233">
        <v>0</v>
      </c>
      <c r="O204" s="233">
        <f t="shared" ref="O204:Q204" si="223">O205+O209+O210+O213+O216</f>
        <v>0</v>
      </c>
      <c r="P204" s="233">
        <f t="shared" si="223"/>
        <v>0</v>
      </c>
      <c r="Q204" s="233">
        <f t="shared" si="223"/>
        <v>0</v>
      </c>
      <c r="R204" s="232">
        <f t="shared" si="217"/>
        <v>0</v>
      </c>
    </row>
    <row r="205" spans="1:18" s="29" customFormat="1" ht="12" hidden="1" customHeight="1">
      <c r="A205" s="130" t="s">
        <v>104</v>
      </c>
      <c r="B205" s="124" t="s">
        <v>105</v>
      </c>
      <c r="C205" s="170">
        <v>0</v>
      </c>
      <c r="D205" s="171">
        <v>0</v>
      </c>
      <c r="E205" s="233">
        <f t="shared" ref="E205:G205" si="224">E206+E208</f>
        <v>0</v>
      </c>
      <c r="F205" s="233">
        <f t="shared" si="224"/>
        <v>0</v>
      </c>
      <c r="G205" s="233">
        <f t="shared" si="224"/>
        <v>0</v>
      </c>
      <c r="H205" s="232">
        <f t="shared" si="215"/>
        <v>0</v>
      </c>
      <c r="I205" s="233">
        <v>0</v>
      </c>
      <c r="J205" s="233">
        <f t="shared" ref="J205:L205" si="225">J206+J208</f>
        <v>0</v>
      </c>
      <c r="K205" s="233">
        <f t="shared" si="225"/>
        <v>0</v>
      </c>
      <c r="L205" s="233">
        <f t="shared" si="225"/>
        <v>0</v>
      </c>
      <c r="M205" s="232">
        <f t="shared" si="216"/>
        <v>0</v>
      </c>
      <c r="N205" s="233">
        <v>0</v>
      </c>
      <c r="O205" s="233">
        <f t="shared" ref="O205:Q205" si="226">O206+O208</f>
        <v>0</v>
      </c>
      <c r="P205" s="233">
        <f t="shared" si="226"/>
        <v>0</v>
      </c>
      <c r="Q205" s="233">
        <f t="shared" si="226"/>
        <v>0</v>
      </c>
      <c r="R205" s="232">
        <f t="shared" si="217"/>
        <v>0</v>
      </c>
    </row>
    <row r="206" spans="1:18" s="29" customFormat="1" ht="12" hidden="1" customHeight="1">
      <c r="A206" s="132">
        <v>1000</v>
      </c>
      <c r="B206" s="125" t="s">
        <v>106</v>
      </c>
      <c r="C206" s="170"/>
      <c r="D206" s="171">
        <v>0</v>
      </c>
      <c r="E206" s="244"/>
      <c r="F206" s="244"/>
      <c r="G206" s="244"/>
      <c r="H206" s="232">
        <f t="shared" si="215"/>
        <v>0</v>
      </c>
      <c r="I206" s="233">
        <v>0</v>
      </c>
      <c r="J206" s="244"/>
      <c r="K206" s="244"/>
      <c r="L206" s="244"/>
      <c r="M206" s="232">
        <f t="shared" si="216"/>
        <v>0</v>
      </c>
      <c r="N206" s="233">
        <v>0</v>
      </c>
      <c r="O206" s="244"/>
      <c r="P206" s="244"/>
      <c r="Q206" s="244"/>
      <c r="R206" s="232">
        <f t="shared" si="217"/>
        <v>0</v>
      </c>
    </row>
    <row r="207" spans="1:18" s="29" customFormat="1" ht="12" hidden="1" customHeight="1">
      <c r="A207" s="139">
        <v>1100</v>
      </c>
      <c r="B207" s="125" t="s">
        <v>107</v>
      </c>
      <c r="C207" s="170"/>
      <c r="D207" s="171">
        <v>0</v>
      </c>
      <c r="E207" s="244"/>
      <c r="F207" s="244"/>
      <c r="G207" s="244"/>
      <c r="H207" s="232">
        <f t="shared" si="215"/>
        <v>0</v>
      </c>
      <c r="I207" s="233">
        <v>0</v>
      </c>
      <c r="J207" s="244"/>
      <c r="K207" s="244"/>
      <c r="L207" s="244"/>
      <c r="M207" s="232">
        <f t="shared" si="216"/>
        <v>0</v>
      </c>
      <c r="N207" s="233">
        <v>0</v>
      </c>
      <c r="O207" s="244"/>
      <c r="P207" s="244"/>
      <c r="Q207" s="244"/>
      <c r="R207" s="232">
        <f t="shared" si="217"/>
        <v>0</v>
      </c>
    </row>
    <row r="208" spans="1:18" s="29" customFormat="1" ht="12" hidden="1" customHeight="1">
      <c r="A208" s="132">
        <v>2000</v>
      </c>
      <c r="B208" s="125" t="s">
        <v>108</v>
      </c>
      <c r="C208" s="170"/>
      <c r="D208" s="171">
        <v>0</v>
      </c>
      <c r="E208" s="244"/>
      <c r="F208" s="244"/>
      <c r="G208" s="244"/>
      <c r="H208" s="232">
        <f t="shared" si="215"/>
        <v>0</v>
      </c>
      <c r="I208" s="233">
        <v>0</v>
      </c>
      <c r="J208" s="244"/>
      <c r="K208" s="244"/>
      <c r="L208" s="244"/>
      <c r="M208" s="232">
        <f t="shared" si="216"/>
        <v>0</v>
      </c>
      <c r="N208" s="233">
        <v>0</v>
      </c>
      <c r="O208" s="244"/>
      <c r="P208" s="244"/>
      <c r="Q208" s="244"/>
      <c r="R208" s="232">
        <f t="shared" si="217"/>
        <v>0</v>
      </c>
    </row>
    <row r="209" spans="1:18" s="29" customFormat="1" ht="12" hidden="1" customHeight="1">
      <c r="A209" s="140">
        <v>4000</v>
      </c>
      <c r="B209" s="124" t="s">
        <v>132</v>
      </c>
      <c r="C209" s="170"/>
      <c r="D209" s="171">
        <v>0</v>
      </c>
      <c r="E209" s="244"/>
      <c r="F209" s="244"/>
      <c r="G209" s="244"/>
      <c r="H209" s="232">
        <f t="shared" si="215"/>
        <v>0</v>
      </c>
      <c r="I209" s="233">
        <v>0</v>
      </c>
      <c r="J209" s="244"/>
      <c r="K209" s="244"/>
      <c r="L209" s="244"/>
      <c r="M209" s="232">
        <f t="shared" si="216"/>
        <v>0</v>
      </c>
      <c r="N209" s="233">
        <v>0</v>
      </c>
      <c r="O209" s="244"/>
      <c r="P209" s="244"/>
      <c r="Q209" s="244"/>
      <c r="R209" s="232">
        <f t="shared" si="217"/>
        <v>0</v>
      </c>
    </row>
    <row r="210" spans="1:18" s="29" customFormat="1" ht="12" hidden="1" customHeight="1">
      <c r="A210" s="140" t="s">
        <v>109</v>
      </c>
      <c r="B210" s="124" t="s">
        <v>110</v>
      </c>
      <c r="C210" s="170">
        <v>0</v>
      </c>
      <c r="D210" s="171">
        <v>0</v>
      </c>
      <c r="E210" s="233">
        <f t="shared" ref="E210:G210" si="227">E211+E212</f>
        <v>0</v>
      </c>
      <c r="F210" s="233">
        <f t="shared" si="227"/>
        <v>0</v>
      </c>
      <c r="G210" s="233">
        <f t="shared" si="227"/>
        <v>0</v>
      </c>
      <c r="H210" s="232">
        <f t="shared" si="215"/>
        <v>0</v>
      </c>
      <c r="I210" s="233">
        <v>0</v>
      </c>
      <c r="J210" s="233">
        <f t="shared" ref="J210:L210" si="228">J211+J212</f>
        <v>0</v>
      </c>
      <c r="K210" s="233">
        <f t="shared" si="228"/>
        <v>0</v>
      </c>
      <c r="L210" s="233">
        <f t="shared" si="228"/>
        <v>0</v>
      </c>
      <c r="M210" s="232">
        <f t="shared" si="216"/>
        <v>0</v>
      </c>
      <c r="N210" s="233">
        <v>0</v>
      </c>
      <c r="O210" s="233">
        <f t="shared" ref="O210:Q210" si="229">O211+O212</f>
        <v>0</v>
      </c>
      <c r="P210" s="233">
        <f t="shared" si="229"/>
        <v>0</v>
      </c>
      <c r="Q210" s="233">
        <f t="shared" si="229"/>
        <v>0</v>
      </c>
      <c r="R210" s="232">
        <f t="shared" si="217"/>
        <v>0</v>
      </c>
    </row>
    <row r="211" spans="1:18" s="29" customFormat="1" ht="12" hidden="1" customHeight="1">
      <c r="A211" s="132">
        <v>3000</v>
      </c>
      <c r="B211" s="125" t="s">
        <v>111</v>
      </c>
      <c r="C211" s="202"/>
      <c r="D211" s="213">
        <v>0</v>
      </c>
      <c r="E211" s="246"/>
      <c r="F211" s="246"/>
      <c r="G211" s="246"/>
      <c r="H211" s="232">
        <f t="shared" si="215"/>
        <v>0</v>
      </c>
      <c r="I211" s="345">
        <v>0</v>
      </c>
      <c r="J211" s="246"/>
      <c r="K211" s="246"/>
      <c r="L211" s="246"/>
      <c r="M211" s="232">
        <f t="shared" si="216"/>
        <v>0</v>
      </c>
      <c r="N211" s="345">
        <v>0</v>
      </c>
      <c r="O211" s="246"/>
      <c r="P211" s="246"/>
      <c r="Q211" s="246"/>
      <c r="R211" s="232">
        <f t="shared" si="217"/>
        <v>0</v>
      </c>
    </row>
    <row r="212" spans="1:18" s="29" customFormat="1" ht="12" hidden="1" customHeight="1">
      <c r="A212" s="132">
        <v>6000</v>
      </c>
      <c r="B212" s="125" t="s">
        <v>112</v>
      </c>
      <c r="C212" s="203"/>
      <c r="D212" s="287">
        <v>0</v>
      </c>
      <c r="E212" s="248"/>
      <c r="F212" s="248"/>
      <c r="G212" s="248"/>
      <c r="H212" s="232">
        <f t="shared" si="215"/>
        <v>0</v>
      </c>
      <c r="I212" s="346">
        <v>0</v>
      </c>
      <c r="J212" s="248"/>
      <c r="K212" s="248"/>
      <c r="L212" s="248"/>
      <c r="M212" s="232">
        <f t="shared" si="216"/>
        <v>0</v>
      </c>
      <c r="N212" s="346">
        <v>0</v>
      </c>
      <c r="O212" s="248"/>
      <c r="P212" s="248"/>
      <c r="Q212" s="248"/>
      <c r="R212" s="232">
        <f t="shared" si="217"/>
        <v>0</v>
      </c>
    </row>
    <row r="213" spans="1:18" s="29" customFormat="1" ht="24" hidden="1" customHeight="1">
      <c r="A213" s="140" t="s">
        <v>113</v>
      </c>
      <c r="B213" s="124" t="s">
        <v>183</v>
      </c>
      <c r="C213" s="170">
        <v>0</v>
      </c>
      <c r="D213" s="171">
        <v>0</v>
      </c>
      <c r="E213" s="233">
        <f t="shared" ref="E213:G213" si="230">E214+E215</f>
        <v>0</v>
      </c>
      <c r="F213" s="233">
        <f t="shared" si="230"/>
        <v>0</v>
      </c>
      <c r="G213" s="233">
        <f t="shared" si="230"/>
        <v>0</v>
      </c>
      <c r="H213" s="232">
        <f t="shared" si="215"/>
        <v>0</v>
      </c>
      <c r="I213" s="233">
        <v>0</v>
      </c>
      <c r="J213" s="233">
        <f t="shared" ref="J213:L213" si="231">J214+J215</f>
        <v>0</v>
      </c>
      <c r="K213" s="233">
        <f t="shared" si="231"/>
        <v>0</v>
      </c>
      <c r="L213" s="233">
        <f t="shared" si="231"/>
        <v>0</v>
      </c>
      <c r="M213" s="232">
        <f t="shared" si="216"/>
        <v>0</v>
      </c>
      <c r="N213" s="233">
        <v>0</v>
      </c>
      <c r="O213" s="233">
        <f t="shared" ref="O213:Q213" si="232">O214+O215</f>
        <v>0</v>
      </c>
      <c r="P213" s="233">
        <f t="shared" si="232"/>
        <v>0</v>
      </c>
      <c r="Q213" s="233">
        <f t="shared" si="232"/>
        <v>0</v>
      </c>
      <c r="R213" s="232">
        <f t="shared" si="217"/>
        <v>0</v>
      </c>
    </row>
    <row r="214" spans="1:18" s="29" customFormat="1" ht="12" hidden="1" customHeight="1">
      <c r="A214" s="132">
        <v>7600</v>
      </c>
      <c r="B214" s="179" t="s">
        <v>184</v>
      </c>
      <c r="C214" s="170"/>
      <c r="D214" s="171">
        <v>0</v>
      </c>
      <c r="E214" s="244"/>
      <c r="F214" s="244"/>
      <c r="G214" s="244"/>
      <c r="H214" s="232">
        <f t="shared" si="215"/>
        <v>0</v>
      </c>
      <c r="I214" s="233">
        <v>0</v>
      </c>
      <c r="J214" s="244"/>
      <c r="K214" s="244"/>
      <c r="L214" s="244"/>
      <c r="M214" s="232">
        <f t="shared" si="216"/>
        <v>0</v>
      </c>
      <c r="N214" s="233">
        <v>0</v>
      </c>
      <c r="O214" s="244"/>
      <c r="P214" s="244"/>
      <c r="Q214" s="244"/>
      <c r="R214" s="232">
        <f t="shared" si="217"/>
        <v>0</v>
      </c>
    </row>
    <row r="215" spans="1:18" s="29" customFormat="1" ht="12" hidden="1" customHeight="1">
      <c r="A215" s="132">
        <v>7700</v>
      </c>
      <c r="B215" s="126" t="s">
        <v>114</v>
      </c>
      <c r="C215" s="170"/>
      <c r="D215" s="171">
        <v>0</v>
      </c>
      <c r="E215" s="244"/>
      <c r="F215" s="244"/>
      <c r="G215" s="244"/>
      <c r="H215" s="232">
        <f t="shared" si="215"/>
        <v>0</v>
      </c>
      <c r="I215" s="233">
        <v>0</v>
      </c>
      <c r="J215" s="244"/>
      <c r="K215" s="244"/>
      <c r="L215" s="244"/>
      <c r="M215" s="232">
        <f t="shared" si="216"/>
        <v>0</v>
      </c>
      <c r="N215" s="233">
        <v>0</v>
      </c>
      <c r="O215" s="244"/>
      <c r="P215" s="244"/>
      <c r="Q215" s="244"/>
      <c r="R215" s="232">
        <f t="shared" si="217"/>
        <v>0</v>
      </c>
    </row>
    <row r="216" spans="1:18" s="29" customFormat="1" ht="21" hidden="1" customHeight="1">
      <c r="A216" s="140" t="s">
        <v>185</v>
      </c>
      <c r="B216" s="124" t="s">
        <v>115</v>
      </c>
      <c r="C216" s="170">
        <v>0</v>
      </c>
      <c r="D216" s="171">
        <v>0</v>
      </c>
      <c r="E216" s="233">
        <f t="shared" ref="E216:G216" si="233">E217+E223+E227+E230</f>
        <v>0</v>
      </c>
      <c r="F216" s="233">
        <f t="shared" si="233"/>
        <v>0</v>
      </c>
      <c r="G216" s="233">
        <f t="shared" si="233"/>
        <v>0</v>
      </c>
      <c r="H216" s="232">
        <f t="shared" si="215"/>
        <v>0</v>
      </c>
      <c r="I216" s="233">
        <v>0</v>
      </c>
      <c r="J216" s="233">
        <f t="shared" ref="J216:L216" si="234">J217+J223+J227+J230</f>
        <v>0</v>
      </c>
      <c r="K216" s="233">
        <f t="shared" si="234"/>
        <v>0</v>
      </c>
      <c r="L216" s="233">
        <f t="shared" si="234"/>
        <v>0</v>
      </c>
      <c r="M216" s="232">
        <f t="shared" si="216"/>
        <v>0</v>
      </c>
      <c r="N216" s="233">
        <v>0</v>
      </c>
      <c r="O216" s="233">
        <f t="shared" ref="O216:Q216" si="235">O217+O223+O227+O230</f>
        <v>0</v>
      </c>
      <c r="P216" s="233">
        <f t="shared" si="235"/>
        <v>0</v>
      </c>
      <c r="Q216" s="233">
        <f t="shared" si="235"/>
        <v>0</v>
      </c>
      <c r="R216" s="232">
        <f t="shared" si="217"/>
        <v>0</v>
      </c>
    </row>
    <row r="217" spans="1:18" s="29" customFormat="1" ht="12" hidden="1" customHeight="1">
      <c r="A217" s="132">
        <v>7100</v>
      </c>
      <c r="B217" s="179" t="s">
        <v>116</v>
      </c>
      <c r="C217" s="170">
        <v>0</v>
      </c>
      <c r="D217" s="171">
        <v>0</v>
      </c>
      <c r="E217" s="233">
        <f t="shared" ref="E217:G217" si="236">E218+E219</f>
        <v>0</v>
      </c>
      <c r="F217" s="233">
        <f t="shared" si="236"/>
        <v>0</v>
      </c>
      <c r="G217" s="233">
        <f t="shared" si="236"/>
        <v>0</v>
      </c>
      <c r="H217" s="232">
        <f t="shared" si="215"/>
        <v>0</v>
      </c>
      <c r="I217" s="233">
        <v>0</v>
      </c>
      <c r="J217" s="233">
        <f t="shared" ref="J217:L217" si="237">J218+J219</f>
        <v>0</v>
      </c>
      <c r="K217" s="233">
        <f t="shared" si="237"/>
        <v>0</v>
      </c>
      <c r="L217" s="233">
        <f t="shared" si="237"/>
        <v>0</v>
      </c>
      <c r="M217" s="232">
        <f t="shared" si="216"/>
        <v>0</v>
      </c>
      <c r="N217" s="233">
        <v>0</v>
      </c>
      <c r="O217" s="233">
        <f t="shared" ref="O217:Q217" si="238">O218+O219</f>
        <v>0</v>
      </c>
      <c r="P217" s="233">
        <f t="shared" si="238"/>
        <v>0</v>
      </c>
      <c r="Q217" s="233">
        <f t="shared" si="238"/>
        <v>0</v>
      </c>
      <c r="R217" s="232">
        <f t="shared" si="217"/>
        <v>0</v>
      </c>
    </row>
    <row r="218" spans="1:18" s="29" customFormat="1" ht="24" hidden="1" customHeight="1">
      <c r="A218" s="133" t="s">
        <v>117</v>
      </c>
      <c r="B218" s="179" t="s">
        <v>118</v>
      </c>
      <c r="C218" s="170"/>
      <c r="D218" s="171">
        <v>0</v>
      </c>
      <c r="E218" s="233"/>
      <c r="F218" s="233"/>
      <c r="G218" s="233"/>
      <c r="H218" s="232">
        <f t="shared" si="215"/>
        <v>0</v>
      </c>
      <c r="I218" s="233">
        <v>0</v>
      </c>
      <c r="J218" s="233"/>
      <c r="K218" s="233"/>
      <c r="L218" s="233"/>
      <c r="M218" s="232">
        <f t="shared" si="216"/>
        <v>0</v>
      </c>
      <c r="N218" s="233">
        <v>0</v>
      </c>
      <c r="O218" s="233"/>
      <c r="P218" s="233"/>
      <c r="Q218" s="233"/>
      <c r="R218" s="232">
        <f t="shared" si="217"/>
        <v>0</v>
      </c>
    </row>
    <row r="219" spans="1:18" s="29" customFormat="1" ht="24" hidden="1" customHeight="1">
      <c r="A219" s="133">
        <v>7130</v>
      </c>
      <c r="B219" s="179" t="s">
        <v>119</v>
      </c>
      <c r="C219" s="170">
        <v>0</v>
      </c>
      <c r="D219" s="171">
        <v>0</v>
      </c>
      <c r="E219" s="233">
        <f t="shared" ref="E219:G219" si="239">SUM(E220:E222)</f>
        <v>0</v>
      </c>
      <c r="F219" s="233">
        <f t="shared" ref="F219" si="240">SUM(F220:F222)</f>
        <v>0</v>
      </c>
      <c r="G219" s="233">
        <f t="shared" si="239"/>
        <v>0</v>
      </c>
      <c r="H219" s="232">
        <f t="shared" si="215"/>
        <v>0</v>
      </c>
      <c r="I219" s="233">
        <v>0</v>
      </c>
      <c r="J219" s="233">
        <f t="shared" ref="J219:L219" si="241">SUM(J220:J222)</f>
        <v>0</v>
      </c>
      <c r="K219" s="233">
        <f t="shared" si="241"/>
        <v>0</v>
      </c>
      <c r="L219" s="233">
        <f t="shared" si="241"/>
        <v>0</v>
      </c>
      <c r="M219" s="232">
        <f t="shared" si="216"/>
        <v>0</v>
      </c>
      <c r="N219" s="233">
        <v>0</v>
      </c>
      <c r="O219" s="233">
        <f t="shared" ref="O219:Q219" si="242">SUM(O220:O222)</f>
        <v>0</v>
      </c>
      <c r="P219" s="233">
        <f t="shared" si="242"/>
        <v>0</v>
      </c>
      <c r="Q219" s="233">
        <f t="shared" si="242"/>
        <v>0</v>
      </c>
      <c r="R219" s="232">
        <f t="shared" si="217"/>
        <v>0</v>
      </c>
    </row>
    <row r="220" spans="1:18" s="29" customFormat="1" ht="36" hidden="1" customHeight="1">
      <c r="A220" s="134">
        <v>7131</v>
      </c>
      <c r="B220" s="179" t="s">
        <v>120</v>
      </c>
      <c r="C220" s="170"/>
      <c r="D220" s="171">
        <v>0</v>
      </c>
      <c r="E220" s="233"/>
      <c r="F220" s="233"/>
      <c r="G220" s="233"/>
      <c r="H220" s="232">
        <f t="shared" si="215"/>
        <v>0</v>
      </c>
      <c r="I220" s="233">
        <v>0</v>
      </c>
      <c r="J220" s="233"/>
      <c r="K220" s="233"/>
      <c r="L220" s="233"/>
      <c r="M220" s="232">
        <f t="shared" si="216"/>
        <v>0</v>
      </c>
      <c r="N220" s="233">
        <v>0</v>
      </c>
      <c r="O220" s="233"/>
      <c r="P220" s="233"/>
      <c r="Q220" s="233"/>
      <c r="R220" s="232">
        <f t="shared" si="217"/>
        <v>0</v>
      </c>
    </row>
    <row r="221" spans="1:18" s="29" customFormat="1" ht="36" hidden="1" customHeight="1">
      <c r="A221" s="134">
        <v>7132</v>
      </c>
      <c r="B221" s="179" t="s">
        <v>121</v>
      </c>
      <c r="C221" s="170"/>
      <c r="D221" s="171">
        <v>0</v>
      </c>
      <c r="E221" s="233"/>
      <c r="F221" s="233"/>
      <c r="G221" s="233"/>
      <c r="H221" s="232">
        <f t="shared" si="215"/>
        <v>0</v>
      </c>
      <c r="I221" s="233">
        <v>0</v>
      </c>
      <c r="J221" s="233"/>
      <c r="K221" s="233"/>
      <c r="L221" s="233"/>
      <c r="M221" s="232">
        <f t="shared" si="216"/>
        <v>0</v>
      </c>
      <c r="N221" s="233">
        <v>0</v>
      </c>
      <c r="O221" s="233"/>
      <c r="P221" s="233"/>
      <c r="Q221" s="233"/>
      <c r="R221" s="232">
        <f t="shared" si="217"/>
        <v>0</v>
      </c>
    </row>
    <row r="222" spans="1:18" s="29" customFormat="1" ht="24" hidden="1" customHeight="1">
      <c r="A222" s="134" t="s">
        <v>186</v>
      </c>
      <c r="B222" s="179" t="s">
        <v>187</v>
      </c>
      <c r="C222" s="170"/>
      <c r="D222" s="171">
        <v>0</v>
      </c>
      <c r="E222" s="233"/>
      <c r="F222" s="233"/>
      <c r="G222" s="233"/>
      <c r="H222" s="232">
        <f t="shared" si="215"/>
        <v>0</v>
      </c>
      <c r="I222" s="233">
        <v>0</v>
      </c>
      <c r="J222" s="233"/>
      <c r="K222" s="233"/>
      <c r="L222" s="233"/>
      <c r="M222" s="232">
        <f t="shared" si="216"/>
        <v>0</v>
      </c>
      <c r="N222" s="233">
        <v>0</v>
      </c>
      <c r="O222" s="233"/>
      <c r="P222" s="233"/>
      <c r="Q222" s="233"/>
      <c r="R222" s="232">
        <f t="shared" si="217"/>
        <v>0</v>
      </c>
    </row>
    <row r="223" spans="1:18" s="29" customFormat="1" ht="24" hidden="1" customHeight="1">
      <c r="A223" s="132">
        <v>7300</v>
      </c>
      <c r="B223" s="172" t="s">
        <v>155</v>
      </c>
      <c r="C223" s="170">
        <v>0</v>
      </c>
      <c r="D223" s="171">
        <v>0</v>
      </c>
      <c r="E223" s="233">
        <f t="shared" ref="E223:G223" si="243">SUM(E224:E226)</f>
        <v>0</v>
      </c>
      <c r="F223" s="233">
        <f t="shared" si="243"/>
        <v>0</v>
      </c>
      <c r="G223" s="233">
        <f t="shared" si="243"/>
        <v>0</v>
      </c>
      <c r="H223" s="232">
        <f t="shared" si="215"/>
        <v>0</v>
      </c>
      <c r="I223" s="233">
        <v>0</v>
      </c>
      <c r="J223" s="233">
        <f t="shared" ref="J223:L223" si="244">SUM(J224:J226)</f>
        <v>0</v>
      </c>
      <c r="K223" s="233">
        <f t="shared" si="244"/>
        <v>0</v>
      </c>
      <c r="L223" s="233">
        <f t="shared" si="244"/>
        <v>0</v>
      </c>
      <c r="M223" s="232">
        <f t="shared" si="216"/>
        <v>0</v>
      </c>
      <c r="N223" s="233">
        <v>0</v>
      </c>
      <c r="O223" s="233">
        <f t="shared" ref="O223:Q223" si="245">SUM(O224:O226)</f>
        <v>0</v>
      </c>
      <c r="P223" s="233">
        <f t="shared" si="245"/>
        <v>0</v>
      </c>
      <c r="Q223" s="233">
        <f t="shared" si="245"/>
        <v>0</v>
      </c>
      <c r="R223" s="232">
        <f t="shared" si="217"/>
        <v>0</v>
      </c>
    </row>
    <row r="224" spans="1:18" s="29" customFormat="1" ht="24" hidden="1" customHeight="1">
      <c r="A224" s="133" t="s">
        <v>188</v>
      </c>
      <c r="B224" s="179" t="s">
        <v>170</v>
      </c>
      <c r="C224" s="204"/>
      <c r="D224" s="180">
        <v>0</v>
      </c>
      <c r="E224" s="252"/>
      <c r="F224" s="252"/>
      <c r="G224" s="252"/>
      <c r="H224" s="232">
        <f t="shared" si="215"/>
        <v>0</v>
      </c>
      <c r="I224" s="252">
        <v>0</v>
      </c>
      <c r="J224" s="252"/>
      <c r="K224" s="252"/>
      <c r="L224" s="252"/>
      <c r="M224" s="232">
        <f t="shared" si="216"/>
        <v>0</v>
      </c>
      <c r="N224" s="252">
        <v>0</v>
      </c>
      <c r="O224" s="252"/>
      <c r="P224" s="252"/>
      <c r="Q224" s="252"/>
      <c r="R224" s="232">
        <f t="shared" si="217"/>
        <v>0</v>
      </c>
    </row>
    <row r="225" spans="1:18" s="29" customFormat="1" ht="48" hidden="1" customHeight="1">
      <c r="A225" s="133" t="s">
        <v>189</v>
      </c>
      <c r="B225" s="179" t="s">
        <v>156</v>
      </c>
      <c r="C225" s="204"/>
      <c r="D225" s="180">
        <v>0</v>
      </c>
      <c r="E225" s="252"/>
      <c r="F225" s="252"/>
      <c r="G225" s="252"/>
      <c r="H225" s="232">
        <f t="shared" si="215"/>
        <v>0</v>
      </c>
      <c r="I225" s="252">
        <v>0</v>
      </c>
      <c r="J225" s="252"/>
      <c r="K225" s="252"/>
      <c r="L225" s="252"/>
      <c r="M225" s="232">
        <f t="shared" si="216"/>
        <v>0</v>
      </c>
      <c r="N225" s="252">
        <v>0</v>
      </c>
      <c r="O225" s="252"/>
      <c r="P225" s="252"/>
      <c r="Q225" s="252"/>
      <c r="R225" s="232">
        <f t="shared" si="217"/>
        <v>0</v>
      </c>
    </row>
    <row r="226" spans="1:18" s="29" customFormat="1" ht="36" hidden="1" customHeight="1">
      <c r="A226" s="133">
        <v>7350</v>
      </c>
      <c r="B226" s="179" t="s">
        <v>163</v>
      </c>
      <c r="C226" s="204"/>
      <c r="D226" s="180">
        <v>0</v>
      </c>
      <c r="E226" s="252"/>
      <c r="F226" s="252"/>
      <c r="G226" s="252"/>
      <c r="H226" s="232">
        <f t="shared" si="215"/>
        <v>0</v>
      </c>
      <c r="I226" s="252">
        <v>0</v>
      </c>
      <c r="J226" s="252"/>
      <c r="K226" s="252"/>
      <c r="L226" s="252"/>
      <c r="M226" s="232">
        <f t="shared" si="216"/>
        <v>0</v>
      </c>
      <c r="N226" s="252">
        <v>0</v>
      </c>
      <c r="O226" s="252"/>
      <c r="P226" s="252"/>
      <c r="Q226" s="252"/>
      <c r="R226" s="232">
        <f t="shared" si="217"/>
        <v>0</v>
      </c>
    </row>
    <row r="227" spans="1:18" s="29" customFormat="1" ht="24" hidden="1" customHeight="1">
      <c r="A227" s="132">
        <v>7400</v>
      </c>
      <c r="B227" s="172" t="s">
        <v>161</v>
      </c>
      <c r="C227" s="170">
        <v>0</v>
      </c>
      <c r="D227" s="171">
        <v>0</v>
      </c>
      <c r="E227" s="233">
        <f t="shared" ref="E227:G227" si="246">SUM(E228:E229)</f>
        <v>0</v>
      </c>
      <c r="F227" s="233">
        <f t="shared" si="246"/>
        <v>0</v>
      </c>
      <c r="G227" s="233">
        <f t="shared" si="246"/>
        <v>0</v>
      </c>
      <c r="H227" s="232">
        <f t="shared" si="215"/>
        <v>0</v>
      </c>
      <c r="I227" s="233">
        <v>0</v>
      </c>
      <c r="J227" s="233">
        <f t="shared" ref="J227:L227" si="247">SUM(J228:J229)</f>
        <v>0</v>
      </c>
      <c r="K227" s="233">
        <f t="shared" si="247"/>
        <v>0</v>
      </c>
      <c r="L227" s="233">
        <f t="shared" si="247"/>
        <v>0</v>
      </c>
      <c r="M227" s="232">
        <f t="shared" si="216"/>
        <v>0</v>
      </c>
      <c r="N227" s="233">
        <v>0</v>
      </c>
      <c r="O227" s="233">
        <f t="shared" ref="O227:Q227" si="248">SUM(O228:O229)</f>
        <v>0</v>
      </c>
      <c r="P227" s="233">
        <f t="shared" si="248"/>
        <v>0</v>
      </c>
      <c r="Q227" s="233">
        <f t="shared" si="248"/>
        <v>0</v>
      </c>
      <c r="R227" s="232">
        <f t="shared" si="217"/>
        <v>0</v>
      </c>
    </row>
    <row r="228" spans="1:18" s="29" customFormat="1" ht="24" hidden="1" customHeight="1">
      <c r="A228" s="133">
        <v>7460</v>
      </c>
      <c r="B228" s="172" t="s">
        <v>162</v>
      </c>
      <c r="C228" s="204"/>
      <c r="D228" s="180">
        <v>0</v>
      </c>
      <c r="E228" s="252"/>
      <c r="F228" s="252"/>
      <c r="G228" s="252"/>
      <c r="H228" s="232">
        <f t="shared" si="215"/>
        <v>0</v>
      </c>
      <c r="I228" s="252">
        <v>0</v>
      </c>
      <c r="J228" s="252"/>
      <c r="K228" s="252"/>
      <c r="L228" s="252"/>
      <c r="M228" s="232">
        <f t="shared" si="216"/>
        <v>0</v>
      </c>
      <c r="N228" s="252">
        <v>0</v>
      </c>
      <c r="O228" s="252"/>
      <c r="P228" s="252"/>
      <c r="Q228" s="252"/>
      <c r="R228" s="232">
        <f t="shared" si="217"/>
        <v>0</v>
      </c>
    </row>
    <row r="229" spans="1:18" s="29" customFormat="1" ht="36" hidden="1" customHeight="1">
      <c r="A229" s="133">
        <v>7470</v>
      </c>
      <c r="B229" s="179" t="s">
        <v>167</v>
      </c>
      <c r="C229" s="204"/>
      <c r="D229" s="180">
        <v>0</v>
      </c>
      <c r="E229" s="252"/>
      <c r="F229" s="252"/>
      <c r="G229" s="252"/>
      <c r="H229" s="232">
        <f t="shared" si="215"/>
        <v>0</v>
      </c>
      <c r="I229" s="252">
        <v>0</v>
      </c>
      <c r="J229" s="252"/>
      <c r="K229" s="252"/>
      <c r="L229" s="252"/>
      <c r="M229" s="232">
        <f t="shared" si="216"/>
        <v>0</v>
      </c>
      <c r="N229" s="252">
        <v>0</v>
      </c>
      <c r="O229" s="252"/>
      <c r="P229" s="252"/>
      <c r="Q229" s="252"/>
      <c r="R229" s="232">
        <f t="shared" si="217"/>
        <v>0</v>
      </c>
    </row>
    <row r="230" spans="1:18" s="29" customFormat="1" ht="24" hidden="1" customHeight="1">
      <c r="A230" s="132">
        <v>7500</v>
      </c>
      <c r="B230" s="179" t="s">
        <v>157</v>
      </c>
      <c r="C230" s="170"/>
      <c r="D230" s="171">
        <v>0</v>
      </c>
      <c r="E230" s="233"/>
      <c r="F230" s="233"/>
      <c r="G230" s="233"/>
      <c r="H230" s="232">
        <f t="shared" si="215"/>
        <v>0</v>
      </c>
      <c r="I230" s="233">
        <v>0</v>
      </c>
      <c r="J230" s="233"/>
      <c r="K230" s="233"/>
      <c r="L230" s="233"/>
      <c r="M230" s="232">
        <f t="shared" si="216"/>
        <v>0</v>
      </c>
      <c r="N230" s="233">
        <v>0</v>
      </c>
      <c r="O230" s="233"/>
      <c r="P230" s="233"/>
      <c r="Q230" s="233"/>
      <c r="R230" s="232">
        <f t="shared" si="217"/>
        <v>0</v>
      </c>
    </row>
    <row r="231" spans="1:18" s="29" customFormat="1" ht="12" hidden="1" customHeight="1">
      <c r="A231" s="140" t="s">
        <v>133</v>
      </c>
      <c r="B231" s="124" t="s">
        <v>122</v>
      </c>
      <c r="C231" s="205">
        <v>0</v>
      </c>
      <c r="D231" s="181">
        <v>0</v>
      </c>
      <c r="E231" s="254">
        <f t="shared" ref="E231:G231" si="249">E232+E233</f>
        <v>0</v>
      </c>
      <c r="F231" s="254">
        <f t="shared" si="249"/>
        <v>0</v>
      </c>
      <c r="G231" s="254">
        <f t="shared" si="249"/>
        <v>0</v>
      </c>
      <c r="H231" s="232">
        <f t="shared" si="215"/>
        <v>0</v>
      </c>
      <c r="I231" s="254">
        <v>0</v>
      </c>
      <c r="J231" s="254">
        <f t="shared" ref="J231:L231" si="250">J232+J233</f>
        <v>0</v>
      </c>
      <c r="K231" s="254">
        <f t="shared" si="250"/>
        <v>0</v>
      </c>
      <c r="L231" s="254">
        <f t="shared" si="250"/>
        <v>0</v>
      </c>
      <c r="M231" s="232">
        <f t="shared" si="216"/>
        <v>0</v>
      </c>
      <c r="N231" s="254">
        <v>0</v>
      </c>
      <c r="O231" s="254">
        <f t="shared" ref="O231:Q231" si="251">O232+O233</f>
        <v>0</v>
      </c>
      <c r="P231" s="254">
        <f t="shared" si="251"/>
        <v>0</v>
      </c>
      <c r="Q231" s="254">
        <f t="shared" si="251"/>
        <v>0</v>
      </c>
      <c r="R231" s="232">
        <f t="shared" si="217"/>
        <v>0</v>
      </c>
    </row>
    <row r="232" spans="1:18" s="29" customFormat="1" ht="12" hidden="1" customHeight="1">
      <c r="A232" s="140">
        <v>5000</v>
      </c>
      <c r="B232" s="124" t="s">
        <v>123</v>
      </c>
      <c r="C232" s="170"/>
      <c r="D232" s="171">
        <v>0</v>
      </c>
      <c r="E232" s="244"/>
      <c r="F232" s="244"/>
      <c r="G232" s="244"/>
      <c r="H232" s="232">
        <f t="shared" si="215"/>
        <v>0</v>
      </c>
      <c r="I232" s="233">
        <v>0</v>
      </c>
      <c r="J232" s="244"/>
      <c r="K232" s="244"/>
      <c r="L232" s="244"/>
      <c r="M232" s="232">
        <f t="shared" si="216"/>
        <v>0</v>
      </c>
      <c r="N232" s="233">
        <v>0</v>
      </c>
      <c r="O232" s="244"/>
      <c r="P232" s="244"/>
      <c r="Q232" s="244"/>
      <c r="R232" s="232">
        <f t="shared" si="217"/>
        <v>0</v>
      </c>
    </row>
    <row r="233" spans="1:18" s="29" customFormat="1" ht="12" hidden="1" customHeight="1">
      <c r="A233" s="140">
        <v>9000</v>
      </c>
      <c r="B233" s="182" t="s">
        <v>164</v>
      </c>
      <c r="C233" s="170">
        <v>0</v>
      </c>
      <c r="D233" s="171">
        <v>0</v>
      </c>
      <c r="E233" s="233">
        <f t="shared" ref="E233:G233" si="252">E234+E240+E244+E247</f>
        <v>0</v>
      </c>
      <c r="F233" s="233">
        <f t="shared" si="252"/>
        <v>0</v>
      </c>
      <c r="G233" s="233">
        <f t="shared" si="252"/>
        <v>0</v>
      </c>
      <c r="H233" s="232">
        <f t="shared" si="215"/>
        <v>0</v>
      </c>
      <c r="I233" s="233">
        <v>0</v>
      </c>
      <c r="J233" s="233">
        <f t="shared" ref="J233:L233" si="253">J234+J240+J244+J247</f>
        <v>0</v>
      </c>
      <c r="K233" s="233">
        <f t="shared" si="253"/>
        <v>0</v>
      </c>
      <c r="L233" s="233">
        <f t="shared" si="253"/>
        <v>0</v>
      </c>
      <c r="M233" s="232">
        <f t="shared" si="216"/>
        <v>0</v>
      </c>
      <c r="N233" s="233">
        <v>0</v>
      </c>
      <c r="O233" s="233">
        <f t="shared" ref="O233:Q233" si="254">O234+O240+O244+O247</f>
        <v>0</v>
      </c>
      <c r="P233" s="233">
        <f t="shared" si="254"/>
        <v>0</v>
      </c>
      <c r="Q233" s="233">
        <f t="shared" si="254"/>
        <v>0</v>
      </c>
      <c r="R233" s="232">
        <f t="shared" si="217"/>
        <v>0</v>
      </c>
    </row>
    <row r="234" spans="1:18" s="29" customFormat="1" ht="12" hidden="1" customHeight="1">
      <c r="A234" s="141">
        <v>9100</v>
      </c>
      <c r="B234" s="179" t="s">
        <v>124</v>
      </c>
      <c r="C234" s="170">
        <v>0</v>
      </c>
      <c r="D234" s="171">
        <v>0</v>
      </c>
      <c r="E234" s="233">
        <f t="shared" ref="E234:G234" si="255">SUM(E235:E236)</f>
        <v>0</v>
      </c>
      <c r="F234" s="233">
        <f t="shared" ref="F234" si="256">SUM(F235:F236)</f>
        <v>0</v>
      </c>
      <c r="G234" s="233">
        <f t="shared" si="255"/>
        <v>0</v>
      </c>
      <c r="H234" s="232">
        <f t="shared" si="215"/>
        <v>0</v>
      </c>
      <c r="I234" s="233">
        <v>0</v>
      </c>
      <c r="J234" s="233">
        <f t="shared" ref="J234:L234" si="257">SUM(J235:J236)</f>
        <v>0</v>
      </c>
      <c r="K234" s="233">
        <f t="shared" si="257"/>
        <v>0</v>
      </c>
      <c r="L234" s="233">
        <f t="shared" si="257"/>
        <v>0</v>
      </c>
      <c r="M234" s="232">
        <f t="shared" si="216"/>
        <v>0</v>
      </c>
      <c r="N234" s="233">
        <v>0</v>
      </c>
      <c r="O234" s="233">
        <f t="shared" ref="O234:Q234" si="258">SUM(O235:O236)</f>
        <v>0</v>
      </c>
      <c r="P234" s="233">
        <f t="shared" si="258"/>
        <v>0</v>
      </c>
      <c r="Q234" s="233">
        <f t="shared" si="258"/>
        <v>0</v>
      </c>
      <c r="R234" s="232">
        <f t="shared" si="217"/>
        <v>0</v>
      </c>
    </row>
    <row r="235" spans="1:18" s="29" customFormat="1" ht="24" hidden="1" customHeight="1">
      <c r="A235" s="133" t="s">
        <v>125</v>
      </c>
      <c r="B235" s="179" t="s">
        <v>214</v>
      </c>
      <c r="C235" s="170"/>
      <c r="D235" s="171">
        <v>0</v>
      </c>
      <c r="E235" s="233"/>
      <c r="F235" s="233"/>
      <c r="G235" s="233"/>
      <c r="H235" s="232">
        <f t="shared" si="215"/>
        <v>0</v>
      </c>
      <c r="I235" s="233">
        <v>0</v>
      </c>
      <c r="J235" s="233"/>
      <c r="K235" s="233"/>
      <c r="L235" s="233"/>
      <c r="M235" s="232">
        <f t="shared" si="216"/>
        <v>0</v>
      </c>
      <c r="N235" s="233">
        <v>0</v>
      </c>
      <c r="O235" s="233"/>
      <c r="P235" s="233"/>
      <c r="Q235" s="233"/>
      <c r="R235" s="232">
        <f t="shared" si="217"/>
        <v>0</v>
      </c>
    </row>
    <row r="236" spans="1:18" s="29" customFormat="1" ht="24" hidden="1" customHeight="1">
      <c r="A236" s="133">
        <v>9140</v>
      </c>
      <c r="B236" s="179" t="s">
        <v>215</v>
      </c>
      <c r="C236" s="170">
        <v>0</v>
      </c>
      <c r="D236" s="171">
        <v>0</v>
      </c>
      <c r="E236" s="233">
        <f t="shared" ref="E236:G236" si="259">SUM(E237:E239)</f>
        <v>0</v>
      </c>
      <c r="F236" s="233">
        <f t="shared" si="259"/>
        <v>0</v>
      </c>
      <c r="G236" s="233">
        <f t="shared" si="259"/>
        <v>0</v>
      </c>
      <c r="H236" s="232">
        <f t="shared" si="215"/>
        <v>0</v>
      </c>
      <c r="I236" s="233">
        <v>0</v>
      </c>
      <c r="J236" s="233">
        <f t="shared" ref="J236:L236" si="260">SUM(J237:J239)</f>
        <v>0</v>
      </c>
      <c r="K236" s="233">
        <f t="shared" si="260"/>
        <v>0</v>
      </c>
      <c r="L236" s="233">
        <f t="shared" si="260"/>
        <v>0</v>
      </c>
      <c r="M236" s="232">
        <f t="shared" si="216"/>
        <v>0</v>
      </c>
      <c r="N236" s="233">
        <v>0</v>
      </c>
      <c r="O236" s="233">
        <f t="shared" ref="O236:Q236" si="261">SUM(O237:O239)</f>
        <v>0</v>
      </c>
      <c r="P236" s="233">
        <f t="shared" si="261"/>
        <v>0</v>
      </c>
      <c r="Q236" s="233">
        <f t="shared" si="261"/>
        <v>0</v>
      </c>
      <c r="R236" s="232">
        <f t="shared" si="217"/>
        <v>0</v>
      </c>
    </row>
    <row r="237" spans="1:18" s="29" customFormat="1" ht="36" hidden="1" customHeight="1">
      <c r="A237" s="134">
        <v>9141</v>
      </c>
      <c r="B237" s="172" t="s">
        <v>190</v>
      </c>
      <c r="C237" s="204"/>
      <c r="D237" s="180">
        <v>0</v>
      </c>
      <c r="E237" s="252"/>
      <c r="F237" s="252"/>
      <c r="G237" s="252"/>
      <c r="H237" s="232">
        <f t="shared" si="215"/>
        <v>0</v>
      </c>
      <c r="I237" s="252">
        <v>0</v>
      </c>
      <c r="J237" s="252"/>
      <c r="K237" s="252"/>
      <c r="L237" s="252"/>
      <c r="M237" s="232">
        <f t="shared" si="216"/>
        <v>0</v>
      </c>
      <c r="N237" s="252">
        <v>0</v>
      </c>
      <c r="O237" s="252"/>
      <c r="P237" s="252"/>
      <c r="Q237" s="252"/>
      <c r="R237" s="232">
        <f t="shared" si="217"/>
        <v>0</v>
      </c>
    </row>
    <row r="238" spans="1:18" s="29" customFormat="1" ht="36" hidden="1" customHeight="1">
      <c r="A238" s="134">
        <v>9142</v>
      </c>
      <c r="B238" s="172" t="s">
        <v>191</v>
      </c>
      <c r="C238" s="204"/>
      <c r="D238" s="180">
        <v>0</v>
      </c>
      <c r="E238" s="252"/>
      <c r="F238" s="252"/>
      <c r="G238" s="252"/>
      <c r="H238" s="232">
        <f t="shared" si="215"/>
        <v>0</v>
      </c>
      <c r="I238" s="252">
        <v>0</v>
      </c>
      <c r="J238" s="252"/>
      <c r="K238" s="252"/>
      <c r="L238" s="252"/>
      <c r="M238" s="232">
        <f t="shared" si="216"/>
        <v>0</v>
      </c>
      <c r="N238" s="252">
        <v>0</v>
      </c>
      <c r="O238" s="252"/>
      <c r="P238" s="252"/>
      <c r="Q238" s="252"/>
      <c r="R238" s="232">
        <f t="shared" si="217"/>
        <v>0</v>
      </c>
    </row>
    <row r="239" spans="1:18" s="29" customFormat="1" ht="24" hidden="1" customHeight="1">
      <c r="A239" s="134">
        <v>9149</v>
      </c>
      <c r="B239" s="172" t="s">
        <v>192</v>
      </c>
      <c r="C239" s="204"/>
      <c r="D239" s="180">
        <v>0</v>
      </c>
      <c r="E239" s="252"/>
      <c r="F239" s="252"/>
      <c r="G239" s="252"/>
      <c r="H239" s="232">
        <f t="shared" si="215"/>
        <v>0</v>
      </c>
      <c r="I239" s="252">
        <v>0</v>
      </c>
      <c r="J239" s="252"/>
      <c r="K239" s="252"/>
      <c r="L239" s="252"/>
      <c r="M239" s="232">
        <f t="shared" si="216"/>
        <v>0</v>
      </c>
      <c r="N239" s="252">
        <v>0</v>
      </c>
      <c r="O239" s="252"/>
      <c r="P239" s="252"/>
      <c r="Q239" s="252"/>
      <c r="R239" s="232">
        <f t="shared" si="217"/>
        <v>0</v>
      </c>
    </row>
    <row r="240" spans="1:18" s="29" customFormat="1" ht="24" hidden="1" customHeight="1">
      <c r="A240" s="141">
        <v>9500</v>
      </c>
      <c r="B240" s="172" t="s">
        <v>165</v>
      </c>
      <c r="C240" s="170">
        <v>0</v>
      </c>
      <c r="D240" s="171">
        <v>0</v>
      </c>
      <c r="E240" s="233">
        <f t="shared" ref="E240:G240" si="262">SUM(E241:E243)</f>
        <v>0</v>
      </c>
      <c r="F240" s="233">
        <f t="shared" si="262"/>
        <v>0</v>
      </c>
      <c r="G240" s="233">
        <f t="shared" si="262"/>
        <v>0</v>
      </c>
      <c r="H240" s="232">
        <f t="shared" si="215"/>
        <v>0</v>
      </c>
      <c r="I240" s="233">
        <v>0</v>
      </c>
      <c r="J240" s="233">
        <f t="shared" ref="J240:L240" si="263">SUM(J241:J243)</f>
        <v>0</v>
      </c>
      <c r="K240" s="233">
        <f t="shared" si="263"/>
        <v>0</v>
      </c>
      <c r="L240" s="233">
        <f t="shared" si="263"/>
        <v>0</v>
      </c>
      <c r="M240" s="232">
        <f t="shared" si="216"/>
        <v>0</v>
      </c>
      <c r="N240" s="233">
        <v>0</v>
      </c>
      <c r="O240" s="233">
        <f t="shared" ref="O240:Q240" si="264">SUM(O241:O243)</f>
        <v>0</v>
      </c>
      <c r="P240" s="233">
        <f t="shared" si="264"/>
        <v>0</v>
      </c>
      <c r="Q240" s="233">
        <f t="shared" si="264"/>
        <v>0</v>
      </c>
      <c r="R240" s="232">
        <f t="shared" si="217"/>
        <v>0</v>
      </c>
    </row>
    <row r="241" spans="1:18" s="29" customFormat="1" ht="24" hidden="1" customHeight="1">
      <c r="A241" s="133" t="s">
        <v>193</v>
      </c>
      <c r="B241" s="172" t="s">
        <v>171</v>
      </c>
      <c r="C241" s="170"/>
      <c r="D241" s="171">
        <v>0</v>
      </c>
      <c r="E241" s="233"/>
      <c r="F241" s="233"/>
      <c r="G241" s="233"/>
      <c r="H241" s="232">
        <f t="shared" si="215"/>
        <v>0</v>
      </c>
      <c r="I241" s="233">
        <v>0</v>
      </c>
      <c r="J241" s="233"/>
      <c r="K241" s="233"/>
      <c r="L241" s="233"/>
      <c r="M241" s="232">
        <f t="shared" si="216"/>
        <v>0</v>
      </c>
      <c r="N241" s="233">
        <v>0</v>
      </c>
      <c r="O241" s="233"/>
      <c r="P241" s="233"/>
      <c r="Q241" s="233"/>
      <c r="R241" s="232">
        <f t="shared" si="217"/>
        <v>0</v>
      </c>
    </row>
    <row r="242" spans="1:18" s="29" customFormat="1" ht="48" hidden="1" customHeight="1">
      <c r="A242" s="133">
        <v>9580</v>
      </c>
      <c r="B242" s="172" t="s">
        <v>166</v>
      </c>
      <c r="C242" s="204"/>
      <c r="D242" s="180">
        <v>0</v>
      </c>
      <c r="E242" s="252"/>
      <c r="F242" s="252"/>
      <c r="G242" s="252"/>
      <c r="H242" s="232">
        <f t="shared" si="215"/>
        <v>0</v>
      </c>
      <c r="I242" s="252">
        <v>0</v>
      </c>
      <c r="J242" s="252"/>
      <c r="K242" s="252"/>
      <c r="L242" s="252"/>
      <c r="M242" s="232">
        <f t="shared" si="216"/>
        <v>0</v>
      </c>
      <c r="N242" s="252">
        <v>0</v>
      </c>
      <c r="O242" s="252"/>
      <c r="P242" s="252"/>
      <c r="Q242" s="252"/>
      <c r="R242" s="232">
        <f t="shared" si="217"/>
        <v>0</v>
      </c>
    </row>
    <row r="243" spans="1:18" s="29" customFormat="1" ht="36" hidden="1" customHeight="1">
      <c r="A243" s="133">
        <v>9590</v>
      </c>
      <c r="B243" s="179" t="s">
        <v>172</v>
      </c>
      <c r="C243" s="204"/>
      <c r="D243" s="180">
        <v>0</v>
      </c>
      <c r="E243" s="252"/>
      <c r="F243" s="252"/>
      <c r="G243" s="252"/>
      <c r="H243" s="232">
        <f t="shared" si="215"/>
        <v>0</v>
      </c>
      <c r="I243" s="252">
        <v>0</v>
      </c>
      <c r="J243" s="252"/>
      <c r="K243" s="252"/>
      <c r="L243" s="252"/>
      <c r="M243" s="232">
        <f t="shared" si="216"/>
        <v>0</v>
      </c>
      <c r="N243" s="252">
        <v>0</v>
      </c>
      <c r="O243" s="252"/>
      <c r="P243" s="252"/>
      <c r="Q243" s="252"/>
      <c r="R243" s="232">
        <f t="shared" si="217"/>
        <v>0</v>
      </c>
    </row>
    <row r="244" spans="1:18" s="29" customFormat="1" ht="24" hidden="1" customHeight="1">
      <c r="A244" s="141">
        <v>9700</v>
      </c>
      <c r="B244" s="183" t="s">
        <v>194</v>
      </c>
      <c r="C244" s="170">
        <v>0</v>
      </c>
      <c r="D244" s="171">
        <v>0</v>
      </c>
      <c r="E244" s="233">
        <f t="shared" ref="E244:G244" si="265">SUM(E245:E246)</f>
        <v>0</v>
      </c>
      <c r="F244" s="233">
        <f t="shared" si="265"/>
        <v>0</v>
      </c>
      <c r="G244" s="233">
        <f t="shared" si="265"/>
        <v>0</v>
      </c>
      <c r="H244" s="232">
        <f t="shared" si="215"/>
        <v>0</v>
      </c>
      <c r="I244" s="233">
        <v>0</v>
      </c>
      <c r="J244" s="233">
        <f t="shared" ref="J244:L244" si="266">SUM(J245:J246)</f>
        <v>0</v>
      </c>
      <c r="K244" s="233">
        <f t="shared" si="266"/>
        <v>0</v>
      </c>
      <c r="L244" s="233">
        <f t="shared" si="266"/>
        <v>0</v>
      </c>
      <c r="M244" s="232">
        <f t="shared" si="216"/>
        <v>0</v>
      </c>
      <c r="N244" s="233">
        <v>0</v>
      </c>
      <c r="O244" s="233">
        <f t="shared" ref="O244:Q244" si="267">SUM(O245:O246)</f>
        <v>0</v>
      </c>
      <c r="P244" s="233">
        <f t="shared" si="267"/>
        <v>0</v>
      </c>
      <c r="Q244" s="233">
        <f t="shared" si="267"/>
        <v>0</v>
      </c>
      <c r="R244" s="232">
        <f t="shared" si="217"/>
        <v>0</v>
      </c>
    </row>
    <row r="245" spans="1:18" s="29" customFormat="1" ht="24" hidden="1" customHeight="1">
      <c r="A245" s="133">
        <v>9710</v>
      </c>
      <c r="B245" s="184" t="s">
        <v>195</v>
      </c>
      <c r="C245" s="204"/>
      <c r="D245" s="180">
        <v>0</v>
      </c>
      <c r="E245" s="252"/>
      <c r="F245" s="252"/>
      <c r="G245" s="252"/>
      <c r="H245" s="232">
        <f t="shared" si="215"/>
        <v>0</v>
      </c>
      <c r="I245" s="252">
        <v>0</v>
      </c>
      <c r="J245" s="252"/>
      <c r="K245" s="252"/>
      <c r="L245" s="252"/>
      <c r="M245" s="232">
        <f t="shared" si="216"/>
        <v>0</v>
      </c>
      <c r="N245" s="252">
        <v>0</v>
      </c>
      <c r="O245" s="252"/>
      <c r="P245" s="252"/>
      <c r="Q245" s="252"/>
      <c r="R245" s="232">
        <f t="shared" si="217"/>
        <v>0</v>
      </c>
    </row>
    <row r="246" spans="1:18" s="29" customFormat="1" ht="36" hidden="1" customHeight="1">
      <c r="A246" s="142">
        <v>9720</v>
      </c>
      <c r="B246" s="183" t="s">
        <v>196</v>
      </c>
      <c r="C246" s="204"/>
      <c r="D246" s="180">
        <v>0</v>
      </c>
      <c r="E246" s="252"/>
      <c r="F246" s="252"/>
      <c r="G246" s="252"/>
      <c r="H246" s="232">
        <f t="shared" si="215"/>
        <v>0</v>
      </c>
      <c r="I246" s="252">
        <v>0</v>
      </c>
      <c r="J246" s="252"/>
      <c r="K246" s="252"/>
      <c r="L246" s="252"/>
      <c r="M246" s="232">
        <f t="shared" si="216"/>
        <v>0</v>
      </c>
      <c r="N246" s="252">
        <v>0</v>
      </c>
      <c r="O246" s="252"/>
      <c r="P246" s="252"/>
      <c r="Q246" s="252"/>
      <c r="R246" s="232">
        <f t="shared" si="217"/>
        <v>0</v>
      </c>
    </row>
    <row r="247" spans="1:18" s="29" customFormat="1" ht="24" hidden="1" customHeight="1">
      <c r="A247" s="141">
        <v>9600</v>
      </c>
      <c r="B247" s="179" t="s">
        <v>134</v>
      </c>
      <c r="C247" s="204"/>
      <c r="D247" s="180">
        <v>0</v>
      </c>
      <c r="E247" s="252"/>
      <c r="F247" s="252"/>
      <c r="G247" s="252"/>
      <c r="H247" s="232">
        <f t="shared" si="215"/>
        <v>0</v>
      </c>
      <c r="I247" s="252">
        <v>0</v>
      </c>
      <c r="J247" s="252"/>
      <c r="K247" s="252"/>
      <c r="L247" s="252"/>
      <c r="M247" s="232">
        <f t="shared" si="216"/>
        <v>0</v>
      </c>
      <c r="N247" s="252">
        <v>0</v>
      </c>
      <c r="O247" s="252"/>
      <c r="P247" s="252"/>
      <c r="Q247" s="252"/>
      <c r="R247" s="232">
        <f t="shared" si="217"/>
        <v>0</v>
      </c>
    </row>
    <row r="248" spans="1:18" s="29" customFormat="1" ht="52.5" hidden="1" customHeight="1">
      <c r="A248" s="130" t="s">
        <v>197</v>
      </c>
      <c r="B248" s="185" t="s">
        <v>47</v>
      </c>
      <c r="C248" s="206"/>
      <c r="D248" s="186">
        <v>0</v>
      </c>
      <c r="E248" s="262">
        <f t="shared" ref="E248:G248" si="268">E178-E203</f>
        <v>0</v>
      </c>
      <c r="F248" s="262">
        <f t="shared" si="268"/>
        <v>0</v>
      </c>
      <c r="G248" s="262">
        <f t="shared" si="268"/>
        <v>0</v>
      </c>
      <c r="H248" s="232">
        <f t="shared" si="215"/>
        <v>0</v>
      </c>
      <c r="I248" s="262">
        <v>0</v>
      </c>
      <c r="J248" s="262">
        <f t="shared" ref="J248:L248" si="269">J178-J203</f>
        <v>0</v>
      </c>
      <c r="K248" s="262">
        <f t="shared" si="269"/>
        <v>0</v>
      </c>
      <c r="L248" s="262">
        <f t="shared" si="269"/>
        <v>0</v>
      </c>
      <c r="M248" s="232">
        <f t="shared" si="216"/>
        <v>0</v>
      </c>
      <c r="N248" s="262">
        <v>0</v>
      </c>
      <c r="O248" s="262">
        <f t="shared" ref="O248:Q248" si="270">O178-O203</f>
        <v>0</v>
      </c>
      <c r="P248" s="262">
        <f t="shared" si="270"/>
        <v>0</v>
      </c>
      <c r="Q248" s="262">
        <f t="shared" si="270"/>
        <v>0</v>
      </c>
      <c r="R248" s="232">
        <f t="shared" si="217"/>
        <v>0</v>
      </c>
    </row>
    <row r="249" spans="1:18" s="29" customFormat="1" ht="12" hidden="1" customHeight="1">
      <c r="A249" s="143" t="s">
        <v>48</v>
      </c>
      <c r="B249" s="185" t="s">
        <v>49</v>
      </c>
      <c r="C249" s="206">
        <v>0</v>
      </c>
      <c r="D249" s="186">
        <v>0</v>
      </c>
      <c r="E249" s="262">
        <f t="shared" ref="E249:G249" si="271">E250+E253+E257+E256</f>
        <v>0</v>
      </c>
      <c r="F249" s="262">
        <f t="shared" si="271"/>
        <v>0</v>
      </c>
      <c r="G249" s="262">
        <f t="shared" si="271"/>
        <v>0</v>
      </c>
      <c r="H249" s="232">
        <f t="shared" si="215"/>
        <v>0</v>
      </c>
      <c r="I249" s="262">
        <v>0</v>
      </c>
      <c r="J249" s="262">
        <f t="shared" ref="J249:L249" si="272">J250+J253+J257+J256</f>
        <v>0</v>
      </c>
      <c r="K249" s="262">
        <f t="shared" si="272"/>
        <v>0</v>
      </c>
      <c r="L249" s="262">
        <f t="shared" si="272"/>
        <v>0</v>
      </c>
      <c r="M249" s="232">
        <f t="shared" si="216"/>
        <v>0</v>
      </c>
      <c r="N249" s="262">
        <v>0</v>
      </c>
      <c r="O249" s="262">
        <f t="shared" ref="O249:Q249" si="273">O250+O253+O257+O256</f>
        <v>0</v>
      </c>
      <c r="P249" s="262">
        <f t="shared" si="273"/>
        <v>0</v>
      </c>
      <c r="Q249" s="262">
        <f t="shared" si="273"/>
        <v>0</v>
      </c>
      <c r="R249" s="232">
        <f t="shared" si="217"/>
        <v>0</v>
      </c>
    </row>
    <row r="250" spans="1:18" s="29" customFormat="1" ht="12" hidden="1" customHeight="1">
      <c r="A250" s="141" t="s">
        <v>50</v>
      </c>
      <c r="B250" s="179" t="s">
        <v>51</v>
      </c>
      <c r="C250" s="98">
        <v>0</v>
      </c>
      <c r="D250" s="169">
        <v>0</v>
      </c>
      <c r="E250" s="231">
        <f t="shared" ref="E250:G250" si="274">E251+E252</f>
        <v>0</v>
      </c>
      <c r="F250" s="231">
        <f t="shared" si="274"/>
        <v>0</v>
      </c>
      <c r="G250" s="231">
        <f t="shared" si="274"/>
        <v>0</v>
      </c>
      <c r="H250" s="232">
        <f t="shared" si="215"/>
        <v>0</v>
      </c>
      <c r="I250" s="231">
        <v>0</v>
      </c>
      <c r="J250" s="231">
        <f t="shared" ref="J250:L250" si="275">J251+J252</f>
        <v>0</v>
      </c>
      <c r="K250" s="231">
        <f t="shared" si="275"/>
        <v>0</v>
      </c>
      <c r="L250" s="231">
        <f t="shared" si="275"/>
        <v>0</v>
      </c>
      <c r="M250" s="232">
        <f t="shared" si="216"/>
        <v>0</v>
      </c>
      <c r="N250" s="231">
        <v>0</v>
      </c>
      <c r="O250" s="231">
        <f t="shared" ref="O250:Q250" si="276">O251+O252</f>
        <v>0</v>
      </c>
      <c r="P250" s="231">
        <f t="shared" si="276"/>
        <v>0</v>
      </c>
      <c r="Q250" s="231">
        <f t="shared" si="276"/>
        <v>0</v>
      </c>
      <c r="R250" s="232">
        <f t="shared" si="217"/>
        <v>0</v>
      </c>
    </row>
    <row r="251" spans="1:18" s="29" customFormat="1" ht="12" hidden="1" customHeight="1">
      <c r="A251" s="141" t="s">
        <v>52</v>
      </c>
      <c r="B251" s="179" t="s">
        <v>53</v>
      </c>
      <c r="C251" s="98"/>
      <c r="D251" s="169">
        <v>0</v>
      </c>
      <c r="E251" s="231"/>
      <c r="F251" s="231"/>
      <c r="G251" s="231"/>
      <c r="H251" s="232">
        <f t="shared" si="215"/>
        <v>0</v>
      </c>
      <c r="I251" s="231">
        <v>0</v>
      </c>
      <c r="J251" s="231"/>
      <c r="K251" s="231"/>
      <c r="L251" s="231"/>
      <c r="M251" s="232">
        <f t="shared" si="216"/>
        <v>0</v>
      </c>
      <c r="N251" s="231">
        <v>0</v>
      </c>
      <c r="O251" s="231"/>
      <c r="P251" s="231"/>
      <c r="Q251" s="231"/>
      <c r="R251" s="232">
        <f t="shared" si="217"/>
        <v>0</v>
      </c>
    </row>
    <row r="252" spans="1:18" s="29" customFormat="1" ht="12" hidden="1" customHeight="1">
      <c r="A252" s="141" t="s">
        <v>54</v>
      </c>
      <c r="B252" s="179" t="s">
        <v>55</v>
      </c>
      <c r="C252" s="98"/>
      <c r="D252" s="169">
        <v>0</v>
      </c>
      <c r="E252" s="231"/>
      <c r="F252" s="231"/>
      <c r="G252" s="231"/>
      <c r="H252" s="232">
        <f t="shared" si="215"/>
        <v>0</v>
      </c>
      <c r="I252" s="231">
        <v>0</v>
      </c>
      <c r="J252" s="231"/>
      <c r="K252" s="231"/>
      <c r="L252" s="231"/>
      <c r="M252" s="232">
        <f t="shared" si="216"/>
        <v>0</v>
      </c>
      <c r="N252" s="231">
        <v>0</v>
      </c>
      <c r="O252" s="231"/>
      <c r="P252" s="231"/>
      <c r="Q252" s="231"/>
      <c r="R252" s="232">
        <f t="shared" si="217"/>
        <v>0</v>
      </c>
    </row>
    <row r="253" spans="1:18" s="29" customFormat="1" ht="12" hidden="1" customHeight="1">
      <c r="A253" s="141" t="s">
        <v>56</v>
      </c>
      <c r="B253" s="179" t="s">
        <v>57</v>
      </c>
      <c r="C253" s="98">
        <v>0</v>
      </c>
      <c r="D253" s="169">
        <v>0</v>
      </c>
      <c r="E253" s="231">
        <f t="shared" ref="E253:G253" si="277">E254+E255</f>
        <v>0</v>
      </c>
      <c r="F253" s="231">
        <f t="shared" si="277"/>
        <v>0</v>
      </c>
      <c r="G253" s="231">
        <f t="shared" si="277"/>
        <v>0</v>
      </c>
      <c r="H253" s="232">
        <f t="shared" si="215"/>
        <v>0</v>
      </c>
      <c r="I253" s="231">
        <v>0</v>
      </c>
      <c r="J253" s="231">
        <f t="shared" ref="J253:L253" si="278">J254+J255</f>
        <v>0</v>
      </c>
      <c r="K253" s="231">
        <f t="shared" si="278"/>
        <v>0</v>
      </c>
      <c r="L253" s="231">
        <f t="shared" si="278"/>
        <v>0</v>
      </c>
      <c r="M253" s="232">
        <f t="shared" si="216"/>
        <v>0</v>
      </c>
      <c r="N253" s="231">
        <v>0</v>
      </c>
      <c r="O253" s="231">
        <f t="shared" ref="O253:Q253" si="279">O254+O255</f>
        <v>0</v>
      </c>
      <c r="P253" s="231">
        <f t="shared" si="279"/>
        <v>0</v>
      </c>
      <c r="Q253" s="231">
        <f t="shared" si="279"/>
        <v>0</v>
      </c>
      <c r="R253" s="232">
        <f t="shared" si="217"/>
        <v>0</v>
      </c>
    </row>
    <row r="254" spans="1:18" s="29" customFormat="1" ht="12" hidden="1" customHeight="1">
      <c r="A254" s="141" t="s">
        <v>58</v>
      </c>
      <c r="B254" s="179" t="s">
        <v>59</v>
      </c>
      <c r="C254" s="98"/>
      <c r="D254" s="169">
        <v>0</v>
      </c>
      <c r="E254" s="231"/>
      <c r="F254" s="231"/>
      <c r="G254" s="231"/>
      <c r="H254" s="232">
        <f t="shared" si="215"/>
        <v>0</v>
      </c>
      <c r="I254" s="231">
        <v>0</v>
      </c>
      <c r="J254" s="231"/>
      <c r="K254" s="231"/>
      <c r="L254" s="231"/>
      <c r="M254" s="232">
        <f t="shared" si="216"/>
        <v>0</v>
      </c>
      <c r="N254" s="231">
        <v>0</v>
      </c>
      <c r="O254" s="231"/>
      <c r="P254" s="231"/>
      <c r="Q254" s="231"/>
      <c r="R254" s="232">
        <f t="shared" si="217"/>
        <v>0</v>
      </c>
    </row>
    <row r="255" spans="1:18" s="29" customFormat="1" ht="12" hidden="1" customHeight="1">
      <c r="A255" s="141" t="s">
        <v>60</v>
      </c>
      <c r="B255" s="179" t="s">
        <v>61</v>
      </c>
      <c r="C255" s="98"/>
      <c r="D255" s="169">
        <v>0</v>
      </c>
      <c r="E255" s="231"/>
      <c r="F255" s="231"/>
      <c r="G255" s="231"/>
      <c r="H255" s="232">
        <f t="shared" si="215"/>
        <v>0</v>
      </c>
      <c r="I255" s="231">
        <v>0</v>
      </c>
      <c r="J255" s="231"/>
      <c r="K255" s="231"/>
      <c r="L255" s="231"/>
      <c r="M255" s="232">
        <f t="shared" si="216"/>
        <v>0</v>
      </c>
      <c r="N255" s="231">
        <v>0</v>
      </c>
      <c r="O255" s="231"/>
      <c r="P255" s="231"/>
      <c r="Q255" s="231"/>
      <c r="R255" s="232">
        <f t="shared" si="217"/>
        <v>0</v>
      </c>
    </row>
    <row r="256" spans="1:18" s="29" customFormat="1" ht="12" hidden="1" customHeight="1">
      <c r="A256" s="141" t="s">
        <v>198</v>
      </c>
      <c r="B256" s="187" t="s">
        <v>168</v>
      </c>
      <c r="C256" s="98"/>
      <c r="D256" s="169">
        <v>0</v>
      </c>
      <c r="E256" s="231"/>
      <c r="F256" s="231"/>
      <c r="G256" s="231"/>
      <c r="H256" s="232">
        <f t="shared" si="215"/>
        <v>0</v>
      </c>
      <c r="I256" s="231">
        <v>0</v>
      </c>
      <c r="J256" s="231"/>
      <c r="K256" s="231"/>
      <c r="L256" s="231"/>
      <c r="M256" s="232">
        <f t="shared" si="216"/>
        <v>0</v>
      </c>
      <c r="N256" s="231">
        <v>0</v>
      </c>
      <c r="O256" s="231"/>
      <c r="P256" s="231"/>
      <c r="Q256" s="231"/>
      <c r="R256" s="232">
        <f t="shared" si="217"/>
        <v>0</v>
      </c>
    </row>
    <row r="257" spans="1:18" s="29" customFormat="1" ht="12" hidden="1" customHeight="1">
      <c r="A257" s="144" t="s">
        <v>62</v>
      </c>
      <c r="B257" s="125" t="s">
        <v>63</v>
      </c>
      <c r="C257" s="170">
        <v>0</v>
      </c>
      <c r="D257" s="171">
        <v>0</v>
      </c>
      <c r="E257" s="233">
        <f t="shared" ref="E257:G257" si="280">E258+E259+E260</f>
        <v>0</v>
      </c>
      <c r="F257" s="233">
        <f t="shared" si="280"/>
        <v>0</v>
      </c>
      <c r="G257" s="233">
        <f t="shared" si="280"/>
        <v>0</v>
      </c>
      <c r="H257" s="232">
        <f t="shared" si="215"/>
        <v>0</v>
      </c>
      <c r="I257" s="233">
        <v>0</v>
      </c>
      <c r="J257" s="233">
        <f t="shared" ref="J257:L257" si="281">J258+J259+J260</f>
        <v>0</v>
      </c>
      <c r="K257" s="233">
        <f t="shared" si="281"/>
        <v>0</v>
      </c>
      <c r="L257" s="233">
        <f t="shared" si="281"/>
        <v>0</v>
      </c>
      <c r="M257" s="232">
        <f t="shared" si="216"/>
        <v>0</v>
      </c>
      <c r="N257" s="233">
        <v>0</v>
      </c>
      <c r="O257" s="233">
        <f t="shared" ref="O257:Q257" si="282">O258+O259+O260</f>
        <v>0</v>
      </c>
      <c r="P257" s="233">
        <f t="shared" si="282"/>
        <v>0</v>
      </c>
      <c r="Q257" s="233">
        <f t="shared" si="282"/>
        <v>0</v>
      </c>
      <c r="R257" s="232">
        <f t="shared" si="217"/>
        <v>0</v>
      </c>
    </row>
    <row r="258" spans="1:18" s="29" customFormat="1" ht="24" hidden="1" customHeight="1">
      <c r="A258" s="144" t="s">
        <v>64</v>
      </c>
      <c r="B258" s="179" t="s">
        <v>65</v>
      </c>
      <c r="C258" s="98"/>
      <c r="D258" s="169">
        <v>0</v>
      </c>
      <c r="E258" s="231"/>
      <c r="F258" s="231"/>
      <c r="G258" s="231"/>
      <c r="H258" s="232">
        <f t="shared" si="215"/>
        <v>0</v>
      </c>
      <c r="I258" s="231">
        <v>0</v>
      </c>
      <c r="J258" s="231"/>
      <c r="K258" s="231"/>
      <c r="L258" s="231"/>
      <c r="M258" s="232">
        <f t="shared" si="216"/>
        <v>0</v>
      </c>
      <c r="N258" s="231">
        <v>0</v>
      </c>
      <c r="O258" s="231"/>
      <c r="P258" s="231"/>
      <c r="Q258" s="231"/>
      <c r="R258" s="232">
        <f t="shared" si="217"/>
        <v>0</v>
      </c>
    </row>
    <row r="259" spans="1:18" s="29" customFormat="1" ht="24" hidden="1" customHeight="1">
      <c r="A259" s="144" t="s">
        <v>66</v>
      </c>
      <c r="B259" s="179" t="s">
        <v>67</v>
      </c>
      <c r="C259" s="98"/>
      <c r="D259" s="169">
        <v>0</v>
      </c>
      <c r="E259" s="231"/>
      <c r="F259" s="231"/>
      <c r="G259" s="231"/>
      <c r="H259" s="232">
        <f t="shared" si="215"/>
        <v>0</v>
      </c>
      <c r="I259" s="231">
        <v>0</v>
      </c>
      <c r="J259" s="231"/>
      <c r="K259" s="231"/>
      <c r="L259" s="231"/>
      <c r="M259" s="232">
        <f t="shared" si="216"/>
        <v>0</v>
      </c>
      <c r="N259" s="231">
        <v>0</v>
      </c>
      <c r="O259" s="231"/>
      <c r="P259" s="231"/>
      <c r="Q259" s="231"/>
      <c r="R259" s="232">
        <f t="shared" si="217"/>
        <v>0</v>
      </c>
    </row>
    <row r="260" spans="1:18" s="29" customFormat="1" ht="24" hidden="1" customHeight="1">
      <c r="A260" s="144" t="s">
        <v>68</v>
      </c>
      <c r="B260" s="125" t="s">
        <v>69</v>
      </c>
      <c r="C260" s="98"/>
      <c r="D260" s="169">
        <v>0</v>
      </c>
      <c r="E260" s="231"/>
      <c r="F260" s="231"/>
      <c r="G260" s="231"/>
      <c r="H260" s="232">
        <f t="shared" si="215"/>
        <v>0</v>
      </c>
      <c r="I260" s="231">
        <v>0</v>
      </c>
      <c r="J260" s="231"/>
      <c r="K260" s="231"/>
      <c r="L260" s="231"/>
      <c r="M260" s="232">
        <f t="shared" si="216"/>
        <v>0</v>
      </c>
      <c r="N260" s="231">
        <v>0</v>
      </c>
      <c r="O260" s="231"/>
      <c r="P260" s="231"/>
      <c r="Q260" s="231"/>
      <c r="R260" s="232">
        <f t="shared" si="217"/>
        <v>0</v>
      </c>
    </row>
    <row r="261" spans="1:18" s="29" customFormat="1" ht="12">
      <c r="A261" s="271"/>
      <c r="B261" s="272"/>
      <c r="C261" s="253"/>
      <c r="D261" s="254"/>
      <c r="E261" s="253"/>
      <c r="F261" s="253"/>
      <c r="G261" s="253"/>
      <c r="H261" s="232"/>
      <c r="I261" s="254"/>
      <c r="J261" s="253"/>
      <c r="K261" s="253"/>
      <c r="L261" s="253"/>
      <c r="M261" s="232"/>
      <c r="N261" s="254"/>
      <c r="O261" s="253"/>
      <c r="P261" s="253"/>
      <c r="Q261" s="253"/>
      <c r="R261" s="232"/>
    </row>
    <row r="262" spans="1:18" ht="12">
      <c r="A262" s="33"/>
      <c r="B262" s="164"/>
      <c r="C262" s="165"/>
      <c r="D262" s="163"/>
      <c r="E262" s="165"/>
      <c r="F262" s="163"/>
      <c r="G262" s="163"/>
      <c r="H262" s="163"/>
      <c r="I262" s="163"/>
      <c r="J262" s="165"/>
      <c r="K262" s="163"/>
      <c r="L262" s="163"/>
      <c r="M262" s="163"/>
      <c r="N262" s="163"/>
      <c r="O262" s="165"/>
      <c r="P262" s="163"/>
      <c r="Q262" s="163"/>
      <c r="R262" s="163"/>
    </row>
    <row r="263" spans="1:18" ht="12">
      <c r="A263" s="33"/>
      <c r="B263" s="164"/>
      <c r="C263" s="165"/>
      <c r="D263" s="163"/>
      <c r="E263" s="165"/>
      <c r="F263" s="163"/>
      <c r="G263" s="163"/>
      <c r="H263" s="163"/>
      <c r="I263" s="163"/>
      <c r="J263" s="165"/>
      <c r="K263" s="163"/>
      <c r="L263" s="163"/>
      <c r="M263" s="163"/>
      <c r="N263" s="163"/>
      <c r="O263" s="165"/>
      <c r="P263" s="163"/>
      <c r="Q263" s="163"/>
      <c r="R263" s="163"/>
    </row>
    <row r="264" spans="1:18" ht="13.2">
      <c r="A264" s="369" t="s">
        <v>236</v>
      </c>
      <c r="B264" s="370" t="s">
        <v>237</v>
      </c>
      <c r="C264" s="165"/>
      <c r="D264" s="163"/>
      <c r="E264" s="165"/>
      <c r="F264" s="163"/>
      <c r="G264" s="163"/>
      <c r="H264" s="163"/>
      <c r="I264" s="163"/>
      <c r="J264" s="165"/>
      <c r="K264" s="163"/>
      <c r="L264" s="163"/>
      <c r="M264" s="163"/>
      <c r="N264" s="163"/>
      <c r="O264" s="165"/>
      <c r="P264" s="163"/>
      <c r="Q264" s="163"/>
      <c r="R264" s="163"/>
    </row>
    <row r="265" spans="1:18" ht="13.2">
      <c r="A265" s="371"/>
      <c r="B265" s="372" t="s">
        <v>238</v>
      </c>
      <c r="C265" s="165"/>
      <c r="D265" s="163"/>
      <c r="E265" s="165"/>
      <c r="F265" s="163"/>
      <c r="G265" s="163"/>
      <c r="H265" s="163"/>
      <c r="I265" s="163"/>
      <c r="J265" s="165"/>
      <c r="K265" s="163"/>
      <c r="L265" s="163"/>
      <c r="M265" s="163"/>
      <c r="N265" s="163"/>
      <c r="O265" s="165"/>
      <c r="P265" s="163"/>
      <c r="Q265" s="163"/>
      <c r="R265" s="163"/>
    </row>
    <row r="266" spans="1:18" ht="13.2">
      <c r="A266" s="373" t="s">
        <v>223</v>
      </c>
      <c r="B266" s="374" t="s">
        <v>434</v>
      </c>
      <c r="C266" s="165"/>
      <c r="D266" s="163"/>
      <c r="E266" s="165"/>
      <c r="F266" s="163"/>
      <c r="G266" s="163"/>
      <c r="H266" s="163"/>
      <c r="I266" s="163"/>
      <c r="J266" s="165"/>
      <c r="K266" s="163"/>
      <c r="L266" s="163"/>
      <c r="M266" s="163"/>
      <c r="N266" s="163"/>
      <c r="O266" s="165"/>
      <c r="P266" s="163"/>
      <c r="Q266" s="163"/>
      <c r="R266" s="163"/>
    </row>
    <row r="267" spans="1:18" ht="13.2">
      <c r="A267" s="375" t="s">
        <v>240</v>
      </c>
      <c r="B267" s="376" t="s">
        <v>241</v>
      </c>
      <c r="C267" s="165"/>
      <c r="D267" s="163"/>
      <c r="E267" s="165"/>
      <c r="F267" s="163"/>
      <c r="G267" s="163"/>
      <c r="H267" s="163"/>
      <c r="I267" s="163"/>
      <c r="J267" s="165"/>
      <c r="K267" s="163"/>
      <c r="L267" s="163"/>
      <c r="M267" s="163"/>
      <c r="N267" s="163"/>
      <c r="O267" s="165"/>
      <c r="P267" s="163"/>
      <c r="Q267" s="163"/>
      <c r="R267" s="163"/>
    </row>
    <row r="268" spans="1:18" s="1071" customFormat="1" ht="13.2">
      <c r="A268" s="414"/>
      <c r="B268" s="475"/>
      <c r="C268" s="469"/>
      <c r="D268" s="470"/>
      <c r="E268" s="469"/>
      <c r="F268" s="470"/>
      <c r="G268" s="470"/>
      <c r="H268" s="470"/>
      <c r="I268" s="470"/>
      <c r="J268" s="469"/>
      <c r="K268" s="470"/>
      <c r="L268" s="470"/>
      <c r="M268" s="470"/>
      <c r="N268" s="470"/>
      <c r="O268" s="469"/>
      <c r="P268" s="470"/>
      <c r="Q268" s="470"/>
      <c r="R268" s="470"/>
    </row>
    <row r="269" spans="1:18" s="1071" customFormat="1" ht="13.2">
      <c r="A269" s="931" t="s">
        <v>224</v>
      </c>
      <c r="B269" s="932" t="s">
        <v>242</v>
      </c>
      <c r="C269" s="469"/>
      <c r="D269" s="470"/>
      <c r="E269" s="469"/>
      <c r="F269" s="470"/>
      <c r="G269" s="470"/>
      <c r="H269" s="470"/>
      <c r="I269" s="470"/>
      <c r="J269" s="469"/>
      <c r="K269" s="470"/>
      <c r="L269" s="470"/>
      <c r="M269" s="470"/>
      <c r="N269" s="470"/>
      <c r="O269" s="469"/>
      <c r="P269" s="470"/>
      <c r="Q269" s="470"/>
      <c r="R269" s="470"/>
    </row>
    <row r="270" spans="1:18" s="1071" customFormat="1" ht="39.6">
      <c r="A270" s="1133" t="s">
        <v>243</v>
      </c>
      <c r="B270" s="1134" t="s">
        <v>609</v>
      </c>
      <c r="C270" s="1135"/>
      <c r="D270" s="1135"/>
      <c r="E270" s="1135"/>
      <c r="F270" s="1135"/>
      <c r="G270" s="1135"/>
      <c r="H270" s="1135"/>
      <c r="I270" s="1135"/>
      <c r="J270" s="1135"/>
      <c r="K270" s="1135"/>
      <c r="L270" s="1135"/>
      <c r="M270" s="1135"/>
      <c r="N270" s="1135"/>
      <c r="O270" s="1135"/>
      <c r="P270" s="1135"/>
      <c r="Q270" s="1135"/>
      <c r="R270" s="1135"/>
    </row>
    <row r="271" spans="1:18" s="1071" customFormat="1" ht="12">
      <c r="A271" s="1125"/>
      <c r="B271" s="1126" t="s">
        <v>88</v>
      </c>
      <c r="C271" s="1096"/>
      <c r="D271" s="1096"/>
      <c r="E271" s="1096"/>
      <c r="F271" s="1096"/>
      <c r="G271" s="1096">
        <f>G272</f>
        <v>10000</v>
      </c>
      <c r="H271" s="1096"/>
      <c r="I271" s="1096"/>
      <c r="J271" s="1096"/>
      <c r="K271" s="1096"/>
      <c r="L271" s="1096">
        <f>L272</f>
        <v>10000</v>
      </c>
      <c r="M271" s="1096"/>
      <c r="N271" s="1096"/>
      <c r="O271" s="1096"/>
      <c r="Q271" s="1238">
        <f>Q272</f>
        <v>10000</v>
      </c>
    </row>
    <row r="272" spans="1:18" s="1071" customFormat="1" ht="12">
      <c r="A272" s="1127"/>
      <c r="B272" s="1128" t="s">
        <v>97</v>
      </c>
      <c r="C272" s="780"/>
      <c r="D272" s="780"/>
      <c r="E272" s="780"/>
      <c r="F272" s="780"/>
      <c r="G272" s="780">
        <f>G273</f>
        <v>10000</v>
      </c>
      <c r="H272" s="780"/>
      <c r="I272" s="780"/>
      <c r="J272" s="780"/>
      <c r="K272" s="780"/>
      <c r="L272" s="780">
        <f>L273</f>
        <v>10000</v>
      </c>
      <c r="M272" s="780"/>
      <c r="N272" s="780"/>
      <c r="O272" s="780"/>
      <c r="Q272" s="1239">
        <f>Q273</f>
        <v>10000</v>
      </c>
    </row>
    <row r="273" spans="1:18" s="1071" customFormat="1" ht="24">
      <c r="A273" s="1129"/>
      <c r="B273" s="1130" t="s">
        <v>98</v>
      </c>
      <c r="C273" s="780"/>
      <c r="D273" s="780"/>
      <c r="E273" s="780"/>
      <c r="F273" s="780"/>
      <c r="G273" s="780">
        <v>10000</v>
      </c>
      <c r="H273" s="780"/>
      <c r="I273" s="780"/>
      <c r="J273" s="780"/>
      <c r="K273" s="780"/>
      <c r="L273" s="780">
        <v>10000</v>
      </c>
      <c r="M273" s="780"/>
      <c r="N273" s="780"/>
      <c r="O273" s="780"/>
      <c r="Q273" s="1239">
        <v>10000</v>
      </c>
    </row>
    <row r="274" spans="1:18" s="1071" customFormat="1" ht="12">
      <c r="A274" s="1125"/>
      <c r="B274" s="1126" t="s">
        <v>392</v>
      </c>
      <c r="C274" s="1096"/>
      <c r="D274" s="1096"/>
      <c r="E274" s="1096"/>
      <c r="F274" s="1096"/>
      <c r="G274" s="1096">
        <f>G275</f>
        <v>10000</v>
      </c>
      <c r="H274" s="1096"/>
      <c r="I274" s="1096"/>
      <c r="J274" s="1096"/>
      <c r="K274" s="1096"/>
      <c r="L274" s="1096">
        <f>L275</f>
        <v>10000</v>
      </c>
      <c r="M274" s="1096"/>
      <c r="N274" s="1096"/>
      <c r="O274" s="1096"/>
      <c r="Q274" s="1238">
        <f>Q275</f>
        <v>10000</v>
      </c>
    </row>
    <row r="275" spans="1:18" s="1071" customFormat="1" ht="12">
      <c r="A275" s="1127"/>
      <c r="B275" s="1128" t="s">
        <v>103</v>
      </c>
      <c r="C275" s="780"/>
      <c r="D275" s="780"/>
      <c r="E275" s="780"/>
      <c r="F275" s="780"/>
      <c r="G275" s="780">
        <f>G276</f>
        <v>10000</v>
      </c>
      <c r="H275" s="780"/>
      <c r="I275" s="780"/>
      <c r="J275" s="780"/>
      <c r="K275" s="780"/>
      <c r="L275" s="780">
        <f>L276</f>
        <v>10000</v>
      </c>
      <c r="M275" s="780"/>
      <c r="N275" s="780"/>
      <c r="O275" s="780"/>
      <c r="Q275" s="1239">
        <f>Q276</f>
        <v>10000</v>
      </c>
    </row>
    <row r="276" spans="1:18" s="1071" customFormat="1" ht="12">
      <c r="A276" s="1129"/>
      <c r="B276" s="1130" t="s">
        <v>105</v>
      </c>
      <c r="C276" s="780"/>
      <c r="D276" s="780"/>
      <c r="E276" s="780"/>
      <c r="F276" s="780"/>
      <c r="G276" s="780">
        <f>G277</f>
        <v>10000</v>
      </c>
      <c r="H276" s="780"/>
      <c r="I276" s="780"/>
      <c r="J276" s="780"/>
      <c r="K276" s="780"/>
      <c r="L276" s="780">
        <f>L277</f>
        <v>10000</v>
      </c>
      <c r="M276" s="780"/>
      <c r="N276" s="780"/>
      <c r="O276" s="780"/>
      <c r="Q276" s="1239">
        <f>Q277</f>
        <v>10000</v>
      </c>
    </row>
    <row r="277" spans="1:18" s="1071" customFormat="1" ht="12">
      <c r="A277" s="1136"/>
      <c r="B277" s="779" t="s">
        <v>393</v>
      </c>
      <c r="C277" s="1137"/>
      <c r="D277" s="1137"/>
      <c r="E277" s="1137"/>
      <c r="F277" s="1137"/>
      <c r="G277" s="1137">
        <v>10000</v>
      </c>
      <c r="H277" s="1137"/>
      <c r="I277" s="1137"/>
      <c r="J277" s="1137"/>
      <c r="K277" s="1137"/>
      <c r="L277" s="1137">
        <v>10000</v>
      </c>
      <c r="M277" s="1137"/>
      <c r="N277" s="1137"/>
      <c r="O277" s="1137"/>
      <c r="Q277" s="1239">
        <v>10000</v>
      </c>
    </row>
    <row r="278" spans="1:18" s="1071" customFormat="1" ht="12">
      <c r="A278" s="1138"/>
      <c r="B278" s="1139" t="s">
        <v>394</v>
      </c>
      <c r="C278" s="780"/>
      <c r="D278" s="780"/>
      <c r="E278" s="780"/>
      <c r="F278" s="780"/>
      <c r="G278" s="780">
        <v>8058</v>
      </c>
      <c r="H278" s="780"/>
      <c r="I278" s="780"/>
      <c r="J278" s="780"/>
      <c r="K278" s="780"/>
      <c r="L278" s="780">
        <v>8058</v>
      </c>
      <c r="M278" s="780"/>
      <c r="N278" s="780"/>
      <c r="O278" s="780"/>
      <c r="Q278" s="1239">
        <v>8058</v>
      </c>
    </row>
    <row r="279" spans="1:18" s="1071" customFormat="1" ht="52.8">
      <c r="A279" s="1133" t="s">
        <v>250</v>
      </c>
      <c r="B279" s="1134" t="s">
        <v>610</v>
      </c>
      <c r="C279" s="1135"/>
      <c r="D279" s="1135"/>
      <c r="E279" s="1135"/>
      <c r="F279" s="1135"/>
      <c r="G279" s="1135"/>
      <c r="H279" s="1135"/>
      <c r="I279" s="1135"/>
      <c r="J279" s="1135"/>
      <c r="K279" s="1135"/>
      <c r="L279" s="1135"/>
      <c r="M279" s="1135"/>
      <c r="N279" s="1135"/>
      <c r="O279" s="1135"/>
      <c r="P279" s="1135"/>
      <c r="Q279" s="1135"/>
      <c r="R279" s="1135"/>
    </row>
    <row r="280" spans="1:18" s="1071" customFormat="1" ht="12">
      <c r="A280" s="1125"/>
      <c r="B280" s="1126" t="s">
        <v>88</v>
      </c>
      <c r="C280" s="1096"/>
      <c r="D280" s="1096"/>
      <c r="E280" s="1096"/>
      <c r="F280" s="1096"/>
      <c r="G280" s="1096">
        <f>G281</f>
        <v>17100</v>
      </c>
      <c r="H280" s="1096"/>
      <c r="I280" s="1096"/>
      <c r="J280" s="1096"/>
      <c r="K280" s="1096"/>
      <c r="L280" s="1096">
        <f>L281</f>
        <v>17100</v>
      </c>
      <c r="M280" s="1096"/>
      <c r="N280" s="1096"/>
      <c r="O280" s="1096"/>
      <c r="Q280" s="1238">
        <f>Q281</f>
        <v>17100</v>
      </c>
    </row>
    <row r="281" spans="1:18" s="1071" customFormat="1" ht="12">
      <c r="A281" s="1127"/>
      <c r="B281" s="1128" t="s">
        <v>97</v>
      </c>
      <c r="C281" s="780"/>
      <c r="D281" s="780"/>
      <c r="E281" s="780"/>
      <c r="F281" s="780"/>
      <c r="G281" s="780">
        <f>G282</f>
        <v>17100</v>
      </c>
      <c r="H281" s="780"/>
      <c r="I281" s="780"/>
      <c r="J281" s="780"/>
      <c r="K281" s="780"/>
      <c r="L281" s="780">
        <f>L282</f>
        <v>17100</v>
      </c>
      <c r="M281" s="780"/>
      <c r="N281" s="780"/>
      <c r="O281" s="780"/>
      <c r="Q281" s="1239">
        <f>Q282</f>
        <v>17100</v>
      </c>
    </row>
    <row r="282" spans="1:18" s="1071" customFormat="1" ht="24">
      <c r="A282" s="1129"/>
      <c r="B282" s="1130" t="s">
        <v>98</v>
      </c>
      <c r="C282" s="780"/>
      <c r="D282" s="780"/>
      <c r="E282" s="780"/>
      <c r="F282" s="780"/>
      <c r="G282" s="780">
        <v>17100</v>
      </c>
      <c r="H282" s="780"/>
      <c r="I282" s="780"/>
      <c r="J282" s="780"/>
      <c r="K282" s="780"/>
      <c r="L282" s="780">
        <v>17100</v>
      </c>
      <c r="M282" s="780"/>
      <c r="N282" s="780"/>
      <c r="O282" s="780"/>
      <c r="Q282" s="1239">
        <v>17100</v>
      </c>
    </row>
    <row r="283" spans="1:18" s="1071" customFormat="1" ht="12">
      <c r="A283" s="1125"/>
      <c r="B283" s="1126" t="s">
        <v>392</v>
      </c>
      <c r="C283" s="1096"/>
      <c r="D283" s="1096"/>
      <c r="E283" s="1096"/>
      <c r="F283" s="1096"/>
      <c r="G283" s="1096">
        <f>G284</f>
        <v>17100</v>
      </c>
      <c r="H283" s="1096"/>
      <c r="I283" s="1096"/>
      <c r="J283" s="1096"/>
      <c r="K283" s="1096"/>
      <c r="L283" s="1096">
        <f>L284</f>
        <v>17100</v>
      </c>
      <c r="M283" s="1096"/>
      <c r="N283" s="1096"/>
      <c r="O283" s="1096"/>
      <c r="Q283" s="1238">
        <f>Q284</f>
        <v>17100</v>
      </c>
    </row>
    <row r="284" spans="1:18" s="1071" customFormat="1" ht="12">
      <c r="A284" s="1127"/>
      <c r="B284" s="1128" t="s">
        <v>103</v>
      </c>
      <c r="C284" s="780"/>
      <c r="D284" s="780"/>
      <c r="E284" s="780"/>
      <c r="F284" s="780"/>
      <c r="G284" s="780">
        <f>G285</f>
        <v>17100</v>
      </c>
      <c r="H284" s="780"/>
      <c r="I284" s="780"/>
      <c r="J284" s="780"/>
      <c r="K284" s="780"/>
      <c r="L284" s="780">
        <f>L285</f>
        <v>17100</v>
      </c>
      <c r="M284" s="780"/>
      <c r="N284" s="780"/>
      <c r="O284" s="780"/>
      <c r="Q284" s="1239">
        <f>Q285</f>
        <v>17100</v>
      </c>
    </row>
    <row r="285" spans="1:18" s="1071" customFormat="1" ht="12">
      <c r="A285" s="1129"/>
      <c r="B285" s="1130" t="s">
        <v>105</v>
      </c>
      <c r="C285" s="780"/>
      <c r="D285" s="780"/>
      <c r="E285" s="780"/>
      <c r="F285" s="780"/>
      <c r="G285" s="780">
        <f>G286</f>
        <v>17100</v>
      </c>
      <c r="H285" s="780"/>
      <c r="I285" s="780"/>
      <c r="J285" s="780"/>
      <c r="K285" s="780"/>
      <c r="L285" s="780">
        <f>L286</f>
        <v>17100</v>
      </c>
      <c r="M285" s="780"/>
      <c r="N285" s="780"/>
      <c r="O285" s="780"/>
      <c r="Q285" s="1239">
        <f>Q286</f>
        <v>17100</v>
      </c>
    </row>
    <row r="286" spans="1:18" s="1071" customFormat="1" ht="12">
      <c r="A286" s="1136"/>
      <c r="B286" s="779" t="s">
        <v>393</v>
      </c>
      <c r="C286" s="1137"/>
      <c r="D286" s="1137"/>
      <c r="E286" s="1137"/>
      <c r="F286" s="1137"/>
      <c r="G286" s="1137">
        <v>17100</v>
      </c>
      <c r="H286" s="1137"/>
      <c r="I286" s="1137"/>
      <c r="J286" s="1137"/>
      <c r="K286" s="1137"/>
      <c r="L286" s="1137">
        <v>17100</v>
      </c>
      <c r="M286" s="1137"/>
      <c r="N286" s="1137"/>
      <c r="O286" s="1137"/>
      <c r="Q286" s="1239">
        <v>17100</v>
      </c>
    </row>
    <row r="287" spans="1:18" s="1071" customFormat="1" ht="39.6">
      <c r="A287" s="1133" t="s">
        <v>257</v>
      </c>
      <c r="B287" s="1134" t="s">
        <v>611</v>
      </c>
      <c r="C287" s="1135"/>
      <c r="D287" s="1135"/>
      <c r="E287" s="1135"/>
      <c r="F287" s="1135"/>
      <c r="G287" s="1135"/>
      <c r="H287" s="1135"/>
      <c r="I287" s="1135"/>
      <c r="J287" s="1135"/>
      <c r="K287" s="1135"/>
      <c r="L287" s="1135"/>
      <c r="M287" s="1135"/>
      <c r="N287" s="1135"/>
      <c r="O287" s="1135"/>
      <c r="P287" s="1135"/>
      <c r="Q287" s="1240"/>
      <c r="R287" s="1135"/>
    </row>
    <row r="288" spans="1:18" s="1071" customFormat="1" ht="12">
      <c r="A288" s="1125"/>
      <c r="B288" s="1126" t="s">
        <v>88</v>
      </c>
      <c r="C288" s="1096"/>
      <c r="D288" s="1096"/>
      <c r="E288" s="1096"/>
      <c r="F288" s="1096"/>
      <c r="G288" s="1096">
        <f>G289</f>
        <v>25986</v>
      </c>
      <c r="H288" s="1096"/>
      <c r="I288" s="1096"/>
      <c r="J288" s="1096"/>
      <c r="K288" s="1096"/>
      <c r="L288" s="1096">
        <f>L289</f>
        <v>25986</v>
      </c>
      <c r="M288" s="1096"/>
      <c r="N288" s="1096"/>
      <c r="O288" s="1096"/>
      <c r="Q288" s="1239">
        <f>Q289</f>
        <v>25986</v>
      </c>
    </row>
    <row r="289" spans="1:18" s="1071" customFormat="1" ht="12">
      <c r="A289" s="1127"/>
      <c r="B289" s="1128" t="s">
        <v>97</v>
      </c>
      <c r="C289" s="780"/>
      <c r="D289" s="780"/>
      <c r="E289" s="780"/>
      <c r="F289" s="780"/>
      <c r="G289" s="780">
        <f>G290</f>
        <v>25986</v>
      </c>
      <c r="H289" s="780"/>
      <c r="I289" s="780"/>
      <c r="J289" s="780"/>
      <c r="K289" s="780"/>
      <c r="L289" s="780">
        <f>L290</f>
        <v>25986</v>
      </c>
      <c r="M289" s="780"/>
      <c r="N289" s="780"/>
      <c r="O289" s="780"/>
      <c r="Q289" s="1239">
        <f>Q290</f>
        <v>25986</v>
      </c>
    </row>
    <row r="290" spans="1:18" s="1071" customFormat="1" ht="24">
      <c r="A290" s="1129"/>
      <c r="B290" s="1130" t="s">
        <v>98</v>
      </c>
      <c r="C290" s="780"/>
      <c r="D290" s="780"/>
      <c r="E290" s="780"/>
      <c r="F290" s="780"/>
      <c r="G290" s="780">
        <v>25986</v>
      </c>
      <c r="H290" s="780"/>
      <c r="I290" s="780"/>
      <c r="J290" s="780"/>
      <c r="K290" s="780"/>
      <c r="L290" s="780">
        <v>25986</v>
      </c>
      <c r="M290" s="780"/>
      <c r="N290" s="780"/>
      <c r="O290" s="780"/>
      <c r="Q290" s="1239">
        <v>25986</v>
      </c>
    </row>
    <row r="291" spans="1:18" s="1071" customFormat="1" ht="12">
      <c r="A291" s="1125"/>
      <c r="B291" s="1126" t="s">
        <v>392</v>
      </c>
      <c r="C291" s="1096"/>
      <c r="D291" s="1096"/>
      <c r="E291" s="1096"/>
      <c r="F291" s="1096"/>
      <c r="G291" s="1096">
        <f>G292</f>
        <v>25986</v>
      </c>
      <c r="H291" s="1096"/>
      <c r="I291" s="1096"/>
      <c r="J291" s="1096"/>
      <c r="K291" s="1096"/>
      <c r="L291" s="1096">
        <f>L292</f>
        <v>25986</v>
      </c>
      <c r="M291" s="1096"/>
      <c r="N291" s="1096"/>
      <c r="O291" s="1096"/>
      <c r="Q291" s="1239">
        <f>Q292</f>
        <v>25986</v>
      </c>
    </row>
    <row r="292" spans="1:18" s="1071" customFormat="1" ht="12">
      <c r="A292" s="1127"/>
      <c r="B292" s="1128" t="s">
        <v>103</v>
      </c>
      <c r="C292" s="780"/>
      <c r="D292" s="780"/>
      <c r="E292" s="780"/>
      <c r="F292" s="780"/>
      <c r="G292" s="780">
        <f>G293</f>
        <v>25986</v>
      </c>
      <c r="H292" s="780"/>
      <c r="I292" s="780"/>
      <c r="J292" s="780"/>
      <c r="K292" s="780"/>
      <c r="L292" s="780">
        <f>L293</f>
        <v>25986</v>
      </c>
      <c r="M292" s="780"/>
      <c r="N292" s="780"/>
      <c r="O292" s="780"/>
      <c r="Q292" s="1239">
        <f>Q293</f>
        <v>25986</v>
      </c>
    </row>
    <row r="293" spans="1:18" s="1071" customFormat="1" ht="12">
      <c r="A293" s="1129"/>
      <c r="B293" s="1130" t="s">
        <v>105</v>
      </c>
      <c r="C293" s="780"/>
      <c r="D293" s="780"/>
      <c r="E293" s="780"/>
      <c r="F293" s="780"/>
      <c r="G293" s="780">
        <f>G294+G296</f>
        <v>25986</v>
      </c>
      <c r="H293" s="780"/>
      <c r="I293" s="780"/>
      <c r="J293" s="780"/>
      <c r="K293" s="780"/>
      <c r="L293" s="780">
        <f>L294+L296</f>
        <v>25986</v>
      </c>
      <c r="M293" s="780"/>
      <c r="N293" s="780"/>
      <c r="O293" s="780"/>
      <c r="Q293" s="1239">
        <f>Q294+Q296</f>
        <v>25986</v>
      </c>
    </row>
    <row r="294" spans="1:18" s="1071" customFormat="1" ht="12">
      <c r="A294" s="1136"/>
      <c r="B294" s="779" t="s">
        <v>393</v>
      </c>
      <c r="C294" s="1137"/>
      <c r="D294" s="1137"/>
      <c r="E294" s="1137"/>
      <c r="F294" s="1137"/>
      <c r="G294" s="1137">
        <v>21164</v>
      </c>
      <c r="H294" s="1137"/>
      <c r="I294" s="1137"/>
      <c r="J294" s="1137"/>
      <c r="K294" s="1137"/>
      <c r="L294" s="1137">
        <v>21164</v>
      </c>
      <c r="M294" s="1137"/>
      <c r="N294" s="1137"/>
      <c r="O294" s="1137"/>
      <c r="Q294" s="1239">
        <v>21164</v>
      </c>
    </row>
    <row r="295" spans="1:18" s="1071" customFormat="1" ht="12">
      <c r="A295" s="1138"/>
      <c r="B295" s="1139" t="s">
        <v>394</v>
      </c>
      <c r="C295" s="780"/>
      <c r="D295" s="780"/>
      <c r="E295" s="780"/>
      <c r="F295" s="780"/>
      <c r="G295" s="780">
        <v>16814</v>
      </c>
      <c r="H295" s="780"/>
      <c r="I295" s="780"/>
      <c r="J295" s="780"/>
      <c r="K295" s="780"/>
      <c r="L295" s="780">
        <v>16814</v>
      </c>
      <c r="M295" s="780"/>
      <c r="N295" s="780"/>
      <c r="O295" s="780"/>
      <c r="Q295" s="1239">
        <v>16814</v>
      </c>
    </row>
    <row r="296" spans="1:18" s="1071" customFormat="1" ht="13.2">
      <c r="A296" s="411"/>
      <c r="B296" s="475" t="s">
        <v>612</v>
      </c>
      <c r="C296" s="469"/>
      <c r="D296" s="470"/>
      <c r="E296" s="469"/>
      <c r="F296" s="470"/>
      <c r="G296" s="470">
        <v>4822</v>
      </c>
      <c r="H296" s="470"/>
      <c r="I296" s="470"/>
      <c r="J296" s="469"/>
      <c r="K296" s="470"/>
      <c r="L296" s="470">
        <v>4822</v>
      </c>
      <c r="M296" s="470"/>
      <c r="N296" s="470"/>
      <c r="O296" s="469"/>
      <c r="P296" s="470"/>
      <c r="Q296" s="1108">
        <v>4822</v>
      </c>
      <c r="R296" s="470"/>
    </row>
    <row r="297" spans="1:18" s="1071" customFormat="1" ht="66">
      <c r="A297" s="1133" t="s">
        <v>324</v>
      </c>
      <c r="B297" s="1134" t="s">
        <v>613</v>
      </c>
      <c r="C297" s="1135"/>
      <c r="D297" s="1135"/>
      <c r="E297" s="1135"/>
      <c r="F297" s="1135"/>
      <c r="G297" s="1135"/>
      <c r="H297" s="1135"/>
      <c r="I297" s="1135"/>
      <c r="J297" s="1135"/>
      <c r="K297" s="1135"/>
      <c r="L297" s="1135"/>
      <c r="M297" s="1135"/>
      <c r="N297" s="1135"/>
      <c r="O297" s="1135"/>
      <c r="P297" s="1135"/>
      <c r="Q297" s="1240"/>
      <c r="R297" s="1135"/>
    </row>
    <row r="298" spans="1:18" s="1071" customFormat="1" ht="12">
      <c r="A298" s="1125"/>
      <c r="B298" s="1126" t="s">
        <v>88</v>
      </c>
      <c r="C298" s="1096"/>
      <c r="D298" s="1096"/>
      <c r="E298" s="1096"/>
      <c r="F298" s="1096"/>
      <c r="G298" s="1096">
        <f>G299</f>
        <v>149435</v>
      </c>
      <c r="H298" s="1096"/>
      <c r="I298" s="1096"/>
      <c r="J298" s="1096"/>
      <c r="K298" s="1096"/>
      <c r="L298" s="1096">
        <f>L299</f>
        <v>149435</v>
      </c>
      <c r="M298" s="1096"/>
      <c r="N298" s="1096"/>
      <c r="O298" s="1096"/>
      <c r="Q298" s="1239">
        <f>Q299</f>
        <v>149435</v>
      </c>
    </row>
    <row r="299" spans="1:18" s="1071" customFormat="1" ht="12">
      <c r="A299" s="1127"/>
      <c r="B299" s="1128" t="s">
        <v>97</v>
      </c>
      <c r="C299" s="780"/>
      <c r="D299" s="780"/>
      <c r="E299" s="780"/>
      <c r="F299" s="780"/>
      <c r="G299" s="780">
        <f>G300</f>
        <v>149435</v>
      </c>
      <c r="H299" s="780"/>
      <c r="I299" s="780"/>
      <c r="J299" s="780"/>
      <c r="K299" s="780"/>
      <c r="L299" s="780">
        <f>L300</f>
        <v>149435</v>
      </c>
      <c r="M299" s="780"/>
      <c r="N299" s="780"/>
      <c r="O299" s="780"/>
      <c r="Q299" s="1239">
        <f>Q300</f>
        <v>149435</v>
      </c>
    </row>
    <row r="300" spans="1:18" s="1071" customFormat="1" ht="24">
      <c r="A300" s="1129"/>
      <c r="B300" s="1130" t="s">
        <v>98</v>
      </c>
      <c r="C300" s="780"/>
      <c r="D300" s="780"/>
      <c r="E300" s="780"/>
      <c r="F300" s="780"/>
      <c r="G300" s="780">
        <v>149435</v>
      </c>
      <c r="H300" s="780"/>
      <c r="I300" s="780"/>
      <c r="J300" s="780"/>
      <c r="K300" s="780"/>
      <c r="L300" s="780">
        <v>149435</v>
      </c>
      <c r="M300" s="780"/>
      <c r="N300" s="780"/>
      <c r="O300" s="780"/>
      <c r="Q300" s="1239">
        <v>149435</v>
      </c>
    </row>
    <row r="301" spans="1:18" s="1071" customFormat="1" ht="12">
      <c r="A301" s="1125"/>
      <c r="B301" s="1126" t="s">
        <v>392</v>
      </c>
      <c r="C301" s="1096"/>
      <c r="D301" s="1096"/>
      <c r="E301" s="1096"/>
      <c r="F301" s="1096"/>
      <c r="G301" s="1096">
        <f>G302</f>
        <v>149435</v>
      </c>
      <c r="H301" s="1096"/>
      <c r="I301" s="1096"/>
      <c r="J301" s="1096"/>
      <c r="K301" s="1096"/>
      <c r="L301" s="1096">
        <f>L302</f>
        <v>149435</v>
      </c>
      <c r="M301" s="1096"/>
      <c r="N301" s="1096"/>
      <c r="O301" s="1096"/>
      <c r="Q301" s="1239">
        <f>Q302</f>
        <v>149435</v>
      </c>
    </row>
    <row r="302" spans="1:18" s="1071" customFormat="1" ht="12">
      <c r="A302" s="1127"/>
      <c r="B302" s="1128" t="s">
        <v>103</v>
      </c>
      <c r="C302" s="780"/>
      <c r="D302" s="780"/>
      <c r="E302" s="780"/>
      <c r="F302" s="780"/>
      <c r="G302" s="780">
        <f>G303</f>
        <v>149435</v>
      </c>
      <c r="H302" s="780"/>
      <c r="I302" s="780"/>
      <c r="J302" s="780"/>
      <c r="K302" s="780"/>
      <c r="L302" s="780">
        <f>L303</f>
        <v>149435</v>
      </c>
      <c r="M302" s="780"/>
      <c r="N302" s="780"/>
      <c r="O302" s="780"/>
      <c r="Q302" s="1239">
        <f>Q303</f>
        <v>149435</v>
      </c>
    </row>
    <row r="303" spans="1:18" s="1071" customFormat="1" ht="12">
      <c r="A303" s="1129"/>
      <c r="B303" s="1130" t="s">
        <v>105</v>
      </c>
      <c r="C303" s="780"/>
      <c r="D303" s="780"/>
      <c r="E303" s="780"/>
      <c r="F303" s="780"/>
      <c r="G303" s="780">
        <f>G304</f>
        <v>149435</v>
      </c>
      <c r="H303" s="780"/>
      <c r="I303" s="780"/>
      <c r="J303" s="780"/>
      <c r="K303" s="780"/>
      <c r="L303" s="780">
        <f>L304</f>
        <v>149435</v>
      </c>
      <c r="M303" s="780"/>
      <c r="N303" s="780"/>
      <c r="O303" s="780"/>
      <c r="Q303" s="1239">
        <f>Q304</f>
        <v>149435</v>
      </c>
    </row>
    <row r="304" spans="1:18" s="1071" customFormat="1" ht="12">
      <c r="A304" s="1136"/>
      <c r="B304" s="779" t="s">
        <v>393</v>
      </c>
      <c r="C304" s="1137"/>
      <c r="D304" s="1137"/>
      <c r="E304" s="1137"/>
      <c r="F304" s="1137"/>
      <c r="G304" s="1137">
        <v>149435</v>
      </c>
      <c r="H304" s="1137"/>
      <c r="I304" s="1137"/>
      <c r="J304" s="1137"/>
      <c r="K304" s="1137"/>
      <c r="L304" s="1137">
        <v>149435</v>
      </c>
      <c r="M304" s="1137"/>
      <c r="N304" s="1137"/>
      <c r="O304" s="1137"/>
      <c r="Q304" s="1239">
        <v>149435</v>
      </c>
    </row>
    <row r="305" spans="1:18" s="1071" customFormat="1" ht="12">
      <c r="A305" s="1138"/>
      <c r="B305" s="1139" t="s">
        <v>394</v>
      </c>
      <c r="C305" s="780"/>
      <c r="D305" s="780"/>
      <c r="E305" s="780"/>
      <c r="F305" s="780"/>
      <c r="G305" s="780">
        <v>120425</v>
      </c>
      <c r="H305" s="780"/>
      <c r="I305" s="780"/>
      <c r="J305" s="780"/>
      <c r="K305" s="780"/>
      <c r="L305" s="780">
        <v>120425</v>
      </c>
      <c r="M305" s="780"/>
      <c r="N305" s="780"/>
      <c r="O305" s="780"/>
      <c r="Q305" s="1239">
        <v>120425</v>
      </c>
    </row>
    <row r="306" spans="1:18" s="1071" customFormat="1" ht="52.8">
      <c r="A306" s="1133" t="s">
        <v>326</v>
      </c>
      <c r="B306" s="1134" t="s">
        <v>614</v>
      </c>
      <c r="C306" s="1135"/>
      <c r="D306" s="1135"/>
      <c r="E306" s="1135"/>
      <c r="F306" s="1135"/>
      <c r="G306" s="1135"/>
      <c r="H306" s="1135"/>
      <c r="I306" s="1135"/>
      <c r="J306" s="1135"/>
      <c r="K306" s="1135"/>
      <c r="L306" s="1135"/>
      <c r="M306" s="1135"/>
      <c r="N306" s="1135"/>
      <c r="O306" s="1135"/>
      <c r="P306" s="1135"/>
      <c r="Q306" s="1240"/>
      <c r="R306" s="1135"/>
    </row>
    <row r="307" spans="1:18" s="1071" customFormat="1" ht="12">
      <c r="A307" s="1125"/>
      <c r="B307" s="1126" t="s">
        <v>88</v>
      </c>
      <c r="C307" s="1096"/>
      <c r="D307" s="1096"/>
      <c r="E307" s="1096"/>
      <c r="F307" s="1096"/>
      <c r="G307" s="1096">
        <f>G308</f>
        <v>30000</v>
      </c>
      <c r="H307" s="1096"/>
      <c r="I307" s="1096"/>
      <c r="J307" s="1096"/>
      <c r="K307" s="1096"/>
      <c r="L307" s="1096">
        <f>L308</f>
        <v>30000</v>
      </c>
      <c r="M307" s="1096"/>
      <c r="N307" s="1096"/>
      <c r="O307" s="1096"/>
      <c r="Q307" s="1239">
        <f>Q308</f>
        <v>30000</v>
      </c>
    </row>
    <row r="308" spans="1:18" s="1071" customFormat="1" ht="12">
      <c r="A308" s="1127"/>
      <c r="B308" s="1128" t="s">
        <v>97</v>
      </c>
      <c r="C308" s="780"/>
      <c r="D308" s="780"/>
      <c r="E308" s="780"/>
      <c r="F308" s="780"/>
      <c r="G308" s="780">
        <f>G309</f>
        <v>30000</v>
      </c>
      <c r="H308" s="780"/>
      <c r="I308" s="780"/>
      <c r="J308" s="780"/>
      <c r="K308" s="780"/>
      <c r="L308" s="780">
        <f>L309</f>
        <v>30000</v>
      </c>
      <c r="M308" s="780"/>
      <c r="N308" s="780"/>
      <c r="O308" s="780"/>
      <c r="Q308" s="1239">
        <f>Q309</f>
        <v>30000</v>
      </c>
    </row>
    <row r="309" spans="1:18" s="1071" customFormat="1" ht="24">
      <c r="A309" s="1129"/>
      <c r="B309" s="1130" t="s">
        <v>98</v>
      </c>
      <c r="C309" s="780"/>
      <c r="D309" s="780"/>
      <c r="E309" s="780"/>
      <c r="F309" s="780"/>
      <c r="G309" s="780">
        <v>30000</v>
      </c>
      <c r="H309" s="780"/>
      <c r="I309" s="780"/>
      <c r="J309" s="780"/>
      <c r="K309" s="780"/>
      <c r="L309" s="780">
        <v>30000</v>
      </c>
      <c r="M309" s="780"/>
      <c r="N309" s="780"/>
      <c r="O309" s="780"/>
      <c r="Q309" s="1239">
        <v>30000</v>
      </c>
    </row>
    <row r="310" spans="1:18" s="1071" customFormat="1" ht="12">
      <c r="A310" s="1125"/>
      <c r="B310" s="1126" t="s">
        <v>392</v>
      </c>
      <c r="C310" s="1096"/>
      <c r="D310" s="1096"/>
      <c r="E310" s="1096"/>
      <c r="F310" s="1096"/>
      <c r="G310" s="1096">
        <f>G311</f>
        <v>30000</v>
      </c>
      <c r="H310" s="1096"/>
      <c r="I310" s="1096"/>
      <c r="J310" s="1096"/>
      <c r="K310" s="1096"/>
      <c r="L310" s="1096">
        <f>L311</f>
        <v>30000</v>
      </c>
      <c r="M310" s="1096"/>
      <c r="N310" s="1096"/>
      <c r="O310" s="1096"/>
      <c r="Q310" s="1239">
        <f>Q311</f>
        <v>30000</v>
      </c>
    </row>
    <row r="311" spans="1:18" s="1071" customFormat="1" ht="12">
      <c r="A311" s="1127"/>
      <c r="B311" s="1128" t="s">
        <v>103</v>
      </c>
      <c r="C311" s="780"/>
      <c r="D311" s="780"/>
      <c r="E311" s="780"/>
      <c r="F311" s="780"/>
      <c r="G311" s="780">
        <f>G312</f>
        <v>30000</v>
      </c>
      <c r="H311" s="780"/>
      <c r="I311" s="780"/>
      <c r="J311" s="780"/>
      <c r="K311" s="780"/>
      <c r="L311" s="780">
        <f>L312</f>
        <v>30000</v>
      </c>
      <c r="M311" s="780"/>
      <c r="N311" s="780"/>
      <c r="O311" s="780"/>
      <c r="Q311" s="1239">
        <f>Q312</f>
        <v>30000</v>
      </c>
    </row>
    <row r="312" spans="1:18" s="1071" customFormat="1" ht="12">
      <c r="A312" s="1129"/>
      <c r="B312" s="1130" t="s">
        <v>105</v>
      </c>
      <c r="C312" s="780"/>
      <c r="D312" s="780"/>
      <c r="E312" s="780"/>
      <c r="F312" s="780"/>
      <c r="G312" s="780">
        <f>G313</f>
        <v>30000</v>
      </c>
      <c r="H312" s="780"/>
      <c r="I312" s="780"/>
      <c r="J312" s="780"/>
      <c r="K312" s="780"/>
      <c r="L312" s="780">
        <f>L313</f>
        <v>30000</v>
      </c>
      <c r="M312" s="780"/>
      <c r="N312" s="780"/>
      <c r="O312" s="780"/>
      <c r="Q312" s="1239">
        <f>Q313</f>
        <v>30000</v>
      </c>
    </row>
    <row r="313" spans="1:18" s="1071" customFormat="1" ht="12">
      <c r="A313" s="1136"/>
      <c r="B313" s="779" t="s">
        <v>393</v>
      </c>
      <c r="C313" s="1137"/>
      <c r="D313" s="1137"/>
      <c r="E313" s="1137"/>
      <c r="F313" s="1137"/>
      <c r="G313" s="1137">
        <v>30000</v>
      </c>
      <c r="H313" s="1137"/>
      <c r="I313" s="1137"/>
      <c r="J313" s="1137"/>
      <c r="K313" s="1137"/>
      <c r="L313" s="1137">
        <v>30000</v>
      </c>
      <c r="M313" s="1137"/>
      <c r="N313" s="1137"/>
      <c r="O313" s="1137"/>
      <c r="Q313" s="1239">
        <v>30000</v>
      </c>
    </row>
    <row r="314" spans="1:18" s="1071" customFormat="1" ht="52.8">
      <c r="A314" s="1133" t="s">
        <v>327</v>
      </c>
      <c r="B314" s="1134" t="s">
        <v>615</v>
      </c>
      <c r="C314" s="1135"/>
      <c r="D314" s="1135"/>
      <c r="E314" s="1135"/>
      <c r="F314" s="1135"/>
      <c r="G314" s="1135"/>
      <c r="H314" s="1135"/>
      <c r="I314" s="1135"/>
      <c r="J314" s="1135"/>
      <c r="K314" s="1135"/>
      <c r="L314" s="1135"/>
      <c r="M314" s="1135"/>
      <c r="N314" s="1135"/>
      <c r="O314" s="1135"/>
      <c r="P314" s="1135"/>
      <c r="Q314" s="1240"/>
      <c r="R314" s="1135"/>
    </row>
    <row r="315" spans="1:18" s="1071" customFormat="1" ht="12">
      <c r="A315" s="1125"/>
      <c r="B315" s="1126" t="s">
        <v>88</v>
      </c>
      <c r="C315" s="1096"/>
      <c r="D315" s="1096"/>
      <c r="E315" s="1096"/>
      <c r="F315" s="1096"/>
      <c r="G315" s="1096">
        <f>G316</f>
        <v>20000</v>
      </c>
      <c r="H315" s="1096"/>
      <c r="I315" s="1096"/>
      <c r="J315" s="1096"/>
      <c r="K315" s="1096"/>
      <c r="L315" s="1096">
        <f>L316</f>
        <v>20000</v>
      </c>
      <c r="M315" s="1096"/>
      <c r="N315" s="1096"/>
      <c r="O315" s="1096"/>
      <c r="Q315" s="1239">
        <f>Q316</f>
        <v>20000</v>
      </c>
    </row>
    <row r="316" spans="1:18" s="1071" customFormat="1" ht="12">
      <c r="A316" s="1127"/>
      <c r="B316" s="1128" t="s">
        <v>97</v>
      </c>
      <c r="C316" s="780"/>
      <c r="D316" s="780"/>
      <c r="E316" s="780"/>
      <c r="F316" s="780"/>
      <c r="G316" s="780">
        <f>G317</f>
        <v>20000</v>
      </c>
      <c r="H316" s="780"/>
      <c r="I316" s="780"/>
      <c r="J316" s="780"/>
      <c r="K316" s="780"/>
      <c r="L316" s="780">
        <f>L317</f>
        <v>20000</v>
      </c>
      <c r="M316" s="780"/>
      <c r="N316" s="780"/>
      <c r="O316" s="780"/>
      <c r="Q316" s="1239">
        <f>Q317</f>
        <v>20000</v>
      </c>
    </row>
    <row r="317" spans="1:18" s="1071" customFormat="1" ht="24">
      <c r="A317" s="1129"/>
      <c r="B317" s="1130" t="s">
        <v>98</v>
      </c>
      <c r="C317" s="780"/>
      <c r="D317" s="780"/>
      <c r="E317" s="780"/>
      <c r="F317" s="780"/>
      <c r="G317" s="780">
        <v>20000</v>
      </c>
      <c r="H317" s="780"/>
      <c r="I317" s="780"/>
      <c r="J317" s="780"/>
      <c r="K317" s="780"/>
      <c r="L317" s="780">
        <v>20000</v>
      </c>
      <c r="M317" s="780"/>
      <c r="N317" s="780"/>
      <c r="O317" s="780"/>
      <c r="Q317" s="1239">
        <v>20000</v>
      </c>
    </row>
    <row r="318" spans="1:18" s="1071" customFormat="1" ht="12">
      <c r="A318" s="1125"/>
      <c r="B318" s="1126" t="s">
        <v>392</v>
      </c>
      <c r="C318" s="1096"/>
      <c r="D318" s="1096"/>
      <c r="E318" s="1096"/>
      <c r="F318" s="1096"/>
      <c r="G318" s="1096">
        <f>G319</f>
        <v>20000</v>
      </c>
      <c r="H318" s="1096"/>
      <c r="I318" s="1096"/>
      <c r="J318" s="1096"/>
      <c r="K318" s="1096"/>
      <c r="L318" s="1096">
        <f>L319</f>
        <v>20000</v>
      </c>
      <c r="M318" s="1096"/>
      <c r="N318" s="1096"/>
      <c r="O318" s="1096"/>
      <c r="Q318" s="1239">
        <f>Q319</f>
        <v>20000</v>
      </c>
    </row>
    <row r="319" spans="1:18" s="1071" customFormat="1" ht="12">
      <c r="A319" s="1127"/>
      <c r="B319" s="1128" t="s">
        <v>103</v>
      </c>
      <c r="C319" s="780"/>
      <c r="D319" s="780"/>
      <c r="E319" s="780"/>
      <c r="F319" s="780"/>
      <c r="G319" s="780">
        <f>G320</f>
        <v>20000</v>
      </c>
      <c r="H319" s="780"/>
      <c r="I319" s="780"/>
      <c r="J319" s="780"/>
      <c r="K319" s="780"/>
      <c r="L319" s="780">
        <f>L320</f>
        <v>20000</v>
      </c>
      <c r="M319" s="780"/>
      <c r="N319" s="780"/>
      <c r="O319" s="780"/>
      <c r="Q319" s="1239">
        <f>Q320</f>
        <v>20000</v>
      </c>
    </row>
    <row r="320" spans="1:18" s="1071" customFormat="1" ht="12">
      <c r="A320" s="1129"/>
      <c r="B320" s="1130" t="s">
        <v>105</v>
      </c>
      <c r="C320" s="780"/>
      <c r="D320" s="780"/>
      <c r="E320" s="780"/>
      <c r="F320" s="780"/>
      <c r="G320" s="780">
        <f>+G321</f>
        <v>20000</v>
      </c>
      <c r="H320" s="780"/>
      <c r="I320" s="780"/>
      <c r="J320" s="780"/>
      <c r="K320" s="780"/>
      <c r="L320" s="780">
        <f>L321</f>
        <v>20000</v>
      </c>
      <c r="M320" s="780"/>
      <c r="N320" s="780"/>
      <c r="O320" s="780"/>
      <c r="Q320" s="1239">
        <f>+Q321</f>
        <v>20000</v>
      </c>
    </row>
    <row r="321" spans="1:18" s="1071" customFormat="1" ht="13.2">
      <c r="A321" s="411"/>
      <c r="B321" s="475" t="s">
        <v>612</v>
      </c>
      <c r="C321" s="469"/>
      <c r="D321" s="470"/>
      <c r="E321" s="469"/>
      <c r="F321" s="470"/>
      <c r="G321" s="470">
        <v>20000</v>
      </c>
      <c r="H321" s="470"/>
      <c r="I321" s="470"/>
      <c r="J321" s="469"/>
      <c r="K321" s="470"/>
      <c r="L321" s="470">
        <v>20000</v>
      </c>
      <c r="M321" s="470"/>
      <c r="N321" s="470"/>
      <c r="O321" s="469"/>
      <c r="P321" s="470"/>
      <c r="Q321" s="1108">
        <v>20000</v>
      </c>
      <c r="R321" s="470"/>
    </row>
    <row r="322" spans="1:18" s="1071" customFormat="1" ht="12">
      <c r="A322" s="1121"/>
      <c r="B322" s="961"/>
      <c r="C322" s="1165"/>
      <c r="D322" s="1121"/>
      <c r="E322" s="469"/>
      <c r="F322" s="470"/>
      <c r="G322" s="470"/>
      <c r="H322" s="470"/>
      <c r="I322" s="470"/>
      <c r="J322" s="469"/>
      <c r="K322" s="470"/>
      <c r="L322" s="470"/>
      <c r="M322" s="470"/>
      <c r="N322" s="470"/>
      <c r="O322" s="469"/>
      <c r="P322" s="470"/>
      <c r="Q322" s="470"/>
      <c r="R322" s="470"/>
    </row>
    <row r="323" spans="1:18" s="1071" customFormat="1" ht="12">
      <c r="A323" s="1121"/>
      <c r="B323" s="961"/>
      <c r="C323" s="1165"/>
      <c r="D323" s="1121"/>
      <c r="E323" s="469"/>
      <c r="F323" s="470"/>
      <c r="G323" s="470"/>
      <c r="H323" s="470"/>
      <c r="I323" s="470"/>
      <c r="J323" s="469"/>
      <c r="K323" s="470"/>
      <c r="L323" s="470"/>
      <c r="M323" s="470"/>
      <c r="N323" s="470"/>
      <c r="O323" s="469"/>
      <c r="P323" s="470"/>
      <c r="Q323" s="470"/>
      <c r="R323" s="470"/>
    </row>
    <row r="324" spans="1:18" s="1071" customFormat="1" ht="12">
      <c r="A324" s="1121"/>
      <c r="B324" s="961"/>
      <c r="C324" s="1165"/>
      <c r="D324" s="1121"/>
      <c r="E324" s="469"/>
      <c r="F324" s="470"/>
      <c r="G324" s="470"/>
      <c r="H324" s="470"/>
      <c r="I324" s="470"/>
      <c r="J324" s="469"/>
      <c r="K324" s="470"/>
      <c r="L324" s="470"/>
      <c r="M324" s="470"/>
      <c r="N324" s="470"/>
      <c r="O324" s="469"/>
      <c r="P324" s="470"/>
      <c r="Q324" s="470"/>
      <c r="R324" s="470"/>
    </row>
    <row r="325" spans="1:18" s="1071" customFormat="1" ht="12">
      <c r="A325" s="1121"/>
      <c r="B325" s="961"/>
      <c r="C325" s="1165"/>
      <c r="D325" s="1121"/>
      <c r="E325" s="469"/>
      <c r="F325" s="470"/>
      <c r="G325" s="470"/>
      <c r="H325" s="470"/>
      <c r="I325" s="470"/>
      <c r="J325" s="469"/>
      <c r="K325" s="470"/>
      <c r="L325" s="470"/>
      <c r="M325" s="470"/>
      <c r="N325" s="470"/>
      <c r="O325" s="469"/>
      <c r="P325" s="470"/>
      <c r="Q325" s="470"/>
      <c r="R325" s="470"/>
    </row>
    <row r="326" spans="1:18" s="1071" customFormat="1" ht="12">
      <c r="A326" s="1121"/>
      <c r="B326" s="961"/>
      <c r="C326" s="1165"/>
      <c r="D326" s="1121"/>
      <c r="E326" s="469"/>
      <c r="F326" s="470"/>
      <c r="G326" s="470"/>
      <c r="H326" s="470"/>
      <c r="I326" s="470"/>
      <c r="J326" s="469"/>
      <c r="K326" s="470"/>
      <c r="L326" s="470"/>
      <c r="M326" s="470"/>
      <c r="N326" s="470"/>
      <c r="O326" s="469"/>
      <c r="P326" s="470"/>
      <c r="Q326" s="470"/>
      <c r="R326" s="470"/>
    </row>
    <row r="327" spans="1:18" s="1071" customFormat="1" ht="12">
      <c r="A327" s="1121"/>
      <c r="B327" s="961"/>
      <c r="C327" s="1165"/>
      <c r="D327" s="1121"/>
      <c r="E327" s="469"/>
      <c r="F327" s="470"/>
      <c r="G327" s="470"/>
      <c r="H327" s="470"/>
      <c r="I327" s="470"/>
      <c r="J327" s="469"/>
      <c r="K327" s="470"/>
      <c r="L327" s="470"/>
      <c r="M327" s="470"/>
      <c r="N327" s="470"/>
      <c r="O327" s="469"/>
      <c r="P327" s="470"/>
      <c r="Q327" s="470"/>
      <c r="R327" s="470"/>
    </row>
    <row r="328" spans="1:18" s="1071" customFormat="1" ht="12">
      <c r="A328" s="1121"/>
      <c r="B328" s="961"/>
      <c r="C328" s="1165"/>
      <c r="D328" s="1121"/>
      <c r="E328" s="469"/>
      <c r="F328" s="470"/>
      <c r="G328" s="470"/>
      <c r="H328" s="470"/>
      <c r="I328" s="470"/>
      <c r="J328" s="469"/>
      <c r="K328" s="470"/>
      <c r="L328" s="470"/>
      <c r="M328" s="470"/>
      <c r="N328" s="470"/>
      <c r="O328" s="469"/>
      <c r="P328" s="470"/>
      <c r="Q328" s="470"/>
      <c r="R328" s="470"/>
    </row>
    <row r="329" spans="1:18" s="1071" customFormat="1" ht="12">
      <c r="A329" s="1121"/>
      <c r="B329" s="961"/>
      <c r="C329" s="1165"/>
      <c r="D329" s="1121"/>
      <c r="E329" s="469"/>
      <c r="F329" s="470"/>
      <c r="G329" s="470"/>
      <c r="H329" s="470"/>
      <c r="I329" s="470"/>
      <c r="J329" s="469"/>
      <c r="K329" s="470"/>
      <c r="L329" s="470"/>
      <c r="M329" s="470"/>
      <c r="N329" s="470"/>
      <c r="O329" s="469"/>
      <c r="P329" s="470"/>
      <c r="Q329" s="470"/>
      <c r="R329" s="470"/>
    </row>
    <row r="330" spans="1:18" s="1071" customFormat="1" ht="12">
      <c r="A330" s="1121"/>
      <c r="B330" s="961"/>
      <c r="C330" s="1165"/>
      <c r="D330" s="1121"/>
      <c r="E330" s="469"/>
      <c r="F330" s="470"/>
      <c r="G330" s="470"/>
      <c r="H330" s="470"/>
      <c r="I330" s="470"/>
      <c r="J330" s="469"/>
      <c r="K330" s="470"/>
      <c r="L330" s="470"/>
      <c r="M330" s="470"/>
      <c r="N330" s="470"/>
      <c r="O330" s="469"/>
      <c r="P330" s="470"/>
      <c r="Q330" s="470"/>
      <c r="R330" s="470"/>
    </row>
    <row r="331" spans="1:18" s="1071" customFormat="1" ht="12">
      <c r="A331" s="1121"/>
      <c r="B331" s="961"/>
      <c r="C331" s="1165"/>
      <c r="D331" s="1121"/>
      <c r="E331" s="469"/>
      <c r="F331" s="470"/>
      <c r="G331" s="470"/>
      <c r="H331" s="470"/>
      <c r="I331" s="470"/>
      <c r="J331" s="469"/>
      <c r="K331" s="470"/>
      <c r="L331" s="470"/>
      <c r="M331" s="470"/>
      <c r="N331" s="470"/>
      <c r="O331" s="469"/>
      <c r="P331" s="470"/>
      <c r="Q331" s="470"/>
      <c r="R331" s="470"/>
    </row>
    <row r="332" spans="1:18" s="1071" customFormat="1" ht="12">
      <c r="A332" s="1121"/>
      <c r="B332" s="961"/>
      <c r="C332" s="1165"/>
      <c r="D332" s="1121"/>
      <c r="E332" s="469"/>
      <c r="F332" s="470"/>
      <c r="G332" s="470"/>
      <c r="H332" s="470"/>
      <c r="I332" s="470"/>
      <c r="J332" s="469"/>
      <c r="K332" s="470"/>
      <c r="L332" s="470"/>
      <c r="M332" s="470"/>
      <c r="N332" s="470"/>
      <c r="O332" s="469"/>
      <c r="P332" s="470"/>
      <c r="Q332" s="470"/>
      <c r="R332" s="470"/>
    </row>
    <row r="333" spans="1:18" s="1071" customFormat="1" ht="12">
      <c r="A333" s="1121"/>
      <c r="B333" s="961"/>
      <c r="C333" s="1165"/>
      <c r="D333" s="1121"/>
      <c r="E333" s="469"/>
      <c r="F333" s="470"/>
      <c r="G333" s="470"/>
      <c r="H333" s="470"/>
      <c r="I333" s="470"/>
      <c r="J333" s="469"/>
      <c r="K333" s="470"/>
      <c r="L333" s="470"/>
      <c r="M333" s="470"/>
      <c r="N333" s="470"/>
      <c r="O333" s="469"/>
      <c r="P333" s="470"/>
      <c r="Q333" s="470"/>
      <c r="R333" s="470"/>
    </row>
    <row r="334" spans="1:18" s="1071" customFormat="1" ht="12">
      <c r="A334" s="1121"/>
      <c r="B334" s="961"/>
      <c r="C334" s="1165"/>
      <c r="D334" s="1121"/>
      <c r="E334" s="469"/>
      <c r="F334" s="470"/>
      <c r="G334" s="470"/>
      <c r="H334" s="470"/>
      <c r="I334" s="470"/>
      <c r="J334" s="469"/>
      <c r="K334" s="470"/>
      <c r="L334" s="470"/>
      <c r="M334" s="470"/>
      <c r="N334" s="470"/>
      <c r="O334" s="469"/>
      <c r="P334" s="470"/>
      <c r="Q334" s="470"/>
      <c r="R334" s="470"/>
    </row>
    <row r="335" spans="1:18" s="1071" customFormat="1" ht="12">
      <c r="A335" s="1121"/>
      <c r="B335" s="961"/>
      <c r="C335" s="1165"/>
      <c r="D335" s="1121"/>
      <c r="E335" s="469"/>
      <c r="F335" s="470"/>
      <c r="G335" s="470"/>
      <c r="H335" s="470"/>
      <c r="I335" s="470"/>
      <c r="J335" s="469"/>
      <c r="K335" s="470"/>
      <c r="L335" s="470"/>
      <c r="M335" s="470"/>
      <c r="N335" s="470"/>
      <c r="O335" s="469"/>
      <c r="P335" s="470"/>
      <c r="Q335" s="470"/>
      <c r="R335" s="470"/>
    </row>
    <row r="336" spans="1:18" s="1071" customFormat="1" ht="12">
      <c r="A336" s="1121"/>
      <c r="B336" s="961"/>
      <c r="C336" s="1165"/>
      <c r="D336" s="1121"/>
      <c r="E336" s="469"/>
      <c r="F336" s="470"/>
      <c r="G336" s="470"/>
      <c r="H336" s="470"/>
      <c r="I336" s="470"/>
      <c r="J336" s="469"/>
      <c r="K336" s="470"/>
      <c r="L336" s="470"/>
      <c r="M336" s="470"/>
      <c r="N336" s="470"/>
      <c r="O336" s="469"/>
      <c r="P336" s="470"/>
      <c r="Q336" s="470"/>
      <c r="R336" s="470"/>
    </row>
    <row r="337" spans="1:18" s="1071" customFormat="1" ht="12">
      <c r="A337" s="1121"/>
      <c r="B337" s="961"/>
      <c r="C337" s="1165"/>
      <c r="D337" s="1121"/>
      <c r="E337" s="469"/>
      <c r="F337" s="470"/>
      <c r="G337" s="470"/>
      <c r="H337" s="470"/>
      <c r="I337" s="470"/>
      <c r="J337" s="469"/>
      <c r="K337" s="470"/>
      <c r="L337" s="470"/>
      <c r="M337" s="470"/>
      <c r="N337" s="470"/>
      <c r="O337" s="469"/>
      <c r="P337" s="470"/>
      <c r="Q337" s="470"/>
      <c r="R337" s="470"/>
    </row>
    <row r="338" spans="1:18" s="1071" customFormat="1" ht="12">
      <c r="A338" s="1121"/>
      <c r="B338" s="961"/>
      <c r="C338" s="1165"/>
      <c r="D338" s="1121"/>
      <c r="E338" s="469"/>
      <c r="F338" s="470"/>
      <c r="G338" s="470"/>
      <c r="H338" s="470"/>
      <c r="I338" s="470"/>
      <c r="J338" s="469"/>
      <c r="K338" s="470"/>
      <c r="L338" s="470"/>
      <c r="M338" s="470"/>
      <c r="N338" s="470"/>
      <c r="O338" s="469"/>
      <c r="P338" s="470"/>
      <c r="Q338" s="470"/>
      <c r="R338" s="470"/>
    </row>
    <row r="339" spans="1:18" s="1071" customFormat="1" ht="12">
      <c r="A339" s="1121"/>
      <c r="B339" s="961"/>
      <c r="C339" s="1165"/>
      <c r="D339" s="1121"/>
      <c r="E339" s="469"/>
      <c r="F339" s="470"/>
      <c r="G339" s="470"/>
      <c r="H339" s="470"/>
      <c r="I339" s="470"/>
      <c r="J339" s="469"/>
      <c r="K339" s="470"/>
      <c r="L339" s="470"/>
      <c r="M339" s="470"/>
      <c r="N339" s="470"/>
      <c r="O339" s="469"/>
      <c r="P339" s="470"/>
      <c r="Q339" s="470"/>
      <c r="R339" s="470"/>
    </row>
    <row r="340" spans="1:18" s="1071" customFormat="1" ht="12">
      <c r="A340" s="1121"/>
      <c r="B340" s="961"/>
      <c r="C340" s="1165"/>
      <c r="D340" s="1121"/>
      <c r="E340" s="469"/>
      <c r="F340" s="470"/>
      <c r="G340" s="470"/>
      <c r="H340" s="470"/>
      <c r="I340" s="470"/>
      <c r="J340" s="469"/>
      <c r="K340" s="470"/>
      <c r="L340" s="470"/>
      <c r="M340" s="470"/>
      <c r="N340" s="470"/>
      <c r="O340" s="469"/>
      <c r="P340" s="470"/>
      <c r="Q340" s="470"/>
      <c r="R340" s="470"/>
    </row>
    <row r="341" spans="1:18" s="1071" customFormat="1" ht="12">
      <c r="A341" s="1121"/>
      <c r="B341" s="961"/>
      <c r="C341" s="1165"/>
      <c r="D341" s="1121"/>
      <c r="E341" s="469"/>
      <c r="F341" s="470"/>
      <c r="G341" s="470"/>
      <c r="H341" s="470"/>
      <c r="I341" s="470"/>
      <c r="J341" s="469"/>
      <c r="K341" s="470"/>
      <c r="L341" s="470"/>
      <c r="M341" s="470"/>
      <c r="N341" s="470"/>
      <c r="O341" s="469"/>
      <c r="P341" s="470"/>
      <c r="Q341" s="470"/>
      <c r="R341" s="470"/>
    </row>
    <row r="342" spans="1:18" s="1071" customFormat="1" ht="12">
      <c r="A342" s="1121"/>
      <c r="B342" s="961"/>
      <c r="C342" s="1165"/>
      <c r="D342" s="1121"/>
      <c r="E342" s="469"/>
      <c r="F342" s="470"/>
      <c r="G342" s="470"/>
      <c r="H342" s="470"/>
      <c r="I342" s="470"/>
      <c r="J342" s="469"/>
      <c r="K342" s="470"/>
      <c r="L342" s="470"/>
      <c r="M342" s="470"/>
      <c r="N342" s="470"/>
      <c r="O342" s="469"/>
      <c r="P342" s="470"/>
      <c r="Q342" s="470"/>
      <c r="R342" s="470"/>
    </row>
    <row r="343" spans="1:18" s="1071" customFormat="1" ht="12">
      <c r="A343" s="1121"/>
      <c r="B343" s="961"/>
      <c r="C343" s="1165"/>
      <c r="D343" s="1121"/>
      <c r="E343" s="469"/>
      <c r="F343" s="470"/>
      <c r="G343" s="470"/>
      <c r="H343" s="470"/>
      <c r="I343" s="470"/>
      <c r="J343" s="469"/>
      <c r="K343" s="470"/>
      <c r="L343" s="470"/>
      <c r="M343" s="470"/>
      <c r="N343" s="470"/>
      <c r="O343" s="469"/>
      <c r="P343" s="470"/>
      <c r="Q343" s="470"/>
      <c r="R343" s="470"/>
    </row>
    <row r="344" spans="1:18" s="1071" customFormat="1" ht="12">
      <c r="A344" s="1121"/>
      <c r="B344" s="961"/>
      <c r="C344" s="1165"/>
      <c r="D344" s="1121"/>
      <c r="E344" s="469"/>
      <c r="F344" s="470"/>
      <c r="G344" s="470"/>
      <c r="H344" s="470"/>
      <c r="I344" s="470"/>
      <c r="J344" s="469"/>
      <c r="K344" s="470"/>
      <c r="L344" s="470"/>
      <c r="M344" s="470"/>
      <c r="N344" s="470"/>
      <c r="O344" s="469"/>
      <c r="P344" s="470"/>
      <c r="Q344" s="470"/>
      <c r="R344" s="470"/>
    </row>
    <row r="345" spans="1:18" s="1071" customFormat="1" ht="12">
      <c r="A345" s="1121"/>
      <c r="B345" s="961"/>
      <c r="C345" s="1165"/>
      <c r="D345" s="1121"/>
      <c r="E345" s="469"/>
      <c r="F345" s="470"/>
      <c r="G345" s="470"/>
      <c r="H345" s="470"/>
      <c r="I345" s="470"/>
      <c r="J345" s="469"/>
      <c r="K345" s="470"/>
      <c r="L345" s="470"/>
      <c r="M345" s="470"/>
      <c r="N345" s="470"/>
      <c r="O345" s="469"/>
      <c r="P345" s="470"/>
      <c r="Q345" s="470"/>
      <c r="R345" s="470"/>
    </row>
    <row r="346" spans="1:18" s="1071" customFormat="1" ht="12">
      <c r="A346" s="1121"/>
      <c r="B346" s="961"/>
      <c r="C346" s="1165"/>
      <c r="D346" s="1121"/>
      <c r="E346" s="469"/>
      <c r="F346" s="470"/>
      <c r="G346" s="470"/>
      <c r="H346" s="470"/>
      <c r="I346" s="470"/>
      <c r="J346" s="469"/>
      <c r="K346" s="470"/>
      <c r="L346" s="470"/>
      <c r="M346" s="470"/>
      <c r="N346" s="470"/>
      <c r="O346" s="469"/>
      <c r="P346" s="470"/>
      <c r="Q346" s="470"/>
      <c r="R346" s="470"/>
    </row>
    <row r="347" spans="1:18" s="1071" customFormat="1" ht="12">
      <c r="A347" s="1121"/>
      <c r="B347" s="961"/>
      <c r="C347" s="1165"/>
      <c r="D347" s="1121"/>
      <c r="E347" s="469"/>
      <c r="F347" s="470"/>
      <c r="G347" s="470"/>
      <c r="H347" s="470"/>
      <c r="I347" s="470"/>
      <c r="J347" s="469"/>
      <c r="K347" s="470"/>
      <c r="L347" s="470"/>
      <c r="M347" s="470"/>
      <c r="N347" s="470"/>
      <c r="O347" s="469"/>
      <c r="P347" s="470"/>
      <c r="Q347" s="470"/>
      <c r="R347" s="470"/>
    </row>
    <row r="348" spans="1:18" s="1071" customFormat="1" ht="12">
      <c r="A348" s="1121"/>
      <c r="B348" s="961"/>
      <c r="C348" s="1165"/>
      <c r="D348" s="1121"/>
      <c r="E348" s="469"/>
      <c r="F348" s="470"/>
      <c r="G348" s="470"/>
      <c r="H348" s="470"/>
      <c r="I348" s="470"/>
      <c r="J348" s="469"/>
      <c r="K348" s="470"/>
      <c r="L348" s="470"/>
      <c r="M348" s="470"/>
      <c r="N348" s="470"/>
      <c r="O348" s="469"/>
      <c r="P348" s="470"/>
      <c r="Q348" s="470"/>
      <c r="R348" s="470"/>
    </row>
    <row r="349" spans="1:18" s="1071" customFormat="1" ht="12">
      <c r="A349" s="1121"/>
      <c r="B349" s="961"/>
      <c r="C349" s="1165"/>
      <c r="D349" s="1121"/>
      <c r="E349" s="469"/>
      <c r="F349" s="470"/>
      <c r="G349" s="470"/>
      <c r="H349" s="470"/>
      <c r="I349" s="470"/>
      <c r="J349" s="469"/>
      <c r="K349" s="470"/>
      <c r="L349" s="470"/>
      <c r="M349" s="470"/>
      <c r="N349" s="470"/>
      <c r="O349" s="469"/>
      <c r="P349" s="470"/>
      <c r="Q349" s="470"/>
      <c r="R349" s="470"/>
    </row>
    <row r="350" spans="1:18" s="1071" customFormat="1" ht="12">
      <c r="A350" s="1121"/>
      <c r="B350" s="961"/>
      <c r="C350" s="1165"/>
      <c r="D350" s="1121"/>
      <c r="E350" s="469"/>
      <c r="F350" s="470"/>
      <c r="G350" s="470"/>
      <c r="H350" s="470"/>
      <c r="I350" s="470"/>
      <c r="J350" s="469"/>
      <c r="K350" s="470"/>
      <c r="L350" s="470"/>
      <c r="M350" s="470"/>
      <c r="N350" s="470"/>
      <c r="O350" s="469"/>
      <c r="P350" s="470"/>
      <c r="Q350" s="470"/>
      <c r="R350" s="470"/>
    </row>
    <row r="351" spans="1:18" s="1071" customFormat="1" ht="12">
      <c r="A351" s="1121"/>
      <c r="B351" s="961"/>
      <c r="C351" s="1165"/>
      <c r="D351" s="1121"/>
      <c r="E351" s="469"/>
      <c r="F351" s="470"/>
      <c r="G351" s="470"/>
      <c r="H351" s="470"/>
      <c r="I351" s="470"/>
      <c r="J351" s="469"/>
      <c r="K351" s="470"/>
      <c r="L351" s="470"/>
      <c r="M351" s="470"/>
      <c r="N351" s="470"/>
      <c r="O351" s="469"/>
      <c r="P351" s="470"/>
      <c r="Q351" s="470"/>
      <c r="R351" s="470"/>
    </row>
    <row r="352" spans="1:18" s="1071" customFormat="1" ht="12">
      <c r="A352" s="1121"/>
      <c r="B352" s="961"/>
      <c r="C352" s="1165"/>
      <c r="D352" s="1121"/>
      <c r="E352" s="469"/>
      <c r="F352" s="470"/>
      <c r="G352" s="470"/>
      <c r="H352" s="470"/>
      <c r="I352" s="470"/>
      <c r="J352" s="469"/>
      <c r="K352" s="470"/>
      <c r="L352" s="470"/>
      <c r="M352" s="470"/>
      <c r="N352" s="470"/>
      <c r="O352" s="469"/>
      <c r="P352" s="470"/>
      <c r="Q352" s="470"/>
      <c r="R352" s="470"/>
    </row>
    <row r="353" spans="1:18" s="1071" customFormat="1" ht="12">
      <c r="A353" s="1121"/>
      <c r="B353" s="961"/>
      <c r="C353" s="1165"/>
      <c r="D353" s="1121"/>
      <c r="E353" s="469"/>
      <c r="F353" s="470"/>
      <c r="G353" s="470"/>
      <c r="H353" s="470"/>
      <c r="I353" s="470"/>
      <c r="J353" s="469"/>
      <c r="K353" s="470"/>
      <c r="L353" s="470"/>
      <c r="M353" s="470"/>
      <c r="N353" s="470"/>
      <c r="O353" s="469"/>
      <c r="P353" s="470"/>
      <c r="Q353" s="470"/>
      <c r="R353" s="470"/>
    </row>
    <row r="354" spans="1:18" s="1071" customFormat="1" ht="12">
      <c r="A354" s="1121"/>
      <c r="B354" s="961"/>
      <c r="C354" s="1165"/>
      <c r="D354" s="1121"/>
      <c r="E354" s="469"/>
      <c r="F354" s="470"/>
      <c r="G354" s="470"/>
      <c r="H354" s="470"/>
      <c r="I354" s="470"/>
      <c r="J354" s="469"/>
      <c r="K354" s="470"/>
      <c r="L354" s="470"/>
      <c r="M354" s="470"/>
      <c r="N354" s="470"/>
      <c r="O354" s="469"/>
      <c r="P354" s="470"/>
      <c r="Q354" s="470"/>
      <c r="R354" s="470"/>
    </row>
    <row r="355" spans="1:18" s="1071" customFormat="1" ht="12">
      <c r="A355" s="1121"/>
      <c r="B355" s="961"/>
      <c r="C355" s="1165"/>
      <c r="D355" s="1121"/>
      <c r="E355" s="469"/>
      <c r="F355" s="470"/>
      <c r="G355" s="470"/>
      <c r="H355" s="470"/>
      <c r="I355" s="470"/>
      <c r="J355" s="469"/>
      <c r="K355" s="470"/>
      <c r="L355" s="470"/>
      <c r="M355" s="470"/>
      <c r="N355" s="470"/>
      <c r="O355" s="469"/>
      <c r="P355" s="470"/>
      <c r="Q355" s="470"/>
      <c r="R355" s="470"/>
    </row>
    <row r="356" spans="1:18" s="1071" customFormat="1" ht="12">
      <c r="A356" s="1121"/>
      <c r="B356" s="961"/>
      <c r="C356" s="1165"/>
      <c r="D356" s="1121"/>
      <c r="E356" s="469"/>
      <c r="F356" s="470"/>
      <c r="G356" s="470"/>
      <c r="H356" s="470"/>
      <c r="I356" s="470"/>
      <c r="J356" s="469"/>
      <c r="K356" s="470"/>
      <c r="L356" s="470"/>
      <c r="M356" s="470"/>
      <c r="N356" s="470"/>
      <c r="O356" s="469"/>
      <c r="P356" s="470"/>
      <c r="Q356" s="470"/>
      <c r="R356" s="470"/>
    </row>
    <row r="357" spans="1:18" s="1071" customFormat="1" ht="12">
      <c r="A357" s="1121"/>
      <c r="B357" s="961"/>
      <c r="C357" s="1165"/>
      <c r="D357" s="1121"/>
      <c r="E357" s="469"/>
      <c r="F357" s="470"/>
      <c r="G357" s="470"/>
      <c r="H357" s="470"/>
      <c r="I357" s="470"/>
      <c r="J357" s="469"/>
      <c r="K357" s="470"/>
      <c r="L357" s="470"/>
      <c r="M357" s="470"/>
      <c r="N357" s="470"/>
      <c r="O357" s="469"/>
      <c r="P357" s="470"/>
      <c r="Q357" s="470"/>
      <c r="R357" s="470"/>
    </row>
    <row r="358" spans="1:18" s="1071" customFormat="1" ht="12">
      <c r="A358" s="1121"/>
      <c r="B358" s="961"/>
      <c r="C358" s="1165"/>
      <c r="D358" s="1121"/>
      <c r="E358" s="469"/>
      <c r="F358" s="470"/>
      <c r="G358" s="470"/>
      <c r="H358" s="470"/>
      <c r="I358" s="470"/>
      <c r="J358" s="469"/>
      <c r="K358" s="470"/>
      <c r="L358" s="470"/>
      <c r="M358" s="470"/>
      <c r="N358" s="470"/>
      <c r="O358" s="469"/>
      <c r="P358" s="470"/>
      <c r="Q358" s="470"/>
      <c r="R358" s="470"/>
    </row>
    <row r="359" spans="1:18" s="1071" customFormat="1" ht="12">
      <c r="A359" s="1121"/>
      <c r="B359" s="961"/>
      <c r="C359" s="1165"/>
      <c r="D359" s="1121"/>
      <c r="E359" s="469"/>
      <c r="F359" s="470"/>
      <c r="G359" s="470"/>
      <c r="H359" s="470"/>
      <c r="I359" s="470"/>
      <c r="J359" s="469"/>
      <c r="K359" s="470"/>
      <c r="L359" s="470"/>
      <c r="M359" s="470"/>
      <c r="N359" s="470"/>
      <c r="O359" s="469"/>
      <c r="P359" s="470"/>
      <c r="Q359" s="470"/>
      <c r="R359" s="470"/>
    </row>
    <row r="360" spans="1:18" s="1071" customFormat="1" ht="12">
      <c r="A360" s="1121"/>
      <c r="B360" s="961"/>
      <c r="C360" s="1165"/>
      <c r="D360" s="1121"/>
      <c r="E360" s="469"/>
      <c r="F360" s="470"/>
      <c r="G360" s="470"/>
      <c r="H360" s="470"/>
      <c r="I360" s="470"/>
      <c r="J360" s="469"/>
      <c r="K360" s="470"/>
      <c r="L360" s="470"/>
      <c r="M360" s="470"/>
      <c r="N360" s="470"/>
      <c r="O360" s="469"/>
      <c r="P360" s="470"/>
      <c r="Q360" s="470"/>
      <c r="R360" s="470"/>
    </row>
    <row r="361" spans="1:18" s="1071" customFormat="1" ht="12">
      <c r="A361" s="1121"/>
      <c r="B361" s="961"/>
      <c r="C361" s="1165"/>
      <c r="D361" s="1121"/>
      <c r="E361" s="469"/>
      <c r="F361" s="470"/>
      <c r="G361" s="470"/>
      <c r="H361" s="470"/>
      <c r="I361" s="470"/>
      <c r="J361" s="469"/>
      <c r="K361" s="470"/>
      <c r="L361" s="470"/>
      <c r="M361" s="470"/>
      <c r="N361" s="470"/>
      <c r="O361" s="469"/>
      <c r="P361" s="470"/>
      <c r="Q361" s="470"/>
      <c r="R361" s="470"/>
    </row>
    <row r="362" spans="1:18" s="1071" customFormat="1" ht="12">
      <c r="A362" s="1121"/>
      <c r="B362" s="961"/>
      <c r="C362" s="1165"/>
      <c r="D362" s="1121"/>
      <c r="E362" s="469"/>
      <c r="F362" s="470"/>
      <c r="G362" s="470"/>
      <c r="H362" s="470"/>
      <c r="I362" s="470"/>
      <c r="J362" s="469"/>
      <c r="K362" s="470"/>
      <c r="L362" s="470"/>
      <c r="M362" s="470"/>
      <c r="N362" s="470"/>
      <c r="O362" s="469"/>
      <c r="P362" s="470"/>
      <c r="Q362" s="470"/>
      <c r="R362" s="470"/>
    </row>
    <row r="363" spans="1:18" s="1071" customFormat="1" ht="12">
      <c r="A363" s="1121"/>
      <c r="B363" s="961"/>
      <c r="C363" s="1165"/>
      <c r="D363" s="1121"/>
      <c r="E363" s="469"/>
      <c r="F363" s="470"/>
      <c r="G363" s="470"/>
      <c r="H363" s="470"/>
      <c r="I363" s="470"/>
      <c r="J363" s="469"/>
      <c r="K363" s="470"/>
      <c r="L363" s="470"/>
      <c r="M363" s="470"/>
      <c r="N363" s="470"/>
      <c r="O363" s="469"/>
      <c r="P363" s="470"/>
      <c r="Q363" s="470"/>
      <c r="R363" s="470"/>
    </row>
    <row r="364" spans="1:18" s="1071" customFormat="1" ht="12">
      <c r="A364" s="1121"/>
      <c r="B364" s="961"/>
      <c r="C364" s="1165"/>
      <c r="D364" s="1121"/>
      <c r="E364" s="469"/>
      <c r="F364" s="470"/>
      <c r="G364" s="470"/>
      <c r="H364" s="470"/>
      <c r="I364" s="470"/>
      <c r="J364" s="469"/>
      <c r="K364" s="470"/>
      <c r="L364" s="470"/>
      <c r="M364" s="470"/>
      <c r="N364" s="470"/>
      <c r="O364" s="469"/>
      <c r="P364" s="470"/>
      <c r="Q364" s="470"/>
      <c r="R364" s="470"/>
    </row>
    <row r="365" spans="1:18" ht="12">
      <c r="A365" s="33"/>
      <c r="B365" s="34"/>
      <c r="C365" s="35"/>
      <c r="D365" s="33"/>
      <c r="E365" s="165"/>
      <c r="F365" s="163"/>
      <c r="G365" s="163"/>
      <c r="H365" s="163"/>
      <c r="I365" s="163"/>
      <c r="J365" s="165"/>
      <c r="K365" s="163"/>
      <c r="L365" s="163"/>
      <c r="M365" s="163"/>
      <c r="N365" s="163"/>
      <c r="O365" s="165"/>
      <c r="P365" s="163"/>
      <c r="Q365" s="163"/>
      <c r="R365" s="163"/>
    </row>
    <row r="366" spans="1:18" ht="12">
      <c r="A366" s="33"/>
      <c r="B366" s="34"/>
      <c r="C366" s="35"/>
      <c r="D366" s="33"/>
      <c r="E366" s="165"/>
      <c r="F366" s="163"/>
      <c r="G366" s="163"/>
      <c r="H366" s="163"/>
      <c r="I366" s="163"/>
      <c r="J366" s="165"/>
      <c r="K366" s="163"/>
      <c r="L366" s="163"/>
      <c r="M366" s="163"/>
      <c r="N366" s="163"/>
      <c r="O366" s="165"/>
      <c r="P366" s="163"/>
      <c r="Q366" s="163"/>
      <c r="R366" s="163"/>
    </row>
    <row r="367" spans="1:18" ht="12">
      <c r="A367" s="33"/>
      <c r="B367" s="34"/>
      <c r="C367" s="35"/>
      <c r="D367" s="33"/>
      <c r="E367" s="165"/>
      <c r="F367" s="163"/>
      <c r="G367" s="163"/>
      <c r="H367" s="163"/>
      <c r="I367" s="163"/>
      <c r="J367" s="165"/>
      <c r="K367" s="163"/>
      <c r="L367" s="163"/>
      <c r="M367" s="163"/>
      <c r="N367" s="163"/>
      <c r="O367" s="165"/>
      <c r="P367" s="163"/>
      <c r="Q367" s="163"/>
      <c r="R367" s="163"/>
    </row>
    <row r="368" spans="1:18" ht="12">
      <c r="A368" s="33"/>
      <c r="B368" s="34"/>
      <c r="C368" s="35"/>
      <c r="D368" s="33"/>
      <c r="E368" s="165"/>
      <c r="F368" s="163"/>
      <c r="G368" s="163"/>
      <c r="H368" s="163"/>
      <c r="I368" s="163"/>
      <c r="J368" s="165"/>
      <c r="K368" s="163"/>
      <c r="L368" s="163"/>
      <c r="M368" s="163"/>
      <c r="N368" s="163"/>
      <c r="O368" s="165"/>
      <c r="P368" s="163"/>
      <c r="Q368" s="163"/>
      <c r="R368" s="163"/>
    </row>
    <row r="369" spans="1:18" ht="12">
      <c r="A369" s="33"/>
      <c r="B369" s="34"/>
      <c r="C369" s="35"/>
      <c r="D369" s="33"/>
      <c r="E369" s="165"/>
      <c r="F369" s="163"/>
      <c r="G369" s="163"/>
      <c r="H369" s="163"/>
      <c r="I369" s="163"/>
      <c r="J369" s="165"/>
      <c r="K369" s="163"/>
      <c r="L369" s="163"/>
      <c r="M369" s="163"/>
      <c r="N369" s="163"/>
      <c r="O369" s="165"/>
      <c r="P369" s="163"/>
      <c r="Q369" s="163"/>
      <c r="R369" s="163"/>
    </row>
    <row r="370" spans="1:18" ht="12">
      <c r="A370" s="33"/>
      <c r="B370" s="34"/>
      <c r="C370" s="35"/>
      <c r="D370" s="33"/>
      <c r="E370" s="165"/>
      <c r="F370" s="163"/>
      <c r="G370" s="163"/>
      <c r="H370" s="163"/>
      <c r="I370" s="163"/>
      <c r="J370" s="165"/>
      <c r="K370" s="163"/>
      <c r="L370" s="163"/>
      <c r="M370" s="163"/>
      <c r="N370" s="163"/>
      <c r="O370" s="165"/>
      <c r="P370" s="163"/>
      <c r="Q370" s="163"/>
      <c r="R370" s="163"/>
    </row>
    <row r="371" spans="1:18" ht="12">
      <c r="A371" s="33"/>
      <c r="B371" s="34"/>
      <c r="C371" s="35"/>
      <c r="D371" s="33"/>
      <c r="E371" s="165"/>
      <c r="F371" s="163"/>
      <c r="G371" s="163"/>
      <c r="H371" s="163"/>
      <c r="I371" s="163"/>
      <c r="J371" s="165"/>
      <c r="K371" s="163"/>
      <c r="L371" s="163"/>
      <c r="M371" s="163"/>
      <c r="N371" s="163"/>
      <c r="O371" s="165"/>
      <c r="P371" s="163"/>
      <c r="Q371" s="163"/>
      <c r="R371" s="163"/>
    </row>
    <row r="372" spans="1:18" ht="12">
      <c r="A372" s="33"/>
      <c r="B372" s="34"/>
      <c r="C372" s="35"/>
      <c r="D372" s="33"/>
      <c r="E372" s="165"/>
      <c r="F372" s="163"/>
      <c r="G372" s="163"/>
      <c r="H372" s="163"/>
      <c r="I372" s="163"/>
      <c r="J372" s="165"/>
      <c r="K372" s="163"/>
      <c r="L372" s="163"/>
      <c r="M372" s="163"/>
      <c r="N372" s="163"/>
      <c r="O372" s="165"/>
      <c r="P372" s="163"/>
      <c r="Q372" s="163"/>
      <c r="R372" s="163"/>
    </row>
    <row r="373" spans="1:18" ht="12">
      <c r="A373" s="33"/>
      <c r="B373" s="34"/>
      <c r="C373" s="35"/>
      <c r="D373" s="33"/>
      <c r="E373" s="165"/>
      <c r="F373" s="163"/>
      <c r="G373" s="163"/>
      <c r="H373" s="163"/>
      <c r="I373" s="163"/>
      <c r="J373" s="165"/>
      <c r="K373" s="163"/>
      <c r="L373" s="163"/>
      <c r="M373" s="163"/>
      <c r="N373" s="163"/>
      <c r="O373" s="165"/>
      <c r="P373" s="163"/>
      <c r="Q373" s="163"/>
      <c r="R373" s="163"/>
    </row>
    <row r="374" spans="1:18" ht="12">
      <c r="A374" s="33"/>
      <c r="B374" s="34"/>
      <c r="C374" s="35"/>
      <c r="D374" s="33"/>
      <c r="E374" s="165"/>
      <c r="F374" s="163"/>
      <c r="G374" s="163"/>
      <c r="H374" s="163"/>
      <c r="I374" s="163"/>
      <c r="J374" s="165"/>
      <c r="K374" s="163"/>
      <c r="L374" s="163"/>
      <c r="M374" s="163"/>
      <c r="N374" s="163"/>
      <c r="O374" s="165"/>
      <c r="P374" s="163"/>
      <c r="Q374" s="163"/>
      <c r="R374" s="163"/>
    </row>
    <row r="375" spans="1:18" ht="12">
      <c r="A375" s="33"/>
      <c r="B375" s="34"/>
      <c r="C375" s="35"/>
      <c r="D375" s="33"/>
      <c r="E375" s="165"/>
      <c r="F375" s="163"/>
      <c r="G375" s="163"/>
      <c r="H375" s="163"/>
      <c r="I375" s="163"/>
      <c r="J375" s="165"/>
      <c r="K375" s="163"/>
      <c r="L375" s="163"/>
      <c r="M375" s="163"/>
      <c r="N375" s="163"/>
      <c r="O375" s="165"/>
      <c r="P375" s="163"/>
      <c r="Q375" s="163"/>
      <c r="R375" s="163"/>
    </row>
    <row r="376" spans="1:18" ht="12">
      <c r="A376" s="33"/>
      <c r="B376" s="34"/>
      <c r="C376" s="35"/>
      <c r="D376" s="33"/>
      <c r="E376" s="165"/>
      <c r="F376" s="163"/>
      <c r="G376" s="163"/>
      <c r="H376" s="163"/>
      <c r="I376" s="163"/>
      <c r="J376" s="165"/>
      <c r="K376" s="163"/>
      <c r="L376" s="163"/>
      <c r="M376" s="163"/>
      <c r="N376" s="163"/>
      <c r="O376" s="165"/>
      <c r="P376" s="163"/>
      <c r="Q376" s="163"/>
      <c r="R376" s="163"/>
    </row>
    <row r="377" spans="1:18" ht="12">
      <c r="A377" s="33"/>
      <c r="B377" s="34"/>
      <c r="C377" s="35"/>
      <c r="D377" s="33"/>
      <c r="E377" s="165"/>
      <c r="F377" s="163"/>
      <c r="G377" s="163"/>
      <c r="H377" s="163"/>
      <c r="I377" s="163"/>
      <c r="J377" s="165"/>
      <c r="K377" s="163"/>
      <c r="L377" s="163"/>
      <c r="M377" s="163"/>
      <c r="N377" s="163"/>
      <c r="O377" s="165"/>
      <c r="P377" s="163"/>
      <c r="Q377" s="163"/>
      <c r="R377" s="163"/>
    </row>
    <row r="378" spans="1:18" ht="12">
      <c r="A378" s="33"/>
      <c r="B378" s="34"/>
      <c r="C378" s="35"/>
      <c r="D378" s="33"/>
      <c r="E378" s="165"/>
      <c r="F378" s="163"/>
      <c r="G378" s="163"/>
      <c r="H378" s="163"/>
      <c r="I378" s="163"/>
      <c r="J378" s="165"/>
      <c r="K378" s="163"/>
      <c r="L378" s="163"/>
      <c r="M378" s="163"/>
      <c r="N378" s="163"/>
      <c r="O378" s="165"/>
      <c r="P378" s="163"/>
      <c r="Q378" s="163"/>
      <c r="R378" s="163"/>
    </row>
    <row r="379" spans="1:18" ht="12">
      <c r="A379" s="33"/>
      <c r="B379" s="34"/>
      <c r="C379" s="35"/>
      <c r="D379" s="33"/>
      <c r="E379" s="165"/>
      <c r="F379" s="163"/>
      <c r="G379" s="163"/>
      <c r="H379" s="163"/>
      <c r="I379" s="163"/>
      <c r="J379" s="165"/>
      <c r="K379" s="163"/>
      <c r="L379" s="163"/>
      <c r="M379" s="163"/>
      <c r="N379" s="163"/>
      <c r="O379" s="165"/>
      <c r="P379" s="163"/>
      <c r="Q379" s="163"/>
      <c r="R379" s="163"/>
    </row>
    <row r="380" spans="1:18" ht="12">
      <c r="A380" s="33"/>
      <c r="B380" s="34"/>
      <c r="C380" s="35"/>
      <c r="D380" s="33"/>
      <c r="E380" s="165"/>
      <c r="F380" s="163"/>
      <c r="G380" s="163"/>
      <c r="H380" s="163"/>
      <c r="I380" s="163"/>
      <c r="J380" s="165"/>
      <c r="K380" s="163"/>
      <c r="L380" s="163"/>
      <c r="M380" s="163"/>
      <c r="N380" s="163"/>
      <c r="O380" s="165"/>
      <c r="P380" s="163"/>
      <c r="Q380" s="163"/>
      <c r="R380" s="163"/>
    </row>
    <row r="381" spans="1:18" ht="12">
      <c r="A381" s="33"/>
      <c r="B381" s="34"/>
      <c r="C381" s="35"/>
      <c r="D381" s="33"/>
      <c r="E381" s="165"/>
      <c r="F381" s="163"/>
      <c r="G381" s="163"/>
      <c r="H381" s="163"/>
      <c r="I381" s="163"/>
      <c r="J381" s="165"/>
      <c r="K381" s="163"/>
      <c r="L381" s="163"/>
      <c r="M381" s="163"/>
      <c r="N381" s="163"/>
      <c r="O381" s="165"/>
      <c r="P381" s="163"/>
      <c r="Q381" s="163"/>
      <c r="R381" s="163"/>
    </row>
    <row r="382" spans="1:18" ht="12">
      <c r="A382" s="33"/>
      <c r="B382" s="34"/>
      <c r="C382" s="35"/>
      <c r="D382" s="33"/>
      <c r="E382" s="165"/>
      <c r="F382" s="163"/>
      <c r="G382" s="163"/>
      <c r="H382" s="163"/>
      <c r="I382" s="163"/>
      <c r="J382" s="165"/>
      <c r="K382" s="163"/>
      <c r="L382" s="163"/>
      <c r="M382" s="163"/>
      <c r="N382" s="163"/>
      <c r="O382" s="165"/>
      <c r="P382" s="163"/>
      <c r="Q382" s="163"/>
      <c r="R382" s="163"/>
    </row>
    <row r="383" spans="1:18" ht="12">
      <c r="A383" s="33"/>
      <c r="B383" s="34"/>
      <c r="C383" s="35"/>
      <c r="D383" s="33"/>
      <c r="E383" s="165"/>
      <c r="F383" s="163"/>
      <c r="G383" s="163"/>
      <c r="H383" s="163"/>
      <c r="I383" s="163"/>
      <c r="J383" s="165"/>
      <c r="K383" s="163"/>
      <c r="L383" s="163"/>
      <c r="M383" s="163"/>
      <c r="N383" s="163"/>
      <c r="O383" s="165"/>
      <c r="P383" s="163"/>
      <c r="Q383" s="163"/>
      <c r="R383" s="163"/>
    </row>
    <row r="384" spans="1:18" ht="12">
      <c r="A384" s="33"/>
      <c r="B384" s="34"/>
      <c r="C384" s="35"/>
      <c r="D384" s="33"/>
      <c r="E384" s="165"/>
      <c r="F384" s="163"/>
      <c r="G384" s="163"/>
      <c r="H384" s="163"/>
      <c r="I384" s="163"/>
      <c r="J384" s="165"/>
      <c r="K384" s="163"/>
      <c r="L384" s="163"/>
      <c r="M384" s="163"/>
      <c r="N384" s="163"/>
      <c r="O384" s="165"/>
      <c r="P384" s="163"/>
      <c r="Q384" s="163"/>
      <c r="R384" s="163"/>
    </row>
    <row r="385" spans="1:18" ht="12">
      <c r="A385" s="33"/>
      <c r="B385" s="34"/>
      <c r="C385" s="35"/>
      <c r="D385" s="33"/>
      <c r="E385" s="165"/>
      <c r="F385" s="163"/>
      <c r="G385" s="163"/>
      <c r="H385" s="163"/>
      <c r="I385" s="163"/>
      <c r="J385" s="165"/>
      <c r="K385" s="163"/>
      <c r="L385" s="163"/>
      <c r="M385" s="163"/>
      <c r="N385" s="163"/>
      <c r="O385" s="165"/>
      <c r="P385" s="163"/>
      <c r="Q385" s="163"/>
      <c r="R385" s="163"/>
    </row>
    <row r="386" spans="1:18" ht="12">
      <c r="A386" s="33"/>
      <c r="B386" s="34"/>
      <c r="C386" s="35"/>
      <c r="D386" s="33"/>
      <c r="E386" s="165"/>
      <c r="F386" s="163"/>
      <c r="G386" s="163"/>
      <c r="H386" s="163"/>
      <c r="I386" s="163"/>
      <c r="J386" s="165"/>
      <c r="K386" s="163"/>
      <c r="L386" s="163"/>
      <c r="M386" s="163"/>
      <c r="N386" s="163"/>
      <c r="O386" s="165"/>
      <c r="P386" s="163"/>
      <c r="Q386" s="163"/>
      <c r="R386" s="163"/>
    </row>
    <row r="387" spans="1:18" ht="12">
      <c r="A387" s="33"/>
      <c r="B387" s="34"/>
      <c r="C387" s="35"/>
      <c r="D387" s="33"/>
      <c r="E387" s="165"/>
      <c r="F387" s="163"/>
      <c r="G387" s="163"/>
      <c r="H387" s="163"/>
      <c r="I387" s="163"/>
      <c r="J387" s="165"/>
      <c r="K387" s="163"/>
      <c r="L387" s="163"/>
      <c r="M387" s="163"/>
      <c r="N387" s="163"/>
      <c r="O387" s="165"/>
      <c r="P387" s="163"/>
      <c r="Q387" s="163"/>
      <c r="R387" s="163"/>
    </row>
    <row r="388" spans="1:18" ht="12">
      <c r="A388" s="33"/>
      <c r="B388" s="34"/>
      <c r="C388" s="35"/>
      <c r="D388" s="33"/>
      <c r="E388" s="165"/>
      <c r="F388" s="163"/>
      <c r="G388" s="163"/>
      <c r="H388" s="163"/>
      <c r="I388" s="163"/>
      <c r="J388" s="165"/>
      <c r="K388" s="163"/>
      <c r="L388" s="163"/>
      <c r="M388" s="163"/>
      <c r="N388" s="163"/>
      <c r="O388" s="165"/>
      <c r="P388" s="163"/>
      <c r="Q388" s="163"/>
      <c r="R388" s="163"/>
    </row>
    <row r="389" spans="1:18" ht="12">
      <c r="A389" s="33"/>
      <c r="B389" s="34"/>
      <c r="C389" s="35"/>
      <c r="D389" s="33"/>
      <c r="E389" s="165"/>
      <c r="F389" s="163"/>
      <c r="G389" s="163"/>
      <c r="H389" s="163"/>
      <c r="I389" s="163"/>
      <c r="J389" s="165"/>
      <c r="K389" s="163"/>
      <c r="L389" s="163"/>
      <c r="M389" s="163"/>
      <c r="N389" s="163"/>
      <c r="O389" s="165"/>
      <c r="P389" s="163"/>
      <c r="Q389" s="163"/>
      <c r="R389" s="163"/>
    </row>
    <row r="390" spans="1:18" ht="12">
      <c r="A390" s="33"/>
      <c r="B390" s="34"/>
      <c r="C390" s="35"/>
      <c r="D390" s="33"/>
      <c r="E390" s="165"/>
      <c r="F390" s="163"/>
      <c r="G390" s="163"/>
      <c r="H390" s="163"/>
      <c r="I390" s="163"/>
      <c r="J390" s="165"/>
      <c r="K390" s="163"/>
      <c r="L390" s="163"/>
      <c r="M390" s="163"/>
      <c r="N390" s="163"/>
      <c r="O390" s="165"/>
      <c r="P390" s="163"/>
      <c r="Q390" s="163"/>
      <c r="R390" s="163"/>
    </row>
    <row r="391" spans="1:18" ht="12">
      <c r="A391" s="33"/>
      <c r="B391" s="34"/>
      <c r="C391" s="35"/>
      <c r="D391" s="33"/>
      <c r="E391" s="165"/>
      <c r="F391" s="163"/>
      <c r="G391" s="163"/>
      <c r="H391" s="163"/>
      <c r="I391" s="163"/>
      <c r="J391" s="165"/>
      <c r="K391" s="163"/>
      <c r="L391" s="163"/>
      <c r="M391" s="163"/>
      <c r="N391" s="163"/>
      <c r="O391" s="165"/>
      <c r="P391" s="163"/>
      <c r="Q391" s="163"/>
      <c r="R391" s="163"/>
    </row>
    <row r="392" spans="1:18" ht="12">
      <c r="A392" s="33"/>
      <c r="B392" s="34"/>
      <c r="C392" s="35"/>
      <c r="D392" s="33"/>
      <c r="E392" s="165"/>
      <c r="F392" s="163"/>
      <c r="G392" s="163"/>
      <c r="H392" s="163"/>
      <c r="I392" s="163"/>
      <c r="J392" s="165"/>
      <c r="K392" s="163"/>
      <c r="L392" s="163"/>
      <c r="M392" s="163"/>
      <c r="N392" s="163"/>
      <c r="O392" s="165"/>
      <c r="P392" s="163"/>
      <c r="Q392" s="163"/>
      <c r="R392" s="163"/>
    </row>
    <row r="393" spans="1:18" ht="12">
      <c r="A393" s="33"/>
      <c r="B393" s="34"/>
      <c r="C393" s="35"/>
      <c r="D393" s="33"/>
      <c r="E393" s="165"/>
      <c r="F393" s="163"/>
      <c r="G393" s="163"/>
      <c r="H393" s="163"/>
      <c r="I393" s="163"/>
      <c r="J393" s="165"/>
      <c r="K393" s="163"/>
      <c r="L393" s="163"/>
      <c r="M393" s="163"/>
      <c r="N393" s="163"/>
      <c r="O393" s="165"/>
      <c r="P393" s="163"/>
      <c r="Q393" s="163"/>
      <c r="R393" s="163"/>
    </row>
    <row r="394" spans="1:18" ht="12">
      <c r="A394" s="33"/>
      <c r="B394" s="34"/>
      <c r="C394" s="35"/>
      <c r="D394" s="33"/>
      <c r="E394" s="165"/>
      <c r="F394" s="163"/>
      <c r="G394" s="163"/>
      <c r="H394" s="163"/>
      <c r="I394" s="163"/>
      <c r="J394" s="165"/>
      <c r="K394" s="163"/>
      <c r="L394" s="163"/>
      <c r="M394" s="163"/>
      <c r="N394" s="163"/>
      <c r="O394" s="165"/>
      <c r="P394" s="163"/>
      <c r="Q394" s="163"/>
      <c r="R394" s="163"/>
    </row>
    <row r="395" spans="1:18">
      <c r="A395" s="33"/>
      <c r="B395" s="34"/>
      <c r="C395" s="35"/>
      <c r="D395" s="33"/>
      <c r="E395" s="35"/>
      <c r="F395" s="33"/>
      <c r="G395" s="33"/>
      <c r="H395" s="36"/>
      <c r="I395" s="33"/>
      <c r="J395" s="35"/>
      <c r="K395" s="33"/>
      <c r="L395" s="33"/>
      <c r="M395" s="36"/>
      <c r="N395" s="33"/>
      <c r="O395" s="35"/>
      <c r="P395" s="33"/>
      <c r="Q395" s="33"/>
      <c r="R395" s="36"/>
    </row>
    <row r="396" spans="1:18">
      <c r="A396" s="33"/>
      <c r="B396" s="34"/>
      <c r="C396" s="35"/>
      <c r="D396" s="33"/>
      <c r="E396" s="35"/>
      <c r="F396" s="33"/>
      <c r="G396" s="33"/>
      <c r="H396" s="36"/>
      <c r="I396" s="33"/>
      <c r="J396" s="35"/>
      <c r="K396" s="33"/>
      <c r="L396" s="33"/>
      <c r="M396" s="36"/>
      <c r="N396" s="33"/>
      <c r="O396" s="35"/>
      <c r="P396" s="33"/>
      <c r="Q396" s="33"/>
      <c r="R396" s="36"/>
    </row>
    <row r="397" spans="1:18">
      <c r="A397" s="33"/>
      <c r="B397" s="34"/>
      <c r="C397" s="35"/>
      <c r="D397" s="33"/>
      <c r="E397" s="35"/>
      <c r="F397" s="33"/>
      <c r="G397" s="33"/>
      <c r="H397" s="36"/>
      <c r="I397" s="33"/>
      <c r="J397" s="35"/>
      <c r="K397" s="33"/>
      <c r="L397" s="33"/>
      <c r="M397" s="36"/>
      <c r="N397" s="33"/>
      <c r="O397" s="35"/>
      <c r="P397" s="33"/>
      <c r="Q397" s="33"/>
      <c r="R397" s="36"/>
    </row>
    <row r="398" spans="1:18">
      <c r="A398" s="33"/>
      <c r="B398" s="34"/>
      <c r="C398" s="35"/>
      <c r="D398" s="33"/>
      <c r="E398" s="35"/>
      <c r="F398" s="33"/>
      <c r="G398" s="33"/>
      <c r="H398" s="36"/>
      <c r="I398" s="33"/>
      <c r="J398" s="35"/>
      <c r="K398" s="33"/>
      <c r="L398" s="33"/>
      <c r="M398" s="36"/>
      <c r="N398" s="33"/>
      <c r="O398" s="35"/>
      <c r="P398" s="33"/>
      <c r="Q398" s="33"/>
      <c r="R398" s="36"/>
    </row>
    <row r="399" spans="1:18">
      <c r="A399" s="33"/>
      <c r="B399" s="34"/>
      <c r="C399" s="35"/>
      <c r="D399" s="33"/>
      <c r="E399" s="35"/>
      <c r="F399" s="33"/>
      <c r="G399" s="33"/>
      <c r="H399" s="36"/>
      <c r="I399" s="33"/>
      <c r="J399" s="35"/>
      <c r="K399" s="33"/>
      <c r="L399" s="33"/>
      <c r="M399" s="36"/>
      <c r="N399" s="33"/>
      <c r="O399" s="35"/>
      <c r="P399" s="33"/>
      <c r="Q399" s="33"/>
      <c r="R399" s="36"/>
    </row>
    <row r="400" spans="1:18">
      <c r="A400" s="33"/>
      <c r="B400" s="34"/>
      <c r="C400" s="35"/>
      <c r="D400" s="33"/>
      <c r="E400" s="35"/>
      <c r="F400" s="33"/>
      <c r="G400" s="33"/>
      <c r="H400" s="36"/>
      <c r="I400" s="33"/>
      <c r="J400" s="35"/>
      <c r="K400" s="33"/>
      <c r="L400" s="33"/>
      <c r="M400" s="36"/>
      <c r="N400" s="33"/>
      <c r="O400" s="35"/>
      <c r="P400" s="33"/>
      <c r="Q400" s="33"/>
      <c r="R400" s="36"/>
    </row>
    <row r="401" spans="1:18">
      <c r="A401" s="33"/>
      <c r="B401" s="34"/>
      <c r="C401" s="35"/>
      <c r="D401" s="33"/>
      <c r="E401" s="35"/>
      <c r="F401" s="33"/>
      <c r="G401" s="33"/>
      <c r="H401" s="36"/>
      <c r="I401" s="33"/>
      <c r="J401" s="35"/>
      <c r="K401" s="33"/>
      <c r="L401" s="33"/>
      <c r="M401" s="36"/>
      <c r="N401" s="33"/>
      <c r="O401" s="35"/>
      <c r="P401" s="33"/>
      <c r="Q401" s="33"/>
      <c r="R401" s="36"/>
    </row>
    <row r="402" spans="1:18">
      <c r="A402" s="33"/>
      <c r="B402" s="34"/>
      <c r="C402" s="35"/>
      <c r="D402" s="33"/>
      <c r="E402" s="35"/>
      <c r="F402" s="33"/>
      <c r="G402" s="33"/>
      <c r="H402" s="36"/>
      <c r="I402" s="33"/>
      <c r="J402" s="35"/>
      <c r="K402" s="33"/>
      <c r="L402" s="33"/>
      <c r="M402" s="36"/>
      <c r="N402" s="33"/>
      <c r="O402" s="35"/>
      <c r="P402" s="33"/>
      <c r="Q402" s="33"/>
      <c r="R402" s="36"/>
    </row>
    <row r="403" spans="1:18">
      <c r="A403" s="33"/>
      <c r="B403" s="34"/>
      <c r="C403" s="35"/>
      <c r="D403" s="33"/>
      <c r="E403" s="35"/>
      <c r="F403" s="33"/>
      <c r="G403" s="33"/>
      <c r="H403" s="36"/>
      <c r="I403" s="33"/>
      <c r="J403" s="35"/>
      <c r="K403" s="33"/>
      <c r="L403" s="33"/>
      <c r="M403" s="36"/>
      <c r="N403" s="33"/>
      <c r="O403" s="35"/>
      <c r="P403" s="33"/>
      <c r="Q403" s="33"/>
      <c r="R403" s="36"/>
    </row>
    <row r="404" spans="1:18">
      <c r="A404" s="33"/>
      <c r="B404" s="34"/>
      <c r="C404" s="35"/>
      <c r="D404" s="33"/>
      <c r="E404" s="35"/>
      <c r="F404" s="33"/>
      <c r="G404" s="33"/>
      <c r="H404" s="36"/>
      <c r="I404" s="33"/>
      <c r="J404" s="35"/>
      <c r="K404" s="33"/>
      <c r="L404" s="33"/>
      <c r="M404" s="36"/>
      <c r="N404" s="33"/>
      <c r="O404" s="35"/>
      <c r="P404" s="33"/>
      <c r="Q404" s="33"/>
      <c r="R404" s="36"/>
    </row>
    <row r="405" spans="1:18">
      <c r="A405" s="33"/>
      <c r="B405" s="34"/>
      <c r="C405" s="35"/>
      <c r="D405" s="33"/>
      <c r="E405" s="35"/>
      <c r="F405" s="33"/>
      <c r="G405" s="33"/>
      <c r="H405" s="36"/>
      <c r="I405" s="33"/>
      <c r="J405" s="35"/>
      <c r="K405" s="33"/>
      <c r="L405" s="33"/>
      <c r="M405" s="36"/>
      <c r="N405" s="33"/>
      <c r="O405" s="35"/>
      <c r="P405" s="33"/>
      <c r="Q405" s="33"/>
      <c r="R405" s="36"/>
    </row>
    <row r="406" spans="1:18">
      <c r="A406" s="33"/>
      <c r="B406" s="34"/>
      <c r="C406" s="35"/>
      <c r="D406" s="33"/>
      <c r="E406" s="35"/>
      <c r="F406" s="33"/>
      <c r="G406" s="33"/>
      <c r="H406" s="36"/>
      <c r="I406" s="33"/>
      <c r="J406" s="35"/>
      <c r="K406" s="33"/>
      <c r="L406" s="33"/>
      <c r="M406" s="36"/>
      <c r="N406" s="33"/>
      <c r="O406" s="35"/>
      <c r="P406" s="33"/>
      <c r="Q406" s="33"/>
      <c r="R406" s="36"/>
    </row>
    <row r="407" spans="1:18">
      <c r="A407" s="33"/>
      <c r="B407" s="34"/>
      <c r="C407" s="35"/>
      <c r="D407" s="33"/>
      <c r="E407" s="35"/>
      <c r="F407" s="33"/>
      <c r="G407" s="33"/>
      <c r="H407" s="36"/>
      <c r="I407" s="33"/>
      <c r="J407" s="35"/>
      <c r="K407" s="33"/>
      <c r="L407" s="33"/>
      <c r="M407" s="36"/>
      <c r="N407" s="33"/>
      <c r="O407" s="35"/>
      <c r="P407" s="33"/>
      <c r="Q407" s="33"/>
      <c r="R407" s="36"/>
    </row>
    <row r="408" spans="1:18">
      <c r="A408" s="33"/>
      <c r="B408" s="34"/>
      <c r="C408" s="35"/>
      <c r="D408" s="33"/>
      <c r="E408" s="35"/>
      <c r="F408" s="33"/>
      <c r="G408" s="33"/>
      <c r="H408" s="36"/>
      <c r="I408" s="33"/>
      <c r="J408" s="35"/>
      <c r="K408" s="33"/>
      <c r="L408" s="33"/>
      <c r="M408" s="36"/>
      <c r="N408" s="33"/>
      <c r="O408" s="35"/>
      <c r="P408" s="33"/>
      <c r="Q408" s="33"/>
      <c r="R408" s="36"/>
    </row>
    <row r="409" spans="1:18">
      <c r="A409" s="33"/>
      <c r="B409" s="34"/>
      <c r="C409" s="35"/>
      <c r="D409" s="33"/>
      <c r="E409" s="35"/>
      <c r="F409" s="33"/>
      <c r="G409" s="33"/>
      <c r="H409" s="36"/>
      <c r="I409" s="33"/>
      <c r="J409" s="35"/>
      <c r="K409" s="33"/>
      <c r="L409" s="33"/>
      <c r="M409" s="36"/>
      <c r="N409" s="33"/>
      <c r="O409" s="35"/>
      <c r="P409" s="33"/>
      <c r="Q409" s="33"/>
      <c r="R409" s="36"/>
    </row>
    <row r="410" spans="1:18">
      <c r="A410" s="33"/>
      <c r="B410" s="34"/>
      <c r="C410" s="35"/>
      <c r="D410" s="33"/>
      <c r="E410" s="35"/>
      <c r="F410" s="33"/>
      <c r="G410" s="33"/>
      <c r="H410" s="36"/>
      <c r="I410" s="33"/>
      <c r="J410" s="35"/>
      <c r="K410" s="33"/>
      <c r="L410" s="33"/>
      <c r="M410" s="36"/>
      <c r="N410" s="33"/>
      <c r="O410" s="35"/>
      <c r="P410" s="33"/>
      <c r="Q410" s="33"/>
      <c r="R410" s="36"/>
    </row>
    <row r="411" spans="1:18">
      <c r="A411" s="33"/>
      <c r="B411" s="34"/>
      <c r="C411" s="35"/>
      <c r="D411" s="33"/>
      <c r="E411" s="35"/>
      <c r="F411" s="33"/>
      <c r="G411" s="33"/>
      <c r="H411" s="36"/>
      <c r="I411" s="33"/>
      <c r="J411" s="35"/>
      <c r="K411" s="33"/>
      <c r="L411" s="33"/>
      <c r="M411" s="36"/>
      <c r="N411" s="33"/>
      <c r="O411" s="35"/>
      <c r="P411" s="33"/>
      <c r="Q411" s="33"/>
      <c r="R411" s="36"/>
    </row>
    <row r="412" spans="1:18">
      <c r="A412" s="33"/>
      <c r="B412" s="34"/>
      <c r="C412" s="35"/>
      <c r="D412" s="33"/>
      <c r="E412" s="35"/>
      <c r="F412" s="33"/>
      <c r="G412" s="33"/>
      <c r="H412" s="36"/>
      <c r="I412" s="33"/>
      <c r="J412" s="35"/>
      <c r="K412" s="33"/>
      <c r="L412" s="33"/>
      <c r="M412" s="36"/>
      <c r="N412" s="33"/>
      <c r="O412" s="35"/>
      <c r="P412" s="33"/>
      <c r="Q412" s="33"/>
      <c r="R412" s="36"/>
    </row>
    <row r="413" spans="1:18">
      <c r="A413" s="33"/>
      <c r="B413" s="34"/>
      <c r="C413" s="35"/>
      <c r="D413" s="33"/>
      <c r="E413" s="35"/>
      <c r="F413" s="33"/>
      <c r="G413" s="33"/>
      <c r="H413" s="36"/>
      <c r="I413" s="33"/>
      <c r="J413" s="35"/>
      <c r="K413" s="33"/>
      <c r="L413" s="33"/>
      <c r="M413" s="36"/>
      <c r="N413" s="33"/>
      <c r="O413" s="35"/>
      <c r="P413" s="33"/>
      <c r="Q413" s="33"/>
      <c r="R413" s="36"/>
    </row>
    <row r="414" spans="1:18">
      <c r="A414" s="33"/>
      <c r="B414" s="34"/>
      <c r="C414" s="35"/>
      <c r="D414" s="33"/>
      <c r="E414" s="35"/>
      <c r="F414" s="33"/>
      <c r="G414" s="33"/>
      <c r="H414" s="36"/>
      <c r="I414" s="33"/>
      <c r="J414" s="35"/>
      <c r="K414" s="33"/>
      <c r="L414" s="33"/>
      <c r="M414" s="36"/>
      <c r="N414" s="33"/>
      <c r="O414" s="35"/>
      <c r="P414" s="33"/>
      <c r="Q414" s="33"/>
      <c r="R414" s="36"/>
    </row>
    <row r="415" spans="1:18">
      <c r="A415" s="33"/>
      <c r="B415" s="34"/>
      <c r="C415" s="35"/>
      <c r="D415" s="33"/>
      <c r="E415" s="35"/>
      <c r="F415" s="33"/>
      <c r="G415" s="33"/>
      <c r="H415" s="36"/>
      <c r="I415" s="33"/>
      <c r="J415" s="35"/>
      <c r="K415" s="33"/>
      <c r="L415" s="33"/>
      <c r="M415" s="36"/>
      <c r="N415" s="33"/>
      <c r="O415" s="35"/>
      <c r="P415" s="33"/>
      <c r="Q415" s="33"/>
      <c r="R415" s="36"/>
    </row>
    <row r="416" spans="1:18">
      <c r="A416" s="33"/>
      <c r="B416" s="34"/>
      <c r="C416" s="35"/>
      <c r="D416" s="33"/>
      <c r="E416" s="35"/>
      <c r="F416" s="33"/>
      <c r="G416" s="33"/>
      <c r="H416" s="36"/>
      <c r="I416" s="33"/>
      <c r="J416" s="35"/>
      <c r="K416" s="33"/>
      <c r="L416" s="33"/>
      <c r="M416" s="36"/>
      <c r="N416" s="33"/>
      <c r="O416" s="35"/>
      <c r="P416" s="33"/>
      <c r="Q416" s="33"/>
      <c r="R416" s="36"/>
    </row>
    <row r="417" spans="1:18">
      <c r="A417" s="33"/>
      <c r="B417" s="34"/>
      <c r="C417" s="35"/>
      <c r="D417" s="33"/>
      <c r="E417" s="35"/>
      <c r="F417" s="33"/>
      <c r="G417" s="33"/>
      <c r="H417" s="36"/>
      <c r="I417" s="33"/>
      <c r="J417" s="35"/>
      <c r="K417" s="33"/>
      <c r="L417" s="33"/>
      <c r="M417" s="36"/>
      <c r="N417" s="33"/>
      <c r="O417" s="35"/>
      <c r="P417" s="33"/>
      <c r="Q417" s="33"/>
      <c r="R417" s="36"/>
    </row>
    <row r="418" spans="1:18">
      <c r="A418" s="33"/>
      <c r="B418" s="34"/>
      <c r="C418" s="35"/>
      <c r="D418" s="33"/>
      <c r="E418" s="35"/>
      <c r="F418" s="33"/>
      <c r="G418" s="33"/>
      <c r="H418" s="36"/>
      <c r="I418" s="33"/>
      <c r="J418" s="35"/>
      <c r="K418" s="33"/>
      <c r="L418" s="33"/>
      <c r="M418" s="36"/>
      <c r="N418" s="33"/>
      <c r="O418" s="35"/>
      <c r="P418" s="33"/>
      <c r="Q418" s="33"/>
      <c r="R418" s="36"/>
    </row>
    <row r="419" spans="1:18">
      <c r="A419" s="33"/>
      <c r="B419" s="34"/>
      <c r="C419" s="35"/>
      <c r="D419" s="33"/>
      <c r="E419" s="35"/>
      <c r="F419" s="33"/>
      <c r="G419" s="33"/>
      <c r="H419" s="36"/>
      <c r="I419" s="33"/>
      <c r="J419" s="35"/>
      <c r="K419" s="33"/>
      <c r="L419" s="33"/>
      <c r="M419" s="36"/>
      <c r="N419" s="33"/>
      <c r="O419" s="35"/>
      <c r="P419" s="33"/>
      <c r="Q419" s="33"/>
      <c r="R419" s="36"/>
    </row>
    <row r="420" spans="1:18">
      <c r="A420" s="33"/>
      <c r="B420" s="34"/>
      <c r="C420" s="35"/>
      <c r="D420" s="33"/>
      <c r="E420" s="35"/>
      <c r="F420" s="33"/>
      <c r="G420" s="33"/>
      <c r="H420" s="36"/>
      <c r="I420" s="33"/>
      <c r="J420" s="35"/>
      <c r="K420" s="33"/>
      <c r="L420" s="33"/>
      <c r="M420" s="36"/>
      <c r="N420" s="33"/>
      <c r="O420" s="35"/>
      <c r="P420" s="33"/>
      <c r="Q420" s="33"/>
      <c r="R420" s="36"/>
    </row>
    <row r="421" spans="1:18">
      <c r="A421" s="33"/>
      <c r="B421" s="34"/>
      <c r="C421" s="35"/>
      <c r="D421" s="33"/>
      <c r="E421" s="35"/>
      <c r="F421" s="33"/>
      <c r="G421" s="33"/>
      <c r="H421" s="36"/>
      <c r="I421" s="33"/>
      <c r="J421" s="35"/>
      <c r="K421" s="33"/>
      <c r="L421" s="33"/>
      <c r="M421" s="36"/>
      <c r="N421" s="33"/>
      <c r="O421" s="35"/>
      <c r="P421" s="33"/>
      <c r="Q421" s="33"/>
      <c r="R421" s="36"/>
    </row>
    <row r="422" spans="1:18">
      <c r="A422" s="33"/>
      <c r="B422" s="34"/>
      <c r="C422" s="35"/>
      <c r="D422" s="33"/>
      <c r="E422" s="35"/>
      <c r="F422" s="33"/>
      <c r="G422" s="33"/>
      <c r="H422" s="36"/>
      <c r="I422" s="33"/>
      <c r="J422" s="35"/>
      <c r="K422" s="33"/>
      <c r="L422" s="33"/>
      <c r="M422" s="36"/>
      <c r="N422" s="33"/>
      <c r="O422" s="35"/>
      <c r="P422" s="33"/>
      <c r="Q422" s="33"/>
      <c r="R422" s="36"/>
    </row>
    <row r="423" spans="1:18">
      <c r="A423" s="33"/>
      <c r="B423" s="34"/>
      <c r="C423" s="35"/>
      <c r="D423" s="33"/>
      <c r="E423" s="35"/>
      <c r="F423" s="33"/>
      <c r="G423" s="33"/>
      <c r="H423" s="36"/>
      <c r="I423" s="33"/>
      <c r="J423" s="35"/>
      <c r="K423" s="33"/>
      <c r="L423" s="33"/>
      <c r="M423" s="36"/>
      <c r="N423" s="33"/>
      <c r="O423" s="35"/>
      <c r="P423" s="33"/>
      <c r="Q423" s="33"/>
      <c r="R423" s="36"/>
    </row>
    <row r="424" spans="1:18">
      <c r="A424" s="33"/>
      <c r="B424" s="34"/>
      <c r="C424" s="35"/>
      <c r="D424" s="33"/>
      <c r="E424" s="35"/>
      <c r="F424" s="33"/>
      <c r="G424" s="33"/>
      <c r="H424" s="36"/>
      <c r="I424" s="33"/>
      <c r="J424" s="35"/>
      <c r="K424" s="33"/>
      <c r="L424" s="33"/>
      <c r="M424" s="36"/>
      <c r="N424" s="33"/>
      <c r="O424" s="35"/>
      <c r="P424" s="33"/>
      <c r="Q424" s="33"/>
      <c r="R424" s="36"/>
    </row>
    <row r="425" spans="1:18">
      <c r="A425" s="33"/>
      <c r="B425" s="34"/>
      <c r="C425" s="35"/>
      <c r="D425" s="33"/>
      <c r="E425" s="35"/>
      <c r="F425" s="33"/>
      <c r="G425" s="33"/>
      <c r="H425" s="36"/>
      <c r="I425" s="33"/>
      <c r="J425" s="35"/>
      <c r="K425" s="33"/>
      <c r="L425" s="33"/>
      <c r="M425" s="36"/>
      <c r="N425" s="33"/>
      <c r="O425" s="35"/>
      <c r="P425" s="33"/>
      <c r="Q425" s="33"/>
      <c r="R425" s="36"/>
    </row>
    <row r="426" spans="1:18">
      <c r="A426" s="33"/>
      <c r="B426" s="34"/>
      <c r="C426" s="35"/>
      <c r="D426" s="33"/>
      <c r="E426" s="35"/>
      <c r="F426" s="33"/>
      <c r="G426" s="33"/>
      <c r="H426" s="36"/>
      <c r="I426" s="33"/>
      <c r="J426" s="35"/>
      <c r="K426" s="33"/>
      <c r="L426" s="33"/>
      <c r="M426" s="36"/>
      <c r="N426" s="33"/>
      <c r="O426" s="35"/>
      <c r="P426" s="33"/>
      <c r="Q426" s="33"/>
      <c r="R426" s="36"/>
    </row>
    <row r="427" spans="1:18">
      <c r="A427" s="33"/>
      <c r="B427" s="34"/>
      <c r="C427" s="35"/>
      <c r="D427" s="33"/>
      <c r="E427" s="35"/>
      <c r="F427" s="33"/>
      <c r="G427" s="33"/>
      <c r="H427" s="36"/>
      <c r="I427" s="33"/>
      <c r="J427" s="35"/>
      <c r="K427" s="33"/>
      <c r="L427" s="33"/>
      <c r="M427" s="36"/>
      <c r="N427" s="33"/>
      <c r="O427" s="35"/>
      <c r="P427" s="33"/>
      <c r="Q427" s="33"/>
      <c r="R427" s="36"/>
    </row>
    <row r="428" spans="1:18">
      <c r="A428" s="33"/>
      <c r="B428" s="34"/>
      <c r="C428" s="35"/>
      <c r="D428" s="33"/>
      <c r="E428" s="35"/>
      <c r="F428" s="33"/>
      <c r="G428" s="33"/>
      <c r="H428" s="36"/>
      <c r="I428" s="33"/>
      <c r="J428" s="35"/>
      <c r="K428" s="33"/>
      <c r="L428" s="33"/>
      <c r="M428" s="36"/>
      <c r="N428" s="33"/>
      <c r="O428" s="35"/>
      <c r="P428" s="33"/>
      <c r="Q428" s="33"/>
      <c r="R428" s="36"/>
    </row>
    <row r="429" spans="1:18">
      <c r="A429" s="33"/>
      <c r="B429" s="34"/>
      <c r="C429" s="35"/>
      <c r="D429" s="33"/>
      <c r="E429" s="35"/>
      <c r="F429" s="33"/>
      <c r="G429" s="33"/>
      <c r="H429" s="36"/>
      <c r="I429" s="33"/>
      <c r="J429" s="35"/>
      <c r="K429" s="33"/>
      <c r="L429" s="33"/>
      <c r="M429" s="36"/>
      <c r="N429" s="33"/>
      <c r="O429" s="35"/>
      <c r="P429" s="33"/>
      <c r="Q429" s="33"/>
      <c r="R429" s="36"/>
    </row>
    <row r="430" spans="1:18">
      <c r="A430" s="33"/>
      <c r="B430" s="34"/>
      <c r="C430" s="35"/>
      <c r="D430" s="33"/>
      <c r="E430" s="35"/>
      <c r="F430" s="33"/>
      <c r="G430" s="33"/>
      <c r="H430" s="36"/>
      <c r="I430" s="33"/>
      <c r="J430" s="35"/>
      <c r="K430" s="33"/>
      <c r="L430" s="33"/>
      <c r="M430" s="36"/>
      <c r="N430" s="33"/>
      <c r="O430" s="35"/>
      <c r="P430" s="33"/>
      <c r="Q430" s="33"/>
      <c r="R430" s="36"/>
    </row>
    <row r="431" spans="1:18">
      <c r="A431" s="33"/>
      <c r="B431" s="34"/>
      <c r="C431" s="35"/>
      <c r="D431" s="33"/>
      <c r="E431" s="35"/>
      <c r="F431" s="33"/>
      <c r="G431" s="33"/>
      <c r="H431" s="36"/>
      <c r="I431" s="33"/>
      <c r="J431" s="35"/>
      <c r="K431" s="33"/>
      <c r="L431" s="33"/>
      <c r="M431" s="36"/>
      <c r="N431" s="33"/>
      <c r="O431" s="35"/>
      <c r="P431" s="33"/>
      <c r="Q431" s="33"/>
      <c r="R431" s="36"/>
    </row>
    <row r="432" spans="1:18">
      <c r="A432" s="33"/>
      <c r="B432" s="34"/>
      <c r="C432" s="35"/>
      <c r="D432" s="33"/>
      <c r="E432" s="35"/>
      <c r="F432" s="33"/>
      <c r="G432" s="33"/>
      <c r="H432" s="36"/>
      <c r="I432" s="33"/>
      <c r="J432" s="35"/>
      <c r="K432" s="33"/>
      <c r="L432" s="33"/>
      <c r="M432" s="36"/>
      <c r="N432" s="33"/>
      <c r="O432" s="35"/>
      <c r="P432" s="33"/>
      <c r="Q432" s="33"/>
      <c r="R432" s="36"/>
    </row>
    <row r="433" spans="1:18">
      <c r="A433" s="33"/>
      <c r="B433" s="34"/>
      <c r="C433" s="35"/>
      <c r="D433" s="33"/>
      <c r="E433" s="35"/>
      <c r="F433" s="33"/>
      <c r="G433" s="33"/>
      <c r="H433" s="36"/>
      <c r="I433" s="33"/>
      <c r="J433" s="35"/>
      <c r="K433" s="33"/>
      <c r="L433" s="33"/>
      <c r="M433" s="36"/>
      <c r="N433" s="33"/>
      <c r="O433" s="35"/>
      <c r="P433" s="33"/>
      <c r="Q433" s="33"/>
      <c r="R433" s="36"/>
    </row>
    <row r="434" spans="1:18">
      <c r="A434" s="33"/>
      <c r="B434" s="34"/>
      <c r="C434" s="35"/>
      <c r="D434" s="33"/>
      <c r="E434" s="35"/>
      <c r="F434" s="33"/>
      <c r="G434" s="33"/>
      <c r="H434" s="36"/>
      <c r="I434" s="33"/>
      <c r="J434" s="35"/>
      <c r="K434" s="33"/>
      <c r="L434" s="33"/>
      <c r="M434" s="36"/>
      <c r="N434" s="33"/>
      <c r="O434" s="35"/>
      <c r="P434" s="33"/>
      <c r="Q434" s="33"/>
      <c r="R434" s="36"/>
    </row>
    <row r="435" spans="1:18">
      <c r="A435" s="33"/>
      <c r="B435" s="34"/>
      <c r="C435" s="35"/>
      <c r="D435" s="33"/>
      <c r="E435" s="35"/>
      <c r="F435" s="33"/>
      <c r="G435" s="33"/>
      <c r="H435" s="36"/>
      <c r="I435" s="33"/>
      <c r="J435" s="35"/>
      <c r="K435" s="33"/>
      <c r="L435" s="33"/>
      <c r="M435" s="36"/>
      <c r="N435" s="33"/>
      <c r="O435" s="35"/>
      <c r="P435" s="33"/>
      <c r="Q435" s="33"/>
      <c r="R435" s="36"/>
    </row>
    <row r="436" spans="1:18">
      <c r="A436" s="33"/>
      <c r="B436" s="34"/>
      <c r="C436" s="35"/>
      <c r="D436" s="33"/>
      <c r="E436" s="35"/>
      <c r="F436" s="33"/>
      <c r="G436" s="33"/>
      <c r="H436" s="36"/>
      <c r="I436" s="33"/>
      <c r="J436" s="35"/>
      <c r="K436" s="33"/>
      <c r="L436" s="33"/>
      <c r="M436" s="36"/>
      <c r="N436" s="33"/>
      <c r="O436" s="35"/>
      <c r="P436" s="33"/>
      <c r="Q436" s="33"/>
      <c r="R436" s="36"/>
    </row>
    <row r="437" spans="1:18">
      <c r="A437" s="33"/>
      <c r="B437" s="34"/>
      <c r="C437" s="35"/>
      <c r="D437" s="33"/>
      <c r="E437" s="35"/>
      <c r="F437" s="33"/>
      <c r="G437" s="33"/>
      <c r="H437" s="36"/>
      <c r="I437" s="33"/>
      <c r="J437" s="35"/>
      <c r="K437" s="33"/>
      <c r="L437" s="33"/>
      <c r="M437" s="36"/>
      <c r="N437" s="33"/>
      <c r="O437" s="35"/>
      <c r="P437" s="33"/>
      <c r="Q437" s="33"/>
      <c r="R437" s="36"/>
    </row>
    <row r="438" spans="1:18">
      <c r="A438" s="33"/>
      <c r="B438" s="34"/>
      <c r="C438" s="35"/>
      <c r="D438" s="33"/>
      <c r="E438" s="35"/>
      <c r="F438" s="33"/>
      <c r="G438" s="33"/>
      <c r="H438" s="36"/>
      <c r="I438" s="33"/>
      <c r="J438" s="35"/>
      <c r="K438" s="33"/>
      <c r="L438" s="33"/>
      <c r="M438" s="36"/>
      <c r="N438" s="33"/>
      <c r="O438" s="35"/>
      <c r="P438" s="33"/>
      <c r="Q438" s="33"/>
      <c r="R438" s="36"/>
    </row>
    <row r="439" spans="1:18">
      <c r="A439" s="33"/>
      <c r="B439" s="34"/>
      <c r="C439" s="35"/>
      <c r="D439" s="33"/>
      <c r="E439" s="35"/>
      <c r="F439" s="33"/>
      <c r="G439" s="33"/>
      <c r="H439" s="36"/>
      <c r="I439" s="33"/>
      <c r="J439" s="35"/>
      <c r="K439" s="33"/>
      <c r="L439" s="33"/>
      <c r="M439" s="36"/>
      <c r="N439" s="33"/>
      <c r="O439" s="35"/>
      <c r="P439" s="33"/>
      <c r="Q439" s="33"/>
      <c r="R439" s="36"/>
    </row>
    <row r="440" spans="1:18">
      <c r="A440" s="33"/>
      <c r="B440" s="34"/>
      <c r="C440" s="35"/>
      <c r="D440" s="33"/>
      <c r="E440" s="35"/>
      <c r="F440" s="33"/>
      <c r="G440" s="33"/>
      <c r="H440" s="36"/>
      <c r="I440" s="33"/>
      <c r="J440" s="35"/>
      <c r="K440" s="33"/>
      <c r="L440" s="33"/>
      <c r="M440" s="36"/>
      <c r="N440" s="33"/>
      <c r="O440" s="35"/>
      <c r="P440" s="33"/>
      <c r="Q440" s="33"/>
      <c r="R440" s="36"/>
    </row>
    <row r="441" spans="1:18">
      <c r="A441" s="33"/>
      <c r="B441" s="34"/>
      <c r="C441" s="35"/>
      <c r="D441" s="33"/>
      <c r="E441" s="35"/>
      <c r="F441" s="33"/>
      <c r="G441" s="33"/>
      <c r="H441" s="36"/>
      <c r="I441" s="33"/>
      <c r="J441" s="35"/>
      <c r="K441" s="33"/>
      <c r="L441" s="33"/>
      <c r="M441" s="36"/>
      <c r="N441" s="33"/>
      <c r="O441" s="35"/>
      <c r="P441" s="33"/>
      <c r="Q441" s="33"/>
      <c r="R441" s="36"/>
    </row>
    <row r="442" spans="1:18">
      <c r="A442" s="33"/>
      <c r="B442" s="34"/>
      <c r="C442" s="35"/>
      <c r="D442" s="33"/>
      <c r="E442" s="35"/>
      <c r="F442" s="33"/>
      <c r="G442" s="33"/>
      <c r="H442" s="36"/>
      <c r="I442" s="33"/>
      <c r="J442" s="35"/>
      <c r="K442" s="33"/>
      <c r="L442" s="33"/>
      <c r="M442" s="36"/>
      <c r="N442" s="33"/>
      <c r="O442" s="35"/>
      <c r="P442" s="33"/>
      <c r="Q442" s="33"/>
      <c r="R442" s="36"/>
    </row>
    <row r="443" spans="1:18">
      <c r="A443" s="33"/>
      <c r="B443" s="34"/>
      <c r="C443" s="35"/>
      <c r="D443" s="33"/>
      <c r="E443" s="35"/>
      <c r="F443" s="33"/>
      <c r="G443" s="33"/>
      <c r="H443" s="36"/>
      <c r="I443" s="33"/>
      <c r="J443" s="35"/>
      <c r="K443" s="33"/>
      <c r="L443" s="33"/>
      <c r="M443" s="36"/>
      <c r="N443" s="33"/>
      <c r="O443" s="35"/>
      <c r="P443" s="33"/>
      <c r="Q443" s="33"/>
      <c r="R443" s="36"/>
    </row>
    <row r="444" spans="1:18">
      <c r="A444" s="33"/>
      <c r="B444" s="34"/>
      <c r="C444" s="35"/>
      <c r="D444" s="33"/>
      <c r="E444" s="35"/>
      <c r="F444" s="33"/>
      <c r="G444" s="33"/>
      <c r="H444" s="36"/>
      <c r="I444" s="33"/>
      <c r="J444" s="35"/>
      <c r="K444" s="33"/>
      <c r="L444" s="33"/>
      <c r="M444" s="36"/>
      <c r="N444" s="33"/>
      <c r="O444" s="35"/>
      <c r="P444" s="33"/>
      <c r="Q444" s="33"/>
      <c r="R444" s="36"/>
    </row>
    <row r="445" spans="1:18">
      <c r="A445" s="33"/>
      <c r="B445" s="34"/>
      <c r="C445" s="35"/>
      <c r="D445" s="33"/>
      <c r="E445" s="35"/>
      <c r="F445" s="33"/>
      <c r="G445" s="33"/>
      <c r="H445" s="36"/>
      <c r="I445" s="33"/>
      <c r="J445" s="35"/>
      <c r="K445" s="33"/>
      <c r="L445" s="33"/>
      <c r="M445" s="36"/>
      <c r="N445" s="33"/>
      <c r="O445" s="35"/>
      <c r="P445" s="33"/>
      <c r="Q445" s="33"/>
      <c r="R445" s="36"/>
    </row>
    <row r="446" spans="1:18">
      <c r="A446" s="33"/>
      <c r="B446" s="34"/>
      <c r="C446" s="35"/>
      <c r="D446" s="33"/>
      <c r="E446" s="35"/>
      <c r="F446" s="33"/>
      <c r="G446" s="33"/>
      <c r="H446" s="36"/>
      <c r="I446" s="33"/>
      <c r="J446" s="35"/>
      <c r="K446" s="33"/>
      <c r="L446" s="33"/>
      <c r="M446" s="36"/>
      <c r="N446" s="33"/>
      <c r="O446" s="35"/>
      <c r="P446" s="33"/>
      <c r="Q446" s="33"/>
      <c r="R446" s="36"/>
    </row>
    <row r="447" spans="1:18">
      <c r="A447" s="33"/>
      <c r="B447" s="34"/>
      <c r="C447" s="35"/>
      <c r="D447" s="33"/>
      <c r="E447" s="35"/>
      <c r="F447" s="33"/>
      <c r="G447" s="33"/>
      <c r="H447" s="36"/>
      <c r="I447" s="33"/>
      <c r="J447" s="35"/>
      <c r="K447" s="33"/>
      <c r="L447" s="33"/>
      <c r="M447" s="36"/>
      <c r="N447" s="33"/>
      <c r="O447" s="35"/>
      <c r="P447" s="33"/>
      <c r="Q447" s="33"/>
      <c r="R447" s="36"/>
    </row>
    <row r="448" spans="1:18">
      <c r="A448" s="33"/>
      <c r="B448" s="34"/>
      <c r="C448" s="35"/>
      <c r="D448" s="33"/>
      <c r="E448" s="35"/>
      <c r="F448" s="33"/>
      <c r="G448" s="33"/>
      <c r="H448" s="36"/>
      <c r="I448" s="33"/>
      <c r="J448" s="35"/>
      <c r="K448" s="33"/>
      <c r="L448" s="33"/>
      <c r="M448" s="36"/>
      <c r="N448" s="33"/>
      <c r="O448" s="35"/>
      <c r="P448" s="33"/>
      <c r="Q448" s="33"/>
      <c r="R448" s="36"/>
    </row>
    <row r="449" spans="1:4">
      <c r="A449" s="33"/>
      <c r="B449" s="34"/>
      <c r="C449" s="35"/>
      <c r="D449" s="33"/>
    </row>
    <row r="450" spans="1:4">
      <c r="A450" s="33"/>
      <c r="B450" s="34"/>
      <c r="C450" s="35"/>
      <c r="D450" s="33"/>
    </row>
    <row r="451" spans="1:4">
      <c r="A451" s="33"/>
      <c r="B451" s="34"/>
      <c r="C451" s="35"/>
      <c r="D451" s="33"/>
    </row>
    <row r="452" spans="1:4">
      <c r="A452" s="33"/>
      <c r="B452" s="34"/>
      <c r="C452" s="35"/>
      <c r="D452" s="33"/>
    </row>
  </sheetData>
  <mergeCells count="22">
    <mergeCell ref="A5:A7"/>
    <mergeCell ref="B5:B7"/>
    <mergeCell ref="C5:C7"/>
    <mergeCell ref="I5:I7"/>
    <mergeCell ref="R5:R7"/>
    <mergeCell ref="L6:L7"/>
    <mergeCell ref="O6:O7"/>
    <mergeCell ref="Q6:Q7"/>
    <mergeCell ref="J6:J7"/>
    <mergeCell ref="J5:L5"/>
    <mergeCell ref="M5:M7"/>
    <mergeCell ref="N5:N7"/>
    <mergeCell ref="O5:Q5"/>
    <mergeCell ref="P6:P7"/>
    <mergeCell ref="K6:K7"/>
    <mergeCell ref="F6:F7"/>
    <mergeCell ref="B3:H3"/>
    <mergeCell ref="D5:D7"/>
    <mergeCell ref="E5:G5"/>
    <mergeCell ref="H5:H7"/>
    <mergeCell ref="E6:E7"/>
    <mergeCell ref="G6:G7"/>
  </mergeCells>
  <phoneticPr fontId="29" type="noConversion"/>
  <pageMargins left="0.27559055118110237" right="0.19685039370078741" top="0.39370078740157483" bottom="0.35433070866141736" header="0.23622047244094491" footer="0.19685039370078741"/>
  <pageSetup paperSize="9" scale="60" orientation="landscape" r:id="rId1"/>
  <headerFooter alignWithMargins="0">
    <oddFooter>&amp;L&amp;F&amp;C&amp;P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FC000"/>
  </sheetPr>
  <dimension ref="A1:T433"/>
  <sheetViews>
    <sheetView topLeftCell="A264" zoomScale="70" zoomScaleNormal="70" workbookViewId="0">
      <selection activeCell="B290" sqref="B290"/>
    </sheetView>
  </sheetViews>
  <sheetFormatPr defaultColWidth="9.109375" defaultRowHeight="10.199999999999999"/>
  <cols>
    <col min="1" max="1" width="15" style="21" customWidth="1"/>
    <col min="2" max="2" width="38.109375" style="1" customWidth="1"/>
    <col min="3" max="3" width="12" style="22" customWidth="1"/>
    <col min="4" max="4" width="10.88671875" style="21" customWidth="1"/>
    <col min="5" max="5" width="11" style="274" customWidth="1"/>
    <col min="6" max="7" width="11.44140625" style="274" customWidth="1"/>
    <col min="8" max="8" width="12.5546875" style="275" customWidth="1"/>
    <col min="9" max="9" width="11.44140625" style="273" customWidth="1"/>
    <col min="10" max="10" width="11" style="274" customWidth="1"/>
    <col min="11" max="12" width="11.44140625" style="274" customWidth="1"/>
    <col min="13" max="13" width="12.6640625" style="275" customWidth="1"/>
    <col min="14" max="14" width="11.44140625" style="273" customWidth="1"/>
    <col min="15" max="15" width="11" style="274" customWidth="1"/>
    <col min="16" max="17" width="11.44140625" style="274" customWidth="1"/>
    <col min="18" max="18" width="12.6640625" style="275" customWidth="1"/>
    <col min="19" max="16384" width="9.109375" style="3"/>
  </cols>
  <sheetData>
    <row r="1" spans="1:18" ht="13.2">
      <c r="A1" s="216"/>
      <c r="B1" s="216"/>
      <c r="C1" s="216"/>
      <c r="D1" s="216"/>
      <c r="E1" s="216"/>
      <c r="F1" s="422"/>
      <c r="G1" s="422"/>
      <c r="H1" s="217"/>
      <c r="I1" s="216"/>
      <c r="J1" s="216"/>
      <c r="K1" s="422"/>
      <c r="L1" s="422"/>
      <c r="M1" s="217"/>
      <c r="N1" s="216"/>
      <c r="O1" s="216"/>
      <c r="P1" s="422"/>
      <c r="Q1" s="422"/>
      <c r="R1" s="217"/>
    </row>
    <row r="2" spans="1:18" ht="13.2">
      <c r="A2" s="219"/>
      <c r="B2" s="1399"/>
      <c r="C2" s="1399"/>
      <c r="D2" s="1399"/>
      <c r="E2" s="1399"/>
      <c r="F2" s="1399"/>
      <c r="G2" s="1399"/>
      <c r="H2" s="1399"/>
      <c r="I2" s="577"/>
      <c r="J2" s="577"/>
      <c r="K2" s="423"/>
      <c r="L2" s="423"/>
      <c r="M2" s="220"/>
      <c r="N2" s="577"/>
      <c r="O2" s="577"/>
      <c r="P2" s="423"/>
      <c r="Q2" s="423"/>
      <c r="R2" s="220"/>
    </row>
    <row r="3" spans="1:18" s="1" customFormat="1" ht="12.75" customHeight="1">
      <c r="A3" s="221"/>
      <c r="B3" s="1400" t="s">
        <v>489</v>
      </c>
      <c r="C3" s="1400"/>
      <c r="D3" s="1400"/>
      <c r="E3" s="1400"/>
      <c r="F3" s="1400"/>
      <c r="G3" s="1400"/>
      <c r="H3" s="1400"/>
      <c r="I3" s="578"/>
      <c r="J3" s="578"/>
      <c r="K3" s="578"/>
      <c r="L3" s="578"/>
      <c r="M3" s="220"/>
      <c r="N3" s="578"/>
      <c r="O3" s="578"/>
      <c r="P3" s="578"/>
      <c r="Q3" s="578"/>
      <c r="R3" s="220"/>
    </row>
    <row r="4" spans="1:18" s="1" customFormat="1" ht="13.2">
      <c r="A4" s="221"/>
      <c r="B4" s="578"/>
      <c r="C4" s="222"/>
      <c r="D4" s="578"/>
      <c r="E4" s="578"/>
      <c r="F4" s="578"/>
      <c r="G4" s="578"/>
      <c r="H4" s="578"/>
      <c r="I4" s="578"/>
      <c r="J4" s="578"/>
      <c r="K4" s="578"/>
      <c r="L4" s="578"/>
      <c r="M4" s="578"/>
      <c r="N4" s="578"/>
      <c r="O4" s="578"/>
      <c r="P4" s="578"/>
      <c r="Q4" s="578"/>
      <c r="R4" s="578"/>
    </row>
    <row r="5" spans="1:18" s="1" customFormat="1" ht="14.25" customHeight="1">
      <c r="A5" s="1437" t="s">
        <v>213</v>
      </c>
      <c r="B5" s="1438"/>
      <c r="C5" s="1412" t="s">
        <v>202</v>
      </c>
      <c r="D5" s="1401" t="s">
        <v>231</v>
      </c>
      <c r="E5" s="1404" t="s">
        <v>232</v>
      </c>
      <c r="F5" s="1405"/>
      <c r="G5" s="1406"/>
      <c r="H5" s="1407" t="s">
        <v>486</v>
      </c>
      <c r="I5" s="1415" t="s">
        <v>234</v>
      </c>
      <c r="J5" s="1425" t="s">
        <v>232</v>
      </c>
      <c r="K5" s="1426"/>
      <c r="L5" s="1427"/>
      <c r="M5" s="1428" t="s">
        <v>487</v>
      </c>
      <c r="N5" s="1431" t="s">
        <v>235</v>
      </c>
      <c r="O5" s="1434" t="s">
        <v>232</v>
      </c>
      <c r="P5" s="1435"/>
      <c r="Q5" s="1436"/>
      <c r="R5" s="1418" t="s">
        <v>488</v>
      </c>
    </row>
    <row r="6" spans="1:18" s="1" customFormat="1" ht="18" customHeight="1">
      <c r="A6" s="1437"/>
      <c r="B6" s="1439"/>
      <c r="C6" s="1413"/>
      <c r="D6" s="1402"/>
      <c r="E6" s="1410" t="s">
        <v>233</v>
      </c>
      <c r="F6" s="1410" t="s">
        <v>496</v>
      </c>
      <c r="G6" s="1410" t="s">
        <v>485</v>
      </c>
      <c r="H6" s="1408"/>
      <c r="I6" s="1416"/>
      <c r="J6" s="1421" t="s">
        <v>233</v>
      </c>
      <c r="K6" s="1421" t="s">
        <v>496</v>
      </c>
      <c r="L6" s="1421" t="s">
        <v>485</v>
      </c>
      <c r="M6" s="1429"/>
      <c r="N6" s="1432"/>
      <c r="O6" s="1423" t="s">
        <v>233</v>
      </c>
      <c r="P6" s="1423" t="s">
        <v>496</v>
      </c>
      <c r="Q6" s="1423" t="s">
        <v>485</v>
      </c>
      <c r="R6" s="1419"/>
    </row>
    <row r="7" spans="1:18" s="1" customFormat="1" ht="25.95" customHeight="1">
      <c r="A7" s="1437"/>
      <c r="B7" s="1440"/>
      <c r="C7" s="1414"/>
      <c r="D7" s="1403"/>
      <c r="E7" s="1411"/>
      <c r="F7" s="1411"/>
      <c r="G7" s="1411"/>
      <c r="H7" s="1409"/>
      <c r="I7" s="1417"/>
      <c r="J7" s="1422"/>
      <c r="K7" s="1422"/>
      <c r="L7" s="1422"/>
      <c r="M7" s="1430"/>
      <c r="N7" s="1433"/>
      <c r="O7" s="1424"/>
      <c r="P7" s="1424"/>
      <c r="Q7" s="1424"/>
      <c r="R7" s="1420"/>
    </row>
    <row r="8" spans="1:18" s="25" customFormat="1">
      <c r="A8" s="804">
        <v>1</v>
      </c>
      <c r="B8" s="804">
        <v>2</v>
      </c>
      <c r="C8" s="804">
        <v>3</v>
      </c>
      <c r="D8" s="804">
        <v>4</v>
      </c>
      <c r="E8" s="804">
        <v>5</v>
      </c>
      <c r="F8" s="804">
        <v>6</v>
      </c>
      <c r="G8" s="804">
        <v>7</v>
      </c>
      <c r="H8" s="805" t="s">
        <v>482</v>
      </c>
      <c r="I8" s="804">
        <v>9</v>
      </c>
      <c r="J8" s="804">
        <v>10</v>
      </c>
      <c r="K8" s="804">
        <v>11</v>
      </c>
      <c r="L8" s="804">
        <v>12</v>
      </c>
      <c r="M8" s="805" t="s">
        <v>483</v>
      </c>
      <c r="N8" s="804">
        <v>14</v>
      </c>
      <c r="O8" s="804">
        <v>15</v>
      </c>
      <c r="P8" s="804">
        <v>16</v>
      </c>
      <c r="Q8" s="804">
        <v>17</v>
      </c>
      <c r="R8" s="805" t="s">
        <v>484</v>
      </c>
    </row>
    <row r="9" spans="1:18" ht="13.2">
      <c r="A9" s="388"/>
      <c r="B9" s="392" t="s">
        <v>12</v>
      </c>
      <c r="C9" s="387"/>
      <c r="D9" s="387"/>
      <c r="E9" s="387"/>
      <c r="F9" s="387"/>
      <c r="G9" s="387"/>
      <c r="H9" s="387"/>
      <c r="I9" s="387"/>
      <c r="J9" s="387"/>
      <c r="K9" s="387"/>
      <c r="L9" s="387"/>
      <c r="M9" s="387"/>
      <c r="N9" s="387"/>
      <c r="O9" s="387"/>
      <c r="P9" s="387"/>
      <c r="Q9" s="387"/>
      <c r="R9" s="387"/>
    </row>
    <row r="10" spans="1:18" s="4" customFormat="1" ht="20.399999999999999">
      <c r="A10" s="129" t="s">
        <v>201</v>
      </c>
      <c r="B10" s="123" t="s">
        <v>88</v>
      </c>
      <c r="C10" s="200">
        <v>457491514</v>
      </c>
      <c r="D10" s="200">
        <v>423075000</v>
      </c>
      <c r="E10" s="228">
        <f>E11+E12+E14+E32</f>
        <v>-73827</v>
      </c>
      <c r="F10" s="228">
        <f>F11+F12+F14+F32</f>
        <v>3292785</v>
      </c>
      <c r="G10" s="228">
        <f>G11+G12+G14+G32</f>
        <v>44863898</v>
      </c>
      <c r="H10" s="229">
        <f>SUM(D10:G10)</f>
        <v>471157856</v>
      </c>
      <c r="I10" s="228">
        <v>420013288</v>
      </c>
      <c r="J10" s="228">
        <f>J11+J12+J14+J32</f>
        <v>-73827</v>
      </c>
      <c r="K10" s="228">
        <f>K11+K12+K14+K32</f>
        <v>5283826</v>
      </c>
      <c r="L10" s="228">
        <f>L11+L12+L14+L32</f>
        <v>49183295</v>
      </c>
      <c r="M10" s="229">
        <f>SUM(I10:L10)</f>
        <v>474406582</v>
      </c>
      <c r="N10" s="228">
        <v>419793788</v>
      </c>
      <c r="O10" s="228">
        <f>O11+O12+O14+O32</f>
        <v>-73827</v>
      </c>
      <c r="P10" s="228">
        <f>P11+P12+P14+P32</f>
        <v>1836834</v>
      </c>
      <c r="Q10" s="228">
        <f>Q11+Q12+Q14+Q32</f>
        <v>48824488</v>
      </c>
      <c r="R10" s="229">
        <f>SUM(N10:Q10)</f>
        <v>470381283</v>
      </c>
    </row>
    <row r="11" spans="1:18" ht="22.8">
      <c r="A11" s="130" t="s">
        <v>177</v>
      </c>
      <c r="B11" s="124" t="s">
        <v>90</v>
      </c>
      <c r="C11" s="233">
        <f t="shared" ref="C11:R11" si="0">C95+C179</f>
        <v>14217521</v>
      </c>
      <c r="D11" s="233">
        <f t="shared" si="0"/>
        <v>8577775</v>
      </c>
      <c r="E11" s="233">
        <f t="shared" si="0"/>
        <v>-72315</v>
      </c>
      <c r="F11" s="233">
        <f t="shared" si="0"/>
        <v>186107</v>
      </c>
      <c r="G11" s="233">
        <f t="shared" si="0"/>
        <v>0</v>
      </c>
      <c r="H11" s="233">
        <f t="shared" si="0"/>
        <v>8691567</v>
      </c>
      <c r="I11" s="233">
        <f t="shared" si="0"/>
        <v>8577775</v>
      </c>
      <c r="J11" s="233">
        <f t="shared" si="0"/>
        <v>-72315</v>
      </c>
      <c r="K11" s="233">
        <f t="shared" si="0"/>
        <v>998956</v>
      </c>
      <c r="L11" s="233">
        <f t="shared" si="0"/>
        <v>0</v>
      </c>
      <c r="M11" s="233">
        <f t="shared" si="0"/>
        <v>9504416</v>
      </c>
      <c r="N11" s="233">
        <f t="shared" si="0"/>
        <v>8577775</v>
      </c>
      <c r="O11" s="233">
        <f t="shared" si="0"/>
        <v>-72315</v>
      </c>
      <c r="P11" s="233">
        <f t="shared" si="0"/>
        <v>998956</v>
      </c>
      <c r="Q11" s="233">
        <f t="shared" si="0"/>
        <v>0</v>
      </c>
      <c r="R11" s="233">
        <f t="shared" si="0"/>
        <v>9504416</v>
      </c>
    </row>
    <row r="12" spans="1:18" ht="12">
      <c r="A12" s="130" t="s">
        <v>91</v>
      </c>
      <c r="B12" s="124" t="s">
        <v>92</v>
      </c>
      <c r="C12" s="98">
        <v>80374</v>
      </c>
      <c r="D12" s="98">
        <v>51136</v>
      </c>
      <c r="E12" s="231"/>
      <c r="F12" s="231"/>
      <c r="G12" s="231"/>
      <c r="H12" s="232">
        <f t="shared" ref="H12:H17" si="1">SUM(D12:G12)</f>
        <v>51136</v>
      </c>
      <c r="I12" s="231">
        <v>51136</v>
      </c>
      <c r="J12" s="231"/>
      <c r="K12" s="231"/>
      <c r="L12" s="231"/>
      <c r="M12" s="232">
        <f t="shared" ref="M12:M17" si="2">SUM(I12:L12)</f>
        <v>51136</v>
      </c>
      <c r="N12" s="231">
        <v>51136</v>
      </c>
      <c r="O12" s="231"/>
      <c r="P12" s="231"/>
      <c r="Q12" s="231"/>
      <c r="R12" s="232">
        <f t="shared" ref="R12:R17" si="3">SUM(N12:Q12)</f>
        <v>51136</v>
      </c>
    </row>
    <row r="13" spans="1:18" ht="24" hidden="1" customHeight="1">
      <c r="A13" s="131">
        <v>21210</v>
      </c>
      <c r="B13" s="125" t="s">
        <v>93</v>
      </c>
      <c r="C13" s="98"/>
      <c r="D13" s="98">
        <v>0</v>
      </c>
      <c r="E13" s="231"/>
      <c r="F13" s="231"/>
      <c r="G13" s="231"/>
      <c r="H13" s="232">
        <f t="shared" si="1"/>
        <v>0</v>
      </c>
      <c r="I13" s="231">
        <v>0</v>
      </c>
      <c r="J13" s="231"/>
      <c r="K13" s="231"/>
      <c r="L13" s="231"/>
      <c r="M13" s="232">
        <f t="shared" si="2"/>
        <v>0</v>
      </c>
      <c r="N13" s="231">
        <v>0</v>
      </c>
      <c r="O13" s="231"/>
      <c r="P13" s="231"/>
      <c r="Q13" s="231"/>
      <c r="R13" s="232">
        <f t="shared" si="3"/>
        <v>0</v>
      </c>
    </row>
    <row r="14" spans="1:18" ht="12">
      <c r="A14" s="130" t="s">
        <v>178</v>
      </c>
      <c r="B14" s="124" t="s">
        <v>94</v>
      </c>
      <c r="C14" s="170">
        <v>27818</v>
      </c>
      <c r="D14" s="170">
        <v>0</v>
      </c>
      <c r="E14" s="233">
        <f>E15+E21</f>
        <v>0</v>
      </c>
      <c r="F14" s="233">
        <f>F15+F21</f>
        <v>0</v>
      </c>
      <c r="G14" s="233">
        <f>G15+G21</f>
        <v>0</v>
      </c>
      <c r="H14" s="232">
        <f t="shared" si="1"/>
        <v>0</v>
      </c>
      <c r="I14" s="233">
        <v>0</v>
      </c>
      <c r="J14" s="233">
        <f>J15+J21</f>
        <v>0</v>
      </c>
      <c r="K14" s="233">
        <f>K15+K21</f>
        <v>0</v>
      </c>
      <c r="L14" s="233">
        <f>L15+L21</f>
        <v>0</v>
      </c>
      <c r="M14" s="232">
        <f t="shared" si="2"/>
        <v>0</v>
      </c>
      <c r="N14" s="233">
        <v>0</v>
      </c>
      <c r="O14" s="233">
        <f>O15+O21</f>
        <v>0</v>
      </c>
      <c r="P14" s="233">
        <f>P15+P21</f>
        <v>0</v>
      </c>
      <c r="Q14" s="233">
        <f>Q15+Q21</f>
        <v>0</v>
      </c>
      <c r="R14" s="232">
        <f t="shared" si="3"/>
        <v>0</v>
      </c>
    </row>
    <row r="15" spans="1:18" ht="12">
      <c r="A15" s="132">
        <v>18000</v>
      </c>
      <c r="B15" s="125" t="s">
        <v>95</v>
      </c>
      <c r="C15" s="170">
        <v>27818</v>
      </c>
      <c r="D15" s="170">
        <v>0</v>
      </c>
      <c r="E15" s="233">
        <f t="shared" ref="E15:G16" si="4">E16</f>
        <v>0</v>
      </c>
      <c r="F15" s="233">
        <f t="shared" si="4"/>
        <v>0</v>
      </c>
      <c r="G15" s="233">
        <f t="shared" si="4"/>
        <v>0</v>
      </c>
      <c r="H15" s="232">
        <f t="shared" si="1"/>
        <v>0</v>
      </c>
      <c r="I15" s="233">
        <v>0</v>
      </c>
      <c r="J15" s="233">
        <f t="shared" ref="J15:L16" si="5">J16</f>
        <v>0</v>
      </c>
      <c r="K15" s="233">
        <f t="shared" si="5"/>
        <v>0</v>
      </c>
      <c r="L15" s="233">
        <f t="shared" si="5"/>
        <v>0</v>
      </c>
      <c r="M15" s="232">
        <f t="shared" si="2"/>
        <v>0</v>
      </c>
      <c r="N15" s="233">
        <v>0</v>
      </c>
      <c r="O15" s="233">
        <f t="shared" ref="O15:Q16" si="6">O16</f>
        <v>0</v>
      </c>
      <c r="P15" s="233">
        <f t="shared" si="6"/>
        <v>0</v>
      </c>
      <c r="Q15" s="233">
        <f t="shared" si="6"/>
        <v>0</v>
      </c>
      <c r="R15" s="232">
        <f t="shared" si="3"/>
        <v>0</v>
      </c>
    </row>
    <row r="16" spans="1:18" ht="12">
      <c r="A16" s="132">
        <v>18100</v>
      </c>
      <c r="B16" s="125" t="s">
        <v>96</v>
      </c>
      <c r="C16" s="170">
        <v>27818</v>
      </c>
      <c r="D16" s="170">
        <v>0</v>
      </c>
      <c r="E16" s="233">
        <f t="shared" si="4"/>
        <v>0</v>
      </c>
      <c r="F16" s="233">
        <f t="shared" si="4"/>
        <v>0</v>
      </c>
      <c r="G16" s="233">
        <f t="shared" si="4"/>
        <v>0</v>
      </c>
      <c r="H16" s="232">
        <f t="shared" si="1"/>
        <v>0</v>
      </c>
      <c r="I16" s="233">
        <v>0</v>
      </c>
      <c r="J16" s="233">
        <f t="shared" si="5"/>
        <v>0</v>
      </c>
      <c r="K16" s="233">
        <f t="shared" si="5"/>
        <v>0</v>
      </c>
      <c r="L16" s="233">
        <f t="shared" si="5"/>
        <v>0</v>
      </c>
      <c r="M16" s="232">
        <f t="shared" si="2"/>
        <v>0</v>
      </c>
      <c r="N16" s="233">
        <v>0</v>
      </c>
      <c r="O16" s="233">
        <f t="shared" si="6"/>
        <v>0</v>
      </c>
      <c r="P16" s="233">
        <f t="shared" si="6"/>
        <v>0</v>
      </c>
      <c r="Q16" s="233">
        <f t="shared" si="6"/>
        <v>0</v>
      </c>
      <c r="R16" s="232">
        <f t="shared" si="3"/>
        <v>0</v>
      </c>
    </row>
    <row r="17" spans="1:18" s="4" customFormat="1" ht="24">
      <c r="A17" s="133">
        <v>18130</v>
      </c>
      <c r="B17" s="172" t="s">
        <v>159</v>
      </c>
      <c r="C17" s="170">
        <v>27818</v>
      </c>
      <c r="D17" s="170">
        <v>0</v>
      </c>
      <c r="E17" s="233">
        <f>SUM(E18:E20)</f>
        <v>0</v>
      </c>
      <c r="F17" s="233">
        <f>SUM(F18:F20)</f>
        <v>0</v>
      </c>
      <c r="G17" s="233">
        <f>SUM(G18:G20)</f>
        <v>0</v>
      </c>
      <c r="H17" s="232">
        <f t="shared" si="1"/>
        <v>0</v>
      </c>
      <c r="I17" s="233">
        <v>0</v>
      </c>
      <c r="J17" s="233">
        <f>SUM(J18:J20)</f>
        <v>0</v>
      </c>
      <c r="K17" s="233">
        <f>SUM(K18:K20)</f>
        <v>0</v>
      </c>
      <c r="L17" s="233">
        <f>SUM(L18:L20)</f>
        <v>0</v>
      </c>
      <c r="M17" s="232">
        <f t="shared" si="2"/>
        <v>0</v>
      </c>
      <c r="N17" s="233">
        <v>0</v>
      </c>
      <c r="O17" s="233">
        <f>SUM(O18:O20)</f>
        <v>0</v>
      </c>
      <c r="P17" s="233">
        <f>SUM(P18:P20)</f>
        <v>0</v>
      </c>
      <c r="Q17" s="233">
        <f>SUM(Q18:Q20)</f>
        <v>0</v>
      </c>
      <c r="R17" s="232">
        <f t="shared" si="3"/>
        <v>0</v>
      </c>
    </row>
    <row r="18" spans="1:18" s="6" customFormat="1" ht="36">
      <c r="A18" s="134">
        <v>18131</v>
      </c>
      <c r="B18" s="172" t="s">
        <v>160</v>
      </c>
      <c r="C18" s="233">
        <f t="shared" ref="C18:R18" si="7">C102+C186</f>
        <v>27818</v>
      </c>
      <c r="D18" s="233">
        <f t="shared" si="7"/>
        <v>0</v>
      </c>
      <c r="E18" s="233">
        <f t="shared" si="7"/>
        <v>0</v>
      </c>
      <c r="F18" s="233">
        <f t="shared" si="7"/>
        <v>0</v>
      </c>
      <c r="G18" s="233">
        <f t="shared" si="7"/>
        <v>0</v>
      </c>
      <c r="H18" s="233">
        <f t="shared" si="7"/>
        <v>0</v>
      </c>
      <c r="I18" s="233">
        <f t="shared" si="7"/>
        <v>0</v>
      </c>
      <c r="J18" s="233">
        <f t="shared" si="7"/>
        <v>0</v>
      </c>
      <c r="K18" s="233">
        <f t="shared" si="7"/>
        <v>0</v>
      </c>
      <c r="L18" s="233">
        <f t="shared" si="7"/>
        <v>0</v>
      </c>
      <c r="M18" s="233">
        <f t="shared" si="7"/>
        <v>0</v>
      </c>
      <c r="N18" s="233">
        <f t="shared" si="7"/>
        <v>0</v>
      </c>
      <c r="O18" s="233">
        <f t="shared" si="7"/>
        <v>0</v>
      </c>
      <c r="P18" s="233">
        <f t="shared" si="7"/>
        <v>0</v>
      </c>
      <c r="Q18" s="233">
        <f t="shared" si="7"/>
        <v>0</v>
      </c>
      <c r="R18" s="233">
        <f t="shared" si="7"/>
        <v>0</v>
      </c>
    </row>
    <row r="19" spans="1:18" s="6" customFormat="1" ht="24" hidden="1" customHeight="1">
      <c r="A19" s="134">
        <v>18132</v>
      </c>
      <c r="B19" s="172" t="s">
        <v>169</v>
      </c>
      <c r="C19" s="170"/>
      <c r="D19" s="170">
        <v>0</v>
      </c>
      <c r="E19" s="233"/>
      <c r="F19" s="233"/>
      <c r="G19" s="233"/>
      <c r="H19" s="232">
        <f t="shared" ref="H19:H32" si="8">SUM(D19:G19)</f>
        <v>0</v>
      </c>
      <c r="I19" s="233">
        <v>0</v>
      </c>
      <c r="J19" s="233"/>
      <c r="K19" s="233"/>
      <c r="L19" s="233"/>
      <c r="M19" s="232">
        <f t="shared" ref="M19:M32" si="9">SUM(I19:L19)</f>
        <v>0</v>
      </c>
      <c r="N19" s="233">
        <v>0</v>
      </c>
      <c r="O19" s="233"/>
      <c r="P19" s="233"/>
      <c r="Q19" s="233"/>
      <c r="R19" s="232">
        <f t="shared" ref="R19:R32" si="10">SUM(N19:Q19)</f>
        <v>0</v>
      </c>
    </row>
    <row r="20" spans="1:18" s="6" customFormat="1" ht="24" hidden="1" customHeight="1">
      <c r="A20" s="134">
        <v>18139</v>
      </c>
      <c r="B20" s="172" t="s">
        <v>179</v>
      </c>
      <c r="C20" s="170"/>
      <c r="D20" s="170">
        <v>0</v>
      </c>
      <c r="E20" s="233"/>
      <c r="F20" s="233"/>
      <c r="G20" s="233"/>
      <c r="H20" s="232">
        <f t="shared" si="8"/>
        <v>0</v>
      </c>
      <c r="I20" s="233">
        <v>0</v>
      </c>
      <c r="J20" s="233"/>
      <c r="K20" s="233"/>
      <c r="L20" s="233"/>
      <c r="M20" s="232">
        <f t="shared" si="9"/>
        <v>0</v>
      </c>
      <c r="N20" s="233">
        <v>0</v>
      </c>
      <c r="O20" s="233"/>
      <c r="P20" s="233"/>
      <c r="Q20" s="233"/>
      <c r="R20" s="232">
        <f t="shared" si="10"/>
        <v>0</v>
      </c>
    </row>
    <row r="21" spans="1:18" s="6" customFormat="1" ht="12" hidden="1" customHeight="1">
      <c r="A21" s="135" t="s">
        <v>180</v>
      </c>
      <c r="B21" s="173" t="s">
        <v>173</v>
      </c>
      <c r="C21" s="201">
        <v>0</v>
      </c>
      <c r="D21" s="201">
        <v>0</v>
      </c>
      <c r="E21" s="238">
        <f>E22</f>
        <v>0</v>
      </c>
      <c r="F21" s="238">
        <f>F22</f>
        <v>0</v>
      </c>
      <c r="G21" s="238">
        <f>G22</f>
        <v>0</v>
      </c>
      <c r="H21" s="232">
        <f t="shared" si="8"/>
        <v>0</v>
      </c>
      <c r="I21" s="238">
        <v>0</v>
      </c>
      <c r="J21" s="238">
        <f>J22</f>
        <v>0</v>
      </c>
      <c r="K21" s="238">
        <f>K22</f>
        <v>0</v>
      </c>
      <c r="L21" s="238">
        <f>L22</f>
        <v>0</v>
      </c>
      <c r="M21" s="232">
        <f t="shared" si="9"/>
        <v>0</v>
      </c>
      <c r="N21" s="238">
        <v>0</v>
      </c>
      <c r="O21" s="238">
        <f>O22</f>
        <v>0</v>
      </c>
      <c r="P21" s="238">
        <f>P22</f>
        <v>0</v>
      </c>
      <c r="Q21" s="238">
        <f>Q22</f>
        <v>0</v>
      </c>
      <c r="R21" s="232">
        <f t="shared" si="10"/>
        <v>0</v>
      </c>
    </row>
    <row r="22" spans="1:18" s="6" customFormat="1" ht="24" hidden="1" customHeight="1">
      <c r="A22" s="135">
        <v>19500</v>
      </c>
      <c r="B22" s="172" t="s">
        <v>174</v>
      </c>
      <c r="C22" s="170">
        <v>0</v>
      </c>
      <c r="D22" s="170">
        <v>0</v>
      </c>
      <c r="E22" s="233">
        <f>SUM(E23:E25)</f>
        <v>0</v>
      </c>
      <c r="F22" s="233">
        <f>SUM(F23:F25)</f>
        <v>0</v>
      </c>
      <c r="G22" s="233">
        <f>SUM(G23:G25)</f>
        <v>0</v>
      </c>
      <c r="H22" s="232">
        <f t="shared" si="8"/>
        <v>0</v>
      </c>
      <c r="I22" s="233">
        <v>0</v>
      </c>
      <c r="J22" s="233">
        <f>SUM(J23:J25)</f>
        <v>0</v>
      </c>
      <c r="K22" s="233">
        <f>SUM(K23:K25)</f>
        <v>0</v>
      </c>
      <c r="L22" s="233">
        <f>SUM(L23:L25)</f>
        <v>0</v>
      </c>
      <c r="M22" s="232">
        <f t="shared" si="9"/>
        <v>0</v>
      </c>
      <c r="N22" s="233">
        <v>0</v>
      </c>
      <c r="O22" s="233">
        <f>SUM(O23:O25)</f>
        <v>0</v>
      </c>
      <c r="P22" s="233">
        <f>SUM(P23:P25)</f>
        <v>0</v>
      </c>
      <c r="Q22" s="233">
        <f>SUM(Q23:Q25)</f>
        <v>0</v>
      </c>
      <c r="R22" s="232">
        <f t="shared" si="10"/>
        <v>0</v>
      </c>
    </row>
    <row r="23" spans="1:18" s="6" customFormat="1" ht="24" hidden="1" customHeight="1">
      <c r="A23" s="136">
        <v>19550</v>
      </c>
      <c r="B23" s="172" t="s">
        <v>175</v>
      </c>
      <c r="C23" s="170"/>
      <c r="D23" s="170">
        <v>0</v>
      </c>
      <c r="E23" s="233"/>
      <c r="F23" s="233"/>
      <c r="G23" s="233"/>
      <c r="H23" s="232">
        <f t="shared" si="8"/>
        <v>0</v>
      </c>
      <c r="I23" s="233">
        <v>0</v>
      </c>
      <c r="J23" s="233"/>
      <c r="K23" s="233"/>
      <c r="L23" s="233"/>
      <c r="M23" s="232">
        <f t="shared" si="9"/>
        <v>0</v>
      </c>
      <c r="N23" s="233">
        <v>0</v>
      </c>
      <c r="O23" s="233"/>
      <c r="P23" s="233"/>
      <c r="Q23" s="233"/>
      <c r="R23" s="232">
        <f t="shared" si="10"/>
        <v>0</v>
      </c>
    </row>
    <row r="24" spans="1:18" s="6" customFormat="1" ht="36" hidden="1" customHeight="1">
      <c r="A24" s="136">
        <v>19560</v>
      </c>
      <c r="B24" s="172" t="s">
        <v>181</v>
      </c>
      <c r="C24" s="170"/>
      <c r="D24" s="170">
        <v>0</v>
      </c>
      <c r="E24" s="233"/>
      <c r="F24" s="233"/>
      <c r="G24" s="233"/>
      <c r="H24" s="232">
        <f t="shared" si="8"/>
        <v>0</v>
      </c>
      <c r="I24" s="233">
        <v>0</v>
      </c>
      <c r="J24" s="233"/>
      <c r="K24" s="233"/>
      <c r="L24" s="233"/>
      <c r="M24" s="232">
        <f t="shared" si="9"/>
        <v>0</v>
      </c>
      <c r="N24" s="233">
        <v>0</v>
      </c>
      <c r="O24" s="233"/>
      <c r="P24" s="233"/>
      <c r="Q24" s="233"/>
      <c r="R24" s="232">
        <f t="shared" si="10"/>
        <v>0</v>
      </c>
    </row>
    <row r="25" spans="1:18" s="6" customFormat="1" ht="72" hidden="1" customHeight="1">
      <c r="A25" s="136">
        <v>19570</v>
      </c>
      <c r="B25" s="172" t="s">
        <v>182</v>
      </c>
      <c r="C25" s="170"/>
      <c r="D25" s="170">
        <v>0</v>
      </c>
      <c r="E25" s="233"/>
      <c r="F25" s="233"/>
      <c r="G25" s="233"/>
      <c r="H25" s="232">
        <f t="shared" si="8"/>
        <v>0</v>
      </c>
      <c r="I25" s="233">
        <v>0</v>
      </c>
      <c r="J25" s="233"/>
      <c r="K25" s="233"/>
      <c r="L25" s="233"/>
      <c r="M25" s="232">
        <f t="shared" si="9"/>
        <v>0</v>
      </c>
      <c r="N25" s="233">
        <v>0</v>
      </c>
      <c r="O25" s="233"/>
      <c r="P25" s="233"/>
      <c r="Q25" s="233"/>
      <c r="R25" s="232">
        <f t="shared" si="10"/>
        <v>0</v>
      </c>
    </row>
    <row r="26" spans="1:18" s="6" customFormat="1" ht="36" hidden="1" customHeight="1">
      <c r="A26" s="209" t="s">
        <v>222</v>
      </c>
      <c r="B26" s="208" t="s">
        <v>216</v>
      </c>
      <c r="C26" s="106">
        <f>C27</f>
        <v>0</v>
      </c>
      <c r="D26" s="106">
        <v>0</v>
      </c>
      <c r="E26" s="232">
        <f>E27</f>
        <v>0</v>
      </c>
      <c r="F26" s="232">
        <f>F27</f>
        <v>0</v>
      </c>
      <c r="G26" s="232">
        <f>G27</f>
        <v>0</v>
      </c>
      <c r="H26" s="232">
        <f t="shared" si="8"/>
        <v>0</v>
      </c>
      <c r="I26" s="233">
        <v>0</v>
      </c>
      <c r="J26" s="232">
        <f>J27</f>
        <v>0</v>
      </c>
      <c r="K26" s="232">
        <f>K27</f>
        <v>0</v>
      </c>
      <c r="L26" s="232">
        <f>L27</f>
        <v>0</v>
      </c>
      <c r="M26" s="232">
        <f t="shared" si="9"/>
        <v>0</v>
      </c>
      <c r="N26" s="233">
        <v>0</v>
      </c>
      <c r="O26" s="232">
        <f>O27</f>
        <v>0</v>
      </c>
      <c r="P26" s="232">
        <f>P27</f>
        <v>0</v>
      </c>
      <c r="Q26" s="232">
        <f>Q27</f>
        <v>0</v>
      </c>
      <c r="R26" s="232">
        <f t="shared" si="10"/>
        <v>0</v>
      </c>
    </row>
    <row r="27" spans="1:18" s="6" customFormat="1" ht="36" hidden="1" customHeight="1">
      <c r="A27" s="209">
        <v>17100</v>
      </c>
      <c r="B27" s="208" t="s">
        <v>217</v>
      </c>
      <c r="C27" s="106">
        <f>SUM(C28:C31)</f>
        <v>0</v>
      </c>
      <c r="D27" s="106">
        <v>0</v>
      </c>
      <c r="E27" s="232">
        <f>SUM(E28:E31)</f>
        <v>0</v>
      </c>
      <c r="F27" s="232">
        <f>SUM(F28:F31)</f>
        <v>0</v>
      </c>
      <c r="G27" s="232">
        <f>SUM(G28:G31)</f>
        <v>0</v>
      </c>
      <c r="H27" s="232">
        <f t="shared" si="8"/>
        <v>0</v>
      </c>
      <c r="I27" s="233">
        <v>0</v>
      </c>
      <c r="J27" s="232">
        <f>SUM(J28:J31)</f>
        <v>0</v>
      </c>
      <c r="K27" s="232">
        <f>SUM(K28:K31)</f>
        <v>0</v>
      </c>
      <c r="L27" s="232">
        <f>SUM(L28:L31)</f>
        <v>0</v>
      </c>
      <c r="M27" s="232">
        <f t="shared" si="9"/>
        <v>0</v>
      </c>
      <c r="N27" s="233">
        <v>0</v>
      </c>
      <c r="O27" s="232">
        <f>SUM(O28:O31)</f>
        <v>0</v>
      </c>
      <c r="P27" s="232">
        <f>SUM(P28:P31)</f>
        <v>0</v>
      </c>
      <c r="Q27" s="232">
        <f>SUM(Q28:Q31)</f>
        <v>0</v>
      </c>
      <c r="R27" s="232">
        <f t="shared" si="10"/>
        <v>0</v>
      </c>
    </row>
    <row r="28" spans="1:18" s="6" customFormat="1" ht="60" hidden="1" customHeight="1">
      <c r="A28" s="149">
        <v>17110</v>
      </c>
      <c r="B28" s="208" t="s">
        <v>218</v>
      </c>
      <c r="C28" s="106"/>
      <c r="D28" s="106">
        <v>0</v>
      </c>
      <c r="E28" s="233"/>
      <c r="F28" s="233"/>
      <c r="G28" s="233"/>
      <c r="H28" s="232">
        <f t="shared" si="8"/>
        <v>0</v>
      </c>
      <c r="I28" s="233">
        <v>0</v>
      </c>
      <c r="J28" s="233"/>
      <c r="K28" s="233"/>
      <c r="L28" s="233"/>
      <c r="M28" s="232">
        <f t="shared" si="9"/>
        <v>0</v>
      </c>
      <c r="N28" s="233">
        <v>0</v>
      </c>
      <c r="O28" s="233"/>
      <c r="P28" s="233"/>
      <c r="Q28" s="233"/>
      <c r="R28" s="232">
        <f t="shared" si="10"/>
        <v>0</v>
      </c>
    </row>
    <row r="29" spans="1:18" s="6" customFormat="1" ht="60" hidden="1" customHeight="1">
      <c r="A29" s="149">
        <v>17120</v>
      </c>
      <c r="B29" s="208" t="s">
        <v>219</v>
      </c>
      <c r="C29" s="106"/>
      <c r="D29" s="106">
        <v>0</v>
      </c>
      <c r="E29" s="233"/>
      <c r="F29" s="233"/>
      <c r="G29" s="233"/>
      <c r="H29" s="232">
        <f t="shared" si="8"/>
        <v>0</v>
      </c>
      <c r="I29" s="233">
        <v>0</v>
      </c>
      <c r="J29" s="233"/>
      <c r="K29" s="233"/>
      <c r="L29" s="233"/>
      <c r="M29" s="232">
        <f t="shared" si="9"/>
        <v>0</v>
      </c>
      <c r="N29" s="233">
        <v>0</v>
      </c>
      <c r="O29" s="233"/>
      <c r="P29" s="233"/>
      <c r="Q29" s="233"/>
      <c r="R29" s="232">
        <f t="shared" si="10"/>
        <v>0</v>
      </c>
    </row>
    <row r="30" spans="1:18" s="6" customFormat="1" ht="108" hidden="1" customHeight="1">
      <c r="A30" s="149">
        <v>17130</v>
      </c>
      <c r="B30" s="208" t="s">
        <v>220</v>
      </c>
      <c r="C30" s="106"/>
      <c r="D30" s="106">
        <v>0</v>
      </c>
      <c r="E30" s="233"/>
      <c r="F30" s="233"/>
      <c r="G30" s="233"/>
      <c r="H30" s="232">
        <f t="shared" si="8"/>
        <v>0</v>
      </c>
      <c r="I30" s="233">
        <v>0</v>
      </c>
      <c r="J30" s="233"/>
      <c r="K30" s="233"/>
      <c r="L30" s="233"/>
      <c r="M30" s="232">
        <f t="shared" si="9"/>
        <v>0</v>
      </c>
      <c r="N30" s="233">
        <v>0</v>
      </c>
      <c r="O30" s="233"/>
      <c r="P30" s="233"/>
      <c r="Q30" s="233"/>
      <c r="R30" s="232">
        <f t="shared" si="10"/>
        <v>0</v>
      </c>
    </row>
    <row r="31" spans="1:18" s="6" customFormat="1" ht="108" hidden="1" customHeight="1">
      <c r="A31" s="149">
        <v>17140</v>
      </c>
      <c r="B31" s="208" t="s">
        <v>221</v>
      </c>
      <c r="C31" s="106"/>
      <c r="D31" s="106">
        <v>0</v>
      </c>
      <c r="E31" s="233"/>
      <c r="F31" s="233"/>
      <c r="G31" s="233"/>
      <c r="H31" s="232">
        <f t="shared" si="8"/>
        <v>0</v>
      </c>
      <c r="I31" s="233">
        <v>0</v>
      </c>
      <c r="J31" s="233"/>
      <c r="K31" s="233"/>
      <c r="L31" s="233"/>
      <c r="M31" s="232">
        <f t="shared" si="9"/>
        <v>0</v>
      </c>
      <c r="N31" s="233">
        <v>0</v>
      </c>
      <c r="O31" s="233"/>
      <c r="P31" s="233"/>
      <c r="Q31" s="233"/>
      <c r="R31" s="232">
        <f t="shared" si="10"/>
        <v>0</v>
      </c>
    </row>
    <row r="32" spans="1:18" s="6" customFormat="1" ht="12">
      <c r="A32" s="137">
        <v>21700</v>
      </c>
      <c r="B32" s="124" t="s">
        <v>97</v>
      </c>
      <c r="C32" s="170">
        <v>443165801</v>
      </c>
      <c r="D32" s="170">
        <v>414446089</v>
      </c>
      <c r="E32" s="233">
        <f>E33+E34</f>
        <v>-1512</v>
      </c>
      <c r="F32" s="233">
        <f>F33+F34</f>
        <v>3106678</v>
      </c>
      <c r="G32" s="233">
        <f>G33+G34</f>
        <v>44863898</v>
      </c>
      <c r="H32" s="232">
        <f t="shared" si="8"/>
        <v>462415153</v>
      </c>
      <c r="I32" s="233">
        <v>411384377</v>
      </c>
      <c r="J32" s="233">
        <f>J33+J34</f>
        <v>-1512</v>
      </c>
      <c r="K32" s="233">
        <f>K33+K34</f>
        <v>4284870</v>
      </c>
      <c r="L32" s="233">
        <f>L33+L34</f>
        <v>49183295</v>
      </c>
      <c r="M32" s="232">
        <f t="shared" si="9"/>
        <v>464851030</v>
      </c>
      <c r="N32" s="233">
        <v>411164877</v>
      </c>
      <c r="O32" s="233">
        <f>O33+O34</f>
        <v>-1512</v>
      </c>
      <c r="P32" s="233">
        <f>P33+P34</f>
        <v>837878</v>
      </c>
      <c r="Q32" s="233">
        <f>Q33+Q34</f>
        <v>48824488</v>
      </c>
      <c r="R32" s="232">
        <f t="shared" si="10"/>
        <v>460825731</v>
      </c>
    </row>
    <row r="33" spans="1:18" s="6" customFormat="1" ht="24">
      <c r="A33" s="138">
        <v>21710</v>
      </c>
      <c r="B33" s="125" t="s">
        <v>98</v>
      </c>
      <c r="C33" s="233">
        <f t="shared" ref="C33:R33" si="11">C117+C201</f>
        <v>443165801</v>
      </c>
      <c r="D33" s="233">
        <f t="shared" si="11"/>
        <v>414446089</v>
      </c>
      <c r="E33" s="233">
        <f t="shared" si="11"/>
        <v>-1512</v>
      </c>
      <c r="F33" s="233">
        <f t="shared" si="11"/>
        <v>3106678</v>
      </c>
      <c r="G33" s="233">
        <f t="shared" si="11"/>
        <v>44863898</v>
      </c>
      <c r="H33" s="233">
        <f t="shared" si="11"/>
        <v>462415153</v>
      </c>
      <c r="I33" s="233">
        <f t="shared" si="11"/>
        <v>411384377</v>
      </c>
      <c r="J33" s="233">
        <f t="shared" si="11"/>
        <v>-1512</v>
      </c>
      <c r="K33" s="233">
        <f t="shared" si="11"/>
        <v>4284870</v>
      </c>
      <c r="L33" s="233">
        <f t="shared" si="11"/>
        <v>49183295</v>
      </c>
      <c r="M33" s="233">
        <f t="shared" si="11"/>
        <v>464851030</v>
      </c>
      <c r="N33" s="233">
        <f t="shared" si="11"/>
        <v>411164877</v>
      </c>
      <c r="O33" s="233">
        <f t="shared" si="11"/>
        <v>-1512</v>
      </c>
      <c r="P33" s="233">
        <f t="shared" si="11"/>
        <v>837878</v>
      </c>
      <c r="Q33" s="233">
        <f t="shared" si="11"/>
        <v>48824488</v>
      </c>
      <c r="R33" s="233">
        <f t="shared" si="11"/>
        <v>460825731</v>
      </c>
    </row>
    <row r="34" spans="1:18" s="6" customFormat="1" ht="24" hidden="1" customHeight="1">
      <c r="A34" s="138">
        <v>21720</v>
      </c>
      <c r="B34" s="125" t="s">
        <v>99</v>
      </c>
      <c r="C34" s="170"/>
      <c r="D34" s="170">
        <v>0</v>
      </c>
      <c r="E34" s="233"/>
      <c r="F34" s="233"/>
      <c r="G34" s="233"/>
      <c r="H34" s="232">
        <f>SUM(D34:G34)</f>
        <v>0</v>
      </c>
      <c r="I34" s="233">
        <v>0</v>
      </c>
      <c r="J34" s="233"/>
      <c r="K34" s="233"/>
      <c r="L34" s="233"/>
      <c r="M34" s="232">
        <f>SUM(I34:L34)</f>
        <v>0</v>
      </c>
      <c r="N34" s="233">
        <v>0</v>
      </c>
      <c r="O34" s="233"/>
      <c r="P34" s="233"/>
      <c r="Q34" s="233"/>
      <c r="R34" s="232">
        <f>SUM(N34:Q34)</f>
        <v>0</v>
      </c>
    </row>
    <row r="35" spans="1:18" s="6" customFormat="1" ht="11.4">
      <c r="A35" s="129" t="s">
        <v>100</v>
      </c>
      <c r="B35" s="123" t="s">
        <v>101</v>
      </c>
      <c r="C35" s="168">
        <v>457491514</v>
      </c>
      <c r="D35" s="168">
        <v>423075000</v>
      </c>
      <c r="E35" s="243">
        <f>E36+E63</f>
        <v>-73827</v>
      </c>
      <c r="F35" s="243">
        <f>F36+F63</f>
        <v>3292785</v>
      </c>
      <c r="G35" s="243">
        <f>G36+G63</f>
        <v>44863898</v>
      </c>
      <c r="H35" s="229">
        <f>SUM(D35:G35)</f>
        <v>471157856</v>
      </c>
      <c r="I35" s="243">
        <v>420013288</v>
      </c>
      <c r="J35" s="243">
        <f>J36+J63</f>
        <v>-73827</v>
      </c>
      <c r="K35" s="243">
        <f>K36+K63</f>
        <v>5283826</v>
      </c>
      <c r="L35" s="243">
        <f>L36+L63</f>
        <v>49183295</v>
      </c>
      <c r="M35" s="229">
        <f>SUM(I35:L35)</f>
        <v>474406582</v>
      </c>
      <c r="N35" s="243">
        <v>419793788</v>
      </c>
      <c r="O35" s="243">
        <f>O36+O63</f>
        <v>-73827</v>
      </c>
      <c r="P35" s="243">
        <f>P36+P63</f>
        <v>1836834</v>
      </c>
      <c r="Q35" s="243">
        <f>Q36+Q63</f>
        <v>48824488</v>
      </c>
      <c r="R35" s="229">
        <f>SUM(N35:Q35)</f>
        <v>470381283</v>
      </c>
    </row>
    <row r="36" spans="1:18" s="6" customFormat="1" ht="20.399999999999999">
      <c r="A36" s="130" t="s">
        <v>102</v>
      </c>
      <c r="B36" s="124" t="s">
        <v>103</v>
      </c>
      <c r="C36" s="170">
        <v>448317961</v>
      </c>
      <c r="D36" s="170">
        <v>420899868</v>
      </c>
      <c r="E36" s="233">
        <f>E37+E41+E42+E45+E48</f>
        <v>-73815</v>
      </c>
      <c r="F36" s="233">
        <f>F37+F41+F42+F45+F48</f>
        <v>3292785</v>
      </c>
      <c r="G36" s="233">
        <f>G37+G41+G42+G45+G48</f>
        <v>44861059</v>
      </c>
      <c r="H36" s="232">
        <f>SUM(D36:G36)</f>
        <v>468979897</v>
      </c>
      <c r="I36" s="233">
        <v>419328240</v>
      </c>
      <c r="J36" s="233">
        <f>J37+J41+J42+J45+J48</f>
        <v>-73815</v>
      </c>
      <c r="K36" s="233">
        <f>K37+K41+K42+K45+K48</f>
        <v>5283826</v>
      </c>
      <c r="L36" s="233">
        <f>L37+L41+L42+L45+L48</f>
        <v>49181501</v>
      </c>
      <c r="M36" s="232">
        <f>SUM(I36:L36)</f>
        <v>473719752</v>
      </c>
      <c r="N36" s="233">
        <v>419124740</v>
      </c>
      <c r="O36" s="233">
        <f>O37+O41+O42+O45+O48</f>
        <v>-73815</v>
      </c>
      <c r="P36" s="233">
        <f>P37+P41+P42+P45+P48</f>
        <v>1836834</v>
      </c>
      <c r="Q36" s="233">
        <f>Q37+Q41+Q42+Q45+Q48</f>
        <v>48823923</v>
      </c>
      <c r="R36" s="232">
        <f>SUM(N36:Q36)</f>
        <v>469711682</v>
      </c>
    </row>
    <row r="37" spans="1:18" s="6" customFormat="1" ht="12">
      <c r="A37" s="130" t="s">
        <v>104</v>
      </c>
      <c r="B37" s="124" t="s">
        <v>105</v>
      </c>
      <c r="C37" s="170">
        <v>66856675</v>
      </c>
      <c r="D37" s="170">
        <v>51014091</v>
      </c>
      <c r="E37" s="233">
        <f>E38+E40</f>
        <v>-297313</v>
      </c>
      <c r="F37" s="233">
        <f>F38+F40</f>
        <v>194338</v>
      </c>
      <c r="G37" s="233">
        <f>G38+G40</f>
        <v>1516254</v>
      </c>
      <c r="H37" s="232">
        <f>SUM(D37:G37)</f>
        <v>52427370</v>
      </c>
      <c r="I37" s="233">
        <v>49442463</v>
      </c>
      <c r="J37" s="233">
        <f>J38+J40</f>
        <v>-297313</v>
      </c>
      <c r="K37" s="233">
        <f>K38+K40</f>
        <v>148143</v>
      </c>
      <c r="L37" s="233">
        <f>L38+L40</f>
        <v>1834635</v>
      </c>
      <c r="M37" s="232">
        <f>SUM(I37:L37)</f>
        <v>51127928</v>
      </c>
      <c r="N37" s="233">
        <v>49238963</v>
      </c>
      <c r="O37" s="233">
        <f>O38+O40</f>
        <v>-297313</v>
      </c>
      <c r="P37" s="233">
        <f>P38+P40</f>
        <v>42882</v>
      </c>
      <c r="Q37" s="233">
        <f>Q38+Q40</f>
        <v>1582318</v>
      </c>
      <c r="R37" s="232">
        <f>SUM(N37:Q37)</f>
        <v>50566850</v>
      </c>
    </row>
    <row r="38" spans="1:18" s="6" customFormat="1" ht="12">
      <c r="A38" s="132">
        <v>1000</v>
      </c>
      <c r="B38" s="125" t="s">
        <v>106</v>
      </c>
      <c r="C38" s="233">
        <f t="shared" ref="C38:R40" si="12">C122+C206</f>
        <v>41647322</v>
      </c>
      <c r="D38" s="233">
        <f t="shared" si="12"/>
        <v>33924641</v>
      </c>
      <c r="E38" s="233">
        <f t="shared" si="12"/>
        <v>1592</v>
      </c>
      <c r="F38" s="233">
        <f t="shared" si="12"/>
        <v>0</v>
      </c>
      <c r="G38" s="233">
        <f t="shared" si="12"/>
        <v>33292</v>
      </c>
      <c r="H38" s="233">
        <f t="shared" si="12"/>
        <v>33959525</v>
      </c>
      <c r="I38" s="233">
        <f t="shared" si="12"/>
        <v>33834949</v>
      </c>
      <c r="J38" s="233">
        <f t="shared" si="12"/>
        <v>1592</v>
      </c>
      <c r="K38" s="233">
        <f t="shared" si="12"/>
        <v>0</v>
      </c>
      <c r="L38" s="233">
        <f t="shared" si="12"/>
        <v>227377</v>
      </c>
      <c r="M38" s="233">
        <f t="shared" si="12"/>
        <v>34063918</v>
      </c>
      <c r="N38" s="233">
        <f t="shared" si="12"/>
        <v>33682949</v>
      </c>
      <c r="O38" s="233">
        <f t="shared" si="12"/>
        <v>1592</v>
      </c>
      <c r="P38" s="233">
        <f t="shared" si="12"/>
        <v>0</v>
      </c>
      <c r="Q38" s="233">
        <f t="shared" si="12"/>
        <v>21741</v>
      </c>
      <c r="R38" s="233">
        <f t="shared" si="12"/>
        <v>33706282</v>
      </c>
    </row>
    <row r="39" spans="1:18" s="6" customFormat="1" ht="12">
      <c r="A39" s="139">
        <v>1100</v>
      </c>
      <c r="B39" s="125" t="s">
        <v>107</v>
      </c>
      <c r="C39" s="233">
        <f t="shared" si="12"/>
        <v>33320040</v>
      </c>
      <c r="D39" s="233">
        <f t="shared" si="12"/>
        <v>27171931</v>
      </c>
      <c r="E39" s="233">
        <f t="shared" si="12"/>
        <v>1283</v>
      </c>
      <c r="F39" s="233">
        <f t="shared" si="12"/>
        <v>0</v>
      </c>
      <c r="G39" s="233">
        <f t="shared" si="12"/>
        <v>26818</v>
      </c>
      <c r="H39" s="233">
        <f t="shared" si="12"/>
        <v>27200032</v>
      </c>
      <c r="I39" s="233">
        <f t="shared" si="12"/>
        <v>27099651</v>
      </c>
      <c r="J39" s="233">
        <f t="shared" si="12"/>
        <v>1283</v>
      </c>
      <c r="K39" s="233">
        <f t="shared" si="12"/>
        <v>0</v>
      </c>
      <c r="L39" s="233">
        <f t="shared" si="12"/>
        <v>183245</v>
      </c>
      <c r="M39" s="233">
        <f t="shared" si="12"/>
        <v>27284179</v>
      </c>
      <c r="N39" s="233">
        <f t="shared" si="12"/>
        <v>26978651</v>
      </c>
      <c r="O39" s="233">
        <f t="shared" si="12"/>
        <v>1283</v>
      </c>
      <c r="P39" s="233">
        <f t="shared" si="12"/>
        <v>0</v>
      </c>
      <c r="Q39" s="233">
        <f t="shared" si="12"/>
        <v>17505</v>
      </c>
      <c r="R39" s="233">
        <f t="shared" si="12"/>
        <v>26997439</v>
      </c>
    </row>
    <row r="40" spans="1:18" s="6" customFormat="1" ht="12">
      <c r="A40" s="132">
        <v>2000</v>
      </c>
      <c r="B40" s="125" t="s">
        <v>108</v>
      </c>
      <c r="C40" s="233">
        <f t="shared" si="12"/>
        <v>25209353</v>
      </c>
      <c r="D40" s="233">
        <f t="shared" si="12"/>
        <v>17089450</v>
      </c>
      <c r="E40" s="233">
        <f t="shared" si="12"/>
        <v>-298905</v>
      </c>
      <c r="F40" s="233">
        <f t="shared" si="12"/>
        <v>194338</v>
      </c>
      <c r="G40" s="233">
        <f t="shared" si="12"/>
        <v>1482962</v>
      </c>
      <c r="H40" s="233">
        <f t="shared" si="12"/>
        <v>18467845</v>
      </c>
      <c r="I40" s="233">
        <f t="shared" si="12"/>
        <v>15607514</v>
      </c>
      <c r="J40" s="233">
        <f t="shared" si="12"/>
        <v>-298905</v>
      </c>
      <c r="K40" s="233">
        <f t="shared" si="12"/>
        <v>148143</v>
      </c>
      <c r="L40" s="233">
        <f t="shared" si="12"/>
        <v>1607258</v>
      </c>
      <c r="M40" s="233">
        <f t="shared" si="12"/>
        <v>17064010</v>
      </c>
      <c r="N40" s="233">
        <f t="shared" si="12"/>
        <v>15556014</v>
      </c>
      <c r="O40" s="233">
        <f t="shared" si="12"/>
        <v>-298905</v>
      </c>
      <c r="P40" s="233">
        <f t="shared" si="12"/>
        <v>42882</v>
      </c>
      <c r="Q40" s="233">
        <f t="shared" si="12"/>
        <v>1560577</v>
      </c>
      <c r="R40" s="233">
        <f t="shared" si="12"/>
        <v>16860568</v>
      </c>
    </row>
    <row r="41" spans="1:18" s="6" customFormat="1" ht="12" hidden="1" customHeight="1">
      <c r="A41" s="140">
        <v>4000</v>
      </c>
      <c r="B41" s="124" t="s">
        <v>132</v>
      </c>
      <c r="C41" s="170"/>
      <c r="D41" s="170">
        <v>0</v>
      </c>
      <c r="E41" s="244"/>
      <c r="F41" s="244"/>
      <c r="G41" s="244"/>
      <c r="H41" s="232">
        <f>SUM(D41:G41)</f>
        <v>0</v>
      </c>
      <c r="I41" s="233">
        <v>0</v>
      </c>
      <c r="J41" s="244"/>
      <c r="K41" s="244"/>
      <c r="L41" s="244"/>
      <c r="M41" s="232">
        <f>SUM(I41:L41)</f>
        <v>0</v>
      </c>
      <c r="N41" s="233">
        <v>0</v>
      </c>
      <c r="O41" s="244"/>
      <c r="P41" s="244"/>
      <c r="Q41" s="244"/>
      <c r="R41" s="232">
        <f>SUM(N41:Q41)</f>
        <v>0</v>
      </c>
    </row>
    <row r="42" spans="1:18" s="6" customFormat="1" ht="12">
      <c r="A42" s="140" t="s">
        <v>109</v>
      </c>
      <c r="B42" s="124" t="s">
        <v>110</v>
      </c>
      <c r="C42" s="170">
        <v>364531164</v>
      </c>
      <c r="D42" s="170">
        <v>352892741</v>
      </c>
      <c r="E42" s="233">
        <f>E43+E44</f>
        <v>223498</v>
      </c>
      <c r="F42" s="233">
        <f>F43+F44</f>
        <v>3098447</v>
      </c>
      <c r="G42" s="233">
        <f>G43+G44</f>
        <v>43344805</v>
      </c>
      <c r="H42" s="232">
        <f>SUM(D42:G42)</f>
        <v>399559491</v>
      </c>
      <c r="I42" s="233">
        <v>352892741</v>
      </c>
      <c r="J42" s="233">
        <f>J43+J44</f>
        <v>223498</v>
      </c>
      <c r="K42" s="233">
        <f>K43+K44</f>
        <v>5135683</v>
      </c>
      <c r="L42" s="233">
        <f>L43+L44</f>
        <v>47346866</v>
      </c>
      <c r="M42" s="232">
        <f>SUM(I42:L42)</f>
        <v>405598788</v>
      </c>
      <c r="N42" s="233">
        <v>352892741</v>
      </c>
      <c r="O42" s="233">
        <f>O43+O44</f>
        <v>223498</v>
      </c>
      <c r="P42" s="233">
        <f>P43+P44</f>
        <v>1793952</v>
      </c>
      <c r="Q42" s="233">
        <f>Q43+Q44</f>
        <v>47241605</v>
      </c>
      <c r="R42" s="232">
        <f>SUM(N42:Q42)</f>
        <v>402151796</v>
      </c>
    </row>
    <row r="43" spans="1:18" s="6" customFormat="1" ht="12">
      <c r="A43" s="132">
        <v>3000</v>
      </c>
      <c r="B43" s="125" t="s">
        <v>111</v>
      </c>
      <c r="C43" s="233">
        <f t="shared" ref="C43:R43" si="13">C127+C211</f>
        <v>364531164</v>
      </c>
      <c r="D43" s="233">
        <f t="shared" si="13"/>
        <v>352892741</v>
      </c>
      <c r="E43" s="233">
        <f t="shared" si="13"/>
        <v>223498</v>
      </c>
      <c r="F43" s="233">
        <f t="shared" si="13"/>
        <v>2912340</v>
      </c>
      <c r="G43" s="233">
        <f t="shared" si="13"/>
        <v>43344805</v>
      </c>
      <c r="H43" s="233">
        <f t="shared" si="13"/>
        <v>399373384</v>
      </c>
      <c r="I43" s="233">
        <f t="shared" si="13"/>
        <v>352892741</v>
      </c>
      <c r="J43" s="233">
        <f t="shared" si="13"/>
        <v>223498</v>
      </c>
      <c r="K43" s="233">
        <f t="shared" si="13"/>
        <v>4136727</v>
      </c>
      <c r="L43" s="233">
        <f t="shared" si="13"/>
        <v>47346866</v>
      </c>
      <c r="M43" s="233">
        <f t="shared" si="13"/>
        <v>404599832</v>
      </c>
      <c r="N43" s="233">
        <f t="shared" si="13"/>
        <v>352892741</v>
      </c>
      <c r="O43" s="233">
        <f t="shared" si="13"/>
        <v>223498</v>
      </c>
      <c r="P43" s="233">
        <f t="shared" si="13"/>
        <v>794996</v>
      </c>
      <c r="Q43" s="233">
        <f t="shared" si="13"/>
        <v>47241605</v>
      </c>
      <c r="R43" s="233">
        <f t="shared" si="13"/>
        <v>401152840</v>
      </c>
    </row>
    <row r="44" spans="1:18" s="6" customFormat="1" ht="12">
      <c r="A44" s="132">
        <v>6000</v>
      </c>
      <c r="B44" s="125" t="s">
        <v>112</v>
      </c>
      <c r="C44" s="203"/>
      <c r="D44" s="203">
        <v>0</v>
      </c>
      <c r="E44" s="248"/>
      <c r="F44" s="346">
        <f>F128</f>
        <v>186107</v>
      </c>
      <c r="G44" s="346">
        <f>G128</f>
        <v>0</v>
      </c>
      <c r="H44" s="232">
        <f>SUM(D44:G44)</f>
        <v>186107</v>
      </c>
      <c r="I44" s="346">
        <v>0</v>
      </c>
      <c r="J44" s="248"/>
      <c r="K44" s="346">
        <f>K128</f>
        <v>998956</v>
      </c>
      <c r="L44" s="346">
        <f>L128</f>
        <v>0</v>
      </c>
      <c r="M44" s="232">
        <f>SUM(I44:L44)</f>
        <v>998956</v>
      </c>
      <c r="N44" s="346">
        <v>0</v>
      </c>
      <c r="O44" s="248"/>
      <c r="P44" s="346">
        <f>P128</f>
        <v>998956</v>
      </c>
      <c r="Q44" s="346">
        <f>Q128</f>
        <v>0</v>
      </c>
      <c r="R44" s="232">
        <f>SUM(N44:Q44)</f>
        <v>998956</v>
      </c>
    </row>
    <row r="45" spans="1:18" s="6" customFormat="1" ht="22.8">
      <c r="A45" s="140" t="s">
        <v>113</v>
      </c>
      <c r="B45" s="124" t="s">
        <v>183</v>
      </c>
      <c r="C45" s="170">
        <v>128131</v>
      </c>
      <c r="D45" s="170">
        <v>128131</v>
      </c>
      <c r="E45" s="232">
        <f>E46+E47</f>
        <v>0</v>
      </c>
      <c r="F45" s="233">
        <f>F46+F47</f>
        <v>0</v>
      </c>
      <c r="G45" s="233">
        <f>G46+G47</f>
        <v>0</v>
      </c>
      <c r="H45" s="232">
        <f>SUM(D45:G45)</f>
        <v>128131</v>
      </c>
      <c r="I45" s="233">
        <v>128131</v>
      </c>
      <c r="J45" s="233">
        <f>J46+J47</f>
        <v>0</v>
      </c>
      <c r="K45" s="233">
        <f>K46+K47</f>
        <v>0</v>
      </c>
      <c r="L45" s="233">
        <f>L46+L47</f>
        <v>0</v>
      </c>
      <c r="M45" s="232">
        <f>SUM(I45:L45)</f>
        <v>128131</v>
      </c>
      <c r="N45" s="233">
        <v>128131</v>
      </c>
      <c r="O45" s="233">
        <f>O46+O47</f>
        <v>0</v>
      </c>
      <c r="P45" s="233">
        <f>P46+P47</f>
        <v>0</v>
      </c>
      <c r="Q45" s="233">
        <f>Q46+Q47</f>
        <v>0</v>
      </c>
      <c r="R45" s="232">
        <f>SUM(N45:Q45)</f>
        <v>128131</v>
      </c>
    </row>
    <row r="46" spans="1:18" s="6" customFormat="1" ht="12" hidden="1" customHeight="1">
      <c r="A46" s="132">
        <v>7600</v>
      </c>
      <c r="B46" s="179" t="s">
        <v>184</v>
      </c>
      <c r="C46" s="170">
        <v>0</v>
      </c>
      <c r="D46" s="170">
        <v>0</v>
      </c>
      <c r="E46" s="232"/>
      <c r="F46" s="244"/>
      <c r="G46" s="244"/>
      <c r="H46" s="232">
        <f>SUM(D46:G46)</f>
        <v>0</v>
      </c>
      <c r="I46" s="233">
        <v>0</v>
      </c>
      <c r="J46" s="244"/>
      <c r="K46" s="244"/>
      <c r="L46" s="244"/>
      <c r="M46" s="232">
        <f>SUM(I46:L46)</f>
        <v>0</v>
      </c>
      <c r="N46" s="233">
        <v>0</v>
      </c>
      <c r="O46" s="244"/>
      <c r="P46" s="244"/>
      <c r="Q46" s="244"/>
      <c r="R46" s="232">
        <f>SUM(N46:Q46)</f>
        <v>0</v>
      </c>
    </row>
    <row r="47" spans="1:18" s="6" customFormat="1" ht="12">
      <c r="A47" s="132">
        <v>7700</v>
      </c>
      <c r="B47" s="126" t="s">
        <v>114</v>
      </c>
      <c r="C47" s="233">
        <f t="shared" ref="C47:R47" si="14">C131+C215</f>
        <v>128131</v>
      </c>
      <c r="D47" s="233">
        <f t="shared" si="14"/>
        <v>128131</v>
      </c>
      <c r="E47" s="233">
        <f t="shared" si="14"/>
        <v>0</v>
      </c>
      <c r="F47" s="233">
        <f t="shared" si="14"/>
        <v>0</v>
      </c>
      <c r="G47" s="233">
        <f t="shared" si="14"/>
        <v>0</v>
      </c>
      <c r="H47" s="233">
        <f t="shared" si="14"/>
        <v>128131</v>
      </c>
      <c r="I47" s="233">
        <f t="shared" si="14"/>
        <v>128131</v>
      </c>
      <c r="J47" s="233">
        <f t="shared" si="14"/>
        <v>0</v>
      </c>
      <c r="K47" s="233">
        <f t="shared" si="14"/>
        <v>0</v>
      </c>
      <c r="L47" s="233">
        <f t="shared" si="14"/>
        <v>0</v>
      </c>
      <c r="M47" s="233">
        <f t="shared" si="14"/>
        <v>128131</v>
      </c>
      <c r="N47" s="233">
        <f t="shared" si="14"/>
        <v>128131</v>
      </c>
      <c r="O47" s="233">
        <f t="shared" si="14"/>
        <v>0</v>
      </c>
      <c r="P47" s="233">
        <f t="shared" si="14"/>
        <v>0</v>
      </c>
      <c r="Q47" s="233">
        <f t="shared" si="14"/>
        <v>0</v>
      </c>
      <c r="R47" s="233">
        <f t="shared" si="14"/>
        <v>128131</v>
      </c>
    </row>
    <row r="48" spans="1:18" s="6" customFormat="1" ht="12">
      <c r="A48" s="140" t="s">
        <v>185</v>
      </c>
      <c r="B48" s="124" t="s">
        <v>115</v>
      </c>
      <c r="C48" s="170">
        <v>16801991</v>
      </c>
      <c r="D48" s="170">
        <v>16864905</v>
      </c>
      <c r="E48" s="232">
        <f>E49+E55+E59+E62</f>
        <v>0</v>
      </c>
      <c r="F48" s="233">
        <f>F49+F55+F59+F62</f>
        <v>0</v>
      </c>
      <c r="G48" s="233">
        <f>G49+G55+G59+G62</f>
        <v>0</v>
      </c>
      <c r="H48" s="232">
        <f t="shared" ref="H48:H55" si="15">SUM(D48:G48)</f>
        <v>16864905</v>
      </c>
      <c r="I48" s="233">
        <v>16864905</v>
      </c>
      <c r="J48" s="233">
        <f>J49+J55+J59+J62</f>
        <v>0</v>
      </c>
      <c r="K48" s="233">
        <f>K49+K55+K59+K62</f>
        <v>0</v>
      </c>
      <c r="L48" s="233">
        <f>L49+L55+L59+L62</f>
        <v>0</v>
      </c>
      <c r="M48" s="232">
        <f t="shared" ref="M48:M55" si="16">SUM(I48:L48)</f>
        <v>16864905</v>
      </c>
      <c r="N48" s="233">
        <v>16864905</v>
      </c>
      <c r="O48" s="233">
        <f>O49+O55+O59+O62</f>
        <v>0</v>
      </c>
      <c r="P48" s="233">
        <f>P49+P55+P59+P62</f>
        <v>0</v>
      </c>
      <c r="Q48" s="233">
        <f>Q49+Q55+Q59+Q62</f>
        <v>0</v>
      </c>
      <c r="R48" s="232">
        <f t="shared" ref="R48:R55" si="17">SUM(N48:Q48)</f>
        <v>16864905</v>
      </c>
    </row>
    <row r="49" spans="1:18" s="6" customFormat="1" ht="12" hidden="1" customHeight="1">
      <c r="A49" s="132">
        <v>7100</v>
      </c>
      <c r="B49" s="179" t="s">
        <v>116</v>
      </c>
      <c r="C49" s="170">
        <v>0</v>
      </c>
      <c r="D49" s="170">
        <v>0</v>
      </c>
      <c r="E49" s="232">
        <f>E50+E51</f>
        <v>0</v>
      </c>
      <c r="F49" s="233">
        <f>F50+F51</f>
        <v>0</v>
      </c>
      <c r="G49" s="233">
        <f>G50+G51</f>
        <v>0</v>
      </c>
      <c r="H49" s="232">
        <f t="shared" si="15"/>
        <v>0</v>
      </c>
      <c r="I49" s="233">
        <v>0</v>
      </c>
      <c r="J49" s="233">
        <f>J50+J51</f>
        <v>0</v>
      </c>
      <c r="K49" s="233">
        <f>K50+K51</f>
        <v>0</v>
      </c>
      <c r="L49" s="233">
        <f>L50+L51</f>
        <v>0</v>
      </c>
      <c r="M49" s="232">
        <f t="shared" si="16"/>
        <v>0</v>
      </c>
      <c r="N49" s="233">
        <v>0</v>
      </c>
      <c r="O49" s="233">
        <f>O50+O51</f>
        <v>0</v>
      </c>
      <c r="P49" s="233">
        <f>P50+P51</f>
        <v>0</v>
      </c>
      <c r="Q49" s="233">
        <f>Q50+Q51</f>
        <v>0</v>
      </c>
      <c r="R49" s="232">
        <f t="shared" si="17"/>
        <v>0</v>
      </c>
    </row>
    <row r="50" spans="1:18" s="6" customFormat="1" ht="24" hidden="1" customHeight="1">
      <c r="A50" s="133" t="s">
        <v>117</v>
      </c>
      <c r="B50" s="179" t="s">
        <v>118</v>
      </c>
      <c r="C50" s="170"/>
      <c r="D50" s="170">
        <v>0</v>
      </c>
      <c r="E50" s="232"/>
      <c r="F50" s="233"/>
      <c r="G50" s="233"/>
      <c r="H50" s="232">
        <f t="shared" si="15"/>
        <v>0</v>
      </c>
      <c r="I50" s="233">
        <v>0</v>
      </c>
      <c r="J50" s="233"/>
      <c r="K50" s="233"/>
      <c r="L50" s="233"/>
      <c r="M50" s="232">
        <f t="shared" si="16"/>
        <v>0</v>
      </c>
      <c r="N50" s="233">
        <v>0</v>
      </c>
      <c r="O50" s="233"/>
      <c r="P50" s="233"/>
      <c r="Q50" s="233"/>
      <c r="R50" s="232">
        <f t="shared" si="17"/>
        <v>0</v>
      </c>
    </row>
    <row r="51" spans="1:18" s="6" customFormat="1" ht="24" hidden="1" customHeight="1">
      <c r="A51" s="133">
        <v>7130</v>
      </c>
      <c r="B51" s="179" t="s">
        <v>119</v>
      </c>
      <c r="C51" s="170">
        <v>0</v>
      </c>
      <c r="D51" s="170">
        <v>0</v>
      </c>
      <c r="E51" s="232">
        <f>SUM(E52:E54)</f>
        <v>0</v>
      </c>
      <c r="F51" s="233">
        <f>SUM(F52:F54)</f>
        <v>0</v>
      </c>
      <c r="G51" s="233">
        <f>SUM(G52:G54)</f>
        <v>0</v>
      </c>
      <c r="H51" s="232">
        <f t="shared" si="15"/>
        <v>0</v>
      </c>
      <c r="I51" s="233">
        <v>0</v>
      </c>
      <c r="J51" s="233">
        <f>SUM(J52:J54)</f>
        <v>0</v>
      </c>
      <c r="K51" s="233">
        <f>SUM(K52:K54)</f>
        <v>0</v>
      </c>
      <c r="L51" s="233">
        <f>SUM(L52:L54)</f>
        <v>0</v>
      </c>
      <c r="M51" s="232">
        <f t="shared" si="16"/>
        <v>0</v>
      </c>
      <c r="N51" s="233">
        <v>0</v>
      </c>
      <c r="O51" s="233">
        <f>SUM(O52:O54)</f>
        <v>0</v>
      </c>
      <c r="P51" s="233">
        <f>SUM(P52:P54)</f>
        <v>0</v>
      </c>
      <c r="Q51" s="233">
        <f>SUM(Q52:Q54)</f>
        <v>0</v>
      </c>
      <c r="R51" s="232">
        <f t="shared" si="17"/>
        <v>0</v>
      </c>
    </row>
    <row r="52" spans="1:18" s="6" customFormat="1" ht="36" hidden="1" customHeight="1">
      <c r="A52" s="134">
        <v>7131</v>
      </c>
      <c r="B52" s="179" t="s">
        <v>120</v>
      </c>
      <c r="C52" s="170"/>
      <c r="D52" s="170">
        <v>0</v>
      </c>
      <c r="E52" s="232"/>
      <c r="F52" s="233"/>
      <c r="G52" s="233"/>
      <c r="H52" s="232">
        <f t="shared" si="15"/>
        <v>0</v>
      </c>
      <c r="I52" s="233">
        <v>0</v>
      </c>
      <c r="J52" s="233"/>
      <c r="K52" s="233"/>
      <c r="L52" s="233"/>
      <c r="M52" s="232">
        <f t="shared" si="16"/>
        <v>0</v>
      </c>
      <c r="N52" s="233">
        <v>0</v>
      </c>
      <c r="O52" s="233"/>
      <c r="P52" s="233"/>
      <c r="Q52" s="233"/>
      <c r="R52" s="232">
        <f t="shared" si="17"/>
        <v>0</v>
      </c>
    </row>
    <row r="53" spans="1:18" s="6" customFormat="1" ht="36" hidden="1" customHeight="1">
      <c r="A53" s="134">
        <v>7132</v>
      </c>
      <c r="B53" s="179" t="s">
        <v>121</v>
      </c>
      <c r="C53" s="170"/>
      <c r="D53" s="170">
        <v>0</v>
      </c>
      <c r="E53" s="232"/>
      <c r="F53" s="233"/>
      <c r="G53" s="233"/>
      <c r="H53" s="232">
        <f t="shared" si="15"/>
        <v>0</v>
      </c>
      <c r="I53" s="233">
        <v>0</v>
      </c>
      <c r="J53" s="233"/>
      <c r="K53" s="233"/>
      <c r="L53" s="233"/>
      <c r="M53" s="232">
        <f t="shared" si="16"/>
        <v>0</v>
      </c>
      <c r="N53" s="233">
        <v>0</v>
      </c>
      <c r="O53" s="233"/>
      <c r="P53" s="233"/>
      <c r="Q53" s="233"/>
      <c r="R53" s="232">
        <f t="shared" si="17"/>
        <v>0</v>
      </c>
    </row>
    <row r="54" spans="1:18" s="6" customFormat="1" ht="36" hidden="1" customHeight="1">
      <c r="A54" s="134" t="s">
        <v>186</v>
      </c>
      <c r="B54" s="179" t="s">
        <v>187</v>
      </c>
      <c r="C54" s="170"/>
      <c r="D54" s="170">
        <v>0</v>
      </c>
      <c r="E54" s="232"/>
      <c r="F54" s="233"/>
      <c r="G54" s="233"/>
      <c r="H54" s="232">
        <f t="shared" si="15"/>
        <v>0</v>
      </c>
      <c r="I54" s="233">
        <v>0</v>
      </c>
      <c r="J54" s="233"/>
      <c r="K54" s="233"/>
      <c r="L54" s="233"/>
      <c r="M54" s="232">
        <f t="shared" si="16"/>
        <v>0</v>
      </c>
      <c r="N54" s="233">
        <v>0</v>
      </c>
      <c r="O54" s="233"/>
      <c r="P54" s="233"/>
      <c r="Q54" s="233"/>
      <c r="R54" s="232">
        <f t="shared" si="17"/>
        <v>0</v>
      </c>
    </row>
    <row r="55" spans="1:18" s="6" customFormat="1" ht="24">
      <c r="A55" s="132">
        <v>7300</v>
      </c>
      <c r="B55" s="172" t="s">
        <v>155</v>
      </c>
      <c r="C55" s="170">
        <v>16801991</v>
      </c>
      <c r="D55" s="170">
        <v>16864905</v>
      </c>
      <c r="E55" s="232">
        <f>SUM(E56:E58)</f>
        <v>0</v>
      </c>
      <c r="F55" s="233">
        <f>SUM(F56:F58)</f>
        <v>0</v>
      </c>
      <c r="G55" s="233">
        <f>SUM(G56:G58)</f>
        <v>0</v>
      </c>
      <c r="H55" s="232">
        <f t="shared" si="15"/>
        <v>16864905</v>
      </c>
      <c r="I55" s="233">
        <v>16864905</v>
      </c>
      <c r="J55" s="233">
        <f>SUM(J56:J58)</f>
        <v>0</v>
      </c>
      <c r="K55" s="233">
        <f>SUM(K56:K58)</f>
        <v>0</v>
      </c>
      <c r="L55" s="233">
        <f>SUM(L56:L58)</f>
        <v>0</v>
      </c>
      <c r="M55" s="232">
        <f t="shared" si="16"/>
        <v>16864905</v>
      </c>
      <c r="N55" s="233">
        <v>16864905</v>
      </c>
      <c r="O55" s="233">
        <f>SUM(O56:O58)</f>
        <v>0</v>
      </c>
      <c r="P55" s="233">
        <f>SUM(P56:P58)</f>
        <v>0</v>
      </c>
      <c r="Q55" s="233">
        <f>SUM(Q56:Q58)</f>
        <v>0</v>
      </c>
      <c r="R55" s="232">
        <f t="shared" si="17"/>
        <v>16864905</v>
      </c>
    </row>
    <row r="56" spans="1:18" s="6" customFormat="1" ht="24">
      <c r="A56" s="133" t="s">
        <v>188</v>
      </c>
      <c r="B56" s="179" t="s">
        <v>170</v>
      </c>
      <c r="C56" s="233">
        <f t="shared" ref="C56:R56" si="18">C140+C224</f>
        <v>849487</v>
      </c>
      <c r="D56" s="233">
        <f t="shared" si="18"/>
        <v>757073</v>
      </c>
      <c r="E56" s="233">
        <f t="shared" si="18"/>
        <v>0</v>
      </c>
      <c r="F56" s="233">
        <f t="shared" si="18"/>
        <v>0</v>
      </c>
      <c r="G56" s="233">
        <f t="shared" si="18"/>
        <v>0</v>
      </c>
      <c r="H56" s="233">
        <f t="shared" si="18"/>
        <v>757073</v>
      </c>
      <c r="I56" s="233">
        <f t="shared" si="18"/>
        <v>757073</v>
      </c>
      <c r="J56" s="233">
        <f t="shared" si="18"/>
        <v>0</v>
      </c>
      <c r="K56" s="233">
        <f t="shared" si="18"/>
        <v>0</v>
      </c>
      <c r="L56" s="233">
        <f t="shared" si="18"/>
        <v>0</v>
      </c>
      <c r="M56" s="233">
        <f t="shared" si="18"/>
        <v>757073</v>
      </c>
      <c r="N56" s="233">
        <f t="shared" si="18"/>
        <v>757073</v>
      </c>
      <c r="O56" s="233">
        <f t="shared" si="18"/>
        <v>0</v>
      </c>
      <c r="P56" s="233">
        <f t="shared" si="18"/>
        <v>0</v>
      </c>
      <c r="Q56" s="233">
        <f t="shared" si="18"/>
        <v>0</v>
      </c>
      <c r="R56" s="233">
        <f t="shared" si="18"/>
        <v>757073</v>
      </c>
    </row>
    <row r="57" spans="1:18" s="29" customFormat="1" ht="48" hidden="1" customHeight="1">
      <c r="A57" s="133" t="s">
        <v>189</v>
      </c>
      <c r="B57" s="179" t="s">
        <v>156</v>
      </c>
      <c r="C57" s="204">
        <v>0</v>
      </c>
      <c r="D57" s="204">
        <v>0</v>
      </c>
      <c r="E57" s="251"/>
      <c r="F57" s="252"/>
      <c r="G57" s="252"/>
      <c r="H57" s="232">
        <f>SUM(D57:G57)</f>
        <v>0</v>
      </c>
      <c r="I57" s="252">
        <v>0</v>
      </c>
      <c r="J57" s="252"/>
      <c r="K57" s="252"/>
      <c r="L57" s="252"/>
      <c r="M57" s="232">
        <f>SUM(I57:L57)</f>
        <v>0</v>
      </c>
      <c r="N57" s="252">
        <v>0</v>
      </c>
      <c r="O57" s="252"/>
      <c r="P57" s="252"/>
      <c r="Q57" s="252"/>
      <c r="R57" s="232">
        <f>SUM(N57:Q57)</f>
        <v>0</v>
      </c>
    </row>
    <row r="58" spans="1:18" s="89" customFormat="1" ht="36">
      <c r="A58" s="133">
        <v>7350</v>
      </c>
      <c r="B58" s="179" t="s">
        <v>163</v>
      </c>
      <c r="C58" s="233">
        <f t="shared" ref="C58:R58" si="19">C142+C226</f>
        <v>15952504</v>
      </c>
      <c r="D58" s="233">
        <f t="shared" si="19"/>
        <v>16107832</v>
      </c>
      <c r="E58" s="233">
        <f t="shared" si="19"/>
        <v>0</v>
      </c>
      <c r="F58" s="233">
        <f t="shared" si="19"/>
        <v>0</v>
      </c>
      <c r="G58" s="233">
        <f t="shared" si="19"/>
        <v>0</v>
      </c>
      <c r="H58" s="233">
        <f t="shared" si="19"/>
        <v>16107832</v>
      </c>
      <c r="I58" s="233">
        <f t="shared" si="19"/>
        <v>16107832</v>
      </c>
      <c r="J58" s="233">
        <f t="shared" si="19"/>
        <v>0</v>
      </c>
      <c r="K58" s="233">
        <f t="shared" si="19"/>
        <v>0</v>
      </c>
      <c r="L58" s="233">
        <f t="shared" si="19"/>
        <v>0</v>
      </c>
      <c r="M58" s="233">
        <f t="shared" si="19"/>
        <v>16107832</v>
      </c>
      <c r="N58" s="233">
        <f t="shared" si="19"/>
        <v>16107832</v>
      </c>
      <c r="O58" s="233">
        <f t="shared" si="19"/>
        <v>0</v>
      </c>
      <c r="P58" s="233">
        <f t="shared" si="19"/>
        <v>0</v>
      </c>
      <c r="Q58" s="233">
        <f t="shared" si="19"/>
        <v>0</v>
      </c>
      <c r="R58" s="233">
        <f t="shared" si="19"/>
        <v>16107832</v>
      </c>
    </row>
    <row r="59" spans="1:18" s="89" customFormat="1" ht="24" hidden="1" customHeight="1">
      <c r="A59" s="132">
        <v>7400</v>
      </c>
      <c r="B59" s="172" t="s">
        <v>161</v>
      </c>
      <c r="C59" s="170">
        <v>0</v>
      </c>
      <c r="D59" s="170">
        <v>0</v>
      </c>
      <c r="E59" s="232">
        <f>SUM(E60:E61)</f>
        <v>0</v>
      </c>
      <c r="F59" s="233">
        <f>SUM(F60:F61)</f>
        <v>0</v>
      </c>
      <c r="G59" s="233">
        <f>SUM(G60:G61)</f>
        <v>0</v>
      </c>
      <c r="H59" s="232">
        <f>SUM(D59:G59)</f>
        <v>0</v>
      </c>
      <c r="I59" s="233">
        <v>0</v>
      </c>
      <c r="J59" s="233">
        <f>SUM(J60:J61)</f>
        <v>0</v>
      </c>
      <c r="K59" s="233">
        <f>SUM(K60:K61)</f>
        <v>0</v>
      </c>
      <c r="L59" s="233">
        <f>SUM(L60:L61)</f>
        <v>0</v>
      </c>
      <c r="M59" s="232">
        <f>SUM(I59:L59)</f>
        <v>0</v>
      </c>
      <c r="N59" s="233">
        <v>0</v>
      </c>
      <c r="O59" s="233">
        <f>SUM(O60:O61)</f>
        <v>0</v>
      </c>
      <c r="P59" s="233">
        <f>SUM(P60:P61)</f>
        <v>0</v>
      </c>
      <c r="Q59" s="233">
        <f>SUM(Q60:Q61)</f>
        <v>0</v>
      </c>
      <c r="R59" s="232">
        <f>SUM(N59:Q59)</f>
        <v>0</v>
      </c>
    </row>
    <row r="60" spans="1:18" s="89" customFormat="1" ht="24" hidden="1" customHeight="1">
      <c r="A60" s="133">
        <v>7460</v>
      </c>
      <c r="B60" s="172" t="s">
        <v>162</v>
      </c>
      <c r="C60" s="204"/>
      <c r="D60" s="204">
        <v>0</v>
      </c>
      <c r="E60" s="251"/>
      <c r="F60" s="252"/>
      <c r="G60" s="252"/>
      <c r="H60" s="232">
        <f>SUM(D60:G60)</f>
        <v>0</v>
      </c>
      <c r="I60" s="252">
        <v>0</v>
      </c>
      <c r="J60" s="252"/>
      <c r="K60" s="252"/>
      <c r="L60" s="252"/>
      <c r="M60" s="232">
        <f>SUM(I60:L60)</f>
        <v>0</v>
      </c>
      <c r="N60" s="252">
        <v>0</v>
      </c>
      <c r="O60" s="252"/>
      <c r="P60" s="252"/>
      <c r="Q60" s="252"/>
      <c r="R60" s="232">
        <f>SUM(N60:Q60)</f>
        <v>0</v>
      </c>
    </row>
    <row r="61" spans="1:18" s="89" customFormat="1" ht="48" hidden="1" customHeight="1">
      <c r="A61" s="133">
        <v>7470</v>
      </c>
      <c r="B61" s="179" t="s">
        <v>167</v>
      </c>
      <c r="C61" s="204"/>
      <c r="D61" s="204">
        <v>0</v>
      </c>
      <c r="E61" s="251"/>
      <c r="F61" s="252"/>
      <c r="G61" s="252"/>
      <c r="H61" s="232">
        <f>SUM(D61:G61)</f>
        <v>0</v>
      </c>
      <c r="I61" s="252">
        <v>0</v>
      </c>
      <c r="J61" s="252"/>
      <c r="K61" s="252"/>
      <c r="L61" s="252"/>
      <c r="M61" s="232">
        <f>SUM(I61:L61)</f>
        <v>0</v>
      </c>
      <c r="N61" s="252">
        <v>0</v>
      </c>
      <c r="O61" s="252"/>
      <c r="P61" s="252"/>
      <c r="Q61" s="252"/>
      <c r="R61" s="232">
        <f>SUM(N61:Q61)</f>
        <v>0</v>
      </c>
    </row>
    <row r="62" spans="1:18" s="89" customFormat="1" ht="24" hidden="1" customHeight="1">
      <c r="A62" s="132">
        <v>7500</v>
      </c>
      <c r="B62" s="179" t="s">
        <v>157</v>
      </c>
      <c r="C62" s="170"/>
      <c r="D62" s="170">
        <v>0</v>
      </c>
      <c r="E62" s="232"/>
      <c r="F62" s="233"/>
      <c r="G62" s="233"/>
      <c r="H62" s="232">
        <f>SUM(D62:G62)</f>
        <v>0</v>
      </c>
      <c r="I62" s="233">
        <v>0</v>
      </c>
      <c r="J62" s="233"/>
      <c r="K62" s="233"/>
      <c r="L62" s="233"/>
      <c r="M62" s="232">
        <f>SUM(I62:L62)</f>
        <v>0</v>
      </c>
      <c r="N62" s="233">
        <v>0</v>
      </c>
      <c r="O62" s="233"/>
      <c r="P62" s="233"/>
      <c r="Q62" s="233"/>
      <c r="R62" s="232">
        <f>SUM(N62:Q62)</f>
        <v>0</v>
      </c>
    </row>
    <row r="63" spans="1:18" s="89" customFormat="1" ht="12">
      <c r="A63" s="140" t="s">
        <v>133</v>
      </c>
      <c r="B63" s="124" t="s">
        <v>122</v>
      </c>
      <c r="C63" s="106">
        <v>9173553</v>
      </c>
      <c r="D63" s="106">
        <v>2175132</v>
      </c>
      <c r="E63" s="232">
        <f>E64+E65</f>
        <v>-12</v>
      </c>
      <c r="F63" s="233">
        <f>F64+F65</f>
        <v>0</v>
      </c>
      <c r="G63" s="233">
        <f>G64+G65</f>
        <v>2839</v>
      </c>
      <c r="H63" s="232">
        <f>SUM(D63:G63)</f>
        <v>2177959</v>
      </c>
      <c r="I63" s="233">
        <v>685048</v>
      </c>
      <c r="J63" s="233">
        <f>J64+J65</f>
        <v>-12</v>
      </c>
      <c r="K63" s="233">
        <f>K64+K65</f>
        <v>0</v>
      </c>
      <c r="L63" s="233">
        <f>L64+L65</f>
        <v>1794</v>
      </c>
      <c r="M63" s="232">
        <f>SUM(I63:L63)</f>
        <v>686830</v>
      </c>
      <c r="N63" s="233">
        <v>669048</v>
      </c>
      <c r="O63" s="233">
        <f>O64+O65</f>
        <v>-12</v>
      </c>
      <c r="P63" s="233">
        <f>P64+P65</f>
        <v>0</v>
      </c>
      <c r="Q63" s="233">
        <f>Q64+Q65</f>
        <v>565</v>
      </c>
      <c r="R63" s="232">
        <f>SUM(N63:Q63)</f>
        <v>669601</v>
      </c>
    </row>
    <row r="64" spans="1:18" s="89" customFormat="1" ht="12">
      <c r="A64" s="140">
        <v>5000</v>
      </c>
      <c r="B64" s="124" t="s">
        <v>123</v>
      </c>
      <c r="C64" s="233">
        <f t="shared" ref="C64:R64" si="20">C148+C232</f>
        <v>9173553</v>
      </c>
      <c r="D64" s="233">
        <f t="shared" si="20"/>
        <v>2175132</v>
      </c>
      <c r="E64" s="233">
        <f t="shared" si="20"/>
        <v>-12</v>
      </c>
      <c r="F64" s="233">
        <f t="shared" si="20"/>
        <v>0</v>
      </c>
      <c r="G64" s="233">
        <f t="shared" si="20"/>
        <v>2839</v>
      </c>
      <c r="H64" s="233">
        <f t="shared" si="20"/>
        <v>2177959</v>
      </c>
      <c r="I64" s="233">
        <f t="shared" si="20"/>
        <v>685048</v>
      </c>
      <c r="J64" s="233">
        <f t="shared" si="20"/>
        <v>-12</v>
      </c>
      <c r="K64" s="233">
        <f t="shared" si="20"/>
        <v>0</v>
      </c>
      <c r="L64" s="233">
        <f t="shared" si="20"/>
        <v>1794</v>
      </c>
      <c r="M64" s="233">
        <f t="shared" si="20"/>
        <v>686830</v>
      </c>
      <c r="N64" s="233">
        <f t="shared" si="20"/>
        <v>669048</v>
      </c>
      <c r="O64" s="233">
        <f t="shared" si="20"/>
        <v>-12</v>
      </c>
      <c r="P64" s="233">
        <f t="shared" si="20"/>
        <v>0</v>
      </c>
      <c r="Q64" s="233">
        <f t="shared" si="20"/>
        <v>565</v>
      </c>
      <c r="R64" s="233">
        <f t="shared" si="20"/>
        <v>669601</v>
      </c>
    </row>
    <row r="65" spans="1:18" s="89" customFormat="1" ht="12" hidden="1" customHeight="1">
      <c r="A65" s="140">
        <v>9000</v>
      </c>
      <c r="B65" s="182" t="s">
        <v>164</v>
      </c>
      <c r="C65" s="170">
        <v>0</v>
      </c>
      <c r="D65" s="170">
        <v>0</v>
      </c>
      <c r="E65" s="232">
        <f>E66+E72+E76+E79</f>
        <v>0</v>
      </c>
      <c r="F65" s="233">
        <f>F66+F72+F76+F79</f>
        <v>0</v>
      </c>
      <c r="G65" s="233">
        <f>G66+G72+G76+G79</f>
        <v>0</v>
      </c>
      <c r="H65" s="232">
        <f t="shared" ref="H65:H92" si="21">SUM(D65:G65)</f>
        <v>0</v>
      </c>
      <c r="I65" s="233">
        <v>0</v>
      </c>
      <c r="J65" s="233">
        <f>J66+J72+J76+J79</f>
        <v>0</v>
      </c>
      <c r="K65" s="233">
        <f>K66+K72+K76+K79</f>
        <v>0</v>
      </c>
      <c r="L65" s="233">
        <f>L66+L72+L76+L79</f>
        <v>0</v>
      </c>
      <c r="M65" s="232">
        <f t="shared" ref="M65:M92" si="22">SUM(I65:L65)</f>
        <v>0</v>
      </c>
      <c r="N65" s="233">
        <v>0</v>
      </c>
      <c r="O65" s="233">
        <f>O66+O72+O76+O79</f>
        <v>0</v>
      </c>
      <c r="P65" s="233">
        <f>P66+P72+P76+P79</f>
        <v>0</v>
      </c>
      <c r="Q65" s="233">
        <f>Q66+Q72+Q76+Q79</f>
        <v>0</v>
      </c>
      <c r="R65" s="232">
        <f t="shared" ref="R65:R92" si="23">SUM(N65:Q65)</f>
        <v>0</v>
      </c>
    </row>
    <row r="66" spans="1:18" s="89" customFormat="1" ht="12" hidden="1" customHeight="1">
      <c r="A66" s="141">
        <v>9100</v>
      </c>
      <c r="B66" s="179" t="s">
        <v>124</v>
      </c>
      <c r="C66" s="170">
        <v>0</v>
      </c>
      <c r="D66" s="170">
        <v>0</v>
      </c>
      <c r="E66" s="232">
        <f>SUM(E67:E68)</f>
        <v>0</v>
      </c>
      <c r="F66" s="233">
        <f>SUM(F67:F68)</f>
        <v>0</v>
      </c>
      <c r="G66" s="233">
        <f>SUM(G67:G68)</f>
        <v>0</v>
      </c>
      <c r="H66" s="232">
        <f t="shared" si="21"/>
        <v>0</v>
      </c>
      <c r="I66" s="233">
        <v>0</v>
      </c>
      <c r="J66" s="233">
        <f>SUM(J67:J68)</f>
        <v>0</v>
      </c>
      <c r="K66" s="233">
        <f>SUM(K67:K68)</f>
        <v>0</v>
      </c>
      <c r="L66" s="233">
        <f>SUM(L67:L68)</f>
        <v>0</v>
      </c>
      <c r="M66" s="232">
        <f t="shared" si="22"/>
        <v>0</v>
      </c>
      <c r="N66" s="233">
        <v>0</v>
      </c>
      <c r="O66" s="233">
        <f>SUM(O67:O68)</f>
        <v>0</v>
      </c>
      <c r="P66" s="233">
        <f>SUM(P67:P68)</f>
        <v>0</v>
      </c>
      <c r="Q66" s="233">
        <f>SUM(Q67:Q68)</f>
        <v>0</v>
      </c>
      <c r="R66" s="232">
        <f t="shared" si="23"/>
        <v>0</v>
      </c>
    </row>
    <row r="67" spans="1:18" s="89" customFormat="1" ht="24" hidden="1" customHeight="1">
      <c r="A67" s="133" t="s">
        <v>125</v>
      </c>
      <c r="B67" s="179" t="s">
        <v>214</v>
      </c>
      <c r="C67" s="170"/>
      <c r="D67" s="170">
        <v>0</v>
      </c>
      <c r="E67" s="232"/>
      <c r="F67" s="233"/>
      <c r="G67" s="233"/>
      <c r="H67" s="232">
        <f t="shared" si="21"/>
        <v>0</v>
      </c>
      <c r="I67" s="233">
        <v>0</v>
      </c>
      <c r="J67" s="233"/>
      <c r="K67" s="233"/>
      <c r="L67" s="233"/>
      <c r="M67" s="232">
        <f t="shared" si="22"/>
        <v>0</v>
      </c>
      <c r="N67" s="233">
        <v>0</v>
      </c>
      <c r="O67" s="233"/>
      <c r="P67" s="233"/>
      <c r="Q67" s="233"/>
      <c r="R67" s="232">
        <f t="shared" si="23"/>
        <v>0</v>
      </c>
    </row>
    <row r="68" spans="1:18" s="89" customFormat="1" ht="24" hidden="1" customHeight="1">
      <c r="A68" s="133">
        <v>9140</v>
      </c>
      <c r="B68" s="179" t="s">
        <v>215</v>
      </c>
      <c r="C68" s="170">
        <v>0</v>
      </c>
      <c r="D68" s="170">
        <v>0</v>
      </c>
      <c r="E68" s="232">
        <f>SUM(E69:E71)</f>
        <v>0</v>
      </c>
      <c r="F68" s="233">
        <f>SUM(F69:F71)</f>
        <v>0</v>
      </c>
      <c r="G68" s="233">
        <f>SUM(G69:G71)</f>
        <v>0</v>
      </c>
      <c r="H68" s="232">
        <f t="shared" si="21"/>
        <v>0</v>
      </c>
      <c r="I68" s="233">
        <v>0</v>
      </c>
      <c r="J68" s="233">
        <f>SUM(J69:J71)</f>
        <v>0</v>
      </c>
      <c r="K68" s="233">
        <f>SUM(K69:K71)</f>
        <v>0</v>
      </c>
      <c r="L68" s="233">
        <f>SUM(L69:L71)</f>
        <v>0</v>
      </c>
      <c r="M68" s="232">
        <f t="shared" si="22"/>
        <v>0</v>
      </c>
      <c r="N68" s="233">
        <v>0</v>
      </c>
      <c r="O68" s="233">
        <f>SUM(O69:O71)</f>
        <v>0</v>
      </c>
      <c r="P68" s="233">
        <f>SUM(P69:P71)</f>
        <v>0</v>
      </c>
      <c r="Q68" s="233">
        <f>SUM(Q69:Q71)</f>
        <v>0</v>
      </c>
      <c r="R68" s="232">
        <f t="shared" si="23"/>
        <v>0</v>
      </c>
    </row>
    <row r="69" spans="1:18" s="89" customFormat="1" ht="36" hidden="1" customHeight="1">
      <c r="A69" s="134">
        <v>9141</v>
      </c>
      <c r="B69" s="172" t="s">
        <v>190</v>
      </c>
      <c r="C69" s="204"/>
      <c r="D69" s="204">
        <v>0</v>
      </c>
      <c r="E69" s="251"/>
      <c r="F69" s="252"/>
      <c r="G69" s="252"/>
      <c r="H69" s="232">
        <f t="shared" si="21"/>
        <v>0</v>
      </c>
      <c r="I69" s="252">
        <v>0</v>
      </c>
      <c r="J69" s="252"/>
      <c r="K69" s="252"/>
      <c r="L69" s="252"/>
      <c r="M69" s="232">
        <f t="shared" si="22"/>
        <v>0</v>
      </c>
      <c r="N69" s="252">
        <v>0</v>
      </c>
      <c r="O69" s="252"/>
      <c r="P69" s="252"/>
      <c r="Q69" s="252"/>
      <c r="R69" s="232">
        <f t="shared" si="23"/>
        <v>0</v>
      </c>
    </row>
    <row r="70" spans="1:18" s="89" customFormat="1" ht="36" hidden="1" customHeight="1">
      <c r="A70" s="134">
        <v>9142</v>
      </c>
      <c r="B70" s="172" t="s">
        <v>191</v>
      </c>
      <c r="C70" s="204"/>
      <c r="D70" s="204">
        <v>0</v>
      </c>
      <c r="E70" s="251"/>
      <c r="F70" s="252"/>
      <c r="G70" s="252"/>
      <c r="H70" s="232">
        <f t="shared" si="21"/>
        <v>0</v>
      </c>
      <c r="I70" s="252">
        <v>0</v>
      </c>
      <c r="J70" s="252"/>
      <c r="K70" s="252"/>
      <c r="L70" s="252"/>
      <c r="M70" s="232">
        <f t="shared" si="22"/>
        <v>0</v>
      </c>
      <c r="N70" s="252">
        <v>0</v>
      </c>
      <c r="O70" s="252"/>
      <c r="P70" s="252"/>
      <c r="Q70" s="252"/>
      <c r="R70" s="232">
        <f t="shared" si="23"/>
        <v>0</v>
      </c>
    </row>
    <row r="71" spans="1:18" s="89" customFormat="1" ht="24" hidden="1" customHeight="1">
      <c r="A71" s="134">
        <v>9149</v>
      </c>
      <c r="B71" s="172" t="s">
        <v>192</v>
      </c>
      <c r="C71" s="204"/>
      <c r="D71" s="204">
        <v>0</v>
      </c>
      <c r="E71" s="251"/>
      <c r="F71" s="252"/>
      <c r="G71" s="252"/>
      <c r="H71" s="232">
        <f t="shared" si="21"/>
        <v>0</v>
      </c>
      <c r="I71" s="252">
        <v>0</v>
      </c>
      <c r="J71" s="252"/>
      <c r="K71" s="252"/>
      <c r="L71" s="252"/>
      <c r="M71" s="232">
        <f t="shared" si="22"/>
        <v>0</v>
      </c>
      <c r="N71" s="252">
        <v>0</v>
      </c>
      <c r="O71" s="252"/>
      <c r="P71" s="252"/>
      <c r="Q71" s="252"/>
      <c r="R71" s="232">
        <f t="shared" si="23"/>
        <v>0</v>
      </c>
    </row>
    <row r="72" spans="1:18" s="29" customFormat="1" ht="24" hidden="1" customHeight="1">
      <c r="A72" s="141">
        <v>9500</v>
      </c>
      <c r="B72" s="172" t="s">
        <v>165</v>
      </c>
      <c r="C72" s="170">
        <v>0</v>
      </c>
      <c r="D72" s="170">
        <v>0</v>
      </c>
      <c r="E72" s="232">
        <f>SUM(E73:E75)</f>
        <v>0</v>
      </c>
      <c r="F72" s="233">
        <f>SUM(F73:F75)</f>
        <v>0</v>
      </c>
      <c r="G72" s="233">
        <f>SUM(G73:G75)</f>
        <v>0</v>
      </c>
      <c r="H72" s="232">
        <f t="shared" si="21"/>
        <v>0</v>
      </c>
      <c r="I72" s="233">
        <v>0</v>
      </c>
      <c r="J72" s="233">
        <f>SUM(J73:J75)</f>
        <v>0</v>
      </c>
      <c r="K72" s="233">
        <f>SUM(K73:K75)</f>
        <v>0</v>
      </c>
      <c r="L72" s="233">
        <f>SUM(L73:L75)</f>
        <v>0</v>
      </c>
      <c r="M72" s="232">
        <f t="shared" si="22"/>
        <v>0</v>
      </c>
      <c r="N72" s="233">
        <v>0</v>
      </c>
      <c r="O72" s="233">
        <f>SUM(O73:O75)</f>
        <v>0</v>
      </c>
      <c r="P72" s="233">
        <f>SUM(P73:P75)</f>
        <v>0</v>
      </c>
      <c r="Q72" s="233">
        <f>SUM(Q73:Q75)</f>
        <v>0</v>
      </c>
      <c r="R72" s="232">
        <f t="shared" si="23"/>
        <v>0</v>
      </c>
    </row>
    <row r="73" spans="1:18" s="29" customFormat="1" ht="24" hidden="1" customHeight="1">
      <c r="A73" s="133" t="s">
        <v>193</v>
      </c>
      <c r="B73" s="172" t="s">
        <v>171</v>
      </c>
      <c r="C73" s="170"/>
      <c r="D73" s="170">
        <v>0</v>
      </c>
      <c r="E73" s="232"/>
      <c r="F73" s="233"/>
      <c r="G73" s="233"/>
      <c r="H73" s="232">
        <f t="shared" si="21"/>
        <v>0</v>
      </c>
      <c r="I73" s="233">
        <v>0</v>
      </c>
      <c r="J73" s="233"/>
      <c r="K73" s="233"/>
      <c r="L73" s="233"/>
      <c r="M73" s="232">
        <f t="shared" si="22"/>
        <v>0</v>
      </c>
      <c r="N73" s="233">
        <v>0</v>
      </c>
      <c r="O73" s="233"/>
      <c r="P73" s="233"/>
      <c r="Q73" s="233"/>
      <c r="R73" s="232">
        <f t="shared" si="23"/>
        <v>0</v>
      </c>
    </row>
    <row r="74" spans="1:18" s="28" customFormat="1" ht="48" hidden="1" customHeight="1">
      <c r="A74" s="133">
        <v>9580</v>
      </c>
      <c r="B74" s="172" t="s">
        <v>166</v>
      </c>
      <c r="C74" s="204"/>
      <c r="D74" s="204">
        <v>0</v>
      </c>
      <c r="E74" s="251"/>
      <c r="F74" s="252"/>
      <c r="G74" s="252"/>
      <c r="H74" s="232">
        <f t="shared" si="21"/>
        <v>0</v>
      </c>
      <c r="I74" s="252">
        <v>0</v>
      </c>
      <c r="J74" s="252"/>
      <c r="K74" s="252"/>
      <c r="L74" s="252"/>
      <c r="M74" s="232">
        <f t="shared" si="22"/>
        <v>0</v>
      </c>
      <c r="N74" s="252">
        <v>0</v>
      </c>
      <c r="O74" s="252"/>
      <c r="P74" s="252"/>
      <c r="Q74" s="252"/>
      <c r="R74" s="232">
        <f t="shared" si="23"/>
        <v>0</v>
      </c>
    </row>
    <row r="75" spans="1:18" s="4" customFormat="1" ht="48" hidden="1" customHeight="1">
      <c r="A75" s="133">
        <v>9590</v>
      </c>
      <c r="B75" s="179" t="s">
        <v>172</v>
      </c>
      <c r="C75" s="204"/>
      <c r="D75" s="204">
        <v>0</v>
      </c>
      <c r="E75" s="251"/>
      <c r="F75" s="252"/>
      <c r="G75" s="252"/>
      <c r="H75" s="232">
        <f t="shared" si="21"/>
        <v>0</v>
      </c>
      <c r="I75" s="252">
        <v>0</v>
      </c>
      <c r="J75" s="252"/>
      <c r="K75" s="252"/>
      <c r="L75" s="252"/>
      <c r="M75" s="232">
        <f t="shared" si="22"/>
        <v>0</v>
      </c>
      <c r="N75" s="252">
        <v>0</v>
      </c>
      <c r="O75" s="252"/>
      <c r="P75" s="252"/>
      <c r="Q75" s="252"/>
      <c r="R75" s="232">
        <f t="shared" si="23"/>
        <v>0</v>
      </c>
    </row>
    <row r="76" spans="1:18" ht="24" hidden="1" customHeight="1">
      <c r="A76" s="141">
        <v>9700</v>
      </c>
      <c r="B76" s="183" t="s">
        <v>194</v>
      </c>
      <c r="C76" s="170">
        <v>0</v>
      </c>
      <c r="D76" s="170">
        <v>0</v>
      </c>
      <c r="E76" s="232">
        <f>SUM(E77:E78)</f>
        <v>0</v>
      </c>
      <c r="F76" s="233">
        <f>SUM(F77:F78)</f>
        <v>0</v>
      </c>
      <c r="G76" s="233">
        <f>SUM(G77:G78)</f>
        <v>0</v>
      </c>
      <c r="H76" s="232">
        <f t="shared" si="21"/>
        <v>0</v>
      </c>
      <c r="I76" s="233">
        <v>0</v>
      </c>
      <c r="J76" s="233">
        <f>SUM(J77:J78)</f>
        <v>0</v>
      </c>
      <c r="K76" s="233">
        <f>SUM(K77:K78)</f>
        <v>0</v>
      </c>
      <c r="L76" s="233">
        <f>SUM(L77:L78)</f>
        <v>0</v>
      </c>
      <c r="M76" s="232">
        <f t="shared" si="22"/>
        <v>0</v>
      </c>
      <c r="N76" s="233">
        <v>0</v>
      </c>
      <c r="O76" s="233">
        <f>SUM(O77:O78)</f>
        <v>0</v>
      </c>
      <c r="P76" s="233">
        <f>SUM(P77:P78)</f>
        <v>0</v>
      </c>
      <c r="Q76" s="233">
        <f>SUM(Q77:Q78)</f>
        <v>0</v>
      </c>
      <c r="R76" s="232">
        <f t="shared" si="23"/>
        <v>0</v>
      </c>
    </row>
    <row r="77" spans="1:18" ht="24" hidden="1" customHeight="1">
      <c r="A77" s="133">
        <v>9710</v>
      </c>
      <c r="B77" s="184" t="s">
        <v>195</v>
      </c>
      <c r="C77" s="204"/>
      <c r="D77" s="204">
        <v>0</v>
      </c>
      <c r="E77" s="251"/>
      <c r="F77" s="252"/>
      <c r="G77" s="252"/>
      <c r="H77" s="232">
        <f t="shared" si="21"/>
        <v>0</v>
      </c>
      <c r="I77" s="252">
        <v>0</v>
      </c>
      <c r="J77" s="252"/>
      <c r="K77" s="252"/>
      <c r="L77" s="252"/>
      <c r="M77" s="232">
        <f t="shared" si="22"/>
        <v>0</v>
      </c>
      <c r="N77" s="252">
        <v>0</v>
      </c>
      <c r="O77" s="252"/>
      <c r="P77" s="252"/>
      <c r="Q77" s="252"/>
      <c r="R77" s="232">
        <f t="shared" si="23"/>
        <v>0</v>
      </c>
    </row>
    <row r="78" spans="1:18" ht="48" hidden="1" customHeight="1">
      <c r="A78" s="142">
        <v>9720</v>
      </c>
      <c r="B78" s="183" t="s">
        <v>196</v>
      </c>
      <c r="C78" s="204"/>
      <c r="D78" s="204">
        <v>0</v>
      </c>
      <c r="E78" s="251"/>
      <c r="F78" s="252"/>
      <c r="G78" s="252"/>
      <c r="H78" s="232">
        <f t="shared" si="21"/>
        <v>0</v>
      </c>
      <c r="I78" s="252">
        <v>0</v>
      </c>
      <c r="J78" s="252"/>
      <c r="K78" s="252"/>
      <c r="L78" s="252"/>
      <c r="M78" s="232">
        <f t="shared" si="22"/>
        <v>0</v>
      </c>
      <c r="N78" s="252">
        <v>0</v>
      </c>
      <c r="O78" s="252"/>
      <c r="P78" s="252"/>
      <c r="Q78" s="252"/>
      <c r="R78" s="232">
        <f t="shared" si="23"/>
        <v>0</v>
      </c>
    </row>
    <row r="79" spans="1:18" ht="24" hidden="1" customHeight="1">
      <c r="A79" s="141">
        <v>9600</v>
      </c>
      <c r="B79" s="179" t="s">
        <v>134</v>
      </c>
      <c r="C79" s="204"/>
      <c r="D79" s="204">
        <v>0</v>
      </c>
      <c r="E79" s="251"/>
      <c r="F79" s="252"/>
      <c r="G79" s="252"/>
      <c r="H79" s="232">
        <f t="shared" si="21"/>
        <v>0</v>
      </c>
      <c r="I79" s="252">
        <v>0</v>
      </c>
      <c r="J79" s="252"/>
      <c r="K79" s="252"/>
      <c r="L79" s="252"/>
      <c r="M79" s="232">
        <f t="shared" si="22"/>
        <v>0</v>
      </c>
      <c r="N79" s="252">
        <v>0</v>
      </c>
      <c r="O79" s="252"/>
      <c r="P79" s="252"/>
      <c r="Q79" s="252"/>
      <c r="R79" s="232">
        <f t="shared" si="23"/>
        <v>0</v>
      </c>
    </row>
    <row r="80" spans="1:18" ht="31.5" hidden="1" customHeight="1">
      <c r="A80" s="130" t="s">
        <v>197</v>
      </c>
      <c r="B80" s="185" t="s">
        <v>47</v>
      </c>
      <c r="C80" s="206"/>
      <c r="D80" s="206">
        <v>0</v>
      </c>
      <c r="E80" s="261">
        <f>E10-E35</f>
        <v>0</v>
      </c>
      <c r="F80" s="262">
        <f>F10-F35</f>
        <v>0</v>
      </c>
      <c r="G80" s="262">
        <f>G10-G35</f>
        <v>0</v>
      </c>
      <c r="H80" s="232">
        <f t="shared" si="21"/>
        <v>0</v>
      </c>
      <c r="I80" s="262">
        <v>0</v>
      </c>
      <c r="J80" s="262">
        <f>J10-J35</f>
        <v>0</v>
      </c>
      <c r="K80" s="262">
        <f>K10-K35</f>
        <v>0</v>
      </c>
      <c r="L80" s="262">
        <f>L10-L35</f>
        <v>0</v>
      </c>
      <c r="M80" s="232">
        <f t="shared" si="22"/>
        <v>0</v>
      </c>
      <c r="N80" s="262">
        <v>0</v>
      </c>
      <c r="O80" s="262">
        <f>O10-O35</f>
        <v>0</v>
      </c>
      <c r="P80" s="262">
        <f>P10-P35</f>
        <v>0</v>
      </c>
      <c r="Q80" s="262">
        <f>Q10-Q35</f>
        <v>0</v>
      </c>
      <c r="R80" s="232">
        <f t="shared" si="23"/>
        <v>0</v>
      </c>
    </row>
    <row r="81" spans="1:18" ht="12" hidden="1" customHeight="1">
      <c r="A81" s="143" t="s">
        <v>48</v>
      </c>
      <c r="B81" s="185" t="s">
        <v>49</v>
      </c>
      <c r="C81" s="206">
        <v>0</v>
      </c>
      <c r="D81" s="206">
        <v>0</v>
      </c>
      <c r="E81" s="261">
        <f>E82+E85+E89+E88</f>
        <v>0</v>
      </c>
      <c r="F81" s="262">
        <f>F82+F85+F89+F88</f>
        <v>0</v>
      </c>
      <c r="G81" s="262">
        <f>G82+G85+G89+G88</f>
        <v>0</v>
      </c>
      <c r="H81" s="232">
        <f t="shared" si="21"/>
        <v>0</v>
      </c>
      <c r="I81" s="262">
        <v>0</v>
      </c>
      <c r="J81" s="262">
        <f>J82+J85+J89+J88</f>
        <v>0</v>
      </c>
      <c r="K81" s="262">
        <f>K82+K85+K89+K88</f>
        <v>0</v>
      </c>
      <c r="L81" s="262">
        <f>L82+L85+L89+L88</f>
        <v>0</v>
      </c>
      <c r="M81" s="232">
        <f t="shared" si="22"/>
        <v>0</v>
      </c>
      <c r="N81" s="262">
        <v>0</v>
      </c>
      <c r="O81" s="262">
        <f>O82+O85+O89+O88</f>
        <v>0</v>
      </c>
      <c r="P81" s="262">
        <f>P82+P85+P89+P88</f>
        <v>0</v>
      </c>
      <c r="Q81" s="262">
        <f>Q82+Q85+Q89+Q88</f>
        <v>0</v>
      </c>
      <c r="R81" s="232">
        <f t="shared" si="23"/>
        <v>0</v>
      </c>
    </row>
    <row r="82" spans="1:18" s="4" customFormat="1" ht="12" hidden="1" customHeight="1">
      <c r="A82" s="141" t="s">
        <v>50</v>
      </c>
      <c r="B82" s="179" t="s">
        <v>51</v>
      </c>
      <c r="C82" s="98">
        <v>0</v>
      </c>
      <c r="D82" s="98">
        <v>0</v>
      </c>
      <c r="E82" s="230">
        <f>E83+E84</f>
        <v>0</v>
      </c>
      <c r="F82" s="231">
        <f>F83+F84</f>
        <v>0</v>
      </c>
      <c r="G82" s="231">
        <f>G83+G84</f>
        <v>0</v>
      </c>
      <c r="H82" s="232">
        <f t="shared" si="21"/>
        <v>0</v>
      </c>
      <c r="I82" s="231">
        <v>0</v>
      </c>
      <c r="J82" s="231">
        <f>J83+J84</f>
        <v>0</v>
      </c>
      <c r="K82" s="231">
        <f>K83+K84</f>
        <v>0</v>
      </c>
      <c r="L82" s="231">
        <f>L83+L84</f>
        <v>0</v>
      </c>
      <c r="M82" s="232">
        <f t="shared" si="22"/>
        <v>0</v>
      </c>
      <c r="N82" s="231">
        <v>0</v>
      </c>
      <c r="O82" s="231">
        <f>O83+O84</f>
        <v>0</v>
      </c>
      <c r="P82" s="231">
        <f>P83+P84</f>
        <v>0</v>
      </c>
      <c r="Q82" s="231">
        <f>Q83+Q84</f>
        <v>0</v>
      </c>
      <c r="R82" s="232">
        <f t="shared" si="23"/>
        <v>0</v>
      </c>
    </row>
    <row r="83" spans="1:18" s="6" customFormat="1" ht="12" hidden="1" customHeight="1">
      <c r="A83" s="141" t="s">
        <v>52</v>
      </c>
      <c r="B83" s="179" t="s">
        <v>53</v>
      </c>
      <c r="C83" s="98"/>
      <c r="D83" s="98">
        <v>0</v>
      </c>
      <c r="E83" s="230"/>
      <c r="F83" s="231"/>
      <c r="G83" s="231"/>
      <c r="H83" s="232">
        <f t="shared" si="21"/>
        <v>0</v>
      </c>
      <c r="I83" s="231">
        <v>0</v>
      </c>
      <c r="J83" s="231"/>
      <c r="K83" s="231"/>
      <c r="L83" s="231"/>
      <c r="M83" s="232">
        <f t="shared" si="22"/>
        <v>0</v>
      </c>
      <c r="N83" s="231">
        <v>0</v>
      </c>
      <c r="O83" s="231"/>
      <c r="P83" s="231"/>
      <c r="Q83" s="231"/>
      <c r="R83" s="232">
        <f t="shared" si="23"/>
        <v>0</v>
      </c>
    </row>
    <row r="84" spans="1:18" s="6" customFormat="1" ht="12" hidden="1" customHeight="1">
      <c r="A84" s="141" t="s">
        <v>54</v>
      </c>
      <c r="B84" s="179" t="s">
        <v>55</v>
      </c>
      <c r="C84" s="98"/>
      <c r="D84" s="98">
        <v>0</v>
      </c>
      <c r="E84" s="230"/>
      <c r="F84" s="231"/>
      <c r="G84" s="231"/>
      <c r="H84" s="232">
        <f t="shared" si="21"/>
        <v>0</v>
      </c>
      <c r="I84" s="231">
        <v>0</v>
      </c>
      <c r="J84" s="231"/>
      <c r="K84" s="231"/>
      <c r="L84" s="231"/>
      <c r="M84" s="232">
        <f t="shared" si="22"/>
        <v>0</v>
      </c>
      <c r="N84" s="231">
        <v>0</v>
      </c>
      <c r="O84" s="231"/>
      <c r="P84" s="231"/>
      <c r="Q84" s="231"/>
      <c r="R84" s="232">
        <f t="shared" si="23"/>
        <v>0</v>
      </c>
    </row>
    <row r="85" spans="1:18" s="6" customFormat="1" ht="12" hidden="1" customHeight="1">
      <c r="A85" s="141" t="s">
        <v>56</v>
      </c>
      <c r="B85" s="179" t="s">
        <v>57</v>
      </c>
      <c r="C85" s="98">
        <v>0</v>
      </c>
      <c r="D85" s="98">
        <v>0</v>
      </c>
      <c r="E85" s="230">
        <f>E86+E87</f>
        <v>0</v>
      </c>
      <c r="F85" s="231">
        <f>F86+F87</f>
        <v>0</v>
      </c>
      <c r="G85" s="231">
        <f>G86+G87</f>
        <v>0</v>
      </c>
      <c r="H85" s="232">
        <f t="shared" si="21"/>
        <v>0</v>
      </c>
      <c r="I85" s="231">
        <v>0</v>
      </c>
      <c r="J85" s="231">
        <f>J86+J87</f>
        <v>0</v>
      </c>
      <c r="K85" s="231">
        <f>K86+K87</f>
        <v>0</v>
      </c>
      <c r="L85" s="231">
        <f>L86+L87</f>
        <v>0</v>
      </c>
      <c r="M85" s="232">
        <f t="shared" si="22"/>
        <v>0</v>
      </c>
      <c r="N85" s="231">
        <v>0</v>
      </c>
      <c r="O85" s="231">
        <f>O86+O87</f>
        <v>0</v>
      </c>
      <c r="P85" s="231">
        <f>P86+P87</f>
        <v>0</v>
      </c>
      <c r="Q85" s="231">
        <f>Q86+Q87</f>
        <v>0</v>
      </c>
      <c r="R85" s="232">
        <f t="shared" si="23"/>
        <v>0</v>
      </c>
    </row>
    <row r="86" spans="1:18" s="6" customFormat="1" ht="12" hidden="1" customHeight="1">
      <c r="A86" s="141" t="s">
        <v>58</v>
      </c>
      <c r="B86" s="179" t="s">
        <v>59</v>
      </c>
      <c r="C86" s="98"/>
      <c r="D86" s="98">
        <v>0</v>
      </c>
      <c r="E86" s="230"/>
      <c r="F86" s="231"/>
      <c r="G86" s="231"/>
      <c r="H86" s="232">
        <f t="shared" si="21"/>
        <v>0</v>
      </c>
      <c r="I86" s="231">
        <v>0</v>
      </c>
      <c r="J86" s="231"/>
      <c r="K86" s="231"/>
      <c r="L86" s="231"/>
      <c r="M86" s="232">
        <f t="shared" si="22"/>
        <v>0</v>
      </c>
      <c r="N86" s="231">
        <v>0</v>
      </c>
      <c r="O86" s="231"/>
      <c r="P86" s="231"/>
      <c r="Q86" s="231"/>
      <c r="R86" s="232">
        <f t="shared" si="23"/>
        <v>0</v>
      </c>
    </row>
    <row r="87" spans="1:18" s="6" customFormat="1" ht="12" hidden="1" customHeight="1">
      <c r="A87" s="141" t="s">
        <v>60</v>
      </c>
      <c r="B87" s="179" t="s">
        <v>61</v>
      </c>
      <c r="C87" s="98"/>
      <c r="D87" s="98">
        <v>0</v>
      </c>
      <c r="E87" s="230"/>
      <c r="F87" s="231"/>
      <c r="G87" s="231"/>
      <c r="H87" s="232">
        <f t="shared" si="21"/>
        <v>0</v>
      </c>
      <c r="I87" s="231">
        <v>0</v>
      </c>
      <c r="J87" s="231"/>
      <c r="K87" s="231"/>
      <c r="L87" s="231"/>
      <c r="M87" s="232">
        <f t="shared" si="22"/>
        <v>0</v>
      </c>
      <c r="N87" s="231">
        <v>0</v>
      </c>
      <c r="O87" s="231"/>
      <c r="P87" s="231"/>
      <c r="Q87" s="231"/>
      <c r="R87" s="232">
        <f t="shared" si="23"/>
        <v>0</v>
      </c>
    </row>
    <row r="88" spans="1:18" s="6" customFormat="1" ht="12" hidden="1" customHeight="1">
      <c r="A88" s="141" t="s">
        <v>198</v>
      </c>
      <c r="B88" s="187" t="s">
        <v>168</v>
      </c>
      <c r="C88" s="98"/>
      <c r="D88" s="98">
        <v>0</v>
      </c>
      <c r="E88" s="230"/>
      <c r="F88" s="231"/>
      <c r="G88" s="231"/>
      <c r="H88" s="232">
        <f t="shared" si="21"/>
        <v>0</v>
      </c>
      <c r="I88" s="231">
        <v>0</v>
      </c>
      <c r="J88" s="231"/>
      <c r="K88" s="231"/>
      <c r="L88" s="231"/>
      <c r="M88" s="232">
        <f t="shared" si="22"/>
        <v>0</v>
      </c>
      <c r="N88" s="231">
        <v>0</v>
      </c>
      <c r="O88" s="231"/>
      <c r="P88" s="231"/>
      <c r="Q88" s="231"/>
      <c r="R88" s="232">
        <f t="shared" si="23"/>
        <v>0</v>
      </c>
    </row>
    <row r="89" spans="1:18" s="6" customFormat="1" ht="12" hidden="1" customHeight="1">
      <c r="A89" s="144" t="s">
        <v>62</v>
      </c>
      <c r="B89" s="125" t="s">
        <v>63</v>
      </c>
      <c r="C89" s="170">
        <v>0</v>
      </c>
      <c r="D89" s="170">
        <v>0</v>
      </c>
      <c r="E89" s="232">
        <f>E90+E91+E92</f>
        <v>0</v>
      </c>
      <c r="F89" s="233">
        <f>F90+F91+F92</f>
        <v>0</v>
      </c>
      <c r="G89" s="233">
        <f>G90+G91+G92</f>
        <v>0</v>
      </c>
      <c r="H89" s="232">
        <f t="shared" si="21"/>
        <v>0</v>
      </c>
      <c r="I89" s="233">
        <v>0</v>
      </c>
      <c r="J89" s="233">
        <f>J90+J91+J92</f>
        <v>0</v>
      </c>
      <c r="K89" s="233">
        <f>K90+K91+K92</f>
        <v>0</v>
      </c>
      <c r="L89" s="233">
        <f>L90+L91+L92</f>
        <v>0</v>
      </c>
      <c r="M89" s="232">
        <f t="shared" si="22"/>
        <v>0</v>
      </c>
      <c r="N89" s="233">
        <v>0</v>
      </c>
      <c r="O89" s="233">
        <f>O90+O91+O92</f>
        <v>0</v>
      </c>
      <c r="P89" s="233">
        <f>P90+P91+P92</f>
        <v>0</v>
      </c>
      <c r="Q89" s="233">
        <f>Q90+Q91+Q92</f>
        <v>0</v>
      </c>
      <c r="R89" s="232">
        <f t="shared" si="23"/>
        <v>0</v>
      </c>
    </row>
    <row r="90" spans="1:18" s="6" customFormat="1" ht="36" hidden="1" customHeight="1">
      <c r="A90" s="144" t="s">
        <v>64</v>
      </c>
      <c r="B90" s="179" t="s">
        <v>65</v>
      </c>
      <c r="C90" s="98"/>
      <c r="D90" s="98">
        <v>0</v>
      </c>
      <c r="E90" s="230"/>
      <c r="F90" s="231"/>
      <c r="G90" s="231"/>
      <c r="H90" s="232">
        <f t="shared" si="21"/>
        <v>0</v>
      </c>
      <c r="I90" s="231">
        <v>0</v>
      </c>
      <c r="J90" s="231"/>
      <c r="K90" s="231"/>
      <c r="L90" s="231"/>
      <c r="M90" s="232">
        <f t="shared" si="22"/>
        <v>0</v>
      </c>
      <c r="N90" s="231">
        <v>0</v>
      </c>
      <c r="O90" s="231"/>
      <c r="P90" s="231"/>
      <c r="Q90" s="231"/>
      <c r="R90" s="232">
        <f t="shared" si="23"/>
        <v>0</v>
      </c>
    </row>
    <row r="91" spans="1:18" s="6" customFormat="1" ht="36" hidden="1" customHeight="1">
      <c r="A91" s="144" t="s">
        <v>66</v>
      </c>
      <c r="B91" s="179" t="s">
        <v>67</v>
      </c>
      <c r="C91" s="98"/>
      <c r="D91" s="98">
        <v>0</v>
      </c>
      <c r="E91" s="230"/>
      <c r="F91" s="231"/>
      <c r="G91" s="231"/>
      <c r="H91" s="232">
        <f t="shared" si="21"/>
        <v>0</v>
      </c>
      <c r="I91" s="231">
        <v>0</v>
      </c>
      <c r="J91" s="231"/>
      <c r="K91" s="231"/>
      <c r="L91" s="231"/>
      <c r="M91" s="232">
        <f t="shared" si="22"/>
        <v>0</v>
      </c>
      <c r="N91" s="231">
        <v>0</v>
      </c>
      <c r="O91" s="231"/>
      <c r="P91" s="231"/>
      <c r="Q91" s="231"/>
      <c r="R91" s="232">
        <f t="shared" si="23"/>
        <v>0</v>
      </c>
    </row>
    <row r="92" spans="1:18" s="6" customFormat="1" ht="24" hidden="1" customHeight="1">
      <c r="A92" s="144" t="s">
        <v>68</v>
      </c>
      <c r="B92" s="125" t="s">
        <v>69</v>
      </c>
      <c r="C92" s="98"/>
      <c r="D92" s="98">
        <v>0</v>
      </c>
      <c r="E92" s="230"/>
      <c r="F92" s="231"/>
      <c r="G92" s="231"/>
      <c r="H92" s="232">
        <f t="shared" si="21"/>
        <v>0</v>
      </c>
      <c r="I92" s="231">
        <v>0</v>
      </c>
      <c r="J92" s="231"/>
      <c r="K92" s="231"/>
      <c r="L92" s="231"/>
      <c r="M92" s="232">
        <f t="shared" si="22"/>
        <v>0</v>
      </c>
      <c r="N92" s="231">
        <v>0</v>
      </c>
      <c r="O92" s="231"/>
      <c r="P92" s="231"/>
      <c r="Q92" s="231"/>
      <c r="R92" s="232">
        <f t="shared" si="23"/>
        <v>0</v>
      </c>
    </row>
    <row r="93" spans="1:18" s="6" customFormat="1" ht="12">
      <c r="A93" s="145"/>
      <c r="B93" s="188" t="s">
        <v>199</v>
      </c>
      <c r="C93" s="207"/>
      <c r="D93" s="190"/>
      <c r="E93" s="269"/>
      <c r="F93" s="268"/>
      <c r="G93" s="268"/>
      <c r="H93" s="269"/>
      <c r="I93" s="347"/>
      <c r="J93" s="268"/>
      <c r="K93" s="268"/>
      <c r="L93" s="268"/>
      <c r="M93" s="269"/>
      <c r="N93" s="347"/>
      <c r="O93" s="268"/>
      <c r="P93" s="268"/>
      <c r="Q93" s="268"/>
      <c r="R93" s="269"/>
    </row>
    <row r="94" spans="1:18" s="6" customFormat="1" ht="20.399999999999999">
      <c r="A94" s="129" t="s">
        <v>201</v>
      </c>
      <c r="B94" s="123" t="s">
        <v>88</v>
      </c>
      <c r="C94" s="200">
        <v>446121868</v>
      </c>
      <c r="D94" s="200">
        <v>419691516</v>
      </c>
      <c r="E94" s="227">
        <f>E95+E96+E98+E116</f>
        <v>-73827</v>
      </c>
      <c r="F94" s="228">
        <f>F95+F96+F98+F116</f>
        <v>3292785</v>
      </c>
      <c r="G94" s="228">
        <f>G95+G96+G98+G116</f>
        <v>44863898</v>
      </c>
      <c r="H94" s="229">
        <f t="shared" ref="H94:H118" si="24">SUM(D94:G94)</f>
        <v>467774372</v>
      </c>
      <c r="I94" s="228">
        <v>419691516</v>
      </c>
      <c r="J94" s="228">
        <f>J95+J96+J98+J116</f>
        <v>-73827</v>
      </c>
      <c r="K94" s="228">
        <f>K95+K96+K98+K116</f>
        <v>5283826</v>
      </c>
      <c r="L94" s="228">
        <f>L95+L96+L98+L116</f>
        <v>49183295</v>
      </c>
      <c r="M94" s="229">
        <f t="shared" ref="M94:M125" si="25">SUM(I94:L94)</f>
        <v>474084810</v>
      </c>
      <c r="N94" s="228">
        <v>419691516</v>
      </c>
      <c r="O94" s="228">
        <f>O95+O96+O98+O116</f>
        <v>-73827</v>
      </c>
      <c r="P94" s="228">
        <f>P95+P96+P98+P116</f>
        <v>1836834</v>
      </c>
      <c r="Q94" s="228">
        <f>Q95+Q96+Q98+Q116</f>
        <v>48824488</v>
      </c>
      <c r="R94" s="229">
        <f t="shared" ref="R94:R125" si="26">SUM(N94:Q94)</f>
        <v>470279011</v>
      </c>
    </row>
    <row r="95" spans="1:18" s="6" customFormat="1" ht="22.8">
      <c r="A95" s="130" t="s">
        <v>177</v>
      </c>
      <c r="B95" s="124" t="s">
        <v>90</v>
      </c>
      <c r="C95" s="98">
        <v>14213553</v>
      </c>
      <c r="D95" s="98">
        <v>8577775</v>
      </c>
      <c r="E95" s="230">
        <f>E267</f>
        <v>-72315</v>
      </c>
      <c r="F95" s="231">
        <v>186107</v>
      </c>
      <c r="G95" s="231"/>
      <c r="H95" s="232">
        <f t="shared" si="24"/>
        <v>8691567</v>
      </c>
      <c r="I95" s="231">
        <v>8577775</v>
      </c>
      <c r="J95" s="230">
        <f>J267</f>
        <v>-72315</v>
      </c>
      <c r="K95" s="231">
        <v>998956</v>
      </c>
      <c r="L95" s="231"/>
      <c r="M95" s="232">
        <f t="shared" si="25"/>
        <v>9504416</v>
      </c>
      <c r="N95" s="231">
        <v>8577775</v>
      </c>
      <c r="O95" s="230">
        <f>O267</f>
        <v>-72315</v>
      </c>
      <c r="P95" s="231">
        <v>998956</v>
      </c>
      <c r="Q95" s="231"/>
      <c r="R95" s="232">
        <f t="shared" si="26"/>
        <v>9504416</v>
      </c>
    </row>
    <row r="96" spans="1:18" s="6" customFormat="1" ht="12" hidden="1" customHeight="1">
      <c r="A96" s="130" t="s">
        <v>91</v>
      </c>
      <c r="B96" s="124" t="s">
        <v>92</v>
      </c>
      <c r="C96" s="98"/>
      <c r="D96" s="98">
        <v>0</v>
      </c>
      <c r="E96" s="230"/>
      <c r="F96" s="231"/>
      <c r="G96" s="231"/>
      <c r="H96" s="232">
        <f t="shared" si="24"/>
        <v>0</v>
      </c>
      <c r="I96" s="231">
        <v>0</v>
      </c>
      <c r="J96" s="231"/>
      <c r="K96" s="231"/>
      <c r="L96" s="231"/>
      <c r="M96" s="232">
        <f t="shared" si="25"/>
        <v>0</v>
      </c>
      <c r="N96" s="231">
        <v>0</v>
      </c>
      <c r="O96" s="231"/>
      <c r="P96" s="231"/>
      <c r="Q96" s="231"/>
      <c r="R96" s="232">
        <f t="shared" si="26"/>
        <v>0</v>
      </c>
    </row>
    <row r="97" spans="1:18" s="6" customFormat="1" ht="24" hidden="1" customHeight="1">
      <c r="A97" s="131">
        <v>21210</v>
      </c>
      <c r="B97" s="125" t="s">
        <v>93</v>
      </c>
      <c r="C97" s="98"/>
      <c r="D97" s="98">
        <v>0</v>
      </c>
      <c r="E97" s="230"/>
      <c r="F97" s="231"/>
      <c r="G97" s="231"/>
      <c r="H97" s="232">
        <f t="shared" si="24"/>
        <v>0</v>
      </c>
      <c r="I97" s="231">
        <v>0</v>
      </c>
      <c r="J97" s="231"/>
      <c r="K97" s="231"/>
      <c r="L97" s="231"/>
      <c r="M97" s="232">
        <f t="shared" si="25"/>
        <v>0</v>
      </c>
      <c r="N97" s="231">
        <v>0</v>
      </c>
      <c r="O97" s="231"/>
      <c r="P97" s="231"/>
      <c r="Q97" s="231"/>
      <c r="R97" s="232">
        <f t="shared" si="26"/>
        <v>0</v>
      </c>
    </row>
    <row r="98" spans="1:18" s="6" customFormat="1" ht="21" hidden="1" customHeight="1">
      <c r="A98" s="130" t="s">
        <v>178</v>
      </c>
      <c r="B98" s="124" t="s">
        <v>94</v>
      </c>
      <c r="C98" s="170">
        <v>0</v>
      </c>
      <c r="D98" s="170">
        <v>0</v>
      </c>
      <c r="E98" s="232">
        <f>E99+E105</f>
        <v>0</v>
      </c>
      <c r="F98" s="233">
        <f>F99+F105</f>
        <v>0</v>
      </c>
      <c r="G98" s="233">
        <f>G99+G105</f>
        <v>0</v>
      </c>
      <c r="H98" s="232">
        <f t="shared" si="24"/>
        <v>0</v>
      </c>
      <c r="I98" s="233">
        <v>0</v>
      </c>
      <c r="J98" s="233">
        <f>J99+J105</f>
        <v>0</v>
      </c>
      <c r="K98" s="233">
        <f>K99+K105</f>
        <v>0</v>
      </c>
      <c r="L98" s="233">
        <f>L99+L105</f>
        <v>0</v>
      </c>
      <c r="M98" s="232">
        <f t="shared" si="25"/>
        <v>0</v>
      </c>
      <c r="N98" s="233">
        <v>0</v>
      </c>
      <c r="O98" s="233">
        <f>O99+O105</f>
        <v>0</v>
      </c>
      <c r="P98" s="233">
        <f>P99+P105</f>
        <v>0</v>
      </c>
      <c r="Q98" s="233">
        <f>Q99+Q105</f>
        <v>0</v>
      </c>
      <c r="R98" s="232">
        <f t="shared" si="26"/>
        <v>0</v>
      </c>
    </row>
    <row r="99" spans="1:18" s="6" customFormat="1" ht="12" hidden="1" customHeight="1">
      <c r="A99" s="132">
        <v>18000</v>
      </c>
      <c r="B99" s="125" t="s">
        <v>95</v>
      </c>
      <c r="C99" s="170">
        <v>0</v>
      </c>
      <c r="D99" s="170">
        <v>0</v>
      </c>
      <c r="E99" s="232">
        <f t="shared" ref="E99:G100" si="27">E100</f>
        <v>0</v>
      </c>
      <c r="F99" s="233">
        <f t="shared" si="27"/>
        <v>0</v>
      </c>
      <c r="G99" s="233">
        <f t="shared" si="27"/>
        <v>0</v>
      </c>
      <c r="H99" s="232">
        <f t="shared" si="24"/>
        <v>0</v>
      </c>
      <c r="I99" s="233">
        <v>0</v>
      </c>
      <c r="J99" s="233">
        <f t="shared" ref="J99:L100" si="28">J100</f>
        <v>0</v>
      </c>
      <c r="K99" s="233">
        <f t="shared" si="28"/>
        <v>0</v>
      </c>
      <c r="L99" s="233">
        <f t="shared" si="28"/>
        <v>0</v>
      </c>
      <c r="M99" s="232">
        <f t="shared" si="25"/>
        <v>0</v>
      </c>
      <c r="N99" s="233">
        <v>0</v>
      </c>
      <c r="O99" s="233">
        <f t="shared" ref="O99:Q100" si="29">O100</f>
        <v>0</v>
      </c>
      <c r="P99" s="233">
        <f t="shared" si="29"/>
        <v>0</v>
      </c>
      <c r="Q99" s="233">
        <f t="shared" si="29"/>
        <v>0</v>
      </c>
      <c r="R99" s="232">
        <f t="shared" si="26"/>
        <v>0</v>
      </c>
    </row>
    <row r="100" spans="1:18" s="6" customFormat="1" ht="12" hidden="1" customHeight="1">
      <c r="A100" s="132">
        <v>18100</v>
      </c>
      <c r="B100" s="125" t="s">
        <v>96</v>
      </c>
      <c r="C100" s="170">
        <v>0</v>
      </c>
      <c r="D100" s="170">
        <v>0</v>
      </c>
      <c r="E100" s="232">
        <f t="shared" si="27"/>
        <v>0</v>
      </c>
      <c r="F100" s="233">
        <f t="shared" si="27"/>
        <v>0</v>
      </c>
      <c r="G100" s="233">
        <f t="shared" si="27"/>
        <v>0</v>
      </c>
      <c r="H100" s="232">
        <f t="shared" si="24"/>
        <v>0</v>
      </c>
      <c r="I100" s="233">
        <v>0</v>
      </c>
      <c r="J100" s="233">
        <f t="shared" si="28"/>
        <v>0</v>
      </c>
      <c r="K100" s="233">
        <f t="shared" si="28"/>
        <v>0</v>
      </c>
      <c r="L100" s="233">
        <f t="shared" si="28"/>
        <v>0</v>
      </c>
      <c r="M100" s="232">
        <f t="shared" si="25"/>
        <v>0</v>
      </c>
      <c r="N100" s="233">
        <v>0</v>
      </c>
      <c r="O100" s="233">
        <f t="shared" si="29"/>
        <v>0</v>
      </c>
      <c r="P100" s="233">
        <f t="shared" si="29"/>
        <v>0</v>
      </c>
      <c r="Q100" s="233">
        <f t="shared" si="29"/>
        <v>0</v>
      </c>
      <c r="R100" s="232">
        <f t="shared" si="26"/>
        <v>0</v>
      </c>
    </row>
    <row r="101" spans="1:18" s="6" customFormat="1" ht="24" hidden="1" customHeight="1">
      <c r="A101" s="133">
        <v>18130</v>
      </c>
      <c r="B101" s="172" t="s">
        <v>159</v>
      </c>
      <c r="C101" s="170">
        <v>0</v>
      </c>
      <c r="D101" s="170">
        <v>0</v>
      </c>
      <c r="E101" s="232">
        <f>SUM(E102:E104)</f>
        <v>0</v>
      </c>
      <c r="F101" s="233">
        <f>SUM(F102:F104)</f>
        <v>0</v>
      </c>
      <c r="G101" s="233">
        <f>SUM(G102:G104)</f>
        <v>0</v>
      </c>
      <c r="H101" s="232">
        <f t="shared" si="24"/>
        <v>0</v>
      </c>
      <c r="I101" s="233">
        <v>0</v>
      </c>
      <c r="J101" s="233">
        <f>SUM(J102:J104)</f>
        <v>0</v>
      </c>
      <c r="K101" s="233">
        <f>SUM(K102:K104)</f>
        <v>0</v>
      </c>
      <c r="L101" s="233">
        <f>SUM(L102:L104)</f>
        <v>0</v>
      </c>
      <c r="M101" s="232">
        <f t="shared" si="25"/>
        <v>0</v>
      </c>
      <c r="N101" s="233">
        <v>0</v>
      </c>
      <c r="O101" s="233">
        <f>SUM(O102:O104)</f>
        <v>0</v>
      </c>
      <c r="P101" s="233">
        <f>SUM(P102:P104)</f>
        <v>0</v>
      </c>
      <c r="Q101" s="233">
        <f>SUM(Q102:Q104)</f>
        <v>0</v>
      </c>
      <c r="R101" s="232">
        <f t="shared" si="26"/>
        <v>0</v>
      </c>
    </row>
    <row r="102" spans="1:18" s="6" customFormat="1" ht="36" hidden="1" customHeight="1">
      <c r="A102" s="134">
        <v>18131</v>
      </c>
      <c r="B102" s="172" t="s">
        <v>160</v>
      </c>
      <c r="C102" s="170"/>
      <c r="D102" s="170">
        <v>0</v>
      </c>
      <c r="E102" s="232"/>
      <c r="F102" s="233"/>
      <c r="G102" s="233"/>
      <c r="H102" s="232">
        <f t="shared" si="24"/>
        <v>0</v>
      </c>
      <c r="I102" s="233">
        <v>0</v>
      </c>
      <c r="J102" s="233"/>
      <c r="K102" s="233"/>
      <c r="L102" s="233"/>
      <c r="M102" s="232">
        <f t="shared" si="25"/>
        <v>0</v>
      </c>
      <c r="N102" s="233">
        <v>0</v>
      </c>
      <c r="O102" s="233"/>
      <c r="P102" s="233"/>
      <c r="Q102" s="233"/>
      <c r="R102" s="232">
        <f t="shared" si="26"/>
        <v>0</v>
      </c>
    </row>
    <row r="103" spans="1:18" s="6" customFormat="1" ht="24" hidden="1" customHeight="1">
      <c r="A103" s="134">
        <v>18132</v>
      </c>
      <c r="B103" s="172" t="s">
        <v>169</v>
      </c>
      <c r="C103" s="170"/>
      <c r="D103" s="170">
        <v>0</v>
      </c>
      <c r="E103" s="232"/>
      <c r="F103" s="233"/>
      <c r="G103" s="233"/>
      <c r="H103" s="232">
        <f t="shared" si="24"/>
        <v>0</v>
      </c>
      <c r="I103" s="233">
        <v>0</v>
      </c>
      <c r="J103" s="233"/>
      <c r="K103" s="233"/>
      <c r="L103" s="233"/>
      <c r="M103" s="232">
        <f t="shared" si="25"/>
        <v>0</v>
      </c>
      <c r="N103" s="233">
        <v>0</v>
      </c>
      <c r="O103" s="233"/>
      <c r="P103" s="233"/>
      <c r="Q103" s="233"/>
      <c r="R103" s="232">
        <f t="shared" si="26"/>
        <v>0</v>
      </c>
    </row>
    <row r="104" spans="1:18" s="6" customFormat="1" ht="24" hidden="1" customHeight="1">
      <c r="A104" s="134">
        <v>18139</v>
      </c>
      <c r="B104" s="172" t="s">
        <v>179</v>
      </c>
      <c r="C104" s="170"/>
      <c r="D104" s="170">
        <v>0</v>
      </c>
      <c r="E104" s="232"/>
      <c r="F104" s="233"/>
      <c r="G104" s="233"/>
      <c r="H104" s="232">
        <f t="shared" si="24"/>
        <v>0</v>
      </c>
      <c r="I104" s="233">
        <v>0</v>
      </c>
      <c r="J104" s="233"/>
      <c r="K104" s="233"/>
      <c r="L104" s="233"/>
      <c r="M104" s="232">
        <f t="shared" si="25"/>
        <v>0</v>
      </c>
      <c r="N104" s="233">
        <v>0</v>
      </c>
      <c r="O104" s="233"/>
      <c r="P104" s="233"/>
      <c r="Q104" s="233"/>
      <c r="R104" s="232">
        <f t="shared" si="26"/>
        <v>0</v>
      </c>
    </row>
    <row r="105" spans="1:18" s="6" customFormat="1" ht="12" hidden="1" customHeight="1">
      <c r="A105" s="135" t="s">
        <v>180</v>
      </c>
      <c r="B105" s="173" t="s">
        <v>173</v>
      </c>
      <c r="C105" s="201">
        <v>0</v>
      </c>
      <c r="D105" s="201">
        <v>0</v>
      </c>
      <c r="E105" s="237">
        <f>E106</f>
        <v>0</v>
      </c>
      <c r="F105" s="238">
        <f>F106</f>
        <v>0</v>
      </c>
      <c r="G105" s="238">
        <f>G106</f>
        <v>0</v>
      </c>
      <c r="H105" s="232">
        <f t="shared" si="24"/>
        <v>0</v>
      </c>
      <c r="I105" s="238">
        <v>0</v>
      </c>
      <c r="J105" s="238">
        <f>J106</f>
        <v>0</v>
      </c>
      <c r="K105" s="238">
        <f>K106</f>
        <v>0</v>
      </c>
      <c r="L105" s="238">
        <f>L106</f>
        <v>0</v>
      </c>
      <c r="M105" s="232">
        <f t="shared" si="25"/>
        <v>0</v>
      </c>
      <c r="N105" s="238">
        <v>0</v>
      </c>
      <c r="O105" s="238">
        <f>O106</f>
        <v>0</v>
      </c>
      <c r="P105" s="238">
        <f>P106</f>
        <v>0</v>
      </c>
      <c r="Q105" s="238">
        <f>Q106</f>
        <v>0</v>
      </c>
      <c r="R105" s="232">
        <f t="shared" si="26"/>
        <v>0</v>
      </c>
    </row>
    <row r="106" spans="1:18" s="6" customFormat="1" ht="24" hidden="1" customHeight="1">
      <c r="A106" s="135">
        <v>19500</v>
      </c>
      <c r="B106" s="172" t="s">
        <v>174</v>
      </c>
      <c r="C106" s="170">
        <v>0</v>
      </c>
      <c r="D106" s="170">
        <v>0</v>
      </c>
      <c r="E106" s="232">
        <f>SUM(E107:E109)</f>
        <v>0</v>
      </c>
      <c r="F106" s="233">
        <f>SUM(F107:F109)</f>
        <v>0</v>
      </c>
      <c r="G106" s="233">
        <f>SUM(G107:G109)</f>
        <v>0</v>
      </c>
      <c r="H106" s="232">
        <f t="shared" si="24"/>
        <v>0</v>
      </c>
      <c r="I106" s="233">
        <v>0</v>
      </c>
      <c r="J106" s="233">
        <f>SUM(J107:J109)</f>
        <v>0</v>
      </c>
      <c r="K106" s="233">
        <f>SUM(K107:K109)</f>
        <v>0</v>
      </c>
      <c r="L106" s="233">
        <f>SUM(L107:L109)</f>
        <v>0</v>
      </c>
      <c r="M106" s="232">
        <f t="shared" si="25"/>
        <v>0</v>
      </c>
      <c r="N106" s="233">
        <v>0</v>
      </c>
      <c r="O106" s="233">
        <f>SUM(O107:O109)</f>
        <v>0</v>
      </c>
      <c r="P106" s="233">
        <f>SUM(P107:P109)</f>
        <v>0</v>
      </c>
      <c r="Q106" s="233">
        <f>SUM(Q107:Q109)</f>
        <v>0</v>
      </c>
      <c r="R106" s="232">
        <f t="shared" si="26"/>
        <v>0</v>
      </c>
    </row>
    <row r="107" spans="1:18" s="6" customFormat="1" ht="24" hidden="1" customHeight="1">
      <c r="A107" s="136">
        <v>19550</v>
      </c>
      <c r="B107" s="172" t="s">
        <v>175</v>
      </c>
      <c r="C107" s="170"/>
      <c r="D107" s="170">
        <v>0</v>
      </c>
      <c r="E107" s="232"/>
      <c r="F107" s="233"/>
      <c r="G107" s="233"/>
      <c r="H107" s="232">
        <f t="shared" si="24"/>
        <v>0</v>
      </c>
      <c r="I107" s="233">
        <v>0</v>
      </c>
      <c r="J107" s="233"/>
      <c r="K107" s="233"/>
      <c r="L107" s="233"/>
      <c r="M107" s="232">
        <f t="shared" si="25"/>
        <v>0</v>
      </c>
      <c r="N107" s="233">
        <v>0</v>
      </c>
      <c r="O107" s="233"/>
      <c r="P107" s="233"/>
      <c r="Q107" s="233"/>
      <c r="R107" s="232">
        <f t="shared" si="26"/>
        <v>0</v>
      </c>
    </row>
    <row r="108" spans="1:18" s="6" customFormat="1" ht="36" hidden="1" customHeight="1">
      <c r="A108" s="136">
        <v>19560</v>
      </c>
      <c r="B108" s="172" t="s">
        <v>181</v>
      </c>
      <c r="C108" s="170"/>
      <c r="D108" s="170">
        <v>0</v>
      </c>
      <c r="E108" s="232"/>
      <c r="F108" s="233"/>
      <c r="G108" s="233"/>
      <c r="H108" s="232">
        <f t="shared" si="24"/>
        <v>0</v>
      </c>
      <c r="I108" s="233">
        <v>0</v>
      </c>
      <c r="J108" s="233"/>
      <c r="K108" s="233"/>
      <c r="L108" s="233"/>
      <c r="M108" s="232">
        <f t="shared" si="25"/>
        <v>0</v>
      </c>
      <c r="N108" s="233">
        <v>0</v>
      </c>
      <c r="O108" s="233"/>
      <c r="P108" s="233"/>
      <c r="Q108" s="233"/>
      <c r="R108" s="232">
        <f t="shared" si="26"/>
        <v>0</v>
      </c>
    </row>
    <row r="109" spans="1:18" s="6" customFormat="1" ht="72" hidden="1" customHeight="1">
      <c r="A109" s="136">
        <v>19570</v>
      </c>
      <c r="B109" s="172" t="s">
        <v>182</v>
      </c>
      <c r="C109" s="170"/>
      <c r="D109" s="170">
        <v>0</v>
      </c>
      <c r="E109" s="232"/>
      <c r="F109" s="233"/>
      <c r="G109" s="233"/>
      <c r="H109" s="232">
        <f t="shared" si="24"/>
        <v>0</v>
      </c>
      <c r="I109" s="233">
        <v>0</v>
      </c>
      <c r="J109" s="233"/>
      <c r="K109" s="233"/>
      <c r="L109" s="233"/>
      <c r="M109" s="232">
        <f t="shared" si="25"/>
        <v>0</v>
      </c>
      <c r="N109" s="233">
        <v>0</v>
      </c>
      <c r="O109" s="233"/>
      <c r="P109" s="233"/>
      <c r="Q109" s="233"/>
      <c r="R109" s="232">
        <f t="shared" si="26"/>
        <v>0</v>
      </c>
    </row>
    <row r="110" spans="1:18" s="6" customFormat="1" ht="36" hidden="1" customHeight="1">
      <c r="A110" s="209" t="s">
        <v>222</v>
      </c>
      <c r="B110" s="208" t="s">
        <v>216</v>
      </c>
      <c r="C110" s="106">
        <f>C111</f>
        <v>0</v>
      </c>
      <c r="D110" s="106">
        <v>0</v>
      </c>
      <c r="E110" s="232">
        <f>E111</f>
        <v>0</v>
      </c>
      <c r="F110" s="232">
        <f>F111</f>
        <v>0</v>
      </c>
      <c r="G110" s="232">
        <f>G111</f>
        <v>0</v>
      </c>
      <c r="H110" s="232">
        <f t="shared" si="24"/>
        <v>0</v>
      </c>
      <c r="I110" s="233">
        <v>0</v>
      </c>
      <c r="J110" s="232">
        <f>J111</f>
        <v>0</v>
      </c>
      <c r="K110" s="232">
        <f>K111</f>
        <v>0</v>
      </c>
      <c r="L110" s="232">
        <f>L111</f>
        <v>0</v>
      </c>
      <c r="M110" s="232">
        <f t="shared" si="25"/>
        <v>0</v>
      </c>
      <c r="N110" s="233">
        <v>0</v>
      </c>
      <c r="O110" s="232">
        <f>O111</f>
        <v>0</v>
      </c>
      <c r="P110" s="232">
        <f>P111</f>
        <v>0</v>
      </c>
      <c r="Q110" s="232">
        <f>Q111</f>
        <v>0</v>
      </c>
      <c r="R110" s="232">
        <f t="shared" si="26"/>
        <v>0</v>
      </c>
    </row>
    <row r="111" spans="1:18" s="6" customFormat="1" ht="36" hidden="1" customHeight="1">
      <c r="A111" s="209">
        <v>17100</v>
      </c>
      <c r="B111" s="208" t="s">
        <v>217</v>
      </c>
      <c r="C111" s="106">
        <f>SUM(C112:C115)</f>
        <v>0</v>
      </c>
      <c r="D111" s="106">
        <v>0</v>
      </c>
      <c r="E111" s="232">
        <f>SUM(E112:E115)</f>
        <v>0</v>
      </c>
      <c r="F111" s="232">
        <f>SUM(F112:F115)</f>
        <v>0</v>
      </c>
      <c r="G111" s="232">
        <f>SUM(G112:G115)</f>
        <v>0</v>
      </c>
      <c r="H111" s="232">
        <f t="shared" si="24"/>
        <v>0</v>
      </c>
      <c r="I111" s="233">
        <v>0</v>
      </c>
      <c r="J111" s="232">
        <f>SUM(J112:J115)</f>
        <v>0</v>
      </c>
      <c r="K111" s="232">
        <f>SUM(K112:K115)</f>
        <v>0</v>
      </c>
      <c r="L111" s="232">
        <f>SUM(L112:L115)</f>
        <v>0</v>
      </c>
      <c r="M111" s="232">
        <f t="shared" si="25"/>
        <v>0</v>
      </c>
      <c r="N111" s="233">
        <v>0</v>
      </c>
      <c r="O111" s="232">
        <f>SUM(O112:O115)</f>
        <v>0</v>
      </c>
      <c r="P111" s="232">
        <f>SUM(P112:P115)</f>
        <v>0</v>
      </c>
      <c r="Q111" s="232">
        <f>SUM(Q112:Q115)</f>
        <v>0</v>
      </c>
      <c r="R111" s="232">
        <f t="shared" si="26"/>
        <v>0</v>
      </c>
    </row>
    <row r="112" spans="1:18" s="6" customFormat="1" ht="60" hidden="1" customHeight="1">
      <c r="A112" s="149">
        <v>17110</v>
      </c>
      <c r="B112" s="208" t="s">
        <v>218</v>
      </c>
      <c r="C112" s="106"/>
      <c r="D112" s="106">
        <v>0</v>
      </c>
      <c r="E112" s="232"/>
      <c r="F112" s="233"/>
      <c r="G112" s="233"/>
      <c r="H112" s="232">
        <f t="shared" si="24"/>
        <v>0</v>
      </c>
      <c r="I112" s="233">
        <v>0</v>
      </c>
      <c r="J112" s="233"/>
      <c r="K112" s="233"/>
      <c r="L112" s="233"/>
      <c r="M112" s="232">
        <f t="shared" si="25"/>
        <v>0</v>
      </c>
      <c r="N112" s="233">
        <v>0</v>
      </c>
      <c r="O112" s="233"/>
      <c r="P112" s="233"/>
      <c r="Q112" s="233"/>
      <c r="R112" s="232">
        <f t="shared" si="26"/>
        <v>0</v>
      </c>
    </row>
    <row r="113" spans="1:18" s="6" customFormat="1" ht="60" hidden="1" customHeight="1">
      <c r="A113" s="149">
        <v>17120</v>
      </c>
      <c r="B113" s="208" t="s">
        <v>219</v>
      </c>
      <c r="C113" s="106"/>
      <c r="D113" s="106">
        <v>0</v>
      </c>
      <c r="E113" s="232"/>
      <c r="F113" s="233"/>
      <c r="G113" s="233"/>
      <c r="H113" s="232">
        <f t="shared" si="24"/>
        <v>0</v>
      </c>
      <c r="I113" s="233">
        <v>0</v>
      </c>
      <c r="J113" s="233"/>
      <c r="K113" s="233"/>
      <c r="L113" s="233"/>
      <c r="M113" s="232">
        <f t="shared" si="25"/>
        <v>0</v>
      </c>
      <c r="N113" s="233">
        <v>0</v>
      </c>
      <c r="O113" s="233"/>
      <c r="P113" s="233"/>
      <c r="Q113" s="233"/>
      <c r="R113" s="232">
        <f t="shared" si="26"/>
        <v>0</v>
      </c>
    </row>
    <row r="114" spans="1:18" s="6" customFormat="1" ht="108" hidden="1" customHeight="1">
      <c r="A114" s="149">
        <v>17130</v>
      </c>
      <c r="B114" s="208" t="s">
        <v>220</v>
      </c>
      <c r="C114" s="106"/>
      <c r="D114" s="106">
        <v>0</v>
      </c>
      <c r="E114" s="232"/>
      <c r="F114" s="233"/>
      <c r="G114" s="233"/>
      <c r="H114" s="232">
        <f t="shared" si="24"/>
        <v>0</v>
      </c>
      <c r="I114" s="233">
        <v>0</v>
      </c>
      <c r="J114" s="233"/>
      <c r="K114" s="233"/>
      <c r="L114" s="233"/>
      <c r="M114" s="232">
        <f t="shared" si="25"/>
        <v>0</v>
      </c>
      <c r="N114" s="233">
        <v>0</v>
      </c>
      <c r="O114" s="233"/>
      <c r="P114" s="233"/>
      <c r="Q114" s="233"/>
      <c r="R114" s="232">
        <f t="shared" si="26"/>
        <v>0</v>
      </c>
    </row>
    <row r="115" spans="1:18" s="6" customFormat="1" ht="108" hidden="1" customHeight="1">
      <c r="A115" s="149">
        <v>17140</v>
      </c>
      <c r="B115" s="208" t="s">
        <v>221</v>
      </c>
      <c r="C115" s="106"/>
      <c r="D115" s="106">
        <v>0</v>
      </c>
      <c r="E115" s="232"/>
      <c r="F115" s="233"/>
      <c r="G115" s="233"/>
      <c r="H115" s="232">
        <f t="shared" si="24"/>
        <v>0</v>
      </c>
      <c r="I115" s="233">
        <v>0</v>
      </c>
      <c r="J115" s="233"/>
      <c r="K115" s="233"/>
      <c r="L115" s="233"/>
      <c r="M115" s="232">
        <f t="shared" si="25"/>
        <v>0</v>
      </c>
      <c r="N115" s="233">
        <v>0</v>
      </c>
      <c r="O115" s="233"/>
      <c r="P115" s="233"/>
      <c r="Q115" s="233"/>
      <c r="R115" s="232">
        <f t="shared" si="26"/>
        <v>0</v>
      </c>
    </row>
    <row r="116" spans="1:18" s="6" customFormat="1" ht="12">
      <c r="A116" s="137">
        <v>21700</v>
      </c>
      <c r="B116" s="124" t="s">
        <v>97</v>
      </c>
      <c r="C116" s="170">
        <v>431908315</v>
      </c>
      <c r="D116" s="170">
        <v>411113741</v>
      </c>
      <c r="E116" s="232">
        <f>E117+E118</f>
        <v>-1512</v>
      </c>
      <c r="F116" s="233">
        <f>F117+F118</f>
        <v>3106678</v>
      </c>
      <c r="G116" s="233">
        <f>G117+G118</f>
        <v>44863898</v>
      </c>
      <c r="H116" s="232">
        <f t="shared" si="24"/>
        <v>459082805</v>
      </c>
      <c r="I116" s="233">
        <v>411113741</v>
      </c>
      <c r="J116" s="233">
        <f>J117+J118</f>
        <v>-1512</v>
      </c>
      <c r="K116" s="233">
        <f>K117+K118</f>
        <v>4284870</v>
      </c>
      <c r="L116" s="233">
        <f>L117+L118</f>
        <v>49183295</v>
      </c>
      <c r="M116" s="232">
        <f t="shared" si="25"/>
        <v>464580394</v>
      </c>
      <c r="N116" s="233">
        <v>411113741</v>
      </c>
      <c r="O116" s="233">
        <f>O117+O118</f>
        <v>-1512</v>
      </c>
      <c r="P116" s="233">
        <f>P117+P118</f>
        <v>837878</v>
      </c>
      <c r="Q116" s="233">
        <f>Q117+Q118</f>
        <v>48824488</v>
      </c>
      <c r="R116" s="232">
        <f t="shared" si="26"/>
        <v>460774595</v>
      </c>
    </row>
    <row r="117" spans="1:18" s="6" customFormat="1" ht="24">
      <c r="A117" s="138">
        <v>21710</v>
      </c>
      <c r="B117" s="125" t="s">
        <v>98</v>
      </c>
      <c r="C117" s="170">
        <v>431908315</v>
      </c>
      <c r="D117" s="170">
        <v>411113741</v>
      </c>
      <c r="E117" s="232">
        <v>-1512</v>
      </c>
      <c r="F117" s="233">
        <f>156098+11891+2470750+388851+79088</f>
        <v>3106678</v>
      </c>
      <c r="G117" s="233">
        <f>SUM(G278:G295)</f>
        <v>44863898</v>
      </c>
      <c r="H117" s="232">
        <f t="shared" si="24"/>
        <v>459082805</v>
      </c>
      <c r="I117" s="233">
        <v>411113741</v>
      </c>
      <c r="J117" s="233">
        <v>-1512</v>
      </c>
      <c r="K117" s="233">
        <f>837878+2740250+696851+9891</f>
        <v>4284870</v>
      </c>
      <c r="L117" s="233">
        <f>SUM(L278:L295)</f>
        <v>49183295</v>
      </c>
      <c r="M117" s="232">
        <f t="shared" si="25"/>
        <v>464580394</v>
      </c>
      <c r="N117" s="233">
        <v>411113741</v>
      </c>
      <c r="O117" s="233">
        <v>-1512</v>
      </c>
      <c r="P117" s="233">
        <v>837878</v>
      </c>
      <c r="Q117" s="233">
        <f>SUM(Q278:Q295)</f>
        <v>48824488</v>
      </c>
      <c r="R117" s="232">
        <f t="shared" si="26"/>
        <v>460774595</v>
      </c>
    </row>
    <row r="118" spans="1:18" s="6" customFormat="1" ht="24" hidden="1" customHeight="1">
      <c r="A118" s="138">
        <v>21720</v>
      </c>
      <c r="B118" s="125" t="s">
        <v>99</v>
      </c>
      <c r="C118" s="170"/>
      <c r="D118" s="170">
        <v>0</v>
      </c>
      <c r="E118" s="232"/>
      <c r="F118" s="233"/>
      <c r="G118" s="233"/>
      <c r="H118" s="232">
        <f t="shared" si="24"/>
        <v>0</v>
      </c>
      <c r="I118" s="233">
        <v>0</v>
      </c>
      <c r="J118" s="233"/>
      <c r="K118" s="233"/>
      <c r="L118" s="233"/>
      <c r="M118" s="232">
        <f t="shared" si="25"/>
        <v>0</v>
      </c>
      <c r="N118" s="233">
        <v>0</v>
      </c>
      <c r="O118" s="233"/>
      <c r="P118" s="233"/>
      <c r="Q118" s="233"/>
      <c r="R118" s="232">
        <f t="shared" si="26"/>
        <v>0</v>
      </c>
    </row>
    <row r="119" spans="1:18" s="6" customFormat="1" ht="11.4">
      <c r="A119" s="129" t="s">
        <v>100</v>
      </c>
      <c r="B119" s="123" t="s">
        <v>101</v>
      </c>
      <c r="C119" s="243">
        <f t="shared" ref="C119:H119" si="30">C120+C147</f>
        <v>446121868</v>
      </c>
      <c r="D119" s="243">
        <f t="shared" si="30"/>
        <v>419691516</v>
      </c>
      <c r="E119" s="243">
        <f t="shared" si="30"/>
        <v>-73827</v>
      </c>
      <c r="F119" s="243">
        <f t="shared" si="30"/>
        <v>3292785</v>
      </c>
      <c r="G119" s="243">
        <f t="shared" si="30"/>
        <v>44863898</v>
      </c>
      <c r="H119" s="243">
        <f t="shared" si="30"/>
        <v>467774372</v>
      </c>
      <c r="I119" s="243">
        <v>419691516</v>
      </c>
      <c r="J119" s="243">
        <f>J120+J147</f>
        <v>-73827</v>
      </c>
      <c r="K119" s="243">
        <f>K120+K147</f>
        <v>5283826</v>
      </c>
      <c r="L119" s="243">
        <f>L120+L147</f>
        <v>49183295</v>
      </c>
      <c r="M119" s="229">
        <f t="shared" si="25"/>
        <v>474084810</v>
      </c>
      <c r="N119" s="243">
        <v>419691516</v>
      </c>
      <c r="O119" s="243">
        <f>O120+O147</f>
        <v>-73827</v>
      </c>
      <c r="P119" s="243">
        <f>P120+P147</f>
        <v>1836834</v>
      </c>
      <c r="Q119" s="243">
        <f>Q120+Q147</f>
        <v>48824488</v>
      </c>
      <c r="R119" s="229">
        <f t="shared" si="26"/>
        <v>470279011</v>
      </c>
    </row>
    <row r="120" spans="1:18" s="6" customFormat="1" ht="20.399999999999999">
      <c r="A120" s="130" t="s">
        <v>102</v>
      </c>
      <c r="B120" s="124" t="s">
        <v>103</v>
      </c>
      <c r="C120" s="170">
        <v>444705379</v>
      </c>
      <c r="D120" s="232">
        <f>D121+D125+D126+D129+D132</f>
        <v>419022468</v>
      </c>
      <c r="E120" s="232">
        <f>E121+E125+E126+E129+E132</f>
        <v>-73815</v>
      </c>
      <c r="F120" s="232">
        <f>F121+F125+F126+F129+F132</f>
        <v>3292785</v>
      </c>
      <c r="G120" s="232">
        <f>G121+G125+G126+G129+G132</f>
        <v>44861059</v>
      </c>
      <c r="H120" s="232">
        <f>H121+H125+H126+H129+H132</f>
        <v>467102497</v>
      </c>
      <c r="I120" s="233">
        <v>419022468</v>
      </c>
      <c r="J120" s="233">
        <f>J121+J125+J126+J129+J132</f>
        <v>-73815</v>
      </c>
      <c r="K120" s="233">
        <f>K121+K125+K126+K129+K132</f>
        <v>5283826</v>
      </c>
      <c r="L120" s="233">
        <f>L121+L125+L126+L129+L132</f>
        <v>49181501</v>
      </c>
      <c r="M120" s="232">
        <f t="shared" si="25"/>
        <v>473413980</v>
      </c>
      <c r="N120" s="233">
        <v>419022468</v>
      </c>
      <c r="O120" s="233">
        <f>O121+O125+O126+O129+O132</f>
        <v>-73815</v>
      </c>
      <c r="P120" s="233">
        <f>P121+P125+P126+P129+P132</f>
        <v>1836834</v>
      </c>
      <c r="Q120" s="233">
        <f>Q121+Q125+Q126+Q129+Q132</f>
        <v>48823923</v>
      </c>
      <c r="R120" s="232">
        <f t="shared" si="26"/>
        <v>469609410</v>
      </c>
    </row>
    <row r="121" spans="1:18" s="6" customFormat="1" ht="12">
      <c r="A121" s="130" t="s">
        <v>104</v>
      </c>
      <c r="B121" s="124" t="s">
        <v>105</v>
      </c>
      <c r="C121" s="170">
        <v>63244093</v>
      </c>
      <c r="D121" s="170">
        <v>49136691</v>
      </c>
      <c r="E121" s="232">
        <f>E122+E124</f>
        <v>-297313</v>
      </c>
      <c r="F121" s="233">
        <f>F122+F124</f>
        <v>194338</v>
      </c>
      <c r="G121" s="233">
        <f>G122+G124</f>
        <v>1516254</v>
      </c>
      <c r="H121" s="232">
        <f t="shared" ref="H121:H152" si="31">SUM(D121:G121)</f>
        <v>50549970</v>
      </c>
      <c r="I121" s="233">
        <v>49136691</v>
      </c>
      <c r="J121" s="233">
        <f>J122+J124</f>
        <v>-297313</v>
      </c>
      <c r="K121" s="233">
        <f>K122+K124</f>
        <v>148143</v>
      </c>
      <c r="L121" s="233">
        <f>L122+L124</f>
        <v>1834635</v>
      </c>
      <c r="M121" s="232">
        <f t="shared" si="25"/>
        <v>50822156</v>
      </c>
      <c r="N121" s="233">
        <v>49136691</v>
      </c>
      <c r="O121" s="233">
        <f>O122+O124</f>
        <v>-297313</v>
      </c>
      <c r="P121" s="233">
        <f>P122+P124</f>
        <v>42882</v>
      </c>
      <c r="Q121" s="233">
        <f>Q122+Q124</f>
        <v>1582318</v>
      </c>
      <c r="R121" s="232">
        <f t="shared" si="26"/>
        <v>50464578</v>
      </c>
    </row>
    <row r="122" spans="1:18" s="29" customFormat="1" ht="12">
      <c r="A122" s="132">
        <v>1000</v>
      </c>
      <c r="B122" s="125" t="s">
        <v>106</v>
      </c>
      <c r="C122" s="170">
        <v>41328531</v>
      </c>
      <c r="D122" s="170">
        <v>33650559</v>
      </c>
      <c r="E122" s="232">
        <f>-1423</f>
        <v>-1423</v>
      </c>
      <c r="F122" s="244"/>
      <c r="G122" s="233">
        <f>22058+9302+1932</f>
        <v>33292</v>
      </c>
      <c r="H122" s="232">
        <f t="shared" si="31"/>
        <v>33682428</v>
      </c>
      <c r="I122" s="233">
        <v>33650559</v>
      </c>
      <c r="J122" s="233">
        <v>-1423</v>
      </c>
      <c r="K122" s="244"/>
      <c r="L122" s="233">
        <f>3078+19346+204953</f>
        <v>227377</v>
      </c>
      <c r="M122" s="232">
        <f t="shared" si="25"/>
        <v>33876513</v>
      </c>
      <c r="N122" s="233">
        <v>33650559</v>
      </c>
      <c r="O122" s="233">
        <v>-1423</v>
      </c>
      <c r="P122" s="244"/>
      <c r="Q122" s="233">
        <v>21741</v>
      </c>
      <c r="R122" s="232">
        <f t="shared" si="26"/>
        <v>33670877</v>
      </c>
    </row>
    <row r="123" spans="1:18" s="89" customFormat="1" ht="12">
      <c r="A123" s="139">
        <v>1100</v>
      </c>
      <c r="B123" s="125" t="s">
        <v>107</v>
      </c>
      <c r="C123" s="170">
        <v>33064017</v>
      </c>
      <c r="D123" s="170">
        <v>26952550</v>
      </c>
      <c r="E123" s="232">
        <v>-1147</v>
      </c>
      <c r="F123" s="244"/>
      <c r="G123" s="233">
        <f>17760+7501+1557</f>
        <v>26818</v>
      </c>
      <c r="H123" s="232">
        <f t="shared" si="31"/>
        <v>26978221</v>
      </c>
      <c r="I123" s="233">
        <v>26952550</v>
      </c>
      <c r="J123" s="233">
        <v>-1147</v>
      </c>
      <c r="K123" s="244"/>
      <c r="L123" s="233">
        <f>2478+15601+165166</f>
        <v>183245</v>
      </c>
      <c r="M123" s="232">
        <f t="shared" si="25"/>
        <v>27134648</v>
      </c>
      <c r="N123" s="233">
        <v>26952550</v>
      </c>
      <c r="O123" s="233">
        <v>-1147</v>
      </c>
      <c r="P123" s="244"/>
      <c r="Q123" s="233">
        <v>17505</v>
      </c>
      <c r="R123" s="232">
        <f t="shared" si="26"/>
        <v>26968908</v>
      </c>
    </row>
    <row r="124" spans="1:18" s="89" customFormat="1" ht="12">
      <c r="A124" s="132">
        <v>2000</v>
      </c>
      <c r="B124" s="125" t="s">
        <v>108</v>
      </c>
      <c r="C124" s="170">
        <v>21915562</v>
      </c>
      <c r="D124" s="170">
        <v>15486132</v>
      </c>
      <c r="E124" s="232">
        <v>-295890</v>
      </c>
      <c r="F124" s="233">
        <v>194338</v>
      </c>
      <c r="G124" s="233">
        <f>1412622+47542+22798</f>
        <v>1482962</v>
      </c>
      <c r="H124" s="232">
        <f t="shared" si="31"/>
        <v>16867542</v>
      </c>
      <c r="I124" s="233">
        <v>15486132</v>
      </c>
      <c r="J124" s="233">
        <v>-295890</v>
      </c>
      <c r="K124" s="233">
        <v>148143</v>
      </c>
      <c r="L124" s="233">
        <f>1412622+5339+24311+164986</f>
        <v>1607258</v>
      </c>
      <c r="M124" s="232">
        <f t="shared" si="25"/>
        <v>16945643</v>
      </c>
      <c r="N124" s="233">
        <v>15486132</v>
      </c>
      <c r="O124" s="233">
        <f>-72315-223498-77</f>
        <v>-295890</v>
      </c>
      <c r="P124" s="233">
        <f>P274</f>
        <v>42882</v>
      </c>
      <c r="Q124" s="233">
        <f>26001+79260+42694+1412622</f>
        <v>1560577</v>
      </c>
      <c r="R124" s="232">
        <f t="shared" si="26"/>
        <v>16793701</v>
      </c>
    </row>
    <row r="125" spans="1:18" s="89" customFormat="1" ht="12" hidden="1" customHeight="1">
      <c r="A125" s="140">
        <v>4000</v>
      </c>
      <c r="B125" s="124" t="s">
        <v>132</v>
      </c>
      <c r="C125" s="170"/>
      <c r="D125" s="170">
        <v>0</v>
      </c>
      <c r="E125" s="232"/>
      <c r="F125" s="244"/>
      <c r="G125" s="244"/>
      <c r="H125" s="232">
        <f t="shared" si="31"/>
        <v>0</v>
      </c>
      <c r="I125" s="233">
        <v>0</v>
      </c>
      <c r="J125" s="244"/>
      <c r="K125" s="244"/>
      <c r="L125" s="244"/>
      <c r="M125" s="232">
        <f t="shared" si="25"/>
        <v>0</v>
      </c>
      <c r="N125" s="233">
        <v>0</v>
      </c>
      <c r="O125" s="244"/>
      <c r="P125" s="244"/>
      <c r="Q125" s="244"/>
      <c r="R125" s="232">
        <f t="shared" si="26"/>
        <v>0</v>
      </c>
    </row>
    <row r="126" spans="1:18" s="89" customFormat="1" ht="12">
      <c r="A126" s="140" t="s">
        <v>109</v>
      </c>
      <c r="B126" s="124" t="s">
        <v>110</v>
      </c>
      <c r="C126" s="170">
        <v>364531164</v>
      </c>
      <c r="D126" s="170">
        <v>352892741</v>
      </c>
      <c r="E126" s="232">
        <f>E127+E128</f>
        <v>223498</v>
      </c>
      <c r="F126" s="233">
        <f>F127+F128</f>
        <v>3098447</v>
      </c>
      <c r="G126" s="233">
        <f>G127+G128</f>
        <v>43344805</v>
      </c>
      <c r="H126" s="232">
        <f t="shared" si="31"/>
        <v>399559491</v>
      </c>
      <c r="I126" s="233">
        <v>352892741</v>
      </c>
      <c r="J126" s="233">
        <f>J127+J128</f>
        <v>223498</v>
      </c>
      <c r="K126" s="233">
        <f>K127+K128</f>
        <v>5135683</v>
      </c>
      <c r="L126" s="233">
        <f>L127+L128</f>
        <v>47346866</v>
      </c>
      <c r="M126" s="232">
        <f t="shared" ref="M126:M157" si="32">SUM(I126:L126)</f>
        <v>405598788</v>
      </c>
      <c r="N126" s="233">
        <v>352892741</v>
      </c>
      <c r="O126" s="233">
        <f>O127+O128</f>
        <v>223498</v>
      </c>
      <c r="P126" s="233">
        <f>P127+P128</f>
        <v>1793952</v>
      </c>
      <c r="Q126" s="233">
        <f>Q127+Q128</f>
        <v>47241605</v>
      </c>
      <c r="R126" s="232">
        <f t="shared" ref="R126:R157" si="33">SUM(N126:Q126)</f>
        <v>402151796</v>
      </c>
    </row>
    <row r="127" spans="1:18" s="89" customFormat="1" ht="12">
      <c r="A127" s="132">
        <v>3000</v>
      </c>
      <c r="B127" s="125" t="s">
        <v>111</v>
      </c>
      <c r="C127" s="202">
        <v>364531164</v>
      </c>
      <c r="D127" s="202">
        <v>352892741</v>
      </c>
      <c r="E127" s="245">
        <v>223498</v>
      </c>
      <c r="F127" s="345">
        <v>2912340</v>
      </c>
      <c r="G127" s="345">
        <f>5005908+3380348+201122+G279+G280+G281+G282+G283+G284+G285+G286+G287+G288+G289+G290+G291</f>
        <v>43344805</v>
      </c>
      <c r="H127" s="232">
        <f t="shared" si="31"/>
        <v>399373384</v>
      </c>
      <c r="I127" s="345">
        <v>352892741</v>
      </c>
      <c r="J127" s="345">
        <v>223498</v>
      </c>
      <c r="K127" s="345">
        <v>4136727</v>
      </c>
      <c r="L127" s="345">
        <f>5005908+3380348+201122+L279+L280+L281+L282+L283+L284+L285+L286+L287+L288+L289+L290+L291</f>
        <v>47346866</v>
      </c>
      <c r="M127" s="232">
        <f t="shared" si="32"/>
        <v>404599832</v>
      </c>
      <c r="N127" s="345">
        <v>352892741</v>
      </c>
      <c r="O127" s="345">
        <f>223498</f>
        <v>223498</v>
      </c>
      <c r="P127" s="345">
        <f>P273</f>
        <v>794996</v>
      </c>
      <c r="Q127" s="345">
        <f>5005908+3380348+201122+Q279+Q280+Q281+Q282+Q283+Q284+Q285+Q286+Q287+Q288+Q289+Q290+2644880+696851</f>
        <v>47241605</v>
      </c>
      <c r="R127" s="232">
        <f t="shared" si="33"/>
        <v>401152840</v>
      </c>
    </row>
    <row r="128" spans="1:18" s="89" customFormat="1" ht="12">
      <c r="A128" s="132">
        <v>6000</v>
      </c>
      <c r="B128" s="125" t="s">
        <v>112</v>
      </c>
      <c r="C128" s="203">
        <v>0</v>
      </c>
      <c r="D128" s="203">
        <v>0</v>
      </c>
      <c r="E128" s="247"/>
      <c r="F128" s="346">
        <f>F275</f>
        <v>186107</v>
      </c>
      <c r="G128" s="346">
        <f>G275</f>
        <v>0</v>
      </c>
      <c r="H128" s="232">
        <f t="shared" si="31"/>
        <v>186107</v>
      </c>
      <c r="I128" s="346">
        <v>0</v>
      </c>
      <c r="J128" s="248"/>
      <c r="K128" s="346">
        <f>K275</f>
        <v>998956</v>
      </c>
      <c r="L128" s="346">
        <f>L275</f>
        <v>0</v>
      </c>
      <c r="M128" s="232">
        <f t="shared" si="32"/>
        <v>998956</v>
      </c>
      <c r="N128" s="346">
        <v>0</v>
      </c>
      <c r="O128" s="248"/>
      <c r="P128" s="346">
        <f>P275</f>
        <v>998956</v>
      </c>
      <c r="Q128" s="346">
        <f>Q275</f>
        <v>0</v>
      </c>
      <c r="R128" s="232">
        <f t="shared" si="33"/>
        <v>998956</v>
      </c>
    </row>
    <row r="129" spans="1:18" s="89" customFormat="1" ht="22.8">
      <c r="A129" s="140" t="s">
        <v>113</v>
      </c>
      <c r="B129" s="124" t="s">
        <v>183</v>
      </c>
      <c r="C129" s="170">
        <v>128131</v>
      </c>
      <c r="D129" s="170">
        <v>128131</v>
      </c>
      <c r="E129" s="232">
        <f>E130+E131</f>
        <v>0</v>
      </c>
      <c r="F129" s="233">
        <f>F130+F131</f>
        <v>0</v>
      </c>
      <c r="G129" s="233">
        <f>G130+G131</f>
        <v>0</v>
      </c>
      <c r="H129" s="232">
        <f t="shared" si="31"/>
        <v>128131</v>
      </c>
      <c r="I129" s="233">
        <v>128131</v>
      </c>
      <c r="J129" s="233">
        <f>J130+J131</f>
        <v>0</v>
      </c>
      <c r="K129" s="233">
        <f>K130+K131</f>
        <v>0</v>
      </c>
      <c r="L129" s="233">
        <f>L130+L131</f>
        <v>0</v>
      </c>
      <c r="M129" s="232">
        <f t="shared" si="32"/>
        <v>128131</v>
      </c>
      <c r="N129" s="233">
        <v>128131</v>
      </c>
      <c r="O129" s="233">
        <f>O130+O131</f>
        <v>0</v>
      </c>
      <c r="P129" s="233">
        <f>P130+P131</f>
        <v>0</v>
      </c>
      <c r="Q129" s="233">
        <f>Q130+Q131</f>
        <v>0</v>
      </c>
      <c r="R129" s="232">
        <f t="shared" si="33"/>
        <v>128131</v>
      </c>
    </row>
    <row r="130" spans="1:18" s="89" customFormat="1" ht="12" hidden="1" customHeight="1">
      <c r="A130" s="132">
        <v>7600</v>
      </c>
      <c r="B130" s="179" t="s">
        <v>184</v>
      </c>
      <c r="C130" s="170">
        <v>0</v>
      </c>
      <c r="D130" s="170">
        <v>0</v>
      </c>
      <c r="E130" s="232"/>
      <c r="F130" s="244"/>
      <c r="G130" s="244"/>
      <c r="H130" s="232">
        <f t="shared" si="31"/>
        <v>0</v>
      </c>
      <c r="I130" s="233">
        <v>0</v>
      </c>
      <c r="J130" s="244"/>
      <c r="K130" s="244"/>
      <c r="L130" s="244"/>
      <c r="M130" s="232">
        <f t="shared" si="32"/>
        <v>0</v>
      </c>
      <c r="N130" s="233">
        <v>0</v>
      </c>
      <c r="O130" s="244"/>
      <c r="P130" s="244"/>
      <c r="Q130" s="244"/>
      <c r="R130" s="232">
        <f t="shared" si="33"/>
        <v>0</v>
      </c>
    </row>
    <row r="131" spans="1:18" s="89" customFormat="1" ht="12">
      <c r="A131" s="132">
        <v>7700</v>
      </c>
      <c r="B131" s="126" t="s">
        <v>114</v>
      </c>
      <c r="C131" s="170">
        <v>128131</v>
      </c>
      <c r="D131" s="170">
        <v>128131</v>
      </c>
      <c r="E131" s="232"/>
      <c r="F131" s="244"/>
      <c r="G131" s="244"/>
      <c r="H131" s="232">
        <f t="shared" si="31"/>
        <v>128131</v>
      </c>
      <c r="I131" s="233">
        <v>128131</v>
      </c>
      <c r="J131" s="244"/>
      <c r="K131" s="244"/>
      <c r="L131" s="244"/>
      <c r="M131" s="232">
        <f t="shared" si="32"/>
        <v>128131</v>
      </c>
      <c r="N131" s="233">
        <v>128131</v>
      </c>
      <c r="O131" s="244"/>
      <c r="P131" s="244"/>
      <c r="Q131" s="244"/>
      <c r="R131" s="232">
        <f t="shared" si="33"/>
        <v>128131</v>
      </c>
    </row>
    <row r="132" spans="1:18" s="89" customFormat="1" ht="12">
      <c r="A132" s="140" t="s">
        <v>185</v>
      </c>
      <c r="B132" s="124" t="s">
        <v>115</v>
      </c>
      <c r="C132" s="170">
        <v>16801991</v>
      </c>
      <c r="D132" s="170">
        <v>16864905</v>
      </c>
      <c r="E132" s="232">
        <f>E133+E139+E143+E146</f>
        <v>0</v>
      </c>
      <c r="F132" s="233">
        <f>F133+F139+F143+F146</f>
        <v>0</v>
      </c>
      <c r="G132" s="233">
        <f>G133+G139+G143+G146</f>
        <v>0</v>
      </c>
      <c r="H132" s="232">
        <f t="shared" si="31"/>
        <v>16864905</v>
      </c>
      <c r="I132" s="233">
        <v>16864905</v>
      </c>
      <c r="J132" s="233">
        <f>J133+J139+J143+J146</f>
        <v>0</v>
      </c>
      <c r="K132" s="233">
        <f>K133+K139+K143+K146</f>
        <v>0</v>
      </c>
      <c r="L132" s="233">
        <f>L133+L139+L143+L146</f>
        <v>0</v>
      </c>
      <c r="M132" s="232">
        <f t="shared" si="32"/>
        <v>16864905</v>
      </c>
      <c r="N132" s="233">
        <v>16864905</v>
      </c>
      <c r="O132" s="233">
        <f>O133+O139+O143+O146</f>
        <v>0</v>
      </c>
      <c r="P132" s="233">
        <f>P133+P139+P143+P146</f>
        <v>0</v>
      </c>
      <c r="Q132" s="233">
        <f>Q133+Q139+Q143+Q146</f>
        <v>0</v>
      </c>
      <c r="R132" s="232">
        <f t="shared" si="33"/>
        <v>16864905</v>
      </c>
    </row>
    <row r="133" spans="1:18" s="89" customFormat="1" ht="12" hidden="1" customHeight="1">
      <c r="A133" s="132">
        <v>7100</v>
      </c>
      <c r="B133" s="179" t="s">
        <v>116</v>
      </c>
      <c r="C133" s="170">
        <v>0</v>
      </c>
      <c r="D133" s="170">
        <v>0</v>
      </c>
      <c r="E133" s="232">
        <f>E134+E135</f>
        <v>0</v>
      </c>
      <c r="F133" s="233">
        <f>F134+F135</f>
        <v>0</v>
      </c>
      <c r="G133" s="233">
        <f>G134+G135</f>
        <v>0</v>
      </c>
      <c r="H133" s="232">
        <f t="shared" si="31"/>
        <v>0</v>
      </c>
      <c r="I133" s="233">
        <v>0</v>
      </c>
      <c r="J133" s="233">
        <f>J134+J135</f>
        <v>0</v>
      </c>
      <c r="K133" s="233">
        <f>K134+K135</f>
        <v>0</v>
      </c>
      <c r="L133" s="233">
        <f>L134+L135</f>
        <v>0</v>
      </c>
      <c r="M133" s="232">
        <f t="shared" si="32"/>
        <v>0</v>
      </c>
      <c r="N133" s="233">
        <v>0</v>
      </c>
      <c r="O133" s="233">
        <f>O134+O135</f>
        <v>0</v>
      </c>
      <c r="P133" s="233">
        <f>P134+P135</f>
        <v>0</v>
      </c>
      <c r="Q133" s="233">
        <f>Q134+Q135</f>
        <v>0</v>
      </c>
      <c r="R133" s="232">
        <f t="shared" si="33"/>
        <v>0</v>
      </c>
    </row>
    <row r="134" spans="1:18" s="89" customFormat="1" ht="24" hidden="1" customHeight="1">
      <c r="A134" s="133" t="s">
        <v>117</v>
      </c>
      <c r="B134" s="179" t="s">
        <v>118</v>
      </c>
      <c r="C134" s="170"/>
      <c r="D134" s="170">
        <v>0</v>
      </c>
      <c r="E134" s="232"/>
      <c r="F134" s="233"/>
      <c r="G134" s="233"/>
      <c r="H134" s="232">
        <f t="shared" si="31"/>
        <v>0</v>
      </c>
      <c r="I134" s="233">
        <v>0</v>
      </c>
      <c r="J134" s="233"/>
      <c r="K134" s="233"/>
      <c r="L134" s="233"/>
      <c r="M134" s="232">
        <f t="shared" si="32"/>
        <v>0</v>
      </c>
      <c r="N134" s="233">
        <v>0</v>
      </c>
      <c r="O134" s="233"/>
      <c r="P134" s="233"/>
      <c r="Q134" s="233"/>
      <c r="R134" s="232">
        <f t="shared" si="33"/>
        <v>0</v>
      </c>
    </row>
    <row r="135" spans="1:18" s="89" customFormat="1" ht="24" hidden="1" customHeight="1">
      <c r="A135" s="133">
        <v>7130</v>
      </c>
      <c r="B135" s="179" t="s">
        <v>119</v>
      </c>
      <c r="C135" s="170">
        <v>0</v>
      </c>
      <c r="D135" s="170">
        <v>0</v>
      </c>
      <c r="E135" s="232">
        <f>SUM(E136:E138)</f>
        <v>0</v>
      </c>
      <c r="F135" s="233">
        <f>SUM(F136:F138)</f>
        <v>0</v>
      </c>
      <c r="G135" s="233">
        <f>SUM(G136:G138)</f>
        <v>0</v>
      </c>
      <c r="H135" s="232">
        <f t="shared" si="31"/>
        <v>0</v>
      </c>
      <c r="I135" s="233">
        <v>0</v>
      </c>
      <c r="J135" s="233">
        <f>SUM(J136:J138)</f>
        <v>0</v>
      </c>
      <c r="K135" s="233">
        <f>SUM(K136:K138)</f>
        <v>0</v>
      </c>
      <c r="L135" s="233">
        <f>SUM(L136:L138)</f>
        <v>0</v>
      </c>
      <c r="M135" s="232">
        <f t="shared" si="32"/>
        <v>0</v>
      </c>
      <c r="N135" s="233">
        <v>0</v>
      </c>
      <c r="O135" s="233">
        <f>SUM(O136:O138)</f>
        <v>0</v>
      </c>
      <c r="P135" s="233">
        <f>SUM(P136:P138)</f>
        <v>0</v>
      </c>
      <c r="Q135" s="233">
        <f>SUM(Q136:Q138)</f>
        <v>0</v>
      </c>
      <c r="R135" s="232">
        <f t="shared" si="33"/>
        <v>0</v>
      </c>
    </row>
    <row r="136" spans="1:18" s="89" customFormat="1" ht="36" hidden="1" customHeight="1">
      <c r="A136" s="134">
        <v>7131</v>
      </c>
      <c r="B136" s="179" t="s">
        <v>120</v>
      </c>
      <c r="C136" s="170"/>
      <c r="D136" s="170">
        <v>0</v>
      </c>
      <c r="E136" s="232"/>
      <c r="F136" s="233"/>
      <c r="G136" s="233"/>
      <c r="H136" s="232">
        <f t="shared" si="31"/>
        <v>0</v>
      </c>
      <c r="I136" s="233">
        <v>0</v>
      </c>
      <c r="J136" s="233"/>
      <c r="K136" s="233"/>
      <c r="L136" s="233"/>
      <c r="M136" s="232">
        <f t="shared" si="32"/>
        <v>0</v>
      </c>
      <c r="N136" s="233">
        <v>0</v>
      </c>
      <c r="O136" s="233"/>
      <c r="P136" s="233"/>
      <c r="Q136" s="233"/>
      <c r="R136" s="232">
        <f t="shared" si="33"/>
        <v>0</v>
      </c>
    </row>
    <row r="137" spans="1:18" s="29" customFormat="1" ht="36" hidden="1" customHeight="1">
      <c r="A137" s="134">
        <v>7132</v>
      </c>
      <c r="B137" s="179" t="s">
        <v>121</v>
      </c>
      <c r="C137" s="170"/>
      <c r="D137" s="170">
        <v>0</v>
      </c>
      <c r="E137" s="232"/>
      <c r="F137" s="233"/>
      <c r="G137" s="233"/>
      <c r="H137" s="232">
        <f t="shared" si="31"/>
        <v>0</v>
      </c>
      <c r="I137" s="233">
        <v>0</v>
      </c>
      <c r="J137" s="233"/>
      <c r="K137" s="233"/>
      <c r="L137" s="233"/>
      <c r="M137" s="232">
        <f t="shared" si="32"/>
        <v>0</v>
      </c>
      <c r="N137" s="233">
        <v>0</v>
      </c>
      <c r="O137" s="233"/>
      <c r="P137" s="233"/>
      <c r="Q137" s="233"/>
      <c r="R137" s="232">
        <f t="shared" si="33"/>
        <v>0</v>
      </c>
    </row>
    <row r="138" spans="1:18" s="29" customFormat="1" ht="36" hidden="1" customHeight="1">
      <c r="A138" s="134" t="s">
        <v>186</v>
      </c>
      <c r="B138" s="179" t="s">
        <v>187</v>
      </c>
      <c r="C138" s="170"/>
      <c r="D138" s="170">
        <v>0</v>
      </c>
      <c r="E138" s="232"/>
      <c r="F138" s="233"/>
      <c r="G138" s="233"/>
      <c r="H138" s="232">
        <f t="shared" si="31"/>
        <v>0</v>
      </c>
      <c r="I138" s="233">
        <v>0</v>
      </c>
      <c r="J138" s="233"/>
      <c r="K138" s="233"/>
      <c r="L138" s="233"/>
      <c r="M138" s="232">
        <f t="shared" si="32"/>
        <v>0</v>
      </c>
      <c r="N138" s="233">
        <v>0</v>
      </c>
      <c r="O138" s="233"/>
      <c r="P138" s="233"/>
      <c r="Q138" s="233"/>
      <c r="R138" s="232">
        <f t="shared" si="33"/>
        <v>0</v>
      </c>
    </row>
    <row r="139" spans="1:18" s="29" customFormat="1" ht="24">
      <c r="A139" s="132">
        <v>7300</v>
      </c>
      <c r="B139" s="172" t="s">
        <v>155</v>
      </c>
      <c r="C139" s="170">
        <v>16801991</v>
      </c>
      <c r="D139" s="170">
        <v>16864905</v>
      </c>
      <c r="E139" s="232">
        <f>SUM(E140:E142)</f>
        <v>0</v>
      </c>
      <c r="F139" s="233">
        <f>SUM(F140:F142)</f>
        <v>0</v>
      </c>
      <c r="G139" s="233">
        <f>SUM(G140:G142)</f>
        <v>0</v>
      </c>
      <c r="H139" s="232">
        <f t="shared" si="31"/>
        <v>16864905</v>
      </c>
      <c r="I139" s="233">
        <v>16864905</v>
      </c>
      <c r="J139" s="233">
        <f>SUM(J140:J142)</f>
        <v>0</v>
      </c>
      <c r="K139" s="233">
        <f>SUM(K140:K142)</f>
        <v>0</v>
      </c>
      <c r="L139" s="233">
        <f>SUM(L140:L142)</f>
        <v>0</v>
      </c>
      <c r="M139" s="232">
        <f t="shared" si="32"/>
        <v>16864905</v>
      </c>
      <c r="N139" s="233">
        <v>16864905</v>
      </c>
      <c r="O139" s="233">
        <f>SUM(O140:O142)</f>
        <v>0</v>
      </c>
      <c r="P139" s="233">
        <f>SUM(P140:P142)</f>
        <v>0</v>
      </c>
      <c r="Q139" s="233">
        <f>SUM(Q140:Q142)</f>
        <v>0</v>
      </c>
      <c r="R139" s="232">
        <f t="shared" si="33"/>
        <v>16864905</v>
      </c>
    </row>
    <row r="140" spans="1:18" s="4" customFormat="1" ht="24">
      <c r="A140" s="133" t="s">
        <v>188</v>
      </c>
      <c r="B140" s="179" t="s">
        <v>170</v>
      </c>
      <c r="C140" s="204">
        <v>849487</v>
      </c>
      <c r="D140" s="204">
        <v>757073</v>
      </c>
      <c r="E140" s="251"/>
      <c r="F140" s="252"/>
      <c r="G140" s="252"/>
      <c r="H140" s="232">
        <f t="shared" si="31"/>
        <v>757073</v>
      </c>
      <c r="I140" s="252">
        <v>757073</v>
      </c>
      <c r="J140" s="252"/>
      <c r="K140" s="252"/>
      <c r="L140" s="252"/>
      <c r="M140" s="232">
        <f t="shared" si="32"/>
        <v>757073</v>
      </c>
      <c r="N140" s="252">
        <v>757073</v>
      </c>
      <c r="O140" s="252"/>
      <c r="P140" s="252"/>
      <c r="Q140" s="252"/>
      <c r="R140" s="232">
        <f t="shared" si="33"/>
        <v>757073</v>
      </c>
    </row>
    <row r="141" spans="1:18" ht="48" hidden="1" customHeight="1">
      <c r="A141" s="133" t="s">
        <v>189</v>
      </c>
      <c r="B141" s="179" t="s">
        <v>156</v>
      </c>
      <c r="C141" s="204">
        <v>0</v>
      </c>
      <c r="D141" s="204">
        <v>0</v>
      </c>
      <c r="E141" s="251"/>
      <c r="F141" s="252"/>
      <c r="G141" s="252"/>
      <c r="H141" s="232">
        <f t="shared" si="31"/>
        <v>0</v>
      </c>
      <c r="I141" s="252">
        <v>0</v>
      </c>
      <c r="J141" s="252"/>
      <c r="K141" s="252"/>
      <c r="L141" s="252"/>
      <c r="M141" s="232">
        <f t="shared" si="32"/>
        <v>0</v>
      </c>
      <c r="N141" s="252">
        <v>0</v>
      </c>
      <c r="O141" s="252"/>
      <c r="P141" s="252"/>
      <c r="Q141" s="252"/>
      <c r="R141" s="232">
        <f t="shared" si="33"/>
        <v>0</v>
      </c>
    </row>
    <row r="142" spans="1:18" ht="36">
      <c r="A142" s="133">
        <v>7350</v>
      </c>
      <c r="B142" s="179" t="s">
        <v>163</v>
      </c>
      <c r="C142" s="204">
        <v>15952504</v>
      </c>
      <c r="D142" s="204">
        <v>16107832</v>
      </c>
      <c r="E142" s="251"/>
      <c r="F142" s="252"/>
      <c r="G142" s="252"/>
      <c r="H142" s="232">
        <f t="shared" si="31"/>
        <v>16107832</v>
      </c>
      <c r="I142" s="252">
        <v>16107832</v>
      </c>
      <c r="J142" s="252"/>
      <c r="K142" s="252"/>
      <c r="L142" s="252"/>
      <c r="M142" s="232">
        <f t="shared" si="32"/>
        <v>16107832</v>
      </c>
      <c r="N142" s="252">
        <v>16107832</v>
      </c>
      <c r="O142" s="252"/>
      <c r="P142" s="252"/>
      <c r="Q142" s="252"/>
      <c r="R142" s="232">
        <f t="shared" si="33"/>
        <v>16107832</v>
      </c>
    </row>
    <row r="143" spans="1:18" ht="24" hidden="1" customHeight="1">
      <c r="A143" s="132">
        <v>7400</v>
      </c>
      <c r="B143" s="172" t="s">
        <v>161</v>
      </c>
      <c r="C143" s="170">
        <v>0</v>
      </c>
      <c r="D143" s="170">
        <v>0</v>
      </c>
      <c r="E143" s="232">
        <f>SUM(E144:E145)</f>
        <v>0</v>
      </c>
      <c r="F143" s="233">
        <f>SUM(F144:F145)</f>
        <v>0</v>
      </c>
      <c r="G143" s="233">
        <f>SUM(G144:G145)</f>
        <v>0</v>
      </c>
      <c r="H143" s="232">
        <f t="shared" si="31"/>
        <v>0</v>
      </c>
      <c r="I143" s="233">
        <v>0</v>
      </c>
      <c r="J143" s="233">
        <f>SUM(J144:J145)</f>
        <v>0</v>
      </c>
      <c r="K143" s="233">
        <f>SUM(K144:K145)</f>
        <v>0</v>
      </c>
      <c r="L143" s="233">
        <f>SUM(L144:L145)</f>
        <v>0</v>
      </c>
      <c r="M143" s="232">
        <f t="shared" si="32"/>
        <v>0</v>
      </c>
      <c r="N143" s="233">
        <v>0</v>
      </c>
      <c r="O143" s="233">
        <f>SUM(O144:O145)</f>
        <v>0</v>
      </c>
      <c r="P143" s="233">
        <f>SUM(P144:P145)</f>
        <v>0</v>
      </c>
      <c r="Q143" s="233">
        <f>SUM(Q144:Q145)</f>
        <v>0</v>
      </c>
      <c r="R143" s="232">
        <f t="shared" si="33"/>
        <v>0</v>
      </c>
    </row>
    <row r="144" spans="1:18" ht="24" hidden="1" customHeight="1">
      <c r="A144" s="133">
        <v>7460</v>
      </c>
      <c r="B144" s="172" t="s">
        <v>162</v>
      </c>
      <c r="C144" s="204"/>
      <c r="D144" s="204">
        <v>0</v>
      </c>
      <c r="E144" s="251"/>
      <c r="F144" s="252"/>
      <c r="G144" s="252"/>
      <c r="H144" s="232">
        <f t="shared" si="31"/>
        <v>0</v>
      </c>
      <c r="I144" s="252">
        <v>0</v>
      </c>
      <c r="J144" s="252"/>
      <c r="K144" s="252"/>
      <c r="L144" s="252"/>
      <c r="M144" s="232">
        <f t="shared" si="32"/>
        <v>0</v>
      </c>
      <c r="N144" s="252">
        <v>0</v>
      </c>
      <c r="O144" s="252"/>
      <c r="P144" s="252"/>
      <c r="Q144" s="252"/>
      <c r="R144" s="232">
        <f t="shared" si="33"/>
        <v>0</v>
      </c>
    </row>
    <row r="145" spans="1:18" ht="48" hidden="1" customHeight="1">
      <c r="A145" s="133">
        <v>7470</v>
      </c>
      <c r="B145" s="179" t="s">
        <v>167</v>
      </c>
      <c r="C145" s="204"/>
      <c r="D145" s="204">
        <v>0</v>
      </c>
      <c r="E145" s="251"/>
      <c r="F145" s="252"/>
      <c r="G145" s="252"/>
      <c r="H145" s="232">
        <f t="shared" si="31"/>
        <v>0</v>
      </c>
      <c r="I145" s="252">
        <v>0</v>
      </c>
      <c r="J145" s="252"/>
      <c r="K145" s="252"/>
      <c r="L145" s="252"/>
      <c r="M145" s="232">
        <f t="shared" si="32"/>
        <v>0</v>
      </c>
      <c r="N145" s="252">
        <v>0</v>
      </c>
      <c r="O145" s="252"/>
      <c r="P145" s="252"/>
      <c r="Q145" s="252"/>
      <c r="R145" s="232">
        <f t="shared" si="33"/>
        <v>0</v>
      </c>
    </row>
    <row r="146" spans="1:18" ht="24" hidden="1" customHeight="1">
      <c r="A146" s="132">
        <v>7500</v>
      </c>
      <c r="B146" s="179" t="s">
        <v>157</v>
      </c>
      <c r="C146" s="170"/>
      <c r="D146" s="170">
        <v>0</v>
      </c>
      <c r="E146" s="232"/>
      <c r="F146" s="233"/>
      <c r="G146" s="233"/>
      <c r="H146" s="232">
        <f t="shared" si="31"/>
        <v>0</v>
      </c>
      <c r="I146" s="233">
        <v>0</v>
      </c>
      <c r="J146" s="233"/>
      <c r="K146" s="233"/>
      <c r="L146" s="233"/>
      <c r="M146" s="232">
        <f t="shared" si="32"/>
        <v>0</v>
      </c>
      <c r="N146" s="233">
        <v>0</v>
      </c>
      <c r="O146" s="233"/>
      <c r="P146" s="233"/>
      <c r="Q146" s="233"/>
      <c r="R146" s="232">
        <f t="shared" si="33"/>
        <v>0</v>
      </c>
    </row>
    <row r="147" spans="1:18" s="4" customFormat="1" ht="12">
      <c r="A147" s="140" t="s">
        <v>133</v>
      </c>
      <c r="B147" s="124" t="s">
        <v>122</v>
      </c>
      <c r="C147" s="106">
        <v>1416489</v>
      </c>
      <c r="D147" s="106">
        <v>669048</v>
      </c>
      <c r="E147" s="232">
        <f>E148+E149</f>
        <v>-12</v>
      </c>
      <c r="F147" s="233">
        <f>F148+F149</f>
        <v>0</v>
      </c>
      <c r="G147" s="233">
        <f>G148+G149</f>
        <v>2839</v>
      </c>
      <c r="H147" s="232">
        <f t="shared" si="31"/>
        <v>671875</v>
      </c>
      <c r="I147" s="233">
        <v>669048</v>
      </c>
      <c r="J147" s="233">
        <f>J148+J149</f>
        <v>-12</v>
      </c>
      <c r="K147" s="233">
        <f>K148+K149</f>
        <v>0</v>
      </c>
      <c r="L147" s="233">
        <f>L148+L149</f>
        <v>1794</v>
      </c>
      <c r="M147" s="232">
        <f t="shared" si="32"/>
        <v>670830</v>
      </c>
      <c r="N147" s="233">
        <v>669048</v>
      </c>
      <c r="O147" s="233">
        <f>O148+O149</f>
        <v>-12</v>
      </c>
      <c r="P147" s="233">
        <f>P148+P149</f>
        <v>0</v>
      </c>
      <c r="Q147" s="233">
        <f>Q148+Q149</f>
        <v>565</v>
      </c>
      <c r="R147" s="232">
        <f t="shared" si="33"/>
        <v>669601</v>
      </c>
    </row>
    <row r="148" spans="1:18" s="6" customFormat="1" ht="12">
      <c r="A148" s="140">
        <v>5000</v>
      </c>
      <c r="B148" s="124" t="s">
        <v>123</v>
      </c>
      <c r="C148" s="170">
        <v>1416489</v>
      </c>
      <c r="D148" s="170">
        <v>669048</v>
      </c>
      <c r="E148" s="232">
        <v>-12</v>
      </c>
      <c r="F148" s="244"/>
      <c r="G148" s="233">
        <v>2839</v>
      </c>
      <c r="H148" s="232">
        <f t="shared" si="31"/>
        <v>671875</v>
      </c>
      <c r="I148" s="233">
        <v>669048</v>
      </c>
      <c r="J148" s="233">
        <v>-12</v>
      </c>
      <c r="K148" s="244"/>
      <c r="L148" s="233">
        <f>1711+83</f>
        <v>1794</v>
      </c>
      <c r="M148" s="232">
        <f t="shared" si="32"/>
        <v>670830</v>
      </c>
      <c r="N148" s="233">
        <v>669048</v>
      </c>
      <c r="O148" s="233">
        <v>-12</v>
      </c>
      <c r="P148" s="244"/>
      <c r="Q148" s="233">
        <v>565</v>
      </c>
      <c r="R148" s="232">
        <f t="shared" si="33"/>
        <v>669601</v>
      </c>
    </row>
    <row r="149" spans="1:18" s="6" customFormat="1" ht="12" hidden="1" customHeight="1">
      <c r="A149" s="140">
        <v>9000</v>
      </c>
      <c r="B149" s="182" t="s">
        <v>164</v>
      </c>
      <c r="C149" s="170">
        <v>0</v>
      </c>
      <c r="D149" s="170">
        <v>0</v>
      </c>
      <c r="E149" s="233">
        <f>E150+E156+E160+E163</f>
        <v>0</v>
      </c>
      <c r="F149" s="233">
        <f>F150+F156+F160+F163</f>
        <v>0</v>
      </c>
      <c r="G149" s="233">
        <f>G150+G156+G160+G163</f>
        <v>0</v>
      </c>
      <c r="H149" s="232">
        <f t="shared" si="31"/>
        <v>0</v>
      </c>
      <c r="I149" s="233">
        <v>0</v>
      </c>
      <c r="J149" s="233">
        <f>J150+J156+J160+J163</f>
        <v>0</v>
      </c>
      <c r="K149" s="233">
        <f>K150+K156+K160+K163</f>
        <v>0</v>
      </c>
      <c r="L149" s="233">
        <f>L150+L156+L160+L163</f>
        <v>0</v>
      </c>
      <c r="M149" s="232">
        <f t="shared" si="32"/>
        <v>0</v>
      </c>
      <c r="N149" s="233">
        <v>0</v>
      </c>
      <c r="O149" s="233">
        <f>O150+O156+O160+O163</f>
        <v>0</v>
      </c>
      <c r="P149" s="233">
        <f>P150+P156+P160+P163</f>
        <v>0</v>
      </c>
      <c r="Q149" s="233">
        <f>Q150+Q156+Q160+Q163</f>
        <v>0</v>
      </c>
      <c r="R149" s="232">
        <f t="shared" si="33"/>
        <v>0</v>
      </c>
    </row>
    <row r="150" spans="1:18" s="6" customFormat="1" ht="12" hidden="1" customHeight="1">
      <c r="A150" s="141">
        <v>9100</v>
      </c>
      <c r="B150" s="179" t="s">
        <v>124</v>
      </c>
      <c r="C150" s="170">
        <v>0</v>
      </c>
      <c r="D150" s="170">
        <v>0</v>
      </c>
      <c r="E150" s="233">
        <f>SUM(E151:E152)</f>
        <v>0</v>
      </c>
      <c r="F150" s="233">
        <f>SUM(F151:F152)</f>
        <v>0</v>
      </c>
      <c r="G150" s="233">
        <f>SUM(G151:G152)</f>
        <v>0</v>
      </c>
      <c r="H150" s="232">
        <f t="shared" si="31"/>
        <v>0</v>
      </c>
      <c r="I150" s="233">
        <v>0</v>
      </c>
      <c r="J150" s="233">
        <f>SUM(J151:J152)</f>
        <v>0</v>
      </c>
      <c r="K150" s="233">
        <f>SUM(K151:K152)</f>
        <v>0</v>
      </c>
      <c r="L150" s="233">
        <f>SUM(L151:L152)</f>
        <v>0</v>
      </c>
      <c r="M150" s="232">
        <f t="shared" si="32"/>
        <v>0</v>
      </c>
      <c r="N150" s="233">
        <v>0</v>
      </c>
      <c r="O150" s="233">
        <f>SUM(O151:O152)</f>
        <v>0</v>
      </c>
      <c r="P150" s="233">
        <f>SUM(P151:P152)</f>
        <v>0</v>
      </c>
      <c r="Q150" s="233">
        <f>SUM(Q151:Q152)</f>
        <v>0</v>
      </c>
      <c r="R150" s="232">
        <f t="shared" si="33"/>
        <v>0</v>
      </c>
    </row>
    <row r="151" spans="1:18" s="6" customFormat="1" ht="24" hidden="1" customHeight="1">
      <c r="A151" s="133" t="s">
        <v>125</v>
      </c>
      <c r="B151" s="179" t="s">
        <v>214</v>
      </c>
      <c r="C151" s="170"/>
      <c r="D151" s="170">
        <v>0</v>
      </c>
      <c r="E151" s="233"/>
      <c r="F151" s="233"/>
      <c r="G151" s="233"/>
      <c r="H151" s="232">
        <f t="shared" si="31"/>
        <v>0</v>
      </c>
      <c r="I151" s="233">
        <v>0</v>
      </c>
      <c r="J151" s="233"/>
      <c r="K151" s="233"/>
      <c r="L151" s="233"/>
      <c r="M151" s="232">
        <f t="shared" si="32"/>
        <v>0</v>
      </c>
      <c r="N151" s="233">
        <v>0</v>
      </c>
      <c r="O151" s="233"/>
      <c r="P151" s="233"/>
      <c r="Q151" s="233"/>
      <c r="R151" s="232">
        <f t="shared" si="33"/>
        <v>0</v>
      </c>
    </row>
    <row r="152" spans="1:18" s="6" customFormat="1" ht="24" hidden="1" customHeight="1">
      <c r="A152" s="133">
        <v>9140</v>
      </c>
      <c r="B152" s="179" t="s">
        <v>215</v>
      </c>
      <c r="C152" s="170">
        <v>0</v>
      </c>
      <c r="D152" s="170">
        <v>0</v>
      </c>
      <c r="E152" s="233">
        <f>SUM(E153:E155)</f>
        <v>0</v>
      </c>
      <c r="F152" s="233">
        <f>SUM(F153:F155)</f>
        <v>0</v>
      </c>
      <c r="G152" s="233">
        <f>SUM(G153:G155)</f>
        <v>0</v>
      </c>
      <c r="H152" s="232">
        <f t="shared" si="31"/>
        <v>0</v>
      </c>
      <c r="I152" s="233">
        <v>0</v>
      </c>
      <c r="J152" s="233">
        <f>SUM(J153:J155)</f>
        <v>0</v>
      </c>
      <c r="K152" s="233">
        <f>SUM(K153:K155)</f>
        <v>0</v>
      </c>
      <c r="L152" s="233">
        <f>SUM(L153:L155)</f>
        <v>0</v>
      </c>
      <c r="M152" s="232">
        <f t="shared" si="32"/>
        <v>0</v>
      </c>
      <c r="N152" s="233">
        <v>0</v>
      </c>
      <c r="O152" s="233">
        <f>SUM(O153:O155)</f>
        <v>0</v>
      </c>
      <c r="P152" s="233">
        <f>SUM(P153:P155)</f>
        <v>0</v>
      </c>
      <c r="Q152" s="233">
        <f>SUM(Q153:Q155)</f>
        <v>0</v>
      </c>
      <c r="R152" s="232">
        <f t="shared" si="33"/>
        <v>0</v>
      </c>
    </row>
    <row r="153" spans="1:18" s="6" customFormat="1" ht="36" hidden="1" customHeight="1">
      <c r="A153" s="134">
        <v>9141</v>
      </c>
      <c r="B153" s="172" t="s">
        <v>190</v>
      </c>
      <c r="C153" s="204"/>
      <c r="D153" s="204">
        <v>0</v>
      </c>
      <c r="E153" s="252"/>
      <c r="F153" s="252"/>
      <c r="G153" s="252"/>
      <c r="H153" s="232">
        <f t="shared" ref="H153:H176" si="34">SUM(D153:G153)</f>
        <v>0</v>
      </c>
      <c r="I153" s="252">
        <v>0</v>
      </c>
      <c r="J153" s="252"/>
      <c r="K153" s="252"/>
      <c r="L153" s="252"/>
      <c r="M153" s="232">
        <f t="shared" si="32"/>
        <v>0</v>
      </c>
      <c r="N153" s="252">
        <v>0</v>
      </c>
      <c r="O153" s="252"/>
      <c r="P153" s="252"/>
      <c r="Q153" s="252"/>
      <c r="R153" s="232">
        <f t="shared" si="33"/>
        <v>0</v>
      </c>
    </row>
    <row r="154" spans="1:18" s="6" customFormat="1" ht="36" hidden="1" customHeight="1">
      <c r="A154" s="134">
        <v>9142</v>
      </c>
      <c r="B154" s="172" t="s">
        <v>191</v>
      </c>
      <c r="C154" s="204"/>
      <c r="D154" s="204">
        <v>0</v>
      </c>
      <c r="E154" s="252"/>
      <c r="F154" s="252"/>
      <c r="G154" s="252"/>
      <c r="H154" s="232">
        <f t="shared" si="34"/>
        <v>0</v>
      </c>
      <c r="I154" s="252">
        <v>0</v>
      </c>
      <c r="J154" s="252"/>
      <c r="K154" s="252"/>
      <c r="L154" s="252"/>
      <c r="M154" s="232">
        <f t="shared" si="32"/>
        <v>0</v>
      </c>
      <c r="N154" s="252">
        <v>0</v>
      </c>
      <c r="O154" s="252"/>
      <c r="P154" s="252"/>
      <c r="Q154" s="252"/>
      <c r="R154" s="232">
        <f t="shared" si="33"/>
        <v>0</v>
      </c>
    </row>
    <row r="155" spans="1:18" s="6" customFormat="1" ht="24" hidden="1" customHeight="1">
      <c r="A155" s="134">
        <v>9149</v>
      </c>
      <c r="B155" s="172" t="s">
        <v>192</v>
      </c>
      <c r="C155" s="204"/>
      <c r="D155" s="204">
        <v>0</v>
      </c>
      <c r="E155" s="252"/>
      <c r="F155" s="252"/>
      <c r="G155" s="252"/>
      <c r="H155" s="232">
        <f t="shared" si="34"/>
        <v>0</v>
      </c>
      <c r="I155" s="252">
        <v>0</v>
      </c>
      <c r="J155" s="252"/>
      <c r="K155" s="252"/>
      <c r="L155" s="252"/>
      <c r="M155" s="232">
        <f t="shared" si="32"/>
        <v>0</v>
      </c>
      <c r="N155" s="252">
        <v>0</v>
      </c>
      <c r="O155" s="252"/>
      <c r="P155" s="252"/>
      <c r="Q155" s="252"/>
      <c r="R155" s="232">
        <f t="shared" si="33"/>
        <v>0</v>
      </c>
    </row>
    <row r="156" spans="1:18" s="6" customFormat="1" ht="24" hidden="1" customHeight="1">
      <c r="A156" s="141">
        <v>9500</v>
      </c>
      <c r="B156" s="172" t="s">
        <v>165</v>
      </c>
      <c r="C156" s="170">
        <v>0</v>
      </c>
      <c r="D156" s="170">
        <v>0</v>
      </c>
      <c r="E156" s="233">
        <f>SUM(E157:E159)</f>
        <v>0</v>
      </c>
      <c r="F156" s="233">
        <f>SUM(F157:F159)</f>
        <v>0</v>
      </c>
      <c r="G156" s="233">
        <f>SUM(G157:G159)</f>
        <v>0</v>
      </c>
      <c r="H156" s="232">
        <f t="shared" si="34"/>
        <v>0</v>
      </c>
      <c r="I156" s="233">
        <v>0</v>
      </c>
      <c r="J156" s="233">
        <f>SUM(J157:J159)</f>
        <v>0</v>
      </c>
      <c r="K156" s="233">
        <f>SUM(K157:K159)</f>
        <v>0</v>
      </c>
      <c r="L156" s="233">
        <f>SUM(L157:L159)</f>
        <v>0</v>
      </c>
      <c r="M156" s="232">
        <f t="shared" si="32"/>
        <v>0</v>
      </c>
      <c r="N156" s="233">
        <v>0</v>
      </c>
      <c r="O156" s="233">
        <f>SUM(O157:O159)</f>
        <v>0</v>
      </c>
      <c r="P156" s="233">
        <f>SUM(P157:P159)</f>
        <v>0</v>
      </c>
      <c r="Q156" s="233">
        <f>SUM(Q157:Q159)</f>
        <v>0</v>
      </c>
      <c r="R156" s="232">
        <f t="shared" si="33"/>
        <v>0</v>
      </c>
    </row>
    <row r="157" spans="1:18" s="6" customFormat="1" ht="24" hidden="1" customHeight="1">
      <c r="A157" s="133" t="s">
        <v>193</v>
      </c>
      <c r="B157" s="172" t="s">
        <v>171</v>
      </c>
      <c r="C157" s="170"/>
      <c r="D157" s="170">
        <v>0</v>
      </c>
      <c r="E157" s="233"/>
      <c r="F157" s="233"/>
      <c r="G157" s="233"/>
      <c r="H157" s="232">
        <f t="shared" si="34"/>
        <v>0</v>
      </c>
      <c r="I157" s="233">
        <v>0</v>
      </c>
      <c r="J157" s="233"/>
      <c r="K157" s="233"/>
      <c r="L157" s="233"/>
      <c r="M157" s="232">
        <f t="shared" si="32"/>
        <v>0</v>
      </c>
      <c r="N157" s="233">
        <v>0</v>
      </c>
      <c r="O157" s="233"/>
      <c r="P157" s="233"/>
      <c r="Q157" s="233"/>
      <c r="R157" s="232">
        <f t="shared" si="33"/>
        <v>0</v>
      </c>
    </row>
    <row r="158" spans="1:18" s="6" customFormat="1" ht="48" hidden="1" customHeight="1">
      <c r="A158" s="133">
        <v>9580</v>
      </c>
      <c r="B158" s="172" t="s">
        <v>166</v>
      </c>
      <c r="C158" s="204"/>
      <c r="D158" s="204">
        <v>0</v>
      </c>
      <c r="E158" s="252"/>
      <c r="F158" s="252"/>
      <c r="G158" s="252"/>
      <c r="H158" s="232">
        <f t="shared" si="34"/>
        <v>0</v>
      </c>
      <c r="I158" s="252">
        <v>0</v>
      </c>
      <c r="J158" s="252"/>
      <c r="K158" s="252"/>
      <c r="L158" s="252"/>
      <c r="M158" s="232">
        <f t="shared" ref="M158:M176" si="35">SUM(I158:L158)</f>
        <v>0</v>
      </c>
      <c r="N158" s="252">
        <v>0</v>
      </c>
      <c r="O158" s="252"/>
      <c r="P158" s="252"/>
      <c r="Q158" s="252"/>
      <c r="R158" s="232">
        <f t="shared" ref="R158:R176" si="36">SUM(N158:Q158)</f>
        <v>0</v>
      </c>
    </row>
    <row r="159" spans="1:18" s="6" customFormat="1" ht="48" hidden="1" customHeight="1">
      <c r="A159" s="133">
        <v>9590</v>
      </c>
      <c r="B159" s="179" t="s">
        <v>172</v>
      </c>
      <c r="C159" s="204"/>
      <c r="D159" s="204">
        <v>0</v>
      </c>
      <c r="E159" s="252"/>
      <c r="F159" s="252"/>
      <c r="G159" s="252"/>
      <c r="H159" s="232">
        <f t="shared" si="34"/>
        <v>0</v>
      </c>
      <c r="I159" s="252">
        <v>0</v>
      </c>
      <c r="J159" s="252"/>
      <c r="K159" s="252"/>
      <c r="L159" s="252"/>
      <c r="M159" s="232">
        <f t="shared" si="35"/>
        <v>0</v>
      </c>
      <c r="N159" s="252">
        <v>0</v>
      </c>
      <c r="O159" s="252"/>
      <c r="P159" s="252"/>
      <c r="Q159" s="252"/>
      <c r="R159" s="232">
        <f t="shared" si="36"/>
        <v>0</v>
      </c>
    </row>
    <row r="160" spans="1:18" s="6" customFormat="1" ht="24" hidden="1" customHeight="1">
      <c r="A160" s="141">
        <v>9700</v>
      </c>
      <c r="B160" s="183" t="s">
        <v>194</v>
      </c>
      <c r="C160" s="170">
        <v>0</v>
      </c>
      <c r="D160" s="170">
        <v>0</v>
      </c>
      <c r="E160" s="233">
        <f>SUM(E161:E162)</f>
        <v>0</v>
      </c>
      <c r="F160" s="233">
        <f>SUM(F161:F162)</f>
        <v>0</v>
      </c>
      <c r="G160" s="233">
        <f>SUM(G161:G162)</f>
        <v>0</v>
      </c>
      <c r="H160" s="232">
        <f t="shared" si="34"/>
        <v>0</v>
      </c>
      <c r="I160" s="233">
        <v>0</v>
      </c>
      <c r="J160" s="233">
        <f>SUM(J161:J162)</f>
        <v>0</v>
      </c>
      <c r="K160" s="233">
        <f>SUM(K161:K162)</f>
        <v>0</v>
      </c>
      <c r="L160" s="233">
        <f>SUM(L161:L162)</f>
        <v>0</v>
      </c>
      <c r="M160" s="232">
        <f t="shared" si="35"/>
        <v>0</v>
      </c>
      <c r="N160" s="233">
        <v>0</v>
      </c>
      <c r="O160" s="233">
        <f>SUM(O161:O162)</f>
        <v>0</v>
      </c>
      <c r="P160" s="233">
        <f>SUM(P161:P162)</f>
        <v>0</v>
      </c>
      <c r="Q160" s="233">
        <f>SUM(Q161:Q162)</f>
        <v>0</v>
      </c>
      <c r="R160" s="232">
        <f t="shared" si="36"/>
        <v>0</v>
      </c>
    </row>
    <row r="161" spans="1:18" s="6" customFormat="1" ht="24" hidden="1" customHeight="1">
      <c r="A161" s="133">
        <v>9710</v>
      </c>
      <c r="B161" s="184" t="s">
        <v>195</v>
      </c>
      <c r="C161" s="204"/>
      <c r="D161" s="204">
        <v>0</v>
      </c>
      <c r="E161" s="252"/>
      <c r="F161" s="252"/>
      <c r="G161" s="252"/>
      <c r="H161" s="232">
        <f t="shared" si="34"/>
        <v>0</v>
      </c>
      <c r="I161" s="252">
        <v>0</v>
      </c>
      <c r="J161" s="252"/>
      <c r="K161" s="252"/>
      <c r="L161" s="252"/>
      <c r="M161" s="232">
        <f t="shared" si="35"/>
        <v>0</v>
      </c>
      <c r="N161" s="252">
        <v>0</v>
      </c>
      <c r="O161" s="252"/>
      <c r="P161" s="252"/>
      <c r="Q161" s="252"/>
      <c r="R161" s="232">
        <f t="shared" si="36"/>
        <v>0</v>
      </c>
    </row>
    <row r="162" spans="1:18" s="6" customFormat="1" ht="48" hidden="1" customHeight="1">
      <c r="A162" s="142">
        <v>9720</v>
      </c>
      <c r="B162" s="183" t="s">
        <v>196</v>
      </c>
      <c r="C162" s="204"/>
      <c r="D162" s="204">
        <v>0</v>
      </c>
      <c r="E162" s="252"/>
      <c r="F162" s="252"/>
      <c r="G162" s="252"/>
      <c r="H162" s="232">
        <f t="shared" si="34"/>
        <v>0</v>
      </c>
      <c r="I162" s="252">
        <v>0</v>
      </c>
      <c r="J162" s="252"/>
      <c r="K162" s="252"/>
      <c r="L162" s="252"/>
      <c r="M162" s="232">
        <f t="shared" si="35"/>
        <v>0</v>
      </c>
      <c r="N162" s="252">
        <v>0</v>
      </c>
      <c r="O162" s="252"/>
      <c r="P162" s="252"/>
      <c r="Q162" s="252"/>
      <c r="R162" s="232">
        <f t="shared" si="36"/>
        <v>0</v>
      </c>
    </row>
    <row r="163" spans="1:18" s="6" customFormat="1" ht="24" hidden="1" customHeight="1">
      <c r="A163" s="141">
        <v>9600</v>
      </c>
      <c r="B163" s="179" t="s">
        <v>134</v>
      </c>
      <c r="C163" s="204"/>
      <c r="D163" s="204">
        <v>0</v>
      </c>
      <c r="E163" s="252"/>
      <c r="F163" s="252"/>
      <c r="G163" s="252"/>
      <c r="H163" s="232">
        <f t="shared" si="34"/>
        <v>0</v>
      </c>
      <c r="I163" s="252">
        <v>0</v>
      </c>
      <c r="J163" s="252"/>
      <c r="K163" s="252"/>
      <c r="L163" s="252"/>
      <c r="M163" s="232">
        <f t="shared" si="35"/>
        <v>0</v>
      </c>
      <c r="N163" s="252">
        <v>0</v>
      </c>
      <c r="O163" s="252"/>
      <c r="P163" s="252"/>
      <c r="Q163" s="252"/>
      <c r="R163" s="232">
        <f t="shared" si="36"/>
        <v>0</v>
      </c>
    </row>
    <row r="164" spans="1:18" s="6" customFormat="1" ht="31.5" hidden="1" customHeight="1">
      <c r="A164" s="130" t="s">
        <v>197</v>
      </c>
      <c r="B164" s="185" t="s">
        <v>47</v>
      </c>
      <c r="C164" s="206"/>
      <c r="D164" s="206">
        <v>0</v>
      </c>
      <c r="E164" s="262">
        <f>E94-E119</f>
        <v>0</v>
      </c>
      <c r="F164" s="262">
        <f>F94-F119</f>
        <v>0</v>
      </c>
      <c r="G164" s="262">
        <f>G94-G119</f>
        <v>0</v>
      </c>
      <c r="H164" s="232">
        <f t="shared" si="34"/>
        <v>0</v>
      </c>
      <c r="I164" s="262">
        <v>0</v>
      </c>
      <c r="J164" s="262">
        <f>J94-J119</f>
        <v>0</v>
      </c>
      <c r="K164" s="262">
        <f>K94-K119</f>
        <v>0</v>
      </c>
      <c r="L164" s="262">
        <f>L94-L119</f>
        <v>0</v>
      </c>
      <c r="M164" s="232">
        <f t="shared" si="35"/>
        <v>0</v>
      </c>
      <c r="N164" s="262">
        <v>0</v>
      </c>
      <c r="O164" s="262">
        <f>O94-O119</f>
        <v>0</v>
      </c>
      <c r="P164" s="262">
        <f>P94-P119</f>
        <v>0</v>
      </c>
      <c r="Q164" s="262">
        <f>Q94-Q119</f>
        <v>0</v>
      </c>
      <c r="R164" s="232">
        <f t="shared" si="36"/>
        <v>0</v>
      </c>
    </row>
    <row r="165" spans="1:18" s="6" customFormat="1" ht="12" hidden="1" customHeight="1">
      <c r="A165" s="143" t="s">
        <v>48</v>
      </c>
      <c r="B165" s="185" t="s">
        <v>49</v>
      </c>
      <c r="C165" s="206">
        <v>0</v>
      </c>
      <c r="D165" s="206">
        <v>0</v>
      </c>
      <c r="E165" s="262">
        <f>E166+E169+E173+E172</f>
        <v>0</v>
      </c>
      <c r="F165" s="262">
        <f>F166+F169+F173+F172</f>
        <v>0</v>
      </c>
      <c r="G165" s="262">
        <f>G166+G169+G173+G172</f>
        <v>0</v>
      </c>
      <c r="H165" s="232">
        <f t="shared" si="34"/>
        <v>0</v>
      </c>
      <c r="I165" s="262">
        <v>0</v>
      </c>
      <c r="J165" s="262">
        <f>J166+J169+J173+J172</f>
        <v>0</v>
      </c>
      <c r="K165" s="262">
        <f>K166+K169+K173+K172</f>
        <v>0</v>
      </c>
      <c r="L165" s="262">
        <f>L166+L169+L173+L172</f>
        <v>0</v>
      </c>
      <c r="M165" s="232">
        <f t="shared" si="35"/>
        <v>0</v>
      </c>
      <c r="N165" s="262">
        <v>0</v>
      </c>
      <c r="O165" s="262">
        <f>O166+O169+O173+O172</f>
        <v>0</v>
      </c>
      <c r="P165" s="262">
        <f>P166+P169+P173+P172</f>
        <v>0</v>
      </c>
      <c r="Q165" s="262">
        <f>Q166+Q169+Q173+Q172</f>
        <v>0</v>
      </c>
      <c r="R165" s="232">
        <f t="shared" si="36"/>
        <v>0</v>
      </c>
    </row>
    <row r="166" spans="1:18" s="6" customFormat="1" ht="12" hidden="1" customHeight="1">
      <c r="A166" s="141" t="s">
        <v>50</v>
      </c>
      <c r="B166" s="179" t="s">
        <v>51</v>
      </c>
      <c r="C166" s="98">
        <v>0</v>
      </c>
      <c r="D166" s="98">
        <v>0</v>
      </c>
      <c r="E166" s="231">
        <f>E167+E168</f>
        <v>0</v>
      </c>
      <c r="F166" s="231">
        <f>F167+F168</f>
        <v>0</v>
      </c>
      <c r="G166" s="231">
        <f>G167+G168</f>
        <v>0</v>
      </c>
      <c r="H166" s="232">
        <f t="shared" si="34"/>
        <v>0</v>
      </c>
      <c r="I166" s="231">
        <v>0</v>
      </c>
      <c r="J166" s="231">
        <f>J167+J168</f>
        <v>0</v>
      </c>
      <c r="K166" s="231">
        <f>K167+K168</f>
        <v>0</v>
      </c>
      <c r="L166" s="231">
        <f>L167+L168</f>
        <v>0</v>
      </c>
      <c r="M166" s="232">
        <f t="shared" si="35"/>
        <v>0</v>
      </c>
      <c r="N166" s="231">
        <v>0</v>
      </c>
      <c r="O166" s="231">
        <f>O167+O168</f>
        <v>0</v>
      </c>
      <c r="P166" s="231">
        <f>P167+P168</f>
        <v>0</v>
      </c>
      <c r="Q166" s="231">
        <f>Q167+Q168</f>
        <v>0</v>
      </c>
      <c r="R166" s="232">
        <f t="shared" si="36"/>
        <v>0</v>
      </c>
    </row>
    <row r="167" spans="1:18" s="6" customFormat="1" ht="12" hidden="1" customHeight="1">
      <c r="A167" s="141" t="s">
        <v>52</v>
      </c>
      <c r="B167" s="179" t="s">
        <v>53</v>
      </c>
      <c r="C167" s="98"/>
      <c r="D167" s="98">
        <v>0</v>
      </c>
      <c r="E167" s="231"/>
      <c r="F167" s="231"/>
      <c r="G167" s="231"/>
      <c r="H167" s="232">
        <f t="shared" si="34"/>
        <v>0</v>
      </c>
      <c r="I167" s="231">
        <v>0</v>
      </c>
      <c r="J167" s="231"/>
      <c r="K167" s="231"/>
      <c r="L167" s="231"/>
      <c r="M167" s="232">
        <f t="shared" si="35"/>
        <v>0</v>
      </c>
      <c r="N167" s="231">
        <v>0</v>
      </c>
      <c r="O167" s="231"/>
      <c r="P167" s="231"/>
      <c r="Q167" s="231"/>
      <c r="R167" s="232">
        <f t="shared" si="36"/>
        <v>0</v>
      </c>
    </row>
    <row r="168" spans="1:18" s="6" customFormat="1" ht="12" hidden="1" customHeight="1">
      <c r="A168" s="141" t="s">
        <v>54</v>
      </c>
      <c r="B168" s="179" t="s">
        <v>55</v>
      </c>
      <c r="C168" s="98"/>
      <c r="D168" s="98">
        <v>0</v>
      </c>
      <c r="E168" s="231"/>
      <c r="F168" s="231"/>
      <c r="G168" s="231"/>
      <c r="H168" s="232">
        <f t="shared" si="34"/>
        <v>0</v>
      </c>
      <c r="I168" s="231">
        <v>0</v>
      </c>
      <c r="J168" s="231"/>
      <c r="K168" s="231"/>
      <c r="L168" s="231"/>
      <c r="M168" s="232">
        <f t="shared" si="35"/>
        <v>0</v>
      </c>
      <c r="N168" s="231">
        <v>0</v>
      </c>
      <c r="O168" s="231"/>
      <c r="P168" s="231"/>
      <c r="Q168" s="231"/>
      <c r="R168" s="232">
        <f t="shared" si="36"/>
        <v>0</v>
      </c>
    </row>
    <row r="169" spans="1:18" s="6" customFormat="1" ht="12" hidden="1" customHeight="1">
      <c r="A169" s="141" t="s">
        <v>56</v>
      </c>
      <c r="B169" s="179" t="s">
        <v>57</v>
      </c>
      <c r="C169" s="98">
        <v>0</v>
      </c>
      <c r="D169" s="98">
        <v>0</v>
      </c>
      <c r="E169" s="231">
        <f>E170+E171</f>
        <v>0</v>
      </c>
      <c r="F169" s="231">
        <f>F170+F171</f>
        <v>0</v>
      </c>
      <c r="G169" s="231">
        <f>G170+G171</f>
        <v>0</v>
      </c>
      <c r="H169" s="232">
        <f t="shared" si="34"/>
        <v>0</v>
      </c>
      <c r="I169" s="231">
        <v>0</v>
      </c>
      <c r="J169" s="231">
        <f>J170+J171</f>
        <v>0</v>
      </c>
      <c r="K169" s="231">
        <f>K170+K171</f>
        <v>0</v>
      </c>
      <c r="L169" s="231">
        <f>L170+L171</f>
        <v>0</v>
      </c>
      <c r="M169" s="232">
        <f t="shared" si="35"/>
        <v>0</v>
      </c>
      <c r="N169" s="231">
        <v>0</v>
      </c>
      <c r="O169" s="231">
        <f>O170+O171</f>
        <v>0</v>
      </c>
      <c r="P169" s="231">
        <f>P170+P171</f>
        <v>0</v>
      </c>
      <c r="Q169" s="231">
        <f>Q170+Q171</f>
        <v>0</v>
      </c>
      <c r="R169" s="232">
        <f t="shared" si="36"/>
        <v>0</v>
      </c>
    </row>
    <row r="170" spans="1:18" s="6" customFormat="1" ht="12" hidden="1" customHeight="1">
      <c r="A170" s="141" t="s">
        <v>58</v>
      </c>
      <c r="B170" s="179" t="s">
        <v>59</v>
      </c>
      <c r="C170" s="98"/>
      <c r="D170" s="98">
        <v>0</v>
      </c>
      <c r="E170" s="231"/>
      <c r="F170" s="231"/>
      <c r="G170" s="231"/>
      <c r="H170" s="232">
        <f t="shared" si="34"/>
        <v>0</v>
      </c>
      <c r="I170" s="231">
        <v>0</v>
      </c>
      <c r="J170" s="231"/>
      <c r="K170" s="231"/>
      <c r="L170" s="231"/>
      <c r="M170" s="232">
        <f t="shared" si="35"/>
        <v>0</v>
      </c>
      <c r="N170" s="231">
        <v>0</v>
      </c>
      <c r="O170" s="231"/>
      <c r="P170" s="231"/>
      <c r="Q170" s="231"/>
      <c r="R170" s="232">
        <f t="shared" si="36"/>
        <v>0</v>
      </c>
    </row>
    <row r="171" spans="1:18" s="6" customFormat="1" ht="12" hidden="1" customHeight="1">
      <c r="A171" s="141" t="s">
        <v>60</v>
      </c>
      <c r="B171" s="179" t="s">
        <v>61</v>
      </c>
      <c r="C171" s="98"/>
      <c r="D171" s="98">
        <v>0</v>
      </c>
      <c r="E171" s="231"/>
      <c r="F171" s="231"/>
      <c r="G171" s="231"/>
      <c r="H171" s="232">
        <f t="shared" si="34"/>
        <v>0</v>
      </c>
      <c r="I171" s="231">
        <v>0</v>
      </c>
      <c r="J171" s="231"/>
      <c r="K171" s="231"/>
      <c r="L171" s="231"/>
      <c r="M171" s="232">
        <f t="shared" si="35"/>
        <v>0</v>
      </c>
      <c r="N171" s="231">
        <v>0</v>
      </c>
      <c r="O171" s="231"/>
      <c r="P171" s="231"/>
      <c r="Q171" s="231"/>
      <c r="R171" s="232">
        <f t="shared" si="36"/>
        <v>0</v>
      </c>
    </row>
    <row r="172" spans="1:18" s="6" customFormat="1" ht="12" hidden="1" customHeight="1">
      <c r="A172" s="141" t="s">
        <v>198</v>
      </c>
      <c r="B172" s="187" t="s">
        <v>168</v>
      </c>
      <c r="C172" s="98"/>
      <c r="D172" s="98">
        <v>0</v>
      </c>
      <c r="E172" s="231"/>
      <c r="F172" s="231"/>
      <c r="G172" s="231"/>
      <c r="H172" s="232">
        <f t="shared" si="34"/>
        <v>0</v>
      </c>
      <c r="I172" s="231">
        <v>0</v>
      </c>
      <c r="J172" s="231"/>
      <c r="K172" s="231"/>
      <c r="L172" s="231"/>
      <c r="M172" s="232">
        <f t="shared" si="35"/>
        <v>0</v>
      </c>
      <c r="N172" s="231">
        <v>0</v>
      </c>
      <c r="O172" s="231"/>
      <c r="P172" s="231"/>
      <c r="Q172" s="231"/>
      <c r="R172" s="232">
        <f t="shared" si="36"/>
        <v>0</v>
      </c>
    </row>
    <row r="173" spans="1:18" s="6" customFormat="1" ht="12" hidden="1" customHeight="1">
      <c r="A173" s="144" t="s">
        <v>62</v>
      </c>
      <c r="B173" s="125" t="s">
        <v>63</v>
      </c>
      <c r="C173" s="170">
        <v>0</v>
      </c>
      <c r="D173" s="170">
        <v>0</v>
      </c>
      <c r="E173" s="233">
        <f>E174+E175+E176</f>
        <v>0</v>
      </c>
      <c r="F173" s="233">
        <f>F174+F175+F176</f>
        <v>0</v>
      </c>
      <c r="G173" s="233">
        <f>G174+G175+G176</f>
        <v>0</v>
      </c>
      <c r="H173" s="232">
        <f t="shared" si="34"/>
        <v>0</v>
      </c>
      <c r="I173" s="233">
        <v>0</v>
      </c>
      <c r="J173" s="233">
        <f>J174+J175+J176</f>
        <v>0</v>
      </c>
      <c r="K173" s="233">
        <f>K174+K175+K176</f>
        <v>0</v>
      </c>
      <c r="L173" s="233">
        <f>L174+L175+L176</f>
        <v>0</v>
      </c>
      <c r="M173" s="232">
        <f t="shared" si="35"/>
        <v>0</v>
      </c>
      <c r="N173" s="233">
        <v>0</v>
      </c>
      <c r="O173" s="233">
        <f>O174+O175+O176</f>
        <v>0</v>
      </c>
      <c r="P173" s="233">
        <f>P174+P175+P176</f>
        <v>0</v>
      </c>
      <c r="Q173" s="233">
        <f>Q174+Q175+Q176</f>
        <v>0</v>
      </c>
      <c r="R173" s="232">
        <f t="shared" si="36"/>
        <v>0</v>
      </c>
    </row>
    <row r="174" spans="1:18" s="6" customFormat="1" ht="36" hidden="1" customHeight="1">
      <c r="A174" s="144" t="s">
        <v>64</v>
      </c>
      <c r="B174" s="179" t="s">
        <v>65</v>
      </c>
      <c r="C174" s="98"/>
      <c r="D174" s="98">
        <v>0</v>
      </c>
      <c r="E174" s="231"/>
      <c r="F174" s="231"/>
      <c r="G174" s="231"/>
      <c r="H174" s="232">
        <f t="shared" si="34"/>
        <v>0</v>
      </c>
      <c r="I174" s="231">
        <v>0</v>
      </c>
      <c r="J174" s="231"/>
      <c r="K174" s="231"/>
      <c r="L174" s="231"/>
      <c r="M174" s="232">
        <f t="shared" si="35"/>
        <v>0</v>
      </c>
      <c r="N174" s="231">
        <v>0</v>
      </c>
      <c r="O174" s="231"/>
      <c r="P174" s="231"/>
      <c r="Q174" s="231"/>
      <c r="R174" s="232">
        <f t="shared" si="36"/>
        <v>0</v>
      </c>
    </row>
    <row r="175" spans="1:18" s="6" customFormat="1" ht="36" hidden="1" customHeight="1">
      <c r="A175" s="144" t="s">
        <v>66</v>
      </c>
      <c r="B175" s="179" t="s">
        <v>67</v>
      </c>
      <c r="C175" s="98"/>
      <c r="D175" s="98">
        <v>0</v>
      </c>
      <c r="E175" s="231"/>
      <c r="F175" s="231"/>
      <c r="G175" s="231"/>
      <c r="H175" s="232">
        <f t="shared" si="34"/>
        <v>0</v>
      </c>
      <c r="I175" s="231">
        <v>0</v>
      </c>
      <c r="J175" s="231"/>
      <c r="K175" s="231"/>
      <c r="L175" s="231"/>
      <c r="M175" s="232">
        <f t="shared" si="35"/>
        <v>0</v>
      </c>
      <c r="N175" s="231">
        <v>0</v>
      </c>
      <c r="O175" s="231"/>
      <c r="P175" s="231"/>
      <c r="Q175" s="231"/>
      <c r="R175" s="232">
        <f t="shared" si="36"/>
        <v>0</v>
      </c>
    </row>
    <row r="176" spans="1:18" s="6" customFormat="1" ht="24" hidden="1" customHeight="1">
      <c r="A176" s="144" t="s">
        <v>68</v>
      </c>
      <c r="B176" s="125" t="s">
        <v>69</v>
      </c>
      <c r="C176" s="98"/>
      <c r="D176" s="98">
        <v>0</v>
      </c>
      <c r="E176" s="231"/>
      <c r="F176" s="231"/>
      <c r="G176" s="231"/>
      <c r="H176" s="232">
        <f t="shared" si="34"/>
        <v>0</v>
      </c>
      <c r="I176" s="231">
        <v>0</v>
      </c>
      <c r="J176" s="231"/>
      <c r="K176" s="231"/>
      <c r="L176" s="231"/>
      <c r="M176" s="232">
        <f t="shared" si="35"/>
        <v>0</v>
      </c>
      <c r="N176" s="231">
        <v>0</v>
      </c>
      <c r="O176" s="231"/>
      <c r="P176" s="231"/>
      <c r="Q176" s="231"/>
      <c r="R176" s="232">
        <f t="shared" si="36"/>
        <v>0</v>
      </c>
    </row>
    <row r="177" spans="1:18" s="6" customFormat="1" ht="34.200000000000003">
      <c r="A177" s="145"/>
      <c r="B177" s="188" t="s">
        <v>200</v>
      </c>
      <c r="C177" s="207"/>
      <c r="D177" s="190"/>
      <c r="E177" s="268"/>
      <c r="F177" s="268"/>
      <c r="G177" s="268"/>
      <c r="H177" s="806"/>
      <c r="I177" s="807"/>
      <c r="J177" s="806"/>
      <c r="K177" s="806"/>
      <c r="L177" s="806"/>
      <c r="M177" s="806"/>
      <c r="N177" s="807"/>
      <c r="O177" s="806"/>
      <c r="P177" s="806"/>
      <c r="Q177" s="806"/>
      <c r="R177" s="806"/>
    </row>
    <row r="178" spans="1:18" s="6" customFormat="1" ht="20.399999999999999">
      <c r="A178" s="129" t="s">
        <v>201</v>
      </c>
      <c r="B178" s="123" t="s">
        <v>88</v>
      </c>
      <c r="C178" s="200">
        <v>11369646</v>
      </c>
      <c r="D178" s="200">
        <v>3383484</v>
      </c>
      <c r="E178" s="228">
        <f>E179+E180+E182+E200</f>
        <v>0</v>
      </c>
      <c r="F178" s="228">
        <f>F179+F180+F182+F200</f>
        <v>0</v>
      </c>
      <c r="G178" s="228">
        <f>G179+G180+G182+G200</f>
        <v>0</v>
      </c>
      <c r="H178" s="229">
        <f t="shared" ref="H178:H209" si="37">SUM(D178:G178)</f>
        <v>3383484</v>
      </c>
      <c r="I178" s="228">
        <v>321772</v>
      </c>
      <c r="J178" s="228">
        <f>J179+J180+J182+J200</f>
        <v>0</v>
      </c>
      <c r="K178" s="228">
        <f>K179+K180+K182+K200</f>
        <v>0</v>
      </c>
      <c r="L178" s="228">
        <f>L179+L180+L182+L200</f>
        <v>0</v>
      </c>
      <c r="M178" s="229">
        <f t="shared" ref="M178:M209" si="38">SUM(I178:L178)</f>
        <v>321772</v>
      </c>
      <c r="N178" s="228">
        <v>102272</v>
      </c>
      <c r="O178" s="228">
        <f>O179+O180+O182+O200</f>
        <v>0</v>
      </c>
      <c r="P178" s="228">
        <f>P179+P180+P182+P200</f>
        <v>0</v>
      </c>
      <c r="Q178" s="228">
        <f>Q179+Q180+Q182+Q200</f>
        <v>0</v>
      </c>
      <c r="R178" s="229">
        <f t="shared" ref="R178:R209" si="39">SUM(N178:Q178)</f>
        <v>102272</v>
      </c>
    </row>
    <row r="179" spans="1:18" s="6" customFormat="1" ht="22.8">
      <c r="A179" s="130" t="s">
        <v>177</v>
      </c>
      <c r="B179" s="124" t="s">
        <v>90</v>
      </c>
      <c r="C179" s="98">
        <v>3968</v>
      </c>
      <c r="D179" s="98">
        <v>0</v>
      </c>
      <c r="E179" s="231"/>
      <c r="F179" s="231"/>
      <c r="G179" s="231"/>
      <c r="H179" s="232">
        <f t="shared" si="37"/>
        <v>0</v>
      </c>
      <c r="I179" s="231">
        <v>0</v>
      </c>
      <c r="J179" s="231"/>
      <c r="K179" s="231"/>
      <c r="L179" s="231"/>
      <c r="M179" s="232">
        <f t="shared" si="38"/>
        <v>0</v>
      </c>
      <c r="N179" s="231">
        <v>0</v>
      </c>
      <c r="O179" s="231"/>
      <c r="P179" s="231"/>
      <c r="Q179" s="231"/>
      <c r="R179" s="232">
        <f t="shared" si="39"/>
        <v>0</v>
      </c>
    </row>
    <row r="180" spans="1:18" s="6" customFormat="1" ht="12">
      <c r="A180" s="130" t="s">
        <v>91</v>
      </c>
      <c r="B180" s="124" t="s">
        <v>92</v>
      </c>
      <c r="C180" s="98">
        <v>80374</v>
      </c>
      <c r="D180" s="98">
        <v>51136</v>
      </c>
      <c r="E180" s="231"/>
      <c r="F180" s="231"/>
      <c r="G180" s="231"/>
      <c r="H180" s="232">
        <f t="shared" si="37"/>
        <v>51136</v>
      </c>
      <c r="I180" s="231">
        <v>51136</v>
      </c>
      <c r="J180" s="231"/>
      <c r="K180" s="231"/>
      <c r="L180" s="231"/>
      <c r="M180" s="232">
        <f t="shared" si="38"/>
        <v>51136</v>
      </c>
      <c r="N180" s="231">
        <v>51136</v>
      </c>
      <c r="O180" s="231"/>
      <c r="P180" s="231"/>
      <c r="Q180" s="231"/>
      <c r="R180" s="232">
        <f t="shared" si="39"/>
        <v>51136</v>
      </c>
    </row>
    <row r="181" spans="1:18" s="29" customFormat="1" ht="24" hidden="1" customHeight="1">
      <c r="A181" s="131">
        <v>21210</v>
      </c>
      <c r="B181" s="125" t="s">
        <v>93</v>
      </c>
      <c r="C181" s="98"/>
      <c r="D181" s="98">
        <v>0</v>
      </c>
      <c r="E181" s="231"/>
      <c r="F181" s="231"/>
      <c r="G181" s="231"/>
      <c r="H181" s="232">
        <f t="shared" si="37"/>
        <v>0</v>
      </c>
      <c r="I181" s="231">
        <v>0</v>
      </c>
      <c r="J181" s="231"/>
      <c r="K181" s="231"/>
      <c r="L181" s="231"/>
      <c r="M181" s="232">
        <f t="shared" si="38"/>
        <v>0</v>
      </c>
      <c r="N181" s="231">
        <v>0</v>
      </c>
      <c r="O181" s="231"/>
      <c r="P181" s="231"/>
      <c r="Q181" s="231"/>
      <c r="R181" s="232">
        <f t="shared" si="39"/>
        <v>0</v>
      </c>
    </row>
    <row r="182" spans="1:18" s="89" customFormat="1" ht="12">
      <c r="A182" s="130" t="s">
        <v>178</v>
      </c>
      <c r="B182" s="124" t="s">
        <v>94</v>
      </c>
      <c r="C182" s="170">
        <v>27818</v>
      </c>
      <c r="D182" s="170">
        <v>0</v>
      </c>
      <c r="E182" s="233">
        <f>E183+E189</f>
        <v>0</v>
      </c>
      <c r="F182" s="233">
        <f>F183+F189</f>
        <v>0</v>
      </c>
      <c r="G182" s="233">
        <f>G183+G189</f>
        <v>0</v>
      </c>
      <c r="H182" s="232">
        <f t="shared" si="37"/>
        <v>0</v>
      </c>
      <c r="I182" s="233">
        <v>0</v>
      </c>
      <c r="J182" s="233">
        <f>J183+J189</f>
        <v>0</v>
      </c>
      <c r="K182" s="233">
        <f>K183+K189</f>
        <v>0</v>
      </c>
      <c r="L182" s="233">
        <f>L183+L189</f>
        <v>0</v>
      </c>
      <c r="M182" s="232">
        <f t="shared" si="38"/>
        <v>0</v>
      </c>
      <c r="N182" s="233">
        <v>0</v>
      </c>
      <c r="O182" s="233">
        <f>O183+O189</f>
        <v>0</v>
      </c>
      <c r="P182" s="233">
        <f>P183+P189</f>
        <v>0</v>
      </c>
      <c r="Q182" s="233">
        <f>Q183+Q189</f>
        <v>0</v>
      </c>
      <c r="R182" s="232">
        <f t="shared" si="39"/>
        <v>0</v>
      </c>
    </row>
    <row r="183" spans="1:18" s="89" customFormat="1" ht="12">
      <c r="A183" s="132">
        <v>18000</v>
      </c>
      <c r="B183" s="125" t="s">
        <v>95</v>
      </c>
      <c r="C183" s="170">
        <v>27818</v>
      </c>
      <c r="D183" s="170">
        <v>0</v>
      </c>
      <c r="E183" s="233">
        <f t="shared" ref="E183:G184" si="40">E184</f>
        <v>0</v>
      </c>
      <c r="F183" s="233">
        <f t="shared" si="40"/>
        <v>0</v>
      </c>
      <c r="G183" s="233">
        <f t="shared" si="40"/>
        <v>0</v>
      </c>
      <c r="H183" s="232">
        <f t="shared" si="37"/>
        <v>0</v>
      </c>
      <c r="I183" s="233">
        <v>0</v>
      </c>
      <c r="J183" s="233">
        <f t="shared" ref="J183:L184" si="41">J184</f>
        <v>0</v>
      </c>
      <c r="K183" s="233">
        <f t="shared" si="41"/>
        <v>0</v>
      </c>
      <c r="L183" s="233">
        <f t="shared" si="41"/>
        <v>0</v>
      </c>
      <c r="M183" s="232">
        <f t="shared" si="38"/>
        <v>0</v>
      </c>
      <c r="N183" s="233">
        <v>0</v>
      </c>
      <c r="O183" s="233">
        <f t="shared" ref="O183:Q184" si="42">O184</f>
        <v>0</v>
      </c>
      <c r="P183" s="233">
        <f t="shared" si="42"/>
        <v>0</v>
      </c>
      <c r="Q183" s="233">
        <f t="shared" si="42"/>
        <v>0</v>
      </c>
      <c r="R183" s="232">
        <f t="shared" si="39"/>
        <v>0</v>
      </c>
    </row>
    <row r="184" spans="1:18" s="89" customFormat="1" ht="12">
      <c r="A184" s="132">
        <v>18100</v>
      </c>
      <c r="B184" s="125" t="s">
        <v>96</v>
      </c>
      <c r="C184" s="170">
        <v>27818</v>
      </c>
      <c r="D184" s="170">
        <v>0</v>
      </c>
      <c r="E184" s="233">
        <f t="shared" si="40"/>
        <v>0</v>
      </c>
      <c r="F184" s="233">
        <f t="shared" si="40"/>
        <v>0</v>
      </c>
      <c r="G184" s="233">
        <f t="shared" si="40"/>
        <v>0</v>
      </c>
      <c r="H184" s="232">
        <f t="shared" si="37"/>
        <v>0</v>
      </c>
      <c r="I184" s="233">
        <v>0</v>
      </c>
      <c r="J184" s="233">
        <f t="shared" si="41"/>
        <v>0</v>
      </c>
      <c r="K184" s="233">
        <f t="shared" si="41"/>
        <v>0</v>
      </c>
      <c r="L184" s="233">
        <f t="shared" si="41"/>
        <v>0</v>
      </c>
      <c r="M184" s="232">
        <f t="shared" si="38"/>
        <v>0</v>
      </c>
      <c r="N184" s="233">
        <v>0</v>
      </c>
      <c r="O184" s="233">
        <f t="shared" si="42"/>
        <v>0</v>
      </c>
      <c r="P184" s="233">
        <f t="shared" si="42"/>
        <v>0</v>
      </c>
      <c r="Q184" s="233">
        <f t="shared" si="42"/>
        <v>0</v>
      </c>
      <c r="R184" s="232">
        <f t="shared" si="39"/>
        <v>0</v>
      </c>
    </row>
    <row r="185" spans="1:18" s="89" customFormat="1" ht="24">
      <c r="A185" s="133">
        <v>18130</v>
      </c>
      <c r="B185" s="172" t="s">
        <v>159</v>
      </c>
      <c r="C185" s="170">
        <v>27818</v>
      </c>
      <c r="D185" s="170">
        <v>0</v>
      </c>
      <c r="E185" s="233">
        <f>SUM(E186:E188)</f>
        <v>0</v>
      </c>
      <c r="F185" s="233">
        <f>SUM(F186:F188)</f>
        <v>0</v>
      </c>
      <c r="G185" s="233">
        <f>SUM(G186:G188)</f>
        <v>0</v>
      </c>
      <c r="H185" s="232">
        <f t="shared" si="37"/>
        <v>0</v>
      </c>
      <c r="I185" s="233">
        <v>0</v>
      </c>
      <c r="J185" s="233">
        <f>SUM(J186:J188)</f>
        <v>0</v>
      </c>
      <c r="K185" s="233">
        <f>SUM(K186:K188)</f>
        <v>0</v>
      </c>
      <c r="L185" s="233">
        <f>SUM(L186:L188)</f>
        <v>0</v>
      </c>
      <c r="M185" s="232">
        <f t="shared" si="38"/>
        <v>0</v>
      </c>
      <c r="N185" s="233">
        <v>0</v>
      </c>
      <c r="O185" s="233">
        <f>SUM(O186:O188)</f>
        <v>0</v>
      </c>
      <c r="P185" s="233">
        <f>SUM(P186:P188)</f>
        <v>0</v>
      </c>
      <c r="Q185" s="233">
        <f>SUM(Q186:Q188)</f>
        <v>0</v>
      </c>
      <c r="R185" s="232">
        <f t="shared" si="39"/>
        <v>0</v>
      </c>
    </row>
    <row r="186" spans="1:18" s="89" customFormat="1" ht="36">
      <c r="A186" s="134">
        <v>18131</v>
      </c>
      <c r="B186" s="172" t="s">
        <v>160</v>
      </c>
      <c r="C186" s="170">
        <v>27818</v>
      </c>
      <c r="D186" s="170">
        <v>0</v>
      </c>
      <c r="E186" s="233"/>
      <c r="F186" s="233"/>
      <c r="G186" s="233"/>
      <c r="H186" s="232">
        <f t="shared" si="37"/>
        <v>0</v>
      </c>
      <c r="I186" s="233">
        <v>0</v>
      </c>
      <c r="J186" s="233"/>
      <c r="K186" s="233"/>
      <c r="L186" s="233"/>
      <c r="M186" s="232">
        <f t="shared" si="38"/>
        <v>0</v>
      </c>
      <c r="N186" s="233">
        <v>0</v>
      </c>
      <c r="O186" s="233"/>
      <c r="P186" s="233"/>
      <c r="Q186" s="233"/>
      <c r="R186" s="232">
        <f t="shared" si="39"/>
        <v>0</v>
      </c>
    </row>
    <row r="187" spans="1:18" s="89" customFormat="1" ht="24" hidden="1" customHeight="1">
      <c r="A187" s="134">
        <v>18132</v>
      </c>
      <c r="B187" s="172" t="s">
        <v>169</v>
      </c>
      <c r="C187" s="170"/>
      <c r="D187" s="170">
        <v>0</v>
      </c>
      <c r="E187" s="233"/>
      <c r="F187" s="233"/>
      <c r="G187" s="233"/>
      <c r="H187" s="232">
        <f t="shared" si="37"/>
        <v>0</v>
      </c>
      <c r="I187" s="233">
        <v>0</v>
      </c>
      <c r="J187" s="233"/>
      <c r="K187" s="233"/>
      <c r="L187" s="233"/>
      <c r="M187" s="232">
        <f t="shared" si="38"/>
        <v>0</v>
      </c>
      <c r="N187" s="233">
        <v>0</v>
      </c>
      <c r="O187" s="233"/>
      <c r="P187" s="233"/>
      <c r="Q187" s="233"/>
      <c r="R187" s="232">
        <f t="shared" si="39"/>
        <v>0</v>
      </c>
    </row>
    <row r="188" spans="1:18" s="89" customFormat="1" ht="24" hidden="1" customHeight="1">
      <c r="A188" s="134">
        <v>18139</v>
      </c>
      <c r="B188" s="172" t="s">
        <v>179</v>
      </c>
      <c r="C188" s="170"/>
      <c r="D188" s="170">
        <v>0</v>
      </c>
      <c r="E188" s="233"/>
      <c r="F188" s="233"/>
      <c r="G188" s="233"/>
      <c r="H188" s="232">
        <f t="shared" si="37"/>
        <v>0</v>
      </c>
      <c r="I188" s="233">
        <v>0</v>
      </c>
      <c r="J188" s="233"/>
      <c r="K188" s="233"/>
      <c r="L188" s="233"/>
      <c r="M188" s="232">
        <f t="shared" si="38"/>
        <v>0</v>
      </c>
      <c r="N188" s="233">
        <v>0</v>
      </c>
      <c r="O188" s="233"/>
      <c r="P188" s="233"/>
      <c r="Q188" s="233"/>
      <c r="R188" s="232">
        <f t="shared" si="39"/>
        <v>0</v>
      </c>
    </row>
    <row r="189" spans="1:18" s="89" customFormat="1" ht="12" hidden="1" customHeight="1">
      <c r="A189" s="135" t="s">
        <v>180</v>
      </c>
      <c r="B189" s="173" t="s">
        <v>173</v>
      </c>
      <c r="C189" s="201">
        <v>0</v>
      </c>
      <c r="D189" s="201">
        <v>0</v>
      </c>
      <c r="E189" s="238">
        <f>E190</f>
        <v>0</v>
      </c>
      <c r="F189" s="238">
        <f>F190</f>
        <v>0</v>
      </c>
      <c r="G189" s="238">
        <f>G190</f>
        <v>0</v>
      </c>
      <c r="H189" s="232">
        <f t="shared" si="37"/>
        <v>0</v>
      </c>
      <c r="I189" s="238">
        <v>0</v>
      </c>
      <c r="J189" s="238">
        <f>J190</f>
        <v>0</v>
      </c>
      <c r="K189" s="238">
        <f>K190</f>
        <v>0</v>
      </c>
      <c r="L189" s="238">
        <f>L190</f>
        <v>0</v>
      </c>
      <c r="M189" s="232">
        <f t="shared" si="38"/>
        <v>0</v>
      </c>
      <c r="N189" s="238">
        <v>0</v>
      </c>
      <c r="O189" s="238">
        <f>O190</f>
        <v>0</v>
      </c>
      <c r="P189" s="238">
        <f>P190</f>
        <v>0</v>
      </c>
      <c r="Q189" s="238">
        <f>Q190</f>
        <v>0</v>
      </c>
      <c r="R189" s="232">
        <f t="shared" si="39"/>
        <v>0</v>
      </c>
    </row>
    <row r="190" spans="1:18" s="89" customFormat="1" ht="24" hidden="1" customHeight="1">
      <c r="A190" s="135">
        <v>19500</v>
      </c>
      <c r="B190" s="172" t="s">
        <v>174</v>
      </c>
      <c r="C190" s="170">
        <v>0</v>
      </c>
      <c r="D190" s="170">
        <v>0</v>
      </c>
      <c r="E190" s="233">
        <f>SUM(E191:E193)</f>
        <v>0</v>
      </c>
      <c r="F190" s="233">
        <f>SUM(F191:F193)</f>
        <v>0</v>
      </c>
      <c r="G190" s="233">
        <f>SUM(G191:G193)</f>
        <v>0</v>
      </c>
      <c r="H190" s="232">
        <f t="shared" si="37"/>
        <v>0</v>
      </c>
      <c r="I190" s="233">
        <v>0</v>
      </c>
      <c r="J190" s="233">
        <f>SUM(J191:J193)</f>
        <v>0</v>
      </c>
      <c r="K190" s="233">
        <f>SUM(K191:K193)</f>
        <v>0</v>
      </c>
      <c r="L190" s="233">
        <f>SUM(L191:L193)</f>
        <v>0</v>
      </c>
      <c r="M190" s="232">
        <f t="shared" si="38"/>
        <v>0</v>
      </c>
      <c r="N190" s="233">
        <v>0</v>
      </c>
      <c r="O190" s="233">
        <f>SUM(O191:O193)</f>
        <v>0</v>
      </c>
      <c r="P190" s="233">
        <f>SUM(P191:P193)</f>
        <v>0</v>
      </c>
      <c r="Q190" s="233">
        <f>SUM(Q191:Q193)</f>
        <v>0</v>
      </c>
      <c r="R190" s="232">
        <f t="shared" si="39"/>
        <v>0</v>
      </c>
    </row>
    <row r="191" spans="1:18" s="89" customFormat="1" ht="24" hidden="1" customHeight="1">
      <c r="A191" s="136">
        <v>19550</v>
      </c>
      <c r="B191" s="172" t="s">
        <v>175</v>
      </c>
      <c r="C191" s="170"/>
      <c r="D191" s="170">
        <v>0</v>
      </c>
      <c r="E191" s="233"/>
      <c r="F191" s="233"/>
      <c r="G191" s="233"/>
      <c r="H191" s="232">
        <f t="shared" si="37"/>
        <v>0</v>
      </c>
      <c r="I191" s="233">
        <v>0</v>
      </c>
      <c r="J191" s="233"/>
      <c r="K191" s="233"/>
      <c r="L191" s="233"/>
      <c r="M191" s="232">
        <f t="shared" si="38"/>
        <v>0</v>
      </c>
      <c r="N191" s="233">
        <v>0</v>
      </c>
      <c r="O191" s="233"/>
      <c r="P191" s="233"/>
      <c r="Q191" s="233"/>
      <c r="R191" s="232">
        <f t="shared" si="39"/>
        <v>0</v>
      </c>
    </row>
    <row r="192" spans="1:18" s="89" customFormat="1" ht="36" hidden="1" customHeight="1">
      <c r="A192" s="136">
        <v>19560</v>
      </c>
      <c r="B192" s="172" t="s">
        <v>181</v>
      </c>
      <c r="C192" s="170"/>
      <c r="D192" s="170">
        <v>0</v>
      </c>
      <c r="E192" s="233"/>
      <c r="F192" s="233"/>
      <c r="G192" s="233"/>
      <c r="H192" s="232">
        <f t="shared" si="37"/>
        <v>0</v>
      </c>
      <c r="I192" s="233">
        <v>0</v>
      </c>
      <c r="J192" s="233"/>
      <c r="K192" s="233"/>
      <c r="L192" s="233"/>
      <c r="M192" s="232">
        <f t="shared" si="38"/>
        <v>0</v>
      </c>
      <c r="N192" s="233">
        <v>0</v>
      </c>
      <c r="O192" s="233"/>
      <c r="P192" s="233"/>
      <c r="Q192" s="233"/>
      <c r="R192" s="232">
        <f t="shared" si="39"/>
        <v>0</v>
      </c>
    </row>
    <row r="193" spans="1:18" s="89" customFormat="1" ht="72" hidden="1" customHeight="1">
      <c r="A193" s="136">
        <v>19570</v>
      </c>
      <c r="B193" s="172" t="s">
        <v>182</v>
      </c>
      <c r="C193" s="170"/>
      <c r="D193" s="170">
        <v>0</v>
      </c>
      <c r="E193" s="233"/>
      <c r="F193" s="233"/>
      <c r="G193" s="233"/>
      <c r="H193" s="232">
        <f t="shared" si="37"/>
        <v>0</v>
      </c>
      <c r="I193" s="233">
        <v>0</v>
      </c>
      <c r="J193" s="233"/>
      <c r="K193" s="233"/>
      <c r="L193" s="233"/>
      <c r="M193" s="232">
        <f t="shared" si="38"/>
        <v>0</v>
      </c>
      <c r="N193" s="233">
        <v>0</v>
      </c>
      <c r="O193" s="233"/>
      <c r="P193" s="233"/>
      <c r="Q193" s="233"/>
      <c r="R193" s="232">
        <f t="shared" si="39"/>
        <v>0</v>
      </c>
    </row>
    <row r="194" spans="1:18" s="6" customFormat="1" ht="36" hidden="1" customHeight="1">
      <c r="A194" s="209" t="s">
        <v>222</v>
      </c>
      <c r="B194" s="208" t="s">
        <v>216</v>
      </c>
      <c r="C194" s="106">
        <f>C195</f>
        <v>0</v>
      </c>
      <c r="D194" s="106">
        <v>0</v>
      </c>
      <c r="E194" s="232">
        <f>E195</f>
        <v>0</v>
      </c>
      <c r="F194" s="232">
        <f>F195</f>
        <v>0</v>
      </c>
      <c r="G194" s="232">
        <f>G195</f>
        <v>0</v>
      </c>
      <c r="H194" s="232">
        <f t="shared" si="37"/>
        <v>0</v>
      </c>
      <c r="I194" s="233">
        <v>0</v>
      </c>
      <c r="J194" s="232">
        <f>J195</f>
        <v>0</v>
      </c>
      <c r="K194" s="232">
        <f>K195</f>
        <v>0</v>
      </c>
      <c r="L194" s="232">
        <f>L195</f>
        <v>0</v>
      </c>
      <c r="M194" s="232">
        <f t="shared" si="38"/>
        <v>0</v>
      </c>
      <c r="N194" s="233">
        <v>0</v>
      </c>
      <c r="O194" s="232">
        <f>O195</f>
        <v>0</v>
      </c>
      <c r="P194" s="232">
        <f>P195</f>
        <v>0</v>
      </c>
      <c r="Q194" s="232">
        <f>Q195</f>
        <v>0</v>
      </c>
      <c r="R194" s="232">
        <f t="shared" si="39"/>
        <v>0</v>
      </c>
    </row>
    <row r="195" spans="1:18" s="6" customFormat="1" ht="36" hidden="1" customHeight="1">
      <c r="A195" s="209">
        <v>17100</v>
      </c>
      <c r="B195" s="208" t="s">
        <v>217</v>
      </c>
      <c r="C195" s="106">
        <f>SUM(C196:C199)</f>
        <v>0</v>
      </c>
      <c r="D195" s="106">
        <v>0</v>
      </c>
      <c r="E195" s="232">
        <f>SUM(E196:E199)</f>
        <v>0</v>
      </c>
      <c r="F195" s="232">
        <f>SUM(F196:F199)</f>
        <v>0</v>
      </c>
      <c r="G195" s="232">
        <f>SUM(G196:G199)</f>
        <v>0</v>
      </c>
      <c r="H195" s="232">
        <f t="shared" si="37"/>
        <v>0</v>
      </c>
      <c r="I195" s="233">
        <v>0</v>
      </c>
      <c r="J195" s="232">
        <f>SUM(J196:J199)</f>
        <v>0</v>
      </c>
      <c r="K195" s="232">
        <f>SUM(K196:K199)</f>
        <v>0</v>
      </c>
      <c r="L195" s="232">
        <f>SUM(L196:L199)</f>
        <v>0</v>
      </c>
      <c r="M195" s="232">
        <f t="shared" si="38"/>
        <v>0</v>
      </c>
      <c r="N195" s="233">
        <v>0</v>
      </c>
      <c r="O195" s="232">
        <f>SUM(O196:O199)</f>
        <v>0</v>
      </c>
      <c r="P195" s="232">
        <f>SUM(P196:P199)</f>
        <v>0</v>
      </c>
      <c r="Q195" s="232">
        <f>SUM(Q196:Q199)</f>
        <v>0</v>
      </c>
      <c r="R195" s="232">
        <f t="shared" si="39"/>
        <v>0</v>
      </c>
    </row>
    <row r="196" spans="1:18" s="6" customFormat="1" ht="60" hidden="1" customHeight="1">
      <c r="A196" s="149">
        <v>17110</v>
      </c>
      <c r="B196" s="208" t="s">
        <v>218</v>
      </c>
      <c r="C196" s="106"/>
      <c r="D196" s="106">
        <v>0</v>
      </c>
      <c r="E196" s="233"/>
      <c r="F196" s="233"/>
      <c r="G196" s="233"/>
      <c r="H196" s="232">
        <f t="shared" si="37"/>
        <v>0</v>
      </c>
      <c r="I196" s="233">
        <v>0</v>
      </c>
      <c r="J196" s="233"/>
      <c r="K196" s="233"/>
      <c r="L196" s="233"/>
      <c r="M196" s="232">
        <f t="shared" si="38"/>
        <v>0</v>
      </c>
      <c r="N196" s="233">
        <v>0</v>
      </c>
      <c r="O196" s="233"/>
      <c r="P196" s="233"/>
      <c r="Q196" s="233"/>
      <c r="R196" s="232">
        <f t="shared" si="39"/>
        <v>0</v>
      </c>
    </row>
    <row r="197" spans="1:18" s="6" customFormat="1" ht="60" hidden="1" customHeight="1">
      <c r="A197" s="149">
        <v>17120</v>
      </c>
      <c r="B197" s="208" t="s">
        <v>219</v>
      </c>
      <c r="C197" s="106"/>
      <c r="D197" s="106">
        <v>0</v>
      </c>
      <c r="E197" s="233"/>
      <c r="F197" s="233"/>
      <c r="G197" s="233"/>
      <c r="H197" s="232">
        <f t="shared" si="37"/>
        <v>0</v>
      </c>
      <c r="I197" s="233">
        <v>0</v>
      </c>
      <c r="J197" s="233"/>
      <c r="K197" s="233"/>
      <c r="L197" s="233"/>
      <c r="M197" s="232">
        <f t="shared" si="38"/>
        <v>0</v>
      </c>
      <c r="N197" s="233">
        <v>0</v>
      </c>
      <c r="O197" s="233"/>
      <c r="P197" s="233"/>
      <c r="Q197" s="233"/>
      <c r="R197" s="232">
        <f t="shared" si="39"/>
        <v>0</v>
      </c>
    </row>
    <row r="198" spans="1:18" s="6" customFormat="1" ht="108" hidden="1" customHeight="1">
      <c r="A198" s="149">
        <v>17130</v>
      </c>
      <c r="B198" s="208" t="s">
        <v>220</v>
      </c>
      <c r="C198" s="106"/>
      <c r="D198" s="106">
        <v>0</v>
      </c>
      <c r="E198" s="233"/>
      <c r="F198" s="233"/>
      <c r="G198" s="233"/>
      <c r="H198" s="232">
        <f t="shared" si="37"/>
        <v>0</v>
      </c>
      <c r="I198" s="233">
        <v>0</v>
      </c>
      <c r="J198" s="233"/>
      <c r="K198" s="233"/>
      <c r="L198" s="233"/>
      <c r="M198" s="232">
        <f t="shared" si="38"/>
        <v>0</v>
      </c>
      <c r="N198" s="233">
        <v>0</v>
      </c>
      <c r="O198" s="233"/>
      <c r="P198" s="233"/>
      <c r="Q198" s="233"/>
      <c r="R198" s="232">
        <f t="shared" si="39"/>
        <v>0</v>
      </c>
    </row>
    <row r="199" spans="1:18" s="6" customFormat="1" ht="108" hidden="1" customHeight="1">
      <c r="A199" s="149">
        <v>17140</v>
      </c>
      <c r="B199" s="208" t="s">
        <v>221</v>
      </c>
      <c r="C199" s="106"/>
      <c r="D199" s="106">
        <v>0</v>
      </c>
      <c r="E199" s="233"/>
      <c r="F199" s="233"/>
      <c r="G199" s="233"/>
      <c r="H199" s="232">
        <f t="shared" si="37"/>
        <v>0</v>
      </c>
      <c r="I199" s="233">
        <v>0</v>
      </c>
      <c r="J199" s="233"/>
      <c r="K199" s="233"/>
      <c r="L199" s="233"/>
      <c r="M199" s="232">
        <f t="shared" si="38"/>
        <v>0</v>
      </c>
      <c r="N199" s="233">
        <v>0</v>
      </c>
      <c r="O199" s="233"/>
      <c r="P199" s="233"/>
      <c r="Q199" s="233"/>
      <c r="R199" s="232">
        <f t="shared" si="39"/>
        <v>0</v>
      </c>
    </row>
    <row r="200" spans="1:18" s="89" customFormat="1" ht="12">
      <c r="A200" s="137">
        <v>21700</v>
      </c>
      <c r="B200" s="124" t="s">
        <v>97</v>
      </c>
      <c r="C200" s="170">
        <v>11257486</v>
      </c>
      <c r="D200" s="170">
        <v>3332348</v>
      </c>
      <c r="E200" s="233">
        <f>E201+E202</f>
        <v>0</v>
      </c>
      <c r="F200" s="233">
        <f>F201+F202</f>
        <v>0</v>
      </c>
      <c r="G200" s="233">
        <f>G201+G202</f>
        <v>0</v>
      </c>
      <c r="H200" s="232">
        <f t="shared" si="37"/>
        <v>3332348</v>
      </c>
      <c r="I200" s="233">
        <v>270636</v>
      </c>
      <c r="J200" s="233">
        <f>J201+J202</f>
        <v>0</v>
      </c>
      <c r="K200" s="233">
        <f>K201+K202</f>
        <v>0</v>
      </c>
      <c r="L200" s="233">
        <f>L201+L202</f>
        <v>0</v>
      </c>
      <c r="M200" s="232">
        <f t="shared" si="38"/>
        <v>270636</v>
      </c>
      <c r="N200" s="233">
        <v>51136</v>
      </c>
      <c r="O200" s="233">
        <f>O201+O202</f>
        <v>0</v>
      </c>
      <c r="P200" s="233">
        <f>P201+P202</f>
        <v>0</v>
      </c>
      <c r="Q200" s="233">
        <f>Q201+Q202</f>
        <v>0</v>
      </c>
      <c r="R200" s="232">
        <f t="shared" si="39"/>
        <v>51136</v>
      </c>
    </row>
    <row r="201" spans="1:18" s="89" customFormat="1" ht="24">
      <c r="A201" s="138">
        <v>21710</v>
      </c>
      <c r="B201" s="125" t="s">
        <v>98</v>
      </c>
      <c r="C201" s="170">
        <v>11257486</v>
      </c>
      <c r="D201" s="170">
        <v>3332348</v>
      </c>
      <c r="E201" s="233"/>
      <c r="F201" s="233"/>
      <c r="G201" s="233"/>
      <c r="H201" s="232">
        <f t="shared" si="37"/>
        <v>3332348</v>
      </c>
      <c r="I201" s="233">
        <v>270636</v>
      </c>
      <c r="J201" s="233"/>
      <c r="K201" s="233"/>
      <c r="L201" s="233"/>
      <c r="M201" s="232">
        <f t="shared" si="38"/>
        <v>270636</v>
      </c>
      <c r="N201" s="233">
        <v>51136</v>
      </c>
      <c r="O201" s="233"/>
      <c r="P201" s="233"/>
      <c r="Q201" s="233"/>
      <c r="R201" s="232">
        <f t="shared" si="39"/>
        <v>51136</v>
      </c>
    </row>
    <row r="202" spans="1:18" s="29" customFormat="1" ht="24" hidden="1" customHeight="1">
      <c r="A202" s="138">
        <v>21720</v>
      </c>
      <c r="B202" s="125" t="s">
        <v>99</v>
      </c>
      <c r="C202" s="170"/>
      <c r="D202" s="170">
        <v>0</v>
      </c>
      <c r="E202" s="233"/>
      <c r="F202" s="233"/>
      <c r="G202" s="233"/>
      <c r="H202" s="232">
        <f t="shared" si="37"/>
        <v>0</v>
      </c>
      <c r="I202" s="233">
        <v>0</v>
      </c>
      <c r="J202" s="233"/>
      <c r="K202" s="233"/>
      <c r="L202" s="233"/>
      <c r="M202" s="232">
        <f t="shared" si="38"/>
        <v>0</v>
      </c>
      <c r="N202" s="233">
        <v>0</v>
      </c>
      <c r="O202" s="233"/>
      <c r="P202" s="233"/>
      <c r="Q202" s="233"/>
      <c r="R202" s="232">
        <f t="shared" si="39"/>
        <v>0</v>
      </c>
    </row>
    <row r="203" spans="1:18" s="29" customFormat="1" ht="11.4">
      <c r="A203" s="129" t="s">
        <v>100</v>
      </c>
      <c r="B203" s="123" t="s">
        <v>101</v>
      </c>
      <c r="C203" s="168">
        <v>11369646</v>
      </c>
      <c r="D203" s="168">
        <v>3383484</v>
      </c>
      <c r="E203" s="243">
        <f>E204+E231</f>
        <v>0</v>
      </c>
      <c r="F203" s="243">
        <f>F204+F231</f>
        <v>0</v>
      </c>
      <c r="G203" s="243">
        <f>G204+G231</f>
        <v>0</v>
      </c>
      <c r="H203" s="270">
        <f t="shared" si="37"/>
        <v>3383484</v>
      </c>
      <c r="I203" s="243">
        <v>321772</v>
      </c>
      <c r="J203" s="243">
        <f>J204+J231</f>
        <v>0</v>
      </c>
      <c r="K203" s="243">
        <f>K204+K231</f>
        <v>0</v>
      </c>
      <c r="L203" s="243">
        <f>L204+L231</f>
        <v>0</v>
      </c>
      <c r="M203" s="270">
        <f t="shared" si="38"/>
        <v>321772</v>
      </c>
      <c r="N203" s="243">
        <v>102272</v>
      </c>
      <c r="O203" s="243">
        <f>O204+O231</f>
        <v>0</v>
      </c>
      <c r="P203" s="243">
        <f>P204+P231</f>
        <v>0</v>
      </c>
      <c r="Q203" s="243">
        <f>Q204+Q231</f>
        <v>0</v>
      </c>
      <c r="R203" s="270">
        <f t="shared" si="39"/>
        <v>102272</v>
      </c>
    </row>
    <row r="204" spans="1:18" s="29" customFormat="1" ht="20.399999999999999">
      <c r="A204" s="130" t="s">
        <v>102</v>
      </c>
      <c r="B204" s="124" t="s">
        <v>103</v>
      </c>
      <c r="C204" s="170">
        <v>3612582</v>
      </c>
      <c r="D204" s="170">
        <v>1877400</v>
      </c>
      <c r="E204" s="233">
        <f>E205+E209+E210+E213+E216</f>
        <v>0</v>
      </c>
      <c r="F204" s="233">
        <f>F205+F209+F210+F213+F216</f>
        <v>0</v>
      </c>
      <c r="G204" s="233">
        <f>G205+G209+G210+G213+G216</f>
        <v>0</v>
      </c>
      <c r="H204" s="232">
        <f t="shared" si="37"/>
        <v>1877400</v>
      </c>
      <c r="I204" s="233">
        <v>305772</v>
      </c>
      <c r="J204" s="233">
        <f>J205+J209+J210+J213+J216</f>
        <v>0</v>
      </c>
      <c r="K204" s="233">
        <f>K205+K209+K210+K213+K216</f>
        <v>0</v>
      </c>
      <c r="L204" s="233">
        <f>L205+L209+L210+L213+L216</f>
        <v>0</v>
      </c>
      <c r="M204" s="232">
        <f t="shared" si="38"/>
        <v>305772</v>
      </c>
      <c r="N204" s="233">
        <v>102272</v>
      </c>
      <c r="O204" s="233">
        <f>O205+O209+O210+O213+O216</f>
        <v>0</v>
      </c>
      <c r="P204" s="233">
        <f>P205+P209+P210+P213+P216</f>
        <v>0</v>
      </c>
      <c r="Q204" s="233">
        <f>Q205+Q209+Q210+Q213+Q216</f>
        <v>0</v>
      </c>
      <c r="R204" s="232">
        <f t="shared" si="39"/>
        <v>102272</v>
      </c>
    </row>
    <row r="205" spans="1:18" s="29" customFormat="1" ht="12">
      <c r="A205" s="130" t="s">
        <v>104</v>
      </c>
      <c r="B205" s="124" t="s">
        <v>105</v>
      </c>
      <c r="C205" s="170">
        <v>3612582</v>
      </c>
      <c r="D205" s="170">
        <v>1877400</v>
      </c>
      <c r="E205" s="233">
        <f>E206+E208</f>
        <v>0</v>
      </c>
      <c r="F205" s="233">
        <f>F206+F208</f>
        <v>0</v>
      </c>
      <c r="G205" s="233">
        <f>G206+G208</f>
        <v>0</v>
      </c>
      <c r="H205" s="232">
        <f t="shared" si="37"/>
        <v>1877400</v>
      </c>
      <c r="I205" s="233">
        <v>305772</v>
      </c>
      <c r="J205" s="233">
        <f>J206+J208</f>
        <v>0</v>
      </c>
      <c r="K205" s="233">
        <f>K206+K208</f>
        <v>0</v>
      </c>
      <c r="L205" s="233">
        <f>L206+L208</f>
        <v>0</v>
      </c>
      <c r="M205" s="232">
        <f t="shared" si="38"/>
        <v>305772</v>
      </c>
      <c r="N205" s="233">
        <v>102272</v>
      </c>
      <c r="O205" s="233">
        <f>O206+O208</f>
        <v>0</v>
      </c>
      <c r="P205" s="233">
        <f>P206+P208</f>
        <v>0</v>
      </c>
      <c r="Q205" s="233">
        <f>Q206+Q208</f>
        <v>0</v>
      </c>
      <c r="R205" s="232">
        <f t="shared" si="39"/>
        <v>102272</v>
      </c>
    </row>
    <row r="206" spans="1:18" s="29" customFormat="1" ht="12">
      <c r="A206" s="132">
        <v>1000</v>
      </c>
      <c r="B206" s="125" t="s">
        <v>106</v>
      </c>
      <c r="C206" s="170">
        <v>318791</v>
      </c>
      <c r="D206" s="170">
        <v>274082</v>
      </c>
      <c r="E206" s="233">
        <v>3015</v>
      </c>
      <c r="F206" s="244"/>
      <c r="G206" s="244"/>
      <c r="H206" s="232">
        <f t="shared" si="37"/>
        <v>277097</v>
      </c>
      <c r="I206" s="233">
        <v>184390</v>
      </c>
      <c r="J206" s="233">
        <v>3015</v>
      </c>
      <c r="K206" s="244"/>
      <c r="L206" s="244"/>
      <c r="M206" s="232">
        <f t="shared" si="38"/>
        <v>187405</v>
      </c>
      <c r="N206" s="233">
        <v>32390</v>
      </c>
      <c r="O206" s="233">
        <v>3015</v>
      </c>
      <c r="P206" s="244"/>
      <c r="Q206" s="244"/>
      <c r="R206" s="232">
        <f t="shared" si="39"/>
        <v>35405</v>
      </c>
    </row>
    <row r="207" spans="1:18" s="29" customFormat="1" ht="12">
      <c r="A207" s="139">
        <v>1100</v>
      </c>
      <c r="B207" s="125" t="s">
        <v>107</v>
      </c>
      <c r="C207" s="170">
        <v>256023</v>
      </c>
      <c r="D207" s="170">
        <v>219381</v>
      </c>
      <c r="E207" s="233">
        <v>2430</v>
      </c>
      <c r="F207" s="244"/>
      <c r="G207" s="244"/>
      <c r="H207" s="232">
        <f t="shared" si="37"/>
        <v>221811</v>
      </c>
      <c r="I207" s="233">
        <v>147101</v>
      </c>
      <c r="J207" s="233">
        <v>2430</v>
      </c>
      <c r="K207" s="244"/>
      <c r="L207" s="244"/>
      <c r="M207" s="232">
        <f t="shared" si="38"/>
        <v>149531</v>
      </c>
      <c r="N207" s="233">
        <v>26101</v>
      </c>
      <c r="O207" s="233">
        <v>2430</v>
      </c>
      <c r="P207" s="244"/>
      <c r="Q207" s="244"/>
      <c r="R207" s="232">
        <f t="shared" si="39"/>
        <v>28531</v>
      </c>
    </row>
    <row r="208" spans="1:18" s="29" customFormat="1" ht="12">
      <c r="A208" s="132">
        <v>2000</v>
      </c>
      <c r="B208" s="125" t="s">
        <v>108</v>
      </c>
      <c r="C208" s="170">
        <v>3293791</v>
      </c>
      <c r="D208" s="170">
        <v>1603318</v>
      </c>
      <c r="E208" s="233">
        <v>-3015</v>
      </c>
      <c r="F208" s="244"/>
      <c r="G208" s="244"/>
      <c r="H208" s="232">
        <f t="shared" si="37"/>
        <v>1600303</v>
      </c>
      <c r="I208" s="233">
        <v>121382</v>
      </c>
      <c r="J208" s="233">
        <v>-3015</v>
      </c>
      <c r="K208" s="244"/>
      <c r="L208" s="244"/>
      <c r="M208" s="232">
        <f t="shared" si="38"/>
        <v>118367</v>
      </c>
      <c r="N208" s="233">
        <v>69882</v>
      </c>
      <c r="O208" s="233">
        <v>-3015</v>
      </c>
      <c r="P208" s="244"/>
      <c r="Q208" s="244"/>
      <c r="R208" s="232">
        <f t="shared" si="39"/>
        <v>66867</v>
      </c>
    </row>
    <row r="209" spans="1:18" s="29" customFormat="1" ht="12" hidden="1" customHeight="1">
      <c r="A209" s="140">
        <v>4000</v>
      </c>
      <c r="B209" s="124" t="s">
        <v>132</v>
      </c>
      <c r="C209" s="170"/>
      <c r="D209" s="170">
        <v>0</v>
      </c>
      <c r="E209" s="244"/>
      <c r="F209" s="244"/>
      <c r="G209" s="244"/>
      <c r="H209" s="232">
        <f t="shared" si="37"/>
        <v>0</v>
      </c>
      <c r="I209" s="233">
        <v>0</v>
      </c>
      <c r="J209" s="244"/>
      <c r="K209" s="244"/>
      <c r="L209" s="244"/>
      <c r="M209" s="232">
        <f t="shared" si="38"/>
        <v>0</v>
      </c>
      <c r="N209" s="233">
        <v>0</v>
      </c>
      <c r="O209" s="244"/>
      <c r="P209" s="244"/>
      <c r="Q209" s="244"/>
      <c r="R209" s="232">
        <f t="shared" si="39"/>
        <v>0</v>
      </c>
    </row>
    <row r="210" spans="1:18" s="29" customFormat="1" ht="12" hidden="1" customHeight="1">
      <c r="A210" s="140" t="s">
        <v>109</v>
      </c>
      <c r="B210" s="124" t="s">
        <v>110</v>
      </c>
      <c r="C210" s="170">
        <v>0</v>
      </c>
      <c r="D210" s="170">
        <v>0</v>
      </c>
      <c r="E210" s="233">
        <f>E211+E212</f>
        <v>0</v>
      </c>
      <c r="F210" s="233">
        <f>F211+F212</f>
        <v>0</v>
      </c>
      <c r="G210" s="233">
        <f>G211+G212</f>
        <v>0</v>
      </c>
      <c r="H210" s="232">
        <f t="shared" ref="H210:H241" si="43">SUM(D210:G210)</f>
        <v>0</v>
      </c>
      <c r="I210" s="233">
        <v>0</v>
      </c>
      <c r="J210" s="233">
        <f>J211+J212</f>
        <v>0</v>
      </c>
      <c r="K210" s="233">
        <f>K211+K212</f>
        <v>0</v>
      </c>
      <c r="L210" s="233">
        <f>L211+L212</f>
        <v>0</v>
      </c>
      <c r="M210" s="232">
        <f t="shared" ref="M210:M260" si="44">SUM(I210:L210)</f>
        <v>0</v>
      </c>
      <c r="N210" s="233">
        <v>0</v>
      </c>
      <c r="O210" s="233">
        <f>O211+O212</f>
        <v>0</v>
      </c>
      <c r="P210" s="233">
        <f>P211+P212</f>
        <v>0</v>
      </c>
      <c r="Q210" s="233">
        <f>Q211+Q212</f>
        <v>0</v>
      </c>
      <c r="R210" s="232">
        <f t="shared" ref="R210:R260" si="45">SUM(N210:Q210)</f>
        <v>0</v>
      </c>
    </row>
    <row r="211" spans="1:18" s="29" customFormat="1" ht="12" hidden="1" customHeight="1">
      <c r="A211" s="132">
        <v>3000</v>
      </c>
      <c r="B211" s="125" t="s">
        <v>111</v>
      </c>
      <c r="C211" s="202">
        <v>0</v>
      </c>
      <c r="D211" s="202">
        <v>0</v>
      </c>
      <c r="E211" s="246"/>
      <c r="F211" s="246"/>
      <c r="G211" s="246"/>
      <c r="H211" s="232">
        <f t="shared" si="43"/>
        <v>0</v>
      </c>
      <c r="I211" s="345">
        <v>0</v>
      </c>
      <c r="J211" s="246"/>
      <c r="K211" s="246"/>
      <c r="L211" s="246"/>
      <c r="M211" s="232">
        <f t="shared" si="44"/>
        <v>0</v>
      </c>
      <c r="N211" s="345">
        <v>0</v>
      </c>
      <c r="O211" s="246"/>
      <c r="P211" s="246"/>
      <c r="Q211" s="246"/>
      <c r="R211" s="232">
        <f t="shared" si="45"/>
        <v>0</v>
      </c>
    </row>
    <row r="212" spans="1:18" s="29" customFormat="1" ht="12" hidden="1" customHeight="1">
      <c r="A212" s="132">
        <v>6000</v>
      </c>
      <c r="B212" s="125" t="s">
        <v>112</v>
      </c>
      <c r="C212" s="203">
        <v>0</v>
      </c>
      <c r="D212" s="203">
        <v>0</v>
      </c>
      <c r="E212" s="248"/>
      <c r="F212" s="248"/>
      <c r="G212" s="248"/>
      <c r="H212" s="232">
        <f t="shared" si="43"/>
        <v>0</v>
      </c>
      <c r="I212" s="346">
        <v>0</v>
      </c>
      <c r="J212" s="248"/>
      <c r="K212" s="248"/>
      <c r="L212" s="248"/>
      <c r="M212" s="232">
        <f t="shared" si="44"/>
        <v>0</v>
      </c>
      <c r="N212" s="346">
        <v>0</v>
      </c>
      <c r="O212" s="248"/>
      <c r="P212" s="248"/>
      <c r="Q212" s="248"/>
      <c r="R212" s="232">
        <f t="shared" si="45"/>
        <v>0</v>
      </c>
    </row>
    <row r="213" spans="1:18" s="29" customFormat="1" ht="24" hidden="1" customHeight="1">
      <c r="A213" s="140" t="s">
        <v>113</v>
      </c>
      <c r="B213" s="124" t="s">
        <v>183</v>
      </c>
      <c r="C213" s="170">
        <v>0</v>
      </c>
      <c r="D213" s="170">
        <v>0</v>
      </c>
      <c r="E213" s="233">
        <f>E214+E215</f>
        <v>0</v>
      </c>
      <c r="F213" s="233">
        <f>F214+F215</f>
        <v>0</v>
      </c>
      <c r="G213" s="233">
        <f>G214+G215</f>
        <v>0</v>
      </c>
      <c r="H213" s="232">
        <f t="shared" si="43"/>
        <v>0</v>
      </c>
      <c r="I213" s="233">
        <v>0</v>
      </c>
      <c r="J213" s="233">
        <f>J214+J215</f>
        <v>0</v>
      </c>
      <c r="K213" s="233">
        <f>K214+K215</f>
        <v>0</v>
      </c>
      <c r="L213" s="233">
        <f>L214+L215</f>
        <v>0</v>
      </c>
      <c r="M213" s="232">
        <f t="shared" si="44"/>
        <v>0</v>
      </c>
      <c r="N213" s="233">
        <v>0</v>
      </c>
      <c r="O213" s="233">
        <f>O214+O215</f>
        <v>0</v>
      </c>
      <c r="P213" s="233">
        <f>P214+P215</f>
        <v>0</v>
      </c>
      <c r="Q213" s="233">
        <f>Q214+Q215</f>
        <v>0</v>
      </c>
      <c r="R213" s="232">
        <f t="shared" si="45"/>
        <v>0</v>
      </c>
    </row>
    <row r="214" spans="1:18" s="29" customFormat="1" ht="12" hidden="1" customHeight="1">
      <c r="A214" s="132">
        <v>7600</v>
      </c>
      <c r="B214" s="179" t="s">
        <v>184</v>
      </c>
      <c r="C214" s="170">
        <v>0</v>
      </c>
      <c r="D214" s="170">
        <v>0</v>
      </c>
      <c r="E214" s="244"/>
      <c r="F214" s="244"/>
      <c r="G214" s="244"/>
      <c r="H214" s="232">
        <f t="shared" si="43"/>
        <v>0</v>
      </c>
      <c r="I214" s="233">
        <v>0</v>
      </c>
      <c r="J214" s="244"/>
      <c r="K214" s="244"/>
      <c r="L214" s="244"/>
      <c r="M214" s="232">
        <f t="shared" si="44"/>
        <v>0</v>
      </c>
      <c r="N214" s="233">
        <v>0</v>
      </c>
      <c r="O214" s="244"/>
      <c r="P214" s="244"/>
      <c r="Q214" s="244"/>
      <c r="R214" s="232">
        <f t="shared" si="45"/>
        <v>0</v>
      </c>
    </row>
    <row r="215" spans="1:18" s="29" customFormat="1" ht="12" hidden="1" customHeight="1">
      <c r="A215" s="132">
        <v>7700</v>
      </c>
      <c r="B215" s="126" t="s">
        <v>114</v>
      </c>
      <c r="C215" s="170">
        <v>0</v>
      </c>
      <c r="D215" s="170">
        <v>0</v>
      </c>
      <c r="E215" s="244"/>
      <c r="F215" s="244"/>
      <c r="G215" s="244"/>
      <c r="H215" s="232">
        <f t="shared" si="43"/>
        <v>0</v>
      </c>
      <c r="I215" s="233">
        <v>0</v>
      </c>
      <c r="J215" s="244"/>
      <c r="K215" s="244"/>
      <c r="L215" s="244"/>
      <c r="M215" s="232">
        <f t="shared" si="44"/>
        <v>0</v>
      </c>
      <c r="N215" s="233">
        <v>0</v>
      </c>
      <c r="O215" s="244"/>
      <c r="P215" s="244"/>
      <c r="Q215" s="244"/>
      <c r="R215" s="232">
        <f t="shared" si="45"/>
        <v>0</v>
      </c>
    </row>
    <row r="216" spans="1:18" s="29" customFormat="1" ht="12" hidden="1" customHeight="1">
      <c r="A216" s="140" t="s">
        <v>185</v>
      </c>
      <c r="B216" s="124" t="s">
        <v>115</v>
      </c>
      <c r="C216" s="170">
        <v>0</v>
      </c>
      <c r="D216" s="170">
        <v>0</v>
      </c>
      <c r="E216" s="233">
        <f>E217+E223+E227+E230</f>
        <v>0</v>
      </c>
      <c r="F216" s="233">
        <f>F217+F223+F227+F230</f>
        <v>0</v>
      </c>
      <c r="G216" s="233">
        <f>G217+G223+G227+G230</f>
        <v>0</v>
      </c>
      <c r="H216" s="232">
        <f t="shared" si="43"/>
        <v>0</v>
      </c>
      <c r="I216" s="233">
        <v>0</v>
      </c>
      <c r="J216" s="233">
        <f>J217+J223+J227+J230</f>
        <v>0</v>
      </c>
      <c r="K216" s="233">
        <f>K217+K223+K227+K230</f>
        <v>0</v>
      </c>
      <c r="L216" s="233">
        <f>L217+L223+L227+L230</f>
        <v>0</v>
      </c>
      <c r="M216" s="232">
        <f t="shared" si="44"/>
        <v>0</v>
      </c>
      <c r="N216" s="233">
        <v>0</v>
      </c>
      <c r="O216" s="233">
        <f>O217+O223+O227+O230</f>
        <v>0</v>
      </c>
      <c r="P216" s="233">
        <f>P217+P223+P227+P230</f>
        <v>0</v>
      </c>
      <c r="Q216" s="233">
        <f>Q217+Q223+Q227+Q230</f>
        <v>0</v>
      </c>
      <c r="R216" s="232">
        <f t="shared" si="45"/>
        <v>0</v>
      </c>
    </row>
    <row r="217" spans="1:18" s="29" customFormat="1" ht="12" hidden="1" customHeight="1">
      <c r="A217" s="132">
        <v>7100</v>
      </c>
      <c r="B217" s="179" t="s">
        <v>116</v>
      </c>
      <c r="C217" s="170">
        <v>0</v>
      </c>
      <c r="D217" s="170">
        <v>0</v>
      </c>
      <c r="E217" s="233">
        <f>E218+E219</f>
        <v>0</v>
      </c>
      <c r="F217" s="233">
        <f>F218+F219</f>
        <v>0</v>
      </c>
      <c r="G217" s="233">
        <f>G218+G219</f>
        <v>0</v>
      </c>
      <c r="H217" s="232">
        <f t="shared" si="43"/>
        <v>0</v>
      </c>
      <c r="I217" s="233">
        <v>0</v>
      </c>
      <c r="J217" s="233">
        <f>J218+J219</f>
        <v>0</v>
      </c>
      <c r="K217" s="233">
        <f>K218+K219</f>
        <v>0</v>
      </c>
      <c r="L217" s="233">
        <f>L218+L219</f>
        <v>0</v>
      </c>
      <c r="M217" s="232">
        <f t="shared" si="44"/>
        <v>0</v>
      </c>
      <c r="N217" s="233">
        <v>0</v>
      </c>
      <c r="O217" s="233">
        <f>O218+O219</f>
        <v>0</v>
      </c>
      <c r="P217" s="233">
        <f>P218+P219</f>
        <v>0</v>
      </c>
      <c r="Q217" s="233">
        <f>Q218+Q219</f>
        <v>0</v>
      </c>
      <c r="R217" s="232">
        <f t="shared" si="45"/>
        <v>0</v>
      </c>
    </row>
    <row r="218" spans="1:18" s="29" customFormat="1" ht="24" hidden="1" customHeight="1">
      <c r="A218" s="133" t="s">
        <v>117</v>
      </c>
      <c r="B218" s="179" t="s">
        <v>118</v>
      </c>
      <c r="C218" s="170"/>
      <c r="D218" s="170">
        <v>0</v>
      </c>
      <c r="E218" s="233"/>
      <c r="F218" s="233"/>
      <c r="G218" s="233"/>
      <c r="H218" s="232">
        <f t="shared" si="43"/>
        <v>0</v>
      </c>
      <c r="I218" s="233">
        <v>0</v>
      </c>
      <c r="J218" s="233"/>
      <c r="K218" s="233"/>
      <c r="L218" s="233"/>
      <c r="M218" s="232">
        <f t="shared" si="44"/>
        <v>0</v>
      </c>
      <c r="N218" s="233">
        <v>0</v>
      </c>
      <c r="O218" s="233"/>
      <c r="P218" s="233"/>
      <c r="Q218" s="233"/>
      <c r="R218" s="232">
        <f t="shared" si="45"/>
        <v>0</v>
      </c>
    </row>
    <row r="219" spans="1:18" s="29" customFormat="1" ht="24" hidden="1" customHeight="1">
      <c r="A219" s="133">
        <v>7130</v>
      </c>
      <c r="B219" s="179" t="s">
        <v>119</v>
      </c>
      <c r="C219" s="170">
        <v>0</v>
      </c>
      <c r="D219" s="170">
        <v>0</v>
      </c>
      <c r="E219" s="233">
        <f>SUM(E220:E222)</f>
        <v>0</v>
      </c>
      <c r="F219" s="233">
        <f>SUM(F220:F222)</f>
        <v>0</v>
      </c>
      <c r="G219" s="233">
        <f>SUM(G220:G222)</f>
        <v>0</v>
      </c>
      <c r="H219" s="232">
        <f t="shared" si="43"/>
        <v>0</v>
      </c>
      <c r="I219" s="233">
        <v>0</v>
      </c>
      <c r="J219" s="233">
        <f>SUM(J220:J222)</f>
        <v>0</v>
      </c>
      <c r="K219" s="233">
        <f>SUM(K220:K222)</f>
        <v>0</v>
      </c>
      <c r="L219" s="233">
        <f>SUM(L220:L222)</f>
        <v>0</v>
      </c>
      <c r="M219" s="232">
        <f t="shared" si="44"/>
        <v>0</v>
      </c>
      <c r="N219" s="233">
        <v>0</v>
      </c>
      <c r="O219" s="233">
        <f>SUM(O220:O222)</f>
        <v>0</v>
      </c>
      <c r="P219" s="233">
        <f>SUM(P220:P222)</f>
        <v>0</v>
      </c>
      <c r="Q219" s="233">
        <f>SUM(Q220:Q222)</f>
        <v>0</v>
      </c>
      <c r="R219" s="232">
        <f t="shared" si="45"/>
        <v>0</v>
      </c>
    </row>
    <row r="220" spans="1:18" s="29" customFormat="1" ht="36" hidden="1" customHeight="1">
      <c r="A220" s="134">
        <v>7131</v>
      </c>
      <c r="B220" s="179" t="s">
        <v>120</v>
      </c>
      <c r="C220" s="170"/>
      <c r="D220" s="170">
        <v>0</v>
      </c>
      <c r="E220" s="233"/>
      <c r="F220" s="233"/>
      <c r="G220" s="233"/>
      <c r="H220" s="232">
        <f t="shared" si="43"/>
        <v>0</v>
      </c>
      <c r="I220" s="233">
        <v>0</v>
      </c>
      <c r="J220" s="233"/>
      <c r="K220" s="233"/>
      <c r="L220" s="233"/>
      <c r="M220" s="232">
        <f t="shared" si="44"/>
        <v>0</v>
      </c>
      <c r="N220" s="233">
        <v>0</v>
      </c>
      <c r="O220" s="233"/>
      <c r="P220" s="233"/>
      <c r="Q220" s="233"/>
      <c r="R220" s="232">
        <f t="shared" si="45"/>
        <v>0</v>
      </c>
    </row>
    <row r="221" spans="1:18" s="29" customFormat="1" ht="36" hidden="1" customHeight="1">
      <c r="A221" s="134">
        <v>7132</v>
      </c>
      <c r="B221" s="179" t="s">
        <v>121</v>
      </c>
      <c r="C221" s="170"/>
      <c r="D221" s="170">
        <v>0</v>
      </c>
      <c r="E221" s="233"/>
      <c r="F221" s="233"/>
      <c r="G221" s="233"/>
      <c r="H221" s="232">
        <f t="shared" si="43"/>
        <v>0</v>
      </c>
      <c r="I221" s="233">
        <v>0</v>
      </c>
      <c r="J221" s="233"/>
      <c r="K221" s="233"/>
      <c r="L221" s="233"/>
      <c r="M221" s="232">
        <f t="shared" si="44"/>
        <v>0</v>
      </c>
      <c r="N221" s="233">
        <v>0</v>
      </c>
      <c r="O221" s="233"/>
      <c r="P221" s="233"/>
      <c r="Q221" s="233"/>
      <c r="R221" s="232">
        <f t="shared" si="45"/>
        <v>0</v>
      </c>
    </row>
    <row r="222" spans="1:18" s="29" customFormat="1" ht="36" hidden="1" customHeight="1">
      <c r="A222" s="134" t="s">
        <v>186</v>
      </c>
      <c r="B222" s="179" t="s">
        <v>187</v>
      </c>
      <c r="C222" s="170"/>
      <c r="D222" s="170">
        <v>0</v>
      </c>
      <c r="E222" s="233"/>
      <c r="F222" s="233"/>
      <c r="G222" s="233"/>
      <c r="H222" s="232">
        <f t="shared" si="43"/>
        <v>0</v>
      </c>
      <c r="I222" s="233">
        <v>0</v>
      </c>
      <c r="J222" s="233"/>
      <c r="K222" s="233"/>
      <c r="L222" s="233"/>
      <c r="M222" s="232">
        <f t="shared" si="44"/>
        <v>0</v>
      </c>
      <c r="N222" s="233">
        <v>0</v>
      </c>
      <c r="O222" s="233"/>
      <c r="P222" s="233"/>
      <c r="Q222" s="233"/>
      <c r="R222" s="232">
        <f t="shared" si="45"/>
        <v>0</v>
      </c>
    </row>
    <row r="223" spans="1:18" s="29" customFormat="1" ht="24" hidden="1" customHeight="1">
      <c r="A223" s="132">
        <v>7300</v>
      </c>
      <c r="B223" s="172" t="s">
        <v>155</v>
      </c>
      <c r="C223" s="170">
        <v>0</v>
      </c>
      <c r="D223" s="170">
        <v>0</v>
      </c>
      <c r="E223" s="233">
        <f>SUM(E224:E226)</f>
        <v>0</v>
      </c>
      <c r="F223" s="233">
        <f>SUM(F224:F226)</f>
        <v>0</v>
      </c>
      <c r="G223" s="233">
        <f>SUM(G224:G226)</f>
        <v>0</v>
      </c>
      <c r="H223" s="232">
        <f t="shared" si="43"/>
        <v>0</v>
      </c>
      <c r="I223" s="233">
        <v>0</v>
      </c>
      <c r="J223" s="233">
        <f>SUM(J224:J226)</f>
        <v>0</v>
      </c>
      <c r="K223" s="233">
        <f>SUM(K224:K226)</f>
        <v>0</v>
      </c>
      <c r="L223" s="233">
        <f>SUM(L224:L226)</f>
        <v>0</v>
      </c>
      <c r="M223" s="232">
        <f t="shared" si="44"/>
        <v>0</v>
      </c>
      <c r="N223" s="233">
        <v>0</v>
      </c>
      <c r="O223" s="233">
        <f>SUM(O224:O226)</f>
        <v>0</v>
      </c>
      <c r="P223" s="233">
        <f>SUM(P224:P226)</f>
        <v>0</v>
      </c>
      <c r="Q223" s="233">
        <f>SUM(Q224:Q226)</f>
        <v>0</v>
      </c>
      <c r="R223" s="232">
        <f t="shared" si="45"/>
        <v>0</v>
      </c>
    </row>
    <row r="224" spans="1:18" s="29" customFormat="1" ht="24" hidden="1" customHeight="1">
      <c r="A224" s="133" t="s">
        <v>188</v>
      </c>
      <c r="B224" s="179" t="s">
        <v>170</v>
      </c>
      <c r="C224" s="204">
        <v>0</v>
      </c>
      <c r="D224" s="204">
        <v>0</v>
      </c>
      <c r="E224" s="252"/>
      <c r="F224" s="252"/>
      <c r="G224" s="252"/>
      <c r="H224" s="232">
        <f t="shared" si="43"/>
        <v>0</v>
      </c>
      <c r="I224" s="252">
        <v>0</v>
      </c>
      <c r="J224" s="252"/>
      <c r="K224" s="252"/>
      <c r="L224" s="252"/>
      <c r="M224" s="232">
        <f t="shared" si="44"/>
        <v>0</v>
      </c>
      <c r="N224" s="252">
        <v>0</v>
      </c>
      <c r="O224" s="252"/>
      <c r="P224" s="252"/>
      <c r="Q224" s="252"/>
      <c r="R224" s="232">
        <f t="shared" si="45"/>
        <v>0</v>
      </c>
    </row>
    <row r="225" spans="1:18" s="29" customFormat="1" ht="48" hidden="1" customHeight="1">
      <c r="A225" s="133" t="s">
        <v>189</v>
      </c>
      <c r="B225" s="179" t="s">
        <v>156</v>
      </c>
      <c r="C225" s="204">
        <v>0</v>
      </c>
      <c r="D225" s="204">
        <v>0</v>
      </c>
      <c r="E225" s="252"/>
      <c r="F225" s="252"/>
      <c r="G225" s="252"/>
      <c r="H225" s="232">
        <f t="shared" si="43"/>
        <v>0</v>
      </c>
      <c r="I225" s="252">
        <v>0</v>
      </c>
      <c r="J225" s="252"/>
      <c r="K225" s="252"/>
      <c r="L225" s="252"/>
      <c r="M225" s="232">
        <f t="shared" si="44"/>
        <v>0</v>
      </c>
      <c r="N225" s="252">
        <v>0</v>
      </c>
      <c r="O225" s="252"/>
      <c r="P225" s="252"/>
      <c r="Q225" s="252"/>
      <c r="R225" s="232">
        <f t="shared" si="45"/>
        <v>0</v>
      </c>
    </row>
    <row r="226" spans="1:18" s="29" customFormat="1" ht="36" hidden="1" customHeight="1">
      <c r="A226" s="133">
        <v>7350</v>
      </c>
      <c r="B226" s="179" t="s">
        <v>163</v>
      </c>
      <c r="C226" s="204">
        <v>0</v>
      </c>
      <c r="D226" s="204">
        <v>0</v>
      </c>
      <c r="E226" s="252"/>
      <c r="F226" s="252"/>
      <c r="G226" s="252"/>
      <c r="H226" s="232">
        <f t="shared" si="43"/>
        <v>0</v>
      </c>
      <c r="I226" s="252">
        <v>0</v>
      </c>
      <c r="J226" s="252"/>
      <c r="K226" s="252"/>
      <c r="L226" s="252"/>
      <c r="M226" s="232">
        <f t="shared" si="44"/>
        <v>0</v>
      </c>
      <c r="N226" s="252">
        <v>0</v>
      </c>
      <c r="O226" s="252"/>
      <c r="P226" s="252"/>
      <c r="Q226" s="252"/>
      <c r="R226" s="232">
        <f t="shared" si="45"/>
        <v>0</v>
      </c>
    </row>
    <row r="227" spans="1:18" s="29" customFormat="1" ht="24" hidden="1" customHeight="1">
      <c r="A227" s="132">
        <v>7400</v>
      </c>
      <c r="B227" s="172" t="s">
        <v>161</v>
      </c>
      <c r="C227" s="170">
        <v>0</v>
      </c>
      <c r="D227" s="170">
        <v>0</v>
      </c>
      <c r="E227" s="233">
        <f>SUM(E228:E229)</f>
        <v>0</v>
      </c>
      <c r="F227" s="233">
        <f>SUM(F228:F229)</f>
        <v>0</v>
      </c>
      <c r="G227" s="233">
        <f>SUM(G228:G229)</f>
        <v>0</v>
      </c>
      <c r="H227" s="232">
        <f t="shared" si="43"/>
        <v>0</v>
      </c>
      <c r="I227" s="233">
        <v>0</v>
      </c>
      <c r="J227" s="233">
        <f>SUM(J228:J229)</f>
        <v>0</v>
      </c>
      <c r="K227" s="233">
        <f>SUM(K228:K229)</f>
        <v>0</v>
      </c>
      <c r="L227" s="233">
        <f>SUM(L228:L229)</f>
        <v>0</v>
      </c>
      <c r="M227" s="232">
        <f t="shared" si="44"/>
        <v>0</v>
      </c>
      <c r="N227" s="233">
        <v>0</v>
      </c>
      <c r="O227" s="233">
        <f>SUM(O228:O229)</f>
        <v>0</v>
      </c>
      <c r="P227" s="233">
        <f>SUM(P228:P229)</f>
        <v>0</v>
      </c>
      <c r="Q227" s="233">
        <f>SUM(Q228:Q229)</f>
        <v>0</v>
      </c>
      <c r="R227" s="232">
        <f t="shared" si="45"/>
        <v>0</v>
      </c>
    </row>
    <row r="228" spans="1:18" s="29" customFormat="1" ht="24" hidden="1" customHeight="1">
      <c r="A228" s="133">
        <v>7460</v>
      </c>
      <c r="B228" s="172" t="s">
        <v>162</v>
      </c>
      <c r="C228" s="204"/>
      <c r="D228" s="204">
        <v>0</v>
      </c>
      <c r="E228" s="252"/>
      <c r="F228" s="252"/>
      <c r="G228" s="252"/>
      <c r="H228" s="232">
        <f t="shared" si="43"/>
        <v>0</v>
      </c>
      <c r="I228" s="252">
        <v>0</v>
      </c>
      <c r="J228" s="252"/>
      <c r="K228" s="252"/>
      <c r="L228" s="252"/>
      <c r="M228" s="232">
        <f t="shared" si="44"/>
        <v>0</v>
      </c>
      <c r="N228" s="252">
        <v>0</v>
      </c>
      <c r="O228" s="252"/>
      <c r="P228" s="252"/>
      <c r="Q228" s="252"/>
      <c r="R228" s="232">
        <f t="shared" si="45"/>
        <v>0</v>
      </c>
    </row>
    <row r="229" spans="1:18" s="29" customFormat="1" ht="48" hidden="1" customHeight="1">
      <c r="A229" s="133">
        <v>7470</v>
      </c>
      <c r="B229" s="179" t="s">
        <v>167</v>
      </c>
      <c r="C229" s="204"/>
      <c r="D229" s="204">
        <v>0</v>
      </c>
      <c r="E229" s="252"/>
      <c r="F229" s="252"/>
      <c r="G229" s="252"/>
      <c r="H229" s="232">
        <f t="shared" si="43"/>
        <v>0</v>
      </c>
      <c r="I229" s="252">
        <v>0</v>
      </c>
      <c r="J229" s="252"/>
      <c r="K229" s="252"/>
      <c r="L229" s="252"/>
      <c r="M229" s="232">
        <f t="shared" si="44"/>
        <v>0</v>
      </c>
      <c r="N229" s="252">
        <v>0</v>
      </c>
      <c r="O229" s="252"/>
      <c r="P229" s="252"/>
      <c r="Q229" s="252"/>
      <c r="R229" s="232">
        <f t="shared" si="45"/>
        <v>0</v>
      </c>
    </row>
    <row r="230" spans="1:18" s="29" customFormat="1" ht="24" hidden="1" customHeight="1">
      <c r="A230" s="132">
        <v>7500</v>
      </c>
      <c r="B230" s="179" t="s">
        <v>157</v>
      </c>
      <c r="C230" s="170"/>
      <c r="D230" s="170">
        <v>0</v>
      </c>
      <c r="E230" s="233"/>
      <c r="F230" s="233"/>
      <c r="G230" s="233"/>
      <c r="H230" s="232">
        <f t="shared" si="43"/>
        <v>0</v>
      </c>
      <c r="I230" s="233">
        <v>0</v>
      </c>
      <c r="J230" s="233"/>
      <c r="K230" s="233"/>
      <c r="L230" s="233"/>
      <c r="M230" s="232">
        <f t="shared" si="44"/>
        <v>0</v>
      </c>
      <c r="N230" s="233">
        <v>0</v>
      </c>
      <c r="O230" s="233"/>
      <c r="P230" s="233"/>
      <c r="Q230" s="233"/>
      <c r="R230" s="232">
        <f t="shared" si="45"/>
        <v>0</v>
      </c>
    </row>
    <row r="231" spans="1:18" s="29" customFormat="1" ht="12">
      <c r="A231" s="140" t="s">
        <v>133</v>
      </c>
      <c r="B231" s="124" t="s">
        <v>122</v>
      </c>
      <c r="C231" s="106">
        <v>7757064</v>
      </c>
      <c r="D231" s="106">
        <v>1506084</v>
      </c>
      <c r="E231" s="233">
        <f>E232+E233</f>
        <v>0</v>
      </c>
      <c r="F231" s="233">
        <f>F232+F233</f>
        <v>0</v>
      </c>
      <c r="G231" s="233">
        <f>G232+G233</f>
        <v>0</v>
      </c>
      <c r="H231" s="232">
        <f t="shared" si="43"/>
        <v>1506084</v>
      </c>
      <c r="I231" s="233">
        <v>16000</v>
      </c>
      <c r="J231" s="233">
        <f>J232+J233</f>
        <v>0</v>
      </c>
      <c r="K231" s="233">
        <f>K232+K233</f>
        <v>0</v>
      </c>
      <c r="L231" s="233">
        <f>L232+L233</f>
        <v>0</v>
      </c>
      <c r="M231" s="232">
        <f t="shared" si="44"/>
        <v>16000</v>
      </c>
      <c r="N231" s="233">
        <v>0</v>
      </c>
      <c r="O231" s="233">
        <f>O232+O233</f>
        <v>0</v>
      </c>
      <c r="P231" s="233">
        <f>P232+P233</f>
        <v>0</v>
      </c>
      <c r="Q231" s="233">
        <f>Q232+Q233</f>
        <v>0</v>
      </c>
      <c r="R231" s="232">
        <f t="shared" si="45"/>
        <v>0</v>
      </c>
    </row>
    <row r="232" spans="1:18" s="29" customFormat="1" ht="12">
      <c r="A232" s="140">
        <v>5000</v>
      </c>
      <c r="B232" s="124" t="s">
        <v>123</v>
      </c>
      <c r="C232" s="170">
        <v>7757064</v>
      </c>
      <c r="D232" s="170">
        <v>1506084</v>
      </c>
      <c r="E232" s="244"/>
      <c r="F232" s="244"/>
      <c r="G232" s="244"/>
      <c r="H232" s="232">
        <f t="shared" si="43"/>
        <v>1506084</v>
      </c>
      <c r="I232" s="233">
        <v>16000</v>
      </c>
      <c r="J232" s="244"/>
      <c r="K232" s="244"/>
      <c r="L232" s="244"/>
      <c r="M232" s="232">
        <f t="shared" si="44"/>
        <v>16000</v>
      </c>
      <c r="N232" s="233">
        <v>0</v>
      </c>
      <c r="O232" s="244"/>
      <c r="P232" s="244"/>
      <c r="Q232" s="244"/>
      <c r="R232" s="232">
        <f t="shared" si="45"/>
        <v>0</v>
      </c>
    </row>
    <row r="233" spans="1:18" s="29" customFormat="1" ht="12" hidden="1" customHeight="1">
      <c r="A233" s="140">
        <v>9000</v>
      </c>
      <c r="B233" s="182" t="s">
        <v>164</v>
      </c>
      <c r="C233" s="170">
        <v>0</v>
      </c>
      <c r="D233" s="170">
        <v>0</v>
      </c>
      <c r="E233" s="233">
        <f>E234+E240+E244+E247</f>
        <v>0</v>
      </c>
      <c r="F233" s="233">
        <f>F234+F240+F244+F247</f>
        <v>0</v>
      </c>
      <c r="G233" s="233">
        <f>G234+G240+G244+G247</f>
        <v>0</v>
      </c>
      <c r="H233" s="232">
        <f t="shared" si="43"/>
        <v>0</v>
      </c>
      <c r="I233" s="233">
        <v>0</v>
      </c>
      <c r="J233" s="233">
        <f>J234+J240+J244+J247</f>
        <v>0</v>
      </c>
      <c r="K233" s="233">
        <f>K234+K240+K244+K247</f>
        <v>0</v>
      </c>
      <c r="L233" s="233">
        <f>L234+L240+L244+L247</f>
        <v>0</v>
      </c>
      <c r="M233" s="232">
        <f t="shared" si="44"/>
        <v>0</v>
      </c>
      <c r="N233" s="233">
        <v>0</v>
      </c>
      <c r="O233" s="233">
        <f>O234+O240+O244+O247</f>
        <v>0</v>
      </c>
      <c r="P233" s="233">
        <f>P234+P240+P244+P247</f>
        <v>0</v>
      </c>
      <c r="Q233" s="233">
        <f>Q234+Q240+Q244+Q247</f>
        <v>0</v>
      </c>
      <c r="R233" s="232">
        <f t="shared" si="45"/>
        <v>0</v>
      </c>
    </row>
    <row r="234" spans="1:18" s="29" customFormat="1" ht="12" hidden="1" customHeight="1">
      <c r="A234" s="141">
        <v>9100</v>
      </c>
      <c r="B234" s="179" t="s">
        <v>124</v>
      </c>
      <c r="C234" s="170">
        <v>0</v>
      </c>
      <c r="D234" s="170">
        <v>0</v>
      </c>
      <c r="E234" s="233">
        <f>SUM(E235:E236)</f>
        <v>0</v>
      </c>
      <c r="F234" s="233">
        <f>SUM(F235:F236)</f>
        <v>0</v>
      </c>
      <c r="G234" s="233">
        <f>SUM(G235:G236)</f>
        <v>0</v>
      </c>
      <c r="H234" s="232">
        <f t="shared" si="43"/>
        <v>0</v>
      </c>
      <c r="I234" s="233">
        <v>0</v>
      </c>
      <c r="J234" s="233">
        <f>SUM(J235:J236)</f>
        <v>0</v>
      </c>
      <c r="K234" s="233">
        <f>SUM(K235:K236)</f>
        <v>0</v>
      </c>
      <c r="L234" s="233">
        <f>SUM(L235:L236)</f>
        <v>0</v>
      </c>
      <c r="M234" s="232">
        <f t="shared" si="44"/>
        <v>0</v>
      </c>
      <c r="N234" s="233">
        <v>0</v>
      </c>
      <c r="O234" s="233">
        <f>SUM(O235:O236)</f>
        <v>0</v>
      </c>
      <c r="P234" s="233">
        <f>SUM(P235:P236)</f>
        <v>0</v>
      </c>
      <c r="Q234" s="233">
        <f>SUM(Q235:Q236)</f>
        <v>0</v>
      </c>
      <c r="R234" s="232">
        <f t="shared" si="45"/>
        <v>0</v>
      </c>
    </row>
    <row r="235" spans="1:18" s="29" customFormat="1" ht="24" hidden="1" customHeight="1">
      <c r="A235" s="133" t="s">
        <v>125</v>
      </c>
      <c r="B235" s="179" t="s">
        <v>214</v>
      </c>
      <c r="C235" s="170"/>
      <c r="D235" s="170">
        <v>0</v>
      </c>
      <c r="E235" s="233"/>
      <c r="F235" s="233"/>
      <c r="G235" s="233"/>
      <c r="H235" s="232">
        <f t="shared" si="43"/>
        <v>0</v>
      </c>
      <c r="I235" s="233">
        <v>0</v>
      </c>
      <c r="J235" s="233"/>
      <c r="K235" s="233"/>
      <c r="L235" s="233"/>
      <c r="M235" s="232">
        <f t="shared" si="44"/>
        <v>0</v>
      </c>
      <c r="N235" s="233">
        <v>0</v>
      </c>
      <c r="O235" s="233"/>
      <c r="P235" s="233"/>
      <c r="Q235" s="233"/>
      <c r="R235" s="232">
        <f t="shared" si="45"/>
        <v>0</v>
      </c>
    </row>
    <row r="236" spans="1:18" s="29" customFormat="1" ht="24" hidden="1" customHeight="1">
      <c r="A236" s="133">
        <v>9140</v>
      </c>
      <c r="B236" s="179" t="s">
        <v>215</v>
      </c>
      <c r="C236" s="170">
        <v>0</v>
      </c>
      <c r="D236" s="170">
        <v>0</v>
      </c>
      <c r="E236" s="233">
        <f>SUM(E237:E239)</f>
        <v>0</v>
      </c>
      <c r="F236" s="233">
        <f>SUM(F237:F239)</f>
        <v>0</v>
      </c>
      <c r="G236" s="233">
        <f>SUM(G237:G239)</f>
        <v>0</v>
      </c>
      <c r="H236" s="232">
        <f t="shared" si="43"/>
        <v>0</v>
      </c>
      <c r="I236" s="233">
        <v>0</v>
      </c>
      <c r="J236" s="233">
        <f>SUM(J237:J239)</f>
        <v>0</v>
      </c>
      <c r="K236" s="233">
        <f>SUM(K237:K239)</f>
        <v>0</v>
      </c>
      <c r="L236" s="233">
        <f>SUM(L237:L239)</f>
        <v>0</v>
      </c>
      <c r="M236" s="232">
        <f t="shared" si="44"/>
        <v>0</v>
      </c>
      <c r="N236" s="233">
        <v>0</v>
      </c>
      <c r="O236" s="233">
        <f>SUM(O237:O239)</f>
        <v>0</v>
      </c>
      <c r="P236" s="233">
        <f>SUM(P237:P239)</f>
        <v>0</v>
      </c>
      <c r="Q236" s="233">
        <f>SUM(Q237:Q239)</f>
        <v>0</v>
      </c>
      <c r="R236" s="232">
        <f t="shared" si="45"/>
        <v>0</v>
      </c>
    </row>
    <row r="237" spans="1:18" s="29" customFormat="1" ht="36" hidden="1" customHeight="1">
      <c r="A237" s="134">
        <v>9141</v>
      </c>
      <c r="B237" s="172" t="s">
        <v>190</v>
      </c>
      <c r="C237" s="204"/>
      <c r="D237" s="204">
        <v>0</v>
      </c>
      <c r="E237" s="252"/>
      <c r="F237" s="252"/>
      <c r="G237" s="252"/>
      <c r="H237" s="232">
        <f t="shared" si="43"/>
        <v>0</v>
      </c>
      <c r="I237" s="252">
        <v>0</v>
      </c>
      <c r="J237" s="252"/>
      <c r="K237" s="252"/>
      <c r="L237" s="252"/>
      <c r="M237" s="232">
        <f t="shared" si="44"/>
        <v>0</v>
      </c>
      <c r="N237" s="252">
        <v>0</v>
      </c>
      <c r="O237" s="252"/>
      <c r="P237" s="252"/>
      <c r="Q237" s="252"/>
      <c r="R237" s="232">
        <f t="shared" si="45"/>
        <v>0</v>
      </c>
    </row>
    <row r="238" spans="1:18" s="29" customFormat="1" ht="36" hidden="1" customHeight="1">
      <c r="A238" s="134">
        <v>9142</v>
      </c>
      <c r="B238" s="172" t="s">
        <v>191</v>
      </c>
      <c r="C238" s="204"/>
      <c r="D238" s="204">
        <v>0</v>
      </c>
      <c r="E238" s="252"/>
      <c r="F238" s="252"/>
      <c r="G238" s="252"/>
      <c r="H238" s="232">
        <f t="shared" si="43"/>
        <v>0</v>
      </c>
      <c r="I238" s="252">
        <v>0</v>
      </c>
      <c r="J238" s="252"/>
      <c r="K238" s="252"/>
      <c r="L238" s="252"/>
      <c r="M238" s="232">
        <f t="shared" si="44"/>
        <v>0</v>
      </c>
      <c r="N238" s="252">
        <v>0</v>
      </c>
      <c r="O238" s="252"/>
      <c r="P238" s="252"/>
      <c r="Q238" s="252"/>
      <c r="R238" s="232">
        <f t="shared" si="45"/>
        <v>0</v>
      </c>
    </row>
    <row r="239" spans="1:18" s="29" customFormat="1" ht="24" hidden="1" customHeight="1">
      <c r="A239" s="134">
        <v>9149</v>
      </c>
      <c r="B239" s="172" t="s">
        <v>192</v>
      </c>
      <c r="C239" s="204"/>
      <c r="D239" s="204">
        <v>0</v>
      </c>
      <c r="E239" s="252"/>
      <c r="F239" s="252"/>
      <c r="G239" s="252"/>
      <c r="H239" s="232">
        <f t="shared" si="43"/>
        <v>0</v>
      </c>
      <c r="I239" s="252">
        <v>0</v>
      </c>
      <c r="J239" s="252"/>
      <c r="K239" s="252"/>
      <c r="L239" s="252"/>
      <c r="M239" s="232">
        <f t="shared" si="44"/>
        <v>0</v>
      </c>
      <c r="N239" s="252">
        <v>0</v>
      </c>
      <c r="O239" s="252"/>
      <c r="P239" s="252"/>
      <c r="Q239" s="252"/>
      <c r="R239" s="232">
        <f t="shared" si="45"/>
        <v>0</v>
      </c>
    </row>
    <row r="240" spans="1:18" s="29" customFormat="1" ht="24" hidden="1" customHeight="1">
      <c r="A240" s="141">
        <v>9500</v>
      </c>
      <c r="B240" s="172" t="s">
        <v>165</v>
      </c>
      <c r="C240" s="170">
        <v>0</v>
      </c>
      <c r="D240" s="170">
        <v>0</v>
      </c>
      <c r="E240" s="233">
        <f>SUM(E241:E243)</f>
        <v>0</v>
      </c>
      <c r="F240" s="233">
        <f>SUM(F241:F243)</f>
        <v>0</v>
      </c>
      <c r="G240" s="233">
        <f>SUM(G241:G243)</f>
        <v>0</v>
      </c>
      <c r="H240" s="232">
        <f t="shared" si="43"/>
        <v>0</v>
      </c>
      <c r="I240" s="233">
        <v>0</v>
      </c>
      <c r="J240" s="233">
        <f>SUM(J241:J243)</f>
        <v>0</v>
      </c>
      <c r="K240" s="233">
        <f>SUM(K241:K243)</f>
        <v>0</v>
      </c>
      <c r="L240" s="233">
        <f>SUM(L241:L243)</f>
        <v>0</v>
      </c>
      <c r="M240" s="232">
        <f t="shared" si="44"/>
        <v>0</v>
      </c>
      <c r="N240" s="233">
        <v>0</v>
      </c>
      <c r="O240" s="233">
        <f>SUM(O241:O243)</f>
        <v>0</v>
      </c>
      <c r="P240" s="233">
        <f>SUM(P241:P243)</f>
        <v>0</v>
      </c>
      <c r="Q240" s="233">
        <f>SUM(Q241:Q243)</f>
        <v>0</v>
      </c>
      <c r="R240" s="232">
        <f t="shared" si="45"/>
        <v>0</v>
      </c>
    </row>
    <row r="241" spans="1:18" s="29" customFormat="1" ht="24" hidden="1" customHeight="1">
      <c r="A241" s="133" t="s">
        <v>193</v>
      </c>
      <c r="B241" s="172" t="s">
        <v>171</v>
      </c>
      <c r="C241" s="170"/>
      <c r="D241" s="170">
        <v>0</v>
      </c>
      <c r="E241" s="233"/>
      <c r="F241" s="233"/>
      <c r="G241" s="233"/>
      <c r="H241" s="232">
        <f t="shared" si="43"/>
        <v>0</v>
      </c>
      <c r="I241" s="233">
        <v>0</v>
      </c>
      <c r="J241" s="233"/>
      <c r="K241" s="233"/>
      <c r="L241" s="233"/>
      <c r="M241" s="232">
        <f t="shared" si="44"/>
        <v>0</v>
      </c>
      <c r="N241" s="233">
        <v>0</v>
      </c>
      <c r="O241" s="233"/>
      <c r="P241" s="233"/>
      <c r="Q241" s="233"/>
      <c r="R241" s="232">
        <f t="shared" si="45"/>
        <v>0</v>
      </c>
    </row>
    <row r="242" spans="1:18" s="29" customFormat="1" ht="48" hidden="1" customHeight="1">
      <c r="A242" s="133">
        <v>9580</v>
      </c>
      <c r="B242" s="172" t="s">
        <v>166</v>
      </c>
      <c r="C242" s="204"/>
      <c r="D242" s="204">
        <v>0</v>
      </c>
      <c r="E242" s="252"/>
      <c r="F242" s="252"/>
      <c r="G242" s="252"/>
      <c r="H242" s="232">
        <f t="shared" ref="H242:H260" si="46">SUM(D242:G242)</f>
        <v>0</v>
      </c>
      <c r="I242" s="252">
        <v>0</v>
      </c>
      <c r="J242" s="252"/>
      <c r="K242" s="252"/>
      <c r="L242" s="252"/>
      <c r="M242" s="232">
        <f t="shared" si="44"/>
        <v>0</v>
      </c>
      <c r="N242" s="252">
        <v>0</v>
      </c>
      <c r="O242" s="252"/>
      <c r="P242" s="252"/>
      <c r="Q242" s="252"/>
      <c r="R242" s="232">
        <f t="shared" si="45"/>
        <v>0</v>
      </c>
    </row>
    <row r="243" spans="1:18" s="29" customFormat="1" ht="48" hidden="1" customHeight="1">
      <c r="A243" s="133">
        <v>9590</v>
      </c>
      <c r="B243" s="179" t="s">
        <v>172</v>
      </c>
      <c r="C243" s="204"/>
      <c r="D243" s="204">
        <v>0</v>
      </c>
      <c r="E243" s="252"/>
      <c r="F243" s="252"/>
      <c r="G243" s="252"/>
      <c r="H243" s="232">
        <f t="shared" si="46"/>
        <v>0</v>
      </c>
      <c r="I243" s="252">
        <v>0</v>
      </c>
      <c r="J243" s="252"/>
      <c r="K243" s="252"/>
      <c r="L243" s="252"/>
      <c r="M243" s="232">
        <f t="shared" si="44"/>
        <v>0</v>
      </c>
      <c r="N243" s="252">
        <v>0</v>
      </c>
      <c r="O243" s="252"/>
      <c r="P243" s="252"/>
      <c r="Q243" s="252"/>
      <c r="R243" s="232">
        <f t="shared" si="45"/>
        <v>0</v>
      </c>
    </row>
    <row r="244" spans="1:18" s="29" customFormat="1" ht="24" hidden="1" customHeight="1">
      <c r="A244" s="141">
        <v>9700</v>
      </c>
      <c r="B244" s="183" t="s">
        <v>194</v>
      </c>
      <c r="C244" s="170">
        <v>0</v>
      </c>
      <c r="D244" s="170">
        <v>0</v>
      </c>
      <c r="E244" s="233">
        <f>SUM(E245:E246)</f>
        <v>0</v>
      </c>
      <c r="F244" s="233">
        <f>SUM(F245:F246)</f>
        <v>0</v>
      </c>
      <c r="G244" s="233">
        <f>SUM(G245:G246)</f>
        <v>0</v>
      </c>
      <c r="H244" s="232">
        <f t="shared" si="46"/>
        <v>0</v>
      </c>
      <c r="I244" s="233">
        <v>0</v>
      </c>
      <c r="J244" s="233">
        <f>SUM(J245:J246)</f>
        <v>0</v>
      </c>
      <c r="K244" s="233">
        <f>SUM(K245:K246)</f>
        <v>0</v>
      </c>
      <c r="L244" s="233">
        <f>SUM(L245:L246)</f>
        <v>0</v>
      </c>
      <c r="M244" s="232">
        <f t="shared" si="44"/>
        <v>0</v>
      </c>
      <c r="N244" s="233">
        <v>0</v>
      </c>
      <c r="O244" s="233">
        <f>SUM(O245:O246)</f>
        <v>0</v>
      </c>
      <c r="P244" s="233">
        <f>SUM(P245:P246)</f>
        <v>0</v>
      </c>
      <c r="Q244" s="233">
        <f>SUM(Q245:Q246)</f>
        <v>0</v>
      </c>
      <c r="R244" s="232">
        <f t="shared" si="45"/>
        <v>0</v>
      </c>
    </row>
    <row r="245" spans="1:18" s="29" customFormat="1" ht="24" hidden="1" customHeight="1">
      <c r="A245" s="133">
        <v>9710</v>
      </c>
      <c r="B245" s="184" t="s">
        <v>195</v>
      </c>
      <c r="C245" s="204"/>
      <c r="D245" s="204">
        <v>0</v>
      </c>
      <c r="E245" s="252"/>
      <c r="F245" s="252"/>
      <c r="G245" s="252"/>
      <c r="H245" s="232">
        <f t="shared" si="46"/>
        <v>0</v>
      </c>
      <c r="I245" s="252">
        <v>0</v>
      </c>
      <c r="J245" s="252"/>
      <c r="K245" s="252"/>
      <c r="L245" s="252"/>
      <c r="M245" s="232">
        <f t="shared" si="44"/>
        <v>0</v>
      </c>
      <c r="N245" s="252">
        <v>0</v>
      </c>
      <c r="O245" s="252"/>
      <c r="P245" s="252"/>
      <c r="Q245" s="252"/>
      <c r="R245" s="232">
        <f t="shared" si="45"/>
        <v>0</v>
      </c>
    </row>
    <row r="246" spans="1:18" s="29" customFormat="1" ht="48" hidden="1" customHeight="1">
      <c r="A246" s="142">
        <v>9720</v>
      </c>
      <c r="B246" s="183" t="s">
        <v>196</v>
      </c>
      <c r="C246" s="204"/>
      <c r="D246" s="204">
        <v>0</v>
      </c>
      <c r="E246" s="252"/>
      <c r="F246" s="252"/>
      <c r="G246" s="252"/>
      <c r="H246" s="232">
        <f t="shared" si="46"/>
        <v>0</v>
      </c>
      <c r="I246" s="252">
        <v>0</v>
      </c>
      <c r="J246" s="252"/>
      <c r="K246" s="252"/>
      <c r="L246" s="252"/>
      <c r="M246" s="232">
        <f t="shared" si="44"/>
        <v>0</v>
      </c>
      <c r="N246" s="252">
        <v>0</v>
      </c>
      <c r="O246" s="252"/>
      <c r="P246" s="252"/>
      <c r="Q246" s="252"/>
      <c r="R246" s="232">
        <f t="shared" si="45"/>
        <v>0</v>
      </c>
    </row>
    <row r="247" spans="1:18" s="29" customFormat="1" ht="24" hidden="1" customHeight="1">
      <c r="A247" s="141">
        <v>9600</v>
      </c>
      <c r="B247" s="179" t="s">
        <v>134</v>
      </c>
      <c r="C247" s="204"/>
      <c r="D247" s="204">
        <v>0</v>
      </c>
      <c r="E247" s="252"/>
      <c r="F247" s="252"/>
      <c r="G247" s="252"/>
      <c r="H247" s="232">
        <f t="shared" si="46"/>
        <v>0</v>
      </c>
      <c r="I247" s="252">
        <v>0</v>
      </c>
      <c r="J247" s="252"/>
      <c r="K247" s="252"/>
      <c r="L247" s="252"/>
      <c r="M247" s="232">
        <f t="shared" si="44"/>
        <v>0</v>
      </c>
      <c r="N247" s="252">
        <v>0</v>
      </c>
      <c r="O247" s="252"/>
      <c r="P247" s="252"/>
      <c r="Q247" s="252"/>
      <c r="R247" s="232">
        <f t="shared" si="45"/>
        <v>0</v>
      </c>
    </row>
    <row r="248" spans="1:18" s="29" customFormat="1" ht="31.5" hidden="1" customHeight="1">
      <c r="A248" s="130" t="s">
        <v>197</v>
      </c>
      <c r="B248" s="185" t="s">
        <v>47</v>
      </c>
      <c r="C248" s="206"/>
      <c r="D248" s="206">
        <v>0</v>
      </c>
      <c r="E248" s="262">
        <f>E178-E203</f>
        <v>0</v>
      </c>
      <c r="F248" s="262">
        <f>F178-F203</f>
        <v>0</v>
      </c>
      <c r="G248" s="262">
        <f>G178-G203</f>
        <v>0</v>
      </c>
      <c r="H248" s="232">
        <f t="shared" si="46"/>
        <v>0</v>
      </c>
      <c r="I248" s="262">
        <v>0</v>
      </c>
      <c r="J248" s="262">
        <f>J178-J203</f>
        <v>0</v>
      </c>
      <c r="K248" s="262">
        <f>K178-K203</f>
        <v>0</v>
      </c>
      <c r="L248" s="262">
        <f>L178-L203</f>
        <v>0</v>
      </c>
      <c r="M248" s="232">
        <f t="shared" si="44"/>
        <v>0</v>
      </c>
      <c r="N248" s="262">
        <v>0</v>
      </c>
      <c r="O248" s="262">
        <f>O178-O203</f>
        <v>0</v>
      </c>
      <c r="P248" s="262">
        <f>P178-P203</f>
        <v>0</v>
      </c>
      <c r="Q248" s="262">
        <f>Q178-Q203</f>
        <v>0</v>
      </c>
      <c r="R248" s="232">
        <f t="shared" si="45"/>
        <v>0</v>
      </c>
    </row>
    <row r="249" spans="1:18" s="29" customFormat="1" ht="12" hidden="1" customHeight="1">
      <c r="A249" s="143" t="s">
        <v>48</v>
      </c>
      <c r="B249" s="185" t="s">
        <v>49</v>
      </c>
      <c r="C249" s="206">
        <v>0</v>
      </c>
      <c r="D249" s="206">
        <v>0</v>
      </c>
      <c r="E249" s="262">
        <f>E250+E253+E257+E256</f>
        <v>0</v>
      </c>
      <c r="F249" s="262">
        <f>F250+F253+F257+F256</f>
        <v>0</v>
      </c>
      <c r="G249" s="262">
        <f>G250+G253+G257+G256</f>
        <v>0</v>
      </c>
      <c r="H249" s="232">
        <f t="shared" si="46"/>
        <v>0</v>
      </c>
      <c r="I249" s="262">
        <v>0</v>
      </c>
      <c r="J249" s="262">
        <f>J250+J253+J257+J256</f>
        <v>0</v>
      </c>
      <c r="K249" s="262">
        <f>K250+K253+K257+K256</f>
        <v>0</v>
      </c>
      <c r="L249" s="262">
        <f>L250+L253+L257+L256</f>
        <v>0</v>
      </c>
      <c r="M249" s="232">
        <f t="shared" si="44"/>
        <v>0</v>
      </c>
      <c r="N249" s="262">
        <v>0</v>
      </c>
      <c r="O249" s="262">
        <f>O250+O253+O257+O256</f>
        <v>0</v>
      </c>
      <c r="P249" s="262">
        <f>P250+P253+P257+P256</f>
        <v>0</v>
      </c>
      <c r="Q249" s="262">
        <f>Q250+Q253+Q257+Q256</f>
        <v>0</v>
      </c>
      <c r="R249" s="232">
        <f t="shared" si="45"/>
        <v>0</v>
      </c>
    </row>
    <row r="250" spans="1:18" s="29" customFormat="1" ht="12" hidden="1" customHeight="1">
      <c r="A250" s="141" t="s">
        <v>50</v>
      </c>
      <c r="B250" s="179" t="s">
        <v>51</v>
      </c>
      <c r="C250" s="98">
        <v>0</v>
      </c>
      <c r="D250" s="98">
        <v>0</v>
      </c>
      <c r="E250" s="231">
        <f>E251+E252</f>
        <v>0</v>
      </c>
      <c r="F250" s="231">
        <f>F251+F252</f>
        <v>0</v>
      </c>
      <c r="G250" s="231">
        <f>G251+G252</f>
        <v>0</v>
      </c>
      <c r="H250" s="232">
        <f t="shared" si="46"/>
        <v>0</v>
      </c>
      <c r="I250" s="231">
        <v>0</v>
      </c>
      <c r="J250" s="231">
        <f>J251+J252</f>
        <v>0</v>
      </c>
      <c r="K250" s="231">
        <f>K251+K252</f>
        <v>0</v>
      </c>
      <c r="L250" s="231">
        <f>L251+L252</f>
        <v>0</v>
      </c>
      <c r="M250" s="232">
        <f t="shared" si="44"/>
        <v>0</v>
      </c>
      <c r="N250" s="231">
        <v>0</v>
      </c>
      <c r="O250" s="231">
        <f>O251+O252</f>
        <v>0</v>
      </c>
      <c r="P250" s="231">
        <f>P251+P252</f>
        <v>0</v>
      </c>
      <c r="Q250" s="231">
        <f>Q251+Q252</f>
        <v>0</v>
      </c>
      <c r="R250" s="232">
        <f t="shared" si="45"/>
        <v>0</v>
      </c>
    </row>
    <row r="251" spans="1:18" s="29" customFormat="1" ht="12" hidden="1" customHeight="1">
      <c r="A251" s="141" t="s">
        <v>52</v>
      </c>
      <c r="B251" s="179" t="s">
        <v>53</v>
      </c>
      <c r="C251" s="98"/>
      <c r="D251" s="98">
        <v>0</v>
      </c>
      <c r="E251" s="231"/>
      <c r="F251" s="231"/>
      <c r="G251" s="231"/>
      <c r="H251" s="232">
        <f t="shared" si="46"/>
        <v>0</v>
      </c>
      <c r="I251" s="231">
        <v>0</v>
      </c>
      <c r="J251" s="231"/>
      <c r="K251" s="231"/>
      <c r="L251" s="231"/>
      <c r="M251" s="232">
        <f t="shared" si="44"/>
        <v>0</v>
      </c>
      <c r="N251" s="231">
        <v>0</v>
      </c>
      <c r="O251" s="231"/>
      <c r="P251" s="231"/>
      <c r="Q251" s="231"/>
      <c r="R251" s="232">
        <f t="shared" si="45"/>
        <v>0</v>
      </c>
    </row>
    <row r="252" spans="1:18" s="29" customFormat="1" ht="12" hidden="1" customHeight="1">
      <c r="A252" s="141" t="s">
        <v>54</v>
      </c>
      <c r="B252" s="179" t="s">
        <v>55</v>
      </c>
      <c r="C252" s="98"/>
      <c r="D252" s="98">
        <v>0</v>
      </c>
      <c r="E252" s="231"/>
      <c r="F252" s="231"/>
      <c r="G252" s="231"/>
      <c r="H252" s="232">
        <f t="shared" si="46"/>
        <v>0</v>
      </c>
      <c r="I252" s="231">
        <v>0</v>
      </c>
      <c r="J252" s="231"/>
      <c r="K252" s="231"/>
      <c r="L252" s="231"/>
      <c r="M252" s="232">
        <f t="shared" si="44"/>
        <v>0</v>
      </c>
      <c r="N252" s="231">
        <v>0</v>
      </c>
      <c r="O252" s="231"/>
      <c r="P252" s="231"/>
      <c r="Q252" s="231"/>
      <c r="R252" s="232">
        <f t="shared" si="45"/>
        <v>0</v>
      </c>
    </row>
    <row r="253" spans="1:18" s="29" customFormat="1" ht="12" hidden="1" customHeight="1">
      <c r="A253" s="141" t="s">
        <v>56</v>
      </c>
      <c r="B253" s="179" t="s">
        <v>57</v>
      </c>
      <c r="C253" s="98">
        <v>0</v>
      </c>
      <c r="D253" s="98">
        <v>0</v>
      </c>
      <c r="E253" s="231">
        <f>E254+E255</f>
        <v>0</v>
      </c>
      <c r="F253" s="231">
        <f>F254+F255</f>
        <v>0</v>
      </c>
      <c r="G253" s="231">
        <f>G254+G255</f>
        <v>0</v>
      </c>
      <c r="H253" s="232">
        <f t="shared" si="46"/>
        <v>0</v>
      </c>
      <c r="I253" s="231">
        <v>0</v>
      </c>
      <c r="J253" s="231">
        <f>J254+J255</f>
        <v>0</v>
      </c>
      <c r="K253" s="231">
        <f>K254+K255</f>
        <v>0</v>
      </c>
      <c r="L253" s="231">
        <f>L254+L255</f>
        <v>0</v>
      </c>
      <c r="M253" s="232">
        <f t="shared" si="44"/>
        <v>0</v>
      </c>
      <c r="N253" s="231">
        <v>0</v>
      </c>
      <c r="O253" s="231">
        <f>O254+O255</f>
        <v>0</v>
      </c>
      <c r="P253" s="231">
        <f>P254+P255</f>
        <v>0</v>
      </c>
      <c r="Q253" s="231">
        <f>Q254+Q255</f>
        <v>0</v>
      </c>
      <c r="R253" s="232">
        <f t="shared" si="45"/>
        <v>0</v>
      </c>
    </row>
    <row r="254" spans="1:18" s="29" customFormat="1" ht="12" hidden="1" customHeight="1">
      <c r="A254" s="141" t="s">
        <v>58</v>
      </c>
      <c r="B254" s="179" t="s">
        <v>59</v>
      </c>
      <c r="C254" s="98"/>
      <c r="D254" s="98">
        <v>0</v>
      </c>
      <c r="E254" s="231"/>
      <c r="F254" s="231"/>
      <c r="G254" s="231"/>
      <c r="H254" s="232">
        <f t="shared" si="46"/>
        <v>0</v>
      </c>
      <c r="I254" s="231">
        <v>0</v>
      </c>
      <c r="J254" s="231"/>
      <c r="K254" s="231"/>
      <c r="L254" s="231"/>
      <c r="M254" s="232">
        <f t="shared" si="44"/>
        <v>0</v>
      </c>
      <c r="N254" s="231">
        <v>0</v>
      </c>
      <c r="O254" s="231"/>
      <c r="P254" s="231"/>
      <c r="Q254" s="231"/>
      <c r="R254" s="232">
        <f t="shared" si="45"/>
        <v>0</v>
      </c>
    </row>
    <row r="255" spans="1:18" s="29" customFormat="1" ht="12" hidden="1" customHeight="1">
      <c r="A255" s="141" t="s">
        <v>60</v>
      </c>
      <c r="B255" s="179" t="s">
        <v>61</v>
      </c>
      <c r="C255" s="98"/>
      <c r="D255" s="98">
        <v>0</v>
      </c>
      <c r="E255" s="231"/>
      <c r="F255" s="231"/>
      <c r="G255" s="231"/>
      <c r="H255" s="232">
        <f t="shared" si="46"/>
        <v>0</v>
      </c>
      <c r="I255" s="231">
        <v>0</v>
      </c>
      <c r="J255" s="231"/>
      <c r="K255" s="231"/>
      <c r="L255" s="231"/>
      <c r="M255" s="232">
        <f t="shared" si="44"/>
        <v>0</v>
      </c>
      <c r="N255" s="231">
        <v>0</v>
      </c>
      <c r="O255" s="231"/>
      <c r="P255" s="231"/>
      <c r="Q255" s="231"/>
      <c r="R255" s="232">
        <f t="shared" si="45"/>
        <v>0</v>
      </c>
    </row>
    <row r="256" spans="1:18" s="29" customFormat="1" ht="12" hidden="1" customHeight="1">
      <c r="A256" s="141" t="s">
        <v>198</v>
      </c>
      <c r="B256" s="187" t="s">
        <v>168</v>
      </c>
      <c r="C256" s="98"/>
      <c r="D256" s="98">
        <v>0</v>
      </c>
      <c r="E256" s="231"/>
      <c r="F256" s="231"/>
      <c r="G256" s="231"/>
      <c r="H256" s="232">
        <f t="shared" si="46"/>
        <v>0</v>
      </c>
      <c r="I256" s="231">
        <v>0</v>
      </c>
      <c r="J256" s="231"/>
      <c r="K256" s="231"/>
      <c r="L256" s="231"/>
      <c r="M256" s="232">
        <f t="shared" si="44"/>
        <v>0</v>
      </c>
      <c r="N256" s="231">
        <v>0</v>
      </c>
      <c r="O256" s="231"/>
      <c r="P256" s="231"/>
      <c r="Q256" s="231"/>
      <c r="R256" s="232">
        <f t="shared" si="45"/>
        <v>0</v>
      </c>
    </row>
    <row r="257" spans="1:20" s="29" customFormat="1" ht="12" hidden="1" customHeight="1">
      <c r="A257" s="144" t="s">
        <v>62</v>
      </c>
      <c r="B257" s="125" t="s">
        <v>63</v>
      </c>
      <c r="C257" s="170">
        <v>0</v>
      </c>
      <c r="D257" s="170">
        <v>0</v>
      </c>
      <c r="E257" s="233">
        <f>E258+E259+E260</f>
        <v>0</v>
      </c>
      <c r="F257" s="233">
        <f>F258+F259+F260</f>
        <v>0</v>
      </c>
      <c r="G257" s="233">
        <f>G258+G259+G260</f>
        <v>0</v>
      </c>
      <c r="H257" s="232">
        <f t="shared" si="46"/>
        <v>0</v>
      </c>
      <c r="I257" s="233">
        <v>0</v>
      </c>
      <c r="J257" s="233">
        <f>J258+J259+J260</f>
        <v>0</v>
      </c>
      <c r="K257" s="233">
        <f>K258+K259+K260</f>
        <v>0</v>
      </c>
      <c r="L257" s="233">
        <f>L258+L259+L260</f>
        <v>0</v>
      </c>
      <c r="M257" s="232">
        <f t="shared" si="44"/>
        <v>0</v>
      </c>
      <c r="N257" s="233">
        <v>0</v>
      </c>
      <c r="O257" s="233">
        <f>O258+O259+O260</f>
        <v>0</v>
      </c>
      <c r="P257" s="233">
        <f>P258+P259+P260</f>
        <v>0</v>
      </c>
      <c r="Q257" s="233">
        <f>Q258+Q259+Q260</f>
        <v>0</v>
      </c>
      <c r="R257" s="232">
        <f t="shared" si="45"/>
        <v>0</v>
      </c>
    </row>
    <row r="258" spans="1:20" s="29" customFormat="1" ht="36" hidden="1" customHeight="1">
      <c r="A258" s="144" t="s">
        <v>64</v>
      </c>
      <c r="B258" s="179" t="s">
        <v>65</v>
      </c>
      <c r="C258" s="98"/>
      <c r="D258" s="98">
        <v>0</v>
      </c>
      <c r="E258" s="231"/>
      <c r="F258" s="231"/>
      <c r="G258" s="231"/>
      <c r="H258" s="232">
        <f t="shared" si="46"/>
        <v>0</v>
      </c>
      <c r="I258" s="231">
        <v>0</v>
      </c>
      <c r="J258" s="231"/>
      <c r="K258" s="231"/>
      <c r="L258" s="231"/>
      <c r="M258" s="232">
        <f t="shared" si="44"/>
        <v>0</v>
      </c>
      <c r="N258" s="231">
        <v>0</v>
      </c>
      <c r="O258" s="231"/>
      <c r="P258" s="231"/>
      <c r="Q258" s="231"/>
      <c r="R258" s="232">
        <f t="shared" si="45"/>
        <v>0</v>
      </c>
    </row>
    <row r="259" spans="1:20" s="29" customFormat="1" ht="36" hidden="1" customHeight="1">
      <c r="A259" s="144" t="s">
        <v>66</v>
      </c>
      <c r="B259" s="179" t="s">
        <v>67</v>
      </c>
      <c r="C259" s="98"/>
      <c r="D259" s="98">
        <v>0</v>
      </c>
      <c r="E259" s="231"/>
      <c r="F259" s="231"/>
      <c r="G259" s="231"/>
      <c r="H259" s="232">
        <f t="shared" si="46"/>
        <v>0</v>
      </c>
      <c r="I259" s="231">
        <v>0</v>
      </c>
      <c r="J259" s="231"/>
      <c r="K259" s="231"/>
      <c r="L259" s="231"/>
      <c r="M259" s="232">
        <f t="shared" si="44"/>
        <v>0</v>
      </c>
      <c r="N259" s="231">
        <v>0</v>
      </c>
      <c r="O259" s="231"/>
      <c r="P259" s="231"/>
      <c r="Q259" s="231"/>
      <c r="R259" s="232">
        <f t="shared" si="45"/>
        <v>0</v>
      </c>
    </row>
    <row r="260" spans="1:20" s="29" customFormat="1" ht="24" hidden="1" customHeight="1">
      <c r="A260" s="144" t="s">
        <v>68</v>
      </c>
      <c r="B260" s="125" t="s">
        <v>69</v>
      </c>
      <c r="C260" s="98"/>
      <c r="D260" s="98">
        <v>0</v>
      </c>
      <c r="E260" s="231"/>
      <c r="F260" s="231"/>
      <c r="G260" s="231"/>
      <c r="H260" s="232">
        <f t="shared" si="46"/>
        <v>0</v>
      </c>
      <c r="I260" s="231">
        <v>0</v>
      </c>
      <c r="J260" s="231"/>
      <c r="K260" s="231"/>
      <c r="L260" s="231"/>
      <c r="M260" s="232">
        <f t="shared" si="44"/>
        <v>0</v>
      </c>
      <c r="N260" s="231">
        <v>0</v>
      </c>
      <c r="O260" s="231"/>
      <c r="P260" s="231"/>
      <c r="Q260" s="231"/>
      <c r="R260" s="232">
        <f t="shared" si="45"/>
        <v>0</v>
      </c>
    </row>
    <row r="261" spans="1:20" s="29" customFormat="1" ht="12">
      <c r="A261" s="271"/>
      <c r="B261" s="272"/>
      <c r="C261" s="253"/>
      <c r="D261" s="254"/>
      <c r="E261" s="253"/>
      <c r="F261" s="253"/>
      <c r="G261" s="253"/>
      <c r="H261" s="232"/>
      <c r="I261" s="254"/>
      <c r="J261" s="253"/>
      <c r="K261" s="253"/>
      <c r="L261" s="253"/>
      <c r="M261" s="232"/>
      <c r="N261" s="254"/>
      <c r="O261" s="253"/>
      <c r="P261" s="253"/>
      <c r="Q261" s="253"/>
      <c r="R261" s="232"/>
    </row>
    <row r="262" spans="1:20" ht="12">
      <c r="A262" s="33"/>
      <c r="B262" s="164"/>
      <c r="C262" s="165"/>
      <c r="D262" s="163"/>
      <c r="E262" s="165"/>
      <c r="F262" s="165"/>
      <c r="G262" s="165"/>
      <c r="H262" s="163"/>
      <c r="I262" s="163"/>
      <c r="J262" s="165"/>
      <c r="K262" s="165"/>
      <c r="L262" s="165"/>
      <c r="M262" s="163"/>
      <c r="N262" s="163"/>
      <c r="O262" s="165"/>
      <c r="P262" s="165"/>
      <c r="Q262" s="165"/>
      <c r="R262" s="163"/>
    </row>
    <row r="263" spans="1:20" ht="12">
      <c r="A263" s="33"/>
      <c r="B263" s="164"/>
      <c r="C263" s="165"/>
      <c r="D263" s="163"/>
      <c r="E263" s="165"/>
      <c r="F263" s="165"/>
      <c r="G263" s="165"/>
      <c r="H263" s="163"/>
      <c r="I263" s="163"/>
      <c r="J263" s="165"/>
      <c r="K263" s="165"/>
      <c r="L263" s="165"/>
      <c r="M263" s="163"/>
      <c r="N263" s="163"/>
      <c r="O263" s="165"/>
      <c r="P263" s="165"/>
      <c r="Q263" s="165"/>
      <c r="R263" s="163"/>
    </row>
    <row r="264" spans="1:20" ht="13.2">
      <c r="A264" s="369" t="s">
        <v>236</v>
      </c>
      <c r="B264" s="370" t="s">
        <v>237</v>
      </c>
      <c r="C264" s="165"/>
      <c r="D264" s="163"/>
      <c r="E264" s="165"/>
      <c r="F264" s="165"/>
      <c r="G264" s="165"/>
      <c r="H264" s="163"/>
      <c r="I264" s="163"/>
      <c r="J264" s="165"/>
      <c r="K264" s="165"/>
      <c r="L264" s="165"/>
      <c r="M264" s="163"/>
      <c r="N264" s="163"/>
      <c r="O264" s="165"/>
      <c r="P264" s="165"/>
      <c r="Q264" s="165"/>
      <c r="R264" s="163"/>
    </row>
    <row r="265" spans="1:20" ht="13.2">
      <c r="A265" s="371"/>
      <c r="B265" s="372" t="s">
        <v>238</v>
      </c>
      <c r="C265" s="165"/>
      <c r="D265" s="163"/>
      <c r="E265" s="165"/>
      <c r="F265" s="165"/>
      <c r="G265" s="165"/>
      <c r="H265" s="163"/>
      <c r="I265" s="163"/>
      <c r="J265" s="165"/>
      <c r="K265" s="165"/>
      <c r="L265" s="165"/>
      <c r="M265" s="163"/>
      <c r="N265" s="163"/>
      <c r="O265" s="165"/>
      <c r="P265" s="165"/>
      <c r="Q265" s="165"/>
      <c r="R265" s="163"/>
    </row>
    <row r="266" spans="1:20" ht="13.2">
      <c r="A266" s="373" t="s">
        <v>223</v>
      </c>
      <c r="B266" s="374" t="s">
        <v>434</v>
      </c>
      <c r="C266" s="165"/>
      <c r="D266" s="163"/>
      <c r="E266" s="424"/>
      <c r="F266" s="165"/>
      <c r="G266" s="165"/>
      <c r="H266" s="163"/>
      <c r="I266" s="163"/>
      <c r="J266" s="424"/>
      <c r="K266" s="165"/>
      <c r="L266" s="165"/>
      <c r="M266" s="163"/>
      <c r="N266" s="163"/>
      <c r="O266" s="424"/>
      <c r="P266" s="165"/>
      <c r="Q266" s="165"/>
      <c r="R266" s="163"/>
    </row>
    <row r="267" spans="1:20" ht="120" customHeight="1">
      <c r="A267" s="426" t="s">
        <v>240</v>
      </c>
      <c r="B267" s="428" t="s">
        <v>723</v>
      </c>
      <c r="C267" s="482"/>
      <c r="D267" s="483"/>
      <c r="E267" s="808">
        <v>-72315</v>
      </c>
      <c r="F267" s="808"/>
      <c r="G267" s="808"/>
      <c r="H267" s="809"/>
      <c r="I267" s="809"/>
      <c r="J267" s="808">
        <v>-72315</v>
      </c>
      <c r="K267" s="808"/>
      <c r="L267" s="808"/>
      <c r="M267" s="809"/>
      <c r="N267" s="809"/>
      <c r="O267" s="808">
        <v>-72315</v>
      </c>
      <c r="P267" s="808"/>
      <c r="Q267" s="808"/>
      <c r="R267" s="809"/>
    </row>
    <row r="268" spans="1:20" ht="301.2" customHeight="1">
      <c r="A268" s="426" t="s">
        <v>253</v>
      </c>
      <c r="B268" s="428" t="s">
        <v>724</v>
      </c>
      <c r="C268" s="482"/>
      <c r="D268" s="483"/>
      <c r="E268" s="808">
        <v>-1512</v>
      </c>
      <c r="F268" s="808"/>
      <c r="G268" s="808"/>
      <c r="H268" s="809"/>
      <c r="I268" s="809"/>
      <c r="J268" s="808">
        <v>-1512</v>
      </c>
      <c r="K268" s="808"/>
      <c r="L268" s="808"/>
      <c r="M268" s="809"/>
      <c r="N268" s="809"/>
      <c r="O268" s="808">
        <v>-1512</v>
      </c>
      <c r="P268" s="808"/>
      <c r="Q268" s="808"/>
      <c r="R268" s="809"/>
    </row>
    <row r="269" spans="1:20" ht="145.19999999999999">
      <c r="A269" s="426" t="s">
        <v>281</v>
      </c>
      <c r="B269" s="428" t="s">
        <v>725</v>
      </c>
      <c r="C269" s="482"/>
      <c r="D269" s="483"/>
      <c r="E269" s="808">
        <v>0</v>
      </c>
      <c r="F269" s="808"/>
      <c r="G269" s="808"/>
      <c r="H269" s="809"/>
      <c r="I269" s="809"/>
      <c r="J269" s="808">
        <v>0</v>
      </c>
      <c r="K269" s="808"/>
      <c r="L269" s="808"/>
      <c r="M269" s="809"/>
      <c r="N269" s="809"/>
      <c r="O269" s="808">
        <v>0</v>
      </c>
      <c r="P269" s="808"/>
      <c r="Q269" s="808"/>
      <c r="R269" s="809"/>
    </row>
    <row r="270" spans="1:20" ht="123" customHeight="1">
      <c r="A270" s="426" t="s">
        <v>255</v>
      </c>
      <c r="B270" s="428" t="s">
        <v>726</v>
      </c>
      <c r="C270" s="482"/>
      <c r="D270" s="483"/>
      <c r="E270" s="808">
        <v>0</v>
      </c>
      <c r="F270" s="808"/>
      <c r="G270" s="808"/>
      <c r="H270" s="809"/>
      <c r="I270" s="809"/>
      <c r="J270" s="808">
        <v>0</v>
      </c>
      <c r="K270" s="808"/>
      <c r="L270" s="808"/>
      <c r="M270" s="809"/>
      <c r="N270" s="809"/>
      <c r="O270" s="808">
        <v>0</v>
      </c>
      <c r="P270" s="808"/>
      <c r="Q270" s="808"/>
      <c r="R270" s="809"/>
      <c r="S270" s="9"/>
      <c r="T270" s="9"/>
    </row>
    <row r="271" spans="1:20" ht="13.2">
      <c r="A271" s="426"/>
      <c r="B271" s="428"/>
      <c r="C271" s="165"/>
      <c r="D271" s="163"/>
      <c r="E271" s="165"/>
      <c r="F271" s="165"/>
      <c r="G271" s="165"/>
      <c r="H271" s="163"/>
      <c r="I271" s="163"/>
      <c r="J271" s="165"/>
      <c r="K271" s="165"/>
      <c r="L271" s="165"/>
      <c r="M271" s="163"/>
      <c r="N271" s="163"/>
      <c r="O271" s="165"/>
      <c r="P271" s="165"/>
      <c r="Q271" s="165"/>
      <c r="R271" s="163"/>
    </row>
    <row r="272" spans="1:20" ht="13.2">
      <c r="A272" s="425" t="s">
        <v>224</v>
      </c>
      <c r="B272" s="374" t="s">
        <v>242</v>
      </c>
      <c r="C272" s="165"/>
      <c r="D272" s="163"/>
      <c r="E272" s="165"/>
      <c r="F272" s="810">
        <f>F273+F274+F275+F276+F277</f>
        <v>3292785</v>
      </c>
      <c r="G272" s="810"/>
      <c r="H272" s="483"/>
      <c r="I272" s="483"/>
      <c r="J272" s="482"/>
      <c r="K272" s="810">
        <f>K273+K274+K275+K276</f>
        <v>5283826</v>
      </c>
      <c r="L272" s="810"/>
      <c r="M272" s="483"/>
      <c r="N272" s="483"/>
      <c r="O272" s="482"/>
      <c r="P272" s="810">
        <f>P273+P274+P275</f>
        <v>1836834</v>
      </c>
      <c r="Q272" s="810"/>
      <c r="R272" s="483"/>
    </row>
    <row r="273" spans="1:18" ht="128.4" customHeight="1">
      <c r="A273" s="426" t="s">
        <v>243</v>
      </c>
      <c r="B273" s="427" t="s">
        <v>497</v>
      </c>
      <c r="C273" s="165"/>
      <c r="D273" s="163"/>
      <c r="E273" s="165"/>
      <c r="F273" s="527">
        <v>148109</v>
      </c>
      <c r="G273" s="527"/>
      <c r="H273" s="528"/>
      <c r="I273" s="528"/>
      <c r="J273" s="527"/>
      <c r="K273" s="527">
        <v>794996</v>
      </c>
      <c r="L273" s="527"/>
      <c r="M273" s="528"/>
      <c r="N273" s="528"/>
      <c r="O273" s="527"/>
      <c r="P273" s="527">
        <v>794996</v>
      </c>
      <c r="Q273" s="527"/>
      <c r="R273" s="528"/>
    </row>
    <row r="274" spans="1:18" ht="255.6" customHeight="1">
      <c r="A274" s="426" t="s">
        <v>250</v>
      </c>
      <c r="B274" s="428" t="s">
        <v>498</v>
      </c>
      <c r="C274" s="165"/>
      <c r="D274" s="163"/>
      <c r="E274" s="165"/>
      <c r="F274" s="527">
        <v>7989</v>
      </c>
      <c r="G274" s="527"/>
      <c r="H274" s="528"/>
      <c r="I274" s="528"/>
      <c r="J274" s="527"/>
      <c r="K274" s="527">
        <v>42882</v>
      </c>
      <c r="L274" s="527"/>
      <c r="M274" s="528"/>
      <c r="N274" s="528"/>
      <c r="O274" s="527"/>
      <c r="P274" s="527">
        <v>42882</v>
      </c>
      <c r="Q274" s="527"/>
      <c r="R274" s="528"/>
    </row>
    <row r="275" spans="1:18" ht="171.6">
      <c r="A275" s="426" t="s">
        <v>257</v>
      </c>
      <c r="B275" s="428" t="s">
        <v>258</v>
      </c>
      <c r="C275" s="165"/>
      <c r="D275" s="163"/>
      <c r="E275" s="165"/>
      <c r="F275" s="527">
        <v>186107</v>
      </c>
      <c r="G275" s="527"/>
      <c r="H275" s="528"/>
      <c r="I275" s="528"/>
      <c r="J275" s="527"/>
      <c r="K275" s="527">
        <v>998956</v>
      </c>
      <c r="L275" s="527"/>
      <c r="M275" s="528"/>
      <c r="N275" s="528"/>
      <c r="O275" s="527"/>
      <c r="P275" s="527">
        <v>998956</v>
      </c>
      <c r="Q275" s="527"/>
      <c r="R275" s="528"/>
    </row>
    <row r="276" spans="1:18" ht="303.60000000000002">
      <c r="A276" s="426" t="s">
        <v>324</v>
      </c>
      <c r="B276" s="428" t="s">
        <v>727</v>
      </c>
      <c r="C276" s="165"/>
      <c r="D276" s="163"/>
      <c r="E276" s="165"/>
      <c r="F276" s="527">
        <v>2871492</v>
      </c>
      <c r="G276" s="527"/>
      <c r="H276" s="528"/>
      <c r="I276" s="528"/>
      <c r="J276" s="527"/>
      <c r="K276" s="527">
        <v>3446992</v>
      </c>
      <c r="L276" s="527"/>
      <c r="M276" s="528"/>
      <c r="N276" s="528"/>
      <c r="O276" s="527"/>
      <c r="P276" s="527"/>
      <c r="Q276" s="527"/>
      <c r="R276" s="528"/>
    </row>
    <row r="277" spans="1:18" ht="171.6">
      <c r="A277" s="426" t="s">
        <v>326</v>
      </c>
      <c r="B277" s="428" t="s">
        <v>728</v>
      </c>
      <c r="C277" s="165"/>
      <c r="D277" s="163"/>
      <c r="E277" s="165"/>
      <c r="F277" s="527">
        <v>79088</v>
      </c>
      <c r="G277" s="527"/>
      <c r="H277" s="528"/>
      <c r="I277" s="528"/>
      <c r="J277" s="527"/>
      <c r="K277" s="527"/>
      <c r="L277" s="527"/>
      <c r="M277" s="528"/>
      <c r="N277" s="528"/>
      <c r="O277" s="527"/>
      <c r="P277" s="527"/>
      <c r="Q277" s="527"/>
      <c r="R277" s="528"/>
    </row>
    <row r="278" spans="1:18" ht="250.8">
      <c r="A278" s="426" t="s">
        <v>327</v>
      </c>
      <c r="B278" s="428" t="s">
        <v>729</v>
      </c>
      <c r="C278" s="165"/>
      <c r="D278" s="163"/>
      <c r="E278" s="165"/>
      <c r="F278" s="527"/>
      <c r="G278" s="527">
        <v>10000000</v>
      </c>
      <c r="H278" s="528"/>
      <c r="I278" s="528"/>
      <c r="J278" s="527"/>
      <c r="K278" s="527"/>
      <c r="L278" s="527">
        <v>10000000</v>
      </c>
      <c r="M278" s="528"/>
      <c r="N278" s="528"/>
      <c r="O278" s="527"/>
      <c r="P278" s="527"/>
      <c r="Q278" s="527">
        <v>10000000</v>
      </c>
      <c r="R278" s="528"/>
    </row>
    <row r="279" spans="1:18" ht="184.8">
      <c r="A279" s="426" t="s">
        <v>328</v>
      </c>
      <c r="B279" s="811" t="s">
        <v>730</v>
      </c>
      <c r="C279" s="165"/>
      <c r="D279" s="163"/>
      <c r="E279" s="165"/>
      <c r="F279" s="527"/>
      <c r="G279" s="527">
        <v>16151224</v>
      </c>
      <c r="H279" s="528"/>
      <c r="I279" s="528"/>
      <c r="J279" s="527"/>
      <c r="K279" s="527"/>
      <c r="L279" s="527">
        <v>16564252</v>
      </c>
      <c r="M279" s="528"/>
      <c r="N279" s="528"/>
      <c r="O279" s="527"/>
      <c r="P279" s="527"/>
      <c r="Q279" s="527">
        <v>16564252</v>
      </c>
      <c r="R279" s="528"/>
    </row>
    <row r="280" spans="1:18" ht="118.8">
      <c r="A280" s="426" t="s">
        <v>329</v>
      </c>
      <c r="B280" s="428" t="s">
        <v>731</v>
      </c>
      <c r="C280" s="165"/>
      <c r="D280" s="163"/>
      <c r="E280" s="165"/>
      <c r="F280" s="527"/>
      <c r="G280" s="527">
        <v>3589033</v>
      </c>
      <c r="H280" s="528"/>
      <c r="I280" s="528"/>
      <c r="J280" s="527"/>
      <c r="K280" s="527"/>
      <c r="L280" s="527">
        <v>3589033</v>
      </c>
      <c r="M280" s="528"/>
      <c r="N280" s="528"/>
      <c r="O280" s="527"/>
      <c r="P280" s="527"/>
      <c r="Q280" s="527">
        <v>3589033</v>
      </c>
      <c r="R280" s="528"/>
    </row>
    <row r="281" spans="1:18" ht="118.8">
      <c r="A281" s="426" t="s">
        <v>330</v>
      </c>
      <c r="B281" s="428" t="s">
        <v>732</v>
      </c>
      <c r="C281" s="165"/>
      <c r="D281" s="163"/>
      <c r="E281" s="165"/>
      <c r="F281" s="527"/>
      <c r="G281" s="527">
        <v>382970</v>
      </c>
      <c r="H281" s="528"/>
      <c r="I281" s="528"/>
      <c r="J281" s="527"/>
      <c r="K281" s="527"/>
      <c r="L281" s="527">
        <v>382970</v>
      </c>
      <c r="M281" s="528"/>
      <c r="N281" s="528"/>
      <c r="O281" s="527"/>
      <c r="P281" s="527"/>
      <c r="Q281" s="527">
        <v>382970</v>
      </c>
      <c r="R281" s="528"/>
    </row>
    <row r="282" spans="1:18" ht="105.6">
      <c r="A282" s="426" t="s">
        <v>331</v>
      </c>
      <c r="B282" s="428" t="s">
        <v>733</v>
      </c>
      <c r="C282" s="165"/>
      <c r="D282" s="163"/>
      <c r="E282" s="165"/>
      <c r="F282" s="527"/>
      <c r="G282" s="527">
        <v>678501</v>
      </c>
      <c r="H282" s="528"/>
      <c r="I282" s="528"/>
      <c r="J282" s="527"/>
      <c r="K282" s="527"/>
      <c r="L282" s="527">
        <v>678501</v>
      </c>
      <c r="M282" s="528"/>
      <c r="N282" s="528"/>
      <c r="O282" s="527"/>
      <c r="P282" s="527"/>
      <c r="Q282" s="527">
        <v>678501</v>
      </c>
      <c r="R282" s="528"/>
    </row>
    <row r="283" spans="1:18" ht="105.6">
      <c r="A283" s="426" t="s">
        <v>356</v>
      </c>
      <c r="B283" s="428" t="s">
        <v>734</v>
      </c>
      <c r="C283" s="165"/>
      <c r="D283" s="163"/>
      <c r="E283" s="165"/>
      <c r="F283" s="527"/>
      <c r="G283" s="527">
        <v>367203</v>
      </c>
      <c r="H283" s="528"/>
      <c r="I283" s="528"/>
      <c r="J283" s="527"/>
      <c r="K283" s="527"/>
      <c r="L283" s="527">
        <v>367203</v>
      </c>
      <c r="M283" s="528"/>
      <c r="N283" s="528"/>
      <c r="O283" s="527"/>
      <c r="P283" s="527"/>
      <c r="Q283" s="527">
        <v>367203</v>
      </c>
      <c r="R283" s="528"/>
    </row>
    <row r="284" spans="1:18" ht="92.4">
      <c r="A284" s="426" t="s">
        <v>358</v>
      </c>
      <c r="B284" s="428" t="s">
        <v>735</v>
      </c>
      <c r="C284" s="165"/>
      <c r="D284" s="163"/>
      <c r="E284" s="165"/>
      <c r="F284" s="527"/>
      <c r="G284" s="527">
        <v>356382</v>
      </c>
      <c r="H284" s="528"/>
      <c r="I284" s="528"/>
      <c r="J284" s="527"/>
      <c r="K284" s="527"/>
      <c r="L284" s="527">
        <v>712764</v>
      </c>
      <c r="M284" s="528"/>
      <c r="N284" s="528"/>
      <c r="O284" s="527"/>
      <c r="P284" s="527"/>
      <c r="Q284" s="527">
        <v>712764</v>
      </c>
      <c r="R284" s="528"/>
    </row>
    <row r="285" spans="1:18" ht="105.6">
      <c r="A285" s="426" t="s">
        <v>542</v>
      </c>
      <c r="B285" s="428" t="s">
        <v>736</v>
      </c>
      <c r="C285" s="165"/>
      <c r="D285" s="163"/>
      <c r="E285" s="165"/>
      <c r="F285" s="527"/>
      <c r="G285" s="527">
        <v>4984399</v>
      </c>
      <c r="H285" s="528"/>
      <c r="I285" s="528"/>
      <c r="J285" s="527"/>
      <c r="K285" s="527"/>
      <c r="L285" s="527">
        <v>7649238</v>
      </c>
      <c r="M285" s="528"/>
      <c r="N285" s="528"/>
      <c r="O285" s="527"/>
      <c r="P285" s="527"/>
      <c r="Q285" s="527">
        <v>4405122</v>
      </c>
      <c r="R285" s="528"/>
    </row>
    <row r="286" spans="1:18" ht="92.4">
      <c r="A286" s="426" t="s">
        <v>544</v>
      </c>
      <c r="B286" s="428" t="s">
        <v>737</v>
      </c>
      <c r="C286" s="165"/>
      <c r="D286" s="163"/>
      <c r="E286" s="165"/>
      <c r="F286" s="527"/>
      <c r="G286" s="527">
        <v>6087960</v>
      </c>
      <c r="H286" s="528"/>
      <c r="I286" s="528"/>
      <c r="J286" s="527"/>
      <c r="K286" s="527"/>
      <c r="L286" s="527">
        <v>6655772</v>
      </c>
      <c r="M286" s="528"/>
      <c r="N286" s="528"/>
      <c r="O286" s="527"/>
      <c r="P286" s="527"/>
      <c r="Q286" s="527">
        <v>5892896</v>
      </c>
      <c r="R286" s="528"/>
    </row>
    <row r="287" spans="1:18" ht="92.4">
      <c r="A287" s="426" t="s">
        <v>546</v>
      </c>
      <c r="B287" s="428" t="s">
        <v>738</v>
      </c>
      <c r="C287" s="165"/>
      <c r="D287" s="163"/>
      <c r="E287" s="165"/>
      <c r="F287" s="527"/>
      <c r="G287" s="527">
        <v>704109</v>
      </c>
      <c r="H287" s="528"/>
      <c r="I287" s="528"/>
      <c r="J287" s="527"/>
      <c r="K287" s="527"/>
      <c r="L287" s="527">
        <v>704109</v>
      </c>
      <c r="M287" s="528"/>
      <c r="N287" s="528"/>
      <c r="O287" s="527"/>
      <c r="P287" s="527"/>
      <c r="Q287" s="527">
        <v>704109</v>
      </c>
      <c r="R287" s="528"/>
    </row>
    <row r="288" spans="1:18" ht="92.4">
      <c r="A288" s="426" t="s">
        <v>548</v>
      </c>
      <c r="B288" s="428" t="s">
        <v>739</v>
      </c>
      <c r="C288" s="165"/>
      <c r="D288" s="163"/>
      <c r="E288" s="165"/>
      <c r="F288" s="527"/>
      <c r="G288" s="527">
        <v>747484</v>
      </c>
      <c r="H288" s="528"/>
      <c r="I288" s="528"/>
      <c r="J288" s="527"/>
      <c r="K288" s="527"/>
      <c r="L288" s="527">
        <v>747484</v>
      </c>
      <c r="M288" s="528"/>
      <c r="N288" s="528"/>
      <c r="O288" s="527"/>
      <c r="P288" s="527"/>
      <c r="Q288" s="527">
        <v>747484</v>
      </c>
      <c r="R288" s="528"/>
    </row>
    <row r="289" spans="1:18" ht="118.8">
      <c r="A289" s="426" t="s">
        <v>550</v>
      </c>
      <c r="B289" s="428" t="s">
        <v>740</v>
      </c>
      <c r="C289" s="165"/>
      <c r="D289" s="163"/>
      <c r="E289" s="165"/>
      <c r="F289" s="527"/>
      <c r="G289" s="527">
        <v>708162</v>
      </c>
      <c r="H289" s="528"/>
      <c r="I289" s="528"/>
      <c r="J289" s="527"/>
      <c r="K289" s="527"/>
      <c r="L289" s="527">
        <v>708162</v>
      </c>
      <c r="M289" s="528"/>
      <c r="N289" s="528"/>
      <c r="O289" s="527"/>
      <c r="P289" s="527"/>
      <c r="Q289" s="527">
        <v>708162</v>
      </c>
      <c r="R289" s="528"/>
    </row>
    <row r="290" spans="1:18" ht="105.6">
      <c r="A290" s="426" t="s">
        <v>552</v>
      </c>
      <c r="B290" s="428" t="s">
        <v>741</v>
      </c>
      <c r="C290" s="165"/>
      <c r="D290" s="163"/>
      <c r="E290" s="165"/>
      <c r="F290" s="527"/>
      <c r="G290" s="527">
        <v>0</v>
      </c>
      <c r="H290" s="528"/>
      <c r="I290" s="528"/>
      <c r="J290" s="527"/>
      <c r="K290" s="527"/>
      <c r="L290" s="527">
        <v>0</v>
      </c>
      <c r="M290" s="528"/>
      <c r="N290" s="528"/>
      <c r="O290" s="527"/>
      <c r="P290" s="527"/>
      <c r="Q290" s="527">
        <v>560000</v>
      </c>
      <c r="R290" s="528"/>
    </row>
    <row r="291" spans="1:18" ht="279" customHeight="1">
      <c r="A291" s="426" t="s">
        <v>554</v>
      </c>
      <c r="B291" s="811" t="s">
        <v>742</v>
      </c>
      <c r="C291" s="165"/>
      <c r="D291" s="163"/>
      <c r="E291" s="165"/>
      <c r="F291" s="527"/>
      <c r="G291" s="527">
        <v>0</v>
      </c>
      <c r="H291" s="528"/>
      <c r="I291" s="528"/>
      <c r="J291" s="527"/>
      <c r="K291" s="527"/>
      <c r="L291" s="527">
        <v>0</v>
      </c>
      <c r="M291" s="528"/>
      <c r="N291" s="528"/>
      <c r="O291" s="527"/>
      <c r="P291" s="527"/>
      <c r="Q291" s="527">
        <v>3446992</v>
      </c>
      <c r="R291" s="528"/>
    </row>
    <row r="292" spans="1:18" ht="137.4" customHeight="1">
      <c r="A292" s="426" t="s">
        <v>556</v>
      </c>
      <c r="B292" s="811" t="s">
        <v>743</v>
      </c>
      <c r="C292" s="165"/>
      <c r="D292" s="163"/>
      <c r="E292" s="165"/>
      <c r="F292" s="527"/>
      <c r="G292" s="527">
        <v>72439</v>
      </c>
      <c r="H292" s="528"/>
      <c r="I292" s="528"/>
      <c r="J292" s="527"/>
      <c r="K292" s="527"/>
      <c r="L292" s="527">
        <v>0</v>
      </c>
      <c r="M292" s="528"/>
      <c r="N292" s="528"/>
      <c r="O292" s="527"/>
      <c r="P292" s="527"/>
      <c r="Q292" s="527">
        <v>0</v>
      </c>
      <c r="R292" s="528"/>
    </row>
    <row r="293" spans="1:18" ht="250.8">
      <c r="A293" s="426" t="s">
        <v>558</v>
      </c>
      <c r="B293" s="811" t="s">
        <v>744</v>
      </c>
      <c r="C293" s="165"/>
      <c r="D293" s="163"/>
      <c r="E293" s="165"/>
      <c r="F293" s="527"/>
      <c r="G293" s="527">
        <v>32100</v>
      </c>
      <c r="H293" s="528"/>
      <c r="I293" s="528"/>
      <c r="J293" s="527"/>
      <c r="K293" s="527"/>
      <c r="L293" s="527">
        <v>415307</v>
      </c>
      <c r="M293" s="528"/>
      <c r="N293" s="528"/>
      <c r="O293" s="527"/>
      <c r="P293" s="527"/>
      <c r="Q293" s="527">
        <v>0</v>
      </c>
      <c r="R293" s="528"/>
    </row>
    <row r="294" spans="1:18" ht="236.4" customHeight="1">
      <c r="A294" s="426" t="s">
        <v>745</v>
      </c>
      <c r="B294" s="811" t="s">
        <v>746</v>
      </c>
      <c r="C294" s="165"/>
      <c r="D294" s="163"/>
      <c r="E294" s="165"/>
      <c r="F294" s="527"/>
      <c r="G294" s="527">
        <v>0</v>
      </c>
      <c r="H294" s="528"/>
      <c r="I294" s="528"/>
      <c r="J294" s="527"/>
      <c r="K294" s="527"/>
      <c r="L294" s="527">
        <v>8500</v>
      </c>
      <c r="M294" s="528"/>
      <c r="N294" s="528"/>
      <c r="O294" s="527"/>
      <c r="P294" s="527"/>
      <c r="Q294" s="527">
        <v>65000</v>
      </c>
      <c r="R294" s="528"/>
    </row>
    <row r="295" spans="1:18" ht="139.80000000000001" customHeight="1">
      <c r="A295" s="426" t="s">
        <v>747</v>
      </c>
      <c r="B295" s="428" t="s">
        <v>748</v>
      </c>
      <c r="C295" s="165"/>
      <c r="D295" s="163"/>
      <c r="E295" s="165"/>
      <c r="F295" s="527"/>
      <c r="G295" s="527">
        <v>1932</v>
      </c>
      <c r="H295" s="528"/>
      <c r="I295" s="528"/>
      <c r="J295" s="527"/>
      <c r="K295" s="527"/>
      <c r="L295" s="527">
        <v>0</v>
      </c>
      <c r="M295" s="528"/>
      <c r="N295" s="528"/>
      <c r="O295" s="527"/>
      <c r="P295" s="527"/>
      <c r="Q295" s="527">
        <v>0</v>
      </c>
      <c r="R295" s="528"/>
    </row>
    <row r="296" spans="1:18" ht="13.2">
      <c r="A296" s="369" t="s">
        <v>245</v>
      </c>
      <c r="B296" s="370" t="s">
        <v>140</v>
      </c>
      <c r="C296" s="165"/>
      <c r="D296" s="163"/>
      <c r="E296" s="165"/>
      <c r="F296" s="482"/>
      <c r="G296" s="482"/>
      <c r="H296" s="483"/>
      <c r="I296" s="483"/>
      <c r="J296" s="482"/>
      <c r="K296" s="482"/>
      <c r="L296" s="482"/>
      <c r="M296" s="483"/>
      <c r="N296" s="483"/>
      <c r="O296" s="482"/>
      <c r="P296" s="482"/>
      <c r="Q296" s="482"/>
      <c r="R296" s="483"/>
    </row>
    <row r="297" spans="1:18" ht="13.2">
      <c r="A297" s="371"/>
      <c r="B297" s="372" t="s">
        <v>238</v>
      </c>
      <c r="C297" s="165"/>
      <c r="D297" s="163"/>
      <c r="E297" s="165"/>
      <c r="F297" s="482"/>
      <c r="G297" s="482"/>
      <c r="H297" s="483"/>
      <c r="I297" s="483"/>
      <c r="J297" s="482"/>
      <c r="K297" s="482"/>
      <c r="L297" s="482"/>
      <c r="M297" s="483"/>
      <c r="N297" s="483"/>
      <c r="O297" s="482"/>
      <c r="P297" s="482"/>
      <c r="Q297" s="482"/>
      <c r="R297" s="483"/>
    </row>
    <row r="298" spans="1:18" ht="13.2">
      <c r="A298" s="373" t="s">
        <v>223</v>
      </c>
      <c r="B298" s="374" t="s">
        <v>434</v>
      </c>
      <c r="C298" s="165"/>
      <c r="D298" s="163"/>
      <c r="E298" s="165"/>
      <c r="F298" s="482"/>
      <c r="G298" s="482"/>
      <c r="H298" s="483"/>
      <c r="I298" s="483"/>
      <c r="J298" s="482"/>
      <c r="K298" s="482"/>
      <c r="L298" s="482"/>
      <c r="M298" s="483"/>
      <c r="N298" s="483"/>
      <c r="O298" s="482"/>
      <c r="P298" s="482"/>
      <c r="Q298" s="482"/>
      <c r="R298" s="483"/>
    </row>
    <row r="299" spans="1:18" ht="178.2" customHeight="1">
      <c r="A299" s="426" t="s">
        <v>240</v>
      </c>
      <c r="B299" s="428" t="s">
        <v>749</v>
      </c>
      <c r="C299" s="165"/>
      <c r="D299" s="163"/>
      <c r="E299" s="527">
        <v>0</v>
      </c>
      <c r="F299" s="527"/>
      <c r="G299" s="527"/>
      <c r="H299" s="528"/>
      <c r="I299" s="528"/>
      <c r="J299" s="527">
        <v>0</v>
      </c>
      <c r="K299" s="527"/>
      <c r="L299" s="527"/>
      <c r="M299" s="528"/>
      <c r="N299" s="528"/>
      <c r="O299" s="527">
        <v>0</v>
      </c>
      <c r="P299" s="527"/>
      <c r="Q299" s="527"/>
      <c r="R299" s="528"/>
    </row>
    <row r="300" spans="1:18" ht="13.2">
      <c r="A300" s="377"/>
      <c r="B300" s="376"/>
      <c r="C300" s="165"/>
      <c r="D300" s="163"/>
      <c r="E300" s="165"/>
      <c r="F300" s="482"/>
      <c r="G300" s="482"/>
      <c r="H300" s="483"/>
      <c r="I300" s="483"/>
      <c r="J300" s="482"/>
      <c r="K300" s="482"/>
      <c r="L300" s="482"/>
      <c r="M300" s="483"/>
      <c r="N300" s="483"/>
      <c r="O300" s="482"/>
      <c r="P300" s="482"/>
      <c r="Q300" s="482"/>
      <c r="R300" s="483"/>
    </row>
    <row r="301" spans="1:18" ht="13.2">
      <c r="A301" s="378" t="s">
        <v>224</v>
      </c>
      <c r="B301" s="374" t="s">
        <v>242</v>
      </c>
      <c r="C301" s="165"/>
      <c r="D301" s="163"/>
      <c r="E301" s="165"/>
      <c r="F301" s="482"/>
      <c r="G301" s="482"/>
      <c r="H301" s="483"/>
      <c r="I301" s="483"/>
      <c r="J301" s="482"/>
      <c r="K301" s="482"/>
      <c r="L301" s="482"/>
      <c r="M301" s="483"/>
      <c r="N301" s="483"/>
      <c r="O301" s="482"/>
      <c r="P301" s="482"/>
      <c r="Q301" s="482"/>
      <c r="R301" s="483"/>
    </row>
    <row r="302" spans="1:18" ht="13.2">
      <c r="A302" s="375" t="s">
        <v>243</v>
      </c>
      <c r="B302" s="376" t="s">
        <v>244</v>
      </c>
      <c r="C302" s="165"/>
      <c r="D302" s="163"/>
      <c r="E302" s="165"/>
      <c r="F302" s="482"/>
      <c r="G302" s="482"/>
      <c r="H302" s="483"/>
      <c r="I302" s="483"/>
      <c r="J302" s="482"/>
      <c r="K302" s="482"/>
      <c r="L302" s="482"/>
      <c r="M302" s="483"/>
      <c r="N302" s="483"/>
      <c r="O302" s="482"/>
      <c r="P302" s="482"/>
      <c r="Q302" s="482"/>
      <c r="R302" s="483"/>
    </row>
    <row r="303" spans="1:18" ht="12">
      <c r="A303" s="33"/>
      <c r="B303" s="34"/>
      <c r="C303" s="165"/>
      <c r="D303" s="163"/>
      <c r="E303" s="165"/>
      <c r="F303" s="165"/>
      <c r="G303" s="165"/>
      <c r="H303" s="163"/>
      <c r="I303" s="163"/>
      <c r="J303" s="165"/>
      <c r="K303" s="165"/>
      <c r="L303" s="165"/>
      <c r="M303" s="163"/>
      <c r="N303" s="163"/>
      <c r="O303" s="165"/>
      <c r="P303" s="165"/>
      <c r="Q303" s="165"/>
      <c r="R303" s="163"/>
    </row>
    <row r="304" spans="1:18" ht="12">
      <c r="A304" s="33"/>
      <c r="B304" s="34"/>
      <c r="C304" s="165"/>
      <c r="D304" s="163"/>
      <c r="E304" s="165"/>
      <c r="F304" s="165"/>
      <c r="G304" s="165"/>
      <c r="H304" s="163"/>
      <c r="I304" s="163"/>
      <c r="J304" s="165"/>
      <c r="K304" s="165"/>
      <c r="L304" s="165"/>
      <c r="M304" s="163"/>
      <c r="N304" s="163"/>
      <c r="O304" s="165"/>
      <c r="P304" s="165"/>
      <c r="Q304" s="165"/>
      <c r="R304" s="163"/>
    </row>
    <row r="305" spans="1:18" ht="12">
      <c r="A305" s="33"/>
      <c r="B305" s="31"/>
      <c r="C305" s="165"/>
      <c r="D305" s="163"/>
      <c r="E305" s="165"/>
      <c r="F305" s="165"/>
      <c r="G305" s="165"/>
      <c r="H305" s="163"/>
      <c r="I305" s="163"/>
      <c r="J305" s="165"/>
      <c r="K305" s="165"/>
      <c r="L305" s="165"/>
      <c r="M305" s="163"/>
      <c r="N305" s="163"/>
      <c r="O305" s="165"/>
      <c r="P305" s="165"/>
      <c r="Q305" s="165"/>
      <c r="R305" s="163"/>
    </row>
    <row r="306" spans="1:18" ht="12">
      <c r="E306" s="165"/>
      <c r="F306" s="165"/>
      <c r="G306" s="165"/>
      <c r="H306" s="163"/>
      <c r="I306" s="163"/>
      <c r="J306" s="165"/>
      <c r="K306" s="165"/>
      <c r="L306" s="165"/>
      <c r="M306" s="163"/>
      <c r="N306" s="163"/>
      <c r="O306" s="165"/>
      <c r="P306" s="165"/>
      <c r="Q306" s="165"/>
      <c r="R306" s="163"/>
    </row>
    <row r="307" spans="1:18" ht="12">
      <c r="E307" s="165"/>
      <c r="F307" s="165"/>
      <c r="G307" s="165"/>
      <c r="H307" s="163"/>
      <c r="I307" s="163"/>
      <c r="J307" s="165"/>
      <c r="K307" s="165"/>
      <c r="L307" s="165"/>
      <c r="M307" s="163"/>
      <c r="N307" s="163"/>
      <c r="O307" s="165"/>
      <c r="P307" s="165"/>
      <c r="Q307" s="165"/>
      <c r="R307" s="163"/>
    </row>
    <row r="308" spans="1:18" ht="12">
      <c r="E308" s="165"/>
      <c r="F308" s="165"/>
      <c r="G308" s="165"/>
      <c r="H308" s="163"/>
      <c r="I308" s="163"/>
      <c r="J308" s="165"/>
      <c r="K308" s="165"/>
      <c r="L308" s="165"/>
      <c r="M308" s="163"/>
      <c r="N308" s="163"/>
      <c r="O308" s="165"/>
      <c r="P308" s="165"/>
      <c r="Q308" s="165"/>
      <c r="R308" s="163"/>
    </row>
    <row r="309" spans="1:18" ht="12">
      <c r="E309" s="165"/>
      <c r="F309" s="165"/>
      <c r="G309" s="165"/>
      <c r="H309" s="163"/>
      <c r="I309" s="163"/>
      <c r="J309" s="165"/>
      <c r="K309" s="165"/>
      <c r="L309" s="165"/>
      <c r="M309" s="163"/>
      <c r="N309" s="163"/>
      <c r="O309" s="165"/>
      <c r="P309" s="165"/>
      <c r="Q309" s="165"/>
      <c r="R309" s="163"/>
    </row>
    <row r="310" spans="1:18" ht="12">
      <c r="E310" s="165"/>
      <c r="F310" s="165"/>
      <c r="G310" s="165"/>
      <c r="H310" s="163"/>
      <c r="I310" s="163"/>
      <c r="J310" s="165"/>
      <c r="K310" s="165"/>
      <c r="L310" s="165"/>
      <c r="M310" s="163"/>
      <c r="N310" s="163"/>
      <c r="O310" s="165"/>
      <c r="P310" s="165"/>
      <c r="Q310" s="165"/>
      <c r="R310" s="163"/>
    </row>
    <row r="311" spans="1:18" ht="12">
      <c r="E311" s="165"/>
      <c r="F311" s="165"/>
      <c r="G311" s="165"/>
      <c r="H311" s="163"/>
      <c r="I311" s="163"/>
      <c r="J311" s="165"/>
      <c r="K311" s="165"/>
      <c r="L311" s="165"/>
      <c r="M311" s="163"/>
      <c r="N311" s="163"/>
      <c r="O311" s="165"/>
      <c r="P311" s="165"/>
      <c r="Q311" s="165"/>
      <c r="R311" s="163"/>
    </row>
    <row r="312" spans="1:18" ht="12">
      <c r="E312" s="165"/>
      <c r="F312" s="165"/>
      <c r="G312" s="165"/>
      <c r="H312" s="163"/>
      <c r="I312" s="163"/>
      <c r="J312" s="165"/>
      <c r="K312" s="165"/>
      <c r="L312" s="165"/>
      <c r="M312" s="163"/>
      <c r="N312" s="163"/>
      <c r="O312" s="165"/>
      <c r="P312" s="165"/>
      <c r="Q312" s="165"/>
      <c r="R312" s="163"/>
    </row>
    <row r="313" spans="1:18" ht="12">
      <c r="E313" s="165"/>
      <c r="F313" s="165"/>
      <c r="G313" s="165"/>
      <c r="H313" s="163"/>
      <c r="I313" s="163"/>
      <c r="J313" s="165"/>
      <c r="K313" s="165"/>
      <c r="L313" s="165"/>
      <c r="M313" s="163"/>
      <c r="N313" s="163"/>
      <c r="O313" s="165"/>
      <c r="P313" s="165"/>
      <c r="Q313" s="165"/>
      <c r="R313" s="163"/>
    </row>
    <row r="314" spans="1:18" ht="12">
      <c r="E314" s="165"/>
      <c r="F314" s="165"/>
      <c r="G314" s="165"/>
      <c r="H314" s="163"/>
      <c r="I314" s="163"/>
      <c r="J314" s="165"/>
      <c r="K314" s="165"/>
      <c r="L314" s="165"/>
      <c r="M314" s="163"/>
      <c r="N314" s="163"/>
      <c r="O314" s="165"/>
      <c r="P314" s="165"/>
      <c r="Q314" s="165"/>
      <c r="R314" s="163"/>
    </row>
    <row r="315" spans="1:18" ht="12">
      <c r="E315" s="165"/>
      <c r="F315" s="165"/>
      <c r="G315" s="165"/>
      <c r="H315" s="163"/>
      <c r="I315" s="163"/>
      <c r="J315" s="165"/>
      <c r="K315" s="165"/>
      <c r="L315" s="165"/>
      <c r="M315" s="163"/>
      <c r="N315" s="163"/>
      <c r="O315" s="165"/>
      <c r="P315" s="165"/>
      <c r="Q315" s="165"/>
      <c r="R315" s="163"/>
    </row>
    <row r="316" spans="1:18" ht="12">
      <c r="E316" s="165"/>
      <c r="F316" s="165"/>
      <c r="G316" s="165"/>
      <c r="H316" s="163"/>
      <c r="I316" s="163"/>
      <c r="J316" s="165"/>
      <c r="K316" s="165"/>
      <c r="L316" s="165"/>
      <c r="M316" s="163"/>
      <c r="N316" s="163"/>
      <c r="O316" s="165"/>
      <c r="P316" s="165"/>
      <c r="Q316" s="165"/>
      <c r="R316" s="163"/>
    </row>
    <row r="317" spans="1:18" ht="12">
      <c r="E317" s="165"/>
      <c r="F317" s="165"/>
      <c r="G317" s="165"/>
      <c r="H317" s="163"/>
      <c r="I317" s="163"/>
      <c r="J317" s="165"/>
      <c r="K317" s="165"/>
      <c r="L317" s="165"/>
      <c r="M317" s="163"/>
      <c r="N317" s="163"/>
      <c r="O317" s="165"/>
      <c r="P317" s="165"/>
      <c r="Q317" s="165"/>
      <c r="R317" s="163"/>
    </row>
    <row r="318" spans="1:18" ht="12">
      <c r="E318" s="165"/>
      <c r="F318" s="165"/>
      <c r="G318" s="165"/>
      <c r="H318" s="163"/>
      <c r="I318" s="163"/>
      <c r="J318" s="165"/>
      <c r="K318" s="165"/>
      <c r="L318" s="165"/>
      <c r="M318" s="163"/>
      <c r="N318" s="163"/>
      <c r="O318" s="165"/>
      <c r="P318" s="165"/>
      <c r="Q318" s="165"/>
      <c r="R318" s="163"/>
    </row>
    <row r="319" spans="1:18" ht="12">
      <c r="E319" s="165"/>
      <c r="F319" s="165"/>
      <c r="G319" s="165"/>
      <c r="H319" s="163"/>
      <c r="I319" s="163"/>
      <c r="J319" s="165"/>
      <c r="K319" s="165"/>
      <c r="L319" s="165"/>
      <c r="M319" s="163"/>
      <c r="N319" s="163"/>
      <c r="O319" s="165"/>
      <c r="P319" s="165"/>
      <c r="Q319" s="165"/>
      <c r="R319" s="163"/>
    </row>
    <row r="320" spans="1:18" ht="12">
      <c r="E320" s="165"/>
      <c r="F320" s="165"/>
      <c r="G320" s="165"/>
      <c r="H320" s="163"/>
      <c r="I320" s="163"/>
      <c r="J320" s="165"/>
      <c r="K320" s="165"/>
      <c r="L320" s="165"/>
      <c r="M320" s="163"/>
      <c r="N320" s="163"/>
      <c r="O320" s="165"/>
      <c r="P320" s="165"/>
      <c r="Q320" s="165"/>
      <c r="R320" s="163"/>
    </row>
    <row r="321" spans="5:18" ht="12">
      <c r="E321" s="165"/>
      <c r="F321" s="165"/>
      <c r="G321" s="165"/>
      <c r="H321" s="163"/>
      <c r="I321" s="163"/>
      <c r="J321" s="165"/>
      <c r="K321" s="165"/>
      <c r="L321" s="165"/>
      <c r="M321" s="163"/>
      <c r="N321" s="163"/>
      <c r="O321" s="165"/>
      <c r="P321" s="165"/>
      <c r="Q321" s="165"/>
      <c r="R321" s="163"/>
    </row>
    <row r="322" spans="5:18" ht="12">
      <c r="E322" s="165"/>
      <c r="F322" s="165"/>
      <c r="G322" s="165"/>
      <c r="H322" s="163"/>
      <c r="I322" s="163"/>
      <c r="J322" s="165"/>
      <c r="K322" s="165"/>
      <c r="L322" s="165"/>
      <c r="M322" s="163"/>
      <c r="N322" s="163"/>
      <c r="O322" s="165"/>
      <c r="P322" s="165"/>
      <c r="Q322" s="165"/>
      <c r="R322" s="163"/>
    </row>
    <row r="323" spans="5:18" ht="12">
      <c r="E323" s="165"/>
      <c r="F323" s="165"/>
      <c r="G323" s="165"/>
      <c r="H323" s="163"/>
      <c r="I323" s="163"/>
      <c r="J323" s="165"/>
      <c r="K323" s="165"/>
      <c r="L323" s="165"/>
      <c r="M323" s="163"/>
      <c r="N323" s="163"/>
      <c r="O323" s="165"/>
      <c r="P323" s="165"/>
      <c r="Q323" s="165"/>
      <c r="R323" s="163"/>
    </row>
    <row r="324" spans="5:18" ht="12">
      <c r="E324" s="165"/>
      <c r="F324" s="165"/>
      <c r="G324" s="165"/>
      <c r="H324" s="163"/>
      <c r="I324" s="163"/>
      <c r="J324" s="165"/>
      <c r="K324" s="165"/>
      <c r="L324" s="165"/>
      <c r="M324" s="163"/>
      <c r="N324" s="163"/>
      <c r="O324" s="165"/>
      <c r="P324" s="165"/>
      <c r="Q324" s="165"/>
      <c r="R324" s="163"/>
    </row>
    <row r="325" spans="5:18" ht="12">
      <c r="E325" s="165"/>
      <c r="F325" s="165"/>
      <c r="G325" s="165"/>
      <c r="H325" s="163"/>
      <c r="I325" s="163"/>
      <c r="J325" s="165"/>
      <c r="K325" s="165"/>
      <c r="L325" s="165"/>
      <c r="M325" s="163"/>
      <c r="N325" s="163"/>
      <c r="O325" s="165"/>
      <c r="P325" s="165"/>
      <c r="Q325" s="165"/>
      <c r="R325" s="163"/>
    </row>
    <row r="326" spans="5:18" ht="12">
      <c r="E326" s="165"/>
      <c r="F326" s="165"/>
      <c r="G326" s="165"/>
      <c r="H326" s="163"/>
      <c r="I326" s="163"/>
      <c r="J326" s="165"/>
      <c r="K326" s="165"/>
      <c r="L326" s="165"/>
      <c r="M326" s="163"/>
      <c r="N326" s="163"/>
      <c r="O326" s="165"/>
      <c r="P326" s="165"/>
      <c r="Q326" s="165"/>
      <c r="R326" s="163"/>
    </row>
    <row r="327" spans="5:18" ht="12">
      <c r="E327" s="165"/>
      <c r="F327" s="165"/>
      <c r="G327" s="165"/>
      <c r="H327" s="163"/>
      <c r="I327" s="163"/>
      <c r="J327" s="165"/>
      <c r="K327" s="165"/>
      <c r="L327" s="165"/>
      <c r="M327" s="163"/>
      <c r="N327" s="163"/>
      <c r="O327" s="165"/>
      <c r="P327" s="165"/>
      <c r="Q327" s="165"/>
      <c r="R327" s="163"/>
    </row>
    <row r="328" spans="5:18" ht="12">
      <c r="E328" s="165"/>
      <c r="F328" s="165"/>
      <c r="G328" s="165"/>
      <c r="H328" s="163"/>
      <c r="I328" s="163"/>
      <c r="J328" s="165"/>
      <c r="K328" s="165"/>
      <c r="L328" s="165"/>
      <c r="M328" s="163"/>
      <c r="N328" s="163"/>
      <c r="O328" s="165"/>
      <c r="P328" s="165"/>
      <c r="Q328" s="165"/>
      <c r="R328" s="163"/>
    </row>
    <row r="329" spans="5:18" ht="12">
      <c r="E329" s="165"/>
      <c r="F329" s="165"/>
      <c r="G329" s="165"/>
      <c r="H329" s="163"/>
      <c r="I329" s="163"/>
      <c r="J329" s="165"/>
      <c r="K329" s="165"/>
      <c r="L329" s="165"/>
      <c r="M329" s="163"/>
      <c r="N329" s="163"/>
      <c r="O329" s="165"/>
      <c r="P329" s="165"/>
      <c r="Q329" s="165"/>
      <c r="R329" s="163"/>
    </row>
    <row r="330" spans="5:18" ht="12">
      <c r="E330" s="165"/>
      <c r="F330" s="165"/>
      <c r="G330" s="165"/>
      <c r="H330" s="163"/>
      <c r="I330" s="163"/>
      <c r="J330" s="165"/>
      <c r="K330" s="165"/>
      <c r="L330" s="165"/>
      <c r="M330" s="163"/>
      <c r="N330" s="163"/>
      <c r="O330" s="165"/>
      <c r="P330" s="165"/>
      <c r="Q330" s="165"/>
      <c r="R330" s="163"/>
    </row>
    <row r="331" spans="5:18" ht="12">
      <c r="E331" s="165"/>
      <c r="F331" s="165"/>
      <c r="G331" s="165"/>
      <c r="H331" s="163"/>
      <c r="I331" s="163"/>
      <c r="J331" s="165"/>
      <c r="K331" s="165"/>
      <c r="L331" s="165"/>
      <c r="M331" s="163"/>
      <c r="N331" s="163"/>
      <c r="O331" s="165"/>
      <c r="P331" s="165"/>
      <c r="Q331" s="165"/>
      <c r="R331" s="163"/>
    </row>
    <row r="332" spans="5:18" ht="12">
      <c r="E332" s="165"/>
      <c r="F332" s="165"/>
      <c r="G332" s="165"/>
      <c r="H332" s="163"/>
      <c r="I332" s="163"/>
      <c r="J332" s="165"/>
      <c r="K332" s="165"/>
      <c r="L332" s="165"/>
      <c r="M332" s="163"/>
      <c r="N332" s="163"/>
      <c r="O332" s="165"/>
      <c r="P332" s="165"/>
      <c r="Q332" s="165"/>
      <c r="R332" s="163"/>
    </row>
    <row r="333" spans="5:18" ht="12">
      <c r="E333" s="165"/>
      <c r="F333" s="165"/>
      <c r="G333" s="165"/>
      <c r="H333" s="163"/>
      <c r="I333" s="163"/>
      <c r="J333" s="165"/>
      <c r="K333" s="165"/>
      <c r="L333" s="165"/>
      <c r="M333" s="163"/>
      <c r="N333" s="163"/>
      <c r="O333" s="165"/>
      <c r="P333" s="165"/>
      <c r="Q333" s="165"/>
      <c r="R333" s="163"/>
    </row>
    <row r="334" spans="5:18" ht="12">
      <c r="E334" s="165"/>
      <c r="F334" s="165"/>
      <c r="G334" s="165"/>
      <c r="H334" s="163"/>
      <c r="I334" s="163"/>
      <c r="J334" s="165"/>
      <c r="K334" s="165"/>
      <c r="L334" s="165"/>
      <c r="M334" s="163"/>
      <c r="N334" s="163"/>
      <c r="O334" s="165"/>
      <c r="P334" s="165"/>
      <c r="Q334" s="165"/>
      <c r="R334" s="163"/>
    </row>
    <row r="335" spans="5:18" ht="12">
      <c r="E335" s="165"/>
      <c r="F335" s="165"/>
      <c r="G335" s="165"/>
      <c r="H335" s="163"/>
      <c r="I335" s="163"/>
      <c r="J335" s="165"/>
      <c r="K335" s="165"/>
      <c r="L335" s="165"/>
      <c r="M335" s="163"/>
      <c r="N335" s="163"/>
      <c r="O335" s="165"/>
      <c r="P335" s="165"/>
      <c r="Q335" s="165"/>
      <c r="R335" s="163"/>
    </row>
    <row r="336" spans="5:18" ht="12">
      <c r="E336" s="165"/>
      <c r="F336" s="165"/>
      <c r="G336" s="165"/>
      <c r="H336" s="163"/>
      <c r="I336" s="163"/>
      <c r="J336" s="165"/>
      <c r="K336" s="165"/>
      <c r="L336" s="165"/>
      <c r="M336" s="163"/>
      <c r="N336" s="163"/>
      <c r="O336" s="165"/>
      <c r="P336" s="165"/>
      <c r="Q336" s="165"/>
      <c r="R336" s="163"/>
    </row>
    <row r="337" spans="5:18" ht="12">
      <c r="E337" s="165"/>
      <c r="F337" s="165"/>
      <c r="G337" s="165"/>
      <c r="H337" s="163"/>
      <c r="I337" s="163"/>
      <c r="J337" s="165"/>
      <c r="K337" s="165"/>
      <c r="L337" s="165"/>
      <c r="M337" s="163"/>
      <c r="N337" s="163"/>
      <c r="O337" s="165"/>
      <c r="P337" s="165"/>
      <c r="Q337" s="165"/>
      <c r="R337" s="163"/>
    </row>
    <row r="338" spans="5:18" ht="12">
      <c r="E338" s="165"/>
      <c r="F338" s="165"/>
      <c r="G338" s="165"/>
      <c r="H338" s="163"/>
      <c r="I338" s="163"/>
      <c r="J338" s="165"/>
      <c r="K338" s="165"/>
      <c r="L338" s="165"/>
      <c r="M338" s="163"/>
      <c r="N338" s="163"/>
      <c r="O338" s="165"/>
      <c r="P338" s="165"/>
      <c r="Q338" s="165"/>
      <c r="R338" s="163"/>
    </row>
    <row r="339" spans="5:18" ht="12">
      <c r="E339" s="165"/>
      <c r="F339" s="165"/>
      <c r="G339" s="165"/>
      <c r="H339" s="163"/>
      <c r="I339" s="163"/>
      <c r="J339" s="165"/>
      <c r="K339" s="165"/>
      <c r="L339" s="165"/>
      <c r="M339" s="163"/>
      <c r="N339" s="163"/>
      <c r="O339" s="165"/>
      <c r="P339" s="165"/>
      <c r="Q339" s="165"/>
      <c r="R339" s="163"/>
    </row>
    <row r="340" spans="5:18" ht="12">
      <c r="E340" s="165"/>
      <c r="F340" s="165"/>
      <c r="G340" s="165"/>
      <c r="H340" s="163"/>
      <c r="I340" s="163"/>
      <c r="J340" s="165"/>
      <c r="K340" s="165"/>
      <c r="L340" s="165"/>
      <c r="M340" s="163"/>
      <c r="N340" s="163"/>
      <c r="O340" s="165"/>
      <c r="P340" s="165"/>
      <c r="Q340" s="165"/>
      <c r="R340" s="163"/>
    </row>
    <row r="341" spans="5:18" ht="12">
      <c r="E341" s="165"/>
      <c r="F341" s="165"/>
      <c r="G341" s="165"/>
      <c r="H341" s="163"/>
      <c r="I341" s="163"/>
      <c r="J341" s="165"/>
      <c r="K341" s="165"/>
      <c r="L341" s="165"/>
      <c r="M341" s="163"/>
      <c r="N341" s="163"/>
      <c r="O341" s="165"/>
      <c r="P341" s="165"/>
      <c r="Q341" s="165"/>
      <c r="R341" s="163"/>
    </row>
    <row r="342" spans="5:18" ht="12">
      <c r="E342" s="165"/>
      <c r="F342" s="165"/>
      <c r="G342" s="165"/>
      <c r="H342" s="163"/>
      <c r="I342" s="163"/>
      <c r="J342" s="165"/>
      <c r="K342" s="165"/>
      <c r="L342" s="165"/>
      <c r="M342" s="163"/>
      <c r="N342" s="163"/>
      <c r="O342" s="165"/>
      <c r="P342" s="165"/>
      <c r="Q342" s="165"/>
      <c r="R342" s="163"/>
    </row>
    <row r="343" spans="5:18" ht="12">
      <c r="E343" s="165"/>
      <c r="F343" s="165"/>
      <c r="G343" s="165"/>
      <c r="H343" s="163"/>
      <c r="I343" s="163"/>
      <c r="J343" s="165"/>
      <c r="K343" s="165"/>
      <c r="L343" s="165"/>
      <c r="M343" s="163"/>
      <c r="N343" s="163"/>
      <c r="O343" s="165"/>
      <c r="P343" s="165"/>
      <c r="Q343" s="165"/>
      <c r="R343" s="163"/>
    </row>
    <row r="344" spans="5:18" ht="12">
      <c r="E344" s="165"/>
      <c r="F344" s="165"/>
      <c r="G344" s="165"/>
      <c r="H344" s="163"/>
      <c r="I344" s="163"/>
      <c r="J344" s="165"/>
      <c r="K344" s="165"/>
      <c r="L344" s="165"/>
      <c r="M344" s="163"/>
      <c r="N344" s="163"/>
      <c r="O344" s="165"/>
      <c r="P344" s="165"/>
      <c r="Q344" s="165"/>
      <c r="R344" s="163"/>
    </row>
    <row r="345" spans="5:18" ht="12">
      <c r="E345" s="165"/>
      <c r="F345" s="165"/>
      <c r="G345" s="165"/>
      <c r="H345" s="163"/>
      <c r="I345" s="163"/>
      <c r="J345" s="165"/>
      <c r="K345" s="165"/>
      <c r="L345" s="165"/>
      <c r="M345" s="163"/>
      <c r="N345" s="163"/>
      <c r="O345" s="165"/>
      <c r="P345" s="165"/>
      <c r="Q345" s="165"/>
      <c r="R345" s="163"/>
    </row>
    <row r="346" spans="5:18" ht="12">
      <c r="E346" s="165"/>
      <c r="F346" s="165"/>
      <c r="G346" s="165"/>
      <c r="H346" s="163"/>
      <c r="I346" s="163"/>
      <c r="J346" s="165"/>
      <c r="K346" s="165"/>
      <c r="L346" s="165"/>
      <c r="M346" s="163"/>
      <c r="N346" s="163"/>
      <c r="O346" s="165"/>
      <c r="P346" s="165"/>
      <c r="Q346" s="165"/>
      <c r="R346" s="163"/>
    </row>
    <row r="347" spans="5:18" ht="12">
      <c r="E347" s="165"/>
      <c r="F347" s="165"/>
      <c r="G347" s="165"/>
      <c r="H347" s="163"/>
      <c r="I347" s="163"/>
      <c r="J347" s="165"/>
      <c r="K347" s="165"/>
      <c r="L347" s="165"/>
      <c r="M347" s="163"/>
      <c r="N347" s="163"/>
      <c r="O347" s="165"/>
      <c r="P347" s="165"/>
      <c r="Q347" s="165"/>
      <c r="R347" s="163"/>
    </row>
    <row r="348" spans="5:18" ht="12">
      <c r="E348" s="165"/>
      <c r="F348" s="165"/>
      <c r="G348" s="165"/>
      <c r="H348" s="163"/>
      <c r="I348" s="163"/>
      <c r="J348" s="165"/>
      <c r="K348" s="165"/>
      <c r="L348" s="165"/>
      <c r="M348" s="163"/>
      <c r="N348" s="163"/>
      <c r="O348" s="165"/>
      <c r="P348" s="165"/>
      <c r="Q348" s="165"/>
      <c r="R348" s="163"/>
    </row>
    <row r="349" spans="5:18" ht="12">
      <c r="E349" s="165"/>
      <c r="F349" s="165"/>
      <c r="G349" s="165"/>
      <c r="H349" s="163"/>
      <c r="I349" s="163"/>
      <c r="J349" s="165"/>
      <c r="K349" s="165"/>
      <c r="L349" s="165"/>
      <c r="M349" s="163"/>
      <c r="N349" s="163"/>
      <c r="O349" s="165"/>
      <c r="P349" s="165"/>
      <c r="Q349" s="165"/>
      <c r="R349" s="163"/>
    </row>
    <row r="350" spans="5:18" ht="12">
      <c r="E350" s="165"/>
      <c r="F350" s="165"/>
      <c r="G350" s="165"/>
      <c r="H350" s="163"/>
      <c r="I350" s="163"/>
      <c r="J350" s="165"/>
      <c r="K350" s="165"/>
      <c r="L350" s="165"/>
      <c r="M350" s="163"/>
      <c r="N350" s="163"/>
      <c r="O350" s="165"/>
      <c r="P350" s="165"/>
      <c r="Q350" s="165"/>
      <c r="R350" s="163"/>
    </row>
    <row r="351" spans="5:18" ht="12">
      <c r="E351" s="165"/>
      <c r="F351" s="165"/>
      <c r="G351" s="165"/>
      <c r="H351" s="163"/>
      <c r="I351" s="163"/>
      <c r="J351" s="165"/>
      <c r="K351" s="165"/>
      <c r="L351" s="165"/>
      <c r="M351" s="163"/>
      <c r="N351" s="163"/>
      <c r="O351" s="165"/>
      <c r="P351" s="165"/>
      <c r="Q351" s="165"/>
      <c r="R351" s="163"/>
    </row>
    <row r="352" spans="5:18" ht="12">
      <c r="E352" s="165"/>
      <c r="F352" s="165"/>
      <c r="G352" s="165"/>
      <c r="H352" s="163"/>
      <c r="I352" s="163"/>
      <c r="J352" s="165"/>
      <c r="K352" s="165"/>
      <c r="L352" s="165"/>
      <c r="M352" s="163"/>
      <c r="N352" s="163"/>
      <c r="O352" s="165"/>
      <c r="P352" s="165"/>
      <c r="Q352" s="165"/>
      <c r="R352" s="163"/>
    </row>
    <row r="353" spans="5:18" ht="12">
      <c r="E353" s="165"/>
      <c r="F353" s="165"/>
      <c r="G353" s="165"/>
      <c r="H353" s="163"/>
      <c r="I353" s="163"/>
      <c r="J353" s="165"/>
      <c r="K353" s="165"/>
      <c r="L353" s="165"/>
      <c r="M353" s="163"/>
      <c r="N353" s="163"/>
      <c r="O353" s="165"/>
      <c r="P353" s="165"/>
      <c r="Q353" s="165"/>
      <c r="R353" s="163"/>
    </row>
    <row r="354" spans="5:18" ht="12">
      <c r="E354" s="165"/>
      <c r="F354" s="165"/>
      <c r="G354" s="165"/>
      <c r="H354" s="163"/>
      <c r="I354" s="163"/>
      <c r="J354" s="165"/>
      <c r="K354" s="165"/>
      <c r="L354" s="165"/>
      <c r="M354" s="163"/>
      <c r="N354" s="163"/>
      <c r="O354" s="165"/>
      <c r="P354" s="165"/>
      <c r="Q354" s="165"/>
      <c r="R354" s="163"/>
    </row>
    <row r="355" spans="5:18" ht="12">
      <c r="E355" s="165"/>
      <c r="F355" s="165"/>
      <c r="G355" s="165"/>
      <c r="H355" s="163"/>
      <c r="I355" s="163"/>
      <c r="J355" s="165"/>
      <c r="K355" s="165"/>
      <c r="L355" s="165"/>
      <c r="M355" s="163"/>
      <c r="N355" s="163"/>
      <c r="O355" s="165"/>
      <c r="P355" s="165"/>
      <c r="Q355" s="165"/>
      <c r="R355" s="163"/>
    </row>
    <row r="356" spans="5:18" ht="12">
      <c r="E356" s="165"/>
      <c r="F356" s="165"/>
      <c r="G356" s="165"/>
      <c r="H356" s="163"/>
      <c r="I356" s="163"/>
      <c r="J356" s="165"/>
      <c r="K356" s="165"/>
      <c r="L356" s="165"/>
      <c r="M356" s="163"/>
      <c r="N356" s="163"/>
      <c r="O356" s="165"/>
      <c r="P356" s="165"/>
      <c r="Q356" s="165"/>
      <c r="R356" s="163"/>
    </row>
    <row r="357" spans="5:18" ht="12">
      <c r="E357" s="165"/>
      <c r="F357" s="165"/>
      <c r="G357" s="165"/>
      <c r="H357" s="163"/>
      <c r="I357" s="163"/>
      <c r="J357" s="165"/>
      <c r="K357" s="165"/>
      <c r="L357" s="165"/>
      <c r="M357" s="163"/>
      <c r="N357" s="163"/>
      <c r="O357" s="165"/>
      <c r="P357" s="165"/>
      <c r="Q357" s="165"/>
      <c r="R357" s="163"/>
    </row>
    <row r="358" spans="5:18" ht="12">
      <c r="E358" s="165"/>
      <c r="F358" s="165"/>
      <c r="G358" s="165"/>
      <c r="H358" s="163"/>
      <c r="I358" s="163"/>
      <c r="J358" s="165"/>
      <c r="K358" s="165"/>
      <c r="L358" s="165"/>
      <c r="M358" s="163"/>
      <c r="N358" s="163"/>
      <c r="O358" s="165"/>
      <c r="P358" s="165"/>
      <c r="Q358" s="165"/>
      <c r="R358" s="163"/>
    </row>
    <row r="359" spans="5:18" ht="12">
      <c r="E359" s="165"/>
      <c r="F359" s="165"/>
      <c r="G359" s="165"/>
      <c r="H359" s="163"/>
      <c r="I359" s="163"/>
      <c r="J359" s="165"/>
      <c r="K359" s="165"/>
      <c r="L359" s="165"/>
      <c r="M359" s="163"/>
      <c r="N359" s="163"/>
      <c r="O359" s="165"/>
      <c r="P359" s="165"/>
      <c r="Q359" s="165"/>
      <c r="R359" s="163"/>
    </row>
    <row r="360" spans="5:18" ht="12">
      <c r="E360" s="165"/>
      <c r="F360" s="165"/>
      <c r="G360" s="165"/>
      <c r="H360" s="163"/>
      <c r="I360" s="163"/>
      <c r="J360" s="165"/>
      <c r="K360" s="165"/>
      <c r="L360" s="165"/>
      <c r="M360" s="163"/>
      <c r="N360" s="163"/>
      <c r="O360" s="165"/>
      <c r="P360" s="165"/>
      <c r="Q360" s="165"/>
      <c r="R360" s="163"/>
    </row>
    <row r="361" spans="5:18" ht="12">
      <c r="E361" s="165"/>
      <c r="F361" s="165"/>
      <c r="G361" s="165"/>
      <c r="H361" s="163"/>
      <c r="I361" s="163"/>
      <c r="J361" s="165"/>
      <c r="K361" s="165"/>
      <c r="L361" s="165"/>
      <c r="M361" s="163"/>
      <c r="N361" s="163"/>
      <c r="O361" s="165"/>
      <c r="P361" s="165"/>
      <c r="Q361" s="165"/>
      <c r="R361" s="163"/>
    </row>
    <row r="362" spans="5:18" ht="12">
      <c r="E362" s="165"/>
      <c r="F362" s="165"/>
      <c r="G362" s="165"/>
      <c r="H362" s="163"/>
      <c r="I362" s="163"/>
      <c r="J362" s="165"/>
      <c r="K362" s="165"/>
      <c r="L362" s="165"/>
      <c r="M362" s="163"/>
      <c r="N362" s="163"/>
      <c r="O362" s="165"/>
      <c r="P362" s="165"/>
      <c r="Q362" s="165"/>
      <c r="R362" s="163"/>
    </row>
    <row r="363" spans="5:18" ht="12">
      <c r="E363" s="165"/>
      <c r="F363" s="165"/>
      <c r="G363" s="165"/>
      <c r="H363" s="163"/>
      <c r="I363" s="163"/>
      <c r="J363" s="165"/>
      <c r="K363" s="165"/>
      <c r="L363" s="165"/>
      <c r="M363" s="163"/>
      <c r="N363" s="163"/>
      <c r="O363" s="165"/>
      <c r="P363" s="165"/>
      <c r="Q363" s="165"/>
      <c r="R363" s="163"/>
    </row>
    <row r="364" spans="5:18" ht="12">
      <c r="E364" s="165"/>
      <c r="F364" s="165"/>
      <c r="G364" s="165"/>
      <c r="H364" s="163"/>
      <c r="I364" s="163"/>
      <c r="J364" s="165"/>
      <c r="K364" s="165"/>
      <c r="L364" s="165"/>
      <c r="M364" s="163"/>
      <c r="N364" s="163"/>
      <c r="O364" s="165"/>
      <c r="P364" s="165"/>
      <c r="Q364" s="165"/>
      <c r="R364" s="163"/>
    </row>
    <row r="365" spans="5:18" ht="12">
      <c r="E365" s="165"/>
      <c r="F365" s="165"/>
      <c r="G365" s="165"/>
      <c r="H365" s="163"/>
      <c r="I365" s="163"/>
      <c r="J365" s="165"/>
      <c r="K365" s="165"/>
      <c r="L365" s="165"/>
      <c r="M365" s="163"/>
      <c r="N365" s="163"/>
      <c r="O365" s="165"/>
      <c r="P365" s="165"/>
      <c r="Q365" s="165"/>
      <c r="R365" s="163"/>
    </row>
    <row r="366" spans="5:18" ht="12">
      <c r="E366" s="165"/>
      <c r="F366" s="165"/>
      <c r="G366" s="165"/>
      <c r="H366" s="163"/>
      <c r="I366" s="163"/>
      <c r="J366" s="165"/>
      <c r="K366" s="165"/>
      <c r="L366" s="165"/>
      <c r="M366" s="163"/>
      <c r="N366" s="163"/>
      <c r="O366" s="165"/>
      <c r="P366" s="165"/>
      <c r="Q366" s="165"/>
      <c r="R366" s="163"/>
    </row>
    <row r="367" spans="5:18" ht="12">
      <c r="E367" s="165"/>
      <c r="F367" s="165"/>
      <c r="G367" s="165"/>
      <c r="H367" s="163"/>
      <c r="I367" s="163"/>
      <c r="J367" s="165"/>
      <c r="K367" s="165"/>
      <c r="L367" s="165"/>
      <c r="M367" s="163"/>
      <c r="N367" s="163"/>
      <c r="O367" s="165"/>
      <c r="P367" s="165"/>
      <c r="Q367" s="165"/>
      <c r="R367" s="163"/>
    </row>
    <row r="368" spans="5:18" ht="12">
      <c r="E368" s="165"/>
      <c r="F368" s="165"/>
      <c r="G368" s="165"/>
      <c r="H368" s="163"/>
      <c r="I368" s="163"/>
      <c r="J368" s="165"/>
      <c r="K368" s="165"/>
      <c r="L368" s="165"/>
      <c r="M368" s="163"/>
      <c r="N368" s="163"/>
      <c r="O368" s="165"/>
      <c r="P368" s="165"/>
      <c r="Q368" s="165"/>
      <c r="R368" s="163"/>
    </row>
    <row r="369" spans="5:18" ht="12">
      <c r="E369" s="165"/>
      <c r="F369" s="165"/>
      <c r="G369" s="165"/>
      <c r="H369" s="163"/>
      <c r="I369" s="163"/>
      <c r="J369" s="165"/>
      <c r="K369" s="165"/>
      <c r="L369" s="165"/>
      <c r="M369" s="163"/>
      <c r="N369" s="163"/>
      <c r="O369" s="165"/>
      <c r="P369" s="165"/>
      <c r="Q369" s="165"/>
      <c r="R369" s="163"/>
    </row>
    <row r="370" spans="5:18" ht="12">
      <c r="E370" s="165"/>
      <c r="F370" s="165"/>
      <c r="G370" s="165"/>
      <c r="H370" s="163"/>
      <c r="I370" s="163"/>
      <c r="J370" s="165"/>
      <c r="K370" s="165"/>
      <c r="L370" s="165"/>
      <c r="M370" s="163"/>
      <c r="N370" s="163"/>
      <c r="O370" s="165"/>
      <c r="P370" s="165"/>
      <c r="Q370" s="165"/>
      <c r="R370" s="163"/>
    </row>
    <row r="371" spans="5:18" ht="12">
      <c r="E371" s="165"/>
      <c r="F371" s="165"/>
      <c r="G371" s="165"/>
      <c r="H371" s="163"/>
      <c r="I371" s="163"/>
      <c r="J371" s="165"/>
      <c r="K371" s="165"/>
      <c r="L371" s="165"/>
      <c r="M371" s="163"/>
      <c r="N371" s="163"/>
      <c r="O371" s="165"/>
      <c r="P371" s="165"/>
      <c r="Q371" s="165"/>
      <c r="R371" s="163"/>
    </row>
    <row r="372" spans="5:18" ht="12">
      <c r="E372" s="165"/>
      <c r="F372" s="165"/>
      <c r="G372" s="165"/>
      <c r="H372" s="163"/>
      <c r="I372" s="163"/>
      <c r="J372" s="165"/>
      <c r="K372" s="165"/>
      <c r="L372" s="165"/>
      <c r="M372" s="163"/>
      <c r="N372" s="163"/>
      <c r="O372" s="165"/>
      <c r="P372" s="165"/>
      <c r="Q372" s="165"/>
      <c r="R372" s="163"/>
    </row>
    <row r="373" spans="5:18" ht="12">
      <c r="E373" s="165"/>
      <c r="F373" s="165"/>
      <c r="G373" s="165"/>
      <c r="H373" s="163"/>
      <c r="I373" s="163"/>
      <c r="J373" s="165"/>
      <c r="K373" s="165"/>
      <c r="L373" s="165"/>
      <c r="M373" s="163"/>
      <c r="N373" s="163"/>
      <c r="O373" s="165"/>
      <c r="P373" s="165"/>
      <c r="Q373" s="165"/>
      <c r="R373" s="163"/>
    </row>
    <row r="374" spans="5:18" ht="12">
      <c r="E374" s="165"/>
      <c r="F374" s="165"/>
      <c r="G374" s="165"/>
      <c r="H374" s="163"/>
      <c r="I374" s="163"/>
      <c r="J374" s="165"/>
      <c r="K374" s="165"/>
      <c r="L374" s="165"/>
      <c r="M374" s="163"/>
      <c r="N374" s="163"/>
      <c r="O374" s="165"/>
      <c r="P374" s="165"/>
      <c r="Q374" s="165"/>
      <c r="R374" s="163"/>
    </row>
    <row r="375" spans="5:18" ht="12">
      <c r="E375" s="165"/>
      <c r="F375" s="165"/>
      <c r="G375" s="165"/>
      <c r="H375" s="163"/>
      <c r="I375" s="163"/>
      <c r="J375" s="165"/>
      <c r="K375" s="165"/>
      <c r="L375" s="165"/>
      <c r="M375" s="163"/>
      <c r="N375" s="163"/>
      <c r="O375" s="165"/>
      <c r="P375" s="165"/>
      <c r="Q375" s="165"/>
      <c r="R375" s="163"/>
    </row>
    <row r="376" spans="5:18" ht="12">
      <c r="E376" s="165"/>
      <c r="F376" s="165"/>
      <c r="G376" s="165"/>
      <c r="H376" s="163"/>
      <c r="I376" s="163"/>
      <c r="J376" s="165"/>
      <c r="K376" s="165"/>
      <c r="L376" s="165"/>
      <c r="M376" s="163"/>
      <c r="N376" s="163"/>
      <c r="O376" s="165"/>
      <c r="P376" s="165"/>
      <c r="Q376" s="165"/>
      <c r="R376" s="163"/>
    </row>
    <row r="377" spans="5:18" ht="12">
      <c r="E377" s="165"/>
      <c r="F377" s="165"/>
      <c r="G377" s="165"/>
      <c r="H377" s="163"/>
      <c r="I377" s="163"/>
      <c r="J377" s="165"/>
      <c r="K377" s="165"/>
      <c r="L377" s="165"/>
      <c r="M377" s="163"/>
      <c r="N377" s="163"/>
      <c r="O377" s="165"/>
      <c r="P377" s="165"/>
      <c r="Q377" s="165"/>
      <c r="R377" s="163"/>
    </row>
    <row r="378" spans="5:18" ht="12">
      <c r="E378" s="165"/>
      <c r="F378" s="165"/>
      <c r="G378" s="165"/>
      <c r="H378" s="163"/>
      <c r="I378" s="163"/>
      <c r="J378" s="165"/>
      <c r="K378" s="165"/>
      <c r="L378" s="165"/>
      <c r="M378" s="163"/>
      <c r="N378" s="163"/>
      <c r="O378" s="165"/>
      <c r="P378" s="165"/>
      <c r="Q378" s="165"/>
      <c r="R378" s="163"/>
    </row>
    <row r="379" spans="5:18" ht="12">
      <c r="E379" s="165"/>
      <c r="F379" s="165"/>
      <c r="G379" s="165"/>
      <c r="H379" s="163"/>
      <c r="I379" s="163"/>
      <c r="J379" s="165"/>
      <c r="K379" s="165"/>
      <c r="L379" s="165"/>
      <c r="M379" s="163"/>
      <c r="N379" s="163"/>
      <c r="O379" s="165"/>
      <c r="P379" s="165"/>
      <c r="Q379" s="165"/>
      <c r="R379" s="163"/>
    </row>
    <row r="380" spans="5:18">
      <c r="E380" s="35"/>
      <c r="F380" s="35"/>
      <c r="G380" s="35"/>
      <c r="H380" s="36"/>
      <c r="I380" s="33"/>
      <c r="J380" s="35"/>
      <c r="K380" s="35"/>
      <c r="L380" s="35"/>
      <c r="M380" s="36"/>
      <c r="N380" s="33"/>
      <c r="O380" s="35"/>
      <c r="P380" s="35"/>
      <c r="Q380" s="35"/>
      <c r="R380" s="36"/>
    </row>
    <row r="381" spans="5:18">
      <c r="E381" s="35"/>
      <c r="F381" s="35"/>
      <c r="G381" s="35"/>
      <c r="H381" s="36"/>
      <c r="I381" s="33"/>
      <c r="J381" s="35"/>
      <c r="K381" s="35"/>
      <c r="L381" s="35"/>
      <c r="M381" s="36"/>
      <c r="N381" s="33"/>
      <c r="O381" s="35"/>
      <c r="P381" s="35"/>
      <c r="Q381" s="35"/>
      <c r="R381" s="36"/>
    </row>
    <row r="382" spans="5:18">
      <c r="E382" s="35"/>
      <c r="F382" s="35"/>
      <c r="G382" s="35"/>
      <c r="H382" s="36"/>
      <c r="I382" s="33"/>
      <c r="J382" s="35"/>
      <c r="K382" s="35"/>
      <c r="L382" s="35"/>
      <c r="M382" s="36"/>
      <c r="N382" s="33"/>
      <c r="O382" s="35"/>
      <c r="P382" s="35"/>
      <c r="Q382" s="35"/>
      <c r="R382" s="36"/>
    </row>
    <row r="383" spans="5:18">
      <c r="E383" s="35"/>
      <c r="F383" s="35"/>
      <c r="G383" s="35"/>
      <c r="H383" s="36"/>
      <c r="I383" s="33"/>
      <c r="J383" s="35"/>
      <c r="K383" s="35"/>
      <c r="L383" s="35"/>
      <c r="M383" s="36"/>
      <c r="N383" s="33"/>
      <c r="O383" s="35"/>
      <c r="P383" s="35"/>
      <c r="Q383" s="35"/>
      <c r="R383" s="36"/>
    </row>
    <row r="384" spans="5:18">
      <c r="E384" s="35"/>
      <c r="F384" s="35"/>
      <c r="G384" s="35"/>
      <c r="H384" s="36"/>
      <c r="I384" s="33"/>
      <c r="J384" s="35"/>
      <c r="K384" s="35"/>
      <c r="L384" s="35"/>
      <c r="M384" s="36"/>
      <c r="N384" s="33"/>
      <c r="O384" s="35"/>
      <c r="P384" s="35"/>
      <c r="Q384" s="35"/>
      <c r="R384" s="36"/>
    </row>
    <row r="385" spans="5:18">
      <c r="E385" s="35"/>
      <c r="F385" s="35"/>
      <c r="G385" s="35"/>
      <c r="H385" s="36"/>
      <c r="I385" s="33"/>
      <c r="J385" s="35"/>
      <c r="K385" s="35"/>
      <c r="L385" s="35"/>
      <c r="M385" s="36"/>
      <c r="N385" s="33"/>
      <c r="O385" s="35"/>
      <c r="P385" s="35"/>
      <c r="Q385" s="35"/>
      <c r="R385" s="36"/>
    </row>
    <row r="386" spans="5:18">
      <c r="E386" s="35"/>
      <c r="F386" s="35"/>
      <c r="G386" s="35"/>
      <c r="H386" s="36"/>
      <c r="I386" s="33"/>
      <c r="J386" s="35"/>
      <c r="K386" s="35"/>
      <c r="L386" s="35"/>
      <c r="M386" s="36"/>
      <c r="N386" s="33"/>
      <c r="O386" s="35"/>
      <c r="P386" s="35"/>
      <c r="Q386" s="35"/>
      <c r="R386" s="36"/>
    </row>
    <row r="387" spans="5:18">
      <c r="E387" s="35"/>
      <c r="F387" s="35"/>
      <c r="G387" s="35"/>
      <c r="H387" s="36"/>
      <c r="I387" s="33"/>
      <c r="J387" s="35"/>
      <c r="K387" s="35"/>
      <c r="L387" s="35"/>
      <c r="M387" s="36"/>
      <c r="N387" s="33"/>
      <c r="O387" s="35"/>
      <c r="P387" s="35"/>
      <c r="Q387" s="35"/>
      <c r="R387" s="36"/>
    </row>
    <row r="388" spans="5:18">
      <c r="E388" s="35"/>
      <c r="F388" s="35"/>
      <c r="G388" s="35"/>
      <c r="H388" s="36"/>
      <c r="I388" s="33"/>
      <c r="J388" s="35"/>
      <c r="K388" s="35"/>
      <c r="L388" s="35"/>
      <c r="M388" s="36"/>
      <c r="N388" s="33"/>
      <c r="O388" s="35"/>
      <c r="P388" s="35"/>
      <c r="Q388" s="35"/>
      <c r="R388" s="36"/>
    </row>
    <row r="389" spans="5:18">
      <c r="E389" s="35"/>
      <c r="F389" s="35"/>
      <c r="G389" s="35"/>
      <c r="H389" s="36"/>
      <c r="I389" s="33"/>
      <c r="J389" s="35"/>
      <c r="K389" s="35"/>
      <c r="L389" s="35"/>
      <c r="M389" s="36"/>
      <c r="N389" s="33"/>
      <c r="O389" s="35"/>
      <c r="P389" s="35"/>
      <c r="Q389" s="35"/>
      <c r="R389" s="36"/>
    </row>
    <row r="390" spans="5:18">
      <c r="E390" s="35"/>
      <c r="F390" s="35"/>
      <c r="G390" s="35"/>
      <c r="H390" s="36"/>
      <c r="I390" s="33"/>
      <c r="J390" s="35"/>
      <c r="K390" s="35"/>
      <c r="L390" s="35"/>
      <c r="M390" s="36"/>
      <c r="N390" s="33"/>
      <c r="O390" s="35"/>
      <c r="P390" s="35"/>
      <c r="Q390" s="35"/>
      <c r="R390" s="36"/>
    </row>
    <row r="391" spans="5:18">
      <c r="E391" s="35"/>
      <c r="F391" s="35"/>
      <c r="G391" s="35"/>
      <c r="H391" s="36"/>
      <c r="I391" s="33"/>
      <c r="J391" s="35"/>
      <c r="K391" s="35"/>
      <c r="L391" s="35"/>
      <c r="M391" s="36"/>
      <c r="N391" s="33"/>
      <c r="O391" s="35"/>
      <c r="P391" s="35"/>
      <c r="Q391" s="35"/>
      <c r="R391" s="36"/>
    </row>
    <row r="392" spans="5:18">
      <c r="E392" s="35"/>
      <c r="F392" s="35"/>
      <c r="G392" s="35"/>
      <c r="H392" s="36"/>
      <c r="I392" s="33"/>
      <c r="J392" s="35"/>
      <c r="K392" s="35"/>
      <c r="L392" s="35"/>
      <c r="M392" s="36"/>
      <c r="N392" s="33"/>
      <c r="O392" s="35"/>
      <c r="P392" s="35"/>
      <c r="Q392" s="35"/>
      <c r="R392" s="36"/>
    </row>
    <row r="393" spans="5:18">
      <c r="E393" s="35"/>
      <c r="F393" s="35"/>
      <c r="G393" s="35"/>
      <c r="H393" s="36"/>
      <c r="I393" s="33"/>
      <c r="J393" s="35"/>
      <c r="K393" s="35"/>
      <c r="L393" s="35"/>
      <c r="M393" s="36"/>
      <c r="N393" s="33"/>
      <c r="O393" s="35"/>
      <c r="P393" s="35"/>
      <c r="Q393" s="35"/>
      <c r="R393" s="36"/>
    </row>
    <row r="394" spans="5:18">
      <c r="E394" s="35"/>
      <c r="F394" s="35"/>
      <c r="G394" s="35"/>
      <c r="H394" s="36"/>
      <c r="I394" s="33"/>
      <c r="J394" s="35"/>
      <c r="K394" s="35"/>
      <c r="L394" s="35"/>
      <c r="M394" s="36"/>
      <c r="N394" s="33"/>
      <c r="O394" s="35"/>
      <c r="P394" s="35"/>
      <c r="Q394" s="35"/>
      <c r="R394" s="36"/>
    </row>
    <row r="395" spans="5:18">
      <c r="E395" s="35"/>
      <c r="F395" s="35"/>
      <c r="G395" s="35"/>
      <c r="H395" s="36"/>
      <c r="I395" s="33"/>
      <c r="J395" s="35"/>
      <c r="K395" s="35"/>
      <c r="L395" s="35"/>
      <c r="M395" s="36"/>
      <c r="N395" s="33"/>
      <c r="O395" s="35"/>
      <c r="P395" s="35"/>
      <c r="Q395" s="35"/>
      <c r="R395" s="36"/>
    </row>
    <row r="396" spans="5:18">
      <c r="E396" s="35"/>
      <c r="F396" s="35"/>
      <c r="G396" s="35"/>
      <c r="H396" s="36"/>
      <c r="I396" s="33"/>
      <c r="J396" s="35"/>
      <c r="K396" s="35"/>
      <c r="L396" s="35"/>
      <c r="M396" s="36"/>
      <c r="N396" s="33"/>
      <c r="O396" s="35"/>
      <c r="P396" s="35"/>
      <c r="Q396" s="35"/>
      <c r="R396" s="36"/>
    </row>
    <row r="397" spans="5:18">
      <c r="E397" s="35"/>
      <c r="F397" s="35"/>
      <c r="G397" s="35"/>
      <c r="H397" s="36"/>
      <c r="I397" s="33"/>
      <c r="J397" s="35"/>
      <c r="K397" s="35"/>
      <c r="L397" s="35"/>
      <c r="M397" s="36"/>
      <c r="N397" s="33"/>
      <c r="O397" s="35"/>
      <c r="P397" s="35"/>
      <c r="Q397" s="35"/>
      <c r="R397" s="36"/>
    </row>
    <row r="398" spans="5:18">
      <c r="E398" s="35"/>
      <c r="F398" s="35"/>
      <c r="G398" s="35"/>
      <c r="H398" s="36"/>
      <c r="I398" s="33"/>
      <c r="J398" s="35"/>
      <c r="K398" s="35"/>
      <c r="L398" s="35"/>
      <c r="M398" s="36"/>
      <c r="N398" s="33"/>
      <c r="O398" s="35"/>
      <c r="P398" s="35"/>
      <c r="Q398" s="35"/>
      <c r="R398" s="36"/>
    </row>
    <row r="399" spans="5:18">
      <c r="E399" s="35"/>
      <c r="F399" s="35"/>
      <c r="G399" s="35"/>
      <c r="H399" s="36"/>
      <c r="I399" s="33"/>
      <c r="J399" s="35"/>
      <c r="K399" s="35"/>
      <c r="L399" s="35"/>
      <c r="M399" s="36"/>
      <c r="N399" s="33"/>
      <c r="O399" s="35"/>
      <c r="P399" s="35"/>
      <c r="Q399" s="35"/>
      <c r="R399" s="36"/>
    </row>
    <row r="400" spans="5:18">
      <c r="E400" s="35"/>
      <c r="F400" s="35"/>
      <c r="G400" s="35"/>
      <c r="H400" s="36"/>
      <c r="I400" s="33"/>
      <c r="J400" s="35"/>
      <c r="K400" s="35"/>
      <c r="L400" s="35"/>
      <c r="M400" s="36"/>
      <c r="N400" s="33"/>
      <c r="O400" s="35"/>
      <c r="P400" s="35"/>
      <c r="Q400" s="35"/>
      <c r="R400" s="36"/>
    </row>
    <row r="401" spans="5:18">
      <c r="E401" s="35"/>
      <c r="F401" s="35"/>
      <c r="G401" s="35"/>
      <c r="H401" s="36"/>
      <c r="I401" s="33"/>
      <c r="J401" s="35"/>
      <c r="K401" s="35"/>
      <c r="L401" s="35"/>
      <c r="M401" s="36"/>
      <c r="N401" s="33"/>
      <c r="O401" s="35"/>
      <c r="P401" s="35"/>
      <c r="Q401" s="35"/>
      <c r="R401" s="36"/>
    </row>
    <row r="402" spans="5:18">
      <c r="E402" s="35"/>
      <c r="F402" s="35"/>
      <c r="G402" s="35"/>
      <c r="H402" s="36"/>
      <c r="I402" s="33"/>
      <c r="J402" s="35"/>
      <c r="K402" s="35"/>
      <c r="L402" s="35"/>
      <c r="M402" s="36"/>
      <c r="N402" s="33"/>
      <c r="O402" s="35"/>
      <c r="P402" s="35"/>
      <c r="Q402" s="35"/>
      <c r="R402" s="36"/>
    </row>
    <row r="403" spans="5:18">
      <c r="E403" s="35"/>
      <c r="F403" s="35"/>
      <c r="G403" s="35"/>
      <c r="H403" s="36"/>
      <c r="I403" s="33"/>
      <c r="J403" s="35"/>
      <c r="K403" s="35"/>
      <c r="L403" s="35"/>
      <c r="M403" s="36"/>
      <c r="N403" s="33"/>
      <c r="O403" s="35"/>
      <c r="P403" s="35"/>
      <c r="Q403" s="35"/>
      <c r="R403" s="36"/>
    </row>
    <row r="404" spans="5:18">
      <c r="E404" s="35"/>
      <c r="F404" s="35"/>
      <c r="G404" s="35"/>
      <c r="H404" s="36"/>
      <c r="I404" s="33"/>
      <c r="J404" s="35"/>
      <c r="K404" s="35"/>
      <c r="L404" s="35"/>
      <c r="M404" s="36"/>
      <c r="N404" s="33"/>
      <c r="O404" s="35"/>
      <c r="P404" s="35"/>
      <c r="Q404" s="35"/>
      <c r="R404" s="36"/>
    </row>
    <row r="405" spans="5:18">
      <c r="E405" s="35"/>
      <c r="F405" s="35"/>
      <c r="G405" s="35"/>
      <c r="H405" s="36"/>
      <c r="I405" s="33"/>
      <c r="J405" s="35"/>
      <c r="K405" s="35"/>
      <c r="L405" s="35"/>
      <c r="M405" s="36"/>
      <c r="N405" s="33"/>
      <c r="O405" s="35"/>
      <c r="P405" s="35"/>
      <c r="Q405" s="35"/>
      <c r="R405" s="36"/>
    </row>
    <row r="406" spans="5:18">
      <c r="E406" s="35"/>
      <c r="F406" s="35"/>
      <c r="G406" s="35"/>
      <c r="H406" s="36"/>
      <c r="I406" s="33"/>
      <c r="J406" s="35"/>
      <c r="K406" s="35"/>
      <c r="L406" s="35"/>
      <c r="M406" s="36"/>
      <c r="N406" s="33"/>
      <c r="O406" s="35"/>
      <c r="P406" s="35"/>
      <c r="Q406" s="35"/>
      <c r="R406" s="36"/>
    </row>
    <row r="407" spans="5:18">
      <c r="E407" s="35"/>
      <c r="F407" s="35"/>
      <c r="G407" s="35"/>
      <c r="H407" s="36"/>
      <c r="I407" s="33"/>
      <c r="J407" s="35"/>
      <c r="K407" s="35"/>
      <c r="L407" s="35"/>
      <c r="M407" s="36"/>
      <c r="N407" s="33"/>
      <c r="O407" s="35"/>
      <c r="P407" s="35"/>
      <c r="Q407" s="35"/>
      <c r="R407" s="36"/>
    </row>
    <row r="408" spans="5:18">
      <c r="E408" s="35"/>
      <c r="F408" s="35"/>
      <c r="G408" s="35"/>
      <c r="H408" s="36"/>
      <c r="I408" s="33"/>
      <c r="J408" s="35"/>
      <c r="K408" s="35"/>
      <c r="L408" s="35"/>
      <c r="M408" s="36"/>
      <c r="N408" s="33"/>
      <c r="O408" s="35"/>
      <c r="P408" s="35"/>
      <c r="Q408" s="35"/>
      <c r="R408" s="36"/>
    </row>
    <row r="409" spans="5:18">
      <c r="E409" s="35"/>
      <c r="F409" s="35"/>
      <c r="G409" s="35"/>
      <c r="H409" s="36"/>
      <c r="I409" s="33"/>
      <c r="J409" s="35"/>
      <c r="K409" s="35"/>
      <c r="L409" s="35"/>
      <c r="M409" s="36"/>
      <c r="N409" s="33"/>
      <c r="O409" s="35"/>
      <c r="P409" s="35"/>
      <c r="Q409" s="35"/>
      <c r="R409" s="36"/>
    </row>
    <row r="410" spans="5:18">
      <c r="E410" s="35"/>
      <c r="F410" s="35"/>
      <c r="G410" s="35"/>
      <c r="H410" s="36"/>
      <c r="I410" s="33"/>
      <c r="J410" s="35"/>
      <c r="K410" s="35"/>
      <c r="L410" s="35"/>
      <c r="M410" s="36"/>
      <c r="N410" s="33"/>
      <c r="O410" s="35"/>
      <c r="P410" s="35"/>
      <c r="Q410" s="35"/>
      <c r="R410" s="36"/>
    </row>
    <row r="411" spans="5:18">
      <c r="E411" s="35"/>
      <c r="F411" s="35"/>
      <c r="G411" s="35"/>
      <c r="H411" s="36"/>
      <c r="I411" s="33"/>
      <c r="J411" s="35"/>
      <c r="K411" s="35"/>
      <c r="L411" s="35"/>
      <c r="M411" s="36"/>
      <c r="N411" s="33"/>
      <c r="O411" s="35"/>
      <c r="P411" s="35"/>
      <c r="Q411" s="35"/>
      <c r="R411" s="36"/>
    </row>
    <row r="412" spans="5:18">
      <c r="E412" s="35"/>
      <c r="F412" s="35"/>
      <c r="G412" s="35"/>
      <c r="H412" s="36"/>
      <c r="I412" s="33"/>
      <c r="J412" s="35"/>
      <c r="K412" s="35"/>
      <c r="L412" s="35"/>
      <c r="M412" s="36"/>
      <c r="N412" s="33"/>
      <c r="O412" s="35"/>
      <c r="P412" s="35"/>
      <c r="Q412" s="35"/>
      <c r="R412" s="36"/>
    </row>
    <row r="413" spans="5:18">
      <c r="E413" s="35"/>
      <c r="F413" s="35"/>
      <c r="G413" s="35"/>
      <c r="H413" s="36"/>
      <c r="I413" s="33"/>
      <c r="J413" s="35"/>
      <c r="K413" s="35"/>
      <c r="L413" s="35"/>
      <c r="M413" s="36"/>
      <c r="N413" s="33"/>
      <c r="O413" s="35"/>
      <c r="P413" s="35"/>
      <c r="Q413" s="35"/>
      <c r="R413" s="36"/>
    </row>
    <row r="414" spans="5:18">
      <c r="E414" s="35"/>
      <c r="F414" s="35"/>
      <c r="G414" s="35"/>
      <c r="H414" s="36"/>
      <c r="I414" s="33"/>
      <c r="J414" s="35"/>
      <c r="K414" s="35"/>
      <c r="L414" s="35"/>
      <c r="M414" s="36"/>
      <c r="N414" s="33"/>
      <c r="O414" s="35"/>
      <c r="P414" s="35"/>
      <c r="Q414" s="35"/>
      <c r="R414" s="36"/>
    </row>
    <row r="415" spans="5:18">
      <c r="E415" s="35"/>
      <c r="F415" s="35"/>
      <c r="G415" s="35"/>
      <c r="H415" s="36"/>
      <c r="I415" s="33"/>
      <c r="J415" s="35"/>
      <c r="K415" s="35"/>
      <c r="L415" s="35"/>
      <c r="M415" s="36"/>
      <c r="N415" s="33"/>
      <c r="O415" s="35"/>
      <c r="P415" s="35"/>
      <c r="Q415" s="35"/>
      <c r="R415" s="36"/>
    </row>
    <row r="416" spans="5:18">
      <c r="E416" s="35"/>
      <c r="F416" s="35"/>
      <c r="G416" s="35"/>
      <c r="H416" s="36"/>
      <c r="I416" s="33"/>
      <c r="J416" s="35"/>
      <c r="K416" s="35"/>
      <c r="L416" s="35"/>
      <c r="M416" s="36"/>
      <c r="N416" s="33"/>
      <c r="O416" s="35"/>
      <c r="P416" s="35"/>
      <c r="Q416" s="35"/>
      <c r="R416" s="36"/>
    </row>
    <row r="417" spans="5:18">
      <c r="E417" s="35"/>
      <c r="F417" s="35"/>
      <c r="G417" s="35"/>
      <c r="H417" s="36"/>
      <c r="I417" s="33"/>
      <c r="J417" s="35"/>
      <c r="K417" s="35"/>
      <c r="L417" s="35"/>
      <c r="M417" s="36"/>
      <c r="N417" s="33"/>
      <c r="O417" s="35"/>
      <c r="P417" s="35"/>
      <c r="Q417" s="35"/>
      <c r="R417" s="36"/>
    </row>
    <row r="418" spans="5:18">
      <c r="E418" s="35"/>
      <c r="F418" s="35"/>
      <c r="G418" s="35"/>
      <c r="H418" s="36"/>
      <c r="I418" s="33"/>
      <c r="J418" s="35"/>
      <c r="K418" s="35"/>
      <c r="L418" s="35"/>
      <c r="M418" s="36"/>
      <c r="N418" s="33"/>
      <c r="O418" s="35"/>
      <c r="P418" s="35"/>
      <c r="Q418" s="35"/>
      <c r="R418" s="36"/>
    </row>
    <row r="419" spans="5:18">
      <c r="E419" s="35"/>
      <c r="F419" s="35"/>
      <c r="G419" s="35"/>
      <c r="H419" s="36"/>
      <c r="I419" s="33"/>
      <c r="J419" s="35"/>
      <c r="K419" s="35"/>
      <c r="L419" s="35"/>
      <c r="M419" s="36"/>
      <c r="N419" s="33"/>
      <c r="O419" s="35"/>
      <c r="P419" s="35"/>
      <c r="Q419" s="35"/>
      <c r="R419" s="36"/>
    </row>
    <row r="420" spans="5:18">
      <c r="E420" s="35"/>
      <c r="F420" s="35"/>
      <c r="G420" s="35"/>
      <c r="H420" s="36"/>
      <c r="I420" s="33"/>
      <c r="J420" s="35"/>
      <c r="K420" s="35"/>
      <c r="L420" s="35"/>
      <c r="M420" s="36"/>
      <c r="N420" s="33"/>
      <c r="O420" s="35"/>
      <c r="P420" s="35"/>
      <c r="Q420" s="35"/>
      <c r="R420" s="36"/>
    </row>
    <row r="421" spans="5:18">
      <c r="E421" s="35"/>
      <c r="F421" s="35"/>
      <c r="G421" s="35"/>
      <c r="H421" s="36"/>
      <c r="I421" s="33"/>
      <c r="J421" s="35"/>
      <c r="K421" s="35"/>
      <c r="L421" s="35"/>
      <c r="M421" s="36"/>
      <c r="N421" s="33"/>
      <c r="O421" s="35"/>
      <c r="P421" s="35"/>
      <c r="Q421" s="35"/>
      <c r="R421" s="36"/>
    </row>
    <row r="422" spans="5:18">
      <c r="E422" s="35"/>
      <c r="F422" s="35"/>
      <c r="G422" s="35"/>
      <c r="H422" s="36"/>
      <c r="I422" s="33"/>
      <c r="J422" s="35"/>
      <c r="K422" s="35"/>
      <c r="L422" s="35"/>
      <c r="M422" s="36"/>
      <c r="N422" s="33"/>
      <c r="O422" s="35"/>
      <c r="P422" s="35"/>
      <c r="Q422" s="35"/>
      <c r="R422" s="36"/>
    </row>
    <row r="423" spans="5:18">
      <c r="E423" s="35"/>
      <c r="F423" s="35"/>
      <c r="G423" s="35"/>
      <c r="H423" s="36"/>
      <c r="I423" s="33"/>
      <c r="J423" s="35"/>
      <c r="K423" s="35"/>
      <c r="L423" s="35"/>
      <c r="M423" s="36"/>
      <c r="N423" s="33"/>
      <c r="O423" s="35"/>
      <c r="P423" s="35"/>
      <c r="Q423" s="35"/>
      <c r="R423" s="36"/>
    </row>
    <row r="424" spans="5:18">
      <c r="E424" s="35"/>
      <c r="F424" s="35"/>
      <c r="G424" s="35"/>
      <c r="H424" s="36"/>
      <c r="I424" s="33"/>
      <c r="J424" s="35"/>
      <c r="K424" s="35"/>
      <c r="L424" s="35"/>
      <c r="M424" s="36"/>
      <c r="N424" s="33"/>
      <c r="O424" s="35"/>
      <c r="P424" s="35"/>
      <c r="Q424" s="35"/>
      <c r="R424" s="36"/>
    </row>
    <row r="425" spans="5:18">
      <c r="E425" s="35"/>
      <c r="F425" s="35"/>
      <c r="G425" s="35"/>
      <c r="H425" s="36"/>
      <c r="I425" s="33"/>
      <c r="J425" s="35"/>
      <c r="K425" s="35"/>
      <c r="L425" s="35"/>
      <c r="M425" s="36"/>
      <c r="N425" s="33"/>
      <c r="O425" s="35"/>
      <c r="P425" s="35"/>
      <c r="Q425" s="35"/>
      <c r="R425" s="36"/>
    </row>
    <row r="426" spans="5:18">
      <c r="E426" s="35"/>
      <c r="F426" s="35"/>
      <c r="G426" s="35"/>
      <c r="H426" s="36"/>
      <c r="I426" s="33"/>
      <c r="J426" s="35"/>
      <c r="K426" s="35"/>
      <c r="L426" s="35"/>
      <c r="M426" s="36"/>
      <c r="N426" s="33"/>
      <c r="O426" s="35"/>
      <c r="P426" s="35"/>
      <c r="Q426" s="35"/>
      <c r="R426" s="36"/>
    </row>
    <row r="427" spans="5:18">
      <c r="E427" s="35"/>
      <c r="F427" s="35"/>
      <c r="G427" s="35"/>
      <c r="H427" s="36"/>
      <c r="I427" s="33"/>
      <c r="J427" s="35"/>
      <c r="K427" s="35"/>
      <c r="L427" s="35"/>
      <c r="M427" s="36"/>
      <c r="N427" s="33"/>
      <c r="O427" s="35"/>
      <c r="P427" s="35"/>
      <c r="Q427" s="35"/>
      <c r="R427" s="36"/>
    </row>
    <row r="428" spans="5:18">
      <c r="E428" s="35"/>
      <c r="F428" s="35"/>
      <c r="G428" s="35"/>
      <c r="H428" s="36"/>
      <c r="I428" s="33"/>
      <c r="J428" s="35"/>
      <c r="K428" s="35"/>
      <c r="L428" s="35"/>
      <c r="M428" s="36"/>
      <c r="N428" s="33"/>
      <c r="O428" s="35"/>
      <c r="P428" s="35"/>
      <c r="Q428" s="35"/>
      <c r="R428" s="36"/>
    </row>
    <row r="429" spans="5:18">
      <c r="E429" s="35"/>
      <c r="F429" s="35"/>
      <c r="G429" s="35"/>
      <c r="H429" s="36"/>
      <c r="I429" s="33"/>
      <c r="J429" s="35"/>
      <c r="K429" s="35"/>
      <c r="L429" s="35"/>
      <c r="M429" s="36"/>
      <c r="N429" s="33"/>
      <c r="O429" s="35"/>
      <c r="P429" s="35"/>
      <c r="Q429" s="35"/>
      <c r="R429" s="36"/>
    </row>
    <row r="430" spans="5:18">
      <c r="E430" s="35"/>
      <c r="F430" s="35"/>
      <c r="G430" s="35"/>
      <c r="H430" s="36"/>
      <c r="I430" s="33"/>
      <c r="J430" s="35"/>
      <c r="K430" s="35"/>
      <c r="L430" s="35"/>
      <c r="M430" s="36"/>
      <c r="N430" s="33"/>
      <c r="O430" s="35"/>
      <c r="P430" s="35"/>
      <c r="Q430" s="35"/>
      <c r="R430" s="36"/>
    </row>
    <row r="431" spans="5:18">
      <c r="E431" s="35"/>
      <c r="F431" s="35"/>
      <c r="G431" s="35"/>
      <c r="H431" s="36"/>
      <c r="I431" s="33"/>
      <c r="J431" s="35"/>
      <c r="K431" s="35"/>
      <c r="L431" s="35"/>
      <c r="M431" s="36"/>
      <c r="N431" s="33"/>
      <c r="O431" s="35"/>
      <c r="P431" s="35"/>
      <c r="Q431" s="35"/>
      <c r="R431" s="36"/>
    </row>
    <row r="432" spans="5:18">
      <c r="E432" s="35"/>
      <c r="F432" s="35"/>
      <c r="G432" s="35"/>
      <c r="H432" s="36"/>
      <c r="I432" s="33"/>
      <c r="J432" s="35"/>
      <c r="K432" s="35"/>
      <c r="L432" s="35"/>
      <c r="M432" s="36"/>
      <c r="N432" s="33"/>
      <c r="O432" s="35"/>
      <c r="P432" s="35"/>
      <c r="Q432" s="35"/>
      <c r="R432" s="36"/>
    </row>
    <row r="433" spans="5:18">
      <c r="E433" s="35"/>
      <c r="F433" s="35"/>
      <c r="G433" s="35"/>
      <c r="H433" s="36"/>
      <c r="I433" s="33"/>
      <c r="J433" s="35"/>
      <c r="K433" s="35"/>
      <c r="L433" s="35"/>
      <c r="M433" s="36"/>
      <c r="N433" s="33"/>
      <c r="O433" s="35"/>
      <c r="P433" s="35"/>
      <c r="Q433" s="35"/>
      <c r="R433" s="36"/>
    </row>
  </sheetData>
  <mergeCells count="23">
    <mergeCell ref="O5:Q5"/>
    <mergeCell ref="A5:A7"/>
    <mergeCell ref="B5:B7"/>
    <mergeCell ref="C5:C7"/>
    <mergeCell ref="R5:R7"/>
    <mergeCell ref="L6:L7"/>
    <mergeCell ref="O6:O7"/>
    <mergeCell ref="Q6:Q7"/>
    <mergeCell ref="J6:J7"/>
    <mergeCell ref="I5:I7"/>
    <mergeCell ref="J5:L5"/>
    <mergeCell ref="M5:M7"/>
    <mergeCell ref="N5:N7"/>
    <mergeCell ref="P6:P7"/>
    <mergeCell ref="K6:K7"/>
    <mergeCell ref="F6:F7"/>
    <mergeCell ref="B2:H2"/>
    <mergeCell ref="B3:H3"/>
    <mergeCell ref="D5:D7"/>
    <mergeCell ref="E5:G5"/>
    <mergeCell ref="H5:H7"/>
    <mergeCell ref="E6:E7"/>
    <mergeCell ref="G6:G7"/>
  </mergeCells>
  <phoneticPr fontId="29" type="noConversion"/>
  <pageMargins left="0.27559055118110237" right="0.27559055118110237" top="0.39370078740157483" bottom="0.35433070866141736" header="0.23622047244094491" footer="0.15748031496062992"/>
  <pageSetup paperSize="9" scale="60" orientation="landscape" r:id="rId1"/>
  <headerFooter alignWithMargins="0">
    <oddFooter>&amp;L&amp;F&amp;C&amp;P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FFC000"/>
  </sheetPr>
  <dimension ref="A1:R354"/>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D324" sqref="D324"/>
    </sheetView>
  </sheetViews>
  <sheetFormatPr defaultColWidth="9.109375" defaultRowHeight="10.199999999999999"/>
  <cols>
    <col min="1" max="1" width="11.44140625" style="21" bestFit="1" customWidth="1"/>
    <col min="2" max="2" width="39.109375" style="1" customWidth="1"/>
    <col min="3" max="3" width="10.109375" style="22" customWidth="1"/>
    <col min="4" max="4" width="12" style="21"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577"/>
      <c r="J2" s="577"/>
      <c r="K2" s="577"/>
      <c r="L2" s="577"/>
      <c r="M2" s="220"/>
      <c r="N2" s="577"/>
      <c r="O2" s="577"/>
      <c r="P2" s="577"/>
      <c r="Q2" s="577"/>
      <c r="R2" s="220"/>
    </row>
    <row r="3" spans="1:18" s="1" customFormat="1" ht="12.75" customHeight="1">
      <c r="A3" s="221"/>
      <c r="B3" s="1400" t="s">
        <v>489</v>
      </c>
      <c r="C3" s="1400"/>
      <c r="D3" s="1400"/>
      <c r="E3" s="1400"/>
      <c r="F3" s="1400"/>
      <c r="G3" s="1400"/>
      <c r="H3" s="1400"/>
      <c r="I3" s="578"/>
      <c r="J3" s="578"/>
      <c r="K3" s="578"/>
      <c r="L3" s="578"/>
      <c r="M3" s="220"/>
      <c r="N3" s="578"/>
      <c r="O3" s="578"/>
      <c r="P3" s="578"/>
      <c r="Q3" s="578"/>
      <c r="R3" s="220"/>
    </row>
    <row r="4" spans="1:18" s="1" customFormat="1" ht="13.2">
      <c r="A4" s="221"/>
      <c r="B4" s="578"/>
      <c r="C4" s="222"/>
      <c r="D4" s="578"/>
      <c r="E4" s="578"/>
      <c r="F4" s="578"/>
      <c r="G4" s="578"/>
      <c r="H4" s="578"/>
      <c r="I4" s="578"/>
      <c r="J4" s="578"/>
      <c r="K4" s="578"/>
      <c r="L4" s="578"/>
      <c r="M4" s="578"/>
      <c r="N4" s="578"/>
      <c r="O4" s="578"/>
      <c r="P4" s="578"/>
      <c r="Q4" s="578"/>
      <c r="R4" s="578"/>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8"/>
      <c r="B9" s="392" t="s">
        <v>128</v>
      </c>
      <c r="C9" s="387"/>
      <c r="D9" s="387"/>
      <c r="E9" s="226"/>
      <c r="F9" s="226"/>
      <c r="G9" s="226"/>
      <c r="H9" s="226"/>
      <c r="I9" s="365"/>
      <c r="J9" s="226"/>
      <c r="K9" s="226"/>
      <c r="L9" s="226"/>
      <c r="M9" s="226"/>
      <c r="N9" s="365"/>
      <c r="O9" s="226"/>
      <c r="P9" s="226"/>
      <c r="Q9" s="226"/>
      <c r="R9" s="226"/>
    </row>
    <row r="10" spans="1:18" s="4" customFormat="1" ht="20.399999999999999">
      <c r="A10" s="129" t="s">
        <v>201</v>
      </c>
      <c r="B10" s="123" t="s">
        <v>88</v>
      </c>
      <c r="C10" s="200">
        <v>748148</v>
      </c>
      <c r="D10" s="167">
        <v>740348</v>
      </c>
      <c r="E10" s="228">
        <f>E11+E12+E14+E32</f>
        <v>5460</v>
      </c>
      <c r="F10" s="228">
        <f t="shared" ref="F10:G10" si="0">F11+F12+F14+F32</f>
        <v>0</v>
      </c>
      <c r="G10" s="228">
        <f t="shared" si="0"/>
        <v>30000</v>
      </c>
      <c r="H10" s="229">
        <f>SUM(D10:G10)</f>
        <v>775808</v>
      </c>
      <c r="I10" s="228">
        <v>740348</v>
      </c>
      <c r="J10" s="228">
        <f>J11+J12+J14+J32</f>
        <v>0</v>
      </c>
      <c r="K10" s="228">
        <f t="shared" ref="K10:L10" si="1">K11+K12+K14+K32</f>
        <v>0</v>
      </c>
      <c r="L10" s="228">
        <f t="shared" si="1"/>
        <v>40000</v>
      </c>
      <c r="M10" s="229">
        <f t="shared" ref="M10:M73" si="2">SUM(I10:L10)</f>
        <v>780348</v>
      </c>
      <c r="N10" s="228">
        <v>740348</v>
      </c>
      <c r="O10" s="228">
        <f>O11+O12+O14+O32</f>
        <v>0</v>
      </c>
      <c r="P10" s="228">
        <f t="shared" ref="P10:Q10" si="3">P11+P12+P14+P32</f>
        <v>0</v>
      </c>
      <c r="Q10" s="228">
        <f t="shared" si="3"/>
        <v>18000</v>
      </c>
      <c r="R10" s="229">
        <f t="shared" ref="R10:R73" si="4">SUM(N10:Q10)</f>
        <v>758348</v>
      </c>
    </row>
    <row r="11" spans="1:18" ht="22.8">
      <c r="A11" s="130" t="s">
        <v>177</v>
      </c>
      <c r="B11" s="124" t="s">
        <v>90</v>
      </c>
      <c r="C11" s="98">
        <v>12340</v>
      </c>
      <c r="D11" s="169">
        <v>12340</v>
      </c>
      <c r="E11" s="231">
        <f>E95</f>
        <v>5460</v>
      </c>
      <c r="F11" s="231"/>
      <c r="G11" s="231"/>
      <c r="H11" s="232">
        <f>SUM(D11:G11)</f>
        <v>17800</v>
      </c>
      <c r="I11" s="231">
        <v>12340</v>
      </c>
      <c r="J11" s="231"/>
      <c r="K11" s="231"/>
      <c r="L11" s="231"/>
      <c r="M11" s="232">
        <f t="shared" si="2"/>
        <v>12340</v>
      </c>
      <c r="N11" s="231">
        <v>12340</v>
      </c>
      <c r="O11" s="231"/>
      <c r="P11" s="231"/>
      <c r="Q11" s="231"/>
      <c r="R11" s="232">
        <f t="shared" si="4"/>
        <v>12340</v>
      </c>
    </row>
    <row r="12" spans="1:18" ht="12" hidden="1" customHeight="1">
      <c r="A12" s="130" t="s">
        <v>91</v>
      </c>
      <c r="B12" s="124" t="s">
        <v>92</v>
      </c>
      <c r="C12" s="98"/>
      <c r="D12" s="169">
        <v>0</v>
      </c>
      <c r="E12" s="231"/>
      <c r="F12" s="231"/>
      <c r="G12" s="231"/>
      <c r="H12" s="232">
        <f t="shared" ref="H12:H75" si="5">SUM(D12:G12)</f>
        <v>0</v>
      </c>
      <c r="I12" s="231">
        <v>0</v>
      </c>
      <c r="J12" s="231"/>
      <c r="K12" s="231"/>
      <c r="L12" s="231"/>
      <c r="M12" s="232">
        <f t="shared" si="2"/>
        <v>0</v>
      </c>
      <c r="N12" s="231">
        <v>0</v>
      </c>
      <c r="O12" s="231"/>
      <c r="P12" s="231"/>
      <c r="Q12" s="231"/>
      <c r="R12" s="232">
        <f t="shared" si="4"/>
        <v>0</v>
      </c>
    </row>
    <row r="13" spans="1:18" ht="24" hidden="1" customHeight="1">
      <c r="A13" s="131">
        <v>21210</v>
      </c>
      <c r="B13" s="125" t="s">
        <v>93</v>
      </c>
      <c r="C13" s="98"/>
      <c r="D13" s="169">
        <v>0</v>
      </c>
      <c r="E13" s="231"/>
      <c r="F13" s="231"/>
      <c r="G13" s="231"/>
      <c r="H13" s="232">
        <f t="shared" si="5"/>
        <v>0</v>
      </c>
      <c r="I13" s="231">
        <v>0</v>
      </c>
      <c r="J13" s="231"/>
      <c r="K13" s="231"/>
      <c r="L13" s="231"/>
      <c r="M13" s="232">
        <f t="shared" si="2"/>
        <v>0</v>
      </c>
      <c r="N13" s="231">
        <v>0</v>
      </c>
      <c r="O13" s="231"/>
      <c r="P13" s="231"/>
      <c r="Q13" s="231"/>
      <c r="R13" s="232">
        <f t="shared" si="4"/>
        <v>0</v>
      </c>
    </row>
    <row r="14" spans="1:18" ht="21" hidden="1" customHeight="1">
      <c r="A14" s="130" t="s">
        <v>178</v>
      </c>
      <c r="B14" s="124" t="s">
        <v>94</v>
      </c>
      <c r="C14" s="170">
        <v>0</v>
      </c>
      <c r="D14" s="171">
        <v>0</v>
      </c>
      <c r="E14" s="233">
        <f>E15+E21</f>
        <v>0</v>
      </c>
      <c r="F14" s="233">
        <f t="shared" ref="F14:G14" si="6">F15+F21</f>
        <v>0</v>
      </c>
      <c r="G14" s="233">
        <f t="shared" si="6"/>
        <v>0</v>
      </c>
      <c r="H14" s="232">
        <f t="shared" si="5"/>
        <v>0</v>
      </c>
      <c r="I14" s="233">
        <v>0</v>
      </c>
      <c r="J14" s="233">
        <f>J15+J21</f>
        <v>0</v>
      </c>
      <c r="K14" s="233">
        <f t="shared" ref="K14:L14" si="7">K15+K21</f>
        <v>0</v>
      </c>
      <c r="L14" s="233">
        <f t="shared" si="7"/>
        <v>0</v>
      </c>
      <c r="M14" s="232">
        <f t="shared" si="2"/>
        <v>0</v>
      </c>
      <c r="N14" s="233">
        <v>0</v>
      </c>
      <c r="O14" s="233">
        <f>O15+O21</f>
        <v>0</v>
      </c>
      <c r="P14" s="233">
        <f t="shared" ref="P14:Q14" si="8">P15+P21</f>
        <v>0</v>
      </c>
      <c r="Q14" s="233">
        <f t="shared" si="8"/>
        <v>0</v>
      </c>
      <c r="R14" s="232">
        <f t="shared" si="4"/>
        <v>0</v>
      </c>
    </row>
    <row r="15" spans="1:18" ht="12" hidden="1" customHeight="1">
      <c r="A15" s="132">
        <v>18000</v>
      </c>
      <c r="B15" s="125" t="s">
        <v>95</v>
      </c>
      <c r="C15" s="170">
        <v>0</v>
      </c>
      <c r="D15" s="171">
        <v>0</v>
      </c>
      <c r="E15" s="233">
        <f t="shared" ref="E15:L16" si="9">E16</f>
        <v>0</v>
      </c>
      <c r="F15" s="233">
        <f t="shared" si="9"/>
        <v>0</v>
      </c>
      <c r="G15" s="233">
        <f t="shared" si="9"/>
        <v>0</v>
      </c>
      <c r="H15" s="232">
        <f t="shared" si="5"/>
        <v>0</v>
      </c>
      <c r="I15" s="233">
        <v>0</v>
      </c>
      <c r="J15" s="233">
        <f t="shared" si="9"/>
        <v>0</v>
      </c>
      <c r="K15" s="233">
        <f t="shared" si="9"/>
        <v>0</v>
      </c>
      <c r="L15" s="233">
        <f t="shared" si="9"/>
        <v>0</v>
      </c>
      <c r="M15" s="232">
        <f t="shared" si="2"/>
        <v>0</v>
      </c>
      <c r="N15" s="233">
        <v>0</v>
      </c>
      <c r="O15" s="233">
        <f t="shared" ref="O15:Q16" si="10">O16</f>
        <v>0</v>
      </c>
      <c r="P15" s="233">
        <f t="shared" si="10"/>
        <v>0</v>
      </c>
      <c r="Q15" s="233">
        <f t="shared" si="10"/>
        <v>0</v>
      </c>
      <c r="R15" s="232">
        <f t="shared" si="4"/>
        <v>0</v>
      </c>
    </row>
    <row r="16" spans="1:18" ht="12" hidden="1" customHeight="1">
      <c r="A16" s="132">
        <v>18100</v>
      </c>
      <c r="B16" s="125" t="s">
        <v>96</v>
      </c>
      <c r="C16" s="170">
        <v>0</v>
      </c>
      <c r="D16" s="171">
        <v>0</v>
      </c>
      <c r="E16" s="233">
        <f>E17</f>
        <v>0</v>
      </c>
      <c r="F16" s="233">
        <f t="shared" si="9"/>
        <v>0</v>
      </c>
      <c r="G16" s="233">
        <f t="shared" si="9"/>
        <v>0</v>
      </c>
      <c r="H16" s="232">
        <f t="shared" si="5"/>
        <v>0</v>
      </c>
      <c r="I16" s="233">
        <v>0</v>
      </c>
      <c r="J16" s="233">
        <f>J17</f>
        <v>0</v>
      </c>
      <c r="K16" s="233">
        <f t="shared" si="9"/>
        <v>0</v>
      </c>
      <c r="L16" s="233">
        <f t="shared" si="9"/>
        <v>0</v>
      </c>
      <c r="M16" s="232">
        <f t="shared" si="2"/>
        <v>0</v>
      </c>
      <c r="N16" s="233">
        <v>0</v>
      </c>
      <c r="O16" s="233">
        <f>O17</f>
        <v>0</v>
      </c>
      <c r="P16" s="233">
        <f t="shared" si="10"/>
        <v>0</v>
      </c>
      <c r="Q16" s="233">
        <f t="shared" si="10"/>
        <v>0</v>
      </c>
      <c r="R16" s="232">
        <f t="shared" si="4"/>
        <v>0</v>
      </c>
    </row>
    <row r="17" spans="1:18" s="4" customFormat="1" ht="24" hidden="1" customHeight="1">
      <c r="A17" s="133">
        <v>18130</v>
      </c>
      <c r="B17" s="172" t="s">
        <v>159</v>
      </c>
      <c r="C17" s="170">
        <v>0</v>
      </c>
      <c r="D17" s="171">
        <v>0</v>
      </c>
      <c r="E17" s="233">
        <f>SUM(E18:E20)</f>
        <v>0</v>
      </c>
      <c r="F17" s="233">
        <f t="shared" ref="F17:G17" si="11">SUM(F18:F20)</f>
        <v>0</v>
      </c>
      <c r="G17" s="233">
        <f t="shared" si="11"/>
        <v>0</v>
      </c>
      <c r="H17" s="232">
        <f t="shared" si="5"/>
        <v>0</v>
      </c>
      <c r="I17" s="233">
        <v>0</v>
      </c>
      <c r="J17" s="233">
        <f>SUM(J18:J20)</f>
        <v>0</v>
      </c>
      <c r="K17" s="233">
        <f t="shared" ref="K17:L17" si="12">SUM(K18:K20)</f>
        <v>0</v>
      </c>
      <c r="L17" s="233">
        <f t="shared" si="12"/>
        <v>0</v>
      </c>
      <c r="M17" s="232">
        <f t="shared" si="2"/>
        <v>0</v>
      </c>
      <c r="N17" s="233">
        <v>0</v>
      </c>
      <c r="O17" s="233">
        <f>SUM(O18:O20)</f>
        <v>0</v>
      </c>
      <c r="P17" s="233">
        <f t="shared" ref="P17:Q17" si="13">SUM(P18:P20)</f>
        <v>0</v>
      </c>
      <c r="Q17" s="233">
        <f t="shared" si="13"/>
        <v>0</v>
      </c>
      <c r="R17" s="232">
        <f t="shared" si="4"/>
        <v>0</v>
      </c>
    </row>
    <row r="18" spans="1:18" s="6" customFormat="1" ht="36" hidden="1" customHeight="1">
      <c r="A18" s="134">
        <v>18131</v>
      </c>
      <c r="B18" s="172" t="s">
        <v>160</v>
      </c>
      <c r="C18" s="170"/>
      <c r="D18" s="171">
        <v>0</v>
      </c>
      <c r="E18" s="233"/>
      <c r="F18" s="233"/>
      <c r="G18" s="233"/>
      <c r="H18" s="232">
        <f t="shared" si="5"/>
        <v>0</v>
      </c>
      <c r="I18" s="233">
        <v>0</v>
      </c>
      <c r="J18" s="233"/>
      <c r="K18" s="233"/>
      <c r="L18" s="233"/>
      <c r="M18" s="232">
        <f t="shared" si="2"/>
        <v>0</v>
      </c>
      <c r="N18" s="233">
        <v>0</v>
      </c>
      <c r="O18" s="233"/>
      <c r="P18" s="233"/>
      <c r="Q18" s="233"/>
      <c r="R18" s="232">
        <f t="shared" si="4"/>
        <v>0</v>
      </c>
    </row>
    <row r="19" spans="1:18" s="6" customFormat="1" ht="24" hidden="1" customHeight="1">
      <c r="A19" s="134">
        <v>18132</v>
      </c>
      <c r="B19" s="172" t="s">
        <v>169</v>
      </c>
      <c r="C19" s="170"/>
      <c r="D19" s="171">
        <v>0</v>
      </c>
      <c r="E19" s="233"/>
      <c r="F19" s="233"/>
      <c r="G19" s="233"/>
      <c r="H19" s="232">
        <f t="shared" si="5"/>
        <v>0</v>
      </c>
      <c r="I19" s="233">
        <v>0</v>
      </c>
      <c r="J19" s="233"/>
      <c r="K19" s="233"/>
      <c r="L19" s="233"/>
      <c r="M19" s="232">
        <f t="shared" si="2"/>
        <v>0</v>
      </c>
      <c r="N19" s="233">
        <v>0</v>
      </c>
      <c r="O19" s="233"/>
      <c r="P19" s="233"/>
      <c r="Q19" s="233"/>
      <c r="R19" s="232">
        <f t="shared" si="4"/>
        <v>0</v>
      </c>
    </row>
    <row r="20" spans="1:18" s="6" customFormat="1" ht="24" hidden="1" customHeight="1">
      <c r="A20" s="134">
        <v>18139</v>
      </c>
      <c r="B20" s="172" t="s">
        <v>179</v>
      </c>
      <c r="C20" s="170"/>
      <c r="D20" s="171">
        <v>0</v>
      </c>
      <c r="E20" s="233"/>
      <c r="F20" s="233"/>
      <c r="G20" s="233"/>
      <c r="H20" s="232">
        <f t="shared" si="5"/>
        <v>0</v>
      </c>
      <c r="I20" s="233">
        <v>0</v>
      </c>
      <c r="J20" s="233"/>
      <c r="K20" s="233"/>
      <c r="L20" s="233"/>
      <c r="M20" s="232">
        <f t="shared" si="2"/>
        <v>0</v>
      </c>
      <c r="N20" s="233">
        <v>0</v>
      </c>
      <c r="O20" s="233"/>
      <c r="P20" s="233"/>
      <c r="Q20" s="233"/>
      <c r="R20" s="232">
        <f t="shared" si="4"/>
        <v>0</v>
      </c>
    </row>
    <row r="21" spans="1:18" s="6" customFormat="1" ht="12" hidden="1" customHeight="1">
      <c r="A21" s="135" t="s">
        <v>180</v>
      </c>
      <c r="B21" s="173" t="s">
        <v>173</v>
      </c>
      <c r="C21" s="201">
        <v>0</v>
      </c>
      <c r="D21" s="174">
        <v>0</v>
      </c>
      <c r="E21" s="238">
        <f t="shared" ref="E21:L21" si="14">E22</f>
        <v>0</v>
      </c>
      <c r="F21" s="238">
        <f t="shared" si="14"/>
        <v>0</v>
      </c>
      <c r="G21" s="238">
        <f t="shared" si="14"/>
        <v>0</v>
      </c>
      <c r="H21" s="232">
        <f t="shared" si="5"/>
        <v>0</v>
      </c>
      <c r="I21" s="238">
        <v>0</v>
      </c>
      <c r="J21" s="238">
        <f t="shared" si="14"/>
        <v>0</v>
      </c>
      <c r="K21" s="238">
        <f t="shared" si="14"/>
        <v>0</v>
      </c>
      <c r="L21" s="238">
        <f t="shared" si="14"/>
        <v>0</v>
      </c>
      <c r="M21" s="232">
        <f t="shared" si="2"/>
        <v>0</v>
      </c>
      <c r="N21" s="238">
        <v>0</v>
      </c>
      <c r="O21" s="238">
        <f t="shared" ref="O21:Q21" si="15">O22</f>
        <v>0</v>
      </c>
      <c r="P21" s="238">
        <f t="shared" si="15"/>
        <v>0</v>
      </c>
      <c r="Q21" s="238">
        <f t="shared" si="15"/>
        <v>0</v>
      </c>
      <c r="R21" s="232">
        <f t="shared" si="4"/>
        <v>0</v>
      </c>
    </row>
    <row r="22" spans="1:18" s="6" customFormat="1" ht="24" hidden="1" customHeight="1">
      <c r="A22" s="135">
        <v>19500</v>
      </c>
      <c r="B22" s="172" t="s">
        <v>174</v>
      </c>
      <c r="C22" s="170">
        <v>0</v>
      </c>
      <c r="D22" s="171">
        <v>0</v>
      </c>
      <c r="E22" s="233">
        <f>SUM(E23:E25)</f>
        <v>0</v>
      </c>
      <c r="F22" s="233">
        <f t="shared" ref="F22:G22" si="16">SUM(F23:F25)</f>
        <v>0</v>
      </c>
      <c r="G22" s="233">
        <f t="shared" si="16"/>
        <v>0</v>
      </c>
      <c r="H22" s="232">
        <f t="shared" si="5"/>
        <v>0</v>
      </c>
      <c r="I22" s="233">
        <v>0</v>
      </c>
      <c r="J22" s="233">
        <f>SUM(J23:J25)</f>
        <v>0</v>
      </c>
      <c r="K22" s="233">
        <f t="shared" ref="K22:L22" si="17">SUM(K23:K25)</f>
        <v>0</v>
      </c>
      <c r="L22" s="233">
        <f t="shared" si="17"/>
        <v>0</v>
      </c>
      <c r="M22" s="232">
        <f t="shared" si="2"/>
        <v>0</v>
      </c>
      <c r="N22" s="233">
        <v>0</v>
      </c>
      <c r="O22" s="233">
        <f>SUM(O23:O25)</f>
        <v>0</v>
      </c>
      <c r="P22" s="233">
        <f t="shared" ref="P22:Q22" si="18">SUM(P23:P25)</f>
        <v>0</v>
      </c>
      <c r="Q22" s="233">
        <f t="shared" si="18"/>
        <v>0</v>
      </c>
      <c r="R22" s="232">
        <f t="shared" si="4"/>
        <v>0</v>
      </c>
    </row>
    <row r="23" spans="1:18" s="6" customFormat="1" ht="24" hidden="1" customHeight="1">
      <c r="A23" s="136">
        <v>19550</v>
      </c>
      <c r="B23" s="172" t="s">
        <v>175</v>
      </c>
      <c r="C23" s="170"/>
      <c r="D23" s="171">
        <v>0</v>
      </c>
      <c r="E23" s="233"/>
      <c r="F23" s="233"/>
      <c r="G23" s="233"/>
      <c r="H23" s="232">
        <f t="shared" si="5"/>
        <v>0</v>
      </c>
      <c r="I23" s="233">
        <v>0</v>
      </c>
      <c r="J23" s="233"/>
      <c r="K23" s="233"/>
      <c r="L23" s="233"/>
      <c r="M23" s="232">
        <f t="shared" si="2"/>
        <v>0</v>
      </c>
      <c r="N23" s="233">
        <v>0</v>
      </c>
      <c r="O23" s="233"/>
      <c r="P23" s="233"/>
      <c r="Q23" s="233"/>
      <c r="R23" s="232">
        <f t="shared" si="4"/>
        <v>0</v>
      </c>
    </row>
    <row r="24" spans="1:18" s="6" customFormat="1" ht="36" hidden="1" customHeight="1">
      <c r="A24" s="136">
        <v>19560</v>
      </c>
      <c r="B24" s="172" t="s">
        <v>181</v>
      </c>
      <c r="C24" s="170"/>
      <c r="D24" s="171">
        <v>0</v>
      </c>
      <c r="E24" s="233"/>
      <c r="F24" s="233"/>
      <c r="G24" s="233"/>
      <c r="H24" s="232">
        <f t="shared" si="5"/>
        <v>0</v>
      </c>
      <c r="I24" s="233">
        <v>0</v>
      </c>
      <c r="J24" s="233"/>
      <c r="K24" s="233"/>
      <c r="L24" s="233"/>
      <c r="M24" s="232">
        <f t="shared" si="2"/>
        <v>0</v>
      </c>
      <c r="N24" s="233">
        <v>0</v>
      </c>
      <c r="O24" s="233"/>
      <c r="P24" s="233"/>
      <c r="Q24" s="233"/>
      <c r="R24" s="232">
        <f t="shared" si="4"/>
        <v>0</v>
      </c>
    </row>
    <row r="25" spans="1:18" s="6" customFormat="1" ht="72" hidden="1" customHeight="1">
      <c r="A25" s="136">
        <v>19570</v>
      </c>
      <c r="B25" s="172" t="s">
        <v>182</v>
      </c>
      <c r="C25" s="170"/>
      <c r="D25" s="171">
        <v>0</v>
      </c>
      <c r="E25" s="233"/>
      <c r="F25" s="233"/>
      <c r="G25" s="233"/>
      <c r="H25" s="232">
        <f t="shared" si="5"/>
        <v>0</v>
      </c>
      <c r="I25" s="233">
        <v>0</v>
      </c>
      <c r="J25" s="233"/>
      <c r="K25" s="233"/>
      <c r="L25" s="233"/>
      <c r="M25" s="232">
        <f t="shared" si="2"/>
        <v>0</v>
      </c>
      <c r="N25" s="233">
        <v>0</v>
      </c>
      <c r="O25" s="233"/>
      <c r="P25" s="233"/>
      <c r="Q25" s="233"/>
      <c r="R25" s="232">
        <f t="shared" si="4"/>
        <v>0</v>
      </c>
    </row>
    <row r="26" spans="1:18" s="6" customFormat="1" ht="24" hidden="1" customHeight="1">
      <c r="A26" s="209" t="s">
        <v>222</v>
      </c>
      <c r="B26" s="208" t="s">
        <v>216</v>
      </c>
      <c r="C26" s="106">
        <f>C27</f>
        <v>0</v>
      </c>
      <c r="D26" s="107">
        <v>0</v>
      </c>
      <c r="E26" s="232">
        <f t="shared" ref="E26:L26" si="19">E27</f>
        <v>0</v>
      </c>
      <c r="F26" s="232">
        <f t="shared" si="19"/>
        <v>0</v>
      </c>
      <c r="G26" s="232">
        <f t="shared" si="19"/>
        <v>0</v>
      </c>
      <c r="H26" s="232">
        <f t="shared" si="5"/>
        <v>0</v>
      </c>
      <c r="I26" s="233">
        <v>0</v>
      </c>
      <c r="J26" s="232">
        <f t="shared" si="19"/>
        <v>0</v>
      </c>
      <c r="K26" s="232">
        <f t="shared" si="19"/>
        <v>0</v>
      </c>
      <c r="L26" s="232">
        <f t="shared" si="19"/>
        <v>0</v>
      </c>
      <c r="M26" s="232">
        <f t="shared" si="2"/>
        <v>0</v>
      </c>
      <c r="N26" s="233">
        <v>0</v>
      </c>
      <c r="O26" s="232">
        <f t="shared" ref="O26:Q26" si="20">O27</f>
        <v>0</v>
      </c>
      <c r="P26" s="232">
        <f t="shared" si="20"/>
        <v>0</v>
      </c>
      <c r="Q26" s="232">
        <f t="shared" si="20"/>
        <v>0</v>
      </c>
      <c r="R26" s="232">
        <f t="shared" si="4"/>
        <v>0</v>
      </c>
    </row>
    <row r="27" spans="1:18" s="6" customFormat="1" ht="36" hidden="1" customHeight="1">
      <c r="A27" s="209">
        <v>17100</v>
      </c>
      <c r="B27" s="208" t="s">
        <v>217</v>
      </c>
      <c r="C27" s="106">
        <f>SUM(C28:C31)</f>
        <v>0</v>
      </c>
      <c r="D27" s="107">
        <v>0</v>
      </c>
      <c r="E27" s="232">
        <f t="shared" ref="E27:G27" si="21">SUM(E28:E31)</f>
        <v>0</v>
      </c>
      <c r="F27" s="232">
        <f t="shared" si="21"/>
        <v>0</v>
      </c>
      <c r="G27" s="232">
        <f t="shared" si="21"/>
        <v>0</v>
      </c>
      <c r="H27" s="232">
        <f t="shared" si="5"/>
        <v>0</v>
      </c>
      <c r="I27" s="233">
        <v>0</v>
      </c>
      <c r="J27" s="232">
        <f t="shared" ref="J27:L27" si="22">SUM(J28:J31)</f>
        <v>0</v>
      </c>
      <c r="K27" s="232">
        <f t="shared" si="22"/>
        <v>0</v>
      </c>
      <c r="L27" s="232">
        <f t="shared" si="22"/>
        <v>0</v>
      </c>
      <c r="M27" s="232">
        <f t="shared" si="2"/>
        <v>0</v>
      </c>
      <c r="N27" s="233">
        <v>0</v>
      </c>
      <c r="O27" s="232">
        <f t="shared" ref="O27:Q27" si="23">SUM(O28:O31)</f>
        <v>0</v>
      </c>
      <c r="P27" s="232">
        <f t="shared" si="23"/>
        <v>0</v>
      </c>
      <c r="Q27" s="232">
        <f t="shared" si="23"/>
        <v>0</v>
      </c>
      <c r="R27" s="232">
        <f t="shared" si="4"/>
        <v>0</v>
      </c>
    </row>
    <row r="28" spans="1:18" s="6" customFormat="1" ht="60" hidden="1" customHeight="1">
      <c r="A28" s="149">
        <v>17110</v>
      </c>
      <c r="B28" s="208" t="s">
        <v>218</v>
      </c>
      <c r="C28" s="106"/>
      <c r="D28" s="107">
        <v>0</v>
      </c>
      <c r="E28" s="233"/>
      <c r="F28" s="233"/>
      <c r="G28" s="233"/>
      <c r="H28" s="232">
        <f t="shared" si="5"/>
        <v>0</v>
      </c>
      <c r="I28" s="233">
        <v>0</v>
      </c>
      <c r="J28" s="233"/>
      <c r="K28" s="233"/>
      <c r="L28" s="233"/>
      <c r="M28" s="232">
        <f t="shared" si="2"/>
        <v>0</v>
      </c>
      <c r="N28" s="233">
        <v>0</v>
      </c>
      <c r="O28" s="233"/>
      <c r="P28" s="233"/>
      <c r="Q28" s="233"/>
      <c r="R28" s="232">
        <f t="shared" si="4"/>
        <v>0</v>
      </c>
    </row>
    <row r="29" spans="1:18" s="6" customFormat="1" ht="60" hidden="1" customHeight="1">
      <c r="A29" s="149">
        <v>17120</v>
      </c>
      <c r="B29" s="208" t="s">
        <v>219</v>
      </c>
      <c r="C29" s="106"/>
      <c r="D29" s="107">
        <v>0</v>
      </c>
      <c r="E29" s="233"/>
      <c r="F29" s="233"/>
      <c r="G29" s="233"/>
      <c r="H29" s="232">
        <f t="shared" si="5"/>
        <v>0</v>
      </c>
      <c r="I29" s="233">
        <v>0</v>
      </c>
      <c r="J29" s="233"/>
      <c r="K29" s="233"/>
      <c r="L29" s="233"/>
      <c r="M29" s="232">
        <f t="shared" si="2"/>
        <v>0</v>
      </c>
      <c r="N29" s="233">
        <v>0</v>
      </c>
      <c r="O29" s="233"/>
      <c r="P29" s="233"/>
      <c r="Q29" s="233"/>
      <c r="R29" s="232">
        <f t="shared" si="4"/>
        <v>0</v>
      </c>
    </row>
    <row r="30" spans="1:18" s="6" customFormat="1" ht="108" hidden="1" customHeight="1">
      <c r="A30" s="149">
        <v>17130</v>
      </c>
      <c r="B30" s="208" t="s">
        <v>220</v>
      </c>
      <c r="C30" s="106"/>
      <c r="D30" s="107">
        <v>0</v>
      </c>
      <c r="E30" s="233"/>
      <c r="F30" s="233"/>
      <c r="G30" s="233"/>
      <c r="H30" s="232">
        <f t="shared" si="5"/>
        <v>0</v>
      </c>
      <c r="I30" s="233">
        <v>0</v>
      </c>
      <c r="J30" s="233"/>
      <c r="K30" s="233"/>
      <c r="L30" s="233"/>
      <c r="M30" s="232">
        <f t="shared" si="2"/>
        <v>0</v>
      </c>
      <c r="N30" s="233">
        <v>0</v>
      </c>
      <c r="O30" s="233"/>
      <c r="P30" s="233"/>
      <c r="Q30" s="233"/>
      <c r="R30" s="232">
        <f t="shared" si="4"/>
        <v>0</v>
      </c>
    </row>
    <row r="31" spans="1:18" s="6" customFormat="1" ht="108" hidden="1" customHeight="1">
      <c r="A31" s="149">
        <v>17140</v>
      </c>
      <c r="B31" s="208" t="s">
        <v>221</v>
      </c>
      <c r="C31" s="106"/>
      <c r="D31" s="107">
        <v>0</v>
      </c>
      <c r="E31" s="233"/>
      <c r="F31" s="233"/>
      <c r="G31" s="233"/>
      <c r="H31" s="232">
        <f t="shared" si="5"/>
        <v>0</v>
      </c>
      <c r="I31" s="233">
        <v>0</v>
      </c>
      <c r="J31" s="233"/>
      <c r="K31" s="233"/>
      <c r="L31" s="233"/>
      <c r="M31" s="232">
        <f t="shared" si="2"/>
        <v>0</v>
      </c>
      <c r="N31" s="233">
        <v>0</v>
      </c>
      <c r="O31" s="233"/>
      <c r="P31" s="233"/>
      <c r="Q31" s="233"/>
      <c r="R31" s="232">
        <f t="shared" si="4"/>
        <v>0</v>
      </c>
    </row>
    <row r="32" spans="1:18" s="6" customFormat="1" ht="12">
      <c r="A32" s="137">
        <v>21700</v>
      </c>
      <c r="B32" s="124" t="s">
        <v>97</v>
      </c>
      <c r="C32" s="170">
        <v>735808</v>
      </c>
      <c r="D32" s="171">
        <v>728008</v>
      </c>
      <c r="E32" s="233">
        <f>E33+E34</f>
        <v>0</v>
      </c>
      <c r="F32" s="233">
        <f t="shared" ref="F32:G32" si="24">F33+F34</f>
        <v>0</v>
      </c>
      <c r="G32" s="233">
        <f t="shared" si="24"/>
        <v>30000</v>
      </c>
      <c r="H32" s="232">
        <f t="shared" si="5"/>
        <v>758008</v>
      </c>
      <c r="I32" s="233">
        <v>728008</v>
      </c>
      <c r="J32" s="233">
        <f>J33+J34</f>
        <v>0</v>
      </c>
      <c r="K32" s="233">
        <f t="shared" ref="K32:L32" si="25">K33+K34</f>
        <v>0</v>
      </c>
      <c r="L32" s="233">
        <f t="shared" si="25"/>
        <v>40000</v>
      </c>
      <c r="M32" s="232">
        <f t="shared" si="2"/>
        <v>768008</v>
      </c>
      <c r="N32" s="233">
        <v>728008</v>
      </c>
      <c r="O32" s="233">
        <f>O33+O34</f>
        <v>0</v>
      </c>
      <c r="P32" s="233">
        <f t="shared" ref="P32:Q32" si="26">P33+P34</f>
        <v>0</v>
      </c>
      <c r="Q32" s="233">
        <f t="shared" si="26"/>
        <v>18000</v>
      </c>
      <c r="R32" s="232">
        <f t="shared" si="4"/>
        <v>746008</v>
      </c>
    </row>
    <row r="33" spans="1:18" s="6" customFormat="1" ht="24">
      <c r="A33" s="138">
        <v>21710</v>
      </c>
      <c r="B33" s="125" t="s">
        <v>98</v>
      </c>
      <c r="C33" s="170">
        <v>735808</v>
      </c>
      <c r="D33" s="171">
        <v>728008</v>
      </c>
      <c r="E33" s="233"/>
      <c r="F33" s="233"/>
      <c r="G33" s="233">
        <f>G117</f>
        <v>30000</v>
      </c>
      <c r="H33" s="232">
        <f t="shared" si="5"/>
        <v>758008</v>
      </c>
      <c r="I33" s="233">
        <v>728008</v>
      </c>
      <c r="J33" s="233"/>
      <c r="K33" s="233"/>
      <c r="L33" s="233">
        <f>L117</f>
        <v>40000</v>
      </c>
      <c r="M33" s="232">
        <f t="shared" si="2"/>
        <v>768008</v>
      </c>
      <c r="N33" s="233">
        <v>728008</v>
      </c>
      <c r="O33" s="233"/>
      <c r="P33" s="233"/>
      <c r="Q33" s="233">
        <f>Q117</f>
        <v>18000</v>
      </c>
      <c r="R33" s="232">
        <f t="shared" si="4"/>
        <v>746008</v>
      </c>
    </row>
    <row r="34" spans="1:18" s="6" customFormat="1" ht="24" hidden="1" customHeight="1">
      <c r="A34" s="138">
        <v>21720</v>
      </c>
      <c r="B34" s="125" t="s">
        <v>99</v>
      </c>
      <c r="C34" s="170"/>
      <c r="D34" s="171">
        <v>0</v>
      </c>
      <c r="E34" s="233"/>
      <c r="F34" s="233"/>
      <c r="G34" s="233"/>
      <c r="H34" s="232">
        <f t="shared" si="5"/>
        <v>0</v>
      </c>
      <c r="I34" s="233">
        <v>0</v>
      </c>
      <c r="J34" s="233"/>
      <c r="K34" s="233"/>
      <c r="L34" s="233"/>
      <c r="M34" s="232">
        <f t="shared" si="2"/>
        <v>0</v>
      </c>
      <c r="N34" s="233">
        <v>0</v>
      </c>
      <c r="O34" s="233"/>
      <c r="P34" s="233"/>
      <c r="Q34" s="233"/>
      <c r="R34" s="232">
        <f t="shared" si="4"/>
        <v>0</v>
      </c>
    </row>
    <row r="35" spans="1:18" s="6" customFormat="1" ht="11.4">
      <c r="A35" s="129" t="s">
        <v>100</v>
      </c>
      <c r="B35" s="123" t="s">
        <v>101</v>
      </c>
      <c r="C35" s="168">
        <v>748148</v>
      </c>
      <c r="D35" s="175">
        <v>740348</v>
      </c>
      <c r="E35" s="243">
        <f t="shared" ref="E35:G35" si="27">E36+E63</f>
        <v>5460</v>
      </c>
      <c r="F35" s="243">
        <f t="shared" si="27"/>
        <v>0</v>
      </c>
      <c r="G35" s="243">
        <f t="shared" si="27"/>
        <v>30000</v>
      </c>
      <c r="H35" s="229">
        <f t="shared" si="5"/>
        <v>775808</v>
      </c>
      <c r="I35" s="243">
        <v>740348</v>
      </c>
      <c r="J35" s="243">
        <f t="shared" ref="J35:L35" si="28">J36+J63</f>
        <v>0</v>
      </c>
      <c r="K35" s="243">
        <f t="shared" si="28"/>
        <v>0</v>
      </c>
      <c r="L35" s="243">
        <f t="shared" si="28"/>
        <v>40000</v>
      </c>
      <c r="M35" s="229">
        <f t="shared" si="2"/>
        <v>780348</v>
      </c>
      <c r="N35" s="243">
        <v>740348</v>
      </c>
      <c r="O35" s="243">
        <f t="shared" ref="O35:Q35" si="29">O36+O63</f>
        <v>0</v>
      </c>
      <c r="P35" s="243">
        <f t="shared" si="29"/>
        <v>0</v>
      </c>
      <c r="Q35" s="243">
        <f t="shared" si="29"/>
        <v>18000</v>
      </c>
      <c r="R35" s="229">
        <f t="shared" si="4"/>
        <v>758348</v>
      </c>
    </row>
    <row r="36" spans="1:18" s="6" customFormat="1" ht="20.399999999999999">
      <c r="A36" s="130" t="s">
        <v>102</v>
      </c>
      <c r="B36" s="124" t="s">
        <v>103</v>
      </c>
      <c r="C36" s="170">
        <v>736848</v>
      </c>
      <c r="D36" s="171">
        <v>734848</v>
      </c>
      <c r="E36" s="232">
        <f>E37+E41+E42+E45+E48</f>
        <v>5460</v>
      </c>
      <c r="F36" s="233">
        <f t="shared" ref="F36:G36" si="30">F37+F41+F42+F45+F48</f>
        <v>0</v>
      </c>
      <c r="G36" s="233">
        <f t="shared" si="30"/>
        <v>30000</v>
      </c>
      <c r="H36" s="232">
        <f t="shared" si="5"/>
        <v>770308</v>
      </c>
      <c r="I36" s="233">
        <v>734848</v>
      </c>
      <c r="J36" s="233">
        <f>J37+J41+J42+J45+J48</f>
        <v>0</v>
      </c>
      <c r="K36" s="233">
        <f t="shared" ref="K36:L36" si="31">K37+K41+K42+K45+K48</f>
        <v>0</v>
      </c>
      <c r="L36" s="233">
        <f t="shared" si="31"/>
        <v>40000</v>
      </c>
      <c r="M36" s="232">
        <f t="shared" si="2"/>
        <v>774848</v>
      </c>
      <c r="N36" s="233">
        <v>734848</v>
      </c>
      <c r="O36" s="233">
        <f>O37+O41+O42+O45+O48</f>
        <v>0</v>
      </c>
      <c r="P36" s="233">
        <f t="shared" ref="P36:Q36" si="32">P37+P41+P42+P45+P48</f>
        <v>0</v>
      </c>
      <c r="Q36" s="233">
        <f t="shared" si="32"/>
        <v>18000</v>
      </c>
      <c r="R36" s="232">
        <f t="shared" si="4"/>
        <v>752848</v>
      </c>
    </row>
    <row r="37" spans="1:18" s="6" customFormat="1" ht="12">
      <c r="A37" s="130" t="s">
        <v>104</v>
      </c>
      <c r="B37" s="124" t="s">
        <v>105</v>
      </c>
      <c r="C37" s="170">
        <v>736145</v>
      </c>
      <c r="D37" s="171">
        <v>734145</v>
      </c>
      <c r="E37" s="232">
        <f>E38+E40</f>
        <v>5460</v>
      </c>
      <c r="F37" s="233">
        <f t="shared" ref="F37:G37" si="33">F38+F40</f>
        <v>0</v>
      </c>
      <c r="G37" s="233">
        <f t="shared" si="33"/>
        <v>30000</v>
      </c>
      <c r="H37" s="232">
        <f t="shared" si="5"/>
        <v>769605</v>
      </c>
      <c r="I37" s="233">
        <v>734145</v>
      </c>
      <c r="J37" s="233">
        <f>J38+J40</f>
        <v>0</v>
      </c>
      <c r="K37" s="233">
        <f t="shared" ref="K37:L37" si="34">K38+K40</f>
        <v>0</v>
      </c>
      <c r="L37" s="233">
        <f t="shared" si="34"/>
        <v>40000</v>
      </c>
      <c r="M37" s="232">
        <f t="shared" si="2"/>
        <v>774145</v>
      </c>
      <c r="N37" s="233">
        <v>734145</v>
      </c>
      <c r="O37" s="233">
        <f>O38+O40</f>
        <v>0</v>
      </c>
      <c r="P37" s="233">
        <f t="shared" ref="P37:Q37" si="35">P38+P40</f>
        <v>0</v>
      </c>
      <c r="Q37" s="233">
        <f t="shared" si="35"/>
        <v>18000</v>
      </c>
      <c r="R37" s="232">
        <f t="shared" si="4"/>
        <v>752145</v>
      </c>
    </row>
    <row r="38" spans="1:18" s="6" customFormat="1" ht="12">
      <c r="A38" s="132">
        <v>1000</v>
      </c>
      <c r="B38" s="125" t="s">
        <v>106</v>
      </c>
      <c r="C38" s="170">
        <v>577779</v>
      </c>
      <c r="D38" s="171">
        <v>577779</v>
      </c>
      <c r="E38" s="232">
        <f>E122</f>
        <v>0</v>
      </c>
      <c r="F38" s="244"/>
      <c r="G38" s="244"/>
      <c r="H38" s="232">
        <f t="shared" si="5"/>
        <v>577779</v>
      </c>
      <c r="I38" s="233">
        <v>577779</v>
      </c>
      <c r="J38" s="244"/>
      <c r="K38" s="244"/>
      <c r="L38" s="244"/>
      <c r="M38" s="232">
        <f t="shared" si="2"/>
        <v>577779</v>
      </c>
      <c r="N38" s="233">
        <v>577779</v>
      </c>
      <c r="O38" s="244"/>
      <c r="P38" s="244"/>
      <c r="Q38" s="244"/>
      <c r="R38" s="232">
        <f t="shared" si="4"/>
        <v>577779</v>
      </c>
    </row>
    <row r="39" spans="1:18" s="6" customFormat="1" ht="12">
      <c r="A39" s="139">
        <v>1100</v>
      </c>
      <c r="B39" s="125" t="s">
        <v>107</v>
      </c>
      <c r="C39" s="170">
        <v>454840</v>
      </c>
      <c r="D39" s="171">
        <v>454840</v>
      </c>
      <c r="E39" s="232">
        <f>E123</f>
        <v>0</v>
      </c>
      <c r="F39" s="244"/>
      <c r="G39" s="244"/>
      <c r="H39" s="232">
        <f t="shared" si="5"/>
        <v>454840</v>
      </c>
      <c r="I39" s="233">
        <v>454840</v>
      </c>
      <c r="J39" s="244"/>
      <c r="K39" s="244"/>
      <c r="L39" s="244"/>
      <c r="M39" s="232">
        <f t="shared" si="2"/>
        <v>454840</v>
      </c>
      <c r="N39" s="233">
        <v>454840</v>
      </c>
      <c r="O39" s="244"/>
      <c r="P39" s="244"/>
      <c r="Q39" s="244"/>
      <c r="R39" s="232">
        <f t="shared" si="4"/>
        <v>454840</v>
      </c>
    </row>
    <row r="40" spans="1:18" s="6" customFormat="1" ht="12">
      <c r="A40" s="132">
        <v>2000</v>
      </c>
      <c r="B40" s="125" t="s">
        <v>108</v>
      </c>
      <c r="C40" s="170">
        <v>158366</v>
      </c>
      <c r="D40" s="171">
        <v>156366</v>
      </c>
      <c r="E40" s="232">
        <f>E124</f>
        <v>5460</v>
      </c>
      <c r="F40" s="244"/>
      <c r="G40" s="233">
        <f>G124</f>
        <v>30000</v>
      </c>
      <c r="H40" s="232">
        <f t="shared" si="5"/>
        <v>191826</v>
      </c>
      <c r="I40" s="233">
        <v>156366</v>
      </c>
      <c r="J40" s="244"/>
      <c r="K40" s="244"/>
      <c r="L40" s="233">
        <f>L124</f>
        <v>40000</v>
      </c>
      <c r="M40" s="232">
        <f t="shared" si="2"/>
        <v>196366</v>
      </c>
      <c r="N40" s="233">
        <v>156366</v>
      </c>
      <c r="O40" s="244"/>
      <c r="P40" s="244"/>
      <c r="Q40" s="233">
        <f>Q124</f>
        <v>18000</v>
      </c>
      <c r="R40" s="232">
        <f t="shared" si="4"/>
        <v>174366</v>
      </c>
    </row>
    <row r="41" spans="1:18" s="6" customFormat="1" ht="12" hidden="1" customHeight="1">
      <c r="A41" s="140">
        <v>4000</v>
      </c>
      <c r="B41" s="124" t="s">
        <v>132</v>
      </c>
      <c r="C41" s="170"/>
      <c r="D41" s="171">
        <v>0</v>
      </c>
      <c r="E41" s="232"/>
      <c r="F41" s="244"/>
      <c r="G41" s="244"/>
      <c r="H41" s="232">
        <f t="shared" si="5"/>
        <v>0</v>
      </c>
      <c r="I41" s="233">
        <v>0</v>
      </c>
      <c r="J41" s="244"/>
      <c r="K41" s="244"/>
      <c r="L41" s="244"/>
      <c r="M41" s="232">
        <f t="shared" si="2"/>
        <v>0</v>
      </c>
      <c r="N41" s="233">
        <v>0</v>
      </c>
      <c r="O41" s="244"/>
      <c r="P41" s="244"/>
      <c r="Q41" s="244"/>
      <c r="R41" s="232">
        <f t="shared" si="4"/>
        <v>0</v>
      </c>
    </row>
    <row r="42" spans="1:18" s="6" customFormat="1" ht="12" hidden="1" customHeight="1">
      <c r="A42" s="140" t="s">
        <v>109</v>
      </c>
      <c r="B42" s="124" t="s">
        <v>110</v>
      </c>
      <c r="C42" s="170">
        <v>0</v>
      </c>
      <c r="D42" s="171">
        <v>0</v>
      </c>
      <c r="E42" s="232">
        <f>E43+E44</f>
        <v>0</v>
      </c>
      <c r="F42" s="233">
        <f t="shared" ref="F42:G42" si="36">F43+F44</f>
        <v>0</v>
      </c>
      <c r="G42" s="233">
        <f t="shared" si="36"/>
        <v>0</v>
      </c>
      <c r="H42" s="232">
        <f t="shared" si="5"/>
        <v>0</v>
      </c>
      <c r="I42" s="233">
        <v>0</v>
      </c>
      <c r="J42" s="233">
        <f>J43+J44</f>
        <v>0</v>
      </c>
      <c r="K42" s="233">
        <f t="shared" ref="K42:L42" si="37">K43+K44</f>
        <v>0</v>
      </c>
      <c r="L42" s="233">
        <f t="shared" si="37"/>
        <v>0</v>
      </c>
      <c r="M42" s="232">
        <f t="shared" si="2"/>
        <v>0</v>
      </c>
      <c r="N42" s="233">
        <v>0</v>
      </c>
      <c r="O42" s="233">
        <f>O43+O44</f>
        <v>0</v>
      </c>
      <c r="P42" s="233">
        <f t="shared" ref="P42:Q42" si="38">P43+P44</f>
        <v>0</v>
      </c>
      <c r="Q42" s="233">
        <f t="shared" si="38"/>
        <v>0</v>
      </c>
      <c r="R42" s="232">
        <f t="shared" si="4"/>
        <v>0</v>
      </c>
    </row>
    <row r="43" spans="1:18" s="6" customFormat="1" ht="12" hidden="1" customHeight="1">
      <c r="A43" s="132">
        <v>3000</v>
      </c>
      <c r="B43" s="125" t="s">
        <v>111</v>
      </c>
      <c r="C43" s="202"/>
      <c r="D43" s="213">
        <v>0</v>
      </c>
      <c r="E43" s="245"/>
      <c r="F43" s="246"/>
      <c r="G43" s="246"/>
      <c r="H43" s="232">
        <f t="shared" si="5"/>
        <v>0</v>
      </c>
      <c r="I43" s="345">
        <v>0</v>
      </c>
      <c r="J43" s="246"/>
      <c r="K43" s="246"/>
      <c r="L43" s="246"/>
      <c r="M43" s="232">
        <f t="shared" si="2"/>
        <v>0</v>
      </c>
      <c r="N43" s="345">
        <v>0</v>
      </c>
      <c r="O43" s="246"/>
      <c r="P43" s="246"/>
      <c r="Q43" s="246"/>
      <c r="R43" s="232">
        <f t="shared" si="4"/>
        <v>0</v>
      </c>
    </row>
    <row r="44" spans="1:18" s="6" customFormat="1" ht="12" hidden="1" customHeight="1">
      <c r="A44" s="132">
        <v>6000</v>
      </c>
      <c r="B44" s="125" t="s">
        <v>112</v>
      </c>
      <c r="C44" s="203"/>
      <c r="D44" s="287">
        <v>0</v>
      </c>
      <c r="E44" s="247"/>
      <c r="F44" s="248"/>
      <c r="G44" s="248"/>
      <c r="H44" s="232">
        <f t="shared" si="5"/>
        <v>0</v>
      </c>
      <c r="I44" s="346">
        <v>0</v>
      </c>
      <c r="J44" s="248"/>
      <c r="K44" s="248"/>
      <c r="L44" s="248"/>
      <c r="M44" s="232">
        <f t="shared" si="2"/>
        <v>0</v>
      </c>
      <c r="N44" s="346">
        <v>0</v>
      </c>
      <c r="O44" s="248"/>
      <c r="P44" s="248"/>
      <c r="Q44" s="248"/>
      <c r="R44" s="232">
        <f t="shared" si="4"/>
        <v>0</v>
      </c>
    </row>
    <row r="45" spans="1:18" s="6" customFormat="1" ht="22.8">
      <c r="A45" s="140" t="s">
        <v>113</v>
      </c>
      <c r="B45" s="124" t="s">
        <v>183</v>
      </c>
      <c r="C45" s="170">
        <v>703</v>
      </c>
      <c r="D45" s="171">
        <v>703</v>
      </c>
      <c r="E45" s="232">
        <f>E46+E47</f>
        <v>0</v>
      </c>
      <c r="F45" s="233">
        <f t="shared" ref="F45:G45" si="39">F46+F47</f>
        <v>0</v>
      </c>
      <c r="G45" s="233">
        <f t="shared" si="39"/>
        <v>0</v>
      </c>
      <c r="H45" s="232">
        <f t="shared" si="5"/>
        <v>703</v>
      </c>
      <c r="I45" s="233">
        <v>703</v>
      </c>
      <c r="J45" s="233">
        <f>J46+J47</f>
        <v>0</v>
      </c>
      <c r="K45" s="233">
        <f t="shared" ref="K45:L45" si="40">K46+K47</f>
        <v>0</v>
      </c>
      <c r="L45" s="233">
        <f t="shared" si="40"/>
        <v>0</v>
      </c>
      <c r="M45" s="232">
        <f t="shared" si="2"/>
        <v>703</v>
      </c>
      <c r="N45" s="233">
        <v>703</v>
      </c>
      <c r="O45" s="233">
        <f>O46+O47</f>
        <v>0</v>
      </c>
      <c r="P45" s="233">
        <f t="shared" ref="P45:Q45" si="41">P46+P47</f>
        <v>0</v>
      </c>
      <c r="Q45" s="233">
        <f t="shared" si="41"/>
        <v>0</v>
      </c>
      <c r="R45" s="232">
        <f t="shared" si="4"/>
        <v>703</v>
      </c>
    </row>
    <row r="46" spans="1:18" s="6" customFormat="1" ht="12" hidden="1" customHeight="1">
      <c r="A46" s="132">
        <v>7600</v>
      </c>
      <c r="B46" s="179" t="s">
        <v>184</v>
      </c>
      <c r="C46" s="170"/>
      <c r="D46" s="171">
        <v>0</v>
      </c>
      <c r="E46" s="232"/>
      <c r="F46" s="244"/>
      <c r="G46" s="244"/>
      <c r="H46" s="232">
        <f t="shared" si="5"/>
        <v>0</v>
      </c>
      <c r="I46" s="233">
        <v>0</v>
      </c>
      <c r="J46" s="244"/>
      <c r="K46" s="244"/>
      <c r="L46" s="244"/>
      <c r="M46" s="232">
        <f t="shared" si="2"/>
        <v>0</v>
      </c>
      <c r="N46" s="233">
        <v>0</v>
      </c>
      <c r="O46" s="244"/>
      <c r="P46" s="244"/>
      <c r="Q46" s="244"/>
      <c r="R46" s="232">
        <f t="shared" si="4"/>
        <v>0</v>
      </c>
    </row>
    <row r="47" spans="1:18" s="6" customFormat="1" ht="12">
      <c r="A47" s="132">
        <v>7700</v>
      </c>
      <c r="B47" s="126" t="s">
        <v>114</v>
      </c>
      <c r="C47" s="170">
        <v>703</v>
      </c>
      <c r="D47" s="171">
        <v>703</v>
      </c>
      <c r="E47" s="232"/>
      <c r="F47" s="244"/>
      <c r="G47" s="244"/>
      <c r="H47" s="232">
        <f t="shared" si="5"/>
        <v>703</v>
      </c>
      <c r="I47" s="233">
        <v>703</v>
      </c>
      <c r="J47" s="244"/>
      <c r="K47" s="244"/>
      <c r="L47" s="244"/>
      <c r="M47" s="232">
        <f t="shared" si="2"/>
        <v>703</v>
      </c>
      <c r="N47" s="233">
        <v>703</v>
      </c>
      <c r="O47" s="244"/>
      <c r="P47" s="244"/>
      <c r="Q47" s="244"/>
      <c r="R47" s="232">
        <f t="shared" si="4"/>
        <v>703</v>
      </c>
    </row>
    <row r="48" spans="1:18" s="6" customFormat="1" ht="21" hidden="1" customHeight="1">
      <c r="A48" s="140" t="s">
        <v>185</v>
      </c>
      <c r="B48" s="124" t="s">
        <v>115</v>
      </c>
      <c r="C48" s="170">
        <v>0</v>
      </c>
      <c r="D48" s="171">
        <v>0</v>
      </c>
      <c r="E48" s="232">
        <f t="shared" ref="E48:G48" si="42">E49+E55+E59+E62</f>
        <v>0</v>
      </c>
      <c r="F48" s="233">
        <f t="shared" si="42"/>
        <v>0</v>
      </c>
      <c r="G48" s="233">
        <f t="shared" si="42"/>
        <v>0</v>
      </c>
      <c r="H48" s="232">
        <f t="shared" si="5"/>
        <v>0</v>
      </c>
      <c r="I48" s="233">
        <v>0</v>
      </c>
      <c r="J48" s="233">
        <f t="shared" ref="J48:L48" si="43">J49+J55+J59+J62</f>
        <v>0</v>
      </c>
      <c r="K48" s="233">
        <f t="shared" si="43"/>
        <v>0</v>
      </c>
      <c r="L48" s="233">
        <f t="shared" si="43"/>
        <v>0</v>
      </c>
      <c r="M48" s="232">
        <f t="shared" si="2"/>
        <v>0</v>
      </c>
      <c r="N48" s="233">
        <v>0</v>
      </c>
      <c r="O48" s="233">
        <f t="shared" ref="O48:Q48" si="44">O49+O55+O59+O62</f>
        <v>0</v>
      </c>
      <c r="P48" s="233">
        <f t="shared" si="44"/>
        <v>0</v>
      </c>
      <c r="Q48" s="233">
        <f t="shared" si="44"/>
        <v>0</v>
      </c>
      <c r="R48" s="232">
        <f t="shared" si="4"/>
        <v>0</v>
      </c>
    </row>
    <row r="49" spans="1:18" s="6" customFormat="1" ht="12" hidden="1" customHeight="1">
      <c r="A49" s="132">
        <v>7100</v>
      </c>
      <c r="B49" s="179" t="s">
        <v>116</v>
      </c>
      <c r="C49" s="170">
        <v>0</v>
      </c>
      <c r="D49" s="171">
        <v>0</v>
      </c>
      <c r="E49" s="232">
        <f>E50+E51</f>
        <v>0</v>
      </c>
      <c r="F49" s="233">
        <f t="shared" ref="F49:G49" si="45">F50+F51</f>
        <v>0</v>
      </c>
      <c r="G49" s="233">
        <f t="shared" si="45"/>
        <v>0</v>
      </c>
      <c r="H49" s="232">
        <f t="shared" si="5"/>
        <v>0</v>
      </c>
      <c r="I49" s="233">
        <v>0</v>
      </c>
      <c r="J49" s="233">
        <f>J50+J51</f>
        <v>0</v>
      </c>
      <c r="K49" s="233">
        <f t="shared" ref="K49:L49" si="46">K50+K51</f>
        <v>0</v>
      </c>
      <c r="L49" s="233">
        <f t="shared" si="46"/>
        <v>0</v>
      </c>
      <c r="M49" s="232">
        <f t="shared" si="2"/>
        <v>0</v>
      </c>
      <c r="N49" s="233">
        <v>0</v>
      </c>
      <c r="O49" s="233">
        <f>O50+O51</f>
        <v>0</v>
      </c>
      <c r="P49" s="233">
        <f t="shared" ref="P49:Q49" si="47">P50+P51</f>
        <v>0</v>
      </c>
      <c r="Q49" s="233">
        <f t="shared" si="47"/>
        <v>0</v>
      </c>
      <c r="R49" s="232">
        <f t="shared" si="4"/>
        <v>0</v>
      </c>
    </row>
    <row r="50" spans="1:18" s="6" customFormat="1" ht="24" hidden="1" customHeight="1">
      <c r="A50" s="133" t="s">
        <v>117</v>
      </c>
      <c r="B50" s="179" t="s">
        <v>118</v>
      </c>
      <c r="C50" s="170"/>
      <c r="D50" s="171">
        <v>0</v>
      </c>
      <c r="E50" s="232"/>
      <c r="F50" s="233"/>
      <c r="G50" s="233"/>
      <c r="H50" s="232">
        <f t="shared" si="5"/>
        <v>0</v>
      </c>
      <c r="I50" s="233">
        <v>0</v>
      </c>
      <c r="J50" s="233"/>
      <c r="K50" s="233"/>
      <c r="L50" s="233"/>
      <c r="M50" s="232">
        <f t="shared" si="2"/>
        <v>0</v>
      </c>
      <c r="N50" s="233">
        <v>0</v>
      </c>
      <c r="O50" s="233"/>
      <c r="P50" s="233"/>
      <c r="Q50" s="233"/>
      <c r="R50" s="232">
        <f t="shared" si="4"/>
        <v>0</v>
      </c>
    </row>
    <row r="51" spans="1:18" s="6" customFormat="1" ht="24" hidden="1" customHeight="1">
      <c r="A51" s="133">
        <v>7130</v>
      </c>
      <c r="B51" s="179" t="s">
        <v>119</v>
      </c>
      <c r="C51" s="170">
        <v>0</v>
      </c>
      <c r="D51" s="171">
        <v>0</v>
      </c>
      <c r="E51" s="232">
        <f>SUM(E52:E54)</f>
        <v>0</v>
      </c>
      <c r="F51" s="233">
        <f t="shared" ref="F51:G51" si="48">SUM(F52:F54)</f>
        <v>0</v>
      </c>
      <c r="G51" s="233">
        <f t="shared" si="48"/>
        <v>0</v>
      </c>
      <c r="H51" s="232">
        <f t="shared" si="5"/>
        <v>0</v>
      </c>
      <c r="I51" s="233">
        <v>0</v>
      </c>
      <c r="J51" s="233">
        <f>SUM(J52:J54)</f>
        <v>0</v>
      </c>
      <c r="K51" s="233">
        <f t="shared" ref="K51:L51" si="49">SUM(K52:K54)</f>
        <v>0</v>
      </c>
      <c r="L51" s="233">
        <f t="shared" si="49"/>
        <v>0</v>
      </c>
      <c r="M51" s="232">
        <f t="shared" si="2"/>
        <v>0</v>
      </c>
      <c r="N51" s="233">
        <v>0</v>
      </c>
      <c r="O51" s="233">
        <f>SUM(O52:O54)</f>
        <v>0</v>
      </c>
      <c r="P51" s="233">
        <f t="shared" ref="P51:Q51" si="50">SUM(P52:P54)</f>
        <v>0</v>
      </c>
      <c r="Q51" s="233">
        <f t="shared" si="50"/>
        <v>0</v>
      </c>
      <c r="R51" s="232">
        <f t="shared" si="4"/>
        <v>0</v>
      </c>
    </row>
    <row r="52" spans="1:18" s="6" customFormat="1" ht="36" hidden="1" customHeight="1">
      <c r="A52" s="134">
        <v>7131</v>
      </c>
      <c r="B52" s="179" t="s">
        <v>120</v>
      </c>
      <c r="C52" s="170"/>
      <c r="D52" s="171">
        <v>0</v>
      </c>
      <c r="E52" s="232"/>
      <c r="F52" s="233"/>
      <c r="G52" s="233"/>
      <c r="H52" s="232">
        <f t="shared" si="5"/>
        <v>0</v>
      </c>
      <c r="I52" s="233">
        <v>0</v>
      </c>
      <c r="J52" s="233"/>
      <c r="K52" s="233"/>
      <c r="L52" s="233"/>
      <c r="M52" s="232">
        <f t="shared" si="2"/>
        <v>0</v>
      </c>
      <c r="N52" s="233">
        <v>0</v>
      </c>
      <c r="O52" s="233"/>
      <c r="P52" s="233"/>
      <c r="Q52" s="233"/>
      <c r="R52" s="232">
        <f t="shared" si="4"/>
        <v>0</v>
      </c>
    </row>
    <row r="53" spans="1:18" s="6" customFormat="1" ht="36" hidden="1" customHeight="1">
      <c r="A53" s="134">
        <v>7132</v>
      </c>
      <c r="B53" s="179" t="s">
        <v>121</v>
      </c>
      <c r="C53" s="170"/>
      <c r="D53" s="171">
        <v>0</v>
      </c>
      <c r="E53" s="232"/>
      <c r="F53" s="233"/>
      <c r="G53" s="233"/>
      <c r="H53" s="232">
        <f t="shared" si="5"/>
        <v>0</v>
      </c>
      <c r="I53" s="233">
        <v>0</v>
      </c>
      <c r="J53" s="233"/>
      <c r="K53" s="233"/>
      <c r="L53" s="233"/>
      <c r="M53" s="232">
        <f t="shared" si="2"/>
        <v>0</v>
      </c>
      <c r="N53" s="233">
        <v>0</v>
      </c>
      <c r="O53" s="233"/>
      <c r="P53" s="233"/>
      <c r="Q53" s="233"/>
      <c r="R53" s="232">
        <f t="shared" si="4"/>
        <v>0</v>
      </c>
    </row>
    <row r="54" spans="1:18" s="6" customFormat="1" ht="36" hidden="1" customHeight="1">
      <c r="A54" s="134" t="s">
        <v>186</v>
      </c>
      <c r="B54" s="179" t="s">
        <v>187</v>
      </c>
      <c r="C54" s="170"/>
      <c r="D54" s="171">
        <v>0</v>
      </c>
      <c r="E54" s="232"/>
      <c r="F54" s="233"/>
      <c r="G54" s="233"/>
      <c r="H54" s="232">
        <f t="shared" si="5"/>
        <v>0</v>
      </c>
      <c r="I54" s="233">
        <v>0</v>
      </c>
      <c r="J54" s="233"/>
      <c r="K54" s="233"/>
      <c r="L54" s="233"/>
      <c r="M54" s="232">
        <f t="shared" si="2"/>
        <v>0</v>
      </c>
      <c r="N54" s="233">
        <v>0</v>
      </c>
      <c r="O54" s="233"/>
      <c r="P54" s="233"/>
      <c r="Q54" s="233"/>
      <c r="R54" s="232">
        <f t="shared" si="4"/>
        <v>0</v>
      </c>
    </row>
    <row r="55" spans="1:18" s="6" customFormat="1" ht="24" hidden="1" customHeight="1">
      <c r="A55" s="132">
        <v>7300</v>
      </c>
      <c r="B55" s="172" t="s">
        <v>155</v>
      </c>
      <c r="C55" s="170">
        <v>0</v>
      </c>
      <c r="D55" s="171">
        <v>0</v>
      </c>
      <c r="E55" s="232">
        <f>SUM(E56:E58)</f>
        <v>0</v>
      </c>
      <c r="F55" s="233">
        <f t="shared" ref="F55:G55" si="51">SUM(F56:F58)</f>
        <v>0</v>
      </c>
      <c r="G55" s="233">
        <f t="shared" si="51"/>
        <v>0</v>
      </c>
      <c r="H55" s="232">
        <f t="shared" si="5"/>
        <v>0</v>
      </c>
      <c r="I55" s="233">
        <v>0</v>
      </c>
      <c r="J55" s="233">
        <f>SUM(J56:J58)</f>
        <v>0</v>
      </c>
      <c r="K55" s="233">
        <f t="shared" ref="K55:L55" si="52">SUM(K56:K58)</f>
        <v>0</v>
      </c>
      <c r="L55" s="233">
        <f t="shared" si="52"/>
        <v>0</v>
      </c>
      <c r="M55" s="232">
        <f t="shared" si="2"/>
        <v>0</v>
      </c>
      <c r="N55" s="233">
        <v>0</v>
      </c>
      <c r="O55" s="233">
        <f>SUM(O56:O58)</f>
        <v>0</v>
      </c>
      <c r="P55" s="233">
        <f t="shared" ref="P55:Q55" si="53">SUM(P56:P58)</f>
        <v>0</v>
      </c>
      <c r="Q55" s="233">
        <f t="shared" si="53"/>
        <v>0</v>
      </c>
      <c r="R55" s="232">
        <f t="shared" si="4"/>
        <v>0</v>
      </c>
    </row>
    <row r="56" spans="1:18" s="6" customFormat="1" ht="24" hidden="1" customHeight="1">
      <c r="A56" s="133" t="s">
        <v>188</v>
      </c>
      <c r="B56" s="179" t="s">
        <v>170</v>
      </c>
      <c r="C56" s="204"/>
      <c r="D56" s="180">
        <v>0</v>
      </c>
      <c r="E56" s="251"/>
      <c r="F56" s="252"/>
      <c r="G56" s="252"/>
      <c r="H56" s="232">
        <f t="shared" si="5"/>
        <v>0</v>
      </c>
      <c r="I56" s="252">
        <v>0</v>
      </c>
      <c r="J56" s="252"/>
      <c r="K56" s="252"/>
      <c r="L56" s="252"/>
      <c r="M56" s="232">
        <f t="shared" si="2"/>
        <v>0</v>
      </c>
      <c r="N56" s="252">
        <v>0</v>
      </c>
      <c r="O56" s="252"/>
      <c r="P56" s="252"/>
      <c r="Q56" s="252"/>
      <c r="R56" s="232">
        <f t="shared" si="4"/>
        <v>0</v>
      </c>
    </row>
    <row r="57" spans="1:18" s="29" customFormat="1" ht="48" hidden="1" customHeight="1">
      <c r="A57" s="133" t="s">
        <v>189</v>
      </c>
      <c r="B57" s="179" t="s">
        <v>156</v>
      </c>
      <c r="C57" s="204"/>
      <c r="D57" s="180">
        <v>0</v>
      </c>
      <c r="E57" s="251"/>
      <c r="F57" s="252"/>
      <c r="G57" s="252"/>
      <c r="H57" s="232">
        <f t="shared" si="5"/>
        <v>0</v>
      </c>
      <c r="I57" s="252">
        <v>0</v>
      </c>
      <c r="J57" s="252"/>
      <c r="K57" s="252"/>
      <c r="L57" s="252"/>
      <c r="M57" s="232">
        <f t="shared" si="2"/>
        <v>0</v>
      </c>
      <c r="N57" s="252">
        <v>0</v>
      </c>
      <c r="O57" s="252"/>
      <c r="P57" s="252"/>
      <c r="Q57" s="252"/>
      <c r="R57" s="232">
        <f t="shared" si="4"/>
        <v>0</v>
      </c>
    </row>
    <row r="58" spans="1:18" s="89" customFormat="1" ht="36" hidden="1" customHeight="1">
      <c r="A58" s="133">
        <v>7350</v>
      </c>
      <c r="B58" s="179" t="s">
        <v>163</v>
      </c>
      <c r="C58" s="204"/>
      <c r="D58" s="180">
        <v>0</v>
      </c>
      <c r="E58" s="251"/>
      <c r="F58" s="252"/>
      <c r="G58" s="252"/>
      <c r="H58" s="232">
        <f t="shared" si="5"/>
        <v>0</v>
      </c>
      <c r="I58" s="252">
        <v>0</v>
      </c>
      <c r="J58" s="252"/>
      <c r="K58" s="252"/>
      <c r="L58" s="252"/>
      <c r="M58" s="232">
        <f t="shared" si="2"/>
        <v>0</v>
      </c>
      <c r="N58" s="252">
        <v>0</v>
      </c>
      <c r="O58" s="252"/>
      <c r="P58" s="252"/>
      <c r="Q58" s="252"/>
      <c r="R58" s="232">
        <f t="shared" si="4"/>
        <v>0</v>
      </c>
    </row>
    <row r="59" spans="1:18" s="89" customFormat="1" ht="24" hidden="1" customHeight="1">
      <c r="A59" s="132">
        <v>7400</v>
      </c>
      <c r="B59" s="172" t="s">
        <v>161</v>
      </c>
      <c r="C59" s="170">
        <v>0</v>
      </c>
      <c r="D59" s="171">
        <v>0</v>
      </c>
      <c r="E59" s="232">
        <f>SUM(E60:E61)</f>
        <v>0</v>
      </c>
      <c r="F59" s="233">
        <f t="shared" ref="F59:G59" si="54">SUM(F60:F61)</f>
        <v>0</v>
      </c>
      <c r="G59" s="233">
        <f t="shared" si="54"/>
        <v>0</v>
      </c>
      <c r="H59" s="232">
        <f t="shared" si="5"/>
        <v>0</v>
      </c>
      <c r="I59" s="233">
        <v>0</v>
      </c>
      <c r="J59" s="233">
        <f>SUM(J60:J61)</f>
        <v>0</v>
      </c>
      <c r="K59" s="233">
        <f t="shared" ref="K59:L59" si="55">SUM(K60:K61)</f>
        <v>0</v>
      </c>
      <c r="L59" s="233">
        <f t="shared" si="55"/>
        <v>0</v>
      </c>
      <c r="M59" s="232">
        <f t="shared" si="2"/>
        <v>0</v>
      </c>
      <c r="N59" s="233">
        <v>0</v>
      </c>
      <c r="O59" s="233">
        <f>SUM(O60:O61)</f>
        <v>0</v>
      </c>
      <c r="P59" s="233">
        <f t="shared" ref="P59:Q59" si="56">SUM(P60:P61)</f>
        <v>0</v>
      </c>
      <c r="Q59" s="233">
        <f t="shared" si="56"/>
        <v>0</v>
      </c>
      <c r="R59" s="232">
        <f t="shared" si="4"/>
        <v>0</v>
      </c>
    </row>
    <row r="60" spans="1:18" s="89" customFormat="1" ht="24" hidden="1" customHeight="1">
      <c r="A60" s="133">
        <v>7460</v>
      </c>
      <c r="B60" s="172" t="s">
        <v>162</v>
      </c>
      <c r="C60" s="204"/>
      <c r="D60" s="180">
        <v>0</v>
      </c>
      <c r="E60" s="251"/>
      <c r="F60" s="252"/>
      <c r="G60" s="252"/>
      <c r="H60" s="232">
        <f t="shared" si="5"/>
        <v>0</v>
      </c>
      <c r="I60" s="252">
        <v>0</v>
      </c>
      <c r="J60" s="252"/>
      <c r="K60" s="252"/>
      <c r="L60" s="252"/>
      <c r="M60" s="232">
        <f t="shared" si="2"/>
        <v>0</v>
      </c>
      <c r="N60" s="252">
        <v>0</v>
      </c>
      <c r="O60" s="252"/>
      <c r="P60" s="252"/>
      <c r="Q60" s="252"/>
      <c r="R60" s="232">
        <f t="shared" si="4"/>
        <v>0</v>
      </c>
    </row>
    <row r="61" spans="1:18" s="89" customFormat="1" ht="48" hidden="1" customHeight="1">
      <c r="A61" s="133">
        <v>7470</v>
      </c>
      <c r="B61" s="179" t="s">
        <v>167</v>
      </c>
      <c r="C61" s="204"/>
      <c r="D61" s="180">
        <v>0</v>
      </c>
      <c r="E61" s="251"/>
      <c r="F61" s="252"/>
      <c r="G61" s="252"/>
      <c r="H61" s="232">
        <f t="shared" si="5"/>
        <v>0</v>
      </c>
      <c r="I61" s="252">
        <v>0</v>
      </c>
      <c r="J61" s="252"/>
      <c r="K61" s="252"/>
      <c r="L61" s="252"/>
      <c r="M61" s="232">
        <f t="shared" si="2"/>
        <v>0</v>
      </c>
      <c r="N61" s="252">
        <v>0</v>
      </c>
      <c r="O61" s="252"/>
      <c r="P61" s="252"/>
      <c r="Q61" s="252"/>
      <c r="R61" s="232">
        <f t="shared" si="4"/>
        <v>0</v>
      </c>
    </row>
    <row r="62" spans="1:18" s="89" customFormat="1" ht="24" hidden="1" customHeight="1">
      <c r="A62" s="132">
        <v>7500</v>
      </c>
      <c r="B62" s="179" t="s">
        <v>157</v>
      </c>
      <c r="C62" s="170"/>
      <c r="D62" s="171">
        <v>0</v>
      </c>
      <c r="E62" s="232"/>
      <c r="F62" s="233"/>
      <c r="G62" s="233"/>
      <c r="H62" s="232">
        <f t="shared" si="5"/>
        <v>0</v>
      </c>
      <c r="I62" s="233">
        <v>0</v>
      </c>
      <c r="J62" s="233"/>
      <c r="K62" s="233"/>
      <c r="L62" s="233"/>
      <c r="M62" s="232">
        <f t="shared" si="2"/>
        <v>0</v>
      </c>
      <c r="N62" s="233">
        <v>0</v>
      </c>
      <c r="O62" s="233"/>
      <c r="P62" s="233"/>
      <c r="Q62" s="233"/>
      <c r="R62" s="232">
        <f t="shared" si="4"/>
        <v>0</v>
      </c>
    </row>
    <row r="63" spans="1:18" s="89" customFormat="1" ht="12">
      <c r="A63" s="140" t="s">
        <v>133</v>
      </c>
      <c r="B63" s="124" t="s">
        <v>122</v>
      </c>
      <c r="C63" s="205">
        <v>11300</v>
      </c>
      <c r="D63" s="181">
        <v>5500</v>
      </c>
      <c r="E63" s="253">
        <f>E64+E65</f>
        <v>0</v>
      </c>
      <c r="F63" s="254">
        <f t="shared" ref="F63:G63" si="57">F64+F65</f>
        <v>0</v>
      </c>
      <c r="G63" s="254">
        <f t="shared" si="57"/>
        <v>0</v>
      </c>
      <c r="H63" s="232">
        <f t="shared" si="5"/>
        <v>5500</v>
      </c>
      <c r="I63" s="254">
        <v>5500</v>
      </c>
      <c r="J63" s="254">
        <f>J64+J65</f>
        <v>0</v>
      </c>
      <c r="K63" s="254">
        <f t="shared" ref="K63:L63" si="58">K64+K65</f>
        <v>0</v>
      </c>
      <c r="L63" s="254">
        <f t="shared" si="58"/>
        <v>0</v>
      </c>
      <c r="M63" s="232">
        <f t="shared" si="2"/>
        <v>5500</v>
      </c>
      <c r="N63" s="254">
        <v>5500</v>
      </c>
      <c r="O63" s="254">
        <f>O64+O65</f>
        <v>0</v>
      </c>
      <c r="P63" s="254">
        <f t="shared" ref="P63:Q63" si="59">P64+P65</f>
        <v>0</v>
      </c>
      <c r="Q63" s="254">
        <f t="shared" si="59"/>
        <v>0</v>
      </c>
      <c r="R63" s="232">
        <f t="shared" si="4"/>
        <v>5500</v>
      </c>
    </row>
    <row r="64" spans="1:18" s="89" customFormat="1" ht="12">
      <c r="A64" s="140">
        <v>5000</v>
      </c>
      <c r="B64" s="124" t="s">
        <v>123</v>
      </c>
      <c r="C64" s="170">
        <v>11300</v>
      </c>
      <c r="D64" s="171">
        <v>5500</v>
      </c>
      <c r="E64" s="232"/>
      <c r="F64" s="244"/>
      <c r="G64" s="244"/>
      <c r="H64" s="232">
        <f t="shared" si="5"/>
        <v>5500</v>
      </c>
      <c r="I64" s="233">
        <v>5500</v>
      </c>
      <c r="J64" s="244"/>
      <c r="K64" s="244"/>
      <c r="L64" s="244"/>
      <c r="M64" s="232">
        <f t="shared" si="2"/>
        <v>5500</v>
      </c>
      <c r="N64" s="233">
        <v>5500</v>
      </c>
      <c r="O64" s="244"/>
      <c r="P64" s="244"/>
      <c r="Q64" s="244"/>
      <c r="R64" s="232">
        <f t="shared" si="4"/>
        <v>5500</v>
      </c>
    </row>
    <row r="65" spans="1:18" s="89" customFormat="1" ht="12" hidden="1" customHeight="1">
      <c r="A65" s="140">
        <v>9000</v>
      </c>
      <c r="B65" s="182" t="s">
        <v>164</v>
      </c>
      <c r="C65" s="170">
        <v>0</v>
      </c>
      <c r="D65" s="171">
        <v>0</v>
      </c>
      <c r="E65" s="233">
        <f t="shared" ref="E65:G65" si="60">E66+E72+E76+E79</f>
        <v>0</v>
      </c>
      <c r="F65" s="233">
        <f t="shared" si="60"/>
        <v>0</v>
      </c>
      <c r="G65" s="233">
        <f t="shared" si="60"/>
        <v>0</v>
      </c>
      <c r="H65" s="232">
        <f t="shared" si="5"/>
        <v>0</v>
      </c>
      <c r="I65" s="233">
        <v>0</v>
      </c>
      <c r="J65" s="233">
        <f t="shared" ref="J65:L65" si="61">J66+J72+J76+J79</f>
        <v>0</v>
      </c>
      <c r="K65" s="233">
        <f t="shared" si="61"/>
        <v>0</v>
      </c>
      <c r="L65" s="233">
        <f t="shared" si="61"/>
        <v>0</v>
      </c>
      <c r="M65" s="232">
        <f t="shared" si="2"/>
        <v>0</v>
      </c>
      <c r="N65" s="233">
        <v>0</v>
      </c>
      <c r="O65" s="233">
        <f t="shared" ref="O65:Q65" si="62">O66+O72+O76+O79</f>
        <v>0</v>
      </c>
      <c r="P65" s="233">
        <f t="shared" si="62"/>
        <v>0</v>
      </c>
      <c r="Q65" s="233">
        <f t="shared" si="62"/>
        <v>0</v>
      </c>
      <c r="R65" s="232">
        <f t="shared" si="4"/>
        <v>0</v>
      </c>
    </row>
    <row r="66" spans="1:18" s="89" customFormat="1" ht="12" hidden="1" customHeight="1">
      <c r="A66" s="141">
        <v>9100</v>
      </c>
      <c r="B66" s="179" t="s">
        <v>124</v>
      </c>
      <c r="C66" s="170">
        <v>0</v>
      </c>
      <c r="D66" s="171">
        <v>0</v>
      </c>
      <c r="E66" s="233">
        <f t="shared" ref="E66:G66" si="63">SUM(E67:E68)</f>
        <v>0</v>
      </c>
      <c r="F66" s="233">
        <f t="shared" ref="F66" si="64">SUM(F67:F68)</f>
        <v>0</v>
      </c>
      <c r="G66" s="233">
        <f t="shared" si="63"/>
        <v>0</v>
      </c>
      <c r="H66" s="232">
        <f t="shared" si="5"/>
        <v>0</v>
      </c>
      <c r="I66" s="233">
        <v>0</v>
      </c>
      <c r="J66" s="233">
        <f t="shared" ref="J66:L66" si="65">SUM(J67:J68)</f>
        <v>0</v>
      </c>
      <c r="K66" s="233">
        <f t="shared" si="65"/>
        <v>0</v>
      </c>
      <c r="L66" s="233">
        <f t="shared" si="65"/>
        <v>0</v>
      </c>
      <c r="M66" s="232">
        <f t="shared" si="2"/>
        <v>0</v>
      </c>
      <c r="N66" s="233">
        <v>0</v>
      </c>
      <c r="O66" s="233">
        <f t="shared" ref="O66:Q66" si="66">SUM(O67:O68)</f>
        <v>0</v>
      </c>
      <c r="P66" s="233">
        <f t="shared" si="66"/>
        <v>0</v>
      </c>
      <c r="Q66" s="233">
        <f t="shared" si="66"/>
        <v>0</v>
      </c>
      <c r="R66" s="232">
        <f t="shared" si="4"/>
        <v>0</v>
      </c>
    </row>
    <row r="67" spans="1:18" s="89" customFormat="1" ht="24" hidden="1" customHeight="1">
      <c r="A67" s="133" t="s">
        <v>125</v>
      </c>
      <c r="B67" s="179" t="s">
        <v>214</v>
      </c>
      <c r="C67" s="170"/>
      <c r="D67" s="171">
        <v>0</v>
      </c>
      <c r="E67" s="233"/>
      <c r="F67" s="233"/>
      <c r="G67" s="233"/>
      <c r="H67" s="232">
        <f t="shared" si="5"/>
        <v>0</v>
      </c>
      <c r="I67" s="233">
        <v>0</v>
      </c>
      <c r="J67" s="233"/>
      <c r="K67" s="233"/>
      <c r="L67" s="233"/>
      <c r="M67" s="232">
        <f t="shared" si="2"/>
        <v>0</v>
      </c>
      <c r="N67" s="233">
        <v>0</v>
      </c>
      <c r="O67" s="233"/>
      <c r="P67" s="233"/>
      <c r="Q67" s="233"/>
      <c r="R67" s="232">
        <f t="shared" si="4"/>
        <v>0</v>
      </c>
    </row>
    <row r="68" spans="1:18" s="89" customFormat="1" ht="24" hidden="1" customHeight="1">
      <c r="A68" s="133">
        <v>9140</v>
      </c>
      <c r="B68" s="179" t="s">
        <v>215</v>
      </c>
      <c r="C68" s="170">
        <v>0</v>
      </c>
      <c r="D68" s="171">
        <v>0</v>
      </c>
      <c r="E68" s="233">
        <f>SUM(E69:E71)</f>
        <v>0</v>
      </c>
      <c r="F68" s="233">
        <f t="shared" ref="F68:G68" si="67">SUM(F69:F71)</f>
        <v>0</v>
      </c>
      <c r="G68" s="233">
        <f t="shared" si="67"/>
        <v>0</v>
      </c>
      <c r="H68" s="232">
        <f t="shared" si="5"/>
        <v>0</v>
      </c>
      <c r="I68" s="233">
        <v>0</v>
      </c>
      <c r="J68" s="233">
        <f>SUM(J69:J71)</f>
        <v>0</v>
      </c>
      <c r="K68" s="233">
        <f t="shared" ref="K68:L68" si="68">SUM(K69:K71)</f>
        <v>0</v>
      </c>
      <c r="L68" s="233">
        <f t="shared" si="68"/>
        <v>0</v>
      </c>
      <c r="M68" s="232">
        <f t="shared" si="2"/>
        <v>0</v>
      </c>
      <c r="N68" s="233">
        <v>0</v>
      </c>
      <c r="O68" s="233">
        <f>SUM(O69:O71)</f>
        <v>0</v>
      </c>
      <c r="P68" s="233">
        <f t="shared" ref="P68:Q68" si="69">SUM(P69:P71)</f>
        <v>0</v>
      </c>
      <c r="Q68" s="233">
        <f t="shared" si="69"/>
        <v>0</v>
      </c>
      <c r="R68" s="232">
        <f t="shared" si="4"/>
        <v>0</v>
      </c>
    </row>
    <row r="69" spans="1:18" s="89" customFormat="1" ht="36" hidden="1" customHeight="1">
      <c r="A69" s="134">
        <v>9141</v>
      </c>
      <c r="B69" s="172" t="s">
        <v>190</v>
      </c>
      <c r="C69" s="204"/>
      <c r="D69" s="180">
        <v>0</v>
      </c>
      <c r="E69" s="252"/>
      <c r="F69" s="252"/>
      <c r="G69" s="252"/>
      <c r="H69" s="232">
        <f t="shared" si="5"/>
        <v>0</v>
      </c>
      <c r="I69" s="252">
        <v>0</v>
      </c>
      <c r="J69" s="252"/>
      <c r="K69" s="252"/>
      <c r="L69" s="252"/>
      <c r="M69" s="232">
        <f t="shared" si="2"/>
        <v>0</v>
      </c>
      <c r="N69" s="252">
        <v>0</v>
      </c>
      <c r="O69" s="252"/>
      <c r="P69" s="252"/>
      <c r="Q69" s="252"/>
      <c r="R69" s="232">
        <f t="shared" si="4"/>
        <v>0</v>
      </c>
    </row>
    <row r="70" spans="1:18" s="89" customFormat="1" ht="36" hidden="1" customHeight="1">
      <c r="A70" s="134">
        <v>9142</v>
      </c>
      <c r="B70" s="172" t="s">
        <v>191</v>
      </c>
      <c r="C70" s="204"/>
      <c r="D70" s="180">
        <v>0</v>
      </c>
      <c r="E70" s="252"/>
      <c r="F70" s="252"/>
      <c r="G70" s="252"/>
      <c r="H70" s="232">
        <f t="shared" si="5"/>
        <v>0</v>
      </c>
      <c r="I70" s="252">
        <v>0</v>
      </c>
      <c r="J70" s="252"/>
      <c r="K70" s="252"/>
      <c r="L70" s="252"/>
      <c r="M70" s="232">
        <f t="shared" si="2"/>
        <v>0</v>
      </c>
      <c r="N70" s="252">
        <v>0</v>
      </c>
      <c r="O70" s="252"/>
      <c r="P70" s="252"/>
      <c r="Q70" s="252"/>
      <c r="R70" s="232">
        <f t="shared" si="4"/>
        <v>0</v>
      </c>
    </row>
    <row r="71" spans="1:18" s="89" customFormat="1" ht="24" hidden="1" customHeight="1">
      <c r="A71" s="134">
        <v>9149</v>
      </c>
      <c r="B71" s="172" t="s">
        <v>192</v>
      </c>
      <c r="C71" s="204"/>
      <c r="D71" s="180">
        <v>0</v>
      </c>
      <c r="E71" s="252"/>
      <c r="F71" s="252"/>
      <c r="G71" s="252"/>
      <c r="H71" s="232">
        <f t="shared" si="5"/>
        <v>0</v>
      </c>
      <c r="I71" s="252">
        <v>0</v>
      </c>
      <c r="J71" s="252"/>
      <c r="K71" s="252"/>
      <c r="L71" s="252"/>
      <c r="M71" s="232">
        <f t="shared" si="2"/>
        <v>0</v>
      </c>
      <c r="N71" s="252">
        <v>0</v>
      </c>
      <c r="O71" s="252"/>
      <c r="P71" s="252"/>
      <c r="Q71" s="252"/>
      <c r="R71" s="232">
        <f t="shared" si="4"/>
        <v>0</v>
      </c>
    </row>
    <row r="72" spans="1:18" s="29" customFormat="1" ht="24" hidden="1" customHeight="1">
      <c r="A72" s="141">
        <v>9500</v>
      </c>
      <c r="B72" s="172" t="s">
        <v>165</v>
      </c>
      <c r="C72" s="170">
        <v>0</v>
      </c>
      <c r="D72" s="171">
        <v>0</v>
      </c>
      <c r="E72" s="233">
        <f>SUM(E73:E75)</f>
        <v>0</v>
      </c>
      <c r="F72" s="233">
        <f t="shared" ref="F72:G72" si="70">SUM(F73:F75)</f>
        <v>0</v>
      </c>
      <c r="G72" s="233">
        <f t="shared" si="70"/>
        <v>0</v>
      </c>
      <c r="H72" s="232">
        <f t="shared" si="5"/>
        <v>0</v>
      </c>
      <c r="I72" s="233">
        <v>0</v>
      </c>
      <c r="J72" s="233">
        <f>SUM(J73:J75)</f>
        <v>0</v>
      </c>
      <c r="K72" s="233">
        <f t="shared" ref="K72:L72" si="71">SUM(K73:K75)</f>
        <v>0</v>
      </c>
      <c r="L72" s="233">
        <f t="shared" si="71"/>
        <v>0</v>
      </c>
      <c r="M72" s="232">
        <f t="shared" si="2"/>
        <v>0</v>
      </c>
      <c r="N72" s="233">
        <v>0</v>
      </c>
      <c r="O72" s="233">
        <f>SUM(O73:O75)</f>
        <v>0</v>
      </c>
      <c r="P72" s="233">
        <f t="shared" ref="P72:Q72" si="72">SUM(P73:P75)</f>
        <v>0</v>
      </c>
      <c r="Q72" s="233">
        <f t="shared" si="72"/>
        <v>0</v>
      </c>
      <c r="R72" s="232">
        <f t="shared" si="4"/>
        <v>0</v>
      </c>
    </row>
    <row r="73" spans="1:18" s="29" customFormat="1" ht="24" hidden="1" customHeight="1">
      <c r="A73" s="133" t="s">
        <v>193</v>
      </c>
      <c r="B73" s="172" t="s">
        <v>171</v>
      </c>
      <c r="C73" s="170"/>
      <c r="D73" s="171">
        <v>0</v>
      </c>
      <c r="E73" s="233"/>
      <c r="F73" s="233"/>
      <c r="G73" s="233"/>
      <c r="H73" s="232">
        <f t="shared" si="5"/>
        <v>0</v>
      </c>
      <c r="I73" s="233">
        <v>0</v>
      </c>
      <c r="J73" s="233"/>
      <c r="K73" s="233"/>
      <c r="L73" s="233"/>
      <c r="M73" s="232">
        <f t="shared" si="2"/>
        <v>0</v>
      </c>
      <c r="N73" s="233">
        <v>0</v>
      </c>
      <c r="O73" s="233"/>
      <c r="P73" s="233"/>
      <c r="Q73" s="233"/>
      <c r="R73" s="232">
        <f t="shared" si="4"/>
        <v>0</v>
      </c>
    </row>
    <row r="74" spans="1:18" s="28" customFormat="1" ht="48" hidden="1" customHeight="1">
      <c r="A74" s="133">
        <v>9580</v>
      </c>
      <c r="B74" s="172" t="s">
        <v>166</v>
      </c>
      <c r="C74" s="204"/>
      <c r="D74" s="180">
        <v>0</v>
      </c>
      <c r="E74" s="252"/>
      <c r="F74" s="252"/>
      <c r="G74" s="252"/>
      <c r="H74" s="232">
        <f t="shared" si="5"/>
        <v>0</v>
      </c>
      <c r="I74" s="252">
        <v>0</v>
      </c>
      <c r="J74" s="252"/>
      <c r="K74" s="252"/>
      <c r="L74" s="252"/>
      <c r="M74" s="232">
        <f t="shared" ref="M74:M137" si="73">SUM(I74:L74)</f>
        <v>0</v>
      </c>
      <c r="N74" s="252">
        <v>0</v>
      </c>
      <c r="O74" s="252"/>
      <c r="P74" s="252"/>
      <c r="Q74" s="252"/>
      <c r="R74" s="232">
        <f t="shared" ref="R74:R137" si="74">SUM(N74:Q74)</f>
        <v>0</v>
      </c>
    </row>
    <row r="75" spans="1:18" s="4" customFormat="1" ht="48" hidden="1" customHeight="1">
      <c r="A75" s="133">
        <v>9590</v>
      </c>
      <c r="B75" s="179" t="s">
        <v>172</v>
      </c>
      <c r="C75" s="204"/>
      <c r="D75" s="180">
        <v>0</v>
      </c>
      <c r="E75" s="252"/>
      <c r="F75" s="252"/>
      <c r="G75" s="252"/>
      <c r="H75" s="232">
        <f t="shared" si="5"/>
        <v>0</v>
      </c>
      <c r="I75" s="252">
        <v>0</v>
      </c>
      <c r="J75" s="252"/>
      <c r="K75" s="252"/>
      <c r="L75" s="252"/>
      <c r="M75" s="232">
        <f t="shared" si="73"/>
        <v>0</v>
      </c>
      <c r="N75" s="252">
        <v>0</v>
      </c>
      <c r="O75" s="252"/>
      <c r="P75" s="252"/>
      <c r="Q75" s="252"/>
      <c r="R75" s="232">
        <f t="shared" si="74"/>
        <v>0</v>
      </c>
    </row>
    <row r="76" spans="1:18" ht="24" hidden="1" customHeight="1">
      <c r="A76" s="141">
        <v>9700</v>
      </c>
      <c r="B76" s="183" t="s">
        <v>194</v>
      </c>
      <c r="C76" s="170">
        <v>0</v>
      </c>
      <c r="D76" s="171">
        <v>0</v>
      </c>
      <c r="E76" s="233">
        <f>SUM(E77:E78)</f>
        <v>0</v>
      </c>
      <c r="F76" s="233">
        <f t="shared" ref="F76:G76" si="75">SUM(F77:F78)</f>
        <v>0</v>
      </c>
      <c r="G76" s="233">
        <f t="shared" si="75"/>
        <v>0</v>
      </c>
      <c r="H76" s="232">
        <f t="shared" ref="H76:H139" si="76">SUM(D76:G76)</f>
        <v>0</v>
      </c>
      <c r="I76" s="233">
        <v>0</v>
      </c>
      <c r="J76" s="233">
        <f>SUM(J77:J78)</f>
        <v>0</v>
      </c>
      <c r="K76" s="233">
        <f t="shared" ref="K76:L76" si="77">SUM(K77:K78)</f>
        <v>0</v>
      </c>
      <c r="L76" s="233">
        <f t="shared" si="77"/>
        <v>0</v>
      </c>
      <c r="M76" s="232">
        <f t="shared" si="73"/>
        <v>0</v>
      </c>
      <c r="N76" s="233">
        <v>0</v>
      </c>
      <c r="O76" s="233">
        <f>SUM(O77:O78)</f>
        <v>0</v>
      </c>
      <c r="P76" s="233">
        <f t="shared" ref="P76:Q76" si="78">SUM(P77:P78)</f>
        <v>0</v>
      </c>
      <c r="Q76" s="233">
        <f t="shared" si="78"/>
        <v>0</v>
      </c>
      <c r="R76" s="232">
        <f t="shared" si="74"/>
        <v>0</v>
      </c>
    </row>
    <row r="77" spans="1:18" ht="24" hidden="1" customHeight="1">
      <c r="A77" s="133">
        <v>9710</v>
      </c>
      <c r="B77" s="184" t="s">
        <v>195</v>
      </c>
      <c r="C77" s="204"/>
      <c r="D77" s="180">
        <v>0</v>
      </c>
      <c r="E77" s="252"/>
      <c r="F77" s="252"/>
      <c r="G77" s="252"/>
      <c r="H77" s="232">
        <f t="shared" si="76"/>
        <v>0</v>
      </c>
      <c r="I77" s="252">
        <v>0</v>
      </c>
      <c r="J77" s="252"/>
      <c r="K77" s="252"/>
      <c r="L77" s="252"/>
      <c r="M77" s="232">
        <f t="shared" si="73"/>
        <v>0</v>
      </c>
      <c r="N77" s="252">
        <v>0</v>
      </c>
      <c r="O77" s="252"/>
      <c r="P77" s="252"/>
      <c r="Q77" s="252"/>
      <c r="R77" s="232">
        <f t="shared" si="74"/>
        <v>0</v>
      </c>
    </row>
    <row r="78" spans="1:18" ht="48" hidden="1" customHeight="1">
      <c r="A78" s="142">
        <v>9720</v>
      </c>
      <c r="B78" s="183" t="s">
        <v>196</v>
      </c>
      <c r="C78" s="204"/>
      <c r="D78" s="180">
        <v>0</v>
      </c>
      <c r="E78" s="252"/>
      <c r="F78" s="252"/>
      <c r="G78" s="252"/>
      <c r="H78" s="232">
        <f t="shared" si="76"/>
        <v>0</v>
      </c>
      <c r="I78" s="252">
        <v>0</v>
      </c>
      <c r="J78" s="252"/>
      <c r="K78" s="252"/>
      <c r="L78" s="252"/>
      <c r="M78" s="232">
        <f t="shared" si="73"/>
        <v>0</v>
      </c>
      <c r="N78" s="252">
        <v>0</v>
      </c>
      <c r="O78" s="252"/>
      <c r="P78" s="252"/>
      <c r="Q78" s="252"/>
      <c r="R78" s="232">
        <f t="shared" si="74"/>
        <v>0</v>
      </c>
    </row>
    <row r="79" spans="1:18" ht="24" hidden="1" customHeight="1">
      <c r="A79" s="141">
        <v>9600</v>
      </c>
      <c r="B79" s="179" t="s">
        <v>134</v>
      </c>
      <c r="C79" s="204"/>
      <c r="D79" s="180">
        <v>0</v>
      </c>
      <c r="E79" s="252"/>
      <c r="F79" s="252"/>
      <c r="G79" s="252"/>
      <c r="H79" s="232">
        <f t="shared" si="76"/>
        <v>0</v>
      </c>
      <c r="I79" s="252">
        <v>0</v>
      </c>
      <c r="J79" s="252"/>
      <c r="K79" s="252"/>
      <c r="L79" s="252"/>
      <c r="M79" s="232">
        <f t="shared" si="73"/>
        <v>0</v>
      </c>
      <c r="N79" s="252">
        <v>0</v>
      </c>
      <c r="O79" s="252"/>
      <c r="P79" s="252"/>
      <c r="Q79" s="252"/>
      <c r="R79" s="232">
        <f t="shared" si="74"/>
        <v>0</v>
      </c>
    </row>
    <row r="80" spans="1:18" ht="52.5" hidden="1" customHeight="1">
      <c r="A80" s="130" t="s">
        <v>197</v>
      </c>
      <c r="B80" s="185" t="s">
        <v>47</v>
      </c>
      <c r="C80" s="206"/>
      <c r="D80" s="186">
        <v>0</v>
      </c>
      <c r="E80" s="262">
        <f>E10-E35</f>
        <v>0</v>
      </c>
      <c r="F80" s="262">
        <f t="shared" ref="F80:G80" si="79">F10-F35</f>
        <v>0</v>
      </c>
      <c r="G80" s="262">
        <f t="shared" si="79"/>
        <v>0</v>
      </c>
      <c r="H80" s="232">
        <f t="shared" si="76"/>
        <v>0</v>
      </c>
      <c r="I80" s="262">
        <v>0</v>
      </c>
      <c r="J80" s="262">
        <f>J10-J35</f>
        <v>0</v>
      </c>
      <c r="K80" s="262">
        <f t="shared" ref="K80:L80" si="80">K10-K35</f>
        <v>0</v>
      </c>
      <c r="L80" s="262">
        <f t="shared" si="80"/>
        <v>0</v>
      </c>
      <c r="M80" s="232">
        <f t="shared" si="73"/>
        <v>0</v>
      </c>
      <c r="N80" s="262">
        <v>0</v>
      </c>
      <c r="O80" s="262">
        <f>O10-O35</f>
        <v>0</v>
      </c>
      <c r="P80" s="262">
        <f t="shared" ref="P80:Q80" si="81">P10-P35</f>
        <v>0</v>
      </c>
      <c r="Q80" s="262">
        <f t="shared" si="81"/>
        <v>0</v>
      </c>
      <c r="R80" s="232">
        <f t="shared" si="74"/>
        <v>0</v>
      </c>
    </row>
    <row r="81" spans="1:18" ht="12" hidden="1" customHeight="1">
      <c r="A81" s="143" t="s">
        <v>48</v>
      </c>
      <c r="B81" s="185" t="s">
        <v>49</v>
      </c>
      <c r="C81" s="206">
        <v>0</v>
      </c>
      <c r="D81" s="186">
        <v>0</v>
      </c>
      <c r="E81" s="262">
        <f>E82+E85+E89+E88</f>
        <v>0</v>
      </c>
      <c r="F81" s="262">
        <f t="shared" ref="F81:G81" si="82">F82+F85+F89+F88</f>
        <v>0</v>
      </c>
      <c r="G81" s="262">
        <f t="shared" si="82"/>
        <v>0</v>
      </c>
      <c r="H81" s="232">
        <f t="shared" si="76"/>
        <v>0</v>
      </c>
      <c r="I81" s="262">
        <v>0</v>
      </c>
      <c r="J81" s="262">
        <f>J82+J85+J89+J88</f>
        <v>0</v>
      </c>
      <c r="K81" s="262">
        <f t="shared" ref="K81:L81" si="83">K82+K85+K89+K88</f>
        <v>0</v>
      </c>
      <c r="L81" s="262">
        <f t="shared" si="83"/>
        <v>0</v>
      </c>
      <c r="M81" s="232">
        <f t="shared" si="73"/>
        <v>0</v>
      </c>
      <c r="N81" s="262">
        <v>0</v>
      </c>
      <c r="O81" s="262">
        <f>O82+O85+O89+O88</f>
        <v>0</v>
      </c>
      <c r="P81" s="262">
        <f t="shared" ref="P81:Q81" si="84">P82+P85+P89+P88</f>
        <v>0</v>
      </c>
      <c r="Q81" s="262">
        <f t="shared" si="84"/>
        <v>0</v>
      </c>
      <c r="R81" s="232">
        <f t="shared" si="74"/>
        <v>0</v>
      </c>
    </row>
    <row r="82" spans="1:18" s="4" customFormat="1" ht="12" hidden="1" customHeight="1">
      <c r="A82" s="141" t="s">
        <v>50</v>
      </c>
      <c r="B82" s="179" t="s">
        <v>51</v>
      </c>
      <c r="C82" s="98">
        <v>0</v>
      </c>
      <c r="D82" s="169">
        <v>0</v>
      </c>
      <c r="E82" s="231">
        <f>E83+E84</f>
        <v>0</v>
      </c>
      <c r="F82" s="231">
        <f t="shared" ref="F82:G82" si="85">F83+F84</f>
        <v>0</v>
      </c>
      <c r="G82" s="231">
        <f t="shared" si="85"/>
        <v>0</v>
      </c>
      <c r="H82" s="232">
        <f t="shared" si="76"/>
        <v>0</v>
      </c>
      <c r="I82" s="231">
        <v>0</v>
      </c>
      <c r="J82" s="231">
        <f>J83+J84</f>
        <v>0</v>
      </c>
      <c r="K82" s="231">
        <f t="shared" ref="K82:L82" si="86">K83+K84</f>
        <v>0</v>
      </c>
      <c r="L82" s="231">
        <f t="shared" si="86"/>
        <v>0</v>
      </c>
      <c r="M82" s="232">
        <f t="shared" si="73"/>
        <v>0</v>
      </c>
      <c r="N82" s="231">
        <v>0</v>
      </c>
      <c r="O82" s="231">
        <f>O83+O84</f>
        <v>0</v>
      </c>
      <c r="P82" s="231">
        <f t="shared" ref="P82:Q82" si="87">P83+P84</f>
        <v>0</v>
      </c>
      <c r="Q82" s="231">
        <f t="shared" si="87"/>
        <v>0</v>
      </c>
      <c r="R82" s="232">
        <f t="shared" si="74"/>
        <v>0</v>
      </c>
    </row>
    <row r="83" spans="1:18" s="6" customFormat="1" ht="12" hidden="1" customHeight="1">
      <c r="A83" s="141" t="s">
        <v>52</v>
      </c>
      <c r="B83" s="179" t="s">
        <v>53</v>
      </c>
      <c r="C83" s="98"/>
      <c r="D83" s="169">
        <v>0</v>
      </c>
      <c r="E83" s="231"/>
      <c r="F83" s="231"/>
      <c r="G83" s="231"/>
      <c r="H83" s="232">
        <f t="shared" si="76"/>
        <v>0</v>
      </c>
      <c r="I83" s="231">
        <v>0</v>
      </c>
      <c r="J83" s="231"/>
      <c r="K83" s="231"/>
      <c r="L83" s="231"/>
      <c r="M83" s="232">
        <f t="shared" si="73"/>
        <v>0</v>
      </c>
      <c r="N83" s="231">
        <v>0</v>
      </c>
      <c r="O83" s="231"/>
      <c r="P83" s="231"/>
      <c r="Q83" s="231"/>
      <c r="R83" s="232">
        <f t="shared" si="74"/>
        <v>0</v>
      </c>
    </row>
    <row r="84" spans="1:18" s="6" customFormat="1" ht="12" hidden="1" customHeight="1">
      <c r="A84" s="141" t="s">
        <v>54</v>
      </c>
      <c r="B84" s="179" t="s">
        <v>55</v>
      </c>
      <c r="C84" s="98"/>
      <c r="D84" s="169">
        <v>0</v>
      </c>
      <c r="E84" s="231"/>
      <c r="F84" s="231"/>
      <c r="G84" s="231"/>
      <c r="H84" s="232">
        <f t="shared" si="76"/>
        <v>0</v>
      </c>
      <c r="I84" s="231">
        <v>0</v>
      </c>
      <c r="J84" s="231"/>
      <c r="K84" s="231"/>
      <c r="L84" s="231"/>
      <c r="M84" s="232">
        <f t="shared" si="73"/>
        <v>0</v>
      </c>
      <c r="N84" s="231">
        <v>0</v>
      </c>
      <c r="O84" s="231"/>
      <c r="P84" s="231"/>
      <c r="Q84" s="231"/>
      <c r="R84" s="232">
        <f t="shared" si="74"/>
        <v>0</v>
      </c>
    </row>
    <row r="85" spans="1:18" s="6" customFormat="1" ht="12" hidden="1" customHeight="1">
      <c r="A85" s="141" t="s">
        <v>56</v>
      </c>
      <c r="B85" s="179" t="s">
        <v>57</v>
      </c>
      <c r="C85" s="98">
        <v>0</v>
      </c>
      <c r="D85" s="169">
        <v>0</v>
      </c>
      <c r="E85" s="231">
        <f>E86+E87</f>
        <v>0</v>
      </c>
      <c r="F85" s="231">
        <f t="shared" ref="F85:G85" si="88">F86+F87</f>
        <v>0</v>
      </c>
      <c r="G85" s="231">
        <f t="shared" si="88"/>
        <v>0</v>
      </c>
      <c r="H85" s="232">
        <f t="shared" si="76"/>
        <v>0</v>
      </c>
      <c r="I85" s="231">
        <v>0</v>
      </c>
      <c r="J85" s="231">
        <f>J86+J87</f>
        <v>0</v>
      </c>
      <c r="K85" s="231">
        <f t="shared" ref="K85:L85" si="89">K86+K87</f>
        <v>0</v>
      </c>
      <c r="L85" s="231">
        <f t="shared" si="89"/>
        <v>0</v>
      </c>
      <c r="M85" s="232">
        <f t="shared" si="73"/>
        <v>0</v>
      </c>
      <c r="N85" s="231">
        <v>0</v>
      </c>
      <c r="O85" s="231">
        <f>O86+O87</f>
        <v>0</v>
      </c>
      <c r="P85" s="231">
        <f t="shared" ref="P85:Q85" si="90">P86+P87</f>
        <v>0</v>
      </c>
      <c r="Q85" s="231">
        <f t="shared" si="90"/>
        <v>0</v>
      </c>
      <c r="R85" s="232">
        <f t="shared" si="74"/>
        <v>0</v>
      </c>
    </row>
    <row r="86" spans="1:18" s="6" customFormat="1" ht="12" hidden="1" customHeight="1">
      <c r="A86" s="141" t="s">
        <v>58</v>
      </c>
      <c r="B86" s="179" t="s">
        <v>59</v>
      </c>
      <c r="C86" s="98"/>
      <c r="D86" s="169">
        <v>0</v>
      </c>
      <c r="E86" s="231"/>
      <c r="F86" s="231"/>
      <c r="G86" s="231"/>
      <c r="H86" s="232">
        <f t="shared" si="76"/>
        <v>0</v>
      </c>
      <c r="I86" s="231">
        <v>0</v>
      </c>
      <c r="J86" s="231"/>
      <c r="K86" s="231"/>
      <c r="L86" s="231"/>
      <c r="M86" s="232">
        <f t="shared" si="73"/>
        <v>0</v>
      </c>
      <c r="N86" s="231">
        <v>0</v>
      </c>
      <c r="O86" s="231"/>
      <c r="P86" s="231"/>
      <c r="Q86" s="231"/>
      <c r="R86" s="232">
        <f t="shared" si="74"/>
        <v>0</v>
      </c>
    </row>
    <row r="87" spans="1:18" s="6" customFormat="1" ht="12" hidden="1" customHeight="1">
      <c r="A87" s="141" t="s">
        <v>60</v>
      </c>
      <c r="B87" s="179" t="s">
        <v>61</v>
      </c>
      <c r="C87" s="98"/>
      <c r="D87" s="169">
        <v>0</v>
      </c>
      <c r="E87" s="231"/>
      <c r="F87" s="231"/>
      <c r="G87" s="231"/>
      <c r="H87" s="232">
        <f t="shared" si="76"/>
        <v>0</v>
      </c>
      <c r="I87" s="231">
        <v>0</v>
      </c>
      <c r="J87" s="231"/>
      <c r="K87" s="231"/>
      <c r="L87" s="231"/>
      <c r="M87" s="232">
        <f t="shared" si="73"/>
        <v>0</v>
      </c>
      <c r="N87" s="231">
        <v>0</v>
      </c>
      <c r="O87" s="231"/>
      <c r="P87" s="231"/>
      <c r="Q87" s="231"/>
      <c r="R87" s="232">
        <f t="shared" si="74"/>
        <v>0</v>
      </c>
    </row>
    <row r="88" spans="1:18" s="6" customFormat="1" ht="12" hidden="1" customHeight="1">
      <c r="A88" s="141" t="s">
        <v>198</v>
      </c>
      <c r="B88" s="187" t="s">
        <v>168</v>
      </c>
      <c r="C88" s="98"/>
      <c r="D88" s="169">
        <v>0</v>
      </c>
      <c r="E88" s="231"/>
      <c r="F88" s="231"/>
      <c r="G88" s="231"/>
      <c r="H88" s="232">
        <f t="shared" si="76"/>
        <v>0</v>
      </c>
      <c r="I88" s="231">
        <v>0</v>
      </c>
      <c r="J88" s="231"/>
      <c r="K88" s="231"/>
      <c r="L88" s="231"/>
      <c r="M88" s="232">
        <f t="shared" si="73"/>
        <v>0</v>
      </c>
      <c r="N88" s="231">
        <v>0</v>
      </c>
      <c r="O88" s="231"/>
      <c r="P88" s="231"/>
      <c r="Q88" s="231"/>
      <c r="R88" s="232">
        <f t="shared" si="74"/>
        <v>0</v>
      </c>
    </row>
    <row r="89" spans="1:18" s="6" customFormat="1" ht="12" hidden="1" customHeight="1">
      <c r="A89" s="144" t="s">
        <v>62</v>
      </c>
      <c r="B89" s="125" t="s">
        <v>63</v>
      </c>
      <c r="C89" s="170">
        <v>0</v>
      </c>
      <c r="D89" s="171">
        <v>0</v>
      </c>
      <c r="E89" s="233">
        <f t="shared" ref="E89:G89" si="91">E90+E91+E92</f>
        <v>0</v>
      </c>
      <c r="F89" s="233">
        <f t="shared" si="91"/>
        <v>0</v>
      </c>
      <c r="G89" s="233">
        <f t="shared" si="91"/>
        <v>0</v>
      </c>
      <c r="H89" s="232">
        <f t="shared" si="76"/>
        <v>0</v>
      </c>
      <c r="I89" s="233">
        <v>0</v>
      </c>
      <c r="J89" s="233">
        <f t="shared" ref="J89:L89" si="92">J90+J91+J92</f>
        <v>0</v>
      </c>
      <c r="K89" s="233">
        <f t="shared" si="92"/>
        <v>0</v>
      </c>
      <c r="L89" s="233">
        <f t="shared" si="92"/>
        <v>0</v>
      </c>
      <c r="M89" s="232">
        <f t="shared" si="73"/>
        <v>0</v>
      </c>
      <c r="N89" s="233">
        <v>0</v>
      </c>
      <c r="O89" s="233">
        <f t="shared" ref="O89:Q89" si="93">O90+O91+O92</f>
        <v>0</v>
      </c>
      <c r="P89" s="233">
        <f t="shared" si="93"/>
        <v>0</v>
      </c>
      <c r="Q89" s="233">
        <f t="shared" si="93"/>
        <v>0</v>
      </c>
      <c r="R89" s="232">
        <f t="shared" si="74"/>
        <v>0</v>
      </c>
    </row>
    <row r="90" spans="1:18" s="6" customFormat="1" ht="36" hidden="1" customHeight="1">
      <c r="A90" s="144" t="s">
        <v>64</v>
      </c>
      <c r="B90" s="179" t="s">
        <v>65</v>
      </c>
      <c r="C90" s="98"/>
      <c r="D90" s="169">
        <v>0</v>
      </c>
      <c r="E90" s="231"/>
      <c r="F90" s="231"/>
      <c r="G90" s="231"/>
      <c r="H90" s="232">
        <f t="shared" si="76"/>
        <v>0</v>
      </c>
      <c r="I90" s="231">
        <v>0</v>
      </c>
      <c r="J90" s="231"/>
      <c r="K90" s="231"/>
      <c r="L90" s="231"/>
      <c r="M90" s="232">
        <f t="shared" si="73"/>
        <v>0</v>
      </c>
      <c r="N90" s="231">
        <v>0</v>
      </c>
      <c r="O90" s="231"/>
      <c r="P90" s="231"/>
      <c r="Q90" s="231"/>
      <c r="R90" s="232">
        <f t="shared" si="74"/>
        <v>0</v>
      </c>
    </row>
    <row r="91" spans="1:18" s="6" customFormat="1" ht="24" hidden="1" customHeight="1">
      <c r="A91" s="144" t="s">
        <v>66</v>
      </c>
      <c r="B91" s="179" t="s">
        <v>67</v>
      </c>
      <c r="C91" s="98"/>
      <c r="D91" s="169">
        <v>0</v>
      </c>
      <c r="E91" s="231"/>
      <c r="F91" s="231"/>
      <c r="G91" s="231"/>
      <c r="H91" s="232">
        <f t="shared" si="76"/>
        <v>0</v>
      </c>
      <c r="I91" s="231">
        <v>0</v>
      </c>
      <c r="J91" s="231"/>
      <c r="K91" s="231"/>
      <c r="L91" s="231"/>
      <c r="M91" s="232">
        <f t="shared" si="73"/>
        <v>0</v>
      </c>
      <c r="N91" s="231">
        <v>0</v>
      </c>
      <c r="O91" s="231"/>
      <c r="P91" s="231"/>
      <c r="Q91" s="231"/>
      <c r="R91" s="232">
        <f t="shared" si="74"/>
        <v>0</v>
      </c>
    </row>
    <row r="92" spans="1:18" s="6" customFormat="1" ht="24" hidden="1" customHeight="1">
      <c r="A92" s="144" t="s">
        <v>68</v>
      </c>
      <c r="B92" s="125" t="s">
        <v>69</v>
      </c>
      <c r="C92" s="98"/>
      <c r="D92" s="169">
        <v>0</v>
      </c>
      <c r="E92" s="231"/>
      <c r="F92" s="231"/>
      <c r="G92" s="231"/>
      <c r="H92" s="232">
        <f t="shared" si="76"/>
        <v>0</v>
      </c>
      <c r="I92" s="231">
        <v>0</v>
      </c>
      <c r="J92" s="231"/>
      <c r="K92" s="231"/>
      <c r="L92" s="231"/>
      <c r="M92" s="232">
        <f t="shared" si="73"/>
        <v>0</v>
      </c>
      <c r="N92" s="231">
        <v>0</v>
      </c>
      <c r="O92" s="231"/>
      <c r="P92" s="231"/>
      <c r="Q92" s="231"/>
      <c r="R92" s="232">
        <f t="shared" si="74"/>
        <v>0</v>
      </c>
    </row>
    <row r="93" spans="1:18" s="6" customFormat="1" ht="12">
      <c r="A93" s="145"/>
      <c r="B93" s="188" t="s">
        <v>199</v>
      </c>
      <c r="C93" s="207"/>
      <c r="D93" s="294">
        <v>0</v>
      </c>
      <c r="E93" s="268"/>
      <c r="F93" s="268"/>
      <c r="G93" s="268"/>
      <c r="H93" s="269">
        <f t="shared" si="76"/>
        <v>0</v>
      </c>
      <c r="I93" s="347">
        <v>0</v>
      </c>
      <c r="J93" s="268"/>
      <c r="K93" s="268"/>
      <c r="L93" s="268"/>
      <c r="M93" s="269">
        <f t="shared" si="73"/>
        <v>0</v>
      </c>
      <c r="N93" s="347">
        <v>0</v>
      </c>
      <c r="O93" s="268"/>
      <c r="P93" s="268"/>
      <c r="Q93" s="268"/>
      <c r="R93" s="269">
        <f t="shared" si="74"/>
        <v>0</v>
      </c>
    </row>
    <row r="94" spans="1:18" s="6" customFormat="1" ht="20.399999999999999">
      <c r="A94" s="129" t="s">
        <v>201</v>
      </c>
      <c r="B94" s="123" t="s">
        <v>88</v>
      </c>
      <c r="C94" s="200">
        <v>748148</v>
      </c>
      <c r="D94" s="167">
        <v>740348</v>
      </c>
      <c r="E94" s="227">
        <f t="shared" ref="E94:G94" si="94">E95+E96+E98+E116</f>
        <v>5460</v>
      </c>
      <c r="F94" s="228">
        <f t="shared" si="94"/>
        <v>0</v>
      </c>
      <c r="G94" s="227">
        <f t="shared" si="94"/>
        <v>30000</v>
      </c>
      <c r="H94" s="229">
        <f t="shared" si="76"/>
        <v>775808</v>
      </c>
      <c r="I94" s="228">
        <v>740348</v>
      </c>
      <c r="J94" s="228">
        <f t="shared" ref="J94:L94" si="95">J95+J96+J98+J116</f>
        <v>0</v>
      </c>
      <c r="K94" s="228">
        <f t="shared" si="95"/>
        <v>0</v>
      </c>
      <c r="L94" s="227">
        <f t="shared" si="95"/>
        <v>40000</v>
      </c>
      <c r="M94" s="229">
        <f t="shared" si="73"/>
        <v>780348</v>
      </c>
      <c r="N94" s="228">
        <v>740348</v>
      </c>
      <c r="O94" s="228">
        <f t="shared" ref="O94:Q94" si="96">O95+O96+O98+O116</f>
        <v>0</v>
      </c>
      <c r="P94" s="228">
        <f t="shared" si="96"/>
        <v>0</v>
      </c>
      <c r="Q94" s="227">
        <f t="shared" si="96"/>
        <v>18000</v>
      </c>
      <c r="R94" s="229">
        <f t="shared" si="74"/>
        <v>758348</v>
      </c>
    </row>
    <row r="95" spans="1:18" s="6" customFormat="1" ht="22.8">
      <c r="A95" s="130" t="s">
        <v>177</v>
      </c>
      <c r="B95" s="124" t="s">
        <v>90</v>
      </c>
      <c r="C95" s="98">
        <v>12340</v>
      </c>
      <c r="D95" s="169">
        <v>12340</v>
      </c>
      <c r="E95" s="230">
        <f>E269</f>
        <v>5460</v>
      </c>
      <c r="F95" s="231"/>
      <c r="G95" s="230"/>
      <c r="H95" s="232">
        <f t="shared" si="76"/>
        <v>17800</v>
      </c>
      <c r="I95" s="231">
        <v>12340</v>
      </c>
      <c r="J95" s="231"/>
      <c r="K95" s="231"/>
      <c r="L95" s="230"/>
      <c r="M95" s="232">
        <f t="shared" si="73"/>
        <v>12340</v>
      </c>
      <c r="N95" s="231">
        <v>12340</v>
      </c>
      <c r="O95" s="231"/>
      <c r="P95" s="231"/>
      <c r="Q95" s="230"/>
      <c r="R95" s="232">
        <f t="shared" si="74"/>
        <v>12340</v>
      </c>
    </row>
    <row r="96" spans="1:18" s="6" customFormat="1" ht="12" hidden="1" customHeight="1">
      <c r="A96" s="130" t="s">
        <v>91</v>
      </c>
      <c r="B96" s="124" t="s">
        <v>92</v>
      </c>
      <c r="C96" s="98"/>
      <c r="D96" s="169">
        <v>0</v>
      </c>
      <c r="E96" s="230"/>
      <c r="F96" s="231"/>
      <c r="G96" s="230"/>
      <c r="H96" s="232">
        <f t="shared" si="76"/>
        <v>0</v>
      </c>
      <c r="I96" s="231">
        <v>0</v>
      </c>
      <c r="J96" s="231"/>
      <c r="K96" s="231"/>
      <c r="L96" s="230"/>
      <c r="M96" s="232">
        <f t="shared" si="73"/>
        <v>0</v>
      </c>
      <c r="N96" s="231">
        <v>0</v>
      </c>
      <c r="O96" s="231"/>
      <c r="P96" s="231"/>
      <c r="Q96" s="230"/>
      <c r="R96" s="232">
        <f t="shared" si="74"/>
        <v>0</v>
      </c>
    </row>
    <row r="97" spans="1:18" s="6" customFormat="1" ht="24" hidden="1" customHeight="1">
      <c r="A97" s="131">
        <v>21210</v>
      </c>
      <c r="B97" s="125" t="s">
        <v>93</v>
      </c>
      <c r="C97" s="98"/>
      <c r="D97" s="169">
        <v>0</v>
      </c>
      <c r="E97" s="230"/>
      <c r="F97" s="231"/>
      <c r="G97" s="230"/>
      <c r="H97" s="232">
        <f t="shared" si="76"/>
        <v>0</v>
      </c>
      <c r="I97" s="231">
        <v>0</v>
      </c>
      <c r="J97" s="231"/>
      <c r="K97" s="231"/>
      <c r="L97" s="230"/>
      <c r="M97" s="232">
        <f t="shared" si="73"/>
        <v>0</v>
      </c>
      <c r="N97" s="231">
        <v>0</v>
      </c>
      <c r="O97" s="231"/>
      <c r="P97" s="231"/>
      <c r="Q97" s="230"/>
      <c r="R97" s="232">
        <f t="shared" si="74"/>
        <v>0</v>
      </c>
    </row>
    <row r="98" spans="1:18" s="6" customFormat="1" ht="21" hidden="1" customHeight="1">
      <c r="A98" s="130" t="s">
        <v>178</v>
      </c>
      <c r="B98" s="124" t="s">
        <v>94</v>
      </c>
      <c r="C98" s="170">
        <v>0</v>
      </c>
      <c r="D98" s="171">
        <v>0</v>
      </c>
      <c r="E98" s="232">
        <f t="shared" ref="E98:G98" si="97">E99+E105</f>
        <v>0</v>
      </c>
      <c r="F98" s="233">
        <f t="shared" si="97"/>
        <v>0</v>
      </c>
      <c r="G98" s="232">
        <f t="shared" si="97"/>
        <v>0</v>
      </c>
      <c r="H98" s="232">
        <f t="shared" si="76"/>
        <v>0</v>
      </c>
      <c r="I98" s="233">
        <v>0</v>
      </c>
      <c r="J98" s="233">
        <f t="shared" ref="J98:L98" si="98">J99+J105</f>
        <v>0</v>
      </c>
      <c r="K98" s="233">
        <f t="shared" si="98"/>
        <v>0</v>
      </c>
      <c r="L98" s="232">
        <f t="shared" si="98"/>
        <v>0</v>
      </c>
      <c r="M98" s="232">
        <f t="shared" si="73"/>
        <v>0</v>
      </c>
      <c r="N98" s="233">
        <v>0</v>
      </c>
      <c r="O98" s="233">
        <f t="shared" ref="O98:Q98" si="99">O99+O105</f>
        <v>0</v>
      </c>
      <c r="P98" s="233">
        <f t="shared" si="99"/>
        <v>0</v>
      </c>
      <c r="Q98" s="232">
        <f t="shared" si="99"/>
        <v>0</v>
      </c>
      <c r="R98" s="232">
        <f t="shared" si="74"/>
        <v>0</v>
      </c>
    </row>
    <row r="99" spans="1:18" s="6" customFormat="1" ht="12" hidden="1" customHeight="1">
      <c r="A99" s="132">
        <v>18000</v>
      </c>
      <c r="B99" s="125" t="s">
        <v>95</v>
      </c>
      <c r="C99" s="170">
        <v>0</v>
      </c>
      <c r="D99" s="171">
        <v>0</v>
      </c>
      <c r="E99" s="232">
        <f t="shared" ref="E99:L100" si="100">E100</f>
        <v>0</v>
      </c>
      <c r="F99" s="233">
        <f t="shared" si="100"/>
        <v>0</v>
      </c>
      <c r="G99" s="232">
        <f t="shared" si="100"/>
        <v>0</v>
      </c>
      <c r="H99" s="232">
        <f t="shared" si="76"/>
        <v>0</v>
      </c>
      <c r="I99" s="233">
        <v>0</v>
      </c>
      <c r="J99" s="233">
        <f t="shared" si="100"/>
        <v>0</v>
      </c>
      <c r="K99" s="233">
        <f t="shared" si="100"/>
        <v>0</v>
      </c>
      <c r="L99" s="232">
        <f t="shared" si="100"/>
        <v>0</v>
      </c>
      <c r="M99" s="232">
        <f t="shared" si="73"/>
        <v>0</v>
      </c>
      <c r="N99" s="233">
        <v>0</v>
      </c>
      <c r="O99" s="233">
        <f t="shared" ref="O99:Q100" si="101">O100</f>
        <v>0</v>
      </c>
      <c r="P99" s="233">
        <f t="shared" si="101"/>
        <v>0</v>
      </c>
      <c r="Q99" s="232">
        <f t="shared" si="101"/>
        <v>0</v>
      </c>
      <c r="R99" s="232">
        <f t="shared" si="74"/>
        <v>0</v>
      </c>
    </row>
    <row r="100" spans="1:18" s="6" customFormat="1" ht="12" hidden="1" customHeight="1">
      <c r="A100" s="132">
        <v>18100</v>
      </c>
      <c r="B100" s="125" t="s">
        <v>96</v>
      </c>
      <c r="C100" s="170">
        <v>0</v>
      </c>
      <c r="D100" s="171">
        <v>0</v>
      </c>
      <c r="E100" s="232">
        <f t="shared" si="100"/>
        <v>0</v>
      </c>
      <c r="F100" s="233">
        <f t="shared" si="100"/>
        <v>0</v>
      </c>
      <c r="G100" s="232">
        <f t="shared" si="100"/>
        <v>0</v>
      </c>
      <c r="H100" s="232">
        <f t="shared" si="76"/>
        <v>0</v>
      </c>
      <c r="I100" s="233">
        <v>0</v>
      </c>
      <c r="J100" s="233">
        <f t="shared" si="100"/>
        <v>0</v>
      </c>
      <c r="K100" s="233">
        <f t="shared" si="100"/>
        <v>0</v>
      </c>
      <c r="L100" s="232">
        <f t="shared" si="100"/>
        <v>0</v>
      </c>
      <c r="M100" s="232">
        <f t="shared" si="73"/>
        <v>0</v>
      </c>
      <c r="N100" s="233">
        <v>0</v>
      </c>
      <c r="O100" s="233">
        <f t="shared" si="101"/>
        <v>0</v>
      </c>
      <c r="P100" s="233">
        <f t="shared" si="101"/>
        <v>0</v>
      </c>
      <c r="Q100" s="232">
        <f t="shared" si="101"/>
        <v>0</v>
      </c>
      <c r="R100" s="232">
        <f t="shared" si="74"/>
        <v>0</v>
      </c>
    </row>
    <row r="101" spans="1:18" s="6" customFormat="1" ht="24" hidden="1" customHeight="1">
      <c r="A101" s="133">
        <v>18130</v>
      </c>
      <c r="B101" s="172" t="s">
        <v>159</v>
      </c>
      <c r="C101" s="170">
        <v>0</v>
      </c>
      <c r="D101" s="171">
        <v>0</v>
      </c>
      <c r="E101" s="232">
        <f t="shared" ref="E101:G101" si="102">SUM(E102:E104)</f>
        <v>0</v>
      </c>
      <c r="F101" s="233">
        <f t="shared" ref="F101" si="103">SUM(F102:F104)</f>
        <v>0</v>
      </c>
      <c r="G101" s="232">
        <f t="shared" si="102"/>
        <v>0</v>
      </c>
      <c r="H101" s="232">
        <f t="shared" si="76"/>
        <v>0</v>
      </c>
      <c r="I101" s="233">
        <v>0</v>
      </c>
      <c r="J101" s="233">
        <f t="shared" ref="J101:L101" si="104">SUM(J102:J104)</f>
        <v>0</v>
      </c>
      <c r="K101" s="233">
        <f t="shared" si="104"/>
        <v>0</v>
      </c>
      <c r="L101" s="232">
        <f t="shared" si="104"/>
        <v>0</v>
      </c>
      <c r="M101" s="232">
        <f t="shared" si="73"/>
        <v>0</v>
      </c>
      <c r="N101" s="233">
        <v>0</v>
      </c>
      <c r="O101" s="233">
        <f t="shared" ref="O101:Q101" si="105">SUM(O102:O104)</f>
        <v>0</v>
      </c>
      <c r="P101" s="233">
        <f t="shared" si="105"/>
        <v>0</v>
      </c>
      <c r="Q101" s="232">
        <f t="shared" si="105"/>
        <v>0</v>
      </c>
      <c r="R101" s="232">
        <f t="shared" si="74"/>
        <v>0</v>
      </c>
    </row>
    <row r="102" spans="1:18" s="6" customFormat="1" ht="36" hidden="1" customHeight="1">
      <c r="A102" s="134">
        <v>18131</v>
      </c>
      <c r="B102" s="172" t="s">
        <v>160</v>
      </c>
      <c r="C102" s="170"/>
      <c r="D102" s="171">
        <v>0</v>
      </c>
      <c r="E102" s="232"/>
      <c r="F102" s="233"/>
      <c r="G102" s="232"/>
      <c r="H102" s="232">
        <f t="shared" si="76"/>
        <v>0</v>
      </c>
      <c r="I102" s="233">
        <v>0</v>
      </c>
      <c r="J102" s="233"/>
      <c r="K102" s="233"/>
      <c r="L102" s="232"/>
      <c r="M102" s="232">
        <f t="shared" si="73"/>
        <v>0</v>
      </c>
      <c r="N102" s="233">
        <v>0</v>
      </c>
      <c r="O102" s="233"/>
      <c r="P102" s="233"/>
      <c r="Q102" s="232"/>
      <c r="R102" s="232">
        <f t="shared" si="74"/>
        <v>0</v>
      </c>
    </row>
    <row r="103" spans="1:18" s="6" customFormat="1" ht="24" hidden="1" customHeight="1">
      <c r="A103" s="134">
        <v>18132</v>
      </c>
      <c r="B103" s="172" t="s">
        <v>169</v>
      </c>
      <c r="C103" s="170"/>
      <c r="D103" s="171">
        <v>0</v>
      </c>
      <c r="E103" s="232"/>
      <c r="F103" s="233"/>
      <c r="G103" s="232"/>
      <c r="H103" s="232">
        <f t="shared" si="76"/>
        <v>0</v>
      </c>
      <c r="I103" s="233">
        <v>0</v>
      </c>
      <c r="J103" s="233"/>
      <c r="K103" s="233"/>
      <c r="L103" s="232"/>
      <c r="M103" s="232">
        <f t="shared" si="73"/>
        <v>0</v>
      </c>
      <c r="N103" s="233">
        <v>0</v>
      </c>
      <c r="O103" s="233"/>
      <c r="P103" s="233"/>
      <c r="Q103" s="232"/>
      <c r="R103" s="232">
        <f t="shared" si="74"/>
        <v>0</v>
      </c>
    </row>
    <row r="104" spans="1:18" s="6" customFormat="1" ht="24" hidden="1" customHeight="1">
      <c r="A104" s="134">
        <v>18139</v>
      </c>
      <c r="B104" s="172" t="s">
        <v>179</v>
      </c>
      <c r="C104" s="170"/>
      <c r="D104" s="171">
        <v>0</v>
      </c>
      <c r="E104" s="232"/>
      <c r="F104" s="233"/>
      <c r="G104" s="232"/>
      <c r="H104" s="232">
        <f t="shared" si="76"/>
        <v>0</v>
      </c>
      <c r="I104" s="233">
        <v>0</v>
      </c>
      <c r="J104" s="233"/>
      <c r="K104" s="233"/>
      <c r="L104" s="232"/>
      <c r="M104" s="232">
        <f t="shared" si="73"/>
        <v>0</v>
      </c>
      <c r="N104" s="233">
        <v>0</v>
      </c>
      <c r="O104" s="233"/>
      <c r="P104" s="233"/>
      <c r="Q104" s="232"/>
      <c r="R104" s="232">
        <f t="shared" si="74"/>
        <v>0</v>
      </c>
    </row>
    <row r="105" spans="1:18" s="6" customFormat="1" ht="12" hidden="1" customHeight="1">
      <c r="A105" s="135" t="s">
        <v>180</v>
      </c>
      <c r="B105" s="173" t="s">
        <v>173</v>
      </c>
      <c r="C105" s="201">
        <v>0</v>
      </c>
      <c r="D105" s="174">
        <v>0</v>
      </c>
      <c r="E105" s="237">
        <f t="shared" ref="E105:L105" si="106">E106</f>
        <v>0</v>
      </c>
      <c r="F105" s="238">
        <f t="shared" si="106"/>
        <v>0</v>
      </c>
      <c r="G105" s="237">
        <f t="shared" si="106"/>
        <v>0</v>
      </c>
      <c r="H105" s="232">
        <f t="shared" si="76"/>
        <v>0</v>
      </c>
      <c r="I105" s="238">
        <v>0</v>
      </c>
      <c r="J105" s="238">
        <f t="shared" si="106"/>
        <v>0</v>
      </c>
      <c r="K105" s="238">
        <f t="shared" si="106"/>
        <v>0</v>
      </c>
      <c r="L105" s="237">
        <f t="shared" si="106"/>
        <v>0</v>
      </c>
      <c r="M105" s="232">
        <f t="shared" si="73"/>
        <v>0</v>
      </c>
      <c r="N105" s="238">
        <v>0</v>
      </c>
      <c r="O105" s="238">
        <f t="shared" ref="O105:Q105" si="107">O106</f>
        <v>0</v>
      </c>
      <c r="P105" s="238">
        <f t="shared" si="107"/>
        <v>0</v>
      </c>
      <c r="Q105" s="237">
        <f t="shared" si="107"/>
        <v>0</v>
      </c>
      <c r="R105" s="232">
        <f t="shared" si="74"/>
        <v>0</v>
      </c>
    </row>
    <row r="106" spans="1:18" s="6" customFormat="1" ht="24" hidden="1" customHeight="1">
      <c r="A106" s="135">
        <v>19500</v>
      </c>
      <c r="B106" s="172" t="s">
        <v>174</v>
      </c>
      <c r="C106" s="170">
        <v>0</v>
      </c>
      <c r="D106" s="171">
        <v>0</v>
      </c>
      <c r="E106" s="232">
        <f t="shared" ref="E106:G106" si="108">SUM(E107:E109)</f>
        <v>0</v>
      </c>
      <c r="F106" s="233">
        <f t="shared" si="108"/>
        <v>0</v>
      </c>
      <c r="G106" s="232">
        <f t="shared" si="108"/>
        <v>0</v>
      </c>
      <c r="H106" s="232">
        <f t="shared" si="76"/>
        <v>0</v>
      </c>
      <c r="I106" s="233">
        <v>0</v>
      </c>
      <c r="J106" s="233">
        <f t="shared" ref="J106:L106" si="109">SUM(J107:J109)</f>
        <v>0</v>
      </c>
      <c r="K106" s="233">
        <f t="shared" si="109"/>
        <v>0</v>
      </c>
      <c r="L106" s="232">
        <f t="shared" si="109"/>
        <v>0</v>
      </c>
      <c r="M106" s="232">
        <f t="shared" si="73"/>
        <v>0</v>
      </c>
      <c r="N106" s="233">
        <v>0</v>
      </c>
      <c r="O106" s="233">
        <f t="shared" ref="O106:Q106" si="110">SUM(O107:O109)</f>
        <v>0</v>
      </c>
      <c r="P106" s="233">
        <f t="shared" si="110"/>
        <v>0</v>
      </c>
      <c r="Q106" s="232">
        <f t="shared" si="110"/>
        <v>0</v>
      </c>
      <c r="R106" s="232">
        <f t="shared" si="74"/>
        <v>0</v>
      </c>
    </row>
    <row r="107" spans="1:18" s="6" customFormat="1" ht="24" hidden="1" customHeight="1">
      <c r="A107" s="136">
        <v>19550</v>
      </c>
      <c r="B107" s="172" t="s">
        <v>175</v>
      </c>
      <c r="C107" s="170"/>
      <c r="D107" s="171">
        <v>0</v>
      </c>
      <c r="E107" s="232"/>
      <c r="F107" s="233"/>
      <c r="G107" s="232"/>
      <c r="H107" s="232">
        <f t="shared" si="76"/>
        <v>0</v>
      </c>
      <c r="I107" s="233">
        <v>0</v>
      </c>
      <c r="J107" s="233"/>
      <c r="K107" s="233"/>
      <c r="L107" s="232"/>
      <c r="M107" s="232">
        <f t="shared" si="73"/>
        <v>0</v>
      </c>
      <c r="N107" s="233">
        <v>0</v>
      </c>
      <c r="O107" s="233"/>
      <c r="P107" s="233"/>
      <c r="Q107" s="232"/>
      <c r="R107" s="232">
        <f t="shared" si="74"/>
        <v>0</v>
      </c>
    </row>
    <row r="108" spans="1:18" s="6" customFormat="1" ht="36" hidden="1" customHeight="1">
      <c r="A108" s="136">
        <v>19560</v>
      </c>
      <c r="B108" s="172" t="s">
        <v>181</v>
      </c>
      <c r="C108" s="170"/>
      <c r="D108" s="171">
        <v>0</v>
      </c>
      <c r="E108" s="232"/>
      <c r="F108" s="233"/>
      <c r="G108" s="232"/>
      <c r="H108" s="232">
        <f t="shared" si="76"/>
        <v>0</v>
      </c>
      <c r="I108" s="233">
        <v>0</v>
      </c>
      <c r="J108" s="233"/>
      <c r="K108" s="233"/>
      <c r="L108" s="232"/>
      <c r="M108" s="232">
        <f t="shared" si="73"/>
        <v>0</v>
      </c>
      <c r="N108" s="233">
        <v>0</v>
      </c>
      <c r="O108" s="233"/>
      <c r="P108" s="233"/>
      <c r="Q108" s="232"/>
      <c r="R108" s="232">
        <f t="shared" si="74"/>
        <v>0</v>
      </c>
    </row>
    <row r="109" spans="1:18" s="6" customFormat="1" ht="72" hidden="1" customHeight="1">
      <c r="A109" s="136">
        <v>19570</v>
      </c>
      <c r="B109" s="172" t="s">
        <v>182</v>
      </c>
      <c r="C109" s="170"/>
      <c r="D109" s="171">
        <v>0</v>
      </c>
      <c r="E109" s="232"/>
      <c r="F109" s="233"/>
      <c r="G109" s="232"/>
      <c r="H109" s="232">
        <f t="shared" si="76"/>
        <v>0</v>
      </c>
      <c r="I109" s="233">
        <v>0</v>
      </c>
      <c r="J109" s="233"/>
      <c r="K109" s="233"/>
      <c r="L109" s="232"/>
      <c r="M109" s="232">
        <f t="shared" si="73"/>
        <v>0</v>
      </c>
      <c r="N109" s="233">
        <v>0</v>
      </c>
      <c r="O109" s="233"/>
      <c r="P109" s="233"/>
      <c r="Q109" s="232"/>
      <c r="R109" s="232">
        <f t="shared" si="74"/>
        <v>0</v>
      </c>
    </row>
    <row r="110" spans="1:18" s="6" customFormat="1" ht="24" hidden="1" customHeight="1">
      <c r="A110" s="209" t="s">
        <v>222</v>
      </c>
      <c r="B110" s="208" t="s">
        <v>216</v>
      </c>
      <c r="C110" s="106">
        <f>C111</f>
        <v>0</v>
      </c>
      <c r="D110" s="107">
        <v>0</v>
      </c>
      <c r="E110" s="232">
        <f t="shared" ref="E110:L110" si="111">E111</f>
        <v>0</v>
      </c>
      <c r="F110" s="232">
        <f t="shared" si="111"/>
        <v>0</v>
      </c>
      <c r="G110" s="232">
        <f t="shared" si="111"/>
        <v>0</v>
      </c>
      <c r="H110" s="232">
        <f t="shared" si="76"/>
        <v>0</v>
      </c>
      <c r="I110" s="233">
        <v>0</v>
      </c>
      <c r="J110" s="232">
        <f t="shared" si="111"/>
        <v>0</v>
      </c>
      <c r="K110" s="232">
        <f t="shared" si="111"/>
        <v>0</v>
      </c>
      <c r="L110" s="232">
        <f t="shared" si="111"/>
        <v>0</v>
      </c>
      <c r="M110" s="232">
        <f t="shared" si="73"/>
        <v>0</v>
      </c>
      <c r="N110" s="233">
        <v>0</v>
      </c>
      <c r="O110" s="232">
        <f t="shared" ref="O110:Q110" si="112">O111</f>
        <v>0</v>
      </c>
      <c r="P110" s="232">
        <f t="shared" si="112"/>
        <v>0</v>
      </c>
      <c r="Q110" s="232">
        <f t="shared" si="112"/>
        <v>0</v>
      </c>
      <c r="R110" s="232">
        <f t="shared" si="74"/>
        <v>0</v>
      </c>
    </row>
    <row r="111" spans="1:18" s="6" customFormat="1" ht="36" hidden="1" customHeight="1">
      <c r="A111" s="209">
        <v>17100</v>
      </c>
      <c r="B111" s="208" t="s">
        <v>217</v>
      </c>
      <c r="C111" s="106">
        <f>SUM(C112:C115)</f>
        <v>0</v>
      </c>
      <c r="D111" s="107">
        <v>0</v>
      </c>
      <c r="E111" s="232">
        <f t="shared" ref="E111:G111" si="113">SUM(E112:E115)</f>
        <v>0</v>
      </c>
      <c r="F111" s="232">
        <f t="shared" si="113"/>
        <v>0</v>
      </c>
      <c r="G111" s="232">
        <f t="shared" si="113"/>
        <v>0</v>
      </c>
      <c r="H111" s="232">
        <f t="shared" si="76"/>
        <v>0</v>
      </c>
      <c r="I111" s="233">
        <v>0</v>
      </c>
      <c r="J111" s="232">
        <f t="shared" ref="J111:L111" si="114">SUM(J112:J115)</f>
        <v>0</v>
      </c>
      <c r="K111" s="232">
        <f t="shared" si="114"/>
        <v>0</v>
      </c>
      <c r="L111" s="232">
        <f t="shared" si="114"/>
        <v>0</v>
      </c>
      <c r="M111" s="232">
        <f t="shared" si="73"/>
        <v>0</v>
      </c>
      <c r="N111" s="233">
        <v>0</v>
      </c>
      <c r="O111" s="232">
        <f t="shared" ref="O111:Q111" si="115">SUM(O112:O115)</f>
        <v>0</v>
      </c>
      <c r="P111" s="232">
        <f t="shared" si="115"/>
        <v>0</v>
      </c>
      <c r="Q111" s="232">
        <f t="shared" si="115"/>
        <v>0</v>
      </c>
      <c r="R111" s="232">
        <f t="shared" si="74"/>
        <v>0</v>
      </c>
    </row>
    <row r="112" spans="1:18" s="6" customFormat="1" ht="60" hidden="1" customHeight="1">
      <c r="A112" s="149">
        <v>17110</v>
      </c>
      <c r="B112" s="208" t="s">
        <v>218</v>
      </c>
      <c r="C112" s="106"/>
      <c r="D112" s="107">
        <v>0</v>
      </c>
      <c r="E112" s="232"/>
      <c r="F112" s="233"/>
      <c r="G112" s="232"/>
      <c r="H112" s="232">
        <f t="shared" si="76"/>
        <v>0</v>
      </c>
      <c r="I112" s="233">
        <v>0</v>
      </c>
      <c r="J112" s="233"/>
      <c r="K112" s="233"/>
      <c r="L112" s="232"/>
      <c r="M112" s="232">
        <f t="shared" si="73"/>
        <v>0</v>
      </c>
      <c r="N112" s="233">
        <v>0</v>
      </c>
      <c r="O112" s="233"/>
      <c r="P112" s="233"/>
      <c r="Q112" s="232"/>
      <c r="R112" s="232">
        <f t="shared" si="74"/>
        <v>0</v>
      </c>
    </row>
    <row r="113" spans="1:18" s="6" customFormat="1" ht="60" hidden="1" customHeight="1">
      <c r="A113" s="149">
        <v>17120</v>
      </c>
      <c r="B113" s="208" t="s">
        <v>219</v>
      </c>
      <c r="C113" s="106"/>
      <c r="D113" s="107">
        <v>0</v>
      </c>
      <c r="E113" s="232"/>
      <c r="F113" s="233"/>
      <c r="G113" s="232"/>
      <c r="H113" s="232">
        <f t="shared" si="76"/>
        <v>0</v>
      </c>
      <c r="I113" s="233">
        <v>0</v>
      </c>
      <c r="J113" s="233"/>
      <c r="K113" s="233"/>
      <c r="L113" s="232"/>
      <c r="M113" s="232">
        <f t="shared" si="73"/>
        <v>0</v>
      </c>
      <c r="N113" s="233">
        <v>0</v>
      </c>
      <c r="O113" s="233"/>
      <c r="P113" s="233"/>
      <c r="Q113" s="232"/>
      <c r="R113" s="232">
        <f t="shared" si="74"/>
        <v>0</v>
      </c>
    </row>
    <row r="114" spans="1:18" s="6" customFormat="1" ht="108" hidden="1" customHeight="1">
      <c r="A114" s="149">
        <v>17130</v>
      </c>
      <c r="B114" s="208" t="s">
        <v>220</v>
      </c>
      <c r="C114" s="106"/>
      <c r="D114" s="107">
        <v>0</v>
      </c>
      <c r="E114" s="232"/>
      <c r="F114" s="233"/>
      <c r="G114" s="232"/>
      <c r="H114" s="232">
        <f t="shared" si="76"/>
        <v>0</v>
      </c>
      <c r="I114" s="233">
        <v>0</v>
      </c>
      <c r="J114" s="233"/>
      <c r="K114" s="233"/>
      <c r="L114" s="232"/>
      <c r="M114" s="232">
        <f t="shared" si="73"/>
        <v>0</v>
      </c>
      <c r="N114" s="233">
        <v>0</v>
      </c>
      <c r="O114" s="233"/>
      <c r="P114" s="233"/>
      <c r="Q114" s="232"/>
      <c r="R114" s="232">
        <f t="shared" si="74"/>
        <v>0</v>
      </c>
    </row>
    <row r="115" spans="1:18" s="6" customFormat="1" ht="108" hidden="1" customHeight="1">
      <c r="A115" s="149">
        <v>17140</v>
      </c>
      <c r="B115" s="208" t="s">
        <v>221</v>
      </c>
      <c r="C115" s="106"/>
      <c r="D115" s="107">
        <v>0</v>
      </c>
      <c r="E115" s="232"/>
      <c r="F115" s="233"/>
      <c r="G115" s="232"/>
      <c r="H115" s="232">
        <f t="shared" si="76"/>
        <v>0</v>
      </c>
      <c r="I115" s="233">
        <v>0</v>
      </c>
      <c r="J115" s="233"/>
      <c r="K115" s="233"/>
      <c r="L115" s="232"/>
      <c r="M115" s="232">
        <f t="shared" si="73"/>
        <v>0</v>
      </c>
      <c r="N115" s="233">
        <v>0</v>
      </c>
      <c r="O115" s="233"/>
      <c r="P115" s="233"/>
      <c r="Q115" s="232"/>
      <c r="R115" s="232">
        <f t="shared" si="74"/>
        <v>0</v>
      </c>
    </row>
    <row r="116" spans="1:18" s="6" customFormat="1" ht="12">
      <c r="A116" s="137">
        <v>21700</v>
      </c>
      <c r="B116" s="124" t="s">
        <v>97</v>
      </c>
      <c r="C116" s="170">
        <v>735808</v>
      </c>
      <c r="D116" s="171">
        <v>728008</v>
      </c>
      <c r="E116" s="232">
        <f t="shared" ref="E116:F116" si="116">E117+E118</f>
        <v>0</v>
      </c>
      <c r="F116" s="233">
        <f t="shared" si="116"/>
        <v>0</v>
      </c>
      <c r="G116" s="232">
        <f>G117</f>
        <v>30000</v>
      </c>
      <c r="H116" s="232">
        <f t="shared" si="76"/>
        <v>758008</v>
      </c>
      <c r="I116" s="233">
        <v>728008</v>
      </c>
      <c r="J116" s="233">
        <f t="shared" ref="J116:K116" si="117">J117+J118</f>
        <v>0</v>
      </c>
      <c r="K116" s="233">
        <f t="shared" si="117"/>
        <v>0</v>
      </c>
      <c r="L116" s="232">
        <f>L117</f>
        <v>40000</v>
      </c>
      <c r="M116" s="232">
        <f t="shared" si="73"/>
        <v>768008</v>
      </c>
      <c r="N116" s="233">
        <v>728008</v>
      </c>
      <c r="O116" s="233">
        <f t="shared" ref="O116:P116" si="118">O117+O118</f>
        <v>0</v>
      </c>
      <c r="P116" s="233">
        <f t="shared" si="118"/>
        <v>0</v>
      </c>
      <c r="Q116" s="232">
        <f>Q117</f>
        <v>18000</v>
      </c>
      <c r="R116" s="232">
        <f t="shared" si="74"/>
        <v>746008</v>
      </c>
    </row>
    <row r="117" spans="1:18" s="6" customFormat="1" ht="24">
      <c r="A117" s="138">
        <v>21710</v>
      </c>
      <c r="B117" s="125" t="s">
        <v>98</v>
      </c>
      <c r="C117" s="170">
        <v>735808</v>
      </c>
      <c r="D117" s="171">
        <v>728008</v>
      </c>
      <c r="E117" s="232"/>
      <c r="F117" s="233"/>
      <c r="G117" s="232">
        <f>G280</f>
        <v>30000</v>
      </c>
      <c r="H117" s="232">
        <f t="shared" si="76"/>
        <v>758008</v>
      </c>
      <c r="I117" s="233">
        <v>728008</v>
      </c>
      <c r="J117" s="233"/>
      <c r="K117" s="233"/>
      <c r="L117" s="232">
        <f>L280</f>
        <v>40000</v>
      </c>
      <c r="M117" s="232">
        <f t="shared" si="73"/>
        <v>768008</v>
      </c>
      <c r="N117" s="233">
        <v>728008</v>
      </c>
      <c r="O117" s="233"/>
      <c r="P117" s="233"/>
      <c r="Q117" s="232">
        <f>Q280</f>
        <v>18000</v>
      </c>
      <c r="R117" s="232">
        <f t="shared" si="74"/>
        <v>746008</v>
      </c>
    </row>
    <row r="118" spans="1:18" s="6" customFormat="1" ht="24" hidden="1" customHeight="1">
      <c r="A118" s="138">
        <v>21720</v>
      </c>
      <c r="B118" s="125" t="s">
        <v>99</v>
      </c>
      <c r="C118" s="170"/>
      <c r="D118" s="171">
        <v>0</v>
      </c>
      <c r="E118" s="232"/>
      <c r="F118" s="233"/>
      <c r="G118" s="232"/>
      <c r="H118" s="232">
        <f t="shared" si="76"/>
        <v>0</v>
      </c>
      <c r="I118" s="233">
        <v>0</v>
      </c>
      <c r="J118" s="233"/>
      <c r="K118" s="233"/>
      <c r="L118" s="232"/>
      <c r="M118" s="232">
        <f t="shared" si="73"/>
        <v>0</v>
      </c>
      <c r="N118" s="233">
        <v>0</v>
      </c>
      <c r="O118" s="233"/>
      <c r="P118" s="233"/>
      <c r="Q118" s="232"/>
      <c r="R118" s="232">
        <f t="shared" si="74"/>
        <v>0</v>
      </c>
    </row>
    <row r="119" spans="1:18" s="6" customFormat="1" ht="11.4">
      <c r="A119" s="129" t="s">
        <v>100</v>
      </c>
      <c r="B119" s="123" t="s">
        <v>101</v>
      </c>
      <c r="C119" s="168">
        <v>748148</v>
      </c>
      <c r="D119" s="175">
        <v>740348</v>
      </c>
      <c r="E119" s="229">
        <f t="shared" ref="E119:G119" si="119">E120+E147</f>
        <v>5460</v>
      </c>
      <c r="F119" s="243">
        <f t="shared" si="119"/>
        <v>0</v>
      </c>
      <c r="G119" s="229">
        <f t="shared" si="119"/>
        <v>30000</v>
      </c>
      <c r="H119" s="229">
        <f t="shared" si="76"/>
        <v>775808</v>
      </c>
      <c r="I119" s="243">
        <v>740348</v>
      </c>
      <c r="J119" s="243">
        <f t="shared" ref="J119:L119" si="120">J120+J147</f>
        <v>0</v>
      </c>
      <c r="K119" s="243">
        <f t="shared" si="120"/>
        <v>0</v>
      </c>
      <c r="L119" s="229">
        <f t="shared" si="120"/>
        <v>40000</v>
      </c>
      <c r="M119" s="229">
        <f t="shared" si="73"/>
        <v>780348</v>
      </c>
      <c r="N119" s="243">
        <v>740348</v>
      </c>
      <c r="O119" s="243">
        <f t="shared" ref="O119:Q119" si="121">O120+O147</f>
        <v>0</v>
      </c>
      <c r="P119" s="243">
        <f t="shared" si="121"/>
        <v>0</v>
      </c>
      <c r="Q119" s="229">
        <f t="shared" si="121"/>
        <v>18000</v>
      </c>
      <c r="R119" s="229">
        <f t="shared" si="74"/>
        <v>758348</v>
      </c>
    </row>
    <row r="120" spans="1:18" s="6" customFormat="1" ht="20.399999999999999">
      <c r="A120" s="130" t="s">
        <v>102</v>
      </c>
      <c r="B120" s="124" t="s">
        <v>103</v>
      </c>
      <c r="C120" s="170">
        <v>736848</v>
      </c>
      <c r="D120" s="171">
        <v>734848</v>
      </c>
      <c r="E120" s="232">
        <f t="shared" ref="E120:F120" si="122">E121+E125+E126+E129+E132</f>
        <v>5460</v>
      </c>
      <c r="F120" s="233">
        <f t="shared" si="122"/>
        <v>0</v>
      </c>
      <c r="G120" s="232">
        <f>G121</f>
        <v>30000</v>
      </c>
      <c r="H120" s="232">
        <f t="shared" si="76"/>
        <v>770308</v>
      </c>
      <c r="I120" s="233">
        <v>734848</v>
      </c>
      <c r="J120" s="233">
        <f t="shared" ref="J120:K120" si="123">J121+J125+J126+J129+J132</f>
        <v>0</v>
      </c>
      <c r="K120" s="233">
        <f t="shared" si="123"/>
        <v>0</v>
      </c>
      <c r="L120" s="232">
        <f>L121</f>
        <v>40000</v>
      </c>
      <c r="M120" s="232">
        <f t="shared" si="73"/>
        <v>774848</v>
      </c>
      <c r="N120" s="233">
        <v>734848</v>
      </c>
      <c r="O120" s="233">
        <f t="shared" ref="O120:P120" si="124">O121+O125+O126+O129+O132</f>
        <v>0</v>
      </c>
      <c r="P120" s="233">
        <f t="shared" si="124"/>
        <v>0</v>
      </c>
      <c r="Q120" s="232">
        <f>Q121</f>
        <v>18000</v>
      </c>
      <c r="R120" s="232">
        <f t="shared" si="74"/>
        <v>752848</v>
      </c>
    </row>
    <row r="121" spans="1:18" s="6" customFormat="1" ht="12">
      <c r="A121" s="130" t="s">
        <v>104</v>
      </c>
      <c r="B121" s="124" t="s">
        <v>105</v>
      </c>
      <c r="C121" s="170">
        <v>736145</v>
      </c>
      <c r="D121" s="171">
        <v>734145</v>
      </c>
      <c r="E121" s="232">
        <f t="shared" ref="E121:F121" si="125">E122+E124</f>
        <v>5460</v>
      </c>
      <c r="F121" s="233">
        <f t="shared" si="125"/>
        <v>0</v>
      </c>
      <c r="G121" s="232">
        <f>G124+G122</f>
        <v>30000</v>
      </c>
      <c r="H121" s="232">
        <f t="shared" si="76"/>
        <v>769605</v>
      </c>
      <c r="I121" s="233">
        <v>734145</v>
      </c>
      <c r="J121" s="233">
        <f t="shared" ref="J121:K121" si="126">J122+J124</f>
        <v>0</v>
      </c>
      <c r="K121" s="233">
        <f t="shared" si="126"/>
        <v>0</v>
      </c>
      <c r="L121" s="232">
        <f>L124+L122</f>
        <v>40000</v>
      </c>
      <c r="M121" s="232">
        <f t="shared" si="73"/>
        <v>774145</v>
      </c>
      <c r="N121" s="233">
        <v>734145</v>
      </c>
      <c r="O121" s="233">
        <f t="shared" ref="O121:P121" si="127">O122+O124</f>
        <v>0</v>
      </c>
      <c r="P121" s="233">
        <f t="shared" si="127"/>
        <v>0</v>
      </c>
      <c r="Q121" s="232">
        <f>Q124+Q122</f>
        <v>18000</v>
      </c>
      <c r="R121" s="232">
        <f t="shared" si="74"/>
        <v>752145</v>
      </c>
    </row>
    <row r="122" spans="1:18" s="29" customFormat="1" ht="12">
      <c r="A122" s="132">
        <v>1000</v>
      </c>
      <c r="B122" s="125" t="s">
        <v>106</v>
      </c>
      <c r="C122" s="170">
        <v>577779</v>
      </c>
      <c r="D122" s="171">
        <v>577779</v>
      </c>
      <c r="E122" s="232"/>
      <c r="F122" s="244"/>
      <c r="G122" s="232"/>
      <c r="H122" s="232">
        <f t="shared" si="76"/>
        <v>577779</v>
      </c>
      <c r="I122" s="233">
        <v>577779</v>
      </c>
      <c r="J122" s="244"/>
      <c r="K122" s="244"/>
      <c r="L122" s="232"/>
      <c r="M122" s="232">
        <f t="shared" si="73"/>
        <v>577779</v>
      </c>
      <c r="N122" s="233">
        <v>577779</v>
      </c>
      <c r="O122" s="244"/>
      <c r="P122" s="244"/>
      <c r="Q122" s="232"/>
      <c r="R122" s="232">
        <f t="shared" si="74"/>
        <v>577779</v>
      </c>
    </row>
    <row r="123" spans="1:18" s="89" customFormat="1" ht="12">
      <c r="A123" s="139">
        <v>1100</v>
      </c>
      <c r="B123" s="125" t="s">
        <v>107</v>
      </c>
      <c r="C123" s="170">
        <v>454840</v>
      </c>
      <c r="D123" s="171">
        <v>454840</v>
      </c>
      <c r="E123" s="232">
        <v>0</v>
      </c>
      <c r="F123" s="244"/>
      <c r="G123" s="232"/>
      <c r="H123" s="232">
        <f t="shared" si="76"/>
        <v>454840</v>
      </c>
      <c r="I123" s="233">
        <v>454840</v>
      </c>
      <c r="J123" s="244"/>
      <c r="K123" s="244"/>
      <c r="L123" s="232"/>
      <c r="M123" s="232">
        <f t="shared" si="73"/>
        <v>454840</v>
      </c>
      <c r="N123" s="233">
        <v>454840</v>
      </c>
      <c r="O123" s="244"/>
      <c r="P123" s="244"/>
      <c r="Q123" s="232"/>
      <c r="R123" s="232">
        <f t="shared" si="74"/>
        <v>454840</v>
      </c>
    </row>
    <row r="124" spans="1:18" s="89" customFormat="1" ht="12">
      <c r="A124" s="132">
        <v>2000</v>
      </c>
      <c r="B124" s="125" t="s">
        <v>108</v>
      </c>
      <c r="C124" s="170">
        <v>158366</v>
      </c>
      <c r="D124" s="171">
        <v>156366</v>
      </c>
      <c r="E124" s="232">
        <f>E273</f>
        <v>5460</v>
      </c>
      <c r="F124" s="244"/>
      <c r="G124" s="232">
        <f>G284</f>
        <v>30000</v>
      </c>
      <c r="H124" s="232">
        <f t="shared" si="76"/>
        <v>191826</v>
      </c>
      <c r="I124" s="233">
        <v>156366</v>
      </c>
      <c r="J124" s="244"/>
      <c r="K124" s="244"/>
      <c r="L124" s="232">
        <f>L284</f>
        <v>40000</v>
      </c>
      <c r="M124" s="232">
        <f t="shared" si="73"/>
        <v>196366</v>
      </c>
      <c r="N124" s="233">
        <v>156366</v>
      </c>
      <c r="O124" s="244"/>
      <c r="P124" s="244"/>
      <c r="Q124" s="232">
        <f>Q284</f>
        <v>18000</v>
      </c>
      <c r="R124" s="232">
        <f t="shared" si="74"/>
        <v>174366</v>
      </c>
    </row>
    <row r="125" spans="1:18" s="89" customFormat="1" ht="12" hidden="1" customHeight="1">
      <c r="A125" s="140">
        <v>4000</v>
      </c>
      <c r="B125" s="124" t="s">
        <v>132</v>
      </c>
      <c r="C125" s="170"/>
      <c r="D125" s="171">
        <v>0</v>
      </c>
      <c r="E125" s="232"/>
      <c r="F125" s="244"/>
      <c r="G125" s="232"/>
      <c r="H125" s="232">
        <f t="shared" si="76"/>
        <v>0</v>
      </c>
      <c r="I125" s="233">
        <v>0</v>
      </c>
      <c r="J125" s="244"/>
      <c r="K125" s="244"/>
      <c r="L125" s="232"/>
      <c r="M125" s="232">
        <f t="shared" si="73"/>
        <v>0</v>
      </c>
      <c r="N125" s="233">
        <v>0</v>
      </c>
      <c r="O125" s="244"/>
      <c r="P125" s="244"/>
      <c r="Q125" s="232"/>
      <c r="R125" s="232">
        <f t="shared" si="74"/>
        <v>0</v>
      </c>
    </row>
    <row r="126" spans="1:18" s="89" customFormat="1" ht="12" hidden="1" customHeight="1">
      <c r="A126" s="140" t="s">
        <v>109</v>
      </c>
      <c r="B126" s="124" t="s">
        <v>110</v>
      </c>
      <c r="C126" s="170">
        <v>0</v>
      </c>
      <c r="D126" s="171">
        <v>0</v>
      </c>
      <c r="E126" s="232">
        <f t="shared" ref="E126:G126" si="128">E127+E128</f>
        <v>0</v>
      </c>
      <c r="F126" s="233">
        <f t="shared" si="128"/>
        <v>0</v>
      </c>
      <c r="G126" s="232">
        <f t="shared" si="128"/>
        <v>0</v>
      </c>
      <c r="H126" s="232">
        <f t="shared" si="76"/>
        <v>0</v>
      </c>
      <c r="I126" s="233">
        <v>0</v>
      </c>
      <c r="J126" s="233">
        <f t="shared" ref="J126:L126" si="129">J127+J128</f>
        <v>0</v>
      </c>
      <c r="K126" s="233">
        <f t="shared" si="129"/>
        <v>0</v>
      </c>
      <c r="L126" s="232">
        <f t="shared" si="129"/>
        <v>0</v>
      </c>
      <c r="M126" s="232">
        <f t="shared" si="73"/>
        <v>0</v>
      </c>
      <c r="N126" s="233">
        <v>0</v>
      </c>
      <c r="O126" s="233">
        <f t="shared" ref="O126:Q126" si="130">O127+O128</f>
        <v>0</v>
      </c>
      <c r="P126" s="233">
        <f t="shared" si="130"/>
        <v>0</v>
      </c>
      <c r="Q126" s="232">
        <f t="shared" si="130"/>
        <v>0</v>
      </c>
      <c r="R126" s="232">
        <f t="shared" si="74"/>
        <v>0</v>
      </c>
    </row>
    <row r="127" spans="1:18" s="89" customFormat="1" ht="12" hidden="1" customHeight="1">
      <c r="A127" s="132">
        <v>3000</v>
      </c>
      <c r="B127" s="125" t="s">
        <v>111</v>
      </c>
      <c r="C127" s="202"/>
      <c r="D127" s="213">
        <v>0</v>
      </c>
      <c r="E127" s="245"/>
      <c r="F127" s="246"/>
      <c r="G127" s="245"/>
      <c r="H127" s="232">
        <f t="shared" si="76"/>
        <v>0</v>
      </c>
      <c r="I127" s="345">
        <v>0</v>
      </c>
      <c r="J127" s="246"/>
      <c r="K127" s="246"/>
      <c r="L127" s="245"/>
      <c r="M127" s="232">
        <f t="shared" si="73"/>
        <v>0</v>
      </c>
      <c r="N127" s="345">
        <v>0</v>
      </c>
      <c r="O127" s="246"/>
      <c r="P127" s="246"/>
      <c r="Q127" s="245"/>
      <c r="R127" s="232">
        <f t="shared" si="74"/>
        <v>0</v>
      </c>
    </row>
    <row r="128" spans="1:18" s="89" customFormat="1" ht="12" hidden="1" customHeight="1">
      <c r="A128" s="132">
        <v>6000</v>
      </c>
      <c r="B128" s="125" t="s">
        <v>112</v>
      </c>
      <c r="C128" s="203"/>
      <c r="D128" s="287">
        <v>0</v>
      </c>
      <c r="E128" s="247"/>
      <c r="F128" s="248"/>
      <c r="G128" s="247"/>
      <c r="H128" s="232">
        <f t="shared" si="76"/>
        <v>0</v>
      </c>
      <c r="I128" s="346">
        <v>0</v>
      </c>
      <c r="J128" s="248"/>
      <c r="K128" s="248"/>
      <c r="L128" s="247"/>
      <c r="M128" s="232">
        <f t="shared" si="73"/>
        <v>0</v>
      </c>
      <c r="N128" s="346">
        <v>0</v>
      </c>
      <c r="O128" s="248"/>
      <c r="P128" s="248"/>
      <c r="Q128" s="247"/>
      <c r="R128" s="232">
        <f t="shared" si="74"/>
        <v>0</v>
      </c>
    </row>
    <row r="129" spans="1:18" s="89" customFormat="1" ht="22.8">
      <c r="A129" s="140" t="s">
        <v>113</v>
      </c>
      <c r="B129" s="124" t="s">
        <v>183</v>
      </c>
      <c r="C129" s="170">
        <v>703</v>
      </c>
      <c r="D129" s="171">
        <v>703</v>
      </c>
      <c r="E129" s="232">
        <f t="shared" ref="E129:G129" si="131">E130+E131</f>
        <v>0</v>
      </c>
      <c r="F129" s="233">
        <f t="shared" si="131"/>
        <v>0</v>
      </c>
      <c r="G129" s="232">
        <f t="shared" si="131"/>
        <v>0</v>
      </c>
      <c r="H129" s="232">
        <f t="shared" si="76"/>
        <v>703</v>
      </c>
      <c r="I129" s="233">
        <v>703</v>
      </c>
      <c r="J129" s="233">
        <f t="shared" ref="J129:L129" si="132">J130+J131</f>
        <v>0</v>
      </c>
      <c r="K129" s="233">
        <f t="shared" si="132"/>
        <v>0</v>
      </c>
      <c r="L129" s="232">
        <f t="shared" si="132"/>
        <v>0</v>
      </c>
      <c r="M129" s="232">
        <f t="shared" si="73"/>
        <v>703</v>
      </c>
      <c r="N129" s="233">
        <v>703</v>
      </c>
      <c r="O129" s="233">
        <f t="shared" ref="O129:Q129" si="133">O130+O131</f>
        <v>0</v>
      </c>
      <c r="P129" s="233">
        <f t="shared" si="133"/>
        <v>0</v>
      </c>
      <c r="Q129" s="232">
        <f t="shared" si="133"/>
        <v>0</v>
      </c>
      <c r="R129" s="232">
        <f t="shared" si="74"/>
        <v>703</v>
      </c>
    </row>
    <row r="130" spans="1:18" s="89" customFormat="1" ht="12" hidden="1" customHeight="1">
      <c r="A130" s="132">
        <v>7600</v>
      </c>
      <c r="B130" s="179" t="s">
        <v>184</v>
      </c>
      <c r="C130" s="170"/>
      <c r="D130" s="171">
        <v>0</v>
      </c>
      <c r="E130" s="232"/>
      <c r="F130" s="244"/>
      <c r="G130" s="232"/>
      <c r="H130" s="232">
        <f t="shared" si="76"/>
        <v>0</v>
      </c>
      <c r="I130" s="233">
        <v>0</v>
      </c>
      <c r="J130" s="244"/>
      <c r="K130" s="244"/>
      <c r="L130" s="232"/>
      <c r="M130" s="232">
        <f t="shared" si="73"/>
        <v>0</v>
      </c>
      <c r="N130" s="233">
        <v>0</v>
      </c>
      <c r="O130" s="244"/>
      <c r="P130" s="244"/>
      <c r="Q130" s="232"/>
      <c r="R130" s="232">
        <f t="shared" si="74"/>
        <v>0</v>
      </c>
    </row>
    <row r="131" spans="1:18" s="89" customFormat="1" ht="12">
      <c r="A131" s="132">
        <v>7700</v>
      </c>
      <c r="B131" s="126" t="s">
        <v>114</v>
      </c>
      <c r="C131" s="170">
        <v>703</v>
      </c>
      <c r="D131" s="171">
        <v>703</v>
      </c>
      <c r="E131" s="232"/>
      <c r="F131" s="244"/>
      <c r="G131" s="232"/>
      <c r="H131" s="232">
        <f t="shared" si="76"/>
        <v>703</v>
      </c>
      <c r="I131" s="233">
        <v>703</v>
      </c>
      <c r="J131" s="244"/>
      <c r="K131" s="244"/>
      <c r="L131" s="232"/>
      <c r="M131" s="232">
        <f t="shared" si="73"/>
        <v>703</v>
      </c>
      <c r="N131" s="233">
        <v>703</v>
      </c>
      <c r="O131" s="244"/>
      <c r="P131" s="244"/>
      <c r="Q131" s="232"/>
      <c r="R131" s="232">
        <f t="shared" si="74"/>
        <v>703</v>
      </c>
    </row>
    <row r="132" spans="1:18" s="89" customFormat="1" ht="21" hidden="1" customHeight="1">
      <c r="A132" s="140" t="s">
        <v>185</v>
      </c>
      <c r="B132" s="124" t="s">
        <v>115</v>
      </c>
      <c r="C132" s="170">
        <v>0</v>
      </c>
      <c r="D132" s="171">
        <v>0</v>
      </c>
      <c r="E132" s="232">
        <f t="shared" ref="E132:G132" si="134">E133+E139+E143+E146</f>
        <v>0</v>
      </c>
      <c r="F132" s="233">
        <f t="shared" si="134"/>
        <v>0</v>
      </c>
      <c r="G132" s="232">
        <f t="shared" si="134"/>
        <v>0</v>
      </c>
      <c r="H132" s="232">
        <f t="shared" si="76"/>
        <v>0</v>
      </c>
      <c r="I132" s="233">
        <v>0</v>
      </c>
      <c r="J132" s="233">
        <f t="shared" ref="J132:L132" si="135">J133+J139+J143+J146</f>
        <v>0</v>
      </c>
      <c r="K132" s="233">
        <f t="shared" si="135"/>
        <v>0</v>
      </c>
      <c r="L132" s="232">
        <f t="shared" si="135"/>
        <v>0</v>
      </c>
      <c r="M132" s="232">
        <f t="shared" si="73"/>
        <v>0</v>
      </c>
      <c r="N132" s="233">
        <v>0</v>
      </c>
      <c r="O132" s="233">
        <f t="shared" ref="O132:Q132" si="136">O133+O139+O143+O146</f>
        <v>0</v>
      </c>
      <c r="P132" s="233">
        <f t="shared" si="136"/>
        <v>0</v>
      </c>
      <c r="Q132" s="232">
        <f t="shared" si="136"/>
        <v>0</v>
      </c>
      <c r="R132" s="232">
        <f t="shared" si="74"/>
        <v>0</v>
      </c>
    </row>
    <row r="133" spans="1:18" s="89" customFormat="1" ht="12" hidden="1" customHeight="1">
      <c r="A133" s="132">
        <v>7100</v>
      </c>
      <c r="B133" s="179" t="s">
        <v>116</v>
      </c>
      <c r="C133" s="170">
        <v>0</v>
      </c>
      <c r="D133" s="171">
        <v>0</v>
      </c>
      <c r="E133" s="232">
        <f t="shared" ref="E133:G133" si="137">E134+E135</f>
        <v>0</v>
      </c>
      <c r="F133" s="233">
        <f t="shared" si="137"/>
        <v>0</v>
      </c>
      <c r="G133" s="232">
        <f t="shared" si="137"/>
        <v>0</v>
      </c>
      <c r="H133" s="232">
        <f t="shared" si="76"/>
        <v>0</v>
      </c>
      <c r="I133" s="233">
        <v>0</v>
      </c>
      <c r="J133" s="233">
        <f t="shared" ref="J133:L133" si="138">J134+J135</f>
        <v>0</v>
      </c>
      <c r="K133" s="233">
        <f t="shared" si="138"/>
        <v>0</v>
      </c>
      <c r="L133" s="232">
        <f t="shared" si="138"/>
        <v>0</v>
      </c>
      <c r="M133" s="232">
        <f t="shared" si="73"/>
        <v>0</v>
      </c>
      <c r="N133" s="233">
        <v>0</v>
      </c>
      <c r="O133" s="233">
        <f t="shared" ref="O133:Q133" si="139">O134+O135</f>
        <v>0</v>
      </c>
      <c r="P133" s="233">
        <f t="shared" si="139"/>
        <v>0</v>
      </c>
      <c r="Q133" s="232">
        <f t="shared" si="139"/>
        <v>0</v>
      </c>
      <c r="R133" s="232">
        <f t="shared" si="74"/>
        <v>0</v>
      </c>
    </row>
    <row r="134" spans="1:18" s="89" customFormat="1" ht="24" hidden="1" customHeight="1">
      <c r="A134" s="133" t="s">
        <v>117</v>
      </c>
      <c r="B134" s="179" t="s">
        <v>118</v>
      </c>
      <c r="C134" s="170"/>
      <c r="D134" s="171">
        <v>0</v>
      </c>
      <c r="E134" s="232"/>
      <c r="F134" s="233"/>
      <c r="G134" s="232"/>
      <c r="H134" s="232">
        <f t="shared" si="76"/>
        <v>0</v>
      </c>
      <c r="I134" s="233">
        <v>0</v>
      </c>
      <c r="J134" s="233"/>
      <c r="K134" s="233"/>
      <c r="L134" s="232"/>
      <c r="M134" s="232">
        <f t="shared" si="73"/>
        <v>0</v>
      </c>
      <c r="N134" s="233">
        <v>0</v>
      </c>
      <c r="O134" s="233"/>
      <c r="P134" s="233"/>
      <c r="Q134" s="232"/>
      <c r="R134" s="232">
        <f t="shared" si="74"/>
        <v>0</v>
      </c>
    </row>
    <row r="135" spans="1:18" s="89" customFormat="1" ht="24" hidden="1" customHeight="1">
      <c r="A135" s="133">
        <v>7130</v>
      </c>
      <c r="B135" s="179" t="s">
        <v>119</v>
      </c>
      <c r="C135" s="170">
        <v>0</v>
      </c>
      <c r="D135" s="171">
        <v>0</v>
      </c>
      <c r="E135" s="232">
        <f t="shared" ref="E135:G135" si="140">SUM(E136:E138)</f>
        <v>0</v>
      </c>
      <c r="F135" s="233">
        <f t="shared" ref="F135" si="141">SUM(F136:F138)</f>
        <v>0</v>
      </c>
      <c r="G135" s="232">
        <f t="shared" si="140"/>
        <v>0</v>
      </c>
      <c r="H135" s="232">
        <f t="shared" si="76"/>
        <v>0</v>
      </c>
      <c r="I135" s="233">
        <v>0</v>
      </c>
      <c r="J135" s="233">
        <f t="shared" ref="J135:L135" si="142">SUM(J136:J138)</f>
        <v>0</v>
      </c>
      <c r="K135" s="233">
        <f t="shared" si="142"/>
        <v>0</v>
      </c>
      <c r="L135" s="232">
        <f t="shared" si="142"/>
        <v>0</v>
      </c>
      <c r="M135" s="232">
        <f t="shared" si="73"/>
        <v>0</v>
      </c>
      <c r="N135" s="233">
        <v>0</v>
      </c>
      <c r="O135" s="233">
        <f t="shared" ref="O135:Q135" si="143">SUM(O136:O138)</f>
        <v>0</v>
      </c>
      <c r="P135" s="233">
        <f t="shared" si="143"/>
        <v>0</v>
      </c>
      <c r="Q135" s="232">
        <f t="shared" si="143"/>
        <v>0</v>
      </c>
      <c r="R135" s="232">
        <f t="shared" si="74"/>
        <v>0</v>
      </c>
    </row>
    <row r="136" spans="1:18" s="89" customFormat="1" ht="36" hidden="1" customHeight="1">
      <c r="A136" s="134">
        <v>7131</v>
      </c>
      <c r="B136" s="179" t="s">
        <v>120</v>
      </c>
      <c r="C136" s="170"/>
      <c r="D136" s="171">
        <v>0</v>
      </c>
      <c r="E136" s="232"/>
      <c r="F136" s="233"/>
      <c r="G136" s="232"/>
      <c r="H136" s="232">
        <f t="shared" si="76"/>
        <v>0</v>
      </c>
      <c r="I136" s="233">
        <v>0</v>
      </c>
      <c r="J136" s="233"/>
      <c r="K136" s="233"/>
      <c r="L136" s="232"/>
      <c r="M136" s="232">
        <f t="shared" si="73"/>
        <v>0</v>
      </c>
      <c r="N136" s="233">
        <v>0</v>
      </c>
      <c r="O136" s="233"/>
      <c r="P136" s="233"/>
      <c r="Q136" s="232"/>
      <c r="R136" s="232">
        <f t="shared" si="74"/>
        <v>0</v>
      </c>
    </row>
    <row r="137" spans="1:18" s="29" customFormat="1" ht="36" hidden="1" customHeight="1">
      <c r="A137" s="134">
        <v>7132</v>
      </c>
      <c r="B137" s="179" t="s">
        <v>121</v>
      </c>
      <c r="C137" s="170"/>
      <c r="D137" s="171">
        <v>0</v>
      </c>
      <c r="E137" s="232"/>
      <c r="F137" s="233"/>
      <c r="G137" s="232"/>
      <c r="H137" s="232">
        <f t="shared" si="76"/>
        <v>0</v>
      </c>
      <c r="I137" s="233">
        <v>0</v>
      </c>
      <c r="J137" s="233"/>
      <c r="K137" s="233"/>
      <c r="L137" s="232"/>
      <c r="M137" s="232">
        <f t="shared" si="73"/>
        <v>0</v>
      </c>
      <c r="N137" s="233">
        <v>0</v>
      </c>
      <c r="O137" s="233"/>
      <c r="P137" s="233"/>
      <c r="Q137" s="232"/>
      <c r="R137" s="232">
        <f t="shared" si="74"/>
        <v>0</v>
      </c>
    </row>
    <row r="138" spans="1:18" s="29" customFormat="1" ht="36" hidden="1" customHeight="1">
      <c r="A138" s="134" t="s">
        <v>186</v>
      </c>
      <c r="B138" s="179" t="s">
        <v>187</v>
      </c>
      <c r="C138" s="170"/>
      <c r="D138" s="171">
        <v>0</v>
      </c>
      <c r="E138" s="232"/>
      <c r="F138" s="233"/>
      <c r="G138" s="232"/>
      <c r="H138" s="232">
        <f t="shared" si="76"/>
        <v>0</v>
      </c>
      <c r="I138" s="233">
        <v>0</v>
      </c>
      <c r="J138" s="233"/>
      <c r="K138" s="233"/>
      <c r="L138" s="232"/>
      <c r="M138" s="232">
        <f t="shared" ref="M138:M201" si="144">SUM(I138:L138)</f>
        <v>0</v>
      </c>
      <c r="N138" s="233">
        <v>0</v>
      </c>
      <c r="O138" s="233"/>
      <c r="P138" s="233"/>
      <c r="Q138" s="232"/>
      <c r="R138" s="232">
        <f t="shared" ref="R138:R201" si="145">SUM(N138:Q138)</f>
        <v>0</v>
      </c>
    </row>
    <row r="139" spans="1:18" s="29" customFormat="1" ht="24" hidden="1" customHeight="1">
      <c r="A139" s="132">
        <v>7300</v>
      </c>
      <c r="B139" s="172" t="s">
        <v>155</v>
      </c>
      <c r="C139" s="170">
        <v>0</v>
      </c>
      <c r="D139" s="171">
        <v>0</v>
      </c>
      <c r="E139" s="232">
        <f t="shared" ref="E139:G139" si="146">SUM(E140:E142)</f>
        <v>0</v>
      </c>
      <c r="F139" s="233">
        <f t="shared" si="146"/>
        <v>0</v>
      </c>
      <c r="G139" s="232">
        <f t="shared" si="146"/>
        <v>0</v>
      </c>
      <c r="H139" s="232">
        <f t="shared" si="76"/>
        <v>0</v>
      </c>
      <c r="I139" s="233">
        <v>0</v>
      </c>
      <c r="J139" s="233">
        <f t="shared" ref="J139:L139" si="147">SUM(J140:J142)</f>
        <v>0</v>
      </c>
      <c r="K139" s="233">
        <f t="shared" si="147"/>
        <v>0</v>
      </c>
      <c r="L139" s="232">
        <f t="shared" si="147"/>
        <v>0</v>
      </c>
      <c r="M139" s="232">
        <f t="shared" si="144"/>
        <v>0</v>
      </c>
      <c r="N139" s="233">
        <v>0</v>
      </c>
      <c r="O139" s="233">
        <f t="shared" ref="O139:Q139" si="148">SUM(O140:O142)</f>
        <v>0</v>
      </c>
      <c r="P139" s="233">
        <f t="shared" si="148"/>
        <v>0</v>
      </c>
      <c r="Q139" s="232">
        <f t="shared" si="148"/>
        <v>0</v>
      </c>
      <c r="R139" s="232">
        <f t="shared" si="145"/>
        <v>0</v>
      </c>
    </row>
    <row r="140" spans="1:18" s="4" customFormat="1" ht="24" hidden="1" customHeight="1">
      <c r="A140" s="133" t="s">
        <v>188</v>
      </c>
      <c r="B140" s="179" t="s">
        <v>170</v>
      </c>
      <c r="C140" s="204"/>
      <c r="D140" s="180">
        <v>0</v>
      </c>
      <c r="E140" s="251"/>
      <c r="F140" s="252"/>
      <c r="G140" s="251"/>
      <c r="H140" s="232">
        <f t="shared" ref="H140:H203" si="149">SUM(D140:G140)</f>
        <v>0</v>
      </c>
      <c r="I140" s="252">
        <v>0</v>
      </c>
      <c r="J140" s="252"/>
      <c r="K140" s="252"/>
      <c r="L140" s="251"/>
      <c r="M140" s="232">
        <f t="shared" si="144"/>
        <v>0</v>
      </c>
      <c r="N140" s="252">
        <v>0</v>
      </c>
      <c r="O140" s="252"/>
      <c r="P140" s="252"/>
      <c r="Q140" s="251"/>
      <c r="R140" s="232">
        <f t="shared" si="145"/>
        <v>0</v>
      </c>
    </row>
    <row r="141" spans="1:18" ht="48" hidden="1" customHeight="1">
      <c r="A141" s="133" t="s">
        <v>189</v>
      </c>
      <c r="B141" s="179" t="s">
        <v>156</v>
      </c>
      <c r="C141" s="204"/>
      <c r="D141" s="180">
        <v>0</v>
      </c>
      <c r="E141" s="251"/>
      <c r="F141" s="252"/>
      <c r="G141" s="251"/>
      <c r="H141" s="232">
        <f t="shared" si="149"/>
        <v>0</v>
      </c>
      <c r="I141" s="252">
        <v>0</v>
      </c>
      <c r="J141" s="252"/>
      <c r="K141" s="252"/>
      <c r="L141" s="251"/>
      <c r="M141" s="232">
        <f t="shared" si="144"/>
        <v>0</v>
      </c>
      <c r="N141" s="252">
        <v>0</v>
      </c>
      <c r="O141" s="252"/>
      <c r="P141" s="252"/>
      <c r="Q141" s="251"/>
      <c r="R141" s="232">
        <f t="shared" si="145"/>
        <v>0</v>
      </c>
    </row>
    <row r="142" spans="1:18" ht="36" hidden="1" customHeight="1">
      <c r="A142" s="133">
        <v>7350</v>
      </c>
      <c r="B142" s="179" t="s">
        <v>163</v>
      </c>
      <c r="C142" s="204"/>
      <c r="D142" s="180">
        <v>0</v>
      </c>
      <c r="E142" s="251"/>
      <c r="F142" s="252"/>
      <c r="G142" s="251"/>
      <c r="H142" s="232">
        <f t="shared" si="149"/>
        <v>0</v>
      </c>
      <c r="I142" s="252">
        <v>0</v>
      </c>
      <c r="J142" s="252"/>
      <c r="K142" s="252"/>
      <c r="L142" s="251"/>
      <c r="M142" s="232">
        <f t="shared" si="144"/>
        <v>0</v>
      </c>
      <c r="N142" s="252">
        <v>0</v>
      </c>
      <c r="O142" s="252"/>
      <c r="P142" s="252"/>
      <c r="Q142" s="251"/>
      <c r="R142" s="232">
        <f t="shared" si="145"/>
        <v>0</v>
      </c>
    </row>
    <row r="143" spans="1:18" ht="24" hidden="1" customHeight="1">
      <c r="A143" s="132">
        <v>7400</v>
      </c>
      <c r="B143" s="172" t="s">
        <v>161</v>
      </c>
      <c r="C143" s="170">
        <v>0</v>
      </c>
      <c r="D143" s="171">
        <v>0</v>
      </c>
      <c r="E143" s="232">
        <f t="shared" ref="E143:G143" si="150">SUM(E144:E145)</f>
        <v>0</v>
      </c>
      <c r="F143" s="233">
        <f t="shared" si="150"/>
        <v>0</v>
      </c>
      <c r="G143" s="232">
        <f t="shared" si="150"/>
        <v>0</v>
      </c>
      <c r="H143" s="232">
        <f t="shared" si="149"/>
        <v>0</v>
      </c>
      <c r="I143" s="233">
        <v>0</v>
      </c>
      <c r="J143" s="233">
        <f t="shared" ref="J143:L143" si="151">SUM(J144:J145)</f>
        <v>0</v>
      </c>
      <c r="K143" s="233">
        <f t="shared" si="151"/>
        <v>0</v>
      </c>
      <c r="L143" s="232">
        <f t="shared" si="151"/>
        <v>0</v>
      </c>
      <c r="M143" s="232">
        <f t="shared" si="144"/>
        <v>0</v>
      </c>
      <c r="N143" s="233">
        <v>0</v>
      </c>
      <c r="O143" s="233">
        <f t="shared" ref="O143:Q143" si="152">SUM(O144:O145)</f>
        <v>0</v>
      </c>
      <c r="P143" s="233">
        <f t="shared" si="152"/>
        <v>0</v>
      </c>
      <c r="Q143" s="232">
        <f t="shared" si="152"/>
        <v>0</v>
      </c>
      <c r="R143" s="232">
        <f t="shared" si="145"/>
        <v>0</v>
      </c>
    </row>
    <row r="144" spans="1:18" ht="24" hidden="1" customHeight="1">
      <c r="A144" s="133">
        <v>7460</v>
      </c>
      <c r="B144" s="172" t="s">
        <v>162</v>
      </c>
      <c r="C144" s="204"/>
      <c r="D144" s="180">
        <v>0</v>
      </c>
      <c r="E144" s="251"/>
      <c r="F144" s="252"/>
      <c r="G144" s="251"/>
      <c r="H144" s="232">
        <f t="shared" si="149"/>
        <v>0</v>
      </c>
      <c r="I144" s="252">
        <v>0</v>
      </c>
      <c r="J144" s="252"/>
      <c r="K144" s="252"/>
      <c r="L144" s="251"/>
      <c r="M144" s="232">
        <f t="shared" si="144"/>
        <v>0</v>
      </c>
      <c r="N144" s="252">
        <v>0</v>
      </c>
      <c r="O144" s="252"/>
      <c r="P144" s="252"/>
      <c r="Q144" s="251"/>
      <c r="R144" s="232">
        <f t="shared" si="145"/>
        <v>0</v>
      </c>
    </row>
    <row r="145" spans="1:18" ht="48" hidden="1" customHeight="1">
      <c r="A145" s="133">
        <v>7470</v>
      </c>
      <c r="B145" s="179" t="s">
        <v>167</v>
      </c>
      <c r="C145" s="204"/>
      <c r="D145" s="180">
        <v>0</v>
      </c>
      <c r="E145" s="251"/>
      <c r="F145" s="252"/>
      <c r="G145" s="251"/>
      <c r="H145" s="232">
        <f t="shared" si="149"/>
        <v>0</v>
      </c>
      <c r="I145" s="252">
        <v>0</v>
      </c>
      <c r="J145" s="252"/>
      <c r="K145" s="252"/>
      <c r="L145" s="251"/>
      <c r="M145" s="232">
        <f t="shared" si="144"/>
        <v>0</v>
      </c>
      <c r="N145" s="252">
        <v>0</v>
      </c>
      <c r="O145" s="252"/>
      <c r="P145" s="252"/>
      <c r="Q145" s="251"/>
      <c r="R145" s="232">
        <f t="shared" si="145"/>
        <v>0</v>
      </c>
    </row>
    <row r="146" spans="1:18" ht="24" hidden="1" customHeight="1">
      <c r="A146" s="132">
        <v>7500</v>
      </c>
      <c r="B146" s="179" t="s">
        <v>157</v>
      </c>
      <c r="C146" s="170"/>
      <c r="D146" s="171">
        <v>0</v>
      </c>
      <c r="E146" s="232"/>
      <c r="F146" s="233"/>
      <c r="G146" s="232"/>
      <c r="H146" s="232">
        <f t="shared" si="149"/>
        <v>0</v>
      </c>
      <c r="I146" s="233">
        <v>0</v>
      </c>
      <c r="J146" s="233"/>
      <c r="K146" s="233"/>
      <c r="L146" s="232"/>
      <c r="M146" s="232">
        <f t="shared" si="144"/>
        <v>0</v>
      </c>
      <c r="N146" s="233">
        <v>0</v>
      </c>
      <c r="O146" s="233"/>
      <c r="P146" s="233"/>
      <c r="Q146" s="232"/>
      <c r="R146" s="232">
        <f t="shared" si="145"/>
        <v>0</v>
      </c>
    </row>
    <row r="147" spans="1:18" s="4" customFormat="1" ht="12">
      <c r="A147" s="140" t="s">
        <v>133</v>
      </c>
      <c r="B147" s="124" t="s">
        <v>122</v>
      </c>
      <c r="C147" s="205">
        <v>11300</v>
      </c>
      <c r="D147" s="181">
        <v>5500</v>
      </c>
      <c r="E147" s="253">
        <f t="shared" ref="E147:G147" si="153">E148+E149</f>
        <v>0</v>
      </c>
      <c r="F147" s="254">
        <f t="shared" si="153"/>
        <v>0</v>
      </c>
      <c r="G147" s="253">
        <f t="shared" si="153"/>
        <v>0</v>
      </c>
      <c r="H147" s="232">
        <f t="shared" si="149"/>
        <v>5500</v>
      </c>
      <c r="I147" s="254">
        <v>5500</v>
      </c>
      <c r="J147" s="254">
        <f t="shared" ref="J147:L147" si="154">J148+J149</f>
        <v>0</v>
      </c>
      <c r="K147" s="254">
        <f t="shared" si="154"/>
        <v>0</v>
      </c>
      <c r="L147" s="253">
        <f t="shared" si="154"/>
        <v>0</v>
      </c>
      <c r="M147" s="232">
        <f t="shared" si="144"/>
        <v>5500</v>
      </c>
      <c r="N147" s="254">
        <v>5500</v>
      </c>
      <c r="O147" s="254">
        <f t="shared" ref="O147:Q147" si="155">O148+O149</f>
        <v>0</v>
      </c>
      <c r="P147" s="254">
        <f t="shared" si="155"/>
        <v>0</v>
      </c>
      <c r="Q147" s="253">
        <f t="shared" si="155"/>
        <v>0</v>
      </c>
      <c r="R147" s="232">
        <f t="shared" si="145"/>
        <v>5500</v>
      </c>
    </row>
    <row r="148" spans="1:18" s="6" customFormat="1" ht="12">
      <c r="A148" s="140">
        <v>5000</v>
      </c>
      <c r="B148" s="124" t="s">
        <v>123</v>
      </c>
      <c r="C148" s="170">
        <v>11300</v>
      </c>
      <c r="D148" s="171">
        <v>5500</v>
      </c>
      <c r="E148" s="232"/>
      <c r="F148" s="244"/>
      <c r="G148" s="232"/>
      <c r="H148" s="232">
        <f t="shared" si="149"/>
        <v>5500</v>
      </c>
      <c r="I148" s="233">
        <v>5500</v>
      </c>
      <c r="J148" s="244"/>
      <c r="K148" s="244"/>
      <c r="L148" s="232"/>
      <c r="M148" s="232">
        <f t="shared" si="144"/>
        <v>5500</v>
      </c>
      <c r="N148" s="233">
        <v>5500</v>
      </c>
      <c r="O148" s="244"/>
      <c r="P148" s="244"/>
      <c r="Q148" s="232"/>
      <c r="R148" s="232">
        <f t="shared" si="145"/>
        <v>5500</v>
      </c>
    </row>
    <row r="149" spans="1:18" s="6" customFormat="1" ht="12" hidden="1" customHeight="1">
      <c r="A149" s="140">
        <v>9000</v>
      </c>
      <c r="B149" s="182" t="s">
        <v>164</v>
      </c>
      <c r="C149" s="170">
        <v>0</v>
      </c>
      <c r="D149" s="171">
        <v>0</v>
      </c>
      <c r="E149" s="233">
        <f t="shared" ref="E149:G149" si="156">E150+E156+E160+E163</f>
        <v>0</v>
      </c>
      <c r="F149" s="233">
        <f t="shared" si="156"/>
        <v>0</v>
      </c>
      <c r="G149" s="233">
        <f t="shared" si="156"/>
        <v>0</v>
      </c>
      <c r="H149" s="232">
        <f t="shared" si="149"/>
        <v>0</v>
      </c>
      <c r="I149" s="233">
        <v>0</v>
      </c>
      <c r="J149" s="233">
        <f t="shared" ref="J149:L149" si="157">J150+J156+J160+J163</f>
        <v>0</v>
      </c>
      <c r="K149" s="233">
        <f t="shared" si="157"/>
        <v>0</v>
      </c>
      <c r="L149" s="233">
        <f t="shared" si="157"/>
        <v>0</v>
      </c>
      <c r="M149" s="232">
        <f t="shared" si="144"/>
        <v>0</v>
      </c>
      <c r="N149" s="233">
        <v>0</v>
      </c>
      <c r="O149" s="233">
        <f t="shared" ref="O149:Q149" si="158">O150+O156+O160+O163</f>
        <v>0</v>
      </c>
      <c r="P149" s="233">
        <f t="shared" si="158"/>
        <v>0</v>
      </c>
      <c r="Q149" s="233">
        <f t="shared" si="158"/>
        <v>0</v>
      </c>
      <c r="R149" s="232">
        <f t="shared" si="145"/>
        <v>0</v>
      </c>
    </row>
    <row r="150" spans="1:18" s="6" customFormat="1" ht="12" hidden="1" customHeight="1">
      <c r="A150" s="141">
        <v>9100</v>
      </c>
      <c r="B150" s="179" t="s">
        <v>124</v>
      </c>
      <c r="C150" s="170">
        <v>0</v>
      </c>
      <c r="D150" s="171">
        <v>0</v>
      </c>
      <c r="E150" s="233">
        <f t="shared" ref="E150:G150" si="159">SUM(E151:E152)</f>
        <v>0</v>
      </c>
      <c r="F150" s="233">
        <f t="shared" ref="F150" si="160">SUM(F151:F152)</f>
        <v>0</v>
      </c>
      <c r="G150" s="233">
        <f t="shared" si="159"/>
        <v>0</v>
      </c>
      <c r="H150" s="232">
        <f t="shared" si="149"/>
        <v>0</v>
      </c>
      <c r="I150" s="233">
        <v>0</v>
      </c>
      <c r="J150" s="233">
        <f t="shared" ref="J150:L150" si="161">SUM(J151:J152)</f>
        <v>0</v>
      </c>
      <c r="K150" s="233">
        <f t="shared" si="161"/>
        <v>0</v>
      </c>
      <c r="L150" s="233">
        <f t="shared" si="161"/>
        <v>0</v>
      </c>
      <c r="M150" s="232">
        <f t="shared" si="144"/>
        <v>0</v>
      </c>
      <c r="N150" s="233">
        <v>0</v>
      </c>
      <c r="O150" s="233">
        <f t="shared" ref="O150:Q150" si="162">SUM(O151:O152)</f>
        <v>0</v>
      </c>
      <c r="P150" s="233">
        <f t="shared" si="162"/>
        <v>0</v>
      </c>
      <c r="Q150" s="233">
        <f t="shared" si="162"/>
        <v>0</v>
      </c>
      <c r="R150" s="232">
        <f t="shared" si="145"/>
        <v>0</v>
      </c>
    </row>
    <row r="151" spans="1:18" s="6" customFormat="1" ht="24" hidden="1" customHeight="1">
      <c r="A151" s="133" t="s">
        <v>125</v>
      </c>
      <c r="B151" s="179" t="s">
        <v>214</v>
      </c>
      <c r="C151" s="170"/>
      <c r="D151" s="171">
        <v>0</v>
      </c>
      <c r="E151" s="233"/>
      <c r="F151" s="233"/>
      <c r="G151" s="233"/>
      <c r="H151" s="232">
        <f t="shared" si="149"/>
        <v>0</v>
      </c>
      <c r="I151" s="233">
        <v>0</v>
      </c>
      <c r="J151" s="233"/>
      <c r="K151" s="233"/>
      <c r="L151" s="233"/>
      <c r="M151" s="232">
        <f t="shared" si="144"/>
        <v>0</v>
      </c>
      <c r="N151" s="233">
        <v>0</v>
      </c>
      <c r="O151" s="233"/>
      <c r="P151" s="233"/>
      <c r="Q151" s="233"/>
      <c r="R151" s="232">
        <f t="shared" si="145"/>
        <v>0</v>
      </c>
    </row>
    <row r="152" spans="1:18" s="6" customFormat="1" ht="24" hidden="1" customHeight="1">
      <c r="A152" s="133">
        <v>9140</v>
      </c>
      <c r="B152" s="179" t="s">
        <v>215</v>
      </c>
      <c r="C152" s="170">
        <v>0</v>
      </c>
      <c r="D152" s="171">
        <v>0</v>
      </c>
      <c r="E152" s="233">
        <f t="shared" ref="E152:G152" si="163">SUM(E153:E155)</f>
        <v>0</v>
      </c>
      <c r="F152" s="233">
        <f t="shared" si="163"/>
        <v>0</v>
      </c>
      <c r="G152" s="233">
        <f t="shared" si="163"/>
        <v>0</v>
      </c>
      <c r="H152" s="232">
        <f t="shared" si="149"/>
        <v>0</v>
      </c>
      <c r="I152" s="233">
        <v>0</v>
      </c>
      <c r="J152" s="233">
        <f t="shared" ref="J152:L152" si="164">SUM(J153:J155)</f>
        <v>0</v>
      </c>
      <c r="K152" s="233">
        <f t="shared" si="164"/>
        <v>0</v>
      </c>
      <c r="L152" s="233">
        <f t="shared" si="164"/>
        <v>0</v>
      </c>
      <c r="M152" s="232">
        <f t="shared" si="144"/>
        <v>0</v>
      </c>
      <c r="N152" s="233">
        <v>0</v>
      </c>
      <c r="O152" s="233">
        <f t="shared" ref="O152:Q152" si="165">SUM(O153:O155)</f>
        <v>0</v>
      </c>
      <c r="P152" s="233">
        <f t="shared" si="165"/>
        <v>0</v>
      </c>
      <c r="Q152" s="233">
        <f t="shared" si="165"/>
        <v>0</v>
      </c>
      <c r="R152" s="232">
        <f t="shared" si="145"/>
        <v>0</v>
      </c>
    </row>
    <row r="153" spans="1:18" s="6" customFormat="1" ht="36" hidden="1" customHeight="1">
      <c r="A153" s="134">
        <v>9141</v>
      </c>
      <c r="B153" s="172" t="s">
        <v>190</v>
      </c>
      <c r="C153" s="204"/>
      <c r="D153" s="180">
        <v>0</v>
      </c>
      <c r="E153" s="252"/>
      <c r="F153" s="252"/>
      <c r="G153" s="252"/>
      <c r="H153" s="232">
        <f t="shared" si="149"/>
        <v>0</v>
      </c>
      <c r="I153" s="252">
        <v>0</v>
      </c>
      <c r="J153" s="252"/>
      <c r="K153" s="252"/>
      <c r="L153" s="252"/>
      <c r="M153" s="232">
        <f t="shared" si="144"/>
        <v>0</v>
      </c>
      <c r="N153" s="252">
        <v>0</v>
      </c>
      <c r="O153" s="252"/>
      <c r="P153" s="252"/>
      <c r="Q153" s="252"/>
      <c r="R153" s="232">
        <f t="shared" si="145"/>
        <v>0</v>
      </c>
    </row>
    <row r="154" spans="1:18" s="6" customFormat="1" ht="36" hidden="1" customHeight="1">
      <c r="A154" s="134">
        <v>9142</v>
      </c>
      <c r="B154" s="172" t="s">
        <v>191</v>
      </c>
      <c r="C154" s="204"/>
      <c r="D154" s="180">
        <v>0</v>
      </c>
      <c r="E154" s="252"/>
      <c r="F154" s="252"/>
      <c r="G154" s="252"/>
      <c r="H154" s="232">
        <f t="shared" si="149"/>
        <v>0</v>
      </c>
      <c r="I154" s="252">
        <v>0</v>
      </c>
      <c r="J154" s="252"/>
      <c r="K154" s="252"/>
      <c r="L154" s="252"/>
      <c r="M154" s="232">
        <f t="shared" si="144"/>
        <v>0</v>
      </c>
      <c r="N154" s="252">
        <v>0</v>
      </c>
      <c r="O154" s="252"/>
      <c r="P154" s="252"/>
      <c r="Q154" s="252"/>
      <c r="R154" s="232">
        <f t="shared" si="145"/>
        <v>0</v>
      </c>
    </row>
    <row r="155" spans="1:18" s="6" customFormat="1" ht="24" hidden="1" customHeight="1">
      <c r="A155" s="134">
        <v>9149</v>
      </c>
      <c r="B155" s="172" t="s">
        <v>192</v>
      </c>
      <c r="C155" s="204"/>
      <c r="D155" s="180">
        <v>0</v>
      </c>
      <c r="E155" s="252"/>
      <c r="F155" s="252"/>
      <c r="G155" s="252"/>
      <c r="H155" s="232">
        <f t="shared" si="149"/>
        <v>0</v>
      </c>
      <c r="I155" s="252">
        <v>0</v>
      </c>
      <c r="J155" s="252"/>
      <c r="K155" s="252"/>
      <c r="L155" s="252"/>
      <c r="M155" s="232">
        <f t="shared" si="144"/>
        <v>0</v>
      </c>
      <c r="N155" s="252">
        <v>0</v>
      </c>
      <c r="O155" s="252"/>
      <c r="P155" s="252"/>
      <c r="Q155" s="252"/>
      <c r="R155" s="232">
        <f t="shared" si="145"/>
        <v>0</v>
      </c>
    </row>
    <row r="156" spans="1:18" s="6" customFormat="1" ht="24" hidden="1" customHeight="1">
      <c r="A156" s="141">
        <v>9500</v>
      </c>
      <c r="B156" s="172" t="s">
        <v>165</v>
      </c>
      <c r="C156" s="170">
        <v>0</v>
      </c>
      <c r="D156" s="171">
        <v>0</v>
      </c>
      <c r="E156" s="233">
        <f t="shared" ref="E156:G156" si="166">SUM(E157:E159)</f>
        <v>0</v>
      </c>
      <c r="F156" s="233">
        <f t="shared" si="166"/>
        <v>0</v>
      </c>
      <c r="G156" s="233">
        <f t="shared" si="166"/>
        <v>0</v>
      </c>
      <c r="H156" s="232">
        <f t="shared" si="149"/>
        <v>0</v>
      </c>
      <c r="I156" s="233">
        <v>0</v>
      </c>
      <c r="J156" s="233">
        <f t="shared" ref="J156:L156" si="167">SUM(J157:J159)</f>
        <v>0</v>
      </c>
      <c r="K156" s="233">
        <f t="shared" si="167"/>
        <v>0</v>
      </c>
      <c r="L156" s="233">
        <f t="shared" si="167"/>
        <v>0</v>
      </c>
      <c r="M156" s="232">
        <f t="shared" si="144"/>
        <v>0</v>
      </c>
      <c r="N156" s="233">
        <v>0</v>
      </c>
      <c r="O156" s="233">
        <f t="shared" ref="O156:Q156" si="168">SUM(O157:O159)</f>
        <v>0</v>
      </c>
      <c r="P156" s="233">
        <f t="shared" si="168"/>
        <v>0</v>
      </c>
      <c r="Q156" s="233">
        <f t="shared" si="168"/>
        <v>0</v>
      </c>
      <c r="R156" s="232">
        <f t="shared" si="145"/>
        <v>0</v>
      </c>
    </row>
    <row r="157" spans="1:18" s="6" customFormat="1" ht="24" hidden="1" customHeight="1">
      <c r="A157" s="133" t="s">
        <v>193</v>
      </c>
      <c r="B157" s="172" t="s">
        <v>171</v>
      </c>
      <c r="C157" s="170"/>
      <c r="D157" s="171">
        <v>0</v>
      </c>
      <c r="E157" s="233"/>
      <c r="F157" s="233"/>
      <c r="G157" s="233"/>
      <c r="H157" s="232">
        <f t="shared" si="149"/>
        <v>0</v>
      </c>
      <c r="I157" s="233">
        <v>0</v>
      </c>
      <c r="J157" s="233"/>
      <c r="K157" s="233"/>
      <c r="L157" s="233"/>
      <c r="M157" s="232">
        <f t="shared" si="144"/>
        <v>0</v>
      </c>
      <c r="N157" s="233">
        <v>0</v>
      </c>
      <c r="O157" s="233"/>
      <c r="P157" s="233"/>
      <c r="Q157" s="233"/>
      <c r="R157" s="232">
        <f t="shared" si="145"/>
        <v>0</v>
      </c>
    </row>
    <row r="158" spans="1:18" s="6" customFormat="1" ht="48" hidden="1" customHeight="1">
      <c r="A158" s="133">
        <v>9580</v>
      </c>
      <c r="B158" s="172" t="s">
        <v>166</v>
      </c>
      <c r="C158" s="204"/>
      <c r="D158" s="180">
        <v>0</v>
      </c>
      <c r="E158" s="252"/>
      <c r="F158" s="252"/>
      <c r="G158" s="252"/>
      <c r="H158" s="232">
        <f t="shared" si="149"/>
        <v>0</v>
      </c>
      <c r="I158" s="252">
        <v>0</v>
      </c>
      <c r="J158" s="252"/>
      <c r="K158" s="252"/>
      <c r="L158" s="252"/>
      <c r="M158" s="232">
        <f t="shared" si="144"/>
        <v>0</v>
      </c>
      <c r="N158" s="252">
        <v>0</v>
      </c>
      <c r="O158" s="252"/>
      <c r="P158" s="252"/>
      <c r="Q158" s="252"/>
      <c r="R158" s="232">
        <f t="shared" si="145"/>
        <v>0</v>
      </c>
    </row>
    <row r="159" spans="1:18" s="6" customFormat="1" ht="48" hidden="1" customHeight="1">
      <c r="A159" s="133">
        <v>9590</v>
      </c>
      <c r="B159" s="179" t="s">
        <v>172</v>
      </c>
      <c r="C159" s="204"/>
      <c r="D159" s="180">
        <v>0</v>
      </c>
      <c r="E159" s="252"/>
      <c r="F159" s="252"/>
      <c r="G159" s="252"/>
      <c r="H159" s="232">
        <f t="shared" si="149"/>
        <v>0</v>
      </c>
      <c r="I159" s="252">
        <v>0</v>
      </c>
      <c r="J159" s="252"/>
      <c r="K159" s="252"/>
      <c r="L159" s="252"/>
      <c r="M159" s="232">
        <f t="shared" si="144"/>
        <v>0</v>
      </c>
      <c r="N159" s="252">
        <v>0</v>
      </c>
      <c r="O159" s="252"/>
      <c r="P159" s="252"/>
      <c r="Q159" s="252"/>
      <c r="R159" s="232">
        <f t="shared" si="145"/>
        <v>0</v>
      </c>
    </row>
    <row r="160" spans="1:18" s="6" customFormat="1" ht="24" hidden="1" customHeight="1">
      <c r="A160" s="141">
        <v>9700</v>
      </c>
      <c r="B160" s="183" t="s">
        <v>194</v>
      </c>
      <c r="C160" s="170">
        <v>0</v>
      </c>
      <c r="D160" s="171">
        <v>0</v>
      </c>
      <c r="E160" s="233">
        <f t="shared" ref="E160:G160" si="169">SUM(E161:E162)</f>
        <v>0</v>
      </c>
      <c r="F160" s="233">
        <f t="shared" si="169"/>
        <v>0</v>
      </c>
      <c r="G160" s="233">
        <f t="shared" si="169"/>
        <v>0</v>
      </c>
      <c r="H160" s="232">
        <f t="shared" si="149"/>
        <v>0</v>
      </c>
      <c r="I160" s="233">
        <v>0</v>
      </c>
      <c r="J160" s="233">
        <f t="shared" ref="J160:L160" si="170">SUM(J161:J162)</f>
        <v>0</v>
      </c>
      <c r="K160" s="233">
        <f t="shared" si="170"/>
        <v>0</v>
      </c>
      <c r="L160" s="233">
        <f t="shared" si="170"/>
        <v>0</v>
      </c>
      <c r="M160" s="232">
        <f t="shared" si="144"/>
        <v>0</v>
      </c>
      <c r="N160" s="233">
        <v>0</v>
      </c>
      <c r="O160" s="233">
        <f t="shared" ref="O160:Q160" si="171">SUM(O161:O162)</f>
        <v>0</v>
      </c>
      <c r="P160" s="233">
        <f t="shared" si="171"/>
        <v>0</v>
      </c>
      <c r="Q160" s="233">
        <f t="shared" si="171"/>
        <v>0</v>
      </c>
      <c r="R160" s="232">
        <f t="shared" si="145"/>
        <v>0</v>
      </c>
    </row>
    <row r="161" spans="1:18" s="6" customFormat="1" ht="24" hidden="1" customHeight="1">
      <c r="A161" s="133">
        <v>9710</v>
      </c>
      <c r="B161" s="184" t="s">
        <v>195</v>
      </c>
      <c r="C161" s="204"/>
      <c r="D161" s="180">
        <v>0</v>
      </c>
      <c r="E161" s="252"/>
      <c r="F161" s="252"/>
      <c r="G161" s="252"/>
      <c r="H161" s="232">
        <f t="shared" si="149"/>
        <v>0</v>
      </c>
      <c r="I161" s="252">
        <v>0</v>
      </c>
      <c r="J161" s="252"/>
      <c r="K161" s="252"/>
      <c r="L161" s="252"/>
      <c r="M161" s="232">
        <f t="shared" si="144"/>
        <v>0</v>
      </c>
      <c r="N161" s="252">
        <v>0</v>
      </c>
      <c r="O161" s="252"/>
      <c r="P161" s="252"/>
      <c r="Q161" s="252"/>
      <c r="R161" s="232">
        <f t="shared" si="145"/>
        <v>0</v>
      </c>
    </row>
    <row r="162" spans="1:18" s="6" customFormat="1" ht="48" hidden="1" customHeight="1">
      <c r="A162" s="142">
        <v>9720</v>
      </c>
      <c r="B162" s="183" t="s">
        <v>196</v>
      </c>
      <c r="C162" s="204"/>
      <c r="D162" s="180">
        <v>0</v>
      </c>
      <c r="E162" s="252"/>
      <c r="F162" s="252"/>
      <c r="G162" s="252"/>
      <c r="H162" s="232">
        <f t="shared" si="149"/>
        <v>0</v>
      </c>
      <c r="I162" s="252">
        <v>0</v>
      </c>
      <c r="J162" s="252"/>
      <c r="K162" s="252"/>
      <c r="L162" s="252"/>
      <c r="M162" s="232">
        <f t="shared" si="144"/>
        <v>0</v>
      </c>
      <c r="N162" s="252">
        <v>0</v>
      </c>
      <c r="O162" s="252"/>
      <c r="P162" s="252"/>
      <c r="Q162" s="252"/>
      <c r="R162" s="232">
        <f t="shared" si="145"/>
        <v>0</v>
      </c>
    </row>
    <row r="163" spans="1:18" s="6" customFormat="1" ht="24" hidden="1" customHeight="1">
      <c r="A163" s="141">
        <v>9600</v>
      </c>
      <c r="B163" s="179" t="s">
        <v>134</v>
      </c>
      <c r="C163" s="204"/>
      <c r="D163" s="180">
        <v>0</v>
      </c>
      <c r="E163" s="252"/>
      <c r="F163" s="252"/>
      <c r="G163" s="252"/>
      <c r="H163" s="232">
        <f t="shared" si="149"/>
        <v>0</v>
      </c>
      <c r="I163" s="252">
        <v>0</v>
      </c>
      <c r="J163" s="252"/>
      <c r="K163" s="252"/>
      <c r="L163" s="252"/>
      <c r="M163" s="232">
        <f t="shared" si="144"/>
        <v>0</v>
      </c>
      <c r="N163" s="252">
        <v>0</v>
      </c>
      <c r="O163" s="252"/>
      <c r="P163" s="252"/>
      <c r="Q163" s="252"/>
      <c r="R163" s="232">
        <f t="shared" si="145"/>
        <v>0</v>
      </c>
    </row>
    <row r="164" spans="1:18" s="6" customFormat="1" ht="52.5" hidden="1" customHeight="1">
      <c r="A164" s="130" t="s">
        <v>197</v>
      </c>
      <c r="B164" s="185" t="s">
        <v>47</v>
      </c>
      <c r="C164" s="206"/>
      <c r="D164" s="186">
        <v>0</v>
      </c>
      <c r="E164" s="262">
        <f t="shared" ref="E164:G164" si="172">E94-E119</f>
        <v>0</v>
      </c>
      <c r="F164" s="262">
        <f t="shared" si="172"/>
        <v>0</v>
      </c>
      <c r="G164" s="262">
        <f t="shared" si="172"/>
        <v>0</v>
      </c>
      <c r="H164" s="232">
        <f t="shared" si="149"/>
        <v>0</v>
      </c>
      <c r="I164" s="262">
        <v>0</v>
      </c>
      <c r="J164" s="262">
        <f t="shared" ref="J164:L164" si="173">J94-J119</f>
        <v>0</v>
      </c>
      <c r="K164" s="262">
        <f t="shared" si="173"/>
        <v>0</v>
      </c>
      <c r="L164" s="262">
        <f t="shared" si="173"/>
        <v>0</v>
      </c>
      <c r="M164" s="232">
        <f t="shared" si="144"/>
        <v>0</v>
      </c>
      <c r="N164" s="262">
        <v>0</v>
      </c>
      <c r="O164" s="262">
        <f t="shared" ref="O164:Q164" si="174">O94-O119</f>
        <v>0</v>
      </c>
      <c r="P164" s="262">
        <f t="shared" si="174"/>
        <v>0</v>
      </c>
      <c r="Q164" s="262">
        <f t="shared" si="174"/>
        <v>0</v>
      </c>
      <c r="R164" s="232">
        <f t="shared" si="145"/>
        <v>0</v>
      </c>
    </row>
    <row r="165" spans="1:18" s="6" customFormat="1" ht="12" hidden="1" customHeight="1">
      <c r="A165" s="143" t="s">
        <v>48</v>
      </c>
      <c r="B165" s="185" t="s">
        <v>49</v>
      </c>
      <c r="C165" s="206">
        <v>0</v>
      </c>
      <c r="D165" s="186">
        <v>0</v>
      </c>
      <c r="E165" s="262">
        <f t="shared" ref="E165:G165" si="175">E166+E169+E173+E172</f>
        <v>0</v>
      </c>
      <c r="F165" s="262">
        <f t="shared" si="175"/>
        <v>0</v>
      </c>
      <c r="G165" s="262">
        <f t="shared" si="175"/>
        <v>0</v>
      </c>
      <c r="H165" s="232">
        <f t="shared" si="149"/>
        <v>0</v>
      </c>
      <c r="I165" s="262">
        <v>0</v>
      </c>
      <c r="J165" s="262">
        <f t="shared" ref="J165:L165" si="176">J166+J169+J173+J172</f>
        <v>0</v>
      </c>
      <c r="K165" s="262">
        <f t="shared" si="176"/>
        <v>0</v>
      </c>
      <c r="L165" s="262">
        <f t="shared" si="176"/>
        <v>0</v>
      </c>
      <c r="M165" s="232">
        <f t="shared" si="144"/>
        <v>0</v>
      </c>
      <c r="N165" s="262">
        <v>0</v>
      </c>
      <c r="O165" s="262">
        <f t="shared" ref="O165:Q165" si="177">O166+O169+O173+O172</f>
        <v>0</v>
      </c>
      <c r="P165" s="262">
        <f t="shared" si="177"/>
        <v>0</v>
      </c>
      <c r="Q165" s="262">
        <f t="shared" si="177"/>
        <v>0</v>
      </c>
      <c r="R165" s="232">
        <f t="shared" si="145"/>
        <v>0</v>
      </c>
    </row>
    <row r="166" spans="1:18" s="6" customFormat="1" ht="12" hidden="1" customHeight="1">
      <c r="A166" s="141" t="s">
        <v>50</v>
      </c>
      <c r="B166" s="179" t="s">
        <v>51</v>
      </c>
      <c r="C166" s="98">
        <v>0</v>
      </c>
      <c r="D166" s="169">
        <v>0</v>
      </c>
      <c r="E166" s="231">
        <f t="shared" ref="E166:G166" si="178">E167+E168</f>
        <v>0</v>
      </c>
      <c r="F166" s="231">
        <f t="shared" si="178"/>
        <v>0</v>
      </c>
      <c r="G166" s="231">
        <f t="shared" si="178"/>
        <v>0</v>
      </c>
      <c r="H166" s="232">
        <f t="shared" si="149"/>
        <v>0</v>
      </c>
      <c r="I166" s="231">
        <v>0</v>
      </c>
      <c r="J166" s="231">
        <f t="shared" ref="J166:L166" si="179">J167+J168</f>
        <v>0</v>
      </c>
      <c r="K166" s="231">
        <f t="shared" si="179"/>
        <v>0</v>
      </c>
      <c r="L166" s="231">
        <f t="shared" si="179"/>
        <v>0</v>
      </c>
      <c r="M166" s="232">
        <f t="shared" si="144"/>
        <v>0</v>
      </c>
      <c r="N166" s="231">
        <v>0</v>
      </c>
      <c r="O166" s="231">
        <f t="shared" ref="O166:Q166" si="180">O167+O168</f>
        <v>0</v>
      </c>
      <c r="P166" s="231">
        <f t="shared" si="180"/>
        <v>0</v>
      </c>
      <c r="Q166" s="231">
        <f t="shared" si="180"/>
        <v>0</v>
      </c>
      <c r="R166" s="232">
        <f t="shared" si="145"/>
        <v>0</v>
      </c>
    </row>
    <row r="167" spans="1:18" s="6" customFormat="1" ht="12" hidden="1" customHeight="1">
      <c r="A167" s="141" t="s">
        <v>52</v>
      </c>
      <c r="B167" s="179" t="s">
        <v>53</v>
      </c>
      <c r="C167" s="98"/>
      <c r="D167" s="169">
        <v>0</v>
      </c>
      <c r="E167" s="231"/>
      <c r="F167" s="231"/>
      <c r="G167" s="231"/>
      <c r="H167" s="232">
        <f t="shared" si="149"/>
        <v>0</v>
      </c>
      <c r="I167" s="231">
        <v>0</v>
      </c>
      <c r="J167" s="231"/>
      <c r="K167" s="231"/>
      <c r="L167" s="231"/>
      <c r="M167" s="232">
        <f t="shared" si="144"/>
        <v>0</v>
      </c>
      <c r="N167" s="231">
        <v>0</v>
      </c>
      <c r="O167" s="231"/>
      <c r="P167" s="231"/>
      <c r="Q167" s="231"/>
      <c r="R167" s="232">
        <f t="shared" si="145"/>
        <v>0</v>
      </c>
    </row>
    <row r="168" spans="1:18" s="6" customFormat="1" ht="12" hidden="1" customHeight="1">
      <c r="A168" s="141" t="s">
        <v>54</v>
      </c>
      <c r="B168" s="179" t="s">
        <v>55</v>
      </c>
      <c r="C168" s="98"/>
      <c r="D168" s="169">
        <v>0</v>
      </c>
      <c r="E168" s="231"/>
      <c r="F168" s="231"/>
      <c r="G168" s="231"/>
      <c r="H168" s="232">
        <f t="shared" si="149"/>
        <v>0</v>
      </c>
      <c r="I168" s="231">
        <v>0</v>
      </c>
      <c r="J168" s="231"/>
      <c r="K168" s="231"/>
      <c r="L168" s="231"/>
      <c r="M168" s="232">
        <f t="shared" si="144"/>
        <v>0</v>
      </c>
      <c r="N168" s="231">
        <v>0</v>
      </c>
      <c r="O168" s="231"/>
      <c r="P168" s="231"/>
      <c r="Q168" s="231"/>
      <c r="R168" s="232">
        <f t="shared" si="145"/>
        <v>0</v>
      </c>
    </row>
    <row r="169" spans="1:18" s="6" customFormat="1" ht="12" hidden="1" customHeight="1">
      <c r="A169" s="141" t="s">
        <v>56</v>
      </c>
      <c r="B169" s="179" t="s">
        <v>57</v>
      </c>
      <c r="C169" s="98">
        <v>0</v>
      </c>
      <c r="D169" s="169">
        <v>0</v>
      </c>
      <c r="E169" s="231">
        <f t="shared" ref="E169:G169" si="181">E170+E171</f>
        <v>0</v>
      </c>
      <c r="F169" s="231">
        <f t="shared" si="181"/>
        <v>0</v>
      </c>
      <c r="G169" s="231">
        <f t="shared" si="181"/>
        <v>0</v>
      </c>
      <c r="H169" s="232">
        <f t="shared" si="149"/>
        <v>0</v>
      </c>
      <c r="I169" s="231">
        <v>0</v>
      </c>
      <c r="J169" s="231">
        <f t="shared" ref="J169:L169" si="182">J170+J171</f>
        <v>0</v>
      </c>
      <c r="K169" s="231">
        <f t="shared" si="182"/>
        <v>0</v>
      </c>
      <c r="L169" s="231">
        <f t="shared" si="182"/>
        <v>0</v>
      </c>
      <c r="M169" s="232">
        <f t="shared" si="144"/>
        <v>0</v>
      </c>
      <c r="N169" s="231">
        <v>0</v>
      </c>
      <c r="O169" s="231">
        <f t="shared" ref="O169:Q169" si="183">O170+O171</f>
        <v>0</v>
      </c>
      <c r="P169" s="231">
        <f t="shared" si="183"/>
        <v>0</v>
      </c>
      <c r="Q169" s="231">
        <f t="shared" si="183"/>
        <v>0</v>
      </c>
      <c r="R169" s="232">
        <f t="shared" si="145"/>
        <v>0</v>
      </c>
    </row>
    <row r="170" spans="1:18" s="6" customFormat="1" ht="12" hidden="1" customHeight="1">
      <c r="A170" s="141" t="s">
        <v>58</v>
      </c>
      <c r="B170" s="179" t="s">
        <v>59</v>
      </c>
      <c r="C170" s="98"/>
      <c r="D170" s="169">
        <v>0</v>
      </c>
      <c r="E170" s="231"/>
      <c r="F170" s="231"/>
      <c r="G170" s="231"/>
      <c r="H170" s="232">
        <f t="shared" si="149"/>
        <v>0</v>
      </c>
      <c r="I170" s="231">
        <v>0</v>
      </c>
      <c r="J170" s="231"/>
      <c r="K170" s="231"/>
      <c r="L170" s="231"/>
      <c r="M170" s="232">
        <f t="shared" si="144"/>
        <v>0</v>
      </c>
      <c r="N170" s="231">
        <v>0</v>
      </c>
      <c r="O170" s="231"/>
      <c r="P170" s="231"/>
      <c r="Q170" s="231"/>
      <c r="R170" s="232">
        <f t="shared" si="145"/>
        <v>0</v>
      </c>
    </row>
    <row r="171" spans="1:18" s="6" customFormat="1" ht="12" hidden="1" customHeight="1">
      <c r="A171" s="141" t="s">
        <v>60</v>
      </c>
      <c r="B171" s="179" t="s">
        <v>61</v>
      </c>
      <c r="C171" s="98"/>
      <c r="D171" s="169">
        <v>0</v>
      </c>
      <c r="E171" s="231"/>
      <c r="F171" s="231"/>
      <c r="G171" s="231"/>
      <c r="H171" s="232">
        <f t="shared" si="149"/>
        <v>0</v>
      </c>
      <c r="I171" s="231">
        <v>0</v>
      </c>
      <c r="J171" s="231"/>
      <c r="K171" s="231"/>
      <c r="L171" s="231"/>
      <c r="M171" s="232">
        <f t="shared" si="144"/>
        <v>0</v>
      </c>
      <c r="N171" s="231">
        <v>0</v>
      </c>
      <c r="O171" s="231"/>
      <c r="P171" s="231"/>
      <c r="Q171" s="231"/>
      <c r="R171" s="232">
        <f t="shared" si="145"/>
        <v>0</v>
      </c>
    </row>
    <row r="172" spans="1:18" s="6" customFormat="1" ht="12" hidden="1" customHeight="1">
      <c r="A172" s="141" t="s">
        <v>198</v>
      </c>
      <c r="B172" s="187" t="s">
        <v>168</v>
      </c>
      <c r="C172" s="98"/>
      <c r="D172" s="169">
        <v>0</v>
      </c>
      <c r="E172" s="231"/>
      <c r="F172" s="231"/>
      <c r="G172" s="231"/>
      <c r="H172" s="232">
        <f t="shared" si="149"/>
        <v>0</v>
      </c>
      <c r="I172" s="231">
        <v>0</v>
      </c>
      <c r="J172" s="231"/>
      <c r="K172" s="231"/>
      <c r="L172" s="231"/>
      <c r="M172" s="232">
        <f t="shared" si="144"/>
        <v>0</v>
      </c>
      <c r="N172" s="231">
        <v>0</v>
      </c>
      <c r="O172" s="231"/>
      <c r="P172" s="231"/>
      <c r="Q172" s="231"/>
      <c r="R172" s="232">
        <f t="shared" si="145"/>
        <v>0</v>
      </c>
    </row>
    <row r="173" spans="1:18" s="6" customFormat="1" ht="12" hidden="1" customHeight="1">
      <c r="A173" s="144" t="s">
        <v>62</v>
      </c>
      <c r="B173" s="125" t="s">
        <v>63</v>
      </c>
      <c r="C173" s="170">
        <v>0</v>
      </c>
      <c r="D173" s="171">
        <v>0</v>
      </c>
      <c r="E173" s="233">
        <f t="shared" ref="E173:G173" si="184">E174+E175+E176</f>
        <v>0</v>
      </c>
      <c r="F173" s="233">
        <f t="shared" si="184"/>
        <v>0</v>
      </c>
      <c r="G173" s="233">
        <f t="shared" si="184"/>
        <v>0</v>
      </c>
      <c r="H173" s="232">
        <f t="shared" si="149"/>
        <v>0</v>
      </c>
      <c r="I173" s="233">
        <v>0</v>
      </c>
      <c r="J173" s="233">
        <f t="shared" ref="J173:L173" si="185">J174+J175+J176</f>
        <v>0</v>
      </c>
      <c r="K173" s="233">
        <f t="shared" si="185"/>
        <v>0</v>
      </c>
      <c r="L173" s="233">
        <f t="shared" si="185"/>
        <v>0</v>
      </c>
      <c r="M173" s="232">
        <f t="shared" si="144"/>
        <v>0</v>
      </c>
      <c r="N173" s="233">
        <v>0</v>
      </c>
      <c r="O173" s="233">
        <f t="shared" ref="O173:Q173" si="186">O174+O175+O176</f>
        <v>0</v>
      </c>
      <c r="P173" s="233">
        <f t="shared" si="186"/>
        <v>0</v>
      </c>
      <c r="Q173" s="233">
        <f t="shared" si="186"/>
        <v>0</v>
      </c>
      <c r="R173" s="232">
        <f t="shared" si="145"/>
        <v>0</v>
      </c>
    </row>
    <row r="174" spans="1:18" s="6" customFormat="1" ht="36" hidden="1" customHeight="1">
      <c r="A174" s="144" t="s">
        <v>64</v>
      </c>
      <c r="B174" s="179" t="s">
        <v>65</v>
      </c>
      <c r="C174" s="98"/>
      <c r="D174" s="169">
        <v>0</v>
      </c>
      <c r="E174" s="231"/>
      <c r="F174" s="231"/>
      <c r="G174" s="231"/>
      <c r="H174" s="232">
        <f t="shared" si="149"/>
        <v>0</v>
      </c>
      <c r="I174" s="231">
        <v>0</v>
      </c>
      <c r="J174" s="231"/>
      <c r="K174" s="231"/>
      <c r="L174" s="231"/>
      <c r="M174" s="232">
        <f t="shared" si="144"/>
        <v>0</v>
      </c>
      <c r="N174" s="231">
        <v>0</v>
      </c>
      <c r="O174" s="231"/>
      <c r="P174" s="231"/>
      <c r="Q174" s="231"/>
      <c r="R174" s="232">
        <f t="shared" si="145"/>
        <v>0</v>
      </c>
    </row>
    <row r="175" spans="1:18" s="6" customFormat="1" ht="24" hidden="1" customHeight="1">
      <c r="A175" s="144" t="s">
        <v>66</v>
      </c>
      <c r="B175" s="179" t="s">
        <v>67</v>
      </c>
      <c r="C175" s="98"/>
      <c r="D175" s="169">
        <v>0</v>
      </c>
      <c r="E175" s="231"/>
      <c r="F175" s="231"/>
      <c r="G175" s="231"/>
      <c r="H175" s="232">
        <f t="shared" si="149"/>
        <v>0</v>
      </c>
      <c r="I175" s="231">
        <v>0</v>
      </c>
      <c r="J175" s="231"/>
      <c r="K175" s="231"/>
      <c r="L175" s="231"/>
      <c r="M175" s="232">
        <f t="shared" si="144"/>
        <v>0</v>
      </c>
      <c r="N175" s="231">
        <v>0</v>
      </c>
      <c r="O175" s="231"/>
      <c r="P175" s="231"/>
      <c r="Q175" s="231"/>
      <c r="R175" s="232">
        <f t="shared" si="145"/>
        <v>0</v>
      </c>
    </row>
    <row r="176" spans="1:18" s="6" customFormat="1" ht="24" hidden="1" customHeight="1">
      <c r="A176" s="144" t="s">
        <v>68</v>
      </c>
      <c r="B176" s="125" t="s">
        <v>69</v>
      </c>
      <c r="C176" s="98"/>
      <c r="D176" s="169">
        <v>0</v>
      </c>
      <c r="E176" s="231"/>
      <c r="F176" s="231"/>
      <c r="G176" s="231"/>
      <c r="H176" s="232">
        <f t="shared" si="149"/>
        <v>0</v>
      </c>
      <c r="I176" s="231">
        <v>0</v>
      </c>
      <c r="J176" s="231"/>
      <c r="K176" s="231"/>
      <c r="L176" s="231"/>
      <c r="M176" s="232">
        <f t="shared" si="144"/>
        <v>0</v>
      </c>
      <c r="N176" s="231">
        <v>0</v>
      </c>
      <c r="O176" s="231"/>
      <c r="P176" s="231"/>
      <c r="Q176" s="231"/>
      <c r="R176" s="232">
        <f t="shared" si="145"/>
        <v>0</v>
      </c>
    </row>
    <row r="177" spans="1:18" s="6" customFormat="1" ht="34.200000000000003">
      <c r="A177" s="145"/>
      <c r="B177" s="188" t="s">
        <v>200</v>
      </c>
      <c r="C177" s="207"/>
      <c r="D177" s="294">
        <v>0</v>
      </c>
      <c r="E177" s="268"/>
      <c r="F177" s="268"/>
      <c r="G177" s="268"/>
      <c r="H177" s="269">
        <f t="shared" si="149"/>
        <v>0</v>
      </c>
      <c r="I177" s="347">
        <v>0</v>
      </c>
      <c r="J177" s="268"/>
      <c r="K177" s="268"/>
      <c r="L177" s="268"/>
      <c r="M177" s="269">
        <f t="shared" si="144"/>
        <v>0</v>
      </c>
      <c r="N177" s="347">
        <v>0</v>
      </c>
      <c r="O177" s="268"/>
      <c r="P177" s="268"/>
      <c r="Q177" s="268"/>
      <c r="R177" s="269">
        <f t="shared" si="145"/>
        <v>0</v>
      </c>
    </row>
    <row r="178" spans="1:18" s="6" customFormat="1" ht="21" hidden="1" customHeight="1">
      <c r="A178" s="129" t="s">
        <v>201</v>
      </c>
      <c r="B178" s="123" t="s">
        <v>88</v>
      </c>
      <c r="C178" s="200">
        <v>0</v>
      </c>
      <c r="D178" s="167">
        <v>0</v>
      </c>
      <c r="E178" s="228">
        <f t="shared" ref="E178:G178" si="187">E179+E180+E182+E200</f>
        <v>0</v>
      </c>
      <c r="F178" s="228">
        <f t="shared" si="187"/>
        <v>0</v>
      </c>
      <c r="G178" s="228">
        <f t="shared" si="187"/>
        <v>0</v>
      </c>
      <c r="H178" s="229">
        <f t="shared" si="149"/>
        <v>0</v>
      </c>
      <c r="I178" s="228">
        <v>0</v>
      </c>
      <c r="J178" s="228">
        <f t="shared" ref="J178:L178" si="188">J179+J180+J182+J200</f>
        <v>0</v>
      </c>
      <c r="K178" s="228">
        <f t="shared" si="188"/>
        <v>0</v>
      </c>
      <c r="L178" s="228">
        <f t="shared" si="188"/>
        <v>0</v>
      </c>
      <c r="M178" s="229">
        <f t="shared" si="144"/>
        <v>0</v>
      </c>
      <c r="N178" s="228">
        <v>0</v>
      </c>
      <c r="O178" s="228">
        <f t="shared" ref="O178:Q178" si="189">O179+O180+O182+O200</f>
        <v>0</v>
      </c>
      <c r="P178" s="228">
        <f t="shared" si="189"/>
        <v>0</v>
      </c>
      <c r="Q178" s="228">
        <f t="shared" si="189"/>
        <v>0</v>
      </c>
      <c r="R178" s="229">
        <f t="shared" si="145"/>
        <v>0</v>
      </c>
    </row>
    <row r="179" spans="1:18" s="6" customFormat="1" ht="24" hidden="1" customHeight="1">
      <c r="A179" s="130" t="s">
        <v>177</v>
      </c>
      <c r="B179" s="124" t="s">
        <v>90</v>
      </c>
      <c r="C179" s="98"/>
      <c r="D179" s="169">
        <v>0</v>
      </c>
      <c r="E179" s="231"/>
      <c r="F179" s="231"/>
      <c r="G179" s="231"/>
      <c r="H179" s="232">
        <f t="shared" si="149"/>
        <v>0</v>
      </c>
      <c r="I179" s="231">
        <v>0</v>
      </c>
      <c r="J179" s="231"/>
      <c r="K179" s="231"/>
      <c r="L179" s="231"/>
      <c r="M179" s="232">
        <f t="shared" si="144"/>
        <v>0</v>
      </c>
      <c r="N179" s="231">
        <v>0</v>
      </c>
      <c r="O179" s="231"/>
      <c r="P179" s="231"/>
      <c r="Q179" s="231"/>
      <c r="R179" s="232">
        <f t="shared" si="145"/>
        <v>0</v>
      </c>
    </row>
    <row r="180" spans="1:18" s="6" customFormat="1" ht="12" hidden="1" customHeight="1">
      <c r="A180" s="130" t="s">
        <v>91</v>
      </c>
      <c r="B180" s="124" t="s">
        <v>92</v>
      </c>
      <c r="C180" s="98"/>
      <c r="D180" s="169">
        <v>0</v>
      </c>
      <c r="E180" s="231"/>
      <c r="F180" s="231"/>
      <c r="G180" s="231"/>
      <c r="H180" s="232">
        <f t="shared" si="149"/>
        <v>0</v>
      </c>
      <c r="I180" s="231">
        <v>0</v>
      </c>
      <c r="J180" s="231"/>
      <c r="K180" s="231"/>
      <c r="L180" s="231"/>
      <c r="M180" s="232">
        <f t="shared" si="144"/>
        <v>0</v>
      </c>
      <c r="N180" s="231">
        <v>0</v>
      </c>
      <c r="O180" s="231"/>
      <c r="P180" s="231"/>
      <c r="Q180" s="231"/>
      <c r="R180" s="232">
        <f t="shared" si="145"/>
        <v>0</v>
      </c>
    </row>
    <row r="181" spans="1:18" s="29" customFormat="1" ht="24" hidden="1" customHeight="1">
      <c r="A181" s="131">
        <v>21210</v>
      </c>
      <c r="B181" s="125" t="s">
        <v>93</v>
      </c>
      <c r="C181" s="98"/>
      <c r="D181" s="169">
        <v>0</v>
      </c>
      <c r="E181" s="231"/>
      <c r="F181" s="231"/>
      <c r="G181" s="231"/>
      <c r="H181" s="232">
        <f t="shared" si="149"/>
        <v>0</v>
      </c>
      <c r="I181" s="231">
        <v>0</v>
      </c>
      <c r="J181" s="231"/>
      <c r="K181" s="231"/>
      <c r="L181" s="231"/>
      <c r="M181" s="232">
        <f t="shared" si="144"/>
        <v>0</v>
      </c>
      <c r="N181" s="231">
        <v>0</v>
      </c>
      <c r="O181" s="231"/>
      <c r="P181" s="231"/>
      <c r="Q181" s="231"/>
      <c r="R181" s="232">
        <f t="shared" si="145"/>
        <v>0</v>
      </c>
    </row>
    <row r="182" spans="1:18" s="89" customFormat="1" ht="21" hidden="1" customHeight="1">
      <c r="A182" s="130" t="s">
        <v>178</v>
      </c>
      <c r="B182" s="124" t="s">
        <v>94</v>
      </c>
      <c r="C182" s="170">
        <v>0</v>
      </c>
      <c r="D182" s="171">
        <v>0</v>
      </c>
      <c r="E182" s="233">
        <f t="shared" ref="E182:G182" si="190">E183+E189</f>
        <v>0</v>
      </c>
      <c r="F182" s="233">
        <f t="shared" si="190"/>
        <v>0</v>
      </c>
      <c r="G182" s="233">
        <f t="shared" si="190"/>
        <v>0</v>
      </c>
      <c r="H182" s="232">
        <f t="shared" si="149"/>
        <v>0</v>
      </c>
      <c r="I182" s="233">
        <v>0</v>
      </c>
      <c r="J182" s="233">
        <f t="shared" ref="J182:L182" si="191">J183+J189</f>
        <v>0</v>
      </c>
      <c r="K182" s="233">
        <f t="shared" si="191"/>
        <v>0</v>
      </c>
      <c r="L182" s="233">
        <f t="shared" si="191"/>
        <v>0</v>
      </c>
      <c r="M182" s="232">
        <f t="shared" si="144"/>
        <v>0</v>
      </c>
      <c r="N182" s="233">
        <v>0</v>
      </c>
      <c r="O182" s="233">
        <f t="shared" ref="O182:Q182" si="192">O183+O189</f>
        <v>0</v>
      </c>
      <c r="P182" s="233">
        <f t="shared" si="192"/>
        <v>0</v>
      </c>
      <c r="Q182" s="233">
        <f t="shared" si="192"/>
        <v>0</v>
      </c>
      <c r="R182" s="232">
        <f t="shared" si="145"/>
        <v>0</v>
      </c>
    </row>
    <row r="183" spans="1:18" s="89" customFormat="1" ht="12" hidden="1" customHeight="1">
      <c r="A183" s="132">
        <v>18000</v>
      </c>
      <c r="B183" s="125" t="s">
        <v>95</v>
      </c>
      <c r="C183" s="170">
        <v>0</v>
      </c>
      <c r="D183" s="171">
        <v>0</v>
      </c>
      <c r="E183" s="233">
        <f t="shared" ref="E183:L184" si="193">E184</f>
        <v>0</v>
      </c>
      <c r="F183" s="233">
        <f t="shared" si="193"/>
        <v>0</v>
      </c>
      <c r="G183" s="233">
        <f t="shared" si="193"/>
        <v>0</v>
      </c>
      <c r="H183" s="232">
        <f t="shared" si="149"/>
        <v>0</v>
      </c>
      <c r="I183" s="233">
        <v>0</v>
      </c>
      <c r="J183" s="233">
        <f t="shared" si="193"/>
        <v>0</v>
      </c>
      <c r="K183" s="233">
        <f t="shared" si="193"/>
        <v>0</v>
      </c>
      <c r="L183" s="233">
        <f t="shared" si="193"/>
        <v>0</v>
      </c>
      <c r="M183" s="232">
        <f t="shared" si="144"/>
        <v>0</v>
      </c>
      <c r="N183" s="233">
        <v>0</v>
      </c>
      <c r="O183" s="233">
        <f t="shared" ref="O183:Q184" si="194">O184</f>
        <v>0</v>
      </c>
      <c r="P183" s="233">
        <f t="shared" si="194"/>
        <v>0</v>
      </c>
      <c r="Q183" s="233">
        <f t="shared" si="194"/>
        <v>0</v>
      </c>
      <c r="R183" s="232">
        <f t="shared" si="145"/>
        <v>0</v>
      </c>
    </row>
    <row r="184" spans="1:18" s="89" customFormat="1" ht="12" hidden="1" customHeight="1">
      <c r="A184" s="132">
        <v>18100</v>
      </c>
      <c r="B184" s="125" t="s">
        <v>96</v>
      </c>
      <c r="C184" s="170">
        <v>0</v>
      </c>
      <c r="D184" s="171">
        <v>0</v>
      </c>
      <c r="E184" s="233">
        <f t="shared" si="193"/>
        <v>0</v>
      </c>
      <c r="F184" s="233">
        <f t="shared" si="193"/>
        <v>0</v>
      </c>
      <c r="G184" s="233">
        <f t="shared" si="193"/>
        <v>0</v>
      </c>
      <c r="H184" s="232">
        <f t="shared" si="149"/>
        <v>0</v>
      </c>
      <c r="I184" s="233">
        <v>0</v>
      </c>
      <c r="J184" s="233">
        <f t="shared" si="193"/>
        <v>0</v>
      </c>
      <c r="K184" s="233">
        <f t="shared" si="193"/>
        <v>0</v>
      </c>
      <c r="L184" s="233">
        <f t="shared" si="193"/>
        <v>0</v>
      </c>
      <c r="M184" s="232">
        <f t="shared" si="144"/>
        <v>0</v>
      </c>
      <c r="N184" s="233">
        <v>0</v>
      </c>
      <c r="O184" s="233">
        <f t="shared" si="194"/>
        <v>0</v>
      </c>
      <c r="P184" s="233">
        <f t="shared" si="194"/>
        <v>0</v>
      </c>
      <c r="Q184" s="233">
        <f t="shared" si="194"/>
        <v>0</v>
      </c>
      <c r="R184" s="232">
        <f t="shared" si="145"/>
        <v>0</v>
      </c>
    </row>
    <row r="185" spans="1:18" s="89" customFormat="1" ht="24" hidden="1" customHeight="1">
      <c r="A185" s="133">
        <v>18130</v>
      </c>
      <c r="B185" s="172" t="s">
        <v>159</v>
      </c>
      <c r="C185" s="170">
        <v>0</v>
      </c>
      <c r="D185" s="171">
        <v>0</v>
      </c>
      <c r="E185" s="233">
        <f t="shared" ref="E185:G185" si="195">SUM(E186:E188)</f>
        <v>0</v>
      </c>
      <c r="F185" s="233">
        <f t="shared" ref="F185" si="196">SUM(F186:F188)</f>
        <v>0</v>
      </c>
      <c r="G185" s="233">
        <f t="shared" si="195"/>
        <v>0</v>
      </c>
      <c r="H185" s="232">
        <f t="shared" si="149"/>
        <v>0</v>
      </c>
      <c r="I185" s="233">
        <v>0</v>
      </c>
      <c r="J185" s="233">
        <f t="shared" ref="J185:L185" si="197">SUM(J186:J188)</f>
        <v>0</v>
      </c>
      <c r="K185" s="233">
        <f t="shared" si="197"/>
        <v>0</v>
      </c>
      <c r="L185" s="233">
        <f t="shared" si="197"/>
        <v>0</v>
      </c>
      <c r="M185" s="232">
        <f t="shared" si="144"/>
        <v>0</v>
      </c>
      <c r="N185" s="233">
        <v>0</v>
      </c>
      <c r="O185" s="233">
        <f t="shared" ref="O185:Q185" si="198">SUM(O186:O188)</f>
        <v>0</v>
      </c>
      <c r="P185" s="233">
        <f t="shared" si="198"/>
        <v>0</v>
      </c>
      <c r="Q185" s="233">
        <f t="shared" si="198"/>
        <v>0</v>
      </c>
      <c r="R185" s="232">
        <f t="shared" si="145"/>
        <v>0</v>
      </c>
    </row>
    <row r="186" spans="1:18" s="89" customFormat="1" ht="36" hidden="1" customHeight="1">
      <c r="A186" s="134">
        <v>18131</v>
      </c>
      <c r="B186" s="172" t="s">
        <v>160</v>
      </c>
      <c r="C186" s="170"/>
      <c r="D186" s="171">
        <v>0</v>
      </c>
      <c r="E186" s="233"/>
      <c r="F186" s="233"/>
      <c r="G186" s="233"/>
      <c r="H186" s="232">
        <f t="shared" si="149"/>
        <v>0</v>
      </c>
      <c r="I186" s="233">
        <v>0</v>
      </c>
      <c r="J186" s="233"/>
      <c r="K186" s="233"/>
      <c r="L186" s="233"/>
      <c r="M186" s="232">
        <f t="shared" si="144"/>
        <v>0</v>
      </c>
      <c r="N186" s="233">
        <v>0</v>
      </c>
      <c r="O186" s="233"/>
      <c r="P186" s="233"/>
      <c r="Q186" s="233"/>
      <c r="R186" s="232">
        <f t="shared" si="145"/>
        <v>0</v>
      </c>
    </row>
    <row r="187" spans="1:18" s="89" customFormat="1" ht="24" hidden="1" customHeight="1">
      <c r="A187" s="134">
        <v>18132</v>
      </c>
      <c r="B187" s="172" t="s">
        <v>169</v>
      </c>
      <c r="C187" s="170"/>
      <c r="D187" s="171">
        <v>0</v>
      </c>
      <c r="E187" s="233"/>
      <c r="F187" s="233"/>
      <c r="G187" s="233"/>
      <c r="H187" s="232">
        <f t="shared" si="149"/>
        <v>0</v>
      </c>
      <c r="I187" s="233">
        <v>0</v>
      </c>
      <c r="J187" s="233"/>
      <c r="K187" s="233"/>
      <c r="L187" s="233"/>
      <c r="M187" s="232">
        <f t="shared" si="144"/>
        <v>0</v>
      </c>
      <c r="N187" s="233">
        <v>0</v>
      </c>
      <c r="O187" s="233"/>
      <c r="P187" s="233"/>
      <c r="Q187" s="233"/>
      <c r="R187" s="232">
        <f t="shared" si="145"/>
        <v>0</v>
      </c>
    </row>
    <row r="188" spans="1:18" s="89" customFormat="1" ht="24" hidden="1" customHeight="1">
      <c r="A188" s="134">
        <v>18139</v>
      </c>
      <c r="B188" s="172" t="s">
        <v>179</v>
      </c>
      <c r="C188" s="170"/>
      <c r="D188" s="171">
        <v>0</v>
      </c>
      <c r="E188" s="233"/>
      <c r="F188" s="233"/>
      <c r="G188" s="233"/>
      <c r="H188" s="232">
        <f t="shared" si="149"/>
        <v>0</v>
      </c>
      <c r="I188" s="233">
        <v>0</v>
      </c>
      <c r="J188" s="233"/>
      <c r="K188" s="233"/>
      <c r="L188" s="233"/>
      <c r="M188" s="232">
        <f t="shared" si="144"/>
        <v>0</v>
      </c>
      <c r="N188" s="233">
        <v>0</v>
      </c>
      <c r="O188" s="233"/>
      <c r="P188" s="233"/>
      <c r="Q188" s="233"/>
      <c r="R188" s="232">
        <f t="shared" si="145"/>
        <v>0</v>
      </c>
    </row>
    <row r="189" spans="1:18" s="89" customFormat="1" ht="12" hidden="1" customHeight="1">
      <c r="A189" s="135" t="s">
        <v>180</v>
      </c>
      <c r="B189" s="173" t="s">
        <v>173</v>
      </c>
      <c r="C189" s="201">
        <v>0</v>
      </c>
      <c r="D189" s="174">
        <v>0</v>
      </c>
      <c r="E189" s="238">
        <f t="shared" ref="E189:L189" si="199">E190</f>
        <v>0</v>
      </c>
      <c r="F189" s="238">
        <f t="shared" si="199"/>
        <v>0</v>
      </c>
      <c r="G189" s="238">
        <f t="shared" si="199"/>
        <v>0</v>
      </c>
      <c r="H189" s="232">
        <f t="shared" si="149"/>
        <v>0</v>
      </c>
      <c r="I189" s="238">
        <v>0</v>
      </c>
      <c r="J189" s="238">
        <f t="shared" si="199"/>
        <v>0</v>
      </c>
      <c r="K189" s="238">
        <f t="shared" si="199"/>
        <v>0</v>
      </c>
      <c r="L189" s="238">
        <f t="shared" si="199"/>
        <v>0</v>
      </c>
      <c r="M189" s="232">
        <f t="shared" si="144"/>
        <v>0</v>
      </c>
      <c r="N189" s="238">
        <v>0</v>
      </c>
      <c r="O189" s="238">
        <f t="shared" ref="O189:Q189" si="200">O190</f>
        <v>0</v>
      </c>
      <c r="P189" s="238">
        <f t="shared" si="200"/>
        <v>0</v>
      </c>
      <c r="Q189" s="238">
        <f t="shared" si="200"/>
        <v>0</v>
      </c>
      <c r="R189" s="232">
        <f t="shared" si="145"/>
        <v>0</v>
      </c>
    </row>
    <row r="190" spans="1:18" s="89" customFormat="1" ht="24" hidden="1" customHeight="1">
      <c r="A190" s="135">
        <v>19500</v>
      </c>
      <c r="B190" s="172" t="s">
        <v>174</v>
      </c>
      <c r="C190" s="170">
        <v>0</v>
      </c>
      <c r="D190" s="171">
        <v>0</v>
      </c>
      <c r="E190" s="233">
        <f t="shared" ref="E190:G190" si="201">SUM(E191:E193)</f>
        <v>0</v>
      </c>
      <c r="F190" s="233">
        <f t="shared" si="201"/>
        <v>0</v>
      </c>
      <c r="G190" s="233">
        <f t="shared" si="201"/>
        <v>0</v>
      </c>
      <c r="H190" s="232">
        <f t="shared" si="149"/>
        <v>0</v>
      </c>
      <c r="I190" s="233">
        <v>0</v>
      </c>
      <c r="J190" s="233">
        <f t="shared" ref="J190:L190" si="202">SUM(J191:J193)</f>
        <v>0</v>
      </c>
      <c r="K190" s="233">
        <f t="shared" si="202"/>
        <v>0</v>
      </c>
      <c r="L190" s="233">
        <f t="shared" si="202"/>
        <v>0</v>
      </c>
      <c r="M190" s="232">
        <f t="shared" si="144"/>
        <v>0</v>
      </c>
      <c r="N190" s="233">
        <v>0</v>
      </c>
      <c r="O190" s="233">
        <f t="shared" ref="O190:Q190" si="203">SUM(O191:O193)</f>
        <v>0</v>
      </c>
      <c r="P190" s="233">
        <f t="shared" si="203"/>
        <v>0</v>
      </c>
      <c r="Q190" s="233">
        <f t="shared" si="203"/>
        <v>0</v>
      </c>
      <c r="R190" s="232">
        <f t="shared" si="145"/>
        <v>0</v>
      </c>
    </row>
    <row r="191" spans="1:18" s="89" customFormat="1" ht="24" hidden="1" customHeight="1">
      <c r="A191" s="136">
        <v>19550</v>
      </c>
      <c r="B191" s="172" t="s">
        <v>175</v>
      </c>
      <c r="C191" s="170"/>
      <c r="D191" s="171">
        <v>0</v>
      </c>
      <c r="E191" s="233"/>
      <c r="F191" s="233"/>
      <c r="G191" s="233"/>
      <c r="H191" s="232">
        <f t="shared" si="149"/>
        <v>0</v>
      </c>
      <c r="I191" s="233">
        <v>0</v>
      </c>
      <c r="J191" s="233"/>
      <c r="K191" s="233"/>
      <c r="L191" s="233"/>
      <c r="M191" s="232">
        <f t="shared" si="144"/>
        <v>0</v>
      </c>
      <c r="N191" s="233">
        <v>0</v>
      </c>
      <c r="O191" s="233"/>
      <c r="P191" s="233"/>
      <c r="Q191" s="233"/>
      <c r="R191" s="232">
        <f t="shared" si="145"/>
        <v>0</v>
      </c>
    </row>
    <row r="192" spans="1:18" s="89" customFormat="1" ht="36" hidden="1" customHeight="1">
      <c r="A192" s="136">
        <v>19560</v>
      </c>
      <c r="B192" s="172" t="s">
        <v>181</v>
      </c>
      <c r="C192" s="170"/>
      <c r="D192" s="171">
        <v>0</v>
      </c>
      <c r="E192" s="233"/>
      <c r="F192" s="233"/>
      <c r="G192" s="233"/>
      <c r="H192" s="232">
        <f t="shared" si="149"/>
        <v>0</v>
      </c>
      <c r="I192" s="233">
        <v>0</v>
      </c>
      <c r="J192" s="233"/>
      <c r="K192" s="233"/>
      <c r="L192" s="233"/>
      <c r="M192" s="232">
        <f t="shared" si="144"/>
        <v>0</v>
      </c>
      <c r="N192" s="233">
        <v>0</v>
      </c>
      <c r="O192" s="233"/>
      <c r="P192" s="233"/>
      <c r="Q192" s="233"/>
      <c r="R192" s="232">
        <f t="shared" si="145"/>
        <v>0</v>
      </c>
    </row>
    <row r="193" spans="1:18" s="89" customFormat="1" ht="72" hidden="1" customHeight="1">
      <c r="A193" s="136">
        <v>19570</v>
      </c>
      <c r="B193" s="172" t="s">
        <v>182</v>
      </c>
      <c r="C193" s="170"/>
      <c r="D193" s="171">
        <v>0</v>
      </c>
      <c r="E193" s="233"/>
      <c r="F193" s="233"/>
      <c r="G193" s="233"/>
      <c r="H193" s="232">
        <f t="shared" si="149"/>
        <v>0</v>
      </c>
      <c r="I193" s="233">
        <v>0</v>
      </c>
      <c r="J193" s="233"/>
      <c r="K193" s="233"/>
      <c r="L193" s="233"/>
      <c r="M193" s="232">
        <f t="shared" si="144"/>
        <v>0</v>
      </c>
      <c r="N193" s="233">
        <v>0</v>
      </c>
      <c r="O193" s="233"/>
      <c r="P193" s="233"/>
      <c r="Q193" s="233"/>
      <c r="R193" s="232">
        <f t="shared" si="145"/>
        <v>0</v>
      </c>
    </row>
    <row r="194" spans="1:18" s="6" customFormat="1" ht="24" hidden="1" customHeight="1">
      <c r="A194" s="209" t="s">
        <v>222</v>
      </c>
      <c r="B194" s="208" t="s">
        <v>216</v>
      </c>
      <c r="C194" s="106">
        <f>C195</f>
        <v>0</v>
      </c>
      <c r="D194" s="107">
        <v>0</v>
      </c>
      <c r="E194" s="232">
        <f t="shared" ref="E194:L194" si="204">E195</f>
        <v>0</v>
      </c>
      <c r="F194" s="232">
        <f t="shared" si="204"/>
        <v>0</v>
      </c>
      <c r="G194" s="232">
        <f t="shared" si="204"/>
        <v>0</v>
      </c>
      <c r="H194" s="232">
        <f t="shared" si="149"/>
        <v>0</v>
      </c>
      <c r="I194" s="233">
        <v>0</v>
      </c>
      <c r="J194" s="232">
        <f t="shared" si="204"/>
        <v>0</v>
      </c>
      <c r="K194" s="232">
        <f t="shared" si="204"/>
        <v>0</v>
      </c>
      <c r="L194" s="232">
        <f t="shared" si="204"/>
        <v>0</v>
      </c>
      <c r="M194" s="232">
        <f t="shared" si="144"/>
        <v>0</v>
      </c>
      <c r="N194" s="233">
        <v>0</v>
      </c>
      <c r="O194" s="232">
        <f t="shared" ref="O194:Q194" si="205">O195</f>
        <v>0</v>
      </c>
      <c r="P194" s="232">
        <f t="shared" si="205"/>
        <v>0</v>
      </c>
      <c r="Q194" s="232">
        <f t="shared" si="205"/>
        <v>0</v>
      </c>
      <c r="R194" s="232">
        <f t="shared" si="145"/>
        <v>0</v>
      </c>
    </row>
    <row r="195" spans="1:18" s="6" customFormat="1" ht="36" hidden="1" customHeight="1">
      <c r="A195" s="209">
        <v>17100</v>
      </c>
      <c r="B195" s="208" t="s">
        <v>217</v>
      </c>
      <c r="C195" s="106">
        <f>SUM(C196:C199)</f>
        <v>0</v>
      </c>
      <c r="D195" s="107">
        <v>0</v>
      </c>
      <c r="E195" s="232">
        <f t="shared" ref="E195:G195" si="206">SUM(E196:E199)</f>
        <v>0</v>
      </c>
      <c r="F195" s="232">
        <f t="shared" si="206"/>
        <v>0</v>
      </c>
      <c r="G195" s="232">
        <f t="shared" si="206"/>
        <v>0</v>
      </c>
      <c r="H195" s="232">
        <f t="shared" si="149"/>
        <v>0</v>
      </c>
      <c r="I195" s="233">
        <v>0</v>
      </c>
      <c r="J195" s="232">
        <f t="shared" ref="J195:L195" si="207">SUM(J196:J199)</f>
        <v>0</v>
      </c>
      <c r="K195" s="232">
        <f t="shared" si="207"/>
        <v>0</v>
      </c>
      <c r="L195" s="232">
        <f t="shared" si="207"/>
        <v>0</v>
      </c>
      <c r="M195" s="232">
        <f t="shared" si="144"/>
        <v>0</v>
      </c>
      <c r="N195" s="233">
        <v>0</v>
      </c>
      <c r="O195" s="232">
        <f t="shared" ref="O195:Q195" si="208">SUM(O196:O199)</f>
        <v>0</v>
      </c>
      <c r="P195" s="232">
        <f t="shared" si="208"/>
        <v>0</v>
      </c>
      <c r="Q195" s="232">
        <f t="shared" si="208"/>
        <v>0</v>
      </c>
      <c r="R195" s="232">
        <f t="shared" si="145"/>
        <v>0</v>
      </c>
    </row>
    <row r="196" spans="1:18" s="6" customFormat="1" ht="60" hidden="1" customHeight="1">
      <c r="A196" s="149">
        <v>17110</v>
      </c>
      <c r="B196" s="208" t="s">
        <v>218</v>
      </c>
      <c r="C196" s="106"/>
      <c r="D196" s="107">
        <v>0</v>
      </c>
      <c r="E196" s="233"/>
      <c r="F196" s="233"/>
      <c r="G196" s="233"/>
      <c r="H196" s="232">
        <f t="shared" si="149"/>
        <v>0</v>
      </c>
      <c r="I196" s="233">
        <v>0</v>
      </c>
      <c r="J196" s="233"/>
      <c r="K196" s="233"/>
      <c r="L196" s="233"/>
      <c r="M196" s="232">
        <f t="shared" si="144"/>
        <v>0</v>
      </c>
      <c r="N196" s="233">
        <v>0</v>
      </c>
      <c r="O196" s="233"/>
      <c r="P196" s="233"/>
      <c r="Q196" s="233"/>
      <c r="R196" s="232">
        <f t="shared" si="145"/>
        <v>0</v>
      </c>
    </row>
    <row r="197" spans="1:18" s="6" customFormat="1" ht="60" hidden="1" customHeight="1">
      <c r="A197" s="149">
        <v>17120</v>
      </c>
      <c r="B197" s="208" t="s">
        <v>219</v>
      </c>
      <c r="C197" s="106"/>
      <c r="D197" s="107">
        <v>0</v>
      </c>
      <c r="E197" s="233"/>
      <c r="F197" s="233"/>
      <c r="G197" s="233"/>
      <c r="H197" s="232">
        <f t="shared" si="149"/>
        <v>0</v>
      </c>
      <c r="I197" s="233">
        <v>0</v>
      </c>
      <c r="J197" s="233"/>
      <c r="K197" s="233"/>
      <c r="L197" s="233"/>
      <c r="M197" s="232">
        <f t="shared" si="144"/>
        <v>0</v>
      </c>
      <c r="N197" s="233">
        <v>0</v>
      </c>
      <c r="O197" s="233"/>
      <c r="P197" s="233"/>
      <c r="Q197" s="233"/>
      <c r="R197" s="232">
        <f t="shared" si="145"/>
        <v>0</v>
      </c>
    </row>
    <row r="198" spans="1:18" s="6" customFormat="1" ht="108" hidden="1" customHeight="1">
      <c r="A198" s="149">
        <v>17130</v>
      </c>
      <c r="B198" s="208" t="s">
        <v>220</v>
      </c>
      <c r="C198" s="106"/>
      <c r="D198" s="107">
        <v>0</v>
      </c>
      <c r="E198" s="233"/>
      <c r="F198" s="233"/>
      <c r="G198" s="233"/>
      <c r="H198" s="232">
        <f t="shared" si="149"/>
        <v>0</v>
      </c>
      <c r="I198" s="233">
        <v>0</v>
      </c>
      <c r="J198" s="233"/>
      <c r="K198" s="233"/>
      <c r="L198" s="233"/>
      <c r="M198" s="232">
        <f t="shared" si="144"/>
        <v>0</v>
      </c>
      <c r="N198" s="233">
        <v>0</v>
      </c>
      <c r="O198" s="233"/>
      <c r="P198" s="233"/>
      <c r="Q198" s="233"/>
      <c r="R198" s="232">
        <f t="shared" si="145"/>
        <v>0</v>
      </c>
    </row>
    <row r="199" spans="1:18" s="6" customFormat="1" ht="108" hidden="1" customHeight="1">
      <c r="A199" s="149">
        <v>17140</v>
      </c>
      <c r="B199" s="208" t="s">
        <v>221</v>
      </c>
      <c r="C199" s="106"/>
      <c r="D199" s="107">
        <v>0</v>
      </c>
      <c r="E199" s="233"/>
      <c r="F199" s="233"/>
      <c r="G199" s="233"/>
      <c r="H199" s="232">
        <f t="shared" si="149"/>
        <v>0</v>
      </c>
      <c r="I199" s="233">
        <v>0</v>
      </c>
      <c r="J199" s="233"/>
      <c r="K199" s="233"/>
      <c r="L199" s="233"/>
      <c r="M199" s="232">
        <f t="shared" si="144"/>
        <v>0</v>
      </c>
      <c r="N199" s="233">
        <v>0</v>
      </c>
      <c r="O199" s="233"/>
      <c r="P199" s="233"/>
      <c r="Q199" s="233"/>
      <c r="R199" s="232">
        <f t="shared" si="145"/>
        <v>0</v>
      </c>
    </row>
    <row r="200" spans="1:18" s="89" customFormat="1" ht="12" hidden="1" customHeight="1">
      <c r="A200" s="137">
        <v>21700</v>
      </c>
      <c r="B200" s="124" t="s">
        <v>97</v>
      </c>
      <c r="C200" s="170">
        <v>0</v>
      </c>
      <c r="D200" s="171">
        <v>0</v>
      </c>
      <c r="E200" s="233">
        <f t="shared" ref="E200:G200" si="209">E201+E202</f>
        <v>0</v>
      </c>
      <c r="F200" s="233">
        <f t="shared" si="209"/>
        <v>0</v>
      </c>
      <c r="G200" s="233">
        <f t="shared" si="209"/>
        <v>0</v>
      </c>
      <c r="H200" s="232">
        <f t="shared" si="149"/>
        <v>0</v>
      </c>
      <c r="I200" s="233">
        <v>0</v>
      </c>
      <c r="J200" s="233">
        <f t="shared" ref="J200:L200" si="210">J201+J202</f>
        <v>0</v>
      </c>
      <c r="K200" s="233">
        <f t="shared" si="210"/>
        <v>0</v>
      </c>
      <c r="L200" s="233">
        <f t="shared" si="210"/>
        <v>0</v>
      </c>
      <c r="M200" s="232">
        <f t="shared" si="144"/>
        <v>0</v>
      </c>
      <c r="N200" s="233">
        <v>0</v>
      </c>
      <c r="O200" s="233">
        <f t="shared" ref="O200:Q200" si="211">O201+O202</f>
        <v>0</v>
      </c>
      <c r="P200" s="233">
        <f t="shared" si="211"/>
        <v>0</v>
      </c>
      <c r="Q200" s="233">
        <f t="shared" si="211"/>
        <v>0</v>
      </c>
      <c r="R200" s="232">
        <f t="shared" si="145"/>
        <v>0</v>
      </c>
    </row>
    <row r="201" spans="1:18" s="89" customFormat="1" ht="24" hidden="1" customHeight="1">
      <c r="A201" s="138">
        <v>21710</v>
      </c>
      <c r="B201" s="125" t="s">
        <v>98</v>
      </c>
      <c r="C201" s="170"/>
      <c r="D201" s="171">
        <v>0</v>
      </c>
      <c r="E201" s="233"/>
      <c r="F201" s="233"/>
      <c r="G201" s="233"/>
      <c r="H201" s="232">
        <f t="shared" si="149"/>
        <v>0</v>
      </c>
      <c r="I201" s="233">
        <v>0</v>
      </c>
      <c r="J201" s="233"/>
      <c r="K201" s="233"/>
      <c r="L201" s="233"/>
      <c r="M201" s="232">
        <f t="shared" si="144"/>
        <v>0</v>
      </c>
      <c r="N201" s="233">
        <v>0</v>
      </c>
      <c r="O201" s="233"/>
      <c r="P201" s="233"/>
      <c r="Q201" s="233"/>
      <c r="R201" s="232">
        <f t="shared" si="145"/>
        <v>0</v>
      </c>
    </row>
    <row r="202" spans="1:18" s="29" customFormat="1" ht="24" hidden="1" customHeight="1">
      <c r="A202" s="138">
        <v>21720</v>
      </c>
      <c r="B202" s="125" t="s">
        <v>99</v>
      </c>
      <c r="C202" s="170"/>
      <c r="D202" s="171">
        <v>0</v>
      </c>
      <c r="E202" s="233"/>
      <c r="F202" s="233"/>
      <c r="G202" s="233"/>
      <c r="H202" s="232">
        <f t="shared" si="149"/>
        <v>0</v>
      </c>
      <c r="I202" s="233">
        <v>0</v>
      </c>
      <c r="J202" s="233"/>
      <c r="K202" s="233"/>
      <c r="L202" s="233"/>
      <c r="M202" s="232">
        <f t="shared" ref="M202:M260" si="212">SUM(I202:L202)</f>
        <v>0</v>
      </c>
      <c r="N202" s="233">
        <v>0</v>
      </c>
      <c r="O202" s="233"/>
      <c r="P202" s="233"/>
      <c r="Q202" s="233"/>
      <c r="R202" s="232">
        <f t="shared" ref="R202:R260" si="213">SUM(N202:Q202)</f>
        <v>0</v>
      </c>
    </row>
    <row r="203" spans="1:18" s="29" customFormat="1" ht="12" hidden="1" customHeight="1">
      <c r="A203" s="129" t="s">
        <v>100</v>
      </c>
      <c r="B203" s="123" t="s">
        <v>101</v>
      </c>
      <c r="C203" s="168">
        <v>0</v>
      </c>
      <c r="D203" s="175">
        <v>0</v>
      </c>
      <c r="E203" s="243">
        <f t="shared" ref="E203:G203" si="214">E204+E231</f>
        <v>0</v>
      </c>
      <c r="F203" s="243">
        <f t="shared" si="214"/>
        <v>0</v>
      </c>
      <c r="G203" s="243">
        <f t="shared" si="214"/>
        <v>0</v>
      </c>
      <c r="H203" s="270">
        <f t="shared" si="149"/>
        <v>0</v>
      </c>
      <c r="I203" s="243">
        <v>0</v>
      </c>
      <c r="J203" s="243">
        <f t="shared" ref="J203:L203" si="215">J204+J231</f>
        <v>0</v>
      </c>
      <c r="K203" s="243">
        <f t="shared" si="215"/>
        <v>0</v>
      </c>
      <c r="L203" s="243">
        <f t="shared" si="215"/>
        <v>0</v>
      </c>
      <c r="M203" s="270">
        <f t="shared" si="212"/>
        <v>0</v>
      </c>
      <c r="N203" s="243">
        <v>0</v>
      </c>
      <c r="O203" s="243">
        <f t="shared" ref="O203:Q203" si="216">O204+O231</f>
        <v>0</v>
      </c>
      <c r="P203" s="243">
        <f t="shared" si="216"/>
        <v>0</v>
      </c>
      <c r="Q203" s="243">
        <f t="shared" si="216"/>
        <v>0</v>
      </c>
      <c r="R203" s="270">
        <f t="shared" si="213"/>
        <v>0</v>
      </c>
    </row>
    <row r="204" spans="1:18" s="29" customFormat="1" ht="21" hidden="1" customHeight="1">
      <c r="A204" s="130" t="s">
        <v>102</v>
      </c>
      <c r="B204" s="124" t="s">
        <v>103</v>
      </c>
      <c r="C204" s="170">
        <v>0</v>
      </c>
      <c r="D204" s="171">
        <v>0</v>
      </c>
      <c r="E204" s="233">
        <f t="shared" ref="E204:G204" si="217">E205+E209+E210+E213+E216</f>
        <v>0</v>
      </c>
      <c r="F204" s="233">
        <f t="shared" si="217"/>
        <v>0</v>
      </c>
      <c r="G204" s="233">
        <f t="shared" si="217"/>
        <v>0</v>
      </c>
      <c r="H204" s="232">
        <f t="shared" ref="H204:H260" si="218">SUM(D204:G204)</f>
        <v>0</v>
      </c>
      <c r="I204" s="233">
        <v>0</v>
      </c>
      <c r="J204" s="233">
        <f t="shared" ref="J204:L204" si="219">J205+J209+J210+J213+J216</f>
        <v>0</v>
      </c>
      <c r="K204" s="233">
        <f t="shared" si="219"/>
        <v>0</v>
      </c>
      <c r="L204" s="233">
        <f t="shared" si="219"/>
        <v>0</v>
      </c>
      <c r="M204" s="232">
        <f t="shared" si="212"/>
        <v>0</v>
      </c>
      <c r="N204" s="233">
        <v>0</v>
      </c>
      <c r="O204" s="233">
        <f t="shared" ref="O204:Q204" si="220">O205+O209+O210+O213+O216</f>
        <v>0</v>
      </c>
      <c r="P204" s="233">
        <f t="shared" si="220"/>
        <v>0</v>
      </c>
      <c r="Q204" s="233">
        <f t="shared" si="220"/>
        <v>0</v>
      </c>
      <c r="R204" s="232">
        <f t="shared" si="213"/>
        <v>0</v>
      </c>
    </row>
    <row r="205" spans="1:18" s="29" customFormat="1" ht="12" hidden="1" customHeight="1">
      <c r="A205" s="130" t="s">
        <v>104</v>
      </c>
      <c r="B205" s="124" t="s">
        <v>105</v>
      </c>
      <c r="C205" s="170">
        <v>0</v>
      </c>
      <c r="D205" s="171">
        <v>0</v>
      </c>
      <c r="E205" s="233">
        <f t="shared" ref="E205:G205" si="221">E206+E208</f>
        <v>0</v>
      </c>
      <c r="F205" s="233">
        <f t="shared" si="221"/>
        <v>0</v>
      </c>
      <c r="G205" s="233">
        <f t="shared" si="221"/>
        <v>0</v>
      </c>
      <c r="H205" s="232">
        <f t="shared" si="218"/>
        <v>0</v>
      </c>
      <c r="I205" s="233">
        <v>0</v>
      </c>
      <c r="J205" s="233">
        <f t="shared" ref="J205:L205" si="222">J206+J208</f>
        <v>0</v>
      </c>
      <c r="K205" s="233">
        <f t="shared" si="222"/>
        <v>0</v>
      </c>
      <c r="L205" s="233">
        <f t="shared" si="222"/>
        <v>0</v>
      </c>
      <c r="M205" s="232">
        <f t="shared" si="212"/>
        <v>0</v>
      </c>
      <c r="N205" s="233">
        <v>0</v>
      </c>
      <c r="O205" s="233">
        <f t="shared" ref="O205:Q205" si="223">O206+O208</f>
        <v>0</v>
      </c>
      <c r="P205" s="233">
        <f t="shared" si="223"/>
        <v>0</v>
      </c>
      <c r="Q205" s="233">
        <f t="shared" si="223"/>
        <v>0</v>
      </c>
      <c r="R205" s="232">
        <f t="shared" si="213"/>
        <v>0</v>
      </c>
    </row>
    <row r="206" spans="1:18" s="29" customFormat="1" ht="12" hidden="1" customHeight="1">
      <c r="A206" s="132">
        <v>1000</v>
      </c>
      <c r="B206" s="125" t="s">
        <v>106</v>
      </c>
      <c r="C206" s="170"/>
      <c r="D206" s="171">
        <v>0</v>
      </c>
      <c r="E206" s="244"/>
      <c r="F206" s="244"/>
      <c r="G206" s="244"/>
      <c r="H206" s="232">
        <f t="shared" si="218"/>
        <v>0</v>
      </c>
      <c r="I206" s="233">
        <v>0</v>
      </c>
      <c r="J206" s="244"/>
      <c r="K206" s="244"/>
      <c r="L206" s="244"/>
      <c r="M206" s="232">
        <f t="shared" si="212"/>
        <v>0</v>
      </c>
      <c r="N206" s="233">
        <v>0</v>
      </c>
      <c r="O206" s="244"/>
      <c r="P206" s="244"/>
      <c r="Q206" s="244"/>
      <c r="R206" s="232">
        <f t="shared" si="213"/>
        <v>0</v>
      </c>
    </row>
    <row r="207" spans="1:18" s="29" customFormat="1" ht="12" hidden="1" customHeight="1">
      <c r="A207" s="139">
        <v>1100</v>
      </c>
      <c r="B207" s="125" t="s">
        <v>107</v>
      </c>
      <c r="C207" s="170"/>
      <c r="D207" s="171">
        <v>0</v>
      </c>
      <c r="E207" s="244"/>
      <c r="F207" s="244"/>
      <c r="G207" s="244"/>
      <c r="H207" s="232">
        <f t="shared" si="218"/>
        <v>0</v>
      </c>
      <c r="I207" s="233">
        <v>0</v>
      </c>
      <c r="J207" s="244"/>
      <c r="K207" s="244"/>
      <c r="L207" s="244"/>
      <c r="M207" s="232">
        <f t="shared" si="212"/>
        <v>0</v>
      </c>
      <c r="N207" s="233">
        <v>0</v>
      </c>
      <c r="O207" s="244"/>
      <c r="P207" s="244"/>
      <c r="Q207" s="244"/>
      <c r="R207" s="232">
        <f t="shared" si="213"/>
        <v>0</v>
      </c>
    </row>
    <row r="208" spans="1:18" s="29" customFormat="1" ht="12" hidden="1" customHeight="1">
      <c r="A208" s="132">
        <v>2000</v>
      </c>
      <c r="B208" s="125" t="s">
        <v>108</v>
      </c>
      <c r="C208" s="170"/>
      <c r="D208" s="171">
        <v>0</v>
      </c>
      <c r="E208" s="244"/>
      <c r="F208" s="244"/>
      <c r="G208" s="244"/>
      <c r="H208" s="232">
        <f t="shared" si="218"/>
        <v>0</v>
      </c>
      <c r="I208" s="233">
        <v>0</v>
      </c>
      <c r="J208" s="244"/>
      <c r="K208" s="244"/>
      <c r="L208" s="244"/>
      <c r="M208" s="232">
        <f t="shared" si="212"/>
        <v>0</v>
      </c>
      <c r="N208" s="233">
        <v>0</v>
      </c>
      <c r="O208" s="244"/>
      <c r="P208" s="244"/>
      <c r="Q208" s="244"/>
      <c r="R208" s="232">
        <f t="shared" si="213"/>
        <v>0</v>
      </c>
    </row>
    <row r="209" spans="1:18" s="29" customFormat="1" ht="12" hidden="1" customHeight="1">
      <c r="A209" s="140">
        <v>4000</v>
      </c>
      <c r="B209" s="124" t="s">
        <v>132</v>
      </c>
      <c r="C209" s="170"/>
      <c r="D209" s="171">
        <v>0</v>
      </c>
      <c r="E209" s="244"/>
      <c r="F209" s="244"/>
      <c r="G209" s="244"/>
      <c r="H209" s="232">
        <f t="shared" si="218"/>
        <v>0</v>
      </c>
      <c r="I209" s="233">
        <v>0</v>
      </c>
      <c r="J209" s="244"/>
      <c r="K209" s="244"/>
      <c r="L209" s="244"/>
      <c r="M209" s="232">
        <f t="shared" si="212"/>
        <v>0</v>
      </c>
      <c r="N209" s="233">
        <v>0</v>
      </c>
      <c r="O209" s="244"/>
      <c r="P209" s="244"/>
      <c r="Q209" s="244"/>
      <c r="R209" s="232">
        <f t="shared" si="213"/>
        <v>0</v>
      </c>
    </row>
    <row r="210" spans="1:18" s="29" customFormat="1" ht="12" hidden="1" customHeight="1">
      <c r="A210" s="140" t="s">
        <v>109</v>
      </c>
      <c r="B210" s="124" t="s">
        <v>110</v>
      </c>
      <c r="C210" s="170">
        <v>0</v>
      </c>
      <c r="D210" s="171">
        <v>0</v>
      </c>
      <c r="E210" s="233">
        <f t="shared" ref="E210:G210" si="224">E211+E212</f>
        <v>0</v>
      </c>
      <c r="F210" s="233">
        <f t="shared" si="224"/>
        <v>0</v>
      </c>
      <c r="G210" s="233">
        <f t="shared" si="224"/>
        <v>0</v>
      </c>
      <c r="H210" s="232">
        <f t="shared" si="218"/>
        <v>0</v>
      </c>
      <c r="I210" s="233">
        <v>0</v>
      </c>
      <c r="J210" s="233">
        <f t="shared" ref="J210:L210" si="225">J211+J212</f>
        <v>0</v>
      </c>
      <c r="K210" s="233">
        <f t="shared" si="225"/>
        <v>0</v>
      </c>
      <c r="L210" s="233">
        <f t="shared" si="225"/>
        <v>0</v>
      </c>
      <c r="M210" s="232">
        <f t="shared" si="212"/>
        <v>0</v>
      </c>
      <c r="N210" s="233">
        <v>0</v>
      </c>
      <c r="O210" s="233">
        <f t="shared" ref="O210:Q210" si="226">O211+O212</f>
        <v>0</v>
      </c>
      <c r="P210" s="233">
        <f t="shared" si="226"/>
        <v>0</v>
      </c>
      <c r="Q210" s="233">
        <f t="shared" si="226"/>
        <v>0</v>
      </c>
      <c r="R210" s="232">
        <f t="shared" si="213"/>
        <v>0</v>
      </c>
    </row>
    <row r="211" spans="1:18" s="29" customFormat="1" ht="12" hidden="1" customHeight="1">
      <c r="A211" s="132">
        <v>3000</v>
      </c>
      <c r="B211" s="125" t="s">
        <v>111</v>
      </c>
      <c r="C211" s="202"/>
      <c r="D211" s="213">
        <v>0</v>
      </c>
      <c r="E211" s="246"/>
      <c r="F211" s="246"/>
      <c r="G211" s="246"/>
      <c r="H211" s="232">
        <f t="shared" si="218"/>
        <v>0</v>
      </c>
      <c r="I211" s="345">
        <v>0</v>
      </c>
      <c r="J211" s="246"/>
      <c r="K211" s="246"/>
      <c r="L211" s="246"/>
      <c r="M211" s="232">
        <f t="shared" si="212"/>
        <v>0</v>
      </c>
      <c r="N211" s="345">
        <v>0</v>
      </c>
      <c r="O211" s="246"/>
      <c r="P211" s="246"/>
      <c r="Q211" s="246"/>
      <c r="R211" s="232">
        <f t="shared" si="213"/>
        <v>0</v>
      </c>
    </row>
    <row r="212" spans="1:18" s="29" customFormat="1" ht="12" hidden="1" customHeight="1">
      <c r="A212" s="132">
        <v>6000</v>
      </c>
      <c r="B212" s="125" t="s">
        <v>112</v>
      </c>
      <c r="C212" s="203"/>
      <c r="D212" s="287">
        <v>0</v>
      </c>
      <c r="E212" s="248"/>
      <c r="F212" s="248"/>
      <c r="G212" s="248"/>
      <c r="H212" s="232">
        <f t="shared" si="218"/>
        <v>0</v>
      </c>
      <c r="I212" s="346">
        <v>0</v>
      </c>
      <c r="J212" s="248"/>
      <c r="K212" s="248"/>
      <c r="L212" s="248"/>
      <c r="M212" s="232">
        <f t="shared" si="212"/>
        <v>0</v>
      </c>
      <c r="N212" s="346">
        <v>0</v>
      </c>
      <c r="O212" s="248"/>
      <c r="P212" s="248"/>
      <c r="Q212" s="248"/>
      <c r="R212" s="232">
        <f t="shared" si="213"/>
        <v>0</v>
      </c>
    </row>
    <row r="213" spans="1:18" s="29" customFormat="1" ht="24" hidden="1" customHeight="1">
      <c r="A213" s="140" t="s">
        <v>113</v>
      </c>
      <c r="B213" s="124" t="s">
        <v>183</v>
      </c>
      <c r="C213" s="170">
        <v>0</v>
      </c>
      <c r="D213" s="171">
        <v>0</v>
      </c>
      <c r="E213" s="233">
        <f t="shared" ref="E213:G213" si="227">E214+E215</f>
        <v>0</v>
      </c>
      <c r="F213" s="233">
        <f t="shared" si="227"/>
        <v>0</v>
      </c>
      <c r="G213" s="233">
        <f t="shared" si="227"/>
        <v>0</v>
      </c>
      <c r="H213" s="232">
        <f t="shared" si="218"/>
        <v>0</v>
      </c>
      <c r="I213" s="233">
        <v>0</v>
      </c>
      <c r="J213" s="233">
        <f t="shared" ref="J213:L213" si="228">J214+J215</f>
        <v>0</v>
      </c>
      <c r="K213" s="233">
        <f t="shared" si="228"/>
        <v>0</v>
      </c>
      <c r="L213" s="233">
        <f t="shared" si="228"/>
        <v>0</v>
      </c>
      <c r="M213" s="232">
        <f t="shared" si="212"/>
        <v>0</v>
      </c>
      <c r="N213" s="233">
        <v>0</v>
      </c>
      <c r="O213" s="233">
        <f t="shared" ref="O213:Q213" si="229">O214+O215</f>
        <v>0</v>
      </c>
      <c r="P213" s="233">
        <f t="shared" si="229"/>
        <v>0</v>
      </c>
      <c r="Q213" s="233">
        <f t="shared" si="229"/>
        <v>0</v>
      </c>
      <c r="R213" s="232">
        <f t="shared" si="213"/>
        <v>0</v>
      </c>
    </row>
    <row r="214" spans="1:18" s="29" customFormat="1" ht="12" hidden="1" customHeight="1">
      <c r="A214" s="132">
        <v>7600</v>
      </c>
      <c r="B214" s="179" t="s">
        <v>184</v>
      </c>
      <c r="C214" s="170"/>
      <c r="D214" s="171">
        <v>0</v>
      </c>
      <c r="E214" s="244"/>
      <c r="F214" s="244"/>
      <c r="G214" s="244"/>
      <c r="H214" s="232">
        <f t="shared" si="218"/>
        <v>0</v>
      </c>
      <c r="I214" s="233">
        <v>0</v>
      </c>
      <c r="J214" s="244"/>
      <c r="K214" s="244"/>
      <c r="L214" s="244"/>
      <c r="M214" s="232">
        <f t="shared" si="212"/>
        <v>0</v>
      </c>
      <c r="N214" s="233">
        <v>0</v>
      </c>
      <c r="O214" s="244"/>
      <c r="P214" s="244"/>
      <c r="Q214" s="244"/>
      <c r="R214" s="232">
        <f t="shared" si="213"/>
        <v>0</v>
      </c>
    </row>
    <row r="215" spans="1:18" s="29" customFormat="1" ht="12" hidden="1" customHeight="1">
      <c r="A215" s="132">
        <v>7700</v>
      </c>
      <c r="B215" s="126" t="s">
        <v>114</v>
      </c>
      <c r="C215" s="170"/>
      <c r="D215" s="171">
        <v>0</v>
      </c>
      <c r="E215" s="244"/>
      <c r="F215" s="244"/>
      <c r="G215" s="244"/>
      <c r="H215" s="232">
        <f t="shared" si="218"/>
        <v>0</v>
      </c>
      <c r="I215" s="233">
        <v>0</v>
      </c>
      <c r="J215" s="244"/>
      <c r="K215" s="244"/>
      <c r="L215" s="244"/>
      <c r="M215" s="232">
        <f t="shared" si="212"/>
        <v>0</v>
      </c>
      <c r="N215" s="233">
        <v>0</v>
      </c>
      <c r="O215" s="244"/>
      <c r="P215" s="244"/>
      <c r="Q215" s="244"/>
      <c r="R215" s="232">
        <f t="shared" si="213"/>
        <v>0</v>
      </c>
    </row>
    <row r="216" spans="1:18" s="29" customFormat="1" ht="21" hidden="1" customHeight="1">
      <c r="A216" s="140" t="s">
        <v>185</v>
      </c>
      <c r="B216" s="124" t="s">
        <v>115</v>
      </c>
      <c r="C216" s="170">
        <v>0</v>
      </c>
      <c r="D216" s="171">
        <v>0</v>
      </c>
      <c r="E216" s="233">
        <f t="shared" ref="E216:G216" si="230">E217+E223+E227+E230</f>
        <v>0</v>
      </c>
      <c r="F216" s="233">
        <f t="shared" si="230"/>
        <v>0</v>
      </c>
      <c r="G216" s="233">
        <f t="shared" si="230"/>
        <v>0</v>
      </c>
      <c r="H216" s="232">
        <f t="shared" si="218"/>
        <v>0</v>
      </c>
      <c r="I216" s="233">
        <v>0</v>
      </c>
      <c r="J216" s="233">
        <f t="shared" ref="J216:L216" si="231">J217+J223+J227+J230</f>
        <v>0</v>
      </c>
      <c r="K216" s="233">
        <f t="shared" si="231"/>
        <v>0</v>
      </c>
      <c r="L216" s="233">
        <f t="shared" si="231"/>
        <v>0</v>
      </c>
      <c r="M216" s="232">
        <f t="shared" si="212"/>
        <v>0</v>
      </c>
      <c r="N216" s="233">
        <v>0</v>
      </c>
      <c r="O216" s="233">
        <f t="shared" ref="O216:Q216" si="232">O217+O223+O227+O230</f>
        <v>0</v>
      </c>
      <c r="P216" s="233">
        <f t="shared" si="232"/>
        <v>0</v>
      </c>
      <c r="Q216" s="233">
        <f t="shared" si="232"/>
        <v>0</v>
      </c>
      <c r="R216" s="232">
        <f t="shared" si="213"/>
        <v>0</v>
      </c>
    </row>
    <row r="217" spans="1:18" s="29" customFormat="1" ht="12" hidden="1" customHeight="1">
      <c r="A217" s="132">
        <v>7100</v>
      </c>
      <c r="B217" s="179" t="s">
        <v>116</v>
      </c>
      <c r="C217" s="170">
        <v>0</v>
      </c>
      <c r="D217" s="171">
        <v>0</v>
      </c>
      <c r="E217" s="233">
        <f t="shared" ref="E217:G217" si="233">E218+E219</f>
        <v>0</v>
      </c>
      <c r="F217" s="233">
        <f t="shared" si="233"/>
        <v>0</v>
      </c>
      <c r="G217" s="233">
        <f t="shared" si="233"/>
        <v>0</v>
      </c>
      <c r="H217" s="232">
        <f t="shared" si="218"/>
        <v>0</v>
      </c>
      <c r="I217" s="233">
        <v>0</v>
      </c>
      <c r="J217" s="233">
        <f t="shared" ref="J217:L217" si="234">J218+J219</f>
        <v>0</v>
      </c>
      <c r="K217" s="233">
        <f t="shared" si="234"/>
        <v>0</v>
      </c>
      <c r="L217" s="233">
        <f t="shared" si="234"/>
        <v>0</v>
      </c>
      <c r="M217" s="232">
        <f t="shared" si="212"/>
        <v>0</v>
      </c>
      <c r="N217" s="233">
        <v>0</v>
      </c>
      <c r="O217" s="233">
        <f t="shared" ref="O217:Q217" si="235">O218+O219</f>
        <v>0</v>
      </c>
      <c r="P217" s="233">
        <f t="shared" si="235"/>
        <v>0</v>
      </c>
      <c r="Q217" s="233">
        <f t="shared" si="235"/>
        <v>0</v>
      </c>
      <c r="R217" s="232">
        <f t="shared" si="213"/>
        <v>0</v>
      </c>
    </row>
    <row r="218" spans="1:18" s="29" customFormat="1" ht="24" hidden="1" customHeight="1">
      <c r="A218" s="133" t="s">
        <v>117</v>
      </c>
      <c r="B218" s="179" t="s">
        <v>118</v>
      </c>
      <c r="C218" s="170"/>
      <c r="D218" s="171">
        <v>0</v>
      </c>
      <c r="E218" s="233"/>
      <c r="F218" s="233"/>
      <c r="G218" s="233"/>
      <c r="H218" s="232">
        <f t="shared" si="218"/>
        <v>0</v>
      </c>
      <c r="I218" s="233">
        <v>0</v>
      </c>
      <c r="J218" s="233"/>
      <c r="K218" s="233"/>
      <c r="L218" s="233"/>
      <c r="M218" s="232">
        <f t="shared" si="212"/>
        <v>0</v>
      </c>
      <c r="N218" s="233">
        <v>0</v>
      </c>
      <c r="O218" s="233"/>
      <c r="P218" s="233"/>
      <c r="Q218" s="233"/>
      <c r="R218" s="232">
        <f t="shared" si="213"/>
        <v>0</v>
      </c>
    </row>
    <row r="219" spans="1:18" s="29" customFormat="1" ht="24" hidden="1" customHeight="1">
      <c r="A219" s="133">
        <v>7130</v>
      </c>
      <c r="B219" s="179" t="s">
        <v>119</v>
      </c>
      <c r="C219" s="170">
        <v>0</v>
      </c>
      <c r="D219" s="171">
        <v>0</v>
      </c>
      <c r="E219" s="233">
        <f t="shared" ref="E219:G219" si="236">SUM(E220:E222)</f>
        <v>0</v>
      </c>
      <c r="F219" s="233">
        <f t="shared" ref="F219" si="237">SUM(F220:F222)</f>
        <v>0</v>
      </c>
      <c r="G219" s="233">
        <f t="shared" si="236"/>
        <v>0</v>
      </c>
      <c r="H219" s="232">
        <f t="shared" si="218"/>
        <v>0</v>
      </c>
      <c r="I219" s="233">
        <v>0</v>
      </c>
      <c r="J219" s="233">
        <f t="shared" ref="J219:L219" si="238">SUM(J220:J222)</f>
        <v>0</v>
      </c>
      <c r="K219" s="233">
        <f t="shared" si="238"/>
        <v>0</v>
      </c>
      <c r="L219" s="233">
        <f t="shared" si="238"/>
        <v>0</v>
      </c>
      <c r="M219" s="232">
        <f t="shared" si="212"/>
        <v>0</v>
      </c>
      <c r="N219" s="233">
        <v>0</v>
      </c>
      <c r="O219" s="233">
        <f t="shared" ref="O219:Q219" si="239">SUM(O220:O222)</f>
        <v>0</v>
      </c>
      <c r="P219" s="233">
        <f t="shared" si="239"/>
        <v>0</v>
      </c>
      <c r="Q219" s="233">
        <f t="shared" si="239"/>
        <v>0</v>
      </c>
      <c r="R219" s="232">
        <f t="shared" si="213"/>
        <v>0</v>
      </c>
    </row>
    <row r="220" spans="1:18" s="29" customFormat="1" ht="36" hidden="1" customHeight="1">
      <c r="A220" s="134">
        <v>7131</v>
      </c>
      <c r="B220" s="179" t="s">
        <v>120</v>
      </c>
      <c r="C220" s="170"/>
      <c r="D220" s="171">
        <v>0</v>
      </c>
      <c r="E220" s="233"/>
      <c r="F220" s="233"/>
      <c r="G220" s="233"/>
      <c r="H220" s="232">
        <f t="shared" si="218"/>
        <v>0</v>
      </c>
      <c r="I220" s="233">
        <v>0</v>
      </c>
      <c r="J220" s="233"/>
      <c r="K220" s="233"/>
      <c r="L220" s="233"/>
      <c r="M220" s="232">
        <f t="shared" si="212"/>
        <v>0</v>
      </c>
      <c r="N220" s="233">
        <v>0</v>
      </c>
      <c r="O220" s="233"/>
      <c r="P220" s="233"/>
      <c r="Q220" s="233"/>
      <c r="R220" s="232">
        <f t="shared" si="213"/>
        <v>0</v>
      </c>
    </row>
    <row r="221" spans="1:18" s="29" customFormat="1" ht="36" hidden="1" customHeight="1">
      <c r="A221" s="134">
        <v>7132</v>
      </c>
      <c r="B221" s="179" t="s">
        <v>121</v>
      </c>
      <c r="C221" s="170"/>
      <c r="D221" s="171">
        <v>0</v>
      </c>
      <c r="E221" s="233"/>
      <c r="F221" s="233"/>
      <c r="G221" s="233"/>
      <c r="H221" s="232">
        <f t="shared" si="218"/>
        <v>0</v>
      </c>
      <c r="I221" s="233">
        <v>0</v>
      </c>
      <c r="J221" s="233"/>
      <c r="K221" s="233"/>
      <c r="L221" s="233"/>
      <c r="M221" s="232">
        <f t="shared" si="212"/>
        <v>0</v>
      </c>
      <c r="N221" s="233">
        <v>0</v>
      </c>
      <c r="O221" s="233"/>
      <c r="P221" s="233"/>
      <c r="Q221" s="233"/>
      <c r="R221" s="232">
        <f t="shared" si="213"/>
        <v>0</v>
      </c>
    </row>
    <row r="222" spans="1:18" s="29" customFormat="1" ht="36" hidden="1" customHeight="1">
      <c r="A222" s="134" t="s">
        <v>186</v>
      </c>
      <c r="B222" s="179" t="s">
        <v>187</v>
      </c>
      <c r="C222" s="170"/>
      <c r="D222" s="171">
        <v>0</v>
      </c>
      <c r="E222" s="233"/>
      <c r="F222" s="233"/>
      <c r="G222" s="233"/>
      <c r="H222" s="232">
        <f t="shared" si="218"/>
        <v>0</v>
      </c>
      <c r="I222" s="233">
        <v>0</v>
      </c>
      <c r="J222" s="233"/>
      <c r="K222" s="233"/>
      <c r="L222" s="233"/>
      <c r="M222" s="232">
        <f t="shared" si="212"/>
        <v>0</v>
      </c>
      <c r="N222" s="233">
        <v>0</v>
      </c>
      <c r="O222" s="233"/>
      <c r="P222" s="233"/>
      <c r="Q222" s="233"/>
      <c r="R222" s="232">
        <f t="shared" si="213"/>
        <v>0</v>
      </c>
    </row>
    <row r="223" spans="1:18" s="29" customFormat="1" ht="24" hidden="1" customHeight="1">
      <c r="A223" s="132">
        <v>7300</v>
      </c>
      <c r="B223" s="172" t="s">
        <v>155</v>
      </c>
      <c r="C223" s="170">
        <v>0</v>
      </c>
      <c r="D223" s="171">
        <v>0</v>
      </c>
      <c r="E223" s="233">
        <f t="shared" ref="E223:G223" si="240">SUM(E224:E226)</f>
        <v>0</v>
      </c>
      <c r="F223" s="233">
        <f t="shared" si="240"/>
        <v>0</v>
      </c>
      <c r="G223" s="233">
        <f t="shared" si="240"/>
        <v>0</v>
      </c>
      <c r="H223" s="232">
        <f t="shared" si="218"/>
        <v>0</v>
      </c>
      <c r="I223" s="233">
        <v>0</v>
      </c>
      <c r="J223" s="233">
        <f t="shared" ref="J223:L223" si="241">SUM(J224:J226)</f>
        <v>0</v>
      </c>
      <c r="K223" s="233">
        <f t="shared" si="241"/>
        <v>0</v>
      </c>
      <c r="L223" s="233">
        <f t="shared" si="241"/>
        <v>0</v>
      </c>
      <c r="M223" s="232">
        <f t="shared" si="212"/>
        <v>0</v>
      </c>
      <c r="N223" s="233">
        <v>0</v>
      </c>
      <c r="O223" s="233">
        <f t="shared" ref="O223:Q223" si="242">SUM(O224:O226)</f>
        <v>0</v>
      </c>
      <c r="P223" s="233">
        <f t="shared" si="242"/>
        <v>0</v>
      </c>
      <c r="Q223" s="233">
        <f t="shared" si="242"/>
        <v>0</v>
      </c>
      <c r="R223" s="232">
        <f t="shared" si="213"/>
        <v>0</v>
      </c>
    </row>
    <row r="224" spans="1:18" s="29" customFormat="1" ht="24" hidden="1" customHeight="1">
      <c r="A224" s="133" t="s">
        <v>188</v>
      </c>
      <c r="B224" s="179" t="s">
        <v>170</v>
      </c>
      <c r="C224" s="204"/>
      <c r="D224" s="180">
        <v>0</v>
      </c>
      <c r="E224" s="252"/>
      <c r="F224" s="252"/>
      <c r="G224" s="252"/>
      <c r="H224" s="232">
        <f t="shared" si="218"/>
        <v>0</v>
      </c>
      <c r="I224" s="252">
        <v>0</v>
      </c>
      <c r="J224" s="252"/>
      <c r="K224" s="252"/>
      <c r="L224" s="252"/>
      <c r="M224" s="232">
        <f t="shared" si="212"/>
        <v>0</v>
      </c>
      <c r="N224" s="252">
        <v>0</v>
      </c>
      <c r="O224" s="252"/>
      <c r="P224" s="252"/>
      <c r="Q224" s="252"/>
      <c r="R224" s="232">
        <f t="shared" si="213"/>
        <v>0</v>
      </c>
    </row>
    <row r="225" spans="1:18" s="29" customFormat="1" ht="48" hidden="1" customHeight="1">
      <c r="A225" s="133" t="s">
        <v>189</v>
      </c>
      <c r="B225" s="179" t="s">
        <v>156</v>
      </c>
      <c r="C225" s="204"/>
      <c r="D225" s="180">
        <v>0</v>
      </c>
      <c r="E225" s="252"/>
      <c r="F225" s="252"/>
      <c r="G225" s="252"/>
      <c r="H225" s="232">
        <f t="shared" si="218"/>
        <v>0</v>
      </c>
      <c r="I225" s="252">
        <v>0</v>
      </c>
      <c r="J225" s="252"/>
      <c r="K225" s="252"/>
      <c r="L225" s="252"/>
      <c r="M225" s="232">
        <f t="shared" si="212"/>
        <v>0</v>
      </c>
      <c r="N225" s="252">
        <v>0</v>
      </c>
      <c r="O225" s="252"/>
      <c r="P225" s="252"/>
      <c r="Q225" s="252"/>
      <c r="R225" s="232">
        <f t="shared" si="213"/>
        <v>0</v>
      </c>
    </row>
    <row r="226" spans="1:18" s="29" customFormat="1" ht="36" hidden="1" customHeight="1">
      <c r="A226" s="133">
        <v>7350</v>
      </c>
      <c r="B226" s="179" t="s">
        <v>163</v>
      </c>
      <c r="C226" s="204"/>
      <c r="D226" s="180">
        <v>0</v>
      </c>
      <c r="E226" s="252"/>
      <c r="F226" s="252"/>
      <c r="G226" s="252"/>
      <c r="H226" s="232">
        <f t="shared" si="218"/>
        <v>0</v>
      </c>
      <c r="I226" s="252">
        <v>0</v>
      </c>
      <c r="J226" s="252"/>
      <c r="K226" s="252"/>
      <c r="L226" s="252"/>
      <c r="M226" s="232">
        <f t="shared" si="212"/>
        <v>0</v>
      </c>
      <c r="N226" s="252">
        <v>0</v>
      </c>
      <c r="O226" s="252"/>
      <c r="P226" s="252"/>
      <c r="Q226" s="252"/>
      <c r="R226" s="232">
        <f t="shared" si="213"/>
        <v>0</v>
      </c>
    </row>
    <row r="227" spans="1:18" s="29" customFormat="1" ht="24" hidden="1" customHeight="1">
      <c r="A227" s="132">
        <v>7400</v>
      </c>
      <c r="B227" s="172" t="s">
        <v>161</v>
      </c>
      <c r="C227" s="170">
        <v>0</v>
      </c>
      <c r="D227" s="171">
        <v>0</v>
      </c>
      <c r="E227" s="233">
        <f t="shared" ref="E227:G227" si="243">SUM(E228:E229)</f>
        <v>0</v>
      </c>
      <c r="F227" s="233">
        <f t="shared" si="243"/>
        <v>0</v>
      </c>
      <c r="G227" s="233">
        <f t="shared" si="243"/>
        <v>0</v>
      </c>
      <c r="H227" s="232">
        <f t="shared" si="218"/>
        <v>0</v>
      </c>
      <c r="I227" s="233">
        <v>0</v>
      </c>
      <c r="J227" s="233">
        <f t="shared" ref="J227:L227" si="244">SUM(J228:J229)</f>
        <v>0</v>
      </c>
      <c r="K227" s="233">
        <f t="shared" si="244"/>
        <v>0</v>
      </c>
      <c r="L227" s="233">
        <f t="shared" si="244"/>
        <v>0</v>
      </c>
      <c r="M227" s="232">
        <f t="shared" si="212"/>
        <v>0</v>
      </c>
      <c r="N227" s="233">
        <v>0</v>
      </c>
      <c r="O227" s="233">
        <f t="shared" ref="O227:Q227" si="245">SUM(O228:O229)</f>
        <v>0</v>
      </c>
      <c r="P227" s="233">
        <f t="shared" si="245"/>
        <v>0</v>
      </c>
      <c r="Q227" s="233">
        <f t="shared" si="245"/>
        <v>0</v>
      </c>
      <c r="R227" s="232">
        <f t="shared" si="213"/>
        <v>0</v>
      </c>
    </row>
    <row r="228" spans="1:18" s="29" customFormat="1" ht="24" hidden="1" customHeight="1">
      <c r="A228" s="133">
        <v>7460</v>
      </c>
      <c r="B228" s="172" t="s">
        <v>162</v>
      </c>
      <c r="C228" s="204"/>
      <c r="D228" s="180">
        <v>0</v>
      </c>
      <c r="E228" s="252"/>
      <c r="F228" s="252"/>
      <c r="G228" s="252"/>
      <c r="H228" s="232">
        <f t="shared" si="218"/>
        <v>0</v>
      </c>
      <c r="I228" s="252">
        <v>0</v>
      </c>
      <c r="J228" s="252"/>
      <c r="K228" s="252"/>
      <c r="L228" s="252"/>
      <c r="M228" s="232">
        <f t="shared" si="212"/>
        <v>0</v>
      </c>
      <c r="N228" s="252">
        <v>0</v>
      </c>
      <c r="O228" s="252"/>
      <c r="P228" s="252"/>
      <c r="Q228" s="252"/>
      <c r="R228" s="232">
        <f t="shared" si="213"/>
        <v>0</v>
      </c>
    </row>
    <row r="229" spans="1:18" s="29" customFormat="1" ht="48" hidden="1" customHeight="1">
      <c r="A229" s="133">
        <v>7470</v>
      </c>
      <c r="B229" s="179" t="s">
        <v>167</v>
      </c>
      <c r="C229" s="204"/>
      <c r="D229" s="180">
        <v>0</v>
      </c>
      <c r="E229" s="252"/>
      <c r="F229" s="252"/>
      <c r="G229" s="252"/>
      <c r="H229" s="232">
        <f t="shared" si="218"/>
        <v>0</v>
      </c>
      <c r="I229" s="252">
        <v>0</v>
      </c>
      <c r="J229" s="252"/>
      <c r="K229" s="252"/>
      <c r="L229" s="252"/>
      <c r="M229" s="232">
        <f t="shared" si="212"/>
        <v>0</v>
      </c>
      <c r="N229" s="252">
        <v>0</v>
      </c>
      <c r="O229" s="252"/>
      <c r="P229" s="252"/>
      <c r="Q229" s="252"/>
      <c r="R229" s="232">
        <f t="shared" si="213"/>
        <v>0</v>
      </c>
    </row>
    <row r="230" spans="1:18" s="29" customFormat="1" ht="24" hidden="1" customHeight="1">
      <c r="A230" s="132">
        <v>7500</v>
      </c>
      <c r="B230" s="179" t="s">
        <v>157</v>
      </c>
      <c r="C230" s="170"/>
      <c r="D230" s="171">
        <v>0</v>
      </c>
      <c r="E230" s="233"/>
      <c r="F230" s="233"/>
      <c r="G230" s="233"/>
      <c r="H230" s="232">
        <f t="shared" si="218"/>
        <v>0</v>
      </c>
      <c r="I230" s="233">
        <v>0</v>
      </c>
      <c r="J230" s="233"/>
      <c r="K230" s="233"/>
      <c r="L230" s="233"/>
      <c r="M230" s="232">
        <f t="shared" si="212"/>
        <v>0</v>
      </c>
      <c r="N230" s="233">
        <v>0</v>
      </c>
      <c r="O230" s="233"/>
      <c r="P230" s="233"/>
      <c r="Q230" s="233"/>
      <c r="R230" s="232">
        <f t="shared" si="213"/>
        <v>0</v>
      </c>
    </row>
    <row r="231" spans="1:18" s="29" customFormat="1" ht="12" hidden="1" customHeight="1">
      <c r="A231" s="140" t="s">
        <v>133</v>
      </c>
      <c r="B231" s="124" t="s">
        <v>122</v>
      </c>
      <c r="C231" s="205">
        <v>0</v>
      </c>
      <c r="D231" s="181">
        <v>0</v>
      </c>
      <c r="E231" s="254">
        <f t="shared" ref="E231:G231" si="246">E232+E233</f>
        <v>0</v>
      </c>
      <c r="F231" s="254">
        <f t="shared" si="246"/>
        <v>0</v>
      </c>
      <c r="G231" s="254">
        <f t="shared" si="246"/>
        <v>0</v>
      </c>
      <c r="H231" s="232">
        <f t="shared" si="218"/>
        <v>0</v>
      </c>
      <c r="I231" s="254">
        <v>0</v>
      </c>
      <c r="J231" s="254">
        <f t="shared" ref="J231:L231" si="247">J232+J233</f>
        <v>0</v>
      </c>
      <c r="K231" s="254">
        <f t="shared" si="247"/>
        <v>0</v>
      </c>
      <c r="L231" s="254">
        <f t="shared" si="247"/>
        <v>0</v>
      </c>
      <c r="M231" s="232">
        <f t="shared" si="212"/>
        <v>0</v>
      </c>
      <c r="N231" s="254">
        <v>0</v>
      </c>
      <c r="O231" s="254">
        <f t="shared" ref="O231:Q231" si="248">O232+O233</f>
        <v>0</v>
      </c>
      <c r="P231" s="254">
        <f t="shared" si="248"/>
        <v>0</v>
      </c>
      <c r="Q231" s="254">
        <f t="shared" si="248"/>
        <v>0</v>
      </c>
      <c r="R231" s="232">
        <f t="shared" si="213"/>
        <v>0</v>
      </c>
    </row>
    <row r="232" spans="1:18" s="29" customFormat="1" ht="12" hidden="1" customHeight="1">
      <c r="A232" s="140">
        <v>5000</v>
      </c>
      <c r="B232" s="124" t="s">
        <v>123</v>
      </c>
      <c r="C232" s="170"/>
      <c r="D232" s="171">
        <v>0</v>
      </c>
      <c r="E232" s="244"/>
      <c r="F232" s="244"/>
      <c r="G232" s="244"/>
      <c r="H232" s="232">
        <f t="shared" si="218"/>
        <v>0</v>
      </c>
      <c r="I232" s="233">
        <v>0</v>
      </c>
      <c r="J232" s="244"/>
      <c r="K232" s="244"/>
      <c r="L232" s="244"/>
      <c r="M232" s="232">
        <f t="shared" si="212"/>
        <v>0</v>
      </c>
      <c r="N232" s="233">
        <v>0</v>
      </c>
      <c r="O232" s="244"/>
      <c r="P232" s="244"/>
      <c r="Q232" s="244"/>
      <c r="R232" s="232">
        <f t="shared" si="213"/>
        <v>0</v>
      </c>
    </row>
    <row r="233" spans="1:18" s="29" customFormat="1" ht="12" hidden="1" customHeight="1">
      <c r="A233" s="140">
        <v>9000</v>
      </c>
      <c r="B233" s="182" t="s">
        <v>164</v>
      </c>
      <c r="C233" s="170">
        <v>0</v>
      </c>
      <c r="D233" s="171">
        <v>0</v>
      </c>
      <c r="E233" s="233">
        <f t="shared" ref="E233:G233" si="249">E234+E240+E244+E247</f>
        <v>0</v>
      </c>
      <c r="F233" s="233">
        <f t="shared" si="249"/>
        <v>0</v>
      </c>
      <c r="G233" s="233">
        <f t="shared" si="249"/>
        <v>0</v>
      </c>
      <c r="H233" s="232">
        <f t="shared" si="218"/>
        <v>0</v>
      </c>
      <c r="I233" s="233">
        <v>0</v>
      </c>
      <c r="J233" s="233">
        <f t="shared" ref="J233:L233" si="250">J234+J240+J244+J247</f>
        <v>0</v>
      </c>
      <c r="K233" s="233">
        <f t="shared" si="250"/>
        <v>0</v>
      </c>
      <c r="L233" s="233">
        <f t="shared" si="250"/>
        <v>0</v>
      </c>
      <c r="M233" s="232">
        <f t="shared" si="212"/>
        <v>0</v>
      </c>
      <c r="N233" s="233">
        <v>0</v>
      </c>
      <c r="O233" s="233">
        <f t="shared" ref="O233:Q233" si="251">O234+O240+O244+O247</f>
        <v>0</v>
      </c>
      <c r="P233" s="233">
        <f t="shared" si="251"/>
        <v>0</v>
      </c>
      <c r="Q233" s="233">
        <f t="shared" si="251"/>
        <v>0</v>
      </c>
      <c r="R233" s="232">
        <f t="shared" si="213"/>
        <v>0</v>
      </c>
    </row>
    <row r="234" spans="1:18" s="29" customFormat="1" ht="12" hidden="1" customHeight="1">
      <c r="A234" s="141">
        <v>9100</v>
      </c>
      <c r="B234" s="179" t="s">
        <v>124</v>
      </c>
      <c r="C234" s="170">
        <v>0</v>
      </c>
      <c r="D234" s="171">
        <v>0</v>
      </c>
      <c r="E234" s="233">
        <f t="shared" ref="E234:G234" si="252">SUM(E235:E236)</f>
        <v>0</v>
      </c>
      <c r="F234" s="233">
        <f t="shared" ref="F234" si="253">SUM(F235:F236)</f>
        <v>0</v>
      </c>
      <c r="G234" s="233">
        <f t="shared" si="252"/>
        <v>0</v>
      </c>
      <c r="H234" s="232">
        <f t="shared" si="218"/>
        <v>0</v>
      </c>
      <c r="I234" s="233">
        <v>0</v>
      </c>
      <c r="J234" s="233">
        <f t="shared" ref="J234:L234" si="254">SUM(J235:J236)</f>
        <v>0</v>
      </c>
      <c r="K234" s="233">
        <f t="shared" si="254"/>
        <v>0</v>
      </c>
      <c r="L234" s="233">
        <f t="shared" si="254"/>
        <v>0</v>
      </c>
      <c r="M234" s="232">
        <f t="shared" si="212"/>
        <v>0</v>
      </c>
      <c r="N234" s="233">
        <v>0</v>
      </c>
      <c r="O234" s="233">
        <f t="shared" ref="O234:Q234" si="255">SUM(O235:O236)</f>
        <v>0</v>
      </c>
      <c r="P234" s="233">
        <f t="shared" si="255"/>
        <v>0</v>
      </c>
      <c r="Q234" s="233">
        <f t="shared" si="255"/>
        <v>0</v>
      </c>
      <c r="R234" s="232">
        <f t="shared" si="213"/>
        <v>0</v>
      </c>
    </row>
    <row r="235" spans="1:18" s="29" customFormat="1" ht="24" hidden="1" customHeight="1">
      <c r="A235" s="133" t="s">
        <v>125</v>
      </c>
      <c r="B235" s="179" t="s">
        <v>214</v>
      </c>
      <c r="C235" s="170"/>
      <c r="D235" s="171">
        <v>0</v>
      </c>
      <c r="E235" s="233"/>
      <c r="F235" s="233"/>
      <c r="G235" s="233"/>
      <c r="H235" s="232">
        <f t="shared" si="218"/>
        <v>0</v>
      </c>
      <c r="I235" s="233">
        <v>0</v>
      </c>
      <c r="J235" s="233"/>
      <c r="K235" s="233"/>
      <c r="L235" s="233"/>
      <c r="M235" s="232">
        <f t="shared" si="212"/>
        <v>0</v>
      </c>
      <c r="N235" s="233">
        <v>0</v>
      </c>
      <c r="O235" s="233"/>
      <c r="P235" s="233"/>
      <c r="Q235" s="233"/>
      <c r="R235" s="232">
        <f t="shared" si="213"/>
        <v>0</v>
      </c>
    </row>
    <row r="236" spans="1:18" s="29" customFormat="1" ht="24" hidden="1" customHeight="1">
      <c r="A236" s="133">
        <v>9140</v>
      </c>
      <c r="B236" s="179" t="s">
        <v>215</v>
      </c>
      <c r="C236" s="170">
        <v>0</v>
      </c>
      <c r="D236" s="171">
        <v>0</v>
      </c>
      <c r="E236" s="233">
        <f t="shared" ref="E236:G236" si="256">SUM(E237:E239)</f>
        <v>0</v>
      </c>
      <c r="F236" s="233">
        <f t="shared" si="256"/>
        <v>0</v>
      </c>
      <c r="G236" s="233">
        <f t="shared" si="256"/>
        <v>0</v>
      </c>
      <c r="H236" s="232">
        <f t="shared" si="218"/>
        <v>0</v>
      </c>
      <c r="I236" s="233">
        <v>0</v>
      </c>
      <c r="J236" s="233">
        <f t="shared" ref="J236:L236" si="257">SUM(J237:J239)</f>
        <v>0</v>
      </c>
      <c r="K236" s="233">
        <f t="shared" si="257"/>
        <v>0</v>
      </c>
      <c r="L236" s="233">
        <f t="shared" si="257"/>
        <v>0</v>
      </c>
      <c r="M236" s="232">
        <f t="shared" si="212"/>
        <v>0</v>
      </c>
      <c r="N236" s="233">
        <v>0</v>
      </c>
      <c r="O236" s="233">
        <f t="shared" ref="O236:Q236" si="258">SUM(O237:O239)</f>
        <v>0</v>
      </c>
      <c r="P236" s="233">
        <f t="shared" si="258"/>
        <v>0</v>
      </c>
      <c r="Q236" s="233">
        <f t="shared" si="258"/>
        <v>0</v>
      </c>
      <c r="R236" s="232">
        <f t="shared" si="213"/>
        <v>0</v>
      </c>
    </row>
    <row r="237" spans="1:18" s="29" customFormat="1" ht="36" hidden="1" customHeight="1">
      <c r="A237" s="134">
        <v>9141</v>
      </c>
      <c r="B237" s="172" t="s">
        <v>190</v>
      </c>
      <c r="C237" s="204"/>
      <c r="D237" s="180">
        <v>0</v>
      </c>
      <c r="E237" s="252"/>
      <c r="F237" s="252"/>
      <c r="G237" s="252"/>
      <c r="H237" s="232">
        <f t="shared" si="218"/>
        <v>0</v>
      </c>
      <c r="I237" s="252">
        <v>0</v>
      </c>
      <c r="J237" s="252"/>
      <c r="K237" s="252"/>
      <c r="L237" s="252"/>
      <c r="M237" s="232">
        <f t="shared" si="212"/>
        <v>0</v>
      </c>
      <c r="N237" s="252">
        <v>0</v>
      </c>
      <c r="O237" s="252"/>
      <c r="P237" s="252"/>
      <c r="Q237" s="252"/>
      <c r="R237" s="232">
        <f t="shared" si="213"/>
        <v>0</v>
      </c>
    </row>
    <row r="238" spans="1:18" s="29" customFormat="1" ht="36" hidden="1" customHeight="1">
      <c r="A238" s="134">
        <v>9142</v>
      </c>
      <c r="B238" s="172" t="s">
        <v>191</v>
      </c>
      <c r="C238" s="204"/>
      <c r="D238" s="180">
        <v>0</v>
      </c>
      <c r="E238" s="252"/>
      <c r="F238" s="252"/>
      <c r="G238" s="252"/>
      <c r="H238" s="232">
        <f t="shared" si="218"/>
        <v>0</v>
      </c>
      <c r="I238" s="252">
        <v>0</v>
      </c>
      <c r="J238" s="252"/>
      <c r="K238" s="252"/>
      <c r="L238" s="252"/>
      <c r="M238" s="232">
        <f t="shared" si="212"/>
        <v>0</v>
      </c>
      <c r="N238" s="252">
        <v>0</v>
      </c>
      <c r="O238" s="252"/>
      <c r="P238" s="252"/>
      <c r="Q238" s="252"/>
      <c r="R238" s="232">
        <f t="shared" si="213"/>
        <v>0</v>
      </c>
    </row>
    <row r="239" spans="1:18" s="29" customFormat="1" ht="24" hidden="1" customHeight="1">
      <c r="A239" s="134">
        <v>9149</v>
      </c>
      <c r="B239" s="172" t="s">
        <v>192</v>
      </c>
      <c r="C239" s="204"/>
      <c r="D239" s="180">
        <v>0</v>
      </c>
      <c r="E239" s="252"/>
      <c r="F239" s="252"/>
      <c r="G239" s="252"/>
      <c r="H239" s="232">
        <f t="shared" si="218"/>
        <v>0</v>
      </c>
      <c r="I239" s="252">
        <v>0</v>
      </c>
      <c r="J239" s="252"/>
      <c r="K239" s="252"/>
      <c r="L239" s="252"/>
      <c r="M239" s="232">
        <f t="shared" si="212"/>
        <v>0</v>
      </c>
      <c r="N239" s="252">
        <v>0</v>
      </c>
      <c r="O239" s="252"/>
      <c r="P239" s="252"/>
      <c r="Q239" s="252"/>
      <c r="R239" s="232">
        <f t="shared" si="213"/>
        <v>0</v>
      </c>
    </row>
    <row r="240" spans="1:18" s="29" customFormat="1" ht="24" hidden="1" customHeight="1">
      <c r="A240" s="141">
        <v>9500</v>
      </c>
      <c r="B240" s="172" t="s">
        <v>165</v>
      </c>
      <c r="C240" s="170">
        <v>0</v>
      </c>
      <c r="D240" s="171">
        <v>0</v>
      </c>
      <c r="E240" s="233">
        <f t="shared" ref="E240:G240" si="259">SUM(E241:E243)</f>
        <v>0</v>
      </c>
      <c r="F240" s="233">
        <f t="shared" si="259"/>
        <v>0</v>
      </c>
      <c r="G240" s="233">
        <f t="shared" si="259"/>
        <v>0</v>
      </c>
      <c r="H240" s="232">
        <f t="shared" si="218"/>
        <v>0</v>
      </c>
      <c r="I240" s="233">
        <v>0</v>
      </c>
      <c r="J240" s="233">
        <f t="shared" ref="J240:L240" si="260">SUM(J241:J243)</f>
        <v>0</v>
      </c>
      <c r="K240" s="233">
        <f t="shared" si="260"/>
        <v>0</v>
      </c>
      <c r="L240" s="233">
        <f t="shared" si="260"/>
        <v>0</v>
      </c>
      <c r="M240" s="232">
        <f t="shared" si="212"/>
        <v>0</v>
      </c>
      <c r="N240" s="233">
        <v>0</v>
      </c>
      <c r="O240" s="233">
        <f t="shared" ref="O240:Q240" si="261">SUM(O241:O243)</f>
        <v>0</v>
      </c>
      <c r="P240" s="233">
        <f t="shared" si="261"/>
        <v>0</v>
      </c>
      <c r="Q240" s="233">
        <f t="shared" si="261"/>
        <v>0</v>
      </c>
      <c r="R240" s="232">
        <f t="shared" si="213"/>
        <v>0</v>
      </c>
    </row>
    <row r="241" spans="1:18" s="29" customFormat="1" ht="24" hidden="1" customHeight="1">
      <c r="A241" s="133" t="s">
        <v>193</v>
      </c>
      <c r="B241" s="172" t="s">
        <v>171</v>
      </c>
      <c r="C241" s="170"/>
      <c r="D241" s="171">
        <v>0</v>
      </c>
      <c r="E241" s="233"/>
      <c r="F241" s="233"/>
      <c r="G241" s="233"/>
      <c r="H241" s="232">
        <f t="shared" si="218"/>
        <v>0</v>
      </c>
      <c r="I241" s="233">
        <v>0</v>
      </c>
      <c r="J241" s="233"/>
      <c r="K241" s="233"/>
      <c r="L241" s="233"/>
      <c r="M241" s="232">
        <f t="shared" si="212"/>
        <v>0</v>
      </c>
      <c r="N241" s="233">
        <v>0</v>
      </c>
      <c r="O241" s="233"/>
      <c r="P241" s="233"/>
      <c r="Q241" s="233"/>
      <c r="R241" s="232">
        <f t="shared" si="213"/>
        <v>0</v>
      </c>
    </row>
    <row r="242" spans="1:18" s="29" customFormat="1" ht="48" hidden="1" customHeight="1">
      <c r="A242" s="133">
        <v>9580</v>
      </c>
      <c r="B242" s="172" t="s">
        <v>166</v>
      </c>
      <c r="C242" s="204"/>
      <c r="D242" s="180">
        <v>0</v>
      </c>
      <c r="E242" s="252"/>
      <c r="F242" s="252"/>
      <c r="G242" s="252"/>
      <c r="H242" s="232">
        <f t="shared" si="218"/>
        <v>0</v>
      </c>
      <c r="I242" s="252">
        <v>0</v>
      </c>
      <c r="J242" s="252"/>
      <c r="K242" s="252"/>
      <c r="L242" s="252"/>
      <c r="M242" s="232">
        <f t="shared" si="212"/>
        <v>0</v>
      </c>
      <c r="N242" s="252">
        <v>0</v>
      </c>
      <c r="O242" s="252"/>
      <c r="P242" s="252"/>
      <c r="Q242" s="252"/>
      <c r="R242" s="232">
        <f t="shared" si="213"/>
        <v>0</v>
      </c>
    </row>
    <row r="243" spans="1:18" s="29" customFormat="1" ht="48" hidden="1" customHeight="1">
      <c r="A243" s="133">
        <v>9590</v>
      </c>
      <c r="B243" s="179" t="s">
        <v>172</v>
      </c>
      <c r="C243" s="204"/>
      <c r="D243" s="180">
        <v>0</v>
      </c>
      <c r="E243" s="252"/>
      <c r="F243" s="252"/>
      <c r="G243" s="252"/>
      <c r="H243" s="232">
        <f t="shared" si="218"/>
        <v>0</v>
      </c>
      <c r="I243" s="252">
        <v>0</v>
      </c>
      <c r="J243" s="252"/>
      <c r="K243" s="252"/>
      <c r="L243" s="252"/>
      <c r="M243" s="232">
        <f t="shared" si="212"/>
        <v>0</v>
      </c>
      <c r="N243" s="252">
        <v>0</v>
      </c>
      <c r="O243" s="252"/>
      <c r="P243" s="252"/>
      <c r="Q243" s="252"/>
      <c r="R243" s="232">
        <f t="shared" si="213"/>
        <v>0</v>
      </c>
    </row>
    <row r="244" spans="1:18" s="29" customFormat="1" ht="24" hidden="1" customHeight="1">
      <c r="A244" s="141">
        <v>9700</v>
      </c>
      <c r="B244" s="183" t="s">
        <v>194</v>
      </c>
      <c r="C244" s="170">
        <v>0</v>
      </c>
      <c r="D244" s="171">
        <v>0</v>
      </c>
      <c r="E244" s="233">
        <f t="shared" ref="E244:G244" si="262">SUM(E245:E246)</f>
        <v>0</v>
      </c>
      <c r="F244" s="233">
        <f t="shared" si="262"/>
        <v>0</v>
      </c>
      <c r="G244" s="233">
        <f t="shared" si="262"/>
        <v>0</v>
      </c>
      <c r="H244" s="232">
        <f t="shared" si="218"/>
        <v>0</v>
      </c>
      <c r="I244" s="233">
        <v>0</v>
      </c>
      <c r="J244" s="233">
        <f t="shared" ref="J244:L244" si="263">SUM(J245:J246)</f>
        <v>0</v>
      </c>
      <c r="K244" s="233">
        <f t="shared" si="263"/>
        <v>0</v>
      </c>
      <c r="L244" s="233">
        <f t="shared" si="263"/>
        <v>0</v>
      </c>
      <c r="M244" s="232">
        <f t="shared" si="212"/>
        <v>0</v>
      </c>
      <c r="N244" s="233">
        <v>0</v>
      </c>
      <c r="O244" s="233">
        <f t="shared" ref="O244:Q244" si="264">SUM(O245:O246)</f>
        <v>0</v>
      </c>
      <c r="P244" s="233">
        <f t="shared" si="264"/>
        <v>0</v>
      </c>
      <c r="Q244" s="233">
        <f t="shared" si="264"/>
        <v>0</v>
      </c>
      <c r="R244" s="232">
        <f t="shared" si="213"/>
        <v>0</v>
      </c>
    </row>
    <row r="245" spans="1:18" s="29" customFormat="1" ht="24" hidden="1" customHeight="1">
      <c r="A245" s="133">
        <v>9710</v>
      </c>
      <c r="B245" s="184" t="s">
        <v>195</v>
      </c>
      <c r="C245" s="204"/>
      <c r="D245" s="180">
        <v>0</v>
      </c>
      <c r="E245" s="252"/>
      <c r="F245" s="252"/>
      <c r="G245" s="252"/>
      <c r="H245" s="232">
        <f t="shared" si="218"/>
        <v>0</v>
      </c>
      <c r="I245" s="252">
        <v>0</v>
      </c>
      <c r="J245" s="252"/>
      <c r="K245" s="252"/>
      <c r="L245" s="252"/>
      <c r="M245" s="232">
        <f t="shared" si="212"/>
        <v>0</v>
      </c>
      <c r="N245" s="252">
        <v>0</v>
      </c>
      <c r="O245" s="252"/>
      <c r="P245" s="252"/>
      <c r="Q245" s="252"/>
      <c r="R245" s="232">
        <f t="shared" si="213"/>
        <v>0</v>
      </c>
    </row>
    <row r="246" spans="1:18" s="29" customFormat="1" ht="48" hidden="1" customHeight="1">
      <c r="A246" s="142">
        <v>9720</v>
      </c>
      <c r="B246" s="183" t="s">
        <v>196</v>
      </c>
      <c r="C246" s="204"/>
      <c r="D246" s="180">
        <v>0</v>
      </c>
      <c r="E246" s="252"/>
      <c r="F246" s="252"/>
      <c r="G246" s="252"/>
      <c r="H246" s="232">
        <f t="shared" si="218"/>
        <v>0</v>
      </c>
      <c r="I246" s="252">
        <v>0</v>
      </c>
      <c r="J246" s="252"/>
      <c r="K246" s="252"/>
      <c r="L246" s="252"/>
      <c r="M246" s="232">
        <f t="shared" si="212"/>
        <v>0</v>
      </c>
      <c r="N246" s="252">
        <v>0</v>
      </c>
      <c r="O246" s="252"/>
      <c r="P246" s="252"/>
      <c r="Q246" s="252"/>
      <c r="R246" s="232">
        <f t="shared" si="213"/>
        <v>0</v>
      </c>
    </row>
    <row r="247" spans="1:18" s="29" customFormat="1" ht="24" hidden="1" customHeight="1">
      <c r="A247" s="141">
        <v>9600</v>
      </c>
      <c r="B247" s="179" t="s">
        <v>134</v>
      </c>
      <c r="C247" s="204"/>
      <c r="D247" s="180">
        <v>0</v>
      </c>
      <c r="E247" s="252"/>
      <c r="F247" s="252"/>
      <c r="G247" s="252"/>
      <c r="H247" s="232">
        <f t="shared" si="218"/>
        <v>0</v>
      </c>
      <c r="I247" s="252">
        <v>0</v>
      </c>
      <c r="J247" s="252"/>
      <c r="K247" s="252"/>
      <c r="L247" s="252"/>
      <c r="M247" s="232">
        <f t="shared" si="212"/>
        <v>0</v>
      </c>
      <c r="N247" s="252">
        <v>0</v>
      </c>
      <c r="O247" s="252"/>
      <c r="P247" s="252"/>
      <c r="Q247" s="252"/>
      <c r="R247" s="232">
        <f t="shared" si="213"/>
        <v>0</v>
      </c>
    </row>
    <row r="248" spans="1:18" s="29" customFormat="1" ht="52.5" hidden="1" customHeight="1">
      <c r="A248" s="130" t="s">
        <v>197</v>
      </c>
      <c r="B248" s="185" t="s">
        <v>47</v>
      </c>
      <c r="C248" s="206"/>
      <c r="D248" s="186">
        <v>0</v>
      </c>
      <c r="E248" s="262">
        <f t="shared" ref="E248:G248" si="265">E178-E203</f>
        <v>0</v>
      </c>
      <c r="F248" s="262">
        <f t="shared" si="265"/>
        <v>0</v>
      </c>
      <c r="G248" s="262">
        <f t="shared" si="265"/>
        <v>0</v>
      </c>
      <c r="H248" s="232">
        <f t="shared" si="218"/>
        <v>0</v>
      </c>
      <c r="I248" s="262">
        <v>0</v>
      </c>
      <c r="J248" s="262">
        <f t="shared" ref="J248:L248" si="266">J178-J203</f>
        <v>0</v>
      </c>
      <c r="K248" s="262">
        <f t="shared" si="266"/>
        <v>0</v>
      </c>
      <c r="L248" s="262">
        <f t="shared" si="266"/>
        <v>0</v>
      </c>
      <c r="M248" s="232">
        <f t="shared" si="212"/>
        <v>0</v>
      </c>
      <c r="N248" s="262">
        <v>0</v>
      </c>
      <c r="O248" s="262">
        <f t="shared" ref="O248:Q248" si="267">O178-O203</f>
        <v>0</v>
      </c>
      <c r="P248" s="262">
        <f t="shared" si="267"/>
        <v>0</v>
      </c>
      <c r="Q248" s="262">
        <f t="shared" si="267"/>
        <v>0</v>
      </c>
      <c r="R248" s="232">
        <f t="shared" si="213"/>
        <v>0</v>
      </c>
    </row>
    <row r="249" spans="1:18" s="29" customFormat="1" ht="12" hidden="1" customHeight="1">
      <c r="A249" s="143" t="s">
        <v>48</v>
      </c>
      <c r="B249" s="185" t="s">
        <v>49</v>
      </c>
      <c r="C249" s="206">
        <v>0</v>
      </c>
      <c r="D249" s="186">
        <v>0</v>
      </c>
      <c r="E249" s="262">
        <f t="shared" ref="E249:G249" si="268">E250+E253+E257+E256</f>
        <v>0</v>
      </c>
      <c r="F249" s="262">
        <f t="shared" si="268"/>
        <v>0</v>
      </c>
      <c r="G249" s="262">
        <f t="shared" si="268"/>
        <v>0</v>
      </c>
      <c r="H249" s="232">
        <f t="shared" si="218"/>
        <v>0</v>
      </c>
      <c r="I249" s="262">
        <v>0</v>
      </c>
      <c r="J249" s="262">
        <f t="shared" ref="J249:L249" si="269">J250+J253+J257+J256</f>
        <v>0</v>
      </c>
      <c r="K249" s="262">
        <f t="shared" si="269"/>
        <v>0</v>
      </c>
      <c r="L249" s="262">
        <f t="shared" si="269"/>
        <v>0</v>
      </c>
      <c r="M249" s="232">
        <f t="shared" si="212"/>
        <v>0</v>
      </c>
      <c r="N249" s="262">
        <v>0</v>
      </c>
      <c r="O249" s="262">
        <f t="shared" ref="O249:Q249" si="270">O250+O253+O257+O256</f>
        <v>0</v>
      </c>
      <c r="P249" s="262">
        <f t="shared" si="270"/>
        <v>0</v>
      </c>
      <c r="Q249" s="262">
        <f t="shared" si="270"/>
        <v>0</v>
      </c>
      <c r="R249" s="232">
        <f t="shared" si="213"/>
        <v>0</v>
      </c>
    </row>
    <row r="250" spans="1:18" s="29" customFormat="1" ht="12" hidden="1" customHeight="1">
      <c r="A250" s="141" t="s">
        <v>50</v>
      </c>
      <c r="B250" s="179" t="s">
        <v>51</v>
      </c>
      <c r="C250" s="98">
        <v>0</v>
      </c>
      <c r="D250" s="169">
        <v>0</v>
      </c>
      <c r="E250" s="231">
        <f t="shared" ref="E250:G250" si="271">E251+E252</f>
        <v>0</v>
      </c>
      <c r="F250" s="231">
        <f t="shared" si="271"/>
        <v>0</v>
      </c>
      <c r="G250" s="231">
        <f t="shared" si="271"/>
        <v>0</v>
      </c>
      <c r="H250" s="232">
        <f t="shared" si="218"/>
        <v>0</v>
      </c>
      <c r="I250" s="231">
        <v>0</v>
      </c>
      <c r="J250" s="231">
        <f t="shared" ref="J250:L250" si="272">J251+J252</f>
        <v>0</v>
      </c>
      <c r="K250" s="231">
        <f t="shared" si="272"/>
        <v>0</v>
      </c>
      <c r="L250" s="231">
        <f t="shared" si="272"/>
        <v>0</v>
      </c>
      <c r="M250" s="232">
        <f t="shared" si="212"/>
        <v>0</v>
      </c>
      <c r="N250" s="231">
        <v>0</v>
      </c>
      <c r="O250" s="231">
        <f t="shared" ref="O250:Q250" si="273">O251+O252</f>
        <v>0</v>
      </c>
      <c r="P250" s="231">
        <f t="shared" si="273"/>
        <v>0</v>
      </c>
      <c r="Q250" s="231">
        <f t="shared" si="273"/>
        <v>0</v>
      </c>
      <c r="R250" s="232">
        <f t="shared" si="213"/>
        <v>0</v>
      </c>
    </row>
    <row r="251" spans="1:18" s="29" customFormat="1" ht="12" hidden="1" customHeight="1">
      <c r="A251" s="141" t="s">
        <v>52</v>
      </c>
      <c r="B251" s="179" t="s">
        <v>53</v>
      </c>
      <c r="C251" s="98"/>
      <c r="D251" s="169">
        <v>0</v>
      </c>
      <c r="E251" s="231"/>
      <c r="F251" s="231"/>
      <c r="G251" s="231"/>
      <c r="H251" s="232">
        <f t="shared" si="218"/>
        <v>0</v>
      </c>
      <c r="I251" s="231">
        <v>0</v>
      </c>
      <c r="J251" s="231"/>
      <c r="K251" s="231"/>
      <c r="L251" s="231"/>
      <c r="M251" s="232">
        <f t="shared" si="212"/>
        <v>0</v>
      </c>
      <c r="N251" s="231">
        <v>0</v>
      </c>
      <c r="O251" s="231"/>
      <c r="P251" s="231"/>
      <c r="Q251" s="231"/>
      <c r="R251" s="232">
        <f t="shared" si="213"/>
        <v>0</v>
      </c>
    </row>
    <row r="252" spans="1:18" s="29" customFormat="1" ht="12" hidden="1" customHeight="1">
      <c r="A252" s="141" t="s">
        <v>54</v>
      </c>
      <c r="B252" s="179" t="s">
        <v>55</v>
      </c>
      <c r="C252" s="98"/>
      <c r="D252" s="169">
        <v>0</v>
      </c>
      <c r="E252" s="231"/>
      <c r="F252" s="231"/>
      <c r="G252" s="231"/>
      <c r="H252" s="232">
        <f t="shared" si="218"/>
        <v>0</v>
      </c>
      <c r="I252" s="231">
        <v>0</v>
      </c>
      <c r="J252" s="231"/>
      <c r="K252" s="231"/>
      <c r="L252" s="231"/>
      <c r="M252" s="232">
        <f t="shared" si="212"/>
        <v>0</v>
      </c>
      <c r="N252" s="231">
        <v>0</v>
      </c>
      <c r="O252" s="231"/>
      <c r="P252" s="231"/>
      <c r="Q252" s="231"/>
      <c r="R252" s="232">
        <f t="shared" si="213"/>
        <v>0</v>
      </c>
    </row>
    <row r="253" spans="1:18" s="29" customFormat="1" ht="12" hidden="1" customHeight="1">
      <c r="A253" s="141" t="s">
        <v>56</v>
      </c>
      <c r="B253" s="179" t="s">
        <v>57</v>
      </c>
      <c r="C253" s="98">
        <v>0</v>
      </c>
      <c r="D253" s="169">
        <v>0</v>
      </c>
      <c r="E253" s="231">
        <f t="shared" ref="E253:G253" si="274">E254+E255</f>
        <v>0</v>
      </c>
      <c r="F253" s="231">
        <f t="shared" si="274"/>
        <v>0</v>
      </c>
      <c r="G253" s="231">
        <f t="shared" si="274"/>
        <v>0</v>
      </c>
      <c r="H253" s="232">
        <f t="shared" si="218"/>
        <v>0</v>
      </c>
      <c r="I253" s="231">
        <v>0</v>
      </c>
      <c r="J253" s="231">
        <f t="shared" ref="J253:L253" si="275">J254+J255</f>
        <v>0</v>
      </c>
      <c r="K253" s="231">
        <f t="shared" si="275"/>
        <v>0</v>
      </c>
      <c r="L253" s="231">
        <f t="shared" si="275"/>
        <v>0</v>
      </c>
      <c r="M253" s="232">
        <f t="shared" si="212"/>
        <v>0</v>
      </c>
      <c r="N253" s="231">
        <v>0</v>
      </c>
      <c r="O253" s="231">
        <f t="shared" ref="O253:Q253" si="276">O254+O255</f>
        <v>0</v>
      </c>
      <c r="P253" s="231">
        <f t="shared" si="276"/>
        <v>0</v>
      </c>
      <c r="Q253" s="231">
        <f t="shared" si="276"/>
        <v>0</v>
      </c>
      <c r="R253" s="232">
        <f t="shared" si="213"/>
        <v>0</v>
      </c>
    </row>
    <row r="254" spans="1:18" s="29" customFormat="1" ht="12" hidden="1" customHeight="1">
      <c r="A254" s="141" t="s">
        <v>58</v>
      </c>
      <c r="B254" s="179" t="s">
        <v>59</v>
      </c>
      <c r="C254" s="98"/>
      <c r="D254" s="169">
        <v>0</v>
      </c>
      <c r="E254" s="231"/>
      <c r="F254" s="231"/>
      <c r="G254" s="231"/>
      <c r="H254" s="232">
        <f t="shared" si="218"/>
        <v>0</v>
      </c>
      <c r="I254" s="231">
        <v>0</v>
      </c>
      <c r="J254" s="231"/>
      <c r="K254" s="231"/>
      <c r="L254" s="231"/>
      <c r="M254" s="232">
        <f t="shared" si="212"/>
        <v>0</v>
      </c>
      <c r="N254" s="231">
        <v>0</v>
      </c>
      <c r="O254" s="231"/>
      <c r="P254" s="231"/>
      <c r="Q254" s="231"/>
      <c r="R254" s="232">
        <f t="shared" si="213"/>
        <v>0</v>
      </c>
    </row>
    <row r="255" spans="1:18" s="29" customFormat="1" ht="12" hidden="1" customHeight="1">
      <c r="A255" s="141" t="s">
        <v>60</v>
      </c>
      <c r="B255" s="179" t="s">
        <v>61</v>
      </c>
      <c r="C255" s="98"/>
      <c r="D255" s="169">
        <v>0</v>
      </c>
      <c r="E255" s="231"/>
      <c r="F255" s="231"/>
      <c r="G255" s="231"/>
      <c r="H255" s="232">
        <f t="shared" si="218"/>
        <v>0</v>
      </c>
      <c r="I255" s="231">
        <v>0</v>
      </c>
      <c r="J255" s="231"/>
      <c r="K255" s="231"/>
      <c r="L255" s="231"/>
      <c r="M255" s="232">
        <f t="shared" si="212"/>
        <v>0</v>
      </c>
      <c r="N255" s="231">
        <v>0</v>
      </c>
      <c r="O255" s="231"/>
      <c r="P255" s="231"/>
      <c r="Q255" s="231"/>
      <c r="R255" s="232">
        <f t="shared" si="213"/>
        <v>0</v>
      </c>
    </row>
    <row r="256" spans="1:18" s="29" customFormat="1" ht="12" hidden="1" customHeight="1">
      <c r="A256" s="141" t="s">
        <v>198</v>
      </c>
      <c r="B256" s="187" t="s">
        <v>168</v>
      </c>
      <c r="C256" s="98"/>
      <c r="D256" s="169">
        <v>0</v>
      </c>
      <c r="E256" s="231"/>
      <c r="F256" s="231"/>
      <c r="G256" s="231"/>
      <c r="H256" s="232">
        <f t="shared" si="218"/>
        <v>0</v>
      </c>
      <c r="I256" s="231">
        <v>0</v>
      </c>
      <c r="J256" s="231"/>
      <c r="K256" s="231"/>
      <c r="L256" s="231"/>
      <c r="M256" s="232">
        <f t="shared" si="212"/>
        <v>0</v>
      </c>
      <c r="N256" s="231">
        <v>0</v>
      </c>
      <c r="O256" s="231"/>
      <c r="P256" s="231"/>
      <c r="Q256" s="231"/>
      <c r="R256" s="232">
        <f t="shared" si="213"/>
        <v>0</v>
      </c>
    </row>
    <row r="257" spans="1:18" s="29" customFormat="1" ht="12" hidden="1" customHeight="1">
      <c r="A257" s="144" t="s">
        <v>62</v>
      </c>
      <c r="B257" s="125" t="s">
        <v>63</v>
      </c>
      <c r="C257" s="170">
        <v>0</v>
      </c>
      <c r="D257" s="171">
        <v>0</v>
      </c>
      <c r="E257" s="233">
        <f t="shared" ref="E257:G257" si="277">E258+E259+E260</f>
        <v>0</v>
      </c>
      <c r="F257" s="233">
        <f t="shared" si="277"/>
        <v>0</v>
      </c>
      <c r="G257" s="233">
        <f t="shared" si="277"/>
        <v>0</v>
      </c>
      <c r="H257" s="232">
        <f t="shared" si="218"/>
        <v>0</v>
      </c>
      <c r="I257" s="233">
        <v>0</v>
      </c>
      <c r="J257" s="233">
        <f t="shared" ref="J257:L257" si="278">J258+J259+J260</f>
        <v>0</v>
      </c>
      <c r="K257" s="233">
        <f t="shared" si="278"/>
        <v>0</v>
      </c>
      <c r="L257" s="233">
        <f t="shared" si="278"/>
        <v>0</v>
      </c>
      <c r="M257" s="232">
        <f t="shared" si="212"/>
        <v>0</v>
      </c>
      <c r="N257" s="233">
        <v>0</v>
      </c>
      <c r="O257" s="233">
        <f t="shared" ref="O257:Q257" si="279">O258+O259+O260</f>
        <v>0</v>
      </c>
      <c r="P257" s="233">
        <f t="shared" si="279"/>
        <v>0</v>
      </c>
      <c r="Q257" s="233">
        <f t="shared" si="279"/>
        <v>0</v>
      </c>
      <c r="R257" s="232">
        <f t="shared" si="213"/>
        <v>0</v>
      </c>
    </row>
    <row r="258" spans="1:18" s="29" customFormat="1" ht="36" hidden="1" customHeight="1">
      <c r="A258" s="144" t="s">
        <v>64</v>
      </c>
      <c r="B258" s="179" t="s">
        <v>65</v>
      </c>
      <c r="C258" s="98"/>
      <c r="D258" s="169">
        <v>0</v>
      </c>
      <c r="E258" s="231"/>
      <c r="F258" s="231"/>
      <c r="G258" s="231"/>
      <c r="H258" s="232">
        <f t="shared" si="218"/>
        <v>0</v>
      </c>
      <c r="I258" s="231">
        <v>0</v>
      </c>
      <c r="J258" s="231"/>
      <c r="K258" s="231"/>
      <c r="L258" s="231"/>
      <c r="M258" s="232">
        <f t="shared" si="212"/>
        <v>0</v>
      </c>
      <c r="N258" s="231">
        <v>0</v>
      </c>
      <c r="O258" s="231"/>
      <c r="P258" s="231"/>
      <c r="Q258" s="231"/>
      <c r="R258" s="232">
        <f t="shared" si="213"/>
        <v>0</v>
      </c>
    </row>
    <row r="259" spans="1:18" s="29" customFormat="1" ht="24" hidden="1" customHeight="1">
      <c r="A259" s="144" t="s">
        <v>66</v>
      </c>
      <c r="B259" s="179" t="s">
        <v>67</v>
      </c>
      <c r="C259" s="98"/>
      <c r="D259" s="169">
        <v>0</v>
      </c>
      <c r="E259" s="231"/>
      <c r="F259" s="231"/>
      <c r="G259" s="231"/>
      <c r="H259" s="232">
        <f t="shared" si="218"/>
        <v>0</v>
      </c>
      <c r="I259" s="231">
        <v>0</v>
      </c>
      <c r="J259" s="231"/>
      <c r="K259" s="231"/>
      <c r="L259" s="231"/>
      <c r="M259" s="232">
        <f t="shared" si="212"/>
        <v>0</v>
      </c>
      <c r="N259" s="231">
        <v>0</v>
      </c>
      <c r="O259" s="231"/>
      <c r="P259" s="231"/>
      <c r="Q259" s="231"/>
      <c r="R259" s="232">
        <f t="shared" si="213"/>
        <v>0</v>
      </c>
    </row>
    <row r="260" spans="1:18" s="29" customFormat="1" ht="24" hidden="1" customHeight="1">
      <c r="A260" s="144" t="s">
        <v>68</v>
      </c>
      <c r="B260" s="125" t="s">
        <v>69</v>
      </c>
      <c r="C260" s="98"/>
      <c r="D260" s="169">
        <v>0</v>
      </c>
      <c r="E260" s="231"/>
      <c r="F260" s="231"/>
      <c r="G260" s="231"/>
      <c r="H260" s="232">
        <f t="shared" si="218"/>
        <v>0</v>
      </c>
      <c r="I260" s="231">
        <v>0</v>
      </c>
      <c r="J260" s="231"/>
      <c r="K260" s="231"/>
      <c r="L260" s="231"/>
      <c r="M260" s="232">
        <f t="shared" si="212"/>
        <v>0</v>
      </c>
      <c r="N260" s="231">
        <v>0</v>
      </c>
      <c r="O260" s="231"/>
      <c r="P260" s="231"/>
      <c r="Q260" s="231"/>
      <c r="R260" s="232">
        <f t="shared" si="213"/>
        <v>0</v>
      </c>
    </row>
    <row r="261" spans="1:18" s="29" customFormat="1" ht="12">
      <c r="A261" s="271"/>
      <c r="B261" s="272"/>
      <c r="C261" s="253"/>
      <c r="D261" s="254"/>
      <c r="E261" s="253"/>
      <c r="F261" s="253"/>
      <c r="G261" s="253"/>
      <c r="H261" s="232"/>
      <c r="I261" s="254"/>
      <c r="J261" s="253"/>
      <c r="K261" s="253"/>
      <c r="L261" s="253"/>
      <c r="M261" s="232"/>
      <c r="N261" s="254"/>
      <c r="O261" s="253"/>
      <c r="P261" s="253"/>
      <c r="Q261" s="253"/>
      <c r="R261" s="232"/>
    </row>
    <row r="262" spans="1:18" ht="12">
      <c r="A262" s="33"/>
      <c r="B262" s="164"/>
      <c r="C262" s="165"/>
      <c r="D262" s="163"/>
      <c r="E262" s="165"/>
      <c r="F262" s="163"/>
      <c r="G262" s="163"/>
      <c r="H262" s="163"/>
      <c r="I262" s="163"/>
      <c r="J262" s="165"/>
      <c r="K262" s="163"/>
      <c r="L262" s="163"/>
      <c r="M262" s="163"/>
      <c r="N262" s="163"/>
      <c r="O262" s="165"/>
      <c r="P262" s="163"/>
      <c r="Q262" s="163"/>
      <c r="R262" s="163"/>
    </row>
    <row r="263" spans="1:18" ht="12">
      <c r="A263" s="33"/>
      <c r="B263" s="164"/>
      <c r="C263" s="165"/>
      <c r="D263" s="163"/>
      <c r="E263" s="165"/>
      <c r="F263" s="163"/>
      <c r="G263" s="163"/>
      <c r="H263" s="163"/>
      <c r="I263" s="163"/>
      <c r="J263" s="165"/>
      <c r="K263" s="163"/>
      <c r="L263" s="163"/>
      <c r="M263" s="163"/>
      <c r="N263" s="163"/>
      <c r="O263" s="165"/>
      <c r="P263" s="163"/>
      <c r="Q263" s="163"/>
      <c r="R263" s="163"/>
    </row>
    <row r="264" spans="1:18" ht="13.2">
      <c r="A264" s="369" t="s">
        <v>236</v>
      </c>
      <c r="B264" s="370" t="s">
        <v>237</v>
      </c>
      <c r="C264" s="165"/>
      <c r="D264" s="163"/>
      <c r="E264" s="165"/>
      <c r="F264" s="163"/>
      <c r="G264" s="163"/>
      <c r="H264" s="163"/>
      <c r="I264" s="163"/>
      <c r="J264" s="165"/>
      <c r="K264" s="163"/>
      <c r="L264" s="163"/>
      <c r="M264" s="163"/>
      <c r="N264" s="163"/>
      <c r="O264" s="165"/>
      <c r="P264" s="163"/>
      <c r="Q264" s="163"/>
      <c r="R264" s="163"/>
    </row>
    <row r="265" spans="1:18" s="1071" customFormat="1" ht="13.2">
      <c r="A265" s="409"/>
      <c r="B265" s="477" t="s">
        <v>238</v>
      </c>
      <c r="C265" s="469"/>
      <c r="D265" s="470"/>
      <c r="E265" s="469"/>
      <c r="F265" s="470"/>
      <c r="G265" s="470"/>
      <c r="H265" s="470"/>
      <c r="I265" s="470"/>
      <c r="J265" s="469"/>
      <c r="K265" s="470"/>
      <c r="L265" s="470"/>
      <c r="M265" s="470"/>
      <c r="N265" s="470"/>
      <c r="O265" s="469"/>
      <c r="P265" s="470"/>
      <c r="Q265" s="470"/>
      <c r="R265" s="470"/>
    </row>
    <row r="266" spans="1:18" s="1071" customFormat="1" ht="13.2">
      <c r="A266" s="959" t="s">
        <v>223</v>
      </c>
      <c r="B266" s="932" t="s">
        <v>434</v>
      </c>
      <c r="C266" s="469"/>
      <c r="D266" s="470"/>
      <c r="E266" s="469"/>
      <c r="F266" s="470"/>
      <c r="G266" s="470"/>
      <c r="H266" s="470"/>
      <c r="I266" s="470"/>
      <c r="J266" s="469"/>
      <c r="K266" s="470"/>
      <c r="L266" s="470"/>
      <c r="M266" s="470"/>
      <c r="N266" s="470"/>
      <c r="O266" s="469"/>
      <c r="P266" s="470"/>
      <c r="Q266" s="470"/>
      <c r="R266" s="470"/>
    </row>
    <row r="267" spans="1:18" s="1071" customFormat="1" ht="92.4">
      <c r="A267" s="1241" t="s">
        <v>240</v>
      </c>
      <c r="B267" s="1144" t="s">
        <v>616</v>
      </c>
      <c r="C267" s="1148"/>
      <c r="D267" s="1147"/>
      <c r="E267" s="1148"/>
      <c r="F267" s="1147"/>
      <c r="G267" s="1147"/>
      <c r="H267" s="1147"/>
      <c r="I267" s="1147"/>
      <c r="J267" s="1148"/>
      <c r="K267" s="1147"/>
      <c r="L267" s="1147"/>
      <c r="M267" s="1147"/>
      <c r="N267" s="1147"/>
      <c r="O267" s="1148"/>
      <c r="P267" s="1147"/>
      <c r="Q267" s="1147"/>
      <c r="R267" s="1147"/>
    </row>
    <row r="268" spans="1:18" s="1071" customFormat="1" ht="11.4">
      <c r="A268" s="965"/>
      <c r="B268" s="1008" t="s">
        <v>88</v>
      </c>
      <c r="C268" s="1242"/>
      <c r="D268" s="1243"/>
      <c r="E268" s="971">
        <f>E269</f>
        <v>5460</v>
      </c>
      <c r="F268" s="971"/>
      <c r="G268" s="971"/>
      <c r="H268" s="972"/>
      <c r="I268" s="971"/>
      <c r="J268" s="971"/>
      <c r="K268" s="971"/>
      <c r="L268" s="971"/>
      <c r="M268" s="972"/>
      <c r="N268" s="971"/>
      <c r="O268" s="971"/>
      <c r="P268" s="971"/>
      <c r="Q268" s="971"/>
      <c r="R268" s="972"/>
    </row>
    <row r="269" spans="1:18" s="1071" customFormat="1" ht="24">
      <c r="A269" s="965"/>
      <c r="B269" s="471" t="s">
        <v>90</v>
      </c>
      <c r="C269" s="769"/>
      <c r="D269" s="770"/>
      <c r="E269" s="474">
        <v>5460</v>
      </c>
      <c r="F269" s="474"/>
      <c r="G269" s="474"/>
      <c r="H269" s="473"/>
      <c r="I269" s="474"/>
      <c r="J269" s="474"/>
      <c r="K269" s="474"/>
      <c r="L269" s="474"/>
      <c r="M269" s="473"/>
      <c r="N269" s="474"/>
      <c r="O269" s="474"/>
      <c r="P269" s="474"/>
      <c r="Q269" s="474"/>
      <c r="R269" s="473"/>
    </row>
    <row r="270" spans="1:18" s="1071" customFormat="1" ht="11.4">
      <c r="A270" s="965"/>
      <c r="B270" s="1008" t="s">
        <v>101</v>
      </c>
      <c r="C270" s="1242"/>
      <c r="D270" s="1243"/>
      <c r="E270" s="971">
        <f>E271</f>
        <v>5460</v>
      </c>
      <c r="F270" s="971"/>
      <c r="G270" s="971"/>
      <c r="H270" s="972"/>
      <c r="I270" s="971"/>
      <c r="J270" s="971"/>
      <c r="K270" s="971"/>
      <c r="L270" s="971"/>
      <c r="M270" s="972"/>
      <c r="N270" s="971"/>
      <c r="O270" s="971"/>
      <c r="P270" s="971"/>
      <c r="Q270" s="971"/>
      <c r="R270" s="972"/>
    </row>
    <row r="271" spans="1:18" s="1071" customFormat="1" ht="12">
      <c r="A271" s="965"/>
      <c r="B271" s="471" t="s">
        <v>103</v>
      </c>
      <c r="C271" s="769"/>
      <c r="D271" s="770"/>
      <c r="E271" s="473">
        <f>E272</f>
        <v>5460</v>
      </c>
      <c r="F271" s="474"/>
      <c r="G271" s="474"/>
      <c r="H271" s="473"/>
      <c r="I271" s="474"/>
      <c r="J271" s="474"/>
      <c r="K271" s="474"/>
      <c r="L271" s="474"/>
      <c r="M271" s="473"/>
      <c r="N271" s="474"/>
      <c r="O271" s="474"/>
      <c r="P271" s="474"/>
      <c r="Q271" s="474"/>
      <c r="R271" s="473"/>
    </row>
    <row r="272" spans="1:18" s="1071" customFormat="1" ht="12">
      <c r="A272" s="965"/>
      <c r="B272" s="471" t="s">
        <v>105</v>
      </c>
      <c r="C272" s="769"/>
      <c r="D272" s="770"/>
      <c r="E272" s="473">
        <f>+E273</f>
        <v>5460</v>
      </c>
      <c r="F272" s="474"/>
      <c r="G272" s="474"/>
      <c r="H272" s="473"/>
      <c r="I272" s="474"/>
      <c r="J272" s="474"/>
      <c r="K272" s="474"/>
      <c r="L272" s="474"/>
      <c r="M272" s="473"/>
      <c r="N272" s="474"/>
      <c r="O272" s="474"/>
      <c r="P272" s="474"/>
      <c r="Q272" s="474"/>
      <c r="R272" s="473"/>
    </row>
    <row r="273" spans="1:18" s="1071" customFormat="1" ht="12">
      <c r="A273" s="767"/>
      <c r="B273" s="768" t="s">
        <v>108</v>
      </c>
      <c r="C273" s="769"/>
      <c r="D273" s="770"/>
      <c r="E273" s="473">
        <v>5460</v>
      </c>
      <c r="F273" s="472"/>
      <c r="G273" s="474"/>
      <c r="H273" s="473"/>
      <c r="I273" s="474"/>
      <c r="J273" s="472"/>
      <c r="K273" s="472"/>
      <c r="L273" s="474"/>
      <c r="M273" s="473"/>
      <c r="N273" s="474"/>
      <c r="O273" s="472"/>
      <c r="P273" s="472"/>
      <c r="Q273" s="474"/>
      <c r="R273" s="473"/>
    </row>
    <row r="274" spans="1:18" s="1071" customFormat="1" ht="12">
      <c r="A274" s="767"/>
      <c r="B274" s="768"/>
      <c r="C274" s="769"/>
      <c r="D274" s="770"/>
      <c r="E274" s="473"/>
      <c r="F274" s="472"/>
      <c r="G274" s="474"/>
      <c r="H274" s="473"/>
      <c r="I274" s="474"/>
      <c r="J274" s="472"/>
      <c r="K274" s="472"/>
      <c r="L274" s="474"/>
      <c r="M274" s="473"/>
      <c r="N274" s="474"/>
      <c r="O274" s="472"/>
      <c r="P274" s="472"/>
      <c r="Q274" s="474"/>
      <c r="R274" s="473"/>
    </row>
    <row r="275" spans="1:18" s="1071" customFormat="1" ht="12">
      <c r="A275" s="767"/>
      <c r="B275" s="768"/>
      <c r="C275" s="769"/>
      <c r="D275" s="770"/>
      <c r="E275" s="473"/>
      <c r="F275" s="472"/>
      <c r="G275" s="474"/>
      <c r="H275" s="473"/>
      <c r="I275" s="474"/>
      <c r="J275" s="472"/>
      <c r="K275" s="472"/>
      <c r="L275" s="474"/>
      <c r="M275" s="473"/>
      <c r="N275" s="474"/>
      <c r="O275" s="472"/>
      <c r="P275" s="472"/>
      <c r="Q275" s="474"/>
      <c r="R275" s="473"/>
    </row>
    <row r="276" spans="1:18" s="1071" customFormat="1" ht="13.2">
      <c r="A276" s="931" t="s">
        <v>224</v>
      </c>
      <c r="B276" s="932" t="s">
        <v>242</v>
      </c>
      <c r="C276" s="469"/>
      <c r="D276" s="470"/>
      <c r="E276" s="469"/>
      <c r="F276" s="470"/>
      <c r="G276" s="470"/>
      <c r="H276" s="470"/>
      <c r="I276" s="470"/>
      <c r="J276" s="469"/>
      <c r="K276" s="470"/>
      <c r="L276" s="470"/>
      <c r="M276" s="470"/>
      <c r="N276" s="470"/>
      <c r="O276" s="469"/>
      <c r="P276" s="470"/>
      <c r="Q276" s="470"/>
      <c r="R276" s="470"/>
    </row>
    <row r="277" spans="1:18" s="1071" customFormat="1" ht="66">
      <c r="A277" s="1241" t="s">
        <v>243</v>
      </c>
      <c r="B277" s="1144" t="s">
        <v>617</v>
      </c>
      <c r="C277" s="1148"/>
      <c r="D277" s="1147"/>
      <c r="E277" s="1148"/>
      <c r="F277" s="1147"/>
      <c r="G277" s="1147"/>
      <c r="H277" s="1147"/>
      <c r="I277" s="1147"/>
      <c r="J277" s="1148"/>
      <c r="K277" s="1147"/>
      <c r="L277" s="1147"/>
      <c r="M277" s="1147"/>
      <c r="N277" s="1147"/>
      <c r="O277" s="1148"/>
      <c r="P277" s="1147"/>
      <c r="Q277" s="1147"/>
      <c r="R277" s="1147"/>
    </row>
    <row r="278" spans="1:18" s="1071" customFormat="1" ht="11.4">
      <c r="A278" s="965"/>
      <c r="B278" s="1008" t="s">
        <v>88</v>
      </c>
      <c r="C278" s="1242"/>
      <c r="D278" s="1243"/>
      <c r="E278" s="971"/>
      <c r="F278" s="971"/>
      <c r="G278" s="971">
        <f>G279</f>
        <v>30000</v>
      </c>
      <c r="H278" s="972"/>
      <c r="I278" s="971"/>
      <c r="J278" s="971"/>
      <c r="K278" s="971"/>
      <c r="L278" s="971">
        <f>L279</f>
        <v>40000</v>
      </c>
      <c r="M278" s="972"/>
      <c r="N278" s="971"/>
      <c r="O278" s="971"/>
      <c r="P278" s="971"/>
      <c r="Q278" s="971">
        <f>Q279</f>
        <v>18000</v>
      </c>
      <c r="R278" s="972"/>
    </row>
    <row r="279" spans="1:18" s="1071" customFormat="1" ht="12">
      <c r="A279" s="1244"/>
      <c r="B279" s="1008" t="s">
        <v>97</v>
      </c>
      <c r="C279" s="769"/>
      <c r="D279" s="770"/>
      <c r="E279" s="474"/>
      <c r="F279" s="474"/>
      <c r="G279" s="474">
        <f>G280</f>
        <v>30000</v>
      </c>
      <c r="H279" s="473"/>
      <c r="I279" s="474"/>
      <c r="J279" s="474"/>
      <c r="K279" s="474"/>
      <c r="L279" s="474">
        <f>L280</f>
        <v>40000</v>
      </c>
      <c r="M279" s="473"/>
      <c r="N279" s="474"/>
      <c r="O279" s="474"/>
      <c r="P279" s="474"/>
      <c r="Q279" s="474">
        <f>Q280</f>
        <v>18000</v>
      </c>
      <c r="R279" s="473"/>
    </row>
    <row r="280" spans="1:18" s="1071" customFormat="1" ht="24">
      <c r="A280" s="1049"/>
      <c r="B280" s="768" t="s">
        <v>98</v>
      </c>
      <c r="C280" s="769"/>
      <c r="D280" s="770"/>
      <c r="E280" s="474"/>
      <c r="F280" s="474"/>
      <c r="G280" s="474">
        <v>30000</v>
      </c>
      <c r="H280" s="473"/>
      <c r="I280" s="474"/>
      <c r="J280" s="474"/>
      <c r="K280" s="474"/>
      <c r="L280" s="474">
        <v>40000</v>
      </c>
      <c r="M280" s="473"/>
      <c r="N280" s="474"/>
      <c r="O280" s="474"/>
      <c r="P280" s="474"/>
      <c r="Q280" s="474">
        <v>18000</v>
      </c>
      <c r="R280" s="473"/>
    </row>
    <row r="281" spans="1:18" s="1071" customFormat="1" ht="11.4">
      <c r="A281" s="965"/>
      <c r="B281" s="1008" t="s">
        <v>101</v>
      </c>
      <c r="C281" s="1242"/>
      <c r="D281" s="1243"/>
      <c r="E281" s="971"/>
      <c r="F281" s="971"/>
      <c r="G281" s="971">
        <f>G282</f>
        <v>30000</v>
      </c>
      <c r="H281" s="972"/>
      <c r="I281" s="971"/>
      <c r="J281" s="971"/>
      <c r="K281" s="971"/>
      <c r="L281" s="971">
        <f>L282</f>
        <v>40000</v>
      </c>
      <c r="M281" s="972"/>
      <c r="N281" s="971"/>
      <c r="O281" s="971"/>
      <c r="P281" s="971"/>
      <c r="Q281" s="971">
        <f>Q282</f>
        <v>18000</v>
      </c>
      <c r="R281" s="972"/>
    </row>
    <row r="282" spans="1:18" s="1071" customFormat="1" ht="12">
      <c r="A282" s="965"/>
      <c r="B282" s="1008" t="s">
        <v>103</v>
      </c>
      <c r="C282" s="769"/>
      <c r="D282" s="770"/>
      <c r="E282" s="473"/>
      <c r="F282" s="474"/>
      <c r="G282" s="474">
        <f>G283</f>
        <v>30000</v>
      </c>
      <c r="H282" s="473"/>
      <c r="I282" s="474"/>
      <c r="J282" s="474"/>
      <c r="K282" s="474"/>
      <c r="L282" s="474">
        <f>L283</f>
        <v>40000</v>
      </c>
      <c r="M282" s="473"/>
      <c r="N282" s="474"/>
      <c r="O282" s="474"/>
      <c r="P282" s="474"/>
      <c r="Q282" s="474">
        <f>Q283</f>
        <v>18000</v>
      </c>
      <c r="R282" s="473"/>
    </row>
    <row r="283" spans="1:18" s="1071" customFormat="1" ht="12">
      <c r="A283" s="965"/>
      <c r="B283" s="1008" t="s">
        <v>105</v>
      </c>
      <c r="C283" s="769"/>
      <c r="D283" s="770"/>
      <c r="E283" s="473"/>
      <c r="F283" s="474"/>
      <c r="G283" s="474">
        <f>G284</f>
        <v>30000</v>
      </c>
      <c r="H283" s="473"/>
      <c r="I283" s="474"/>
      <c r="J283" s="474"/>
      <c r="K283" s="474"/>
      <c r="L283" s="474">
        <f>L284</f>
        <v>40000</v>
      </c>
      <c r="M283" s="473"/>
      <c r="N283" s="474"/>
      <c r="O283" s="474"/>
      <c r="P283" s="474"/>
      <c r="Q283" s="474">
        <f>Q284</f>
        <v>18000</v>
      </c>
      <c r="R283" s="473"/>
    </row>
    <row r="284" spans="1:18" s="1071" customFormat="1" ht="12">
      <c r="A284" s="767"/>
      <c r="B284" s="768" t="s">
        <v>108</v>
      </c>
      <c r="C284" s="769"/>
      <c r="D284" s="770"/>
      <c r="E284" s="473"/>
      <c r="F284" s="472"/>
      <c r="G284" s="474">
        <v>30000</v>
      </c>
      <c r="H284" s="473"/>
      <c r="I284" s="474"/>
      <c r="J284" s="472"/>
      <c r="K284" s="472"/>
      <c r="L284" s="474">
        <v>40000</v>
      </c>
      <c r="M284" s="473"/>
      <c r="N284" s="474"/>
      <c r="O284" s="472"/>
      <c r="P284" s="472"/>
      <c r="Q284" s="474">
        <v>18000</v>
      </c>
      <c r="R284" s="473"/>
    </row>
    <row r="285" spans="1:18" s="1071" customFormat="1" ht="13.2">
      <c r="A285" s="414"/>
      <c r="B285" s="475"/>
      <c r="C285" s="469"/>
      <c r="D285" s="470"/>
      <c r="E285" s="469"/>
      <c r="F285" s="470"/>
      <c r="G285" s="470"/>
      <c r="H285" s="470"/>
      <c r="I285" s="470"/>
      <c r="J285" s="469"/>
      <c r="K285" s="470"/>
      <c r="L285" s="470"/>
      <c r="M285" s="470"/>
      <c r="N285" s="470"/>
      <c r="O285" s="469"/>
      <c r="P285" s="470"/>
      <c r="Q285" s="470"/>
      <c r="R285" s="470"/>
    </row>
    <row r="286" spans="1:18" s="1071" customFormat="1" ht="13.2">
      <c r="A286" s="369" t="s">
        <v>245</v>
      </c>
      <c r="B286" s="370" t="s">
        <v>140</v>
      </c>
      <c r="C286" s="469"/>
      <c r="D286" s="470"/>
      <c r="E286" s="469"/>
      <c r="F286" s="470"/>
      <c r="G286" s="470"/>
      <c r="H286" s="470"/>
      <c r="I286" s="470"/>
      <c r="J286" s="469"/>
      <c r="K286" s="470"/>
      <c r="L286" s="470"/>
      <c r="M286" s="470"/>
      <c r="N286" s="470"/>
      <c r="O286" s="469"/>
      <c r="P286" s="470"/>
      <c r="Q286" s="470"/>
      <c r="R286" s="470"/>
    </row>
    <row r="287" spans="1:18" s="1071" customFormat="1" ht="13.2">
      <c r="A287" s="409"/>
      <c r="B287" s="477" t="s">
        <v>238</v>
      </c>
      <c r="C287" s="469"/>
      <c r="D287" s="470"/>
      <c r="E287" s="469"/>
      <c r="F287" s="470"/>
      <c r="G287" s="470"/>
      <c r="H287" s="470"/>
      <c r="I287" s="470"/>
      <c r="J287" s="469"/>
      <c r="K287" s="470"/>
      <c r="L287" s="470"/>
      <c r="M287" s="470"/>
      <c r="N287" s="470"/>
      <c r="O287" s="469"/>
      <c r="P287" s="470"/>
      <c r="Q287" s="470"/>
      <c r="R287" s="470"/>
    </row>
    <row r="288" spans="1:18" s="1071" customFormat="1" ht="13.2">
      <c r="A288" s="959" t="s">
        <v>223</v>
      </c>
      <c r="B288" s="932" t="s">
        <v>434</v>
      </c>
      <c r="C288" s="469"/>
      <c r="D288" s="470"/>
      <c r="E288" s="469"/>
      <c r="F288" s="470"/>
      <c r="G288" s="470"/>
      <c r="H288" s="470"/>
      <c r="I288" s="470"/>
      <c r="J288" s="469"/>
      <c r="K288" s="470"/>
      <c r="L288" s="470"/>
      <c r="M288" s="470"/>
      <c r="N288" s="470"/>
      <c r="O288" s="469"/>
      <c r="P288" s="470"/>
      <c r="Q288" s="470"/>
      <c r="R288" s="470"/>
    </row>
    <row r="289" spans="1:18" s="1071" customFormat="1" ht="13.2">
      <c r="A289" s="411" t="s">
        <v>240</v>
      </c>
      <c r="B289" s="475" t="s">
        <v>241</v>
      </c>
      <c r="C289" s="469"/>
      <c r="D289" s="470"/>
      <c r="E289" s="469"/>
      <c r="F289" s="470"/>
      <c r="G289" s="470"/>
      <c r="H289" s="470"/>
      <c r="I289" s="470"/>
      <c r="J289" s="469"/>
      <c r="K289" s="470"/>
      <c r="L289" s="470"/>
      <c r="M289" s="470"/>
      <c r="N289" s="470"/>
      <c r="O289" s="469"/>
      <c r="P289" s="470"/>
      <c r="Q289" s="470"/>
      <c r="R289" s="470"/>
    </row>
    <row r="290" spans="1:18" s="1071" customFormat="1" ht="13.2">
      <c r="A290" s="414"/>
      <c r="B290" s="475"/>
      <c r="C290" s="469"/>
      <c r="D290" s="470"/>
      <c r="E290" s="469"/>
      <c r="F290" s="470"/>
      <c r="G290" s="470"/>
      <c r="H290" s="470"/>
      <c r="I290" s="470"/>
      <c r="J290" s="469"/>
      <c r="K290" s="470"/>
      <c r="L290" s="470"/>
      <c r="M290" s="470"/>
      <c r="N290" s="470"/>
      <c r="O290" s="469"/>
      <c r="P290" s="470"/>
      <c r="Q290" s="470"/>
      <c r="R290" s="470"/>
    </row>
    <row r="291" spans="1:18" s="1071" customFormat="1" ht="13.2">
      <c r="A291" s="931" t="s">
        <v>224</v>
      </c>
      <c r="B291" s="932" t="s">
        <v>242</v>
      </c>
      <c r="C291" s="469"/>
      <c r="D291" s="470"/>
      <c r="E291" s="469"/>
      <c r="F291" s="470"/>
      <c r="G291" s="470"/>
      <c r="H291" s="470"/>
      <c r="I291" s="470"/>
      <c r="J291" s="469"/>
      <c r="K291" s="470"/>
      <c r="L291" s="470"/>
      <c r="M291" s="470"/>
      <c r="N291" s="470"/>
      <c r="O291" s="469"/>
      <c r="P291" s="470"/>
      <c r="Q291" s="470"/>
      <c r="R291" s="470"/>
    </row>
    <row r="292" spans="1:18" s="1071" customFormat="1" ht="13.2">
      <c r="A292" s="411" t="s">
        <v>243</v>
      </c>
      <c r="B292" s="475" t="s">
        <v>244</v>
      </c>
      <c r="C292" s="469"/>
      <c r="D292" s="470"/>
      <c r="E292" s="469"/>
      <c r="F292" s="470"/>
      <c r="G292" s="470"/>
      <c r="H292" s="470"/>
      <c r="I292" s="470"/>
      <c r="J292" s="469"/>
      <c r="K292" s="470"/>
      <c r="L292" s="470"/>
      <c r="M292" s="470"/>
      <c r="N292" s="470"/>
      <c r="O292" s="469"/>
      <c r="P292" s="470"/>
      <c r="Q292" s="470"/>
      <c r="R292" s="470"/>
    </row>
    <row r="293" spans="1:18" s="1071" customFormat="1" ht="12">
      <c r="A293" s="1121"/>
      <c r="B293" s="961"/>
      <c r="C293" s="469"/>
      <c r="D293" s="470"/>
      <c r="E293" s="469"/>
      <c r="F293" s="470"/>
      <c r="G293" s="470"/>
      <c r="H293" s="470"/>
      <c r="I293" s="470"/>
      <c r="J293" s="469"/>
      <c r="K293" s="470"/>
      <c r="L293" s="470"/>
      <c r="M293" s="470"/>
      <c r="N293" s="470"/>
      <c r="O293" s="469"/>
      <c r="P293" s="470"/>
      <c r="Q293" s="470"/>
      <c r="R293" s="470"/>
    </row>
    <row r="294" spans="1:18" s="1071" customFormat="1" ht="12">
      <c r="A294" s="1121"/>
      <c r="B294" s="961"/>
      <c r="C294" s="469"/>
      <c r="D294" s="470"/>
      <c r="E294" s="469"/>
      <c r="F294" s="470"/>
      <c r="G294" s="470"/>
      <c r="H294" s="470"/>
      <c r="I294" s="470"/>
      <c r="J294" s="469"/>
      <c r="K294" s="470"/>
      <c r="L294" s="470"/>
      <c r="M294" s="470"/>
      <c r="N294" s="470"/>
      <c r="O294" s="469"/>
      <c r="P294" s="470"/>
      <c r="Q294" s="470"/>
      <c r="R294" s="470"/>
    </row>
    <row r="295" spans="1:18" s="1071" customFormat="1">
      <c r="A295" s="1121"/>
      <c r="B295" s="961"/>
      <c r="C295" s="1165"/>
      <c r="D295" s="1121"/>
      <c r="E295" s="1036"/>
      <c r="F295" s="962"/>
      <c r="G295" s="962"/>
      <c r="H295" s="1167"/>
      <c r="I295" s="962"/>
      <c r="J295" s="1036"/>
      <c r="K295" s="962"/>
      <c r="L295" s="962"/>
      <c r="M295" s="1167"/>
      <c r="N295" s="962"/>
      <c r="O295" s="1036"/>
      <c r="P295" s="962"/>
      <c r="Q295" s="962"/>
      <c r="R295" s="1167"/>
    </row>
    <row r="296" spans="1:18" s="1071" customFormat="1">
      <c r="A296" s="1121"/>
      <c r="B296" s="961"/>
      <c r="C296" s="1165"/>
      <c r="D296" s="1121"/>
      <c r="E296" s="1036"/>
      <c r="F296" s="962"/>
      <c r="G296" s="962"/>
      <c r="H296" s="1167"/>
      <c r="I296" s="962"/>
      <c r="J296" s="1036"/>
      <c r="K296" s="962"/>
      <c r="L296" s="962"/>
      <c r="M296" s="1167"/>
      <c r="N296" s="962"/>
      <c r="O296" s="1036"/>
      <c r="P296" s="962"/>
      <c r="Q296" s="962"/>
      <c r="R296" s="1167"/>
    </row>
    <row r="297" spans="1:18" s="1071" customFormat="1">
      <c r="A297" s="1121"/>
      <c r="B297" s="961"/>
      <c r="C297" s="1165"/>
      <c r="D297" s="1121"/>
      <c r="E297" s="1036"/>
      <c r="F297" s="962"/>
      <c r="G297" s="962"/>
      <c r="H297" s="1167"/>
      <c r="I297" s="962"/>
      <c r="J297" s="1036"/>
      <c r="K297" s="962"/>
      <c r="L297" s="962"/>
      <c r="M297" s="1167"/>
      <c r="N297" s="962"/>
      <c r="O297" s="1036"/>
      <c r="P297" s="962"/>
      <c r="Q297" s="962"/>
      <c r="R297" s="1167"/>
    </row>
    <row r="298" spans="1:18" s="1071" customFormat="1">
      <c r="A298" s="1121"/>
      <c r="B298" s="961"/>
      <c r="C298" s="1165"/>
      <c r="D298" s="1121"/>
      <c r="E298" s="1036"/>
      <c r="F298" s="962"/>
      <c r="G298" s="962"/>
      <c r="H298" s="1167"/>
      <c r="I298" s="962"/>
      <c r="J298" s="1036"/>
      <c r="K298" s="962"/>
      <c r="L298" s="962"/>
      <c r="M298" s="1167"/>
      <c r="N298" s="962"/>
      <c r="O298" s="1036"/>
      <c r="P298" s="962"/>
      <c r="Q298" s="962"/>
      <c r="R298" s="1167"/>
    </row>
    <row r="299" spans="1:18" s="1071" customFormat="1">
      <c r="A299" s="1121"/>
      <c r="B299" s="961"/>
      <c r="C299" s="1165"/>
      <c r="D299" s="1121"/>
      <c r="E299" s="1036"/>
      <c r="F299" s="962"/>
      <c r="G299" s="962"/>
      <c r="H299" s="1167"/>
      <c r="I299" s="962"/>
      <c r="J299" s="1036"/>
      <c r="K299" s="962"/>
      <c r="L299" s="962"/>
      <c r="M299" s="1167"/>
      <c r="N299" s="962"/>
      <c r="O299" s="1036"/>
      <c r="P299" s="962"/>
      <c r="Q299" s="962"/>
      <c r="R299" s="1167"/>
    </row>
    <row r="300" spans="1:18" s="1071" customFormat="1">
      <c r="A300" s="1121"/>
      <c r="B300" s="961"/>
      <c r="C300" s="1165"/>
      <c r="D300" s="1121"/>
      <c r="E300" s="1036"/>
      <c r="F300" s="962"/>
      <c r="G300" s="962"/>
      <c r="H300" s="1167"/>
      <c r="I300" s="962"/>
      <c r="J300" s="1036"/>
      <c r="K300" s="962"/>
      <c r="L300" s="962"/>
      <c r="M300" s="1167"/>
      <c r="N300" s="962"/>
      <c r="O300" s="1036"/>
      <c r="P300" s="962"/>
      <c r="Q300" s="962"/>
      <c r="R300" s="1167"/>
    </row>
    <row r="301" spans="1:18" s="1071" customFormat="1">
      <c r="A301" s="1121"/>
      <c r="B301" s="961"/>
      <c r="C301" s="1165"/>
      <c r="D301" s="1121"/>
      <c r="E301" s="1036"/>
      <c r="F301" s="962"/>
      <c r="G301" s="962"/>
      <c r="H301" s="1167"/>
      <c r="I301" s="962"/>
      <c r="J301" s="1036"/>
      <c r="K301" s="962"/>
      <c r="L301" s="962"/>
      <c r="M301" s="1167"/>
      <c r="N301" s="962"/>
      <c r="O301" s="1036"/>
      <c r="P301" s="962"/>
      <c r="Q301" s="962"/>
      <c r="R301" s="1167"/>
    </row>
    <row r="302" spans="1:18" s="1071" customFormat="1">
      <c r="A302" s="1121"/>
      <c r="B302" s="961"/>
      <c r="C302" s="1165"/>
      <c r="D302" s="1121"/>
      <c r="E302" s="1036"/>
      <c r="F302" s="962"/>
      <c r="G302" s="962"/>
      <c r="H302" s="1167"/>
      <c r="I302" s="962"/>
      <c r="J302" s="1036"/>
      <c r="K302" s="962"/>
      <c r="L302" s="962"/>
      <c r="M302" s="1167"/>
      <c r="N302" s="962"/>
      <c r="O302" s="1036"/>
      <c r="P302" s="962"/>
      <c r="Q302" s="962"/>
      <c r="R302" s="1167"/>
    </row>
    <row r="303" spans="1:18" s="1071" customFormat="1">
      <c r="A303" s="1121"/>
      <c r="B303" s="961"/>
      <c r="C303" s="1165"/>
      <c r="D303" s="1121"/>
      <c r="E303" s="1036"/>
      <c r="F303" s="962"/>
      <c r="G303" s="962"/>
      <c r="H303" s="1167"/>
      <c r="I303" s="962"/>
      <c r="J303" s="1036"/>
      <c r="K303" s="962"/>
      <c r="L303" s="962"/>
      <c r="M303" s="1167"/>
      <c r="N303" s="962"/>
      <c r="O303" s="1036"/>
      <c r="P303" s="962"/>
      <c r="Q303" s="962"/>
      <c r="R303" s="1167"/>
    </row>
    <row r="304" spans="1:18" s="1071" customFormat="1">
      <c r="A304" s="1121"/>
      <c r="B304" s="961"/>
      <c r="C304" s="1165"/>
      <c r="D304" s="1121"/>
      <c r="E304" s="1036"/>
      <c r="F304" s="962"/>
      <c r="G304" s="962"/>
      <c r="H304" s="1167"/>
      <c r="I304" s="962"/>
      <c r="J304" s="1036"/>
      <c r="K304" s="962"/>
      <c r="L304" s="962"/>
      <c r="M304" s="1167"/>
      <c r="N304" s="962"/>
      <c r="O304" s="1036"/>
      <c r="P304" s="962"/>
      <c r="Q304" s="962"/>
      <c r="R304" s="1167"/>
    </row>
    <row r="305" spans="1:18" s="1071" customFormat="1">
      <c r="A305" s="1121"/>
      <c r="B305" s="961"/>
      <c r="C305" s="1165"/>
      <c r="D305" s="1121"/>
      <c r="E305" s="1036"/>
      <c r="F305" s="962"/>
      <c r="G305" s="962"/>
      <c r="H305" s="1167"/>
      <c r="I305" s="962"/>
      <c r="J305" s="1036"/>
      <c r="K305" s="962"/>
      <c r="L305" s="962"/>
      <c r="M305" s="1167"/>
      <c r="N305" s="962"/>
      <c r="O305" s="1036"/>
      <c r="P305" s="962"/>
      <c r="Q305" s="962"/>
      <c r="R305" s="1167"/>
    </row>
    <row r="306" spans="1:18" s="1071" customFormat="1">
      <c r="A306" s="1121"/>
      <c r="B306" s="961"/>
      <c r="C306" s="1165"/>
      <c r="D306" s="1121"/>
      <c r="E306" s="1036"/>
      <c r="F306" s="962"/>
      <c r="G306" s="962"/>
      <c r="H306" s="1167"/>
      <c r="I306" s="962"/>
      <c r="J306" s="1036"/>
      <c r="K306" s="962"/>
      <c r="L306" s="962"/>
      <c r="M306" s="1167"/>
      <c r="N306" s="962"/>
      <c r="O306" s="1036"/>
      <c r="P306" s="962"/>
      <c r="Q306" s="962"/>
      <c r="R306" s="1167"/>
    </row>
    <row r="307" spans="1:18" s="1071" customFormat="1">
      <c r="A307" s="1121"/>
      <c r="B307" s="961"/>
      <c r="C307" s="1165"/>
      <c r="D307" s="1121"/>
      <c r="E307" s="1036"/>
      <c r="F307" s="962"/>
      <c r="G307" s="962"/>
      <c r="H307" s="1167"/>
      <c r="I307" s="962"/>
      <c r="J307" s="1036"/>
      <c r="K307" s="962"/>
      <c r="L307" s="962"/>
      <c r="M307" s="1167"/>
      <c r="N307" s="962"/>
      <c r="O307" s="1036"/>
      <c r="P307" s="962"/>
      <c r="Q307" s="962"/>
      <c r="R307" s="1167"/>
    </row>
    <row r="308" spans="1:18" s="1071" customFormat="1">
      <c r="A308" s="1121"/>
      <c r="B308" s="961"/>
      <c r="C308" s="1165"/>
      <c r="D308" s="1121"/>
      <c r="E308" s="1036"/>
      <c r="F308" s="962"/>
      <c r="G308" s="962"/>
      <c r="H308" s="1167"/>
      <c r="I308" s="962"/>
      <c r="J308" s="1036"/>
      <c r="K308" s="962"/>
      <c r="L308" s="962"/>
      <c r="M308" s="1167"/>
      <c r="N308" s="962"/>
      <c r="O308" s="1036"/>
      <c r="P308" s="962"/>
      <c r="Q308" s="962"/>
      <c r="R308" s="1167"/>
    </row>
    <row r="309" spans="1:18" s="1071" customFormat="1">
      <c r="A309" s="1121"/>
      <c r="B309" s="961"/>
      <c r="C309" s="1165"/>
      <c r="D309" s="1121"/>
      <c r="E309" s="1036"/>
      <c r="F309" s="962"/>
      <c r="G309" s="962"/>
      <c r="H309" s="1167"/>
      <c r="I309" s="962"/>
      <c r="J309" s="1036"/>
      <c r="K309" s="962"/>
      <c r="L309" s="962"/>
      <c r="M309" s="1167"/>
      <c r="N309" s="962"/>
      <c r="O309" s="1036"/>
      <c r="P309" s="962"/>
      <c r="Q309" s="962"/>
      <c r="R309" s="1167"/>
    </row>
    <row r="310" spans="1:18" s="1071" customFormat="1">
      <c r="A310" s="1121"/>
      <c r="B310" s="961"/>
      <c r="C310" s="1165"/>
      <c r="D310" s="1121"/>
      <c r="E310" s="1036"/>
      <c r="F310" s="962"/>
      <c r="G310" s="962"/>
      <c r="H310" s="1167"/>
      <c r="I310" s="962"/>
      <c r="J310" s="1036"/>
      <c r="K310" s="962"/>
      <c r="L310" s="962"/>
      <c r="M310" s="1167"/>
      <c r="N310" s="962"/>
      <c r="O310" s="1036"/>
      <c r="P310" s="962"/>
      <c r="Q310" s="962"/>
      <c r="R310" s="1167"/>
    </row>
    <row r="311" spans="1:18" s="1071" customFormat="1">
      <c r="A311" s="1121"/>
      <c r="B311" s="961"/>
      <c r="C311" s="1165"/>
      <c r="D311" s="1121"/>
      <c r="E311" s="1036"/>
      <c r="F311" s="962"/>
      <c r="G311" s="962"/>
      <c r="H311" s="1167"/>
      <c r="I311" s="962"/>
      <c r="J311" s="1036"/>
      <c r="K311" s="962"/>
      <c r="L311" s="962"/>
      <c r="M311" s="1167"/>
      <c r="N311" s="962"/>
      <c r="O311" s="1036"/>
      <c r="P311" s="962"/>
      <c r="Q311" s="962"/>
      <c r="R311" s="1167"/>
    </row>
    <row r="312" spans="1:18" s="1071" customFormat="1">
      <c r="A312" s="1121"/>
      <c r="B312" s="961"/>
      <c r="C312" s="1165"/>
      <c r="D312" s="1121"/>
      <c r="E312" s="1036"/>
      <c r="F312" s="962"/>
      <c r="G312" s="962"/>
      <c r="H312" s="1167"/>
      <c r="I312" s="962"/>
      <c r="J312" s="1036"/>
      <c r="K312" s="962"/>
      <c r="L312" s="962"/>
      <c r="M312" s="1167"/>
      <c r="N312" s="962"/>
      <c r="O312" s="1036"/>
      <c r="P312" s="962"/>
      <c r="Q312" s="962"/>
      <c r="R312" s="1167"/>
    </row>
    <row r="313" spans="1:18" s="1071" customFormat="1">
      <c r="A313" s="1121"/>
      <c r="B313" s="961"/>
      <c r="C313" s="1165"/>
      <c r="D313" s="1121"/>
      <c r="E313" s="1036"/>
      <c r="F313" s="962"/>
      <c r="G313" s="962"/>
      <c r="H313" s="1167"/>
      <c r="I313" s="962"/>
      <c r="J313" s="1036"/>
      <c r="K313" s="962"/>
      <c r="L313" s="962"/>
      <c r="M313" s="1167"/>
      <c r="N313" s="962"/>
      <c r="O313" s="1036"/>
      <c r="P313" s="962"/>
      <c r="Q313" s="962"/>
      <c r="R313" s="1167"/>
    </row>
    <row r="314" spans="1:18" s="1071" customFormat="1">
      <c r="A314" s="1121"/>
      <c r="B314" s="961"/>
      <c r="C314" s="1165"/>
      <c r="D314" s="1121"/>
      <c r="E314" s="1036"/>
      <c r="F314" s="962"/>
      <c r="G314" s="962"/>
      <c r="H314" s="1167"/>
      <c r="I314" s="962"/>
      <c r="J314" s="1036"/>
      <c r="K314" s="962"/>
      <c r="L314" s="962"/>
      <c r="M314" s="1167"/>
      <c r="N314" s="962"/>
      <c r="O314" s="1036"/>
      <c r="P314" s="962"/>
      <c r="Q314" s="962"/>
      <c r="R314" s="1167"/>
    </row>
    <row r="315" spans="1:18" s="1071" customFormat="1">
      <c r="A315" s="1121"/>
      <c r="B315" s="961"/>
      <c r="C315" s="1165"/>
      <c r="D315" s="1121"/>
      <c r="E315" s="1036"/>
      <c r="F315" s="962"/>
      <c r="G315" s="962"/>
      <c r="H315" s="1167"/>
      <c r="I315" s="962"/>
      <c r="J315" s="1036"/>
      <c r="K315" s="962"/>
      <c r="L315" s="962"/>
      <c r="M315" s="1167"/>
      <c r="N315" s="962"/>
      <c r="O315" s="1036"/>
      <c r="P315" s="962"/>
      <c r="Q315" s="962"/>
      <c r="R315" s="1167"/>
    </row>
    <row r="316" spans="1:18" s="1071" customFormat="1">
      <c r="A316" s="1121"/>
      <c r="B316" s="961"/>
      <c r="C316" s="1165"/>
      <c r="D316" s="1121"/>
      <c r="E316" s="1036"/>
      <c r="F316" s="962"/>
      <c r="G316" s="962"/>
      <c r="H316" s="1167"/>
      <c r="I316" s="962"/>
      <c r="J316" s="1036"/>
      <c r="K316" s="962"/>
      <c r="L316" s="962"/>
      <c r="M316" s="1167"/>
      <c r="N316" s="962"/>
      <c r="O316" s="1036"/>
      <c r="P316" s="962"/>
      <c r="Q316" s="962"/>
      <c r="R316" s="1167"/>
    </row>
    <row r="317" spans="1:18" s="1071" customFormat="1">
      <c r="A317" s="1121"/>
      <c r="B317" s="961"/>
      <c r="C317" s="1165"/>
      <c r="D317" s="1121"/>
      <c r="E317" s="1036"/>
      <c r="F317" s="962"/>
      <c r="G317" s="962"/>
      <c r="H317" s="1167"/>
      <c r="I317" s="962"/>
      <c r="J317" s="1036"/>
      <c r="K317" s="962"/>
      <c r="L317" s="962"/>
      <c r="M317" s="1167"/>
      <c r="N317" s="962"/>
      <c r="O317" s="1036"/>
      <c r="P317" s="962"/>
      <c r="Q317" s="962"/>
      <c r="R317" s="1167"/>
    </row>
    <row r="318" spans="1:18" s="1071" customFormat="1">
      <c r="A318" s="1121"/>
      <c r="B318" s="961"/>
      <c r="C318" s="1165"/>
      <c r="D318" s="1121"/>
      <c r="E318" s="1036"/>
      <c r="F318" s="962"/>
      <c r="G318" s="962"/>
      <c r="H318" s="1167"/>
      <c r="I318" s="962"/>
      <c r="J318" s="1036"/>
      <c r="K318" s="962"/>
      <c r="L318" s="962"/>
      <c r="M318" s="1167"/>
      <c r="N318" s="962"/>
      <c r="O318" s="1036"/>
      <c r="P318" s="962"/>
      <c r="Q318" s="962"/>
      <c r="R318" s="1167"/>
    </row>
    <row r="319" spans="1:18" s="1071" customFormat="1">
      <c r="A319" s="1121"/>
      <c r="B319" s="961"/>
      <c r="C319" s="1165"/>
      <c r="D319" s="1121"/>
      <c r="E319" s="1036"/>
      <c r="F319" s="962"/>
      <c r="G319" s="962"/>
      <c r="H319" s="1167"/>
      <c r="I319" s="962"/>
      <c r="J319" s="1036"/>
      <c r="K319" s="962"/>
      <c r="L319" s="962"/>
      <c r="M319" s="1167"/>
      <c r="N319" s="962"/>
      <c r="O319" s="1036"/>
      <c r="P319" s="962"/>
      <c r="Q319" s="962"/>
      <c r="R319" s="1167"/>
    </row>
    <row r="320" spans="1:18" s="1071" customFormat="1">
      <c r="A320" s="1121"/>
      <c r="B320" s="961"/>
      <c r="C320" s="1165"/>
      <c r="D320" s="1121"/>
      <c r="E320" s="1036"/>
      <c r="F320" s="962"/>
      <c r="G320" s="962"/>
      <c r="H320" s="1167"/>
      <c r="I320" s="962"/>
      <c r="J320" s="1036"/>
      <c r="K320" s="962"/>
      <c r="L320" s="962"/>
      <c r="M320" s="1167"/>
      <c r="N320" s="962"/>
      <c r="O320" s="1036"/>
      <c r="P320" s="962"/>
      <c r="Q320" s="962"/>
      <c r="R320" s="1167"/>
    </row>
    <row r="321" spans="1:18" s="1071" customFormat="1">
      <c r="A321" s="1121"/>
      <c r="B321" s="961"/>
      <c r="C321" s="1165"/>
      <c r="D321" s="1121"/>
      <c r="E321" s="1036"/>
      <c r="F321" s="962"/>
      <c r="G321" s="962"/>
      <c r="H321" s="1167"/>
      <c r="I321" s="962"/>
      <c r="J321" s="1036"/>
      <c r="K321" s="962"/>
      <c r="L321" s="962"/>
      <c r="M321" s="1167"/>
      <c r="N321" s="962"/>
      <c r="O321" s="1036"/>
      <c r="P321" s="962"/>
      <c r="Q321" s="962"/>
      <c r="R321" s="1167"/>
    </row>
    <row r="322" spans="1:18" s="1071" customFormat="1">
      <c r="A322" s="1121"/>
      <c r="B322" s="961"/>
      <c r="C322" s="1165"/>
      <c r="D322" s="1121"/>
      <c r="E322" s="1036"/>
      <c r="F322" s="962"/>
      <c r="G322" s="962"/>
      <c r="H322" s="1167"/>
      <c r="I322" s="962"/>
      <c r="J322" s="1036"/>
      <c r="K322" s="962"/>
      <c r="L322" s="962"/>
      <c r="M322" s="1167"/>
      <c r="N322" s="962"/>
      <c r="O322" s="1036"/>
      <c r="P322" s="962"/>
      <c r="Q322" s="962"/>
      <c r="R322" s="1167"/>
    </row>
    <row r="323" spans="1:18" s="1071" customFormat="1">
      <c r="A323" s="1121"/>
      <c r="B323" s="961"/>
      <c r="C323" s="1165"/>
      <c r="D323" s="1121"/>
      <c r="E323" s="1036"/>
      <c r="F323" s="962"/>
      <c r="G323" s="962"/>
      <c r="H323" s="1167"/>
      <c r="I323" s="962"/>
      <c r="J323" s="1036"/>
      <c r="K323" s="962"/>
      <c r="L323" s="962"/>
      <c r="M323" s="1167"/>
      <c r="N323" s="962"/>
      <c r="O323" s="1036"/>
      <c r="P323" s="962"/>
      <c r="Q323" s="962"/>
      <c r="R323" s="1167"/>
    </row>
    <row r="324" spans="1:18" s="1071" customFormat="1">
      <c r="A324" s="1121"/>
      <c r="B324" s="961"/>
      <c r="C324" s="1165"/>
      <c r="D324" s="1121"/>
      <c r="E324" s="1036"/>
      <c r="F324" s="962"/>
      <c r="G324" s="962"/>
      <c r="H324" s="1167"/>
      <c r="I324" s="962"/>
      <c r="J324" s="1036"/>
      <c r="K324" s="962"/>
      <c r="L324" s="962"/>
      <c r="M324" s="1167"/>
      <c r="N324" s="962"/>
      <c r="O324" s="1036"/>
      <c r="P324" s="962"/>
      <c r="Q324" s="962"/>
      <c r="R324" s="1167"/>
    </row>
    <row r="325" spans="1:18" s="1071" customFormat="1">
      <c r="A325" s="1121"/>
      <c r="B325" s="961"/>
      <c r="C325" s="1165"/>
      <c r="D325" s="1121"/>
      <c r="E325" s="1036"/>
      <c r="F325" s="962"/>
      <c r="G325" s="962"/>
      <c r="H325" s="1167"/>
      <c r="I325" s="962"/>
      <c r="J325" s="1036"/>
      <c r="K325" s="962"/>
      <c r="L325" s="962"/>
      <c r="M325" s="1167"/>
      <c r="N325" s="962"/>
      <c r="O325" s="1036"/>
      <c r="P325" s="962"/>
      <c r="Q325" s="962"/>
      <c r="R325" s="1167"/>
    </row>
    <row r="326" spans="1:18" s="1071" customFormat="1">
      <c r="A326" s="1121"/>
      <c r="B326" s="961"/>
      <c r="C326" s="1165"/>
      <c r="D326" s="1121"/>
      <c r="E326" s="1036"/>
      <c r="F326" s="962"/>
      <c r="G326" s="962"/>
      <c r="H326" s="1167"/>
      <c r="I326" s="962"/>
      <c r="J326" s="1036"/>
      <c r="K326" s="962"/>
      <c r="L326" s="962"/>
      <c r="M326" s="1167"/>
      <c r="N326" s="962"/>
      <c r="O326" s="1036"/>
      <c r="P326" s="962"/>
      <c r="Q326" s="962"/>
      <c r="R326" s="1167"/>
    </row>
    <row r="327" spans="1:18" s="1071" customFormat="1">
      <c r="A327" s="1121"/>
      <c r="B327" s="961"/>
      <c r="C327" s="1165"/>
      <c r="D327" s="1121"/>
      <c r="E327" s="1036"/>
      <c r="F327" s="962"/>
      <c r="G327" s="962"/>
      <c r="H327" s="1167"/>
      <c r="I327" s="962"/>
      <c r="J327" s="1036"/>
      <c r="K327" s="962"/>
      <c r="L327" s="962"/>
      <c r="M327" s="1167"/>
      <c r="N327" s="962"/>
      <c r="O327" s="1036"/>
      <c r="P327" s="962"/>
      <c r="Q327" s="962"/>
      <c r="R327" s="1167"/>
    </row>
    <row r="328" spans="1:18" s="1071" customFormat="1">
      <c r="A328" s="1121"/>
      <c r="B328" s="961"/>
      <c r="C328" s="1165"/>
      <c r="D328" s="1121"/>
      <c r="E328" s="1036"/>
      <c r="F328" s="962"/>
      <c r="G328" s="962"/>
      <c r="H328" s="1167"/>
      <c r="I328" s="962"/>
      <c r="J328" s="1036"/>
      <c r="K328" s="962"/>
      <c r="L328" s="962"/>
      <c r="M328" s="1167"/>
      <c r="N328" s="962"/>
      <c r="O328" s="1036"/>
      <c r="P328" s="962"/>
      <c r="Q328" s="962"/>
      <c r="R328" s="1167"/>
    </row>
    <row r="329" spans="1:18" s="1071" customFormat="1">
      <c r="A329" s="1121"/>
      <c r="B329" s="961"/>
      <c r="C329" s="1165"/>
      <c r="D329" s="1121"/>
      <c r="E329" s="1036"/>
      <c r="F329" s="962"/>
      <c r="G329" s="962"/>
      <c r="H329" s="1167"/>
      <c r="I329" s="962"/>
      <c r="J329" s="1036"/>
      <c r="K329" s="962"/>
      <c r="L329" s="962"/>
      <c r="M329" s="1167"/>
      <c r="N329" s="962"/>
      <c r="O329" s="1036"/>
      <c r="P329" s="962"/>
      <c r="Q329" s="962"/>
      <c r="R329" s="1167"/>
    </row>
    <row r="330" spans="1:18" s="1071" customFormat="1">
      <c r="A330" s="1121"/>
      <c r="B330" s="961"/>
      <c r="C330" s="1165"/>
      <c r="D330" s="1121"/>
      <c r="E330" s="1036"/>
      <c r="F330" s="962"/>
      <c r="G330" s="962"/>
      <c r="H330" s="1167"/>
      <c r="I330" s="962"/>
      <c r="J330" s="1036"/>
      <c r="K330" s="962"/>
      <c r="L330" s="962"/>
      <c r="M330" s="1167"/>
      <c r="N330" s="962"/>
      <c r="O330" s="1036"/>
      <c r="P330" s="962"/>
      <c r="Q330" s="962"/>
      <c r="R330" s="1167"/>
    </row>
    <row r="331" spans="1:18" s="1071" customFormat="1">
      <c r="A331" s="1121"/>
      <c r="B331" s="961"/>
      <c r="C331" s="1165"/>
      <c r="D331" s="1121"/>
      <c r="E331" s="1036"/>
      <c r="F331" s="962"/>
      <c r="G331" s="962"/>
      <c r="H331" s="1167"/>
      <c r="I331" s="962"/>
      <c r="J331" s="1036"/>
      <c r="K331" s="962"/>
      <c r="L331" s="962"/>
      <c r="M331" s="1167"/>
      <c r="N331" s="962"/>
      <c r="O331" s="1036"/>
      <c r="P331" s="962"/>
      <c r="Q331" s="962"/>
      <c r="R331" s="1167"/>
    </row>
    <row r="332" spans="1:18" s="1071" customFormat="1">
      <c r="A332" s="1121"/>
      <c r="B332" s="961"/>
      <c r="C332" s="1165"/>
      <c r="D332" s="1121"/>
      <c r="E332" s="1036"/>
      <c r="F332" s="962"/>
      <c r="G332" s="962"/>
      <c r="H332" s="1167"/>
      <c r="I332" s="962"/>
      <c r="J332" s="1036"/>
      <c r="K332" s="962"/>
      <c r="L332" s="962"/>
      <c r="M332" s="1167"/>
      <c r="N332" s="962"/>
      <c r="O332" s="1036"/>
      <c r="P332" s="962"/>
      <c r="Q332" s="962"/>
      <c r="R332" s="1167"/>
    </row>
    <row r="333" spans="1:18" s="1071" customFormat="1">
      <c r="A333" s="1121"/>
      <c r="B333" s="961"/>
      <c r="C333" s="1165"/>
      <c r="D333" s="1121"/>
      <c r="E333" s="1036"/>
      <c r="F333" s="962"/>
      <c r="G333" s="962"/>
      <c r="H333" s="1167"/>
      <c r="I333" s="962"/>
      <c r="J333" s="1036"/>
      <c r="K333" s="962"/>
      <c r="L333" s="962"/>
      <c r="M333" s="1167"/>
      <c r="N333" s="962"/>
      <c r="O333" s="1036"/>
      <c r="P333" s="962"/>
      <c r="Q333" s="962"/>
      <c r="R333" s="1167"/>
    </row>
    <row r="334" spans="1:18" s="1071" customFormat="1">
      <c r="A334" s="1121"/>
      <c r="B334" s="961"/>
      <c r="C334" s="1165"/>
      <c r="D334" s="1121"/>
      <c r="E334" s="1036"/>
      <c r="F334" s="962"/>
      <c r="G334" s="962"/>
      <c r="H334" s="1167"/>
      <c r="I334" s="962"/>
      <c r="J334" s="1036"/>
      <c r="K334" s="962"/>
      <c r="L334" s="962"/>
      <c r="M334" s="1167"/>
      <c r="N334" s="962"/>
      <c r="O334" s="1036"/>
      <c r="P334" s="962"/>
      <c r="Q334" s="962"/>
      <c r="R334" s="1167"/>
    </row>
    <row r="335" spans="1:18" s="1071" customFormat="1">
      <c r="A335" s="1121"/>
      <c r="B335" s="961"/>
      <c r="C335" s="1165"/>
      <c r="D335" s="1121"/>
      <c r="E335" s="1036"/>
      <c r="F335" s="962"/>
      <c r="G335" s="962"/>
      <c r="H335" s="1167"/>
      <c r="I335" s="962"/>
      <c r="J335" s="1036"/>
      <c r="K335" s="962"/>
      <c r="L335" s="962"/>
      <c r="M335" s="1167"/>
      <c r="N335" s="962"/>
      <c r="O335" s="1036"/>
      <c r="P335" s="962"/>
      <c r="Q335" s="962"/>
      <c r="R335" s="1167"/>
    </row>
    <row r="336" spans="1:18" s="1071" customFormat="1">
      <c r="A336" s="1121"/>
      <c r="B336" s="961"/>
      <c r="C336" s="1165"/>
      <c r="D336" s="1121"/>
      <c r="E336" s="1036"/>
      <c r="F336" s="962"/>
      <c r="G336" s="962"/>
      <c r="H336" s="1167"/>
      <c r="I336" s="962"/>
      <c r="J336" s="1036"/>
      <c r="K336" s="962"/>
      <c r="L336" s="962"/>
      <c r="M336" s="1167"/>
      <c r="N336" s="962"/>
      <c r="O336" s="1036"/>
      <c r="P336" s="962"/>
      <c r="Q336" s="962"/>
      <c r="R336" s="1167"/>
    </row>
    <row r="337" spans="1:18" s="1071" customFormat="1">
      <c r="A337" s="1121"/>
      <c r="B337" s="961"/>
      <c r="C337" s="1165"/>
      <c r="D337" s="1121"/>
      <c r="E337" s="1036"/>
      <c r="F337" s="962"/>
      <c r="G337" s="962"/>
      <c r="H337" s="1167"/>
      <c r="I337" s="962"/>
      <c r="J337" s="1036"/>
      <c r="K337" s="962"/>
      <c r="L337" s="962"/>
      <c r="M337" s="1167"/>
      <c r="N337" s="962"/>
      <c r="O337" s="1036"/>
      <c r="P337" s="962"/>
      <c r="Q337" s="962"/>
      <c r="R337" s="1167"/>
    </row>
    <row r="338" spans="1:18" s="1071" customFormat="1">
      <c r="A338" s="1121"/>
      <c r="B338" s="961"/>
      <c r="C338" s="1165"/>
      <c r="D338" s="1121"/>
      <c r="E338" s="1036"/>
      <c r="F338" s="962"/>
      <c r="G338" s="962"/>
      <c r="H338" s="1167"/>
      <c r="I338" s="962"/>
      <c r="J338" s="1036"/>
      <c r="K338" s="962"/>
      <c r="L338" s="962"/>
      <c r="M338" s="1167"/>
      <c r="N338" s="962"/>
      <c r="O338" s="1036"/>
      <c r="P338" s="962"/>
      <c r="Q338" s="962"/>
      <c r="R338" s="1167"/>
    </row>
    <row r="339" spans="1:18" s="1071" customFormat="1">
      <c r="A339" s="1121"/>
      <c r="B339" s="961"/>
      <c r="C339" s="1165"/>
      <c r="D339" s="1121"/>
      <c r="E339" s="1036"/>
      <c r="F339" s="962"/>
      <c r="G339" s="962"/>
      <c r="H339" s="1167"/>
      <c r="I339" s="962"/>
      <c r="J339" s="1036"/>
      <c r="K339" s="962"/>
      <c r="L339" s="962"/>
      <c r="M339" s="1167"/>
      <c r="N339" s="962"/>
      <c r="O339" s="1036"/>
      <c r="P339" s="962"/>
      <c r="Q339" s="962"/>
      <c r="R339" s="1167"/>
    </row>
    <row r="340" spans="1:18" s="1071" customFormat="1">
      <c r="A340" s="1121"/>
      <c r="B340" s="961"/>
      <c r="C340" s="1165"/>
      <c r="D340" s="1121"/>
      <c r="E340" s="1036"/>
      <c r="F340" s="962"/>
      <c r="G340" s="962"/>
      <c r="H340" s="1167"/>
      <c r="I340" s="962"/>
      <c r="J340" s="1036"/>
      <c r="K340" s="962"/>
      <c r="L340" s="962"/>
      <c r="M340" s="1167"/>
      <c r="N340" s="962"/>
      <c r="O340" s="1036"/>
      <c r="P340" s="962"/>
      <c r="Q340" s="962"/>
      <c r="R340" s="1167"/>
    </row>
    <row r="341" spans="1:18" s="1071" customFormat="1">
      <c r="A341" s="1121"/>
      <c r="B341" s="961"/>
      <c r="C341" s="1165"/>
      <c r="D341" s="1121"/>
      <c r="E341" s="1036"/>
      <c r="F341" s="962"/>
      <c r="G341" s="962"/>
      <c r="H341" s="1167"/>
      <c r="I341" s="962"/>
      <c r="J341" s="1036"/>
      <c r="K341" s="962"/>
      <c r="L341" s="962"/>
      <c r="M341" s="1167"/>
      <c r="N341" s="962"/>
      <c r="O341" s="1036"/>
      <c r="P341" s="962"/>
      <c r="Q341" s="962"/>
      <c r="R341" s="1167"/>
    </row>
    <row r="342" spans="1:18" s="1071" customFormat="1">
      <c r="A342" s="1121"/>
      <c r="B342" s="961"/>
      <c r="C342" s="1165"/>
      <c r="D342" s="1121"/>
      <c r="E342" s="1036"/>
      <c r="F342" s="962"/>
      <c r="G342" s="962"/>
      <c r="H342" s="1167"/>
      <c r="I342" s="962"/>
      <c r="J342" s="1036"/>
      <c r="K342" s="962"/>
      <c r="L342" s="962"/>
      <c r="M342" s="1167"/>
      <c r="N342" s="962"/>
      <c r="O342" s="1036"/>
      <c r="P342" s="962"/>
      <c r="Q342" s="962"/>
      <c r="R342" s="1167"/>
    </row>
    <row r="343" spans="1:18" s="1071" customFormat="1">
      <c r="A343" s="1121"/>
      <c r="B343" s="961"/>
      <c r="C343" s="1165"/>
      <c r="D343" s="1121"/>
      <c r="E343" s="1036"/>
      <c r="F343" s="962"/>
      <c r="G343" s="962"/>
      <c r="H343" s="1167"/>
      <c r="I343" s="962"/>
      <c r="J343" s="1036"/>
      <c r="K343" s="962"/>
      <c r="L343" s="962"/>
      <c r="M343" s="1167"/>
      <c r="N343" s="962"/>
      <c r="O343" s="1036"/>
      <c r="P343" s="962"/>
      <c r="Q343" s="962"/>
      <c r="R343" s="1167"/>
    </row>
    <row r="344" spans="1:18" s="1071" customFormat="1">
      <c r="A344" s="1121"/>
      <c r="B344" s="961"/>
      <c r="C344" s="1165"/>
      <c r="D344" s="1121"/>
      <c r="E344" s="1036"/>
      <c r="F344" s="962"/>
      <c r="G344" s="962"/>
      <c r="H344" s="1167"/>
      <c r="I344" s="962"/>
      <c r="J344" s="1036"/>
      <c r="K344" s="962"/>
      <c r="L344" s="962"/>
      <c r="M344" s="1167"/>
      <c r="N344" s="962"/>
      <c r="O344" s="1036"/>
      <c r="P344" s="962"/>
      <c r="Q344" s="962"/>
      <c r="R344" s="1167"/>
    </row>
    <row r="345" spans="1:18" s="1071" customFormat="1">
      <c r="A345" s="1121"/>
      <c r="B345" s="961"/>
      <c r="C345" s="1165"/>
      <c r="D345" s="1121"/>
      <c r="E345" s="1036"/>
      <c r="F345" s="962"/>
      <c r="G345" s="962"/>
      <c r="H345" s="1167"/>
      <c r="I345" s="962"/>
      <c r="J345" s="1036"/>
      <c r="K345" s="962"/>
      <c r="L345" s="962"/>
      <c r="M345" s="1167"/>
      <c r="N345" s="962"/>
      <c r="O345" s="1036"/>
      <c r="P345" s="962"/>
      <c r="Q345" s="962"/>
      <c r="R345" s="1167"/>
    </row>
    <row r="346" spans="1:18" s="1071" customFormat="1">
      <c r="A346" s="1121"/>
      <c r="B346" s="961"/>
      <c r="C346" s="1165"/>
      <c r="D346" s="1121"/>
      <c r="E346" s="1036"/>
      <c r="F346" s="962"/>
      <c r="G346" s="962"/>
      <c r="H346" s="1167"/>
      <c r="I346" s="962"/>
      <c r="J346" s="1036"/>
      <c r="K346" s="962"/>
      <c r="L346" s="962"/>
      <c r="M346" s="1167"/>
      <c r="N346" s="962"/>
      <c r="O346" s="1036"/>
      <c r="P346" s="962"/>
      <c r="Q346" s="962"/>
      <c r="R346" s="1167"/>
    </row>
    <row r="347" spans="1:18" s="1071" customFormat="1">
      <c r="A347" s="1121"/>
      <c r="B347" s="961"/>
      <c r="C347" s="1165"/>
      <c r="D347" s="1121"/>
      <c r="E347" s="1036"/>
      <c r="F347" s="962"/>
      <c r="G347" s="962"/>
      <c r="H347" s="1167"/>
      <c r="I347" s="962"/>
      <c r="J347" s="1036"/>
      <c r="K347" s="962"/>
      <c r="L347" s="962"/>
      <c r="M347" s="1167"/>
      <c r="N347" s="962"/>
      <c r="O347" s="1036"/>
      <c r="P347" s="962"/>
      <c r="Q347" s="962"/>
      <c r="R347" s="1167"/>
    </row>
    <row r="348" spans="1:18" s="1071" customFormat="1">
      <c r="A348" s="1121"/>
      <c r="B348" s="961"/>
      <c r="C348" s="1165"/>
      <c r="D348" s="1121"/>
      <c r="E348" s="1036"/>
      <c r="F348" s="962"/>
      <c r="G348" s="962"/>
      <c r="H348" s="1167"/>
      <c r="I348" s="962"/>
      <c r="J348" s="1036"/>
      <c r="K348" s="962"/>
      <c r="L348" s="962"/>
      <c r="M348" s="1167"/>
      <c r="N348" s="962"/>
      <c r="O348" s="1036"/>
      <c r="P348" s="962"/>
      <c r="Q348" s="962"/>
      <c r="R348" s="1167"/>
    </row>
    <row r="349" spans="1:18">
      <c r="A349" s="33"/>
      <c r="B349" s="34"/>
      <c r="C349" s="35"/>
      <c r="D349" s="33"/>
    </row>
    <row r="350" spans="1:18">
      <c r="A350" s="33"/>
      <c r="B350" s="34"/>
      <c r="C350" s="35"/>
      <c r="D350" s="33"/>
    </row>
    <row r="351" spans="1:18">
      <c r="A351" s="33"/>
      <c r="B351" s="34"/>
      <c r="C351" s="35"/>
      <c r="D351" s="33"/>
    </row>
    <row r="352" spans="1:18">
      <c r="A352" s="33"/>
      <c r="B352" s="34"/>
      <c r="C352" s="35"/>
      <c r="D352" s="33"/>
    </row>
    <row r="353" spans="1:4">
      <c r="A353" s="33"/>
      <c r="B353" s="34"/>
      <c r="C353" s="35"/>
      <c r="D353" s="33"/>
    </row>
    <row r="354" spans="1:4">
      <c r="A354" s="33"/>
      <c r="B354" s="34"/>
      <c r="C354" s="35"/>
      <c r="D354" s="33"/>
    </row>
  </sheetData>
  <mergeCells count="23">
    <mergeCell ref="O5:Q5"/>
    <mergeCell ref="A5:A7"/>
    <mergeCell ref="B5:B7"/>
    <mergeCell ref="C5:C7"/>
    <mergeCell ref="R5:R7"/>
    <mergeCell ref="L6:L7"/>
    <mergeCell ref="O6:O7"/>
    <mergeCell ref="Q6:Q7"/>
    <mergeCell ref="J6:J7"/>
    <mergeCell ref="I5:I7"/>
    <mergeCell ref="J5:L5"/>
    <mergeCell ref="M5:M7"/>
    <mergeCell ref="N5:N7"/>
    <mergeCell ref="P6:P7"/>
    <mergeCell ref="K6:K7"/>
    <mergeCell ref="F6:F7"/>
    <mergeCell ref="B2:H2"/>
    <mergeCell ref="B3:H3"/>
    <mergeCell ref="D5:D7"/>
    <mergeCell ref="E5:G5"/>
    <mergeCell ref="H5:H7"/>
    <mergeCell ref="E6:E7"/>
    <mergeCell ref="G6:G7"/>
  </mergeCells>
  <phoneticPr fontId="29" type="noConversion"/>
  <pageMargins left="0.27559055118110237" right="0.27559055118110237" top="0.39370078740157483" bottom="0.43307086614173229" header="0.23622047244094491" footer="0.23622047244094491"/>
  <pageSetup paperSize="9" scale="60" orientation="landscape" r:id="rId1"/>
  <headerFooter alignWithMargins="0">
    <oddFooter>&amp;L&amp;F&amp;C&amp;P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C000"/>
  </sheetPr>
  <dimension ref="A1:R416"/>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C9" sqref="C9"/>
    </sheetView>
  </sheetViews>
  <sheetFormatPr defaultColWidth="9.109375" defaultRowHeight="12"/>
  <cols>
    <col min="1" max="1" width="11.44140625" style="128" bestFit="1" customWidth="1"/>
    <col min="2" max="2" width="40.33203125" style="191" customWidth="1"/>
    <col min="3" max="3" width="13" style="192" customWidth="1"/>
    <col min="4" max="4" width="12" style="298"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1075"/>
      <c r="J2" s="1075"/>
      <c r="K2" s="1075"/>
      <c r="L2" s="1075"/>
      <c r="M2" s="220"/>
      <c r="N2" s="1075"/>
      <c r="O2" s="1075"/>
      <c r="P2" s="1075"/>
      <c r="Q2" s="1075"/>
      <c r="R2" s="220"/>
    </row>
    <row r="3" spans="1:18" s="1" customFormat="1" ht="12.75" customHeight="1">
      <c r="A3" s="221"/>
      <c r="B3" s="1400" t="s">
        <v>489</v>
      </c>
      <c r="C3" s="1400"/>
      <c r="D3" s="1400"/>
      <c r="E3" s="1400"/>
      <c r="F3" s="1400"/>
      <c r="G3" s="1400"/>
      <c r="H3" s="1400"/>
      <c r="I3" s="1076"/>
      <c r="J3" s="1076"/>
      <c r="K3" s="1076"/>
      <c r="L3" s="1076"/>
      <c r="M3" s="220"/>
      <c r="N3" s="1076"/>
      <c r="O3" s="1076"/>
      <c r="P3" s="1076"/>
      <c r="Q3" s="1076"/>
      <c r="R3" s="220"/>
    </row>
    <row r="4" spans="1:18" s="1" customFormat="1" ht="13.2">
      <c r="A4" s="221"/>
      <c r="B4" s="1076"/>
      <c r="C4" s="222"/>
      <c r="D4" s="1076"/>
      <c r="E4" s="1076"/>
      <c r="F4" s="1076"/>
      <c r="G4" s="1076"/>
      <c r="H4" s="1076"/>
      <c r="I4" s="1076"/>
      <c r="J4" s="1076"/>
      <c r="K4" s="1076"/>
      <c r="L4" s="1076"/>
      <c r="M4" s="1076"/>
      <c r="N4" s="1076"/>
      <c r="O4" s="1076"/>
      <c r="P4" s="1076"/>
      <c r="Q4" s="1076"/>
      <c r="R4" s="1076"/>
    </row>
    <row r="5" spans="1:18" s="1" customFormat="1" ht="14.25" customHeight="1">
      <c r="A5" s="1396" t="s">
        <v>213</v>
      </c>
      <c r="B5" s="1357"/>
      <c r="C5" s="1360" t="s">
        <v>202</v>
      </c>
      <c r="D5" s="1363" t="s">
        <v>231</v>
      </c>
      <c r="E5" s="1475" t="s">
        <v>232</v>
      </c>
      <c r="F5" s="1475"/>
      <c r="G5" s="1475"/>
      <c r="H5" s="1354" t="s">
        <v>486</v>
      </c>
      <c r="I5" s="1366" t="s">
        <v>234</v>
      </c>
      <c r="J5" s="1477" t="s">
        <v>232</v>
      </c>
      <c r="K5" s="1477"/>
      <c r="L5" s="1477"/>
      <c r="M5" s="1384" t="s">
        <v>487</v>
      </c>
      <c r="N5" s="1381" t="s">
        <v>235</v>
      </c>
      <c r="O5" s="1476" t="s">
        <v>232</v>
      </c>
      <c r="P5" s="1476"/>
      <c r="Q5" s="1476"/>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ht="10.199999999999999">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c r="A9" s="397"/>
      <c r="B9" s="400" t="s">
        <v>85</v>
      </c>
      <c r="C9" s="391"/>
      <c r="D9" s="401"/>
      <c r="E9" s="226"/>
      <c r="F9" s="226"/>
      <c r="G9" s="226"/>
      <c r="H9" s="226"/>
      <c r="I9" s="365"/>
      <c r="J9" s="226"/>
      <c r="K9" s="226"/>
      <c r="L9" s="226"/>
      <c r="M9" s="226"/>
      <c r="N9" s="365"/>
      <c r="O9" s="226"/>
      <c r="P9" s="226"/>
      <c r="Q9" s="226"/>
      <c r="R9" s="226"/>
    </row>
    <row r="10" spans="1:18" s="4" customFormat="1" ht="22.8">
      <c r="A10" s="1169" t="s">
        <v>201</v>
      </c>
      <c r="B10" s="1169" t="s">
        <v>88</v>
      </c>
      <c r="C10" s="167">
        <v>14334134</v>
      </c>
      <c r="D10" s="167">
        <v>14420154</v>
      </c>
      <c r="E10" s="228">
        <f>E11+E12+E14+E32</f>
        <v>0</v>
      </c>
      <c r="F10" s="228">
        <f t="shared" ref="F10:G10" si="0">F11+F12+F14+F32</f>
        <v>0</v>
      </c>
      <c r="G10" s="228">
        <f t="shared" si="0"/>
        <v>97240</v>
      </c>
      <c r="H10" s="1170">
        <f t="shared" ref="H10:H73" si="1">SUM(D10:G10)</f>
        <v>14517394</v>
      </c>
      <c r="I10" s="228">
        <v>14420154</v>
      </c>
      <c r="J10" s="228">
        <f>J11+J12+J14+J32</f>
        <v>0</v>
      </c>
      <c r="K10" s="228">
        <f t="shared" ref="K10:L10" si="2">K11+K12+K14+K32</f>
        <v>0</v>
      </c>
      <c r="L10" s="228">
        <f t="shared" si="2"/>
        <v>97240</v>
      </c>
      <c r="M10" s="1170">
        <f t="shared" ref="M10:M73" si="3">SUM(I10:L10)</f>
        <v>14517394</v>
      </c>
      <c r="N10" s="228">
        <v>14420154</v>
      </c>
      <c r="O10" s="228">
        <f>O11+O12+O14+O32</f>
        <v>0</v>
      </c>
      <c r="P10" s="228">
        <f t="shared" ref="P10:Q10" si="4">P11+P12+P14+P32</f>
        <v>0</v>
      </c>
      <c r="Q10" s="228">
        <f t="shared" si="4"/>
        <v>97240</v>
      </c>
      <c r="R10" s="1170">
        <f t="shared" ref="R10:R73" si="5">SUM(N10:Q10)</f>
        <v>14517394</v>
      </c>
    </row>
    <row r="11" spans="1:18" ht="22.8">
      <c r="A11" s="1172" t="s">
        <v>177</v>
      </c>
      <c r="B11" s="1172" t="s">
        <v>90</v>
      </c>
      <c r="C11" s="1268">
        <v>15000</v>
      </c>
      <c r="D11" s="1268">
        <v>15000</v>
      </c>
      <c r="E11" s="1175"/>
      <c r="F11" s="1175"/>
      <c r="G11" s="1175">
        <v>0</v>
      </c>
      <c r="H11" s="1176">
        <f t="shared" si="1"/>
        <v>15000</v>
      </c>
      <c r="I11" s="1175">
        <v>15000</v>
      </c>
      <c r="J11" s="1175"/>
      <c r="K11" s="1175"/>
      <c r="L11" s="1175">
        <v>0</v>
      </c>
      <c r="M11" s="1176">
        <f t="shared" si="3"/>
        <v>15000</v>
      </c>
      <c r="N11" s="1175">
        <v>15000</v>
      </c>
      <c r="O11" s="1175"/>
      <c r="P11" s="1175"/>
      <c r="Q11" s="1175">
        <v>0</v>
      </c>
      <c r="R11" s="1176">
        <f t="shared" si="5"/>
        <v>15000</v>
      </c>
    </row>
    <row r="12" spans="1:18" ht="12" hidden="1" customHeight="1">
      <c r="A12" s="1172" t="s">
        <v>91</v>
      </c>
      <c r="B12" s="1172" t="s">
        <v>92</v>
      </c>
      <c r="C12" s="1268"/>
      <c r="D12" s="1268">
        <v>0</v>
      </c>
      <c r="E12" s="1175"/>
      <c r="F12" s="1175"/>
      <c r="G12" s="1175"/>
      <c r="H12" s="1176">
        <f t="shared" si="1"/>
        <v>0</v>
      </c>
      <c r="I12" s="1175">
        <v>0</v>
      </c>
      <c r="J12" s="1175"/>
      <c r="K12" s="1175"/>
      <c r="L12" s="1175"/>
      <c r="M12" s="1176">
        <f t="shared" si="3"/>
        <v>0</v>
      </c>
      <c r="N12" s="1175">
        <v>0</v>
      </c>
      <c r="O12" s="1175"/>
      <c r="P12" s="1175"/>
      <c r="Q12" s="1175"/>
      <c r="R12" s="1176">
        <f t="shared" si="5"/>
        <v>0</v>
      </c>
    </row>
    <row r="13" spans="1:18" ht="24" hidden="1" customHeight="1">
      <c r="A13" s="1178">
        <v>21210</v>
      </c>
      <c r="B13" s="1178" t="s">
        <v>93</v>
      </c>
      <c r="C13" s="1268"/>
      <c r="D13" s="1268">
        <v>0</v>
      </c>
      <c r="E13" s="1175"/>
      <c r="F13" s="1175"/>
      <c r="G13" s="1175"/>
      <c r="H13" s="1176">
        <f t="shared" si="1"/>
        <v>0</v>
      </c>
      <c r="I13" s="1175">
        <v>0</v>
      </c>
      <c r="J13" s="1175"/>
      <c r="K13" s="1175"/>
      <c r="L13" s="1175"/>
      <c r="M13" s="1176">
        <f t="shared" si="3"/>
        <v>0</v>
      </c>
      <c r="N13" s="1175">
        <v>0</v>
      </c>
      <c r="O13" s="1175"/>
      <c r="P13" s="1175"/>
      <c r="Q13" s="1175"/>
      <c r="R13" s="1176">
        <f t="shared" si="5"/>
        <v>0</v>
      </c>
    </row>
    <row r="14" spans="1:18" ht="24" hidden="1" customHeight="1">
      <c r="A14" s="1172" t="s">
        <v>178</v>
      </c>
      <c r="B14" s="1172" t="s">
        <v>94</v>
      </c>
      <c r="C14" s="1269">
        <v>0</v>
      </c>
      <c r="D14" s="1269">
        <v>0</v>
      </c>
      <c r="E14" s="1181">
        <f>E15+E21</f>
        <v>0</v>
      </c>
      <c r="F14" s="1181">
        <f t="shared" ref="F14:G14" si="6">F15+F21</f>
        <v>0</v>
      </c>
      <c r="G14" s="1181">
        <f t="shared" si="6"/>
        <v>0</v>
      </c>
      <c r="H14" s="1176">
        <f t="shared" si="1"/>
        <v>0</v>
      </c>
      <c r="I14" s="1181">
        <v>0</v>
      </c>
      <c r="J14" s="1181">
        <f>J15+J21</f>
        <v>0</v>
      </c>
      <c r="K14" s="1181">
        <f t="shared" ref="K14:L14" si="7">K15+K21</f>
        <v>0</v>
      </c>
      <c r="L14" s="1181">
        <f t="shared" si="7"/>
        <v>0</v>
      </c>
      <c r="M14" s="1176">
        <f t="shared" si="3"/>
        <v>0</v>
      </c>
      <c r="N14" s="1181">
        <v>0</v>
      </c>
      <c r="O14" s="1181">
        <f>O15+O21</f>
        <v>0</v>
      </c>
      <c r="P14" s="1181">
        <f t="shared" ref="P14:Q14" si="8">P15+P21</f>
        <v>0</v>
      </c>
      <c r="Q14" s="1181">
        <f t="shared" si="8"/>
        <v>0</v>
      </c>
      <c r="R14" s="1176">
        <f t="shared" si="5"/>
        <v>0</v>
      </c>
    </row>
    <row r="15" spans="1:18" ht="12" hidden="1" customHeight="1">
      <c r="A15" s="1270">
        <v>18000</v>
      </c>
      <c r="B15" s="1178" t="s">
        <v>95</v>
      </c>
      <c r="C15" s="1269">
        <v>0</v>
      </c>
      <c r="D15" s="1269">
        <v>0</v>
      </c>
      <c r="E15" s="1181">
        <f t="shared" ref="E15:L16" si="9">E16</f>
        <v>0</v>
      </c>
      <c r="F15" s="1181">
        <f t="shared" si="9"/>
        <v>0</v>
      </c>
      <c r="G15" s="1181">
        <f t="shared" si="9"/>
        <v>0</v>
      </c>
      <c r="H15" s="1176">
        <f t="shared" si="1"/>
        <v>0</v>
      </c>
      <c r="I15" s="1181">
        <v>0</v>
      </c>
      <c r="J15" s="1181">
        <f t="shared" si="9"/>
        <v>0</v>
      </c>
      <c r="K15" s="1181">
        <f t="shared" si="9"/>
        <v>0</v>
      </c>
      <c r="L15" s="1181">
        <f t="shared" si="9"/>
        <v>0</v>
      </c>
      <c r="M15" s="1176">
        <f t="shared" si="3"/>
        <v>0</v>
      </c>
      <c r="N15" s="1181">
        <v>0</v>
      </c>
      <c r="O15" s="1181">
        <f t="shared" ref="O15:Q16" si="10">O16</f>
        <v>0</v>
      </c>
      <c r="P15" s="1181">
        <f t="shared" si="10"/>
        <v>0</v>
      </c>
      <c r="Q15" s="1181">
        <f t="shared" si="10"/>
        <v>0</v>
      </c>
      <c r="R15" s="1176">
        <f t="shared" si="5"/>
        <v>0</v>
      </c>
    </row>
    <row r="16" spans="1:18" ht="12" hidden="1" customHeight="1">
      <c r="A16" s="1270">
        <v>18100</v>
      </c>
      <c r="B16" s="1178" t="s">
        <v>96</v>
      </c>
      <c r="C16" s="1269">
        <v>0</v>
      </c>
      <c r="D16" s="1269">
        <v>0</v>
      </c>
      <c r="E16" s="1181">
        <f>E17</f>
        <v>0</v>
      </c>
      <c r="F16" s="1181">
        <f t="shared" si="9"/>
        <v>0</v>
      </c>
      <c r="G16" s="1181">
        <f t="shared" si="9"/>
        <v>0</v>
      </c>
      <c r="H16" s="1176">
        <f t="shared" si="1"/>
        <v>0</v>
      </c>
      <c r="I16" s="1181">
        <v>0</v>
      </c>
      <c r="J16" s="1181">
        <f>J17</f>
        <v>0</v>
      </c>
      <c r="K16" s="1181">
        <f t="shared" si="9"/>
        <v>0</v>
      </c>
      <c r="L16" s="1181">
        <f t="shared" si="9"/>
        <v>0</v>
      </c>
      <c r="M16" s="1176">
        <f t="shared" si="3"/>
        <v>0</v>
      </c>
      <c r="N16" s="1181">
        <v>0</v>
      </c>
      <c r="O16" s="1181">
        <f>O17</f>
        <v>0</v>
      </c>
      <c r="P16" s="1181">
        <f t="shared" si="10"/>
        <v>0</v>
      </c>
      <c r="Q16" s="1181">
        <f t="shared" si="10"/>
        <v>0</v>
      </c>
      <c r="R16" s="1176">
        <f t="shared" si="5"/>
        <v>0</v>
      </c>
    </row>
    <row r="17" spans="1:18" s="4" customFormat="1" ht="24" hidden="1" customHeight="1">
      <c r="A17" s="1271">
        <v>18130</v>
      </c>
      <c r="B17" s="1272" t="s">
        <v>159</v>
      </c>
      <c r="C17" s="1269">
        <v>0</v>
      </c>
      <c r="D17" s="1269">
        <v>0</v>
      </c>
      <c r="E17" s="1181">
        <f>SUM(E18:E20)</f>
        <v>0</v>
      </c>
      <c r="F17" s="1181">
        <f t="shared" ref="F17:G17" si="11">SUM(F18:F20)</f>
        <v>0</v>
      </c>
      <c r="G17" s="1181">
        <f t="shared" si="11"/>
        <v>0</v>
      </c>
      <c r="H17" s="1176">
        <f t="shared" si="1"/>
        <v>0</v>
      </c>
      <c r="I17" s="1181">
        <v>0</v>
      </c>
      <c r="J17" s="1181">
        <f>SUM(J18:J20)</f>
        <v>0</v>
      </c>
      <c r="K17" s="1181">
        <f t="shared" ref="K17:L17" si="12">SUM(K18:K20)</f>
        <v>0</v>
      </c>
      <c r="L17" s="1181">
        <f t="shared" si="12"/>
        <v>0</v>
      </c>
      <c r="M17" s="1176">
        <f t="shared" si="3"/>
        <v>0</v>
      </c>
      <c r="N17" s="1181">
        <v>0</v>
      </c>
      <c r="O17" s="1181">
        <f>SUM(O18:O20)</f>
        <v>0</v>
      </c>
      <c r="P17" s="1181">
        <f t="shared" ref="P17:Q17" si="13">SUM(P18:P20)</f>
        <v>0</v>
      </c>
      <c r="Q17" s="1181">
        <f t="shared" si="13"/>
        <v>0</v>
      </c>
      <c r="R17" s="1176">
        <f t="shared" si="5"/>
        <v>0</v>
      </c>
    </row>
    <row r="18" spans="1:18" s="6" customFormat="1" ht="36" hidden="1" customHeight="1">
      <c r="A18" s="1273">
        <v>18131</v>
      </c>
      <c r="B18" s="1272" t="s">
        <v>160</v>
      </c>
      <c r="C18" s="1269"/>
      <c r="D18" s="1269">
        <v>0</v>
      </c>
      <c r="E18" s="1181"/>
      <c r="F18" s="1181"/>
      <c r="G18" s="1181"/>
      <c r="H18" s="1176">
        <f t="shared" si="1"/>
        <v>0</v>
      </c>
      <c r="I18" s="1181">
        <v>0</v>
      </c>
      <c r="J18" s="1181"/>
      <c r="K18" s="1181"/>
      <c r="L18" s="1181"/>
      <c r="M18" s="1176">
        <f t="shared" si="3"/>
        <v>0</v>
      </c>
      <c r="N18" s="1181">
        <v>0</v>
      </c>
      <c r="O18" s="1181"/>
      <c r="P18" s="1181"/>
      <c r="Q18" s="1181"/>
      <c r="R18" s="1176">
        <f t="shared" si="5"/>
        <v>0</v>
      </c>
    </row>
    <row r="19" spans="1:18" s="6" customFormat="1" ht="24" hidden="1" customHeight="1">
      <c r="A19" s="1273">
        <v>18132</v>
      </c>
      <c r="B19" s="1272" t="s">
        <v>169</v>
      </c>
      <c r="C19" s="1269"/>
      <c r="D19" s="1269">
        <v>0</v>
      </c>
      <c r="E19" s="1181"/>
      <c r="F19" s="1181"/>
      <c r="G19" s="1181"/>
      <c r="H19" s="1176">
        <f t="shared" si="1"/>
        <v>0</v>
      </c>
      <c r="I19" s="1181">
        <v>0</v>
      </c>
      <c r="J19" s="1181"/>
      <c r="K19" s="1181"/>
      <c r="L19" s="1181"/>
      <c r="M19" s="1176">
        <f t="shared" si="3"/>
        <v>0</v>
      </c>
      <c r="N19" s="1181">
        <v>0</v>
      </c>
      <c r="O19" s="1181"/>
      <c r="P19" s="1181"/>
      <c r="Q19" s="1181"/>
      <c r="R19" s="1176">
        <f t="shared" si="5"/>
        <v>0</v>
      </c>
    </row>
    <row r="20" spans="1:18" s="6" customFormat="1" ht="24" hidden="1" customHeight="1">
      <c r="A20" s="1273">
        <v>18139</v>
      </c>
      <c r="B20" s="1272" t="s">
        <v>179</v>
      </c>
      <c r="C20" s="1269"/>
      <c r="D20" s="1269">
        <v>0</v>
      </c>
      <c r="E20" s="1181"/>
      <c r="F20" s="1181"/>
      <c r="G20" s="1181"/>
      <c r="H20" s="1176">
        <f t="shared" si="1"/>
        <v>0</v>
      </c>
      <c r="I20" s="1181">
        <v>0</v>
      </c>
      <c r="J20" s="1181"/>
      <c r="K20" s="1181"/>
      <c r="L20" s="1181"/>
      <c r="M20" s="1176">
        <f t="shared" si="3"/>
        <v>0</v>
      </c>
      <c r="N20" s="1181">
        <v>0</v>
      </c>
      <c r="O20" s="1181"/>
      <c r="P20" s="1181"/>
      <c r="Q20" s="1181"/>
      <c r="R20" s="1176">
        <f t="shared" si="5"/>
        <v>0</v>
      </c>
    </row>
    <row r="21" spans="1:18" s="6" customFormat="1" ht="12" hidden="1" customHeight="1">
      <c r="A21" s="1274" t="s">
        <v>180</v>
      </c>
      <c r="B21" s="1187" t="s">
        <v>173</v>
      </c>
      <c r="C21" s="174">
        <v>0</v>
      </c>
      <c r="D21" s="174">
        <v>0</v>
      </c>
      <c r="E21" s="238">
        <f t="shared" ref="E21:L21" si="14">E22</f>
        <v>0</v>
      </c>
      <c r="F21" s="238">
        <f t="shared" si="14"/>
        <v>0</v>
      </c>
      <c r="G21" s="238">
        <f t="shared" si="14"/>
        <v>0</v>
      </c>
      <c r="H21" s="1176">
        <f t="shared" si="1"/>
        <v>0</v>
      </c>
      <c r="I21" s="238">
        <v>0</v>
      </c>
      <c r="J21" s="238">
        <f t="shared" si="14"/>
        <v>0</v>
      </c>
      <c r="K21" s="238">
        <f t="shared" si="14"/>
        <v>0</v>
      </c>
      <c r="L21" s="238">
        <f t="shared" si="14"/>
        <v>0</v>
      </c>
      <c r="M21" s="1176">
        <f t="shared" si="3"/>
        <v>0</v>
      </c>
      <c r="N21" s="238">
        <v>0</v>
      </c>
      <c r="O21" s="238">
        <f t="shared" ref="O21:Q21" si="15">O22</f>
        <v>0</v>
      </c>
      <c r="P21" s="238">
        <f t="shared" si="15"/>
        <v>0</v>
      </c>
      <c r="Q21" s="238">
        <f t="shared" si="15"/>
        <v>0</v>
      </c>
      <c r="R21" s="1176">
        <f t="shared" si="5"/>
        <v>0</v>
      </c>
    </row>
    <row r="22" spans="1:18" s="6" customFormat="1" ht="24" hidden="1" customHeight="1">
      <c r="A22" s="1274">
        <v>19500</v>
      </c>
      <c r="B22" s="1272" t="s">
        <v>174</v>
      </c>
      <c r="C22" s="1269">
        <v>0</v>
      </c>
      <c r="D22" s="1269">
        <v>0</v>
      </c>
      <c r="E22" s="1181">
        <f>SUM(E23:E25)</f>
        <v>0</v>
      </c>
      <c r="F22" s="1181">
        <f t="shared" ref="F22:G22" si="16">SUM(F23:F25)</f>
        <v>0</v>
      </c>
      <c r="G22" s="1181">
        <f t="shared" si="16"/>
        <v>0</v>
      </c>
      <c r="H22" s="1176">
        <f t="shared" si="1"/>
        <v>0</v>
      </c>
      <c r="I22" s="1181">
        <v>0</v>
      </c>
      <c r="J22" s="1181">
        <f>SUM(J23:J25)</f>
        <v>0</v>
      </c>
      <c r="K22" s="1181">
        <f t="shared" ref="K22:L22" si="17">SUM(K23:K25)</f>
        <v>0</v>
      </c>
      <c r="L22" s="1181">
        <f t="shared" si="17"/>
        <v>0</v>
      </c>
      <c r="M22" s="1176">
        <f t="shared" si="3"/>
        <v>0</v>
      </c>
      <c r="N22" s="1181">
        <v>0</v>
      </c>
      <c r="O22" s="1181">
        <f>SUM(O23:O25)</f>
        <v>0</v>
      </c>
      <c r="P22" s="1181">
        <f t="shared" ref="P22:Q22" si="18">SUM(P23:P25)</f>
        <v>0</v>
      </c>
      <c r="Q22" s="1181">
        <f t="shared" si="18"/>
        <v>0</v>
      </c>
      <c r="R22" s="1176">
        <f t="shared" si="5"/>
        <v>0</v>
      </c>
    </row>
    <row r="23" spans="1:18" s="6" customFormat="1" ht="24" hidden="1" customHeight="1">
      <c r="A23" s="1275">
        <v>19550</v>
      </c>
      <c r="B23" s="1272" t="s">
        <v>175</v>
      </c>
      <c r="C23" s="1269"/>
      <c r="D23" s="1269">
        <v>0</v>
      </c>
      <c r="E23" s="1181"/>
      <c r="F23" s="1181"/>
      <c r="G23" s="1181"/>
      <c r="H23" s="1176">
        <f t="shared" si="1"/>
        <v>0</v>
      </c>
      <c r="I23" s="1181">
        <v>0</v>
      </c>
      <c r="J23" s="1181"/>
      <c r="K23" s="1181"/>
      <c r="L23" s="1181"/>
      <c r="M23" s="1176">
        <f t="shared" si="3"/>
        <v>0</v>
      </c>
      <c r="N23" s="1181">
        <v>0</v>
      </c>
      <c r="O23" s="1181"/>
      <c r="P23" s="1181"/>
      <c r="Q23" s="1181"/>
      <c r="R23" s="1176">
        <f t="shared" si="5"/>
        <v>0</v>
      </c>
    </row>
    <row r="24" spans="1:18" s="6" customFormat="1" ht="36" hidden="1" customHeight="1">
      <c r="A24" s="1275">
        <v>19560</v>
      </c>
      <c r="B24" s="1272" t="s">
        <v>181</v>
      </c>
      <c r="C24" s="1269"/>
      <c r="D24" s="1269">
        <v>0</v>
      </c>
      <c r="E24" s="1181"/>
      <c r="F24" s="1181"/>
      <c r="G24" s="1181"/>
      <c r="H24" s="1176">
        <f t="shared" si="1"/>
        <v>0</v>
      </c>
      <c r="I24" s="1181">
        <v>0</v>
      </c>
      <c r="J24" s="1181"/>
      <c r="K24" s="1181"/>
      <c r="L24" s="1181"/>
      <c r="M24" s="1176">
        <f t="shared" si="3"/>
        <v>0</v>
      </c>
      <c r="N24" s="1181">
        <v>0</v>
      </c>
      <c r="O24" s="1181"/>
      <c r="P24" s="1181"/>
      <c r="Q24" s="1181"/>
      <c r="R24" s="1176">
        <f t="shared" si="5"/>
        <v>0</v>
      </c>
    </row>
    <row r="25" spans="1:18" s="6" customFormat="1" ht="60" hidden="1" customHeight="1">
      <c r="A25" s="1275">
        <v>19570</v>
      </c>
      <c r="B25" s="1272" t="s">
        <v>182</v>
      </c>
      <c r="C25" s="1269"/>
      <c r="D25" s="1269">
        <v>0</v>
      </c>
      <c r="E25" s="1181"/>
      <c r="F25" s="1181"/>
      <c r="G25" s="1181"/>
      <c r="H25" s="1176">
        <f t="shared" si="1"/>
        <v>0</v>
      </c>
      <c r="I25" s="1181">
        <v>0</v>
      </c>
      <c r="J25" s="1181"/>
      <c r="K25" s="1181"/>
      <c r="L25" s="1181"/>
      <c r="M25" s="1176">
        <f t="shared" si="3"/>
        <v>0</v>
      </c>
      <c r="N25" s="1181">
        <v>0</v>
      </c>
      <c r="O25" s="1181"/>
      <c r="P25" s="1181"/>
      <c r="Q25" s="1181"/>
      <c r="R25" s="1176">
        <f t="shared" si="5"/>
        <v>0</v>
      </c>
    </row>
    <row r="26" spans="1:18" s="6" customFormat="1" ht="24" hidden="1" customHeight="1">
      <c r="A26" s="1276" t="s">
        <v>222</v>
      </c>
      <c r="B26" s="1277" t="s">
        <v>216</v>
      </c>
      <c r="C26" s="1269">
        <f>C27</f>
        <v>0</v>
      </c>
      <c r="D26" s="1269">
        <v>0</v>
      </c>
      <c r="E26" s="1176">
        <f t="shared" ref="E26:L26" si="19">E27</f>
        <v>0</v>
      </c>
      <c r="F26" s="1176">
        <f t="shared" si="19"/>
        <v>0</v>
      </c>
      <c r="G26" s="1176">
        <f t="shared" si="19"/>
        <v>0</v>
      </c>
      <c r="H26" s="1176">
        <f t="shared" si="1"/>
        <v>0</v>
      </c>
      <c r="I26" s="1181">
        <v>0</v>
      </c>
      <c r="J26" s="1176">
        <f t="shared" si="19"/>
        <v>0</v>
      </c>
      <c r="K26" s="1176">
        <f t="shared" si="19"/>
        <v>0</v>
      </c>
      <c r="L26" s="1176">
        <f t="shared" si="19"/>
        <v>0</v>
      </c>
      <c r="M26" s="1176">
        <f t="shared" si="3"/>
        <v>0</v>
      </c>
      <c r="N26" s="1181">
        <v>0</v>
      </c>
      <c r="O26" s="1176">
        <f t="shared" ref="O26:Q26" si="20">O27</f>
        <v>0</v>
      </c>
      <c r="P26" s="1176">
        <f t="shared" si="20"/>
        <v>0</v>
      </c>
      <c r="Q26" s="1176">
        <f t="shared" si="20"/>
        <v>0</v>
      </c>
      <c r="R26" s="1176">
        <f t="shared" si="5"/>
        <v>0</v>
      </c>
    </row>
    <row r="27" spans="1:18" s="6" customFormat="1" ht="36" hidden="1" customHeight="1">
      <c r="A27" s="1276">
        <v>17100</v>
      </c>
      <c r="B27" s="1277" t="s">
        <v>217</v>
      </c>
      <c r="C27" s="1269">
        <f>SUM(C28:C31)</f>
        <v>0</v>
      </c>
      <c r="D27" s="1269">
        <v>0</v>
      </c>
      <c r="E27" s="1176">
        <f t="shared" ref="E27:G27" si="21">SUM(E28:E31)</f>
        <v>0</v>
      </c>
      <c r="F27" s="1176">
        <f t="shared" si="21"/>
        <v>0</v>
      </c>
      <c r="G27" s="1176">
        <f t="shared" si="21"/>
        <v>0</v>
      </c>
      <c r="H27" s="1176">
        <f t="shared" si="1"/>
        <v>0</v>
      </c>
      <c r="I27" s="1181">
        <v>0</v>
      </c>
      <c r="J27" s="1176">
        <f t="shared" ref="J27:L27" si="22">SUM(J28:J31)</f>
        <v>0</v>
      </c>
      <c r="K27" s="1176">
        <f t="shared" si="22"/>
        <v>0</v>
      </c>
      <c r="L27" s="1176">
        <f t="shared" si="22"/>
        <v>0</v>
      </c>
      <c r="M27" s="1176">
        <f t="shared" si="3"/>
        <v>0</v>
      </c>
      <c r="N27" s="1181">
        <v>0</v>
      </c>
      <c r="O27" s="1176">
        <f t="shared" ref="O27:Q27" si="23">SUM(O28:O31)</f>
        <v>0</v>
      </c>
      <c r="P27" s="1176">
        <f t="shared" si="23"/>
        <v>0</v>
      </c>
      <c r="Q27" s="1176">
        <f t="shared" si="23"/>
        <v>0</v>
      </c>
      <c r="R27" s="1176">
        <f t="shared" si="5"/>
        <v>0</v>
      </c>
    </row>
    <row r="28" spans="1:18" s="6" customFormat="1" ht="48" hidden="1" customHeight="1">
      <c r="A28" s="1278">
        <v>17110</v>
      </c>
      <c r="B28" s="1277" t="s">
        <v>218</v>
      </c>
      <c r="C28" s="1269"/>
      <c r="D28" s="1269">
        <v>0</v>
      </c>
      <c r="E28" s="1181"/>
      <c r="F28" s="1181"/>
      <c r="G28" s="1181"/>
      <c r="H28" s="1176">
        <f t="shared" si="1"/>
        <v>0</v>
      </c>
      <c r="I28" s="1181">
        <v>0</v>
      </c>
      <c r="J28" s="1181"/>
      <c r="K28" s="1181"/>
      <c r="L28" s="1181"/>
      <c r="M28" s="1176">
        <f t="shared" si="3"/>
        <v>0</v>
      </c>
      <c r="N28" s="1181">
        <v>0</v>
      </c>
      <c r="O28" s="1181"/>
      <c r="P28" s="1181"/>
      <c r="Q28" s="1181"/>
      <c r="R28" s="1176">
        <f t="shared" si="5"/>
        <v>0</v>
      </c>
    </row>
    <row r="29" spans="1:18" s="6" customFormat="1" ht="48" hidden="1" customHeight="1">
      <c r="A29" s="1278">
        <v>17120</v>
      </c>
      <c r="B29" s="1277" t="s">
        <v>219</v>
      </c>
      <c r="C29" s="1269"/>
      <c r="D29" s="1269">
        <v>0</v>
      </c>
      <c r="E29" s="1181"/>
      <c r="F29" s="1181"/>
      <c r="G29" s="1181"/>
      <c r="H29" s="1176">
        <f t="shared" si="1"/>
        <v>0</v>
      </c>
      <c r="I29" s="1181">
        <v>0</v>
      </c>
      <c r="J29" s="1181"/>
      <c r="K29" s="1181"/>
      <c r="L29" s="1181"/>
      <c r="M29" s="1176">
        <f t="shared" si="3"/>
        <v>0</v>
      </c>
      <c r="N29" s="1181">
        <v>0</v>
      </c>
      <c r="O29" s="1181"/>
      <c r="P29" s="1181"/>
      <c r="Q29" s="1181"/>
      <c r="R29" s="1176">
        <f t="shared" si="5"/>
        <v>0</v>
      </c>
    </row>
    <row r="30" spans="1:18" s="6" customFormat="1" ht="96" hidden="1" customHeight="1">
      <c r="A30" s="1278">
        <v>17130</v>
      </c>
      <c r="B30" s="1277" t="s">
        <v>220</v>
      </c>
      <c r="C30" s="1269"/>
      <c r="D30" s="1269">
        <v>0</v>
      </c>
      <c r="E30" s="1181"/>
      <c r="F30" s="1181"/>
      <c r="G30" s="1181"/>
      <c r="H30" s="1176">
        <f t="shared" si="1"/>
        <v>0</v>
      </c>
      <c r="I30" s="1181">
        <v>0</v>
      </c>
      <c r="J30" s="1181"/>
      <c r="K30" s="1181"/>
      <c r="L30" s="1181"/>
      <c r="M30" s="1176">
        <f t="shared" si="3"/>
        <v>0</v>
      </c>
      <c r="N30" s="1181">
        <v>0</v>
      </c>
      <c r="O30" s="1181"/>
      <c r="P30" s="1181"/>
      <c r="Q30" s="1181"/>
      <c r="R30" s="1176">
        <f t="shared" si="5"/>
        <v>0</v>
      </c>
    </row>
    <row r="31" spans="1:18" s="6" customFormat="1" ht="96" hidden="1" customHeight="1">
      <c r="A31" s="1278">
        <v>17140</v>
      </c>
      <c r="B31" s="1277" t="s">
        <v>221</v>
      </c>
      <c r="C31" s="1269"/>
      <c r="D31" s="1269">
        <v>0</v>
      </c>
      <c r="E31" s="1181"/>
      <c r="F31" s="1181"/>
      <c r="G31" s="1181"/>
      <c r="H31" s="1176">
        <f t="shared" si="1"/>
        <v>0</v>
      </c>
      <c r="I31" s="1181">
        <v>0</v>
      </c>
      <c r="J31" s="1181"/>
      <c r="K31" s="1181"/>
      <c r="L31" s="1181"/>
      <c r="M31" s="1176">
        <f t="shared" si="3"/>
        <v>0</v>
      </c>
      <c r="N31" s="1181">
        <v>0</v>
      </c>
      <c r="O31" s="1181"/>
      <c r="P31" s="1181"/>
      <c r="Q31" s="1181"/>
      <c r="R31" s="1176">
        <f t="shared" si="5"/>
        <v>0</v>
      </c>
    </row>
    <row r="32" spans="1:18" s="6" customFormat="1">
      <c r="A32" s="1279">
        <v>21700</v>
      </c>
      <c r="B32" s="1172" t="s">
        <v>97</v>
      </c>
      <c r="C32" s="1269">
        <v>14319134</v>
      </c>
      <c r="D32" s="1269">
        <v>14405154</v>
      </c>
      <c r="E32" s="1181">
        <f>E33+E34</f>
        <v>0</v>
      </c>
      <c r="F32" s="1181">
        <f t="shared" ref="F32" si="24">F33+F34</f>
        <v>0</v>
      </c>
      <c r="G32" s="1181">
        <f>G33+G34</f>
        <v>97240</v>
      </c>
      <c r="H32" s="1176">
        <f t="shared" si="1"/>
        <v>14502394</v>
      </c>
      <c r="I32" s="1181">
        <v>14405154</v>
      </c>
      <c r="J32" s="1181">
        <f>J33+J34</f>
        <v>0</v>
      </c>
      <c r="K32" s="1181">
        <f t="shared" ref="K32" si="25">K33+K34</f>
        <v>0</v>
      </c>
      <c r="L32" s="1181">
        <f>L33+L34</f>
        <v>97240</v>
      </c>
      <c r="M32" s="1176">
        <f t="shared" si="3"/>
        <v>14502394</v>
      </c>
      <c r="N32" s="1181">
        <v>14405154</v>
      </c>
      <c r="O32" s="1181">
        <f>O33+O34</f>
        <v>0</v>
      </c>
      <c r="P32" s="1181">
        <f t="shared" ref="P32" si="26">P33+P34</f>
        <v>0</v>
      </c>
      <c r="Q32" s="1181">
        <f>Q33+Q34</f>
        <v>97240</v>
      </c>
      <c r="R32" s="1176">
        <f t="shared" si="5"/>
        <v>14502394</v>
      </c>
    </row>
    <row r="33" spans="1:18" s="6" customFormat="1" ht="24">
      <c r="A33" s="1280">
        <v>21710</v>
      </c>
      <c r="B33" s="1178" t="s">
        <v>98</v>
      </c>
      <c r="C33" s="1269">
        <v>14319134</v>
      </c>
      <c r="D33" s="1269">
        <v>14405154</v>
      </c>
      <c r="E33" s="1181"/>
      <c r="F33" s="1181"/>
      <c r="G33" s="1181">
        <f>G117</f>
        <v>97240</v>
      </c>
      <c r="H33" s="1176">
        <f t="shared" si="1"/>
        <v>14502394</v>
      </c>
      <c r="I33" s="1181">
        <v>14405154</v>
      </c>
      <c r="J33" s="1181"/>
      <c r="K33" s="1181"/>
      <c r="L33" s="1181">
        <f>L117</f>
        <v>97240</v>
      </c>
      <c r="M33" s="1176">
        <f t="shared" si="3"/>
        <v>14502394</v>
      </c>
      <c r="N33" s="1181">
        <v>14405154</v>
      </c>
      <c r="O33" s="1181"/>
      <c r="P33" s="1181"/>
      <c r="Q33" s="1181">
        <f>Q117</f>
        <v>97240</v>
      </c>
      <c r="R33" s="1176">
        <f t="shared" si="5"/>
        <v>14502394</v>
      </c>
    </row>
    <row r="34" spans="1:18" s="6" customFormat="1" ht="24" hidden="1" customHeight="1">
      <c r="A34" s="1280">
        <v>21720</v>
      </c>
      <c r="B34" s="1178" t="s">
        <v>99</v>
      </c>
      <c r="C34" s="1269"/>
      <c r="D34" s="1269">
        <v>0</v>
      </c>
      <c r="E34" s="1181"/>
      <c r="F34" s="1181"/>
      <c r="G34" s="1181"/>
      <c r="H34" s="1176">
        <f t="shared" si="1"/>
        <v>0</v>
      </c>
      <c r="I34" s="1181">
        <v>0</v>
      </c>
      <c r="J34" s="1181"/>
      <c r="K34" s="1181"/>
      <c r="L34" s="1181"/>
      <c r="M34" s="1176">
        <f t="shared" si="3"/>
        <v>0</v>
      </c>
      <c r="N34" s="1181">
        <v>0</v>
      </c>
      <c r="O34" s="1181"/>
      <c r="P34" s="1181"/>
      <c r="Q34" s="1181"/>
      <c r="R34" s="1176">
        <f t="shared" si="5"/>
        <v>0</v>
      </c>
    </row>
    <row r="35" spans="1:18" s="6" customFormat="1" ht="11.4">
      <c r="A35" s="1169" t="s">
        <v>100</v>
      </c>
      <c r="B35" s="1169" t="s">
        <v>101</v>
      </c>
      <c r="C35" s="1281">
        <v>14334134</v>
      </c>
      <c r="D35" s="1281">
        <v>14420154</v>
      </c>
      <c r="E35" s="1196">
        <f t="shared" ref="E35:G35" si="27">E36+E63</f>
        <v>0</v>
      </c>
      <c r="F35" s="1196">
        <f t="shared" si="27"/>
        <v>0</v>
      </c>
      <c r="G35" s="1196">
        <f t="shared" si="27"/>
        <v>97240</v>
      </c>
      <c r="H35" s="1170">
        <f t="shared" si="1"/>
        <v>14517394</v>
      </c>
      <c r="I35" s="1196">
        <v>14420154</v>
      </c>
      <c r="J35" s="1196">
        <f t="shared" ref="J35:L35" si="28">J36+J63</f>
        <v>0</v>
      </c>
      <c r="K35" s="1196">
        <f t="shared" si="28"/>
        <v>0</v>
      </c>
      <c r="L35" s="1196">
        <f t="shared" si="28"/>
        <v>97240</v>
      </c>
      <c r="M35" s="1170">
        <f t="shared" si="3"/>
        <v>14517394</v>
      </c>
      <c r="N35" s="1196">
        <v>14420154</v>
      </c>
      <c r="O35" s="1196">
        <f t="shared" ref="O35:Q35" si="29">O36+O63</f>
        <v>0</v>
      </c>
      <c r="P35" s="1196">
        <f t="shared" si="29"/>
        <v>0</v>
      </c>
      <c r="Q35" s="1196">
        <f t="shared" si="29"/>
        <v>97240</v>
      </c>
      <c r="R35" s="1170">
        <f t="shared" si="5"/>
        <v>14517394</v>
      </c>
    </row>
    <row r="36" spans="1:18" s="6" customFormat="1" ht="22.8">
      <c r="A36" s="1172" t="s">
        <v>102</v>
      </c>
      <c r="B36" s="1172" t="s">
        <v>103</v>
      </c>
      <c r="C36" s="1269">
        <v>14286491</v>
      </c>
      <c r="D36" s="1269">
        <v>14372511</v>
      </c>
      <c r="E36" s="1181">
        <f>E37+E41+E42+E45+E48</f>
        <v>0</v>
      </c>
      <c r="F36" s="1181">
        <f t="shared" ref="F36:G36" si="30">F37+F41+F42+F45+F48</f>
        <v>0</v>
      </c>
      <c r="G36" s="1181">
        <f t="shared" si="30"/>
        <v>97240</v>
      </c>
      <c r="H36" s="1176">
        <f t="shared" si="1"/>
        <v>14469751</v>
      </c>
      <c r="I36" s="1181">
        <v>14372511</v>
      </c>
      <c r="J36" s="1181">
        <f>J37+J41+J42+J45+J48</f>
        <v>0</v>
      </c>
      <c r="K36" s="1181">
        <f t="shared" ref="K36:L36" si="31">K37+K41+K42+K45+K48</f>
        <v>0</v>
      </c>
      <c r="L36" s="1181">
        <f t="shared" si="31"/>
        <v>97240</v>
      </c>
      <c r="M36" s="1176">
        <f t="shared" si="3"/>
        <v>14469751</v>
      </c>
      <c r="N36" s="1181">
        <v>14372511</v>
      </c>
      <c r="O36" s="1181">
        <f>O37+O41+O42+O45+O48</f>
        <v>0</v>
      </c>
      <c r="P36" s="1181">
        <f t="shared" ref="P36:Q36" si="32">P37+P41+P42+P45+P48</f>
        <v>0</v>
      </c>
      <c r="Q36" s="1181">
        <f t="shared" si="32"/>
        <v>97240</v>
      </c>
      <c r="R36" s="1176">
        <f t="shared" si="5"/>
        <v>14469751</v>
      </c>
    </row>
    <row r="37" spans="1:18" s="6" customFormat="1">
      <c r="A37" s="1172" t="s">
        <v>104</v>
      </c>
      <c r="B37" s="1172" t="s">
        <v>105</v>
      </c>
      <c r="C37" s="1269">
        <v>14286491</v>
      </c>
      <c r="D37" s="1269">
        <v>14372511</v>
      </c>
      <c r="E37" s="1181">
        <f>E38+E40</f>
        <v>0</v>
      </c>
      <c r="F37" s="1181">
        <f t="shared" ref="F37:G37" si="33">F38+F40</f>
        <v>0</v>
      </c>
      <c r="G37" s="1181">
        <f t="shared" si="33"/>
        <v>97240</v>
      </c>
      <c r="H37" s="1176">
        <f t="shared" si="1"/>
        <v>14469751</v>
      </c>
      <c r="I37" s="1181">
        <v>14372511</v>
      </c>
      <c r="J37" s="1181">
        <f>J38+J40</f>
        <v>0</v>
      </c>
      <c r="K37" s="1181">
        <f t="shared" ref="K37:L37" si="34">K38+K40</f>
        <v>0</v>
      </c>
      <c r="L37" s="1181">
        <f t="shared" si="34"/>
        <v>97240</v>
      </c>
      <c r="M37" s="1176">
        <f t="shared" si="3"/>
        <v>14469751</v>
      </c>
      <c r="N37" s="1181">
        <v>14372511</v>
      </c>
      <c r="O37" s="1181">
        <f>O38+O40</f>
        <v>0</v>
      </c>
      <c r="P37" s="1181">
        <f t="shared" ref="P37:Q37" si="35">P38+P40</f>
        <v>0</v>
      </c>
      <c r="Q37" s="1181">
        <f t="shared" si="35"/>
        <v>97240</v>
      </c>
      <c r="R37" s="1176">
        <f t="shared" si="5"/>
        <v>14469751</v>
      </c>
    </row>
    <row r="38" spans="1:18" s="6" customFormat="1">
      <c r="A38" s="1270">
        <v>1000</v>
      </c>
      <c r="B38" s="1178" t="s">
        <v>106</v>
      </c>
      <c r="C38" s="1269">
        <v>12828199</v>
      </c>
      <c r="D38" s="1269">
        <v>12914219</v>
      </c>
      <c r="E38" s="1197"/>
      <c r="F38" s="1197"/>
      <c r="G38" s="1181">
        <f t="shared" ref="G38:G39" si="36">G122</f>
        <v>89240</v>
      </c>
      <c r="H38" s="1176">
        <f t="shared" si="1"/>
        <v>13003459</v>
      </c>
      <c r="I38" s="1181">
        <v>12914219</v>
      </c>
      <c r="J38" s="1197"/>
      <c r="K38" s="1197"/>
      <c r="L38" s="1181">
        <f t="shared" ref="L38:L39" si="37">L122</f>
        <v>89240</v>
      </c>
      <c r="M38" s="1176">
        <f t="shared" si="3"/>
        <v>13003459</v>
      </c>
      <c r="N38" s="1181">
        <v>12914219</v>
      </c>
      <c r="O38" s="1197"/>
      <c r="P38" s="1197"/>
      <c r="Q38" s="1181">
        <f t="shared" ref="Q38:Q39" si="38">Q122</f>
        <v>89240</v>
      </c>
      <c r="R38" s="1176">
        <f t="shared" si="5"/>
        <v>13003459</v>
      </c>
    </row>
    <row r="39" spans="1:18" s="6" customFormat="1">
      <c r="A39" s="1282">
        <v>1100</v>
      </c>
      <c r="B39" s="1178" t="s">
        <v>107</v>
      </c>
      <c r="C39" s="1269">
        <v>10278083</v>
      </c>
      <c r="D39" s="1269">
        <v>10278083</v>
      </c>
      <c r="E39" s="1197"/>
      <c r="F39" s="1197"/>
      <c r="G39" s="1181">
        <f t="shared" si="36"/>
        <v>0</v>
      </c>
      <c r="H39" s="1176">
        <f t="shared" si="1"/>
        <v>10278083</v>
      </c>
      <c r="I39" s="1181">
        <v>10278083</v>
      </c>
      <c r="J39" s="1197"/>
      <c r="K39" s="1197"/>
      <c r="L39" s="1181">
        <f t="shared" si="37"/>
        <v>0</v>
      </c>
      <c r="M39" s="1176">
        <f t="shared" si="3"/>
        <v>10278083</v>
      </c>
      <c r="N39" s="1181">
        <v>10278083</v>
      </c>
      <c r="O39" s="1197"/>
      <c r="P39" s="1197"/>
      <c r="Q39" s="1181">
        <f t="shared" si="38"/>
        <v>0</v>
      </c>
      <c r="R39" s="1176">
        <f t="shared" si="5"/>
        <v>10278083</v>
      </c>
    </row>
    <row r="40" spans="1:18" s="6" customFormat="1">
      <c r="A40" s="1270">
        <v>2000</v>
      </c>
      <c r="B40" s="1178" t="s">
        <v>108</v>
      </c>
      <c r="C40" s="1269">
        <v>1458292</v>
      </c>
      <c r="D40" s="1269">
        <v>1458292</v>
      </c>
      <c r="E40" s="1197"/>
      <c r="F40" s="1197"/>
      <c r="G40" s="1181">
        <f>G124</f>
        <v>8000</v>
      </c>
      <c r="H40" s="1176">
        <f t="shared" si="1"/>
        <v>1466292</v>
      </c>
      <c r="I40" s="1181">
        <v>1458292</v>
      </c>
      <c r="J40" s="1197"/>
      <c r="K40" s="1197"/>
      <c r="L40" s="1181">
        <f>L124</f>
        <v>8000</v>
      </c>
      <c r="M40" s="1176">
        <f t="shared" si="3"/>
        <v>1466292</v>
      </c>
      <c r="N40" s="1181">
        <v>1458292</v>
      </c>
      <c r="O40" s="1197"/>
      <c r="P40" s="1197"/>
      <c r="Q40" s="1181">
        <f>Q124</f>
        <v>8000</v>
      </c>
      <c r="R40" s="1176">
        <f t="shared" si="5"/>
        <v>1466292</v>
      </c>
    </row>
    <row r="41" spans="1:18" s="6" customFormat="1" ht="12" hidden="1" customHeight="1">
      <c r="A41" s="1283">
        <v>4000</v>
      </c>
      <c r="B41" s="1172" t="s">
        <v>132</v>
      </c>
      <c r="C41" s="1269"/>
      <c r="D41" s="1269">
        <v>0</v>
      </c>
      <c r="E41" s="1197"/>
      <c r="F41" s="1197"/>
      <c r="G41" s="1197"/>
      <c r="H41" s="1176">
        <f t="shared" si="1"/>
        <v>0</v>
      </c>
      <c r="I41" s="1181">
        <v>0</v>
      </c>
      <c r="J41" s="1197"/>
      <c r="K41" s="1197"/>
      <c r="L41" s="1197"/>
      <c r="M41" s="1176">
        <f t="shared" si="3"/>
        <v>0</v>
      </c>
      <c r="N41" s="1181">
        <v>0</v>
      </c>
      <c r="O41" s="1197"/>
      <c r="P41" s="1197"/>
      <c r="Q41" s="1197"/>
      <c r="R41" s="1176">
        <f t="shared" si="5"/>
        <v>0</v>
      </c>
    </row>
    <row r="42" spans="1:18" s="6" customFormat="1" ht="12" hidden="1" customHeight="1">
      <c r="A42" s="1283" t="s">
        <v>109</v>
      </c>
      <c r="B42" s="1172" t="s">
        <v>110</v>
      </c>
      <c r="C42" s="1269">
        <v>0</v>
      </c>
      <c r="D42" s="1269">
        <v>0</v>
      </c>
      <c r="E42" s="1181">
        <f>E43+E44</f>
        <v>0</v>
      </c>
      <c r="F42" s="1181">
        <f t="shared" ref="F42:G42" si="39">F43+F44</f>
        <v>0</v>
      </c>
      <c r="G42" s="1181">
        <f t="shared" si="39"/>
        <v>0</v>
      </c>
      <c r="H42" s="1176">
        <f t="shared" si="1"/>
        <v>0</v>
      </c>
      <c r="I42" s="1181">
        <v>0</v>
      </c>
      <c r="J42" s="1181">
        <f>J43+J44</f>
        <v>0</v>
      </c>
      <c r="K42" s="1181">
        <f t="shared" ref="K42:L42" si="40">K43+K44</f>
        <v>0</v>
      </c>
      <c r="L42" s="1181">
        <f t="shared" si="40"/>
        <v>0</v>
      </c>
      <c r="M42" s="1176">
        <f t="shared" si="3"/>
        <v>0</v>
      </c>
      <c r="N42" s="1181">
        <v>0</v>
      </c>
      <c r="O42" s="1181">
        <f>O43+O44</f>
        <v>0</v>
      </c>
      <c r="P42" s="1181">
        <f t="shared" ref="P42:Q42" si="41">P43+P44</f>
        <v>0</v>
      </c>
      <c r="Q42" s="1181">
        <f t="shared" si="41"/>
        <v>0</v>
      </c>
      <c r="R42" s="1176">
        <f t="shared" si="5"/>
        <v>0</v>
      </c>
    </row>
    <row r="43" spans="1:18" s="6" customFormat="1" ht="12" hidden="1" customHeight="1">
      <c r="A43" s="1270">
        <v>3000</v>
      </c>
      <c r="B43" s="1178" t="s">
        <v>111</v>
      </c>
      <c r="C43" s="1284"/>
      <c r="D43" s="1284">
        <v>0</v>
      </c>
      <c r="E43" s="1204"/>
      <c r="F43" s="1204"/>
      <c r="G43" s="1204"/>
      <c r="H43" s="1176">
        <f t="shared" si="1"/>
        <v>0</v>
      </c>
      <c r="I43" s="1203">
        <v>0</v>
      </c>
      <c r="J43" s="1204"/>
      <c r="K43" s="1204"/>
      <c r="L43" s="1204"/>
      <c r="M43" s="1176">
        <f t="shared" si="3"/>
        <v>0</v>
      </c>
      <c r="N43" s="1203">
        <v>0</v>
      </c>
      <c r="O43" s="1204"/>
      <c r="P43" s="1204"/>
      <c r="Q43" s="1204"/>
      <c r="R43" s="1176">
        <f t="shared" si="5"/>
        <v>0</v>
      </c>
    </row>
    <row r="44" spans="1:18" s="6" customFormat="1" ht="12" hidden="1" customHeight="1">
      <c r="A44" s="1270">
        <v>6000</v>
      </c>
      <c r="B44" s="1178" t="s">
        <v>112</v>
      </c>
      <c r="C44" s="287"/>
      <c r="D44" s="287">
        <v>0</v>
      </c>
      <c r="E44" s="248"/>
      <c r="F44" s="248"/>
      <c r="G44" s="248"/>
      <c r="H44" s="1176">
        <f t="shared" si="1"/>
        <v>0</v>
      </c>
      <c r="I44" s="346">
        <v>0</v>
      </c>
      <c r="J44" s="248"/>
      <c r="K44" s="248"/>
      <c r="L44" s="248"/>
      <c r="M44" s="1176">
        <f t="shared" si="3"/>
        <v>0</v>
      </c>
      <c r="N44" s="346">
        <v>0</v>
      </c>
      <c r="O44" s="248"/>
      <c r="P44" s="248"/>
      <c r="Q44" s="248"/>
      <c r="R44" s="1176">
        <f t="shared" si="5"/>
        <v>0</v>
      </c>
    </row>
    <row r="45" spans="1:18" s="6" customFormat="1" ht="24" hidden="1" customHeight="1">
      <c r="A45" s="1283" t="s">
        <v>113</v>
      </c>
      <c r="B45" s="1172" t="s">
        <v>183</v>
      </c>
      <c r="C45" s="1269">
        <v>0</v>
      </c>
      <c r="D45" s="1269">
        <v>0</v>
      </c>
      <c r="E45" s="1181">
        <f>E46+E47</f>
        <v>0</v>
      </c>
      <c r="F45" s="1181">
        <f t="shared" ref="F45:G45" si="42">F46+F47</f>
        <v>0</v>
      </c>
      <c r="G45" s="1181">
        <f t="shared" si="42"/>
        <v>0</v>
      </c>
      <c r="H45" s="1176">
        <f t="shared" si="1"/>
        <v>0</v>
      </c>
      <c r="I45" s="1181">
        <v>0</v>
      </c>
      <c r="J45" s="1181">
        <f>J46+J47</f>
        <v>0</v>
      </c>
      <c r="K45" s="1181">
        <f t="shared" ref="K45:L45" si="43">K46+K47</f>
        <v>0</v>
      </c>
      <c r="L45" s="1181">
        <f t="shared" si="43"/>
        <v>0</v>
      </c>
      <c r="M45" s="1176">
        <f t="shared" si="3"/>
        <v>0</v>
      </c>
      <c r="N45" s="1181">
        <v>0</v>
      </c>
      <c r="O45" s="1181">
        <f>O46+O47</f>
        <v>0</v>
      </c>
      <c r="P45" s="1181">
        <f t="shared" ref="P45:Q45" si="44">P46+P47</f>
        <v>0</v>
      </c>
      <c r="Q45" s="1181">
        <f t="shared" si="44"/>
        <v>0</v>
      </c>
      <c r="R45" s="1176">
        <f t="shared" si="5"/>
        <v>0</v>
      </c>
    </row>
    <row r="46" spans="1:18" s="6" customFormat="1" ht="12" hidden="1" customHeight="1">
      <c r="A46" s="1270">
        <v>7600</v>
      </c>
      <c r="B46" s="1285" t="s">
        <v>184</v>
      </c>
      <c r="C46" s="1269"/>
      <c r="D46" s="1269">
        <v>0</v>
      </c>
      <c r="E46" s="1197"/>
      <c r="F46" s="1197"/>
      <c r="G46" s="1197"/>
      <c r="H46" s="1176">
        <f t="shared" si="1"/>
        <v>0</v>
      </c>
      <c r="I46" s="1181">
        <v>0</v>
      </c>
      <c r="J46" s="1197"/>
      <c r="K46" s="1197"/>
      <c r="L46" s="1197"/>
      <c r="M46" s="1176">
        <f t="shared" si="3"/>
        <v>0</v>
      </c>
      <c r="N46" s="1181">
        <v>0</v>
      </c>
      <c r="O46" s="1197"/>
      <c r="P46" s="1197"/>
      <c r="Q46" s="1197"/>
      <c r="R46" s="1176">
        <f t="shared" si="5"/>
        <v>0</v>
      </c>
    </row>
    <row r="47" spans="1:18" s="6" customFormat="1" ht="12" hidden="1" customHeight="1">
      <c r="A47" s="1270">
        <v>7700</v>
      </c>
      <c r="B47" s="1286" t="s">
        <v>114</v>
      </c>
      <c r="C47" s="1269"/>
      <c r="D47" s="1269">
        <v>0</v>
      </c>
      <c r="E47" s="1197"/>
      <c r="F47" s="1197"/>
      <c r="G47" s="1197"/>
      <c r="H47" s="1176">
        <f t="shared" si="1"/>
        <v>0</v>
      </c>
      <c r="I47" s="1181">
        <v>0</v>
      </c>
      <c r="J47" s="1197"/>
      <c r="K47" s="1197"/>
      <c r="L47" s="1197"/>
      <c r="M47" s="1176">
        <f t="shared" si="3"/>
        <v>0</v>
      </c>
      <c r="N47" s="1181">
        <v>0</v>
      </c>
      <c r="O47" s="1197"/>
      <c r="P47" s="1197"/>
      <c r="Q47" s="1197"/>
      <c r="R47" s="1176">
        <f t="shared" si="5"/>
        <v>0</v>
      </c>
    </row>
    <row r="48" spans="1:18" s="6" customFormat="1" ht="24" hidden="1" customHeight="1">
      <c r="A48" s="1283" t="s">
        <v>185</v>
      </c>
      <c r="B48" s="1172" t="s">
        <v>115</v>
      </c>
      <c r="C48" s="1269">
        <v>0</v>
      </c>
      <c r="D48" s="1269">
        <v>0</v>
      </c>
      <c r="E48" s="1181">
        <f t="shared" ref="E48:G48" si="45">E49+E55+E59+E62</f>
        <v>0</v>
      </c>
      <c r="F48" s="1181">
        <f t="shared" si="45"/>
        <v>0</v>
      </c>
      <c r="G48" s="1181">
        <f t="shared" si="45"/>
        <v>0</v>
      </c>
      <c r="H48" s="1176">
        <f t="shared" si="1"/>
        <v>0</v>
      </c>
      <c r="I48" s="1181">
        <v>0</v>
      </c>
      <c r="J48" s="1181">
        <f t="shared" ref="J48:L48" si="46">J49+J55+J59+J62</f>
        <v>0</v>
      </c>
      <c r="K48" s="1181">
        <f t="shared" si="46"/>
        <v>0</v>
      </c>
      <c r="L48" s="1181">
        <f t="shared" si="46"/>
        <v>0</v>
      </c>
      <c r="M48" s="1176">
        <f t="shared" si="3"/>
        <v>0</v>
      </c>
      <c r="N48" s="1181">
        <v>0</v>
      </c>
      <c r="O48" s="1181">
        <f t="shared" ref="O48:Q48" si="47">O49+O55+O59+O62</f>
        <v>0</v>
      </c>
      <c r="P48" s="1181">
        <f t="shared" si="47"/>
        <v>0</v>
      </c>
      <c r="Q48" s="1181">
        <f t="shared" si="47"/>
        <v>0</v>
      </c>
      <c r="R48" s="1176">
        <f t="shared" si="5"/>
        <v>0</v>
      </c>
    </row>
    <row r="49" spans="1:18" s="6" customFormat="1" ht="12" hidden="1" customHeight="1">
      <c r="A49" s="1270">
        <v>7100</v>
      </c>
      <c r="B49" s="1285" t="s">
        <v>116</v>
      </c>
      <c r="C49" s="1269">
        <v>0</v>
      </c>
      <c r="D49" s="1269">
        <v>0</v>
      </c>
      <c r="E49" s="1181">
        <f>E50+E51</f>
        <v>0</v>
      </c>
      <c r="F49" s="1181">
        <f t="shared" ref="F49:G49" si="48">F50+F51</f>
        <v>0</v>
      </c>
      <c r="G49" s="1181">
        <f t="shared" si="48"/>
        <v>0</v>
      </c>
      <c r="H49" s="1176">
        <f t="shared" si="1"/>
        <v>0</v>
      </c>
      <c r="I49" s="1181">
        <v>0</v>
      </c>
      <c r="J49" s="1181">
        <f>J50+J51</f>
        <v>0</v>
      </c>
      <c r="K49" s="1181">
        <f t="shared" ref="K49:L49" si="49">K50+K51</f>
        <v>0</v>
      </c>
      <c r="L49" s="1181">
        <f t="shared" si="49"/>
        <v>0</v>
      </c>
      <c r="M49" s="1176">
        <f t="shared" si="3"/>
        <v>0</v>
      </c>
      <c r="N49" s="1181">
        <v>0</v>
      </c>
      <c r="O49" s="1181">
        <f>O50+O51</f>
        <v>0</v>
      </c>
      <c r="P49" s="1181">
        <f t="shared" ref="P49:Q49" si="50">P50+P51</f>
        <v>0</v>
      </c>
      <c r="Q49" s="1181">
        <f t="shared" si="50"/>
        <v>0</v>
      </c>
      <c r="R49" s="1176">
        <f t="shared" si="5"/>
        <v>0</v>
      </c>
    </row>
    <row r="50" spans="1:18" s="6" customFormat="1" ht="24" hidden="1" customHeight="1">
      <c r="A50" s="1271" t="s">
        <v>117</v>
      </c>
      <c r="B50" s="1285" t="s">
        <v>118</v>
      </c>
      <c r="C50" s="1269"/>
      <c r="D50" s="1269">
        <v>0</v>
      </c>
      <c r="E50" s="1181"/>
      <c r="F50" s="1181"/>
      <c r="G50" s="1181"/>
      <c r="H50" s="1176">
        <f t="shared" si="1"/>
        <v>0</v>
      </c>
      <c r="I50" s="1181">
        <v>0</v>
      </c>
      <c r="J50" s="1181"/>
      <c r="K50" s="1181"/>
      <c r="L50" s="1181"/>
      <c r="M50" s="1176">
        <f t="shared" si="3"/>
        <v>0</v>
      </c>
      <c r="N50" s="1181">
        <v>0</v>
      </c>
      <c r="O50" s="1181"/>
      <c r="P50" s="1181"/>
      <c r="Q50" s="1181"/>
      <c r="R50" s="1176">
        <f t="shared" si="5"/>
        <v>0</v>
      </c>
    </row>
    <row r="51" spans="1:18" s="6" customFormat="1" ht="24" hidden="1" customHeight="1">
      <c r="A51" s="1271">
        <v>7130</v>
      </c>
      <c r="B51" s="1285" t="s">
        <v>119</v>
      </c>
      <c r="C51" s="1269">
        <v>0</v>
      </c>
      <c r="D51" s="1269">
        <v>0</v>
      </c>
      <c r="E51" s="1181">
        <f>SUM(E52:E54)</f>
        <v>0</v>
      </c>
      <c r="F51" s="1181">
        <f t="shared" ref="F51:G51" si="51">SUM(F52:F54)</f>
        <v>0</v>
      </c>
      <c r="G51" s="1181">
        <f t="shared" si="51"/>
        <v>0</v>
      </c>
      <c r="H51" s="1176">
        <f t="shared" si="1"/>
        <v>0</v>
      </c>
      <c r="I51" s="1181">
        <v>0</v>
      </c>
      <c r="J51" s="1181">
        <f>SUM(J52:J54)</f>
        <v>0</v>
      </c>
      <c r="K51" s="1181">
        <f t="shared" ref="K51:L51" si="52">SUM(K52:K54)</f>
        <v>0</v>
      </c>
      <c r="L51" s="1181">
        <f t="shared" si="52"/>
        <v>0</v>
      </c>
      <c r="M51" s="1176">
        <f t="shared" si="3"/>
        <v>0</v>
      </c>
      <c r="N51" s="1181">
        <v>0</v>
      </c>
      <c r="O51" s="1181">
        <f>SUM(O52:O54)</f>
        <v>0</v>
      </c>
      <c r="P51" s="1181">
        <f t="shared" ref="P51:Q51" si="53">SUM(P52:P54)</f>
        <v>0</v>
      </c>
      <c r="Q51" s="1181">
        <f t="shared" si="53"/>
        <v>0</v>
      </c>
      <c r="R51" s="1176">
        <f t="shared" si="5"/>
        <v>0</v>
      </c>
    </row>
    <row r="52" spans="1:18" s="6" customFormat="1" ht="36" hidden="1" customHeight="1">
      <c r="A52" s="1273">
        <v>7131</v>
      </c>
      <c r="B52" s="1285" t="s">
        <v>120</v>
      </c>
      <c r="C52" s="1269"/>
      <c r="D52" s="1269">
        <v>0</v>
      </c>
      <c r="E52" s="1181"/>
      <c r="F52" s="1181"/>
      <c r="G52" s="1181"/>
      <c r="H52" s="1176">
        <f t="shared" si="1"/>
        <v>0</v>
      </c>
      <c r="I52" s="1181">
        <v>0</v>
      </c>
      <c r="J52" s="1181"/>
      <c r="K52" s="1181"/>
      <c r="L52" s="1181"/>
      <c r="M52" s="1176">
        <f t="shared" si="3"/>
        <v>0</v>
      </c>
      <c r="N52" s="1181">
        <v>0</v>
      </c>
      <c r="O52" s="1181"/>
      <c r="P52" s="1181"/>
      <c r="Q52" s="1181"/>
      <c r="R52" s="1176">
        <f t="shared" si="5"/>
        <v>0</v>
      </c>
    </row>
    <row r="53" spans="1:18" s="6" customFormat="1" ht="36" hidden="1" customHeight="1">
      <c r="A53" s="1273">
        <v>7132</v>
      </c>
      <c r="B53" s="1285" t="s">
        <v>121</v>
      </c>
      <c r="C53" s="1269"/>
      <c r="D53" s="1269">
        <v>0</v>
      </c>
      <c r="E53" s="1181"/>
      <c r="F53" s="1181"/>
      <c r="G53" s="1181"/>
      <c r="H53" s="1176">
        <f t="shared" si="1"/>
        <v>0</v>
      </c>
      <c r="I53" s="1181">
        <v>0</v>
      </c>
      <c r="J53" s="1181"/>
      <c r="K53" s="1181"/>
      <c r="L53" s="1181"/>
      <c r="M53" s="1176">
        <f t="shared" si="3"/>
        <v>0</v>
      </c>
      <c r="N53" s="1181">
        <v>0</v>
      </c>
      <c r="O53" s="1181"/>
      <c r="P53" s="1181"/>
      <c r="Q53" s="1181"/>
      <c r="R53" s="1176">
        <f t="shared" si="5"/>
        <v>0</v>
      </c>
    </row>
    <row r="54" spans="1:18" s="6" customFormat="1" ht="24" hidden="1" customHeight="1">
      <c r="A54" s="1273" t="s">
        <v>186</v>
      </c>
      <c r="B54" s="1285" t="s">
        <v>187</v>
      </c>
      <c r="C54" s="1269"/>
      <c r="D54" s="1269">
        <v>0</v>
      </c>
      <c r="E54" s="1181"/>
      <c r="F54" s="1181"/>
      <c r="G54" s="1181"/>
      <c r="H54" s="1176">
        <f t="shared" si="1"/>
        <v>0</v>
      </c>
      <c r="I54" s="1181">
        <v>0</v>
      </c>
      <c r="J54" s="1181"/>
      <c r="K54" s="1181"/>
      <c r="L54" s="1181"/>
      <c r="M54" s="1176">
        <f t="shared" si="3"/>
        <v>0</v>
      </c>
      <c r="N54" s="1181">
        <v>0</v>
      </c>
      <c r="O54" s="1181"/>
      <c r="P54" s="1181"/>
      <c r="Q54" s="1181"/>
      <c r="R54" s="1176">
        <f t="shared" si="5"/>
        <v>0</v>
      </c>
    </row>
    <row r="55" spans="1:18" s="6" customFormat="1" ht="24" hidden="1" customHeight="1">
      <c r="A55" s="1270">
        <v>7300</v>
      </c>
      <c r="B55" s="1272" t="s">
        <v>155</v>
      </c>
      <c r="C55" s="1269">
        <v>0</v>
      </c>
      <c r="D55" s="1269">
        <v>0</v>
      </c>
      <c r="E55" s="1181">
        <f>SUM(E56:E58)</f>
        <v>0</v>
      </c>
      <c r="F55" s="1181">
        <f t="shared" ref="F55:G55" si="54">SUM(F56:F58)</f>
        <v>0</v>
      </c>
      <c r="G55" s="1181">
        <f t="shared" si="54"/>
        <v>0</v>
      </c>
      <c r="H55" s="1176">
        <f t="shared" si="1"/>
        <v>0</v>
      </c>
      <c r="I55" s="1181">
        <v>0</v>
      </c>
      <c r="J55" s="1181">
        <f>SUM(J56:J58)</f>
        <v>0</v>
      </c>
      <c r="K55" s="1181">
        <f t="shared" ref="K55:L55" si="55">SUM(K56:K58)</f>
        <v>0</v>
      </c>
      <c r="L55" s="1181">
        <f t="shared" si="55"/>
        <v>0</v>
      </c>
      <c r="M55" s="1176">
        <f t="shared" si="3"/>
        <v>0</v>
      </c>
      <c r="N55" s="1181">
        <v>0</v>
      </c>
      <c r="O55" s="1181">
        <f>SUM(O56:O58)</f>
        <v>0</v>
      </c>
      <c r="P55" s="1181">
        <f t="shared" ref="P55:Q55" si="56">SUM(P56:P58)</f>
        <v>0</v>
      </c>
      <c r="Q55" s="1181">
        <f t="shared" si="56"/>
        <v>0</v>
      </c>
      <c r="R55" s="1176">
        <f t="shared" si="5"/>
        <v>0</v>
      </c>
    </row>
    <row r="56" spans="1:18" s="6" customFormat="1" ht="24" hidden="1" customHeight="1">
      <c r="A56" s="1271" t="s">
        <v>188</v>
      </c>
      <c r="B56" s="1285" t="s">
        <v>170</v>
      </c>
      <c r="C56" s="1287"/>
      <c r="D56" s="1287">
        <v>0</v>
      </c>
      <c r="E56" s="1209"/>
      <c r="F56" s="1209"/>
      <c r="G56" s="1209"/>
      <c r="H56" s="1176">
        <f t="shared" si="1"/>
        <v>0</v>
      </c>
      <c r="I56" s="1209">
        <v>0</v>
      </c>
      <c r="J56" s="1209"/>
      <c r="K56" s="1209"/>
      <c r="L56" s="1209"/>
      <c r="M56" s="1176">
        <f t="shared" si="3"/>
        <v>0</v>
      </c>
      <c r="N56" s="1209">
        <v>0</v>
      </c>
      <c r="O56" s="1209"/>
      <c r="P56" s="1209"/>
      <c r="Q56" s="1209"/>
      <c r="R56" s="1176">
        <f t="shared" si="5"/>
        <v>0</v>
      </c>
    </row>
    <row r="57" spans="1:18" s="29" customFormat="1" ht="48" hidden="1" customHeight="1">
      <c r="A57" s="1271" t="s">
        <v>189</v>
      </c>
      <c r="B57" s="1285" t="s">
        <v>156</v>
      </c>
      <c r="C57" s="1287"/>
      <c r="D57" s="1287">
        <v>0</v>
      </c>
      <c r="E57" s="1209"/>
      <c r="F57" s="1209"/>
      <c r="G57" s="1209"/>
      <c r="H57" s="1176">
        <f t="shared" si="1"/>
        <v>0</v>
      </c>
      <c r="I57" s="1209">
        <v>0</v>
      </c>
      <c r="J57" s="1209"/>
      <c r="K57" s="1209"/>
      <c r="L57" s="1209"/>
      <c r="M57" s="1176">
        <f t="shared" si="3"/>
        <v>0</v>
      </c>
      <c r="N57" s="1209">
        <v>0</v>
      </c>
      <c r="O57" s="1209"/>
      <c r="P57" s="1209"/>
      <c r="Q57" s="1209"/>
      <c r="R57" s="1176">
        <f t="shared" si="5"/>
        <v>0</v>
      </c>
    </row>
    <row r="58" spans="1:18" s="89" customFormat="1" ht="36" hidden="1" customHeight="1">
      <c r="A58" s="1271">
        <v>7350</v>
      </c>
      <c r="B58" s="1285" t="s">
        <v>163</v>
      </c>
      <c r="C58" s="1287"/>
      <c r="D58" s="1287">
        <v>0</v>
      </c>
      <c r="E58" s="1209"/>
      <c r="F58" s="1209"/>
      <c r="G58" s="1209"/>
      <c r="H58" s="1176">
        <f t="shared" si="1"/>
        <v>0</v>
      </c>
      <c r="I58" s="1209">
        <v>0</v>
      </c>
      <c r="J58" s="1209"/>
      <c r="K58" s="1209"/>
      <c r="L58" s="1209"/>
      <c r="M58" s="1176">
        <f t="shared" si="3"/>
        <v>0</v>
      </c>
      <c r="N58" s="1209">
        <v>0</v>
      </c>
      <c r="O58" s="1209"/>
      <c r="P58" s="1209"/>
      <c r="Q58" s="1209"/>
      <c r="R58" s="1176">
        <f t="shared" si="5"/>
        <v>0</v>
      </c>
    </row>
    <row r="59" spans="1:18" s="89" customFormat="1" ht="24" hidden="1" customHeight="1">
      <c r="A59" s="1270">
        <v>7400</v>
      </c>
      <c r="B59" s="1272" t="s">
        <v>161</v>
      </c>
      <c r="C59" s="1269">
        <v>0</v>
      </c>
      <c r="D59" s="1269">
        <v>0</v>
      </c>
      <c r="E59" s="1181">
        <f>SUM(E60:E61)</f>
        <v>0</v>
      </c>
      <c r="F59" s="1181">
        <f t="shared" ref="F59:G59" si="57">SUM(F60:F61)</f>
        <v>0</v>
      </c>
      <c r="G59" s="1181">
        <f t="shared" si="57"/>
        <v>0</v>
      </c>
      <c r="H59" s="1176">
        <f t="shared" si="1"/>
        <v>0</v>
      </c>
      <c r="I59" s="1181">
        <v>0</v>
      </c>
      <c r="J59" s="1181">
        <f>SUM(J60:J61)</f>
        <v>0</v>
      </c>
      <c r="K59" s="1181">
        <f t="shared" ref="K59:L59" si="58">SUM(K60:K61)</f>
        <v>0</v>
      </c>
      <c r="L59" s="1181">
        <f t="shared" si="58"/>
        <v>0</v>
      </c>
      <c r="M59" s="1176">
        <f t="shared" si="3"/>
        <v>0</v>
      </c>
      <c r="N59" s="1181">
        <v>0</v>
      </c>
      <c r="O59" s="1181">
        <f>SUM(O60:O61)</f>
        <v>0</v>
      </c>
      <c r="P59" s="1181">
        <f t="shared" ref="P59:Q59" si="59">SUM(P60:P61)</f>
        <v>0</v>
      </c>
      <c r="Q59" s="1181">
        <f t="shared" si="59"/>
        <v>0</v>
      </c>
      <c r="R59" s="1176">
        <f t="shared" si="5"/>
        <v>0</v>
      </c>
    </row>
    <row r="60" spans="1:18" s="89" customFormat="1" ht="24" hidden="1" customHeight="1">
      <c r="A60" s="1271">
        <v>7460</v>
      </c>
      <c r="B60" s="1272" t="s">
        <v>162</v>
      </c>
      <c r="C60" s="1287"/>
      <c r="D60" s="1287">
        <v>0</v>
      </c>
      <c r="E60" s="1209"/>
      <c r="F60" s="1209"/>
      <c r="G60" s="1209"/>
      <c r="H60" s="1176">
        <f t="shared" si="1"/>
        <v>0</v>
      </c>
      <c r="I60" s="1209">
        <v>0</v>
      </c>
      <c r="J60" s="1209"/>
      <c r="K60" s="1209"/>
      <c r="L60" s="1209"/>
      <c r="M60" s="1176">
        <f t="shared" si="3"/>
        <v>0</v>
      </c>
      <c r="N60" s="1209">
        <v>0</v>
      </c>
      <c r="O60" s="1209"/>
      <c r="P60" s="1209"/>
      <c r="Q60" s="1209"/>
      <c r="R60" s="1176">
        <f t="shared" si="5"/>
        <v>0</v>
      </c>
    </row>
    <row r="61" spans="1:18" s="89" customFormat="1" ht="48" hidden="1" customHeight="1">
      <c r="A61" s="1271">
        <v>7470</v>
      </c>
      <c r="B61" s="1285" t="s">
        <v>167</v>
      </c>
      <c r="C61" s="1287"/>
      <c r="D61" s="1287">
        <v>0</v>
      </c>
      <c r="E61" s="1209"/>
      <c r="F61" s="1209"/>
      <c r="G61" s="1209"/>
      <c r="H61" s="1176">
        <f t="shared" si="1"/>
        <v>0</v>
      </c>
      <c r="I61" s="1209">
        <v>0</v>
      </c>
      <c r="J61" s="1209"/>
      <c r="K61" s="1209"/>
      <c r="L61" s="1209"/>
      <c r="M61" s="1176">
        <f t="shared" si="3"/>
        <v>0</v>
      </c>
      <c r="N61" s="1209">
        <v>0</v>
      </c>
      <c r="O61" s="1209"/>
      <c r="P61" s="1209"/>
      <c r="Q61" s="1209"/>
      <c r="R61" s="1176">
        <f t="shared" si="5"/>
        <v>0</v>
      </c>
    </row>
    <row r="62" spans="1:18" s="89" customFormat="1" ht="24" hidden="1" customHeight="1">
      <c r="A62" s="1270">
        <v>7500</v>
      </c>
      <c r="B62" s="1285" t="s">
        <v>157</v>
      </c>
      <c r="C62" s="1269"/>
      <c r="D62" s="1269">
        <v>0</v>
      </c>
      <c r="E62" s="1181"/>
      <c r="F62" s="1181"/>
      <c r="G62" s="1181"/>
      <c r="H62" s="1176">
        <f t="shared" si="1"/>
        <v>0</v>
      </c>
      <c r="I62" s="1181">
        <v>0</v>
      </c>
      <c r="J62" s="1181"/>
      <c r="K62" s="1181"/>
      <c r="L62" s="1181"/>
      <c r="M62" s="1176">
        <f t="shared" si="3"/>
        <v>0</v>
      </c>
      <c r="N62" s="1181">
        <v>0</v>
      </c>
      <c r="O62" s="1181"/>
      <c r="P62" s="1181"/>
      <c r="Q62" s="1181"/>
      <c r="R62" s="1176">
        <f t="shared" si="5"/>
        <v>0</v>
      </c>
    </row>
    <row r="63" spans="1:18" s="89" customFormat="1">
      <c r="A63" s="1283" t="s">
        <v>133</v>
      </c>
      <c r="B63" s="1172" t="s">
        <v>122</v>
      </c>
      <c r="C63" s="1288">
        <v>47643</v>
      </c>
      <c r="D63" s="1288">
        <v>47643</v>
      </c>
      <c r="E63" s="1212">
        <f>E64+E65</f>
        <v>0</v>
      </c>
      <c r="F63" s="1212">
        <f t="shared" ref="F63:G63" si="60">F64+F65</f>
        <v>0</v>
      </c>
      <c r="G63" s="1212">
        <f t="shared" si="60"/>
        <v>0</v>
      </c>
      <c r="H63" s="1176">
        <f t="shared" si="1"/>
        <v>47643</v>
      </c>
      <c r="I63" s="1212">
        <v>47643</v>
      </c>
      <c r="J63" s="1212">
        <f>J64+J65</f>
        <v>0</v>
      </c>
      <c r="K63" s="1212">
        <f t="shared" ref="K63:L63" si="61">K64+K65</f>
        <v>0</v>
      </c>
      <c r="L63" s="1212">
        <f t="shared" si="61"/>
        <v>0</v>
      </c>
      <c r="M63" s="1176">
        <f t="shared" si="3"/>
        <v>47643</v>
      </c>
      <c r="N63" s="1212">
        <v>47643</v>
      </c>
      <c r="O63" s="1212">
        <f>O64+O65</f>
        <v>0</v>
      </c>
      <c r="P63" s="1212">
        <f t="shared" ref="P63:Q63" si="62">P64+P65</f>
        <v>0</v>
      </c>
      <c r="Q63" s="1212">
        <f t="shared" si="62"/>
        <v>0</v>
      </c>
      <c r="R63" s="1176">
        <f t="shared" si="5"/>
        <v>47643</v>
      </c>
    </row>
    <row r="64" spans="1:18" s="89" customFormat="1">
      <c r="A64" s="1283">
        <v>5000</v>
      </c>
      <c r="B64" s="1172" t="s">
        <v>123</v>
      </c>
      <c r="C64" s="1269">
        <v>47643</v>
      </c>
      <c r="D64" s="1269">
        <v>47643</v>
      </c>
      <c r="E64" s="1197"/>
      <c r="F64" s="1197"/>
      <c r="G64" s="1197"/>
      <c r="H64" s="1176">
        <f t="shared" si="1"/>
        <v>47643</v>
      </c>
      <c r="I64" s="1181">
        <v>47643</v>
      </c>
      <c r="J64" s="1197"/>
      <c r="K64" s="1197"/>
      <c r="L64" s="1197"/>
      <c r="M64" s="1176">
        <f t="shared" si="3"/>
        <v>47643</v>
      </c>
      <c r="N64" s="1181">
        <v>47643</v>
      </c>
      <c r="O64" s="1197"/>
      <c r="P64" s="1197"/>
      <c r="Q64" s="1197"/>
      <c r="R64" s="1176">
        <f t="shared" si="5"/>
        <v>47643</v>
      </c>
    </row>
    <row r="65" spans="1:18" s="89" customFormat="1" ht="12" hidden="1" customHeight="1">
      <c r="A65" s="1283">
        <v>9000</v>
      </c>
      <c r="B65" s="1289" t="s">
        <v>164</v>
      </c>
      <c r="C65" s="1269">
        <v>0</v>
      </c>
      <c r="D65" s="1269">
        <v>0</v>
      </c>
      <c r="E65" s="1181">
        <f t="shared" ref="E65:G65" si="63">E66+E72+E76+E79</f>
        <v>0</v>
      </c>
      <c r="F65" s="1181">
        <f t="shared" si="63"/>
        <v>0</v>
      </c>
      <c r="G65" s="1181">
        <f t="shared" si="63"/>
        <v>0</v>
      </c>
      <c r="H65" s="1176">
        <f t="shared" si="1"/>
        <v>0</v>
      </c>
      <c r="I65" s="1181">
        <v>0</v>
      </c>
      <c r="J65" s="1181">
        <f t="shared" ref="J65:L65" si="64">J66+J72+J76+J79</f>
        <v>0</v>
      </c>
      <c r="K65" s="1181">
        <f t="shared" si="64"/>
        <v>0</v>
      </c>
      <c r="L65" s="1181">
        <f t="shared" si="64"/>
        <v>0</v>
      </c>
      <c r="M65" s="1176">
        <f t="shared" si="3"/>
        <v>0</v>
      </c>
      <c r="N65" s="1181">
        <v>0</v>
      </c>
      <c r="O65" s="1181">
        <f t="shared" ref="O65:Q65" si="65">O66+O72+O76+O79</f>
        <v>0</v>
      </c>
      <c r="P65" s="1181">
        <f t="shared" si="65"/>
        <v>0</v>
      </c>
      <c r="Q65" s="1181">
        <f t="shared" si="65"/>
        <v>0</v>
      </c>
      <c r="R65" s="1176">
        <f t="shared" si="5"/>
        <v>0</v>
      </c>
    </row>
    <row r="66" spans="1:18" s="89" customFormat="1" ht="12" hidden="1" customHeight="1">
      <c r="A66" s="1286">
        <v>9100</v>
      </c>
      <c r="B66" s="1285" t="s">
        <v>124</v>
      </c>
      <c r="C66" s="1269">
        <v>0</v>
      </c>
      <c r="D66" s="1269">
        <v>0</v>
      </c>
      <c r="E66" s="1181">
        <f t="shared" ref="E66:G66" si="66">SUM(E67:E68)</f>
        <v>0</v>
      </c>
      <c r="F66" s="1181">
        <f t="shared" ref="F66" si="67">SUM(F67:F68)</f>
        <v>0</v>
      </c>
      <c r="G66" s="1181">
        <f t="shared" si="66"/>
        <v>0</v>
      </c>
      <c r="H66" s="1176">
        <f t="shared" si="1"/>
        <v>0</v>
      </c>
      <c r="I66" s="1181">
        <v>0</v>
      </c>
      <c r="J66" s="1181">
        <f t="shared" ref="J66:L66" si="68">SUM(J67:J68)</f>
        <v>0</v>
      </c>
      <c r="K66" s="1181">
        <f t="shared" si="68"/>
        <v>0</v>
      </c>
      <c r="L66" s="1181">
        <f t="shared" si="68"/>
        <v>0</v>
      </c>
      <c r="M66" s="1176">
        <f t="shared" si="3"/>
        <v>0</v>
      </c>
      <c r="N66" s="1181">
        <v>0</v>
      </c>
      <c r="O66" s="1181">
        <f t="shared" ref="O66:Q66" si="69">SUM(O67:O68)</f>
        <v>0</v>
      </c>
      <c r="P66" s="1181">
        <f t="shared" si="69"/>
        <v>0</v>
      </c>
      <c r="Q66" s="1181">
        <f t="shared" si="69"/>
        <v>0</v>
      </c>
      <c r="R66" s="1176">
        <f t="shared" si="5"/>
        <v>0</v>
      </c>
    </row>
    <row r="67" spans="1:18" s="89" customFormat="1" ht="24" hidden="1" customHeight="1">
      <c r="A67" s="1271" t="s">
        <v>125</v>
      </c>
      <c r="B67" s="1285" t="s">
        <v>214</v>
      </c>
      <c r="C67" s="1269"/>
      <c r="D67" s="1269">
        <v>0</v>
      </c>
      <c r="E67" s="1181"/>
      <c r="F67" s="1181"/>
      <c r="G67" s="1181"/>
      <c r="H67" s="1176">
        <f t="shared" si="1"/>
        <v>0</v>
      </c>
      <c r="I67" s="1181">
        <v>0</v>
      </c>
      <c r="J67" s="1181"/>
      <c r="K67" s="1181"/>
      <c r="L67" s="1181"/>
      <c r="M67" s="1176">
        <f t="shared" si="3"/>
        <v>0</v>
      </c>
      <c r="N67" s="1181">
        <v>0</v>
      </c>
      <c r="O67" s="1181"/>
      <c r="P67" s="1181"/>
      <c r="Q67" s="1181"/>
      <c r="R67" s="1176">
        <f t="shared" si="5"/>
        <v>0</v>
      </c>
    </row>
    <row r="68" spans="1:18" s="89" customFormat="1" ht="24" hidden="1" customHeight="1">
      <c r="A68" s="1271">
        <v>9140</v>
      </c>
      <c r="B68" s="1285" t="s">
        <v>215</v>
      </c>
      <c r="C68" s="1269">
        <v>0</v>
      </c>
      <c r="D68" s="1269">
        <v>0</v>
      </c>
      <c r="E68" s="1181">
        <f>SUM(E69:E71)</f>
        <v>0</v>
      </c>
      <c r="F68" s="1181">
        <f t="shared" ref="F68:G68" si="70">SUM(F69:F71)</f>
        <v>0</v>
      </c>
      <c r="G68" s="1181">
        <f t="shared" si="70"/>
        <v>0</v>
      </c>
      <c r="H68" s="1176">
        <f t="shared" si="1"/>
        <v>0</v>
      </c>
      <c r="I68" s="1181">
        <v>0</v>
      </c>
      <c r="J68" s="1181">
        <f>SUM(J69:J71)</f>
        <v>0</v>
      </c>
      <c r="K68" s="1181">
        <f t="shared" ref="K68:L68" si="71">SUM(K69:K71)</f>
        <v>0</v>
      </c>
      <c r="L68" s="1181">
        <f t="shared" si="71"/>
        <v>0</v>
      </c>
      <c r="M68" s="1176">
        <f t="shared" si="3"/>
        <v>0</v>
      </c>
      <c r="N68" s="1181">
        <v>0</v>
      </c>
      <c r="O68" s="1181">
        <f>SUM(O69:O71)</f>
        <v>0</v>
      </c>
      <c r="P68" s="1181">
        <f t="shared" ref="P68:Q68" si="72">SUM(P69:P71)</f>
        <v>0</v>
      </c>
      <c r="Q68" s="1181">
        <f t="shared" si="72"/>
        <v>0</v>
      </c>
      <c r="R68" s="1176">
        <f t="shared" si="5"/>
        <v>0</v>
      </c>
    </row>
    <row r="69" spans="1:18" s="89" customFormat="1" ht="36" hidden="1" customHeight="1">
      <c r="A69" s="1273">
        <v>9141</v>
      </c>
      <c r="B69" s="1272" t="s">
        <v>190</v>
      </c>
      <c r="C69" s="1287"/>
      <c r="D69" s="1287">
        <v>0</v>
      </c>
      <c r="E69" s="1209"/>
      <c r="F69" s="1209"/>
      <c r="G69" s="1209"/>
      <c r="H69" s="1176">
        <f t="shared" si="1"/>
        <v>0</v>
      </c>
      <c r="I69" s="1209">
        <v>0</v>
      </c>
      <c r="J69" s="1209"/>
      <c r="K69" s="1209"/>
      <c r="L69" s="1209"/>
      <c r="M69" s="1176">
        <f t="shared" si="3"/>
        <v>0</v>
      </c>
      <c r="N69" s="1209">
        <v>0</v>
      </c>
      <c r="O69" s="1209"/>
      <c r="P69" s="1209"/>
      <c r="Q69" s="1209"/>
      <c r="R69" s="1176">
        <f t="shared" si="5"/>
        <v>0</v>
      </c>
    </row>
    <row r="70" spans="1:18" s="89" customFormat="1" ht="36" hidden="1" customHeight="1">
      <c r="A70" s="1273">
        <v>9142</v>
      </c>
      <c r="B70" s="1272" t="s">
        <v>191</v>
      </c>
      <c r="C70" s="1287"/>
      <c r="D70" s="1287">
        <v>0</v>
      </c>
      <c r="E70" s="1209"/>
      <c r="F70" s="1209"/>
      <c r="G70" s="1209"/>
      <c r="H70" s="1176">
        <f t="shared" si="1"/>
        <v>0</v>
      </c>
      <c r="I70" s="1209">
        <v>0</v>
      </c>
      <c r="J70" s="1209"/>
      <c r="K70" s="1209"/>
      <c r="L70" s="1209"/>
      <c r="M70" s="1176">
        <f t="shared" si="3"/>
        <v>0</v>
      </c>
      <c r="N70" s="1209">
        <v>0</v>
      </c>
      <c r="O70" s="1209"/>
      <c r="P70" s="1209"/>
      <c r="Q70" s="1209"/>
      <c r="R70" s="1176">
        <f t="shared" si="5"/>
        <v>0</v>
      </c>
    </row>
    <row r="71" spans="1:18" s="89" customFormat="1" ht="24" hidden="1" customHeight="1">
      <c r="A71" s="1273">
        <v>9149</v>
      </c>
      <c r="B71" s="1272" t="s">
        <v>192</v>
      </c>
      <c r="C71" s="1287"/>
      <c r="D71" s="1287">
        <v>0</v>
      </c>
      <c r="E71" s="1209"/>
      <c r="F71" s="1209"/>
      <c r="G71" s="1209"/>
      <c r="H71" s="1176">
        <f t="shared" si="1"/>
        <v>0</v>
      </c>
      <c r="I71" s="1209">
        <v>0</v>
      </c>
      <c r="J71" s="1209"/>
      <c r="K71" s="1209"/>
      <c r="L71" s="1209"/>
      <c r="M71" s="1176">
        <f t="shared" si="3"/>
        <v>0</v>
      </c>
      <c r="N71" s="1209">
        <v>0</v>
      </c>
      <c r="O71" s="1209"/>
      <c r="P71" s="1209"/>
      <c r="Q71" s="1209"/>
      <c r="R71" s="1176">
        <f t="shared" si="5"/>
        <v>0</v>
      </c>
    </row>
    <row r="72" spans="1:18" s="29" customFormat="1" ht="24" hidden="1" customHeight="1">
      <c r="A72" s="1286">
        <v>9500</v>
      </c>
      <c r="B72" s="1272" t="s">
        <v>165</v>
      </c>
      <c r="C72" s="1269">
        <v>0</v>
      </c>
      <c r="D72" s="1269">
        <v>0</v>
      </c>
      <c r="E72" s="1181">
        <f>SUM(E73:E75)</f>
        <v>0</v>
      </c>
      <c r="F72" s="1181">
        <f t="shared" ref="F72:G72" si="73">SUM(F73:F75)</f>
        <v>0</v>
      </c>
      <c r="G72" s="1181">
        <f t="shared" si="73"/>
        <v>0</v>
      </c>
      <c r="H72" s="1176">
        <f t="shared" si="1"/>
        <v>0</v>
      </c>
      <c r="I72" s="1181">
        <v>0</v>
      </c>
      <c r="J72" s="1181">
        <f>SUM(J73:J75)</f>
        <v>0</v>
      </c>
      <c r="K72" s="1181">
        <f t="shared" ref="K72:L72" si="74">SUM(K73:K75)</f>
        <v>0</v>
      </c>
      <c r="L72" s="1181">
        <f t="shared" si="74"/>
        <v>0</v>
      </c>
      <c r="M72" s="1176">
        <f t="shared" si="3"/>
        <v>0</v>
      </c>
      <c r="N72" s="1181">
        <v>0</v>
      </c>
      <c r="O72" s="1181">
        <f>SUM(O73:O75)</f>
        <v>0</v>
      </c>
      <c r="P72" s="1181">
        <f t="shared" ref="P72:Q72" si="75">SUM(P73:P75)</f>
        <v>0</v>
      </c>
      <c r="Q72" s="1181">
        <f t="shared" si="75"/>
        <v>0</v>
      </c>
      <c r="R72" s="1176">
        <f t="shared" si="5"/>
        <v>0</v>
      </c>
    </row>
    <row r="73" spans="1:18" s="29" customFormat="1" ht="24" hidden="1" customHeight="1">
      <c r="A73" s="1271" t="s">
        <v>193</v>
      </c>
      <c r="B73" s="1272" t="s">
        <v>171</v>
      </c>
      <c r="C73" s="1269"/>
      <c r="D73" s="1269">
        <v>0</v>
      </c>
      <c r="E73" s="1181"/>
      <c r="F73" s="1181"/>
      <c r="G73" s="1181"/>
      <c r="H73" s="1176">
        <f t="shared" si="1"/>
        <v>0</v>
      </c>
      <c r="I73" s="1181">
        <v>0</v>
      </c>
      <c r="J73" s="1181"/>
      <c r="K73" s="1181"/>
      <c r="L73" s="1181"/>
      <c r="M73" s="1176">
        <f t="shared" si="3"/>
        <v>0</v>
      </c>
      <c r="N73" s="1181">
        <v>0</v>
      </c>
      <c r="O73" s="1181"/>
      <c r="P73" s="1181"/>
      <c r="Q73" s="1181"/>
      <c r="R73" s="1176">
        <f t="shared" si="5"/>
        <v>0</v>
      </c>
    </row>
    <row r="74" spans="1:18" s="28" customFormat="1" ht="48" hidden="1" customHeight="1">
      <c r="A74" s="1271">
        <v>9580</v>
      </c>
      <c r="B74" s="1272" t="s">
        <v>166</v>
      </c>
      <c r="C74" s="1287"/>
      <c r="D74" s="1287">
        <v>0</v>
      </c>
      <c r="E74" s="1209"/>
      <c r="F74" s="1209"/>
      <c r="G74" s="1209"/>
      <c r="H74" s="1176">
        <f t="shared" ref="H74:H137" si="76">SUM(D74:G74)</f>
        <v>0</v>
      </c>
      <c r="I74" s="1209">
        <v>0</v>
      </c>
      <c r="J74" s="1209"/>
      <c r="K74" s="1209"/>
      <c r="L74" s="1209"/>
      <c r="M74" s="1176">
        <f t="shared" ref="M74:M137" si="77">SUM(I74:L74)</f>
        <v>0</v>
      </c>
      <c r="N74" s="1209">
        <v>0</v>
      </c>
      <c r="O74" s="1209"/>
      <c r="P74" s="1209"/>
      <c r="Q74" s="1209"/>
      <c r="R74" s="1176">
        <f t="shared" ref="R74:R137" si="78">SUM(N74:Q74)</f>
        <v>0</v>
      </c>
    </row>
    <row r="75" spans="1:18" s="4" customFormat="1" ht="48" hidden="1" customHeight="1">
      <c r="A75" s="1271">
        <v>9590</v>
      </c>
      <c r="B75" s="1285" t="s">
        <v>172</v>
      </c>
      <c r="C75" s="1287"/>
      <c r="D75" s="1287">
        <v>0</v>
      </c>
      <c r="E75" s="1209"/>
      <c r="F75" s="1209"/>
      <c r="G75" s="1209"/>
      <c r="H75" s="1176">
        <f t="shared" si="76"/>
        <v>0</v>
      </c>
      <c r="I75" s="1209">
        <v>0</v>
      </c>
      <c r="J75" s="1209"/>
      <c r="K75" s="1209"/>
      <c r="L75" s="1209"/>
      <c r="M75" s="1176">
        <f t="shared" si="77"/>
        <v>0</v>
      </c>
      <c r="N75" s="1209">
        <v>0</v>
      </c>
      <c r="O75" s="1209"/>
      <c r="P75" s="1209"/>
      <c r="Q75" s="1209"/>
      <c r="R75" s="1176">
        <f t="shared" si="78"/>
        <v>0</v>
      </c>
    </row>
    <row r="76" spans="1:18" ht="24" hidden="1" customHeight="1">
      <c r="A76" s="1286">
        <v>9700</v>
      </c>
      <c r="B76" s="1290" t="s">
        <v>194</v>
      </c>
      <c r="C76" s="1269">
        <v>0</v>
      </c>
      <c r="D76" s="1269">
        <v>0</v>
      </c>
      <c r="E76" s="1181">
        <f>SUM(E77:E78)</f>
        <v>0</v>
      </c>
      <c r="F76" s="1181">
        <f t="shared" ref="F76:G76" si="79">SUM(F77:F78)</f>
        <v>0</v>
      </c>
      <c r="G76" s="1181">
        <f t="shared" si="79"/>
        <v>0</v>
      </c>
      <c r="H76" s="1176">
        <f t="shared" si="76"/>
        <v>0</v>
      </c>
      <c r="I76" s="1181">
        <v>0</v>
      </c>
      <c r="J76" s="1181">
        <f>SUM(J77:J78)</f>
        <v>0</v>
      </c>
      <c r="K76" s="1181">
        <f t="shared" ref="K76:L76" si="80">SUM(K77:K78)</f>
        <v>0</v>
      </c>
      <c r="L76" s="1181">
        <f t="shared" si="80"/>
        <v>0</v>
      </c>
      <c r="M76" s="1176">
        <f t="shared" si="77"/>
        <v>0</v>
      </c>
      <c r="N76" s="1181">
        <v>0</v>
      </c>
      <c r="O76" s="1181">
        <f>SUM(O77:O78)</f>
        <v>0</v>
      </c>
      <c r="P76" s="1181">
        <f t="shared" ref="P76:Q76" si="81">SUM(P77:P78)</f>
        <v>0</v>
      </c>
      <c r="Q76" s="1181">
        <f t="shared" si="81"/>
        <v>0</v>
      </c>
      <c r="R76" s="1176">
        <f t="shared" si="78"/>
        <v>0</v>
      </c>
    </row>
    <row r="77" spans="1:18" ht="24" hidden="1" customHeight="1">
      <c r="A77" s="1271">
        <v>9710</v>
      </c>
      <c r="B77" s="1291" t="s">
        <v>195</v>
      </c>
      <c r="C77" s="1287"/>
      <c r="D77" s="1287">
        <v>0</v>
      </c>
      <c r="E77" s="1209"/>
      <c r="F77" s="1209"/>
      <c r="G77" s="1209"/>
      <c r="H77" s="1176">
        <f t="shared" si="76"/>
        <v>0</v>
      </c>
      <c r="I77" s="1209">
        <v>0</v>
      </c>
      <c r="J77" s="1209"/>
      <c r="K77" s="1209"/>
      <c r="L77" s="1209"/>
      <c r="M77" s="1176">
        <f t="shared" si="77"/>
        <v>0</v>
      </c>
      <c r="N77" s="1209">
        <v>0</v>
      </c>
      <c r="O77" s="1209"/>
      <c r="P77" s="1209"/>
      <c r="Q77" s="1209"/>
      <c r="R77" s="1176">
        <f t="shared" si="78"/>
        <v>0</v>
      </c>
    </row>
    <row r="78" spans="1:18" ht="48" hidden="1" customHeight="1">
      <c r="A78" s="1292">
        <v>9720</v>
      </c>
      <c r="B78" s="1290" t="s">
        <v>196</v>
      </c>
      <c r="C78" s="1287"/>
      <c r="D78" s="1287">
        <v>0</v>
      </c>
      <c r="E78" s="1209"/>
      <c r="F78" s="1209"/>
      <c r="G78" s="1209"/>
      <c r="H78" s="1176">
        <f t="shared" si="76"/>
        <v>0</v>
      </c>
      <c r="I78" s="1209">
        <v>0</v>
      </c>
      <c r="J78" s="1209"/>
      <c r="K78" s="1209"/>
      <c r="L78" s="1209"/>
      <c r="M78" s="1176">
        <f t="shared" si="77"/>
        <v>0</v>
      </c>
      <c r="N78" s="1209">
        <v>0</v>
      </c>
      <c r="O78" s="1209"/>
      <c r="P78" s="1209"/>
      <c r="Q78" s="1209"/>
      <c r="R78" s="1176">
        <f t="shared" si="78"/>
        <v>0</v>
      </c>
    </row>
    <row r="79" spans="1:18" ht="24" hidden="1" customHeight="1">
      <c r="A79" s="1286">
        <v>9600</v>
      </c>
      <c r="B79" s="1285" t="s">
        <v>134</v>
      </c>
      <c r="C79" s="1287"/>
      <c r="D79" s="1287">
        <v>0</v>
      </c>
      <c r="E79" s="1209"/>
      <c r="F79" s="1209"/>
      <c r="G79" s="1209"/>
      <c r="H79" s="1176">
        <f t="shared" si="76"/>
        <v>0</v>
      </c>
      <c r="I79" s="1209">
        <v>0</v>
      </c>
      <c r="J79" s="1209"/>
      <c r="K79" s="1209"/>
      <c r="L79" s="1209"/>
      <c r="M79" s="1176">
        <f t="shared" si="77"/>
        <v>0</v>
      </c>
      <c r="N79" s="1209">
        <v>0</v>
      </c>
      <c r="O79" s="1209"/>
      <c r="P79" s="1209"/>
      <c r="Q79" s="1209"/>
      <c r="R79" s="1176">
        <f t="shared" si="78"/>
        <v>0</v>
      </c>
    </row>
    <row r="80" spans="1:18" ht="60" hidden="1" customHeight="1">
      <c r="A80" s="1172" t="s">
        <v>197</v>
      </c>
      <c r="B80" s="1293" t="s">
        <v>47</v>
      </c>
      <c r="C80" s="1294"/>
      <c r="D80" s="1294">
        <v>0</v>
      </c>
      <c r="E80" s="1221">
        <f>E10-E35</f>
        <v>0</v>
      </c>
      <c r="F80" s="1221">
        <f t="shared" ref="F80:G80" si="82">F10-F35</f>
        <v>0</v>
      </c>
      <c r="G80" s="1221">
        <f t="shared" si="82"/>
        <v>0</v>
      </c>
      <c r="H80" s="1176">
        <f t="shared" si="76"/>
        <v>0</v>
      </c>
      <c r="I80" s="1221">
        <v>0</v>
      </c>
      <c r="J80" s="1221">
        <f>J10-J35</f>
        <v>0</v>
      </c>
      <c r="K80" s="1221">
        <f t="shared" ref="K80:L80" si="83">K10-K35</f>
        <v>0</v>
      </c>
      <c r="L80" s="1221">
        <f t="shared" si="83"/>
        <v>0</v>
      </c>
      <c r="M80" s="1176">
        <f t="shared" si="77"/>
        <v>0</v>
      </c>
      <c r="N80" s="1221">
        <v>0</v>
      </c>
      <c r="O80" s="1221">
        <f>O10-O35</f>
        <v>0</v>
      </c>
      <c r="P80" s="1221">
        <f t="shared" ref="P80:Q80" si="84">P10-P35</f>
        <v>0</v>
      </c>
      <c r="Q80" s="1221">
        <f t="shared" si="84"/>
        <v>0</v>
      </c>
      <c r="R80" s="1176">
        <f t="shared" si="78"/>
        <v>0</v>
      </c>
    </row>
    <row r="81" spans="1:18" ht="12" hidden="1" customHeight="1">
      <c r="A81" s="1295" t="s">
        <v>48</v>
      </c>
      <c r="B81" s="1293" t="s">
        <v>49</v>
      </c>
      <c r="C81" s="1294">
        <v>0</v>
      </c>
      <c r="D81" s="1294">
        <v>0</v>
      </c>
      <c r="E81" s="1221">
        <f>E82+E85+E89+E88</f>
        <v>0</v>
      </c>
      <c r="F81" s="1221">
        <f t="shared" ref="F81:G81" si="85">F82+F85+F89+F88</f>
        <v>0</v>
      </c>
      <c r="G81" s="1221">
        <f t="shared" si="85"/>
        <v>0</v>
      </c>
      <c r="H81" s="1176">
        <f t="shared" si="76"/>
        <v>0</v>
      </c>
      <c r="I81" s="1221">
        <v>0</v>
      </c>
      <c r="J81" s="1221">
        <f>J82+J85+J89+J88</f>
        <v>0</v>
      </c>
      <c r="K81" s="1221">
        <f t="shared" ref="K81:L81" si="86">K82+K85+K89+K88</f>
        <v>0</v>
      </c>
      <c r="L81" s="1221">
        <f t="shared" si="86"/>
        <v>0</v>
      </c>
      <c r="M81" s="1176">
        <f t="shared" si="77"/>
        <v>0</v>
      </c>
      <c r="N81" s="1221">
        <v>0</v>
      </c>
      <c r="O81" s="1221">
        <f>O82+O85+O89+O88</f>
        <v>0</v>
      </c>
      <c r="P81" s="1221">
        <f t="shared" ref="P81:Q81" si="87">P82+P85+P89+P88</f>
        <v>0</v>
      </c>
      <c r="Q81" s="1221">
        <f t="shared" si="87"/>
        <v>0</v>
      </c>
      <c r="R81" s="1176">
        <f t="shared" si="78"/>
        <v>0</v>
      </c>
    </row>
    <row r="82" spans="1:18" s="4" customFormat="1" ht="12" hidden="1" customHeight="1">
      <c r="A82" s="1286" t="s">
        <v>50</v>
      </c>
      <c r="B82" s="1285" t="s">
        <v>51</v>
      </c>
      <c r="C82" s="1268">
        <v>0</v>
      </c>
      <c r="D82" s="1268">
        <v>0</v>
      </c>
      <c r="E82" s="1175">
        <f>E83+E84</f>
        <v>0</v>
      </c>
      <c r="F82" s="1175">
        <f t="shared" ref="F82:G82" si="88">F83+F84</f>
        <v>0</v>
      </c>
      <c r="G82" s="1175">
        <f t="shared" si="88"/>
        <v>0</v>
      </c>
      <c r="H82" s="1176">
        <f t="shared" si="76"/>
        <v>0</v>
      </c>
      <c r="I82" s="1175">
        <v>0</v>
      </c>
      <c r="J82" s="1175">
        <f>J83+J84</f>
        <v>0</v>
      </c>
      <c r="K82" s="1175">
        <f t="shared" ref="K82:L82" si="89">K83+K84</f>
        <v>0</v>
      </c>
      <c r="L82" s="1175">
        <f t="shared" si="89"/>
        <v>0</v>
      </c>
      <c r="M82" s="1176">
        <f t="shared" si="77"/>
        <v>0</v>
      </c>
      <c r="N82" s="1175">
        <v>0</v>
      </c>
      <c r="O82" s="1175">
        <f>O83+O84</f>
        <v>0</v>
      </c>
      <c r="P82" s="1175">
        <f t="shared" ref="P82:Q82" si="90">P83+P84</f>
        <v>0</v>
      </c>
      <c r="Q82" s="1175">
        <f t="shared" si="90"/>
        <v>0</v>
      </c>
      <c r="R82" s="1176">
        <f t="shared" si="78"/>
        <v>0</v>
      </c>
    </row>
    <row r="83" spans="1:18" s="6" customFormat="1" ht="12" hidden="1" customHeight="1">
      <c r="A83" s="1286" t="s">
        <v>52</v>
      </c>
      <c r="B83" s="1285" t="s">
        <v>53</v>
      </c>
      <c r="C83" s="1268"/>
      <c r="D83" s="1268">
        <v>0</v>
      </c>
      <c r="E83" s="1175"/>
      <c r="F83" s="1175"/>
      <c r="G83" s="1175"/>
      <c r="H83" s="1176">
        <f t="shared" si="76"/>
        <v>0</v>
      </c>
      <c r="I83" s="1175">
        <v>0</v>
      </c>
      <c r="J83" s="1175"/>
      <c r="K83" s="1175"/>
      <c r="L83" s="1175"/>
      <c r="M83" s="1176">
        <f t="shared" si="77"/>
        <v>0</v>
      </c>
      <c r="N83" s="1175">
        <v>0</v>
      </c>
      <c r="O83" s="1175"/>
      <c r="P83" s="1175"/>
      <c r="Q83" s="1175"/>
      <c r="R83" s="1176">
        <f t="shared" si="78"/>
        <v>0</v>
      </c>
    </row>
    <row r="84" spans="1:18" s="6" customFormat="1" ht="12" hidden="1" customHeight="1">
      <c r="A84" s="1286" t="s">
        <v>54</v>
      </c>
      <c r="B84" s="1285" t="s">
        <v>55</v>
      </c>
      <c r="C84" s="1268"/>
      <c r="D84" s="1268">
        <v>0</v>
      </c>
      <c r="E84" s="1175"/>
      <c r="F84" s="1175"/>
      <c r="G84" s="1175"/>
      <c r="H84" s="1176">
        <f t="shared" si="76"/>
        <v>0</v>
      </c>
      <c r="I84" s="1175">
        <v>0</v>
      </c>
      <c r="J84" s="1175"/>
      <c r="K84" s="1175"/>
      <c r="L84" s="1175"/>
      <c r="M84" s="1176">
        <f t="shared" si="77"/>
        <v>0</v>
      </c>
      <c r="N84" s="1175">
        <v>0</v>
      </c>
      <c r="O84" s="1175"/>
      <c r="P84" s="1175"/>
      <c r="Q84" s="1175"/>
      <c r="R84" s="1176">
        <f t="shared" si="78"/>
        <v>0</v>
      </c>
    </row>
    <row r="85" spans="1:18" s="6" customFormat="1" ht="12" hidden="1" customHeight="1">
      <c r="A85" s="1286" t="s">
        <v>56</v>
      </c>
      <c r="B85" s="1285" t="s">
        <v>57</v>
      </c>
      <c r="C85" s="1268">
        <v>0</v>
      </c>
      <c r="D85" s="1268">
        <v>0</v>
      </c>
      <c r="E85" s="1175">
        <f>E86+E87</f>
        <v>0</v>
      </c>
      <c r="F85" s="1175">
        <f t="shared" ref="F85:G85" si="91">F86+F87</f>
        <v>0</v>
      </c>
      <c r="G85" s="1175">
        <f t="shared" si="91"/>
        <v>0</v>
      </c>
      <c r="H85" s="1176">
        <f t="shared" si="76"/>
        <v>0</v>
      </c>
      <c r="I85" s="1175">
        <v>0</v>
      </c>
      <c r="J85" s="1175">
        <f>J86+J87</f>
        <v>0</v>
      </c>
      <c r="K85" s="1175">
        <f t="shared" ref="K85:L85" si="92">K86+K87</f>
        <v>0</v>
      </c>
      <c r="L85" s="1175">
        <f t="shared" si="92"/>
        <v>0</v>
      </c>
      <c r="M85" s="1176">
        <f t="shared" si="77"/>
        <v>0</v>
      </c>
      <c r="N85" s="1175">
        <v>0</v>
      </c>
      <c r="O85" s="1175">
        <f>O86+O87</f>
        <v>0</v>
      </c>
      <c r="P85" s="1175">
        <f t="shared" ref="P85:Q85" si="93">P86+P87</f>
        <v>0</v>
      </c>
      <c r="Q85" s="1175">
        <f t="shared" si="93"/>
        <v>0</v>
      </c>
      <c r="R85" s="1176">
        <f t="shared" si="78"/>
        <v>0</v>
      </c>
    </row>
    <row r="86" spans="1:18" s="6" customFormat="1" ht="12" hidden="1" customHeight="1">
      <c r="A86" s="1286" t="s">
        <v>58</v>
      </c>
      <c r="B86" s="1285" t="s">
        <v>59</v>
      </c>
      <c r="C86" s="1268"/>
      <c r="D86" s="1268">
        <v>0</v>
      </c>
      <c r="E86" s="1175"/>
      <c r="F86" s="1175"/>
      <c r="G86" s="1175"/>
      <c r="H86" s="1176">
        <f t="shared" si="76"/>
        <v>0</v>
      </c>
      <c r="I86" s="1175">
        <v>0</v>
      </c>
      <c r="J86" s="1175"/>
      <c r="K86" s="1175"/>
      <c r="L86" s="1175"/>
      <c r="M86" s="1176">
        <f t="shared" si="77"/>
        <v>0</v>
      </c>
      <c r="N86" s="1175">
        <v>0</v>
      </c>
      <c r="O86" s="1175"/>
      <c r="P86" s="1175"/>
      <c r="Q86" s="1175"/>
      <c r="R86" s="1176">
        <f t="shared" si="78"/>
        <v>0</v>
      </c>
    </row>
    <row r="87" spans="1:18" s="6" customFormat="1" ht="12" hidden="1" customHeight="1">
      <c r="A87" s="1286" t="s">
        <v>60</v>
      </c>
      <c r="B87" s="1285" t="s">
        <v>61</v>
      </c>
      <c r="C87" s="1268"/>
      <c r="D87" s="1268">
        <v>0</v>
      </c>
      <c r="E87" s="1175"/>
      <c r="F87" s="1175"/>
      <c r="G87" s="1175"/>
      <c r="H87" s="1176">
        <f t="shared" si="76"/>
        <v>0</v>
      </c>
      <c r="I87" s="1175">
        <v>0</v>
      </c>
      <c r="J87" s="1175"/>
      <c r="K87" s="1175"/>
      <c r="L87" s="1175"/>
      <c r="M87" s="1176">
        <f t="shared" si="77"/>
        <v>0</v>
      </c>
      <c r="N87" s="1175">
        <v>0</v>
      </c>
      <c r="O87" s="1175"/>
      <c r="P87" s="1175"/>
      <c r="Q87" s="1175"/>
      <c r="R87" s="1176">
        <f t="shared" si="78"/>
        <v>0</v>
      </c>
    </row>
    <row r="88" spans="1:18" s="6" customFormat="1" ht="12" hidden="1" customHeight="1">
      <c r="A88" s="1286" t="s">
        <v>198</v>
      </c>
      <c r="B88" s="1296" t="s">
        <v>168</v>
      </c>
      <c r="C88" s="1268"/>
      <c r="D88" s="1268">
        <v>0</v>
      </c>
      <c r="E88" s="1175"/>
      <c r="F88" s="1175"/>
      <c r="G88" s="1175"/>
      <c r="H88" s="1176">
        <f t="shared" si="76"/>
        <v>0</v>
      </c>
      <c r="I88" s="1175">
        <v>0</v>
      </c>
      <c r="J88" s="1175"/>
      <c r="K88" s="1175"/>
      <c r="L88" s="1175"/>
      <c r="M88" s="1176">
        <f t="shared" si="77"/>
        <v>0</v>
      </c>
      <c r="N88" s="1175">
        <v>0</v>
      </c>
      <c r="O88" s="1175"/>
      <c r="P88" s="1175"/>
      <c r="Q88" s="1175"/>
      <c r="R88" s="1176">
        <f t="shared" si="78"/>
        <v>0</v>
      </c>
    </row>
    <row r="89" spans="1:18" s="6" customFormat="1" ht="12" hidden="1" customHeight="1">
      <c r="A89" s="1297" t="s">
        <v>62</v>
      </c>
      <c r="B89" s="1178" t="s">
        <v>63</v>
      </c>
      <c r="C89" s="1269">
        <v>0</v>
      </c>
      <c r="D89" s="1269">
        <v>0</v>
      </c>
      <c r="E89" s="1181">
        <f t="shared" ref="E89:G89" si="94">E90+E91+E92</f>
        <v>0</v>
      </c>
      <c r="F89" s="1181">
        <f t="shared" si="94"/>
        <v>0</v>
      </c>
      <c r="G89" s="1181">
        <f t="shared" si="94"/>
        <v>0</v>
      </c>
      <c r="H89" s="1176">
        <f t="shared" si="76"/>
        <v>0</v>
      </c>
      <c r="I89" s="1181">
        <v>0</v>
      </c>
      <c r="J89" s="1181">
        <f t="shared" ref="J89:L89" si="95">J90+J91+J92</f>
        <v>0</v>
      </c>
      <c r="K89" s="1181">
        <f t="shared" si="95"/>
        <v>0</v>
      </c>
      <c r="L89" s="1181">
        <f t="shared" si="95"/>
        <v>0</v>
      </c>
      <c r="M89" s="1176">
        <f t="shared" si="77"/>
        <v>0</v>
      </c>
      <c r="N89" s="1181">
        <v>0</v>
      </c>
      <c r="O89" s="1181">
        <f t="shared" ref="O89:Q89" si="96">O90+O91+O92</f>
        <v>0</v>
      </c>
      <c r="P89" s="1181">
        <f t="shared" si="96"/>
        <v>0</v>
      </c>
      <c r="Q89" s="1181">
        <f t="shared" si="96"/>
        <v>0</v>
      </c>
      <c r="R89" s="1176">
        <f t="shared" si="78"/>
        <v>0</v>
      </c>
    </row>
    <row r="90" spans="1:18" s="6" customFormat="1" ht="36" hidden="1" customHeight="1">
      <c r="A90" s="1297" t="s">
        <v>64</v>
      </c>
      <c r="B90" s="1285" t="s">
        <v>65</v>
      </c>
      <c r="C90" s="1268"/>
      <c r="D90" s="1268">
        <v>0</v>
      </c>
      <c r="E90" s="1175"/>
      <c r="F90" s="1175"/>
      <c r="G90" s="1175"/>
      <c r="H90" s="1176">
        <f t="shared" si="76"/>
        <v>0</v>
      </c>
      <c r="I90" s="1175">
        <v>0</v>
      </c>
      <c r="J90" s="1175"/>
      <c r="K90" s="1175"/>
      <c r="L90" s="1175"/>
      <c r="M90" s="1176">
        <f t="shared" si="77"/>
        <v>0</v>
      </c>
      <c r="N90" s="1175">
        <v>0</v>
      </c>
      <c r="O90" s="1175"/>
      <c r="P90" s="1175"/>
      <c r="Q90" s="1175"/>
      <c r="R90" s="1176">
        <f t="shared" si="78"/>
        <v>0</v>
      </c>
    </row>
    <row r="91" spans="1:18" s="6" customFormat="1" ht="24" hidden="1" customHeight="1">
      <c r="A91" s="1297" t="s">
        <v>66</v>
      </c>
      <c r="B91" s="1285" t="s">
        <v>67</v>
      </c>
      <c r="C91" s="1268"/>
      <c r="D91" s="1268">
        <v>0</v>
      </c>
      <c r="E91" s="1175"/>
      <c r="F91" s="1175"/>
      <c r="G91" s="1175"/>
      <c r="H91" s="1176">
        <f t="shared" si="76"/>
        <v>0</v>
      </c>
      <c r="I91" s="1175">
        <v>0</v>
      </c>
      <c r="J91" s="1175"/>
      <c r="K91" s="1175"/>
      <c r="L91" s="1175"/>
      <c r="M91" s="1176">
        <f t="shared" si="77"/>
        <v>0</v>
      </c>
      <c r="N91" s="1175">
        <v>0</v>
      </c>
      <c r="O91" s="1175"/>
      <c r="P91" s="1175"/>
      <c r="Q91" s="1175"/>
      <c r="R91" s="1176">
        <f t="shared" si="78"/>
        <v>0</v>
      </c>
    </row>
    <row r="92" spans="1:18" s="6" customFormat="1" ht="24" hidden="1" customHeight="1">
      <c r="A92" s="1297" t="s">
        <v>68</v>
      </c>
      <c r="B92" s="1178" t="s">
        <v>69</v>
      </c>
      <c r="C92" s="1268"/>
      <c r="D92" s="1268">
        <v>0</v>
      </c>
      <c r="E92" s="1175"/>
      <c r="F92" s="1175"/>
      <c r="G92" s="1175"/>
      <c r="H92" s="1176">
        <f t="shared" si="76"/>
        <v>0</v>
      </c>
      <c r="I92" s="1175">
        <v>0</v>
      </c>
      <c r="J92" s="1175"/>
      <c r="K92" s="1175"/>
      <c r="L92" s="1175"/>
      <c r="M92" s="1176">
        <f t="shared" si="77"/>
        <v>0</v>
      </c>
      <c r="N92" s="1175">
        <v>0</v>
      </c>
      <c r="O92" s="1175"/>
      <c r="P92" s="1175"/>
      <c r="Q92" s="1175"/>
      <c r="R92" s="1176">
        <f t="shared" si="78"/>
        <v>0</v>
      </c>
    </row>
    <row r="93" spans="1:18" s="6" customFormat="1">
      <c r="A93" s="1298"/>
      <c r="B93" s="1299" t="s">
        <v>199</v>
      </c>
      <c r="C93" s="1300"/>
      <c r="D93" s="1301">
        <v>0</v>
      </c>
      <c r="E93" s="1229"/>
      <c r="F93" s="1229"/>
      <c r="G93" s="1229"/>
      <c r="H93" s="1230">
        <f t="shared" si="76"/>
        <v>0</v>
      </c>
      <c r="I93" s="1231">
        <v>0</v>
      </c>
      <c r="J93" s="1229"/>
      <c r="K93" s="1229"/>
      <c r="L93" s="1229"/>
      <c r="M93" s="1230">
        <f t="shared" si="77"/>
        <v>0</v>
      </c>
      <c r="N93" s="1231">
        <v>0</v>
      </c>
      <c r="O93" s="1229"/>
      <c r="P93" s="1229"/>
      <c r="Q93" s="1229"/>
      <c r="R93" s="1230">
        <f t="shared" si="78"/>
        <v>0</v>
      </c>
    </row>
    <row r="94" spans="1:18" s="6" customFormat="1" ht="22.8">
      <c r="A94" s="1169" t="s">
        <v>201</v>
      </c>
      <c r="B94" s="1169" t="s">
        <v>88</v>
      </c>
      <c r="C94" s="167">
        <v>14334134</v>
      </c>
      <c r="D94" s="167">
        <v>14420154</v>
      </c>
      <c r="E94" s="228">
        <f t="shared" ref="E94:G94" si="97">E95+E96+E98+E116</f>
        <v>0</v>
      </c>
      <c r="F94" s="228">
        <f t="shared" si="97"/>
        <v>0</v>
      </c>
      <c r="G94" s="228">
        <f t="shared" si="97"/>
        <v>97240</v>
      </c>
      <c r="H94" s="1170">
        <f t="shared" si="76"/>
        <v>14517394</v>
      </c>
      <c r="I94" s="228">
        <v>14420154</v>
      </c>
      <c r="J94" s="228">
        <f t="shared" ref="J94:L94" si="98">J95+J96+J98+J116</f>
        <v>0</v>
      </c>
      <c r="K94" s="228">
        <f t="shared" si="98"/>
        <v>0</v>
      </c>
      <c r="L94" s="228">
        <f t="shared" si="98"/>
        <v>97240</v>
      </c>
      <c r="M94" s="1170">
        <f t="shared" si="77"/>
        <v>14517394</v>
      </c>
      <c r="N94" s="228">
        <v>14420154</v>
      </c>
      <c r="O94" s="228">
        <f t="shared" ref="O94:Q94" si="99">O95+O96+O98+O116</f>
        <v>0</v>
      </c>
      <c r="P94" s="228">
        <f t="shared" si="99"/>
        <v>0</v>
      </c>
      <c r="Q94" s="228">
        <f t="shared" si="99"/>
        <v>97240</v>
      </c>
      <c r="R94" s="1170">
        <f t="shared" si="78"/>
        <v>14517394</v>
      </c>
    </row>
    <row r="95" spans="1:18" s="6" customFormat="1" ht="22.8">
      <c r="A95" s="1172" t="s">
        <v>177</v>
      </c>
      <c r="B95" s="1172" t="s">
        <v>90</v>
      </c>
      <c r="C95" s="1268">
        <v>15000</v>
      </c>
      <c r="D95" s="1268">
        <v>15000</v>
      </c>
      <c r="E95" s="1175"/>
      <c r="F95" s="1175"/>
      <c r="G95" s="1175">
        <v>0</v>
      </c>
      <c r="H95" s="1176">
        <f t="shared" si="76"/>
        <v>15000</v>
      </c>
      <c r="I95" s="1175">
        <v>15000</v>
      </c>
      <c r="J95" s="1175"/>
      <c r="K95" s="1175"/>
      <c r="L95" s="1175">
        <v>0</v>
      </c>
      <c r="M95" s="1176">
        <f t="shared" si="77"/>
        <v>15000</v>
      </c>
      <c r="N95" s="1175">
        <v>15000</v>
      </c>
      <c r="O95" s="1175"/>
      <c r="P95" s="1175"/>
      <c r="Q95" s="1175">
        <v>0</v>
      </c>
      <c r="R95" s="1176">
        <f t="shared" si="78"/>
        <v>15000</v>
      </c>
    </row>
    <row r="96" spans="1:18" s="6" customFormat="1" ht="12" hidden="1" customHeight="1">
      <c r="A96" s="1172" t="s">
        <v>91</v>
      </c>
      <c r="B96" s="1172" t="s">
        <v>92</v>
      </c>
      <c r="C96" s="1268"/>
      <c r="D96" s="1268">
        <v>0</v>
      </c>
      <c r="E96" s="1175"/>
      <c r="F96" s="1175"/>
      <c r="G96" s="1175"/>
      <c r="H96" s="1176">
        <f t="shared" si="76"/>
        <v>0</v>
      </c>
      <c r="I96" s="1175">
        <v>0</v>
      </c>
      <c r="J96" s="1175"/>
      <c r="K96" s="1175"/>
      <c r="L96" s="1175"/>
      <c r="M96" s="1176">
        <f t="shared" si="77"/>
        <v>0</v>
      </c>
      <c r="N96" s="1175">
        <v>0</v>
      </c>
      <c r="O96" s="1175"/>
      <c r="P96" s="1175"/>
      <c r="Q96" s="1175"/>
      <c r="R96" s="1176">
        <f t="shared" si="78"/>
        <v>0</v>
      </c>
    </row>
    <row r="97" spans="1:18" s="6" customFormat="1" ht="24" hidden="1" customHeight="1">
      <c r="A97" s="1178">
        <v>21210</v>
      </c>
      <c r="B97" s="1178" t="s">
        <v>93</v>
      </c>
      <c r="C97" s="1268"/>
      <c r="D97" s="1268">
        <v>0</v>
      </c>
      <c r="E97" s="1175"/>
      <c r="F97" s="1175"/>
      <c r="G97" s="1175"/>
      <c r="H97" s="1176">
        <f t="shared" si="76"/>
        <v>0</v>
      </c>
      <c r="I97" s="1175">
        <v>0</v>
      </c>
      <c r="J97" s="1175"/>
      <c r="K97" s="1175"/>
      <c r="L97" s="1175"/>
      <c r="M97" s="1176">
        <f t="shared" si="77"/>
        <v>0</v>
      </c>
      <c r="N97" s="1175">
        <v>0</v>
      </c>
      <c r="O97" s="1175"/>
      <c r="P97" s="1175"/>
      <c r="Q97" s="1175"/>
      <c r="R97" s="1176">
        <f t="shared" si="78"/>
        <v>0</v>
      </c>
    </row>
    <row r="98" spans="1:18" s="6" customFormat="1" ht="24" hidden="1" customHeight="1">
      <c r="A98" s="1172" t="s">
        <v>178</v>
      </c>
      <c r="B98" s="1172" t="s">
        <v>94</v>
      </c>
      <c r="C98" s="1269">
        <v>0</v>
      </c>
      <c r="D98" s="1269">
        <v>0</v>
      </c>
      <c r="E98" s="1181">
        <f t="shared" ref="E98:G98" si="100">E99+E105</f>
        <v>0</v>
      </c>
      <c r="F98" s="1181">
        <f t="shared" si="100"/>
        <v>0</v>
      </c>
      <c r="G98" s="1181">
        <f t="shared" si="100"/>
        <v>0</v>
      </c>
      <c r="H98" s="1176">
        <f t="shared" si="76"/>
        <v>0</v>
      </c>
      <c r="I98" s="1181">
        <v>0</v>
      </c>
      <c r="J98" s="1181">
        <f t="shared" ref="J98:L98" si="101">J99+J105</f>
        <v>0</v>
      </c>
      <c r="K98" s="1181">
        <f t="shared" si="101"/>
        <v>0</v>
      </c>
      <c r="L98" s="1181">
        <f t="shared" si="101"/>
        <v>0</v>
      </c>
      <c r="M98" s="1176">
        <f t="shared" si="77"/>
        <v>0</v>
      </c>
      <c r="N98" s="1181">
        <v>0</v>
      </c>
      <c r="O98" s="1181">
        <f t="shared" ref="O98:Q98" si="102">O99+O105</f>
        <v>0</v>
      </c>
      <c r="P98" s="1181">
        <f t="shared" si="102"/>
        <v>0</v>
      </c>
      <c r="Q98" s="1181">
        <f t="shared" si="102"/>
        <v>0</v>
      </c>
      <c r="R98" s="1176">
        <f t="shared" si="78"/>
        <v>0</v>
      </c>
    </row>
    <row r="99" spans="1:18" s="6" customFormat="1" ht="12" hidden="1" customHeight="1">
      <c r="A99" s="1270">
        <v>18000</v>
      </c>
      <c r="B99" s="1178" t="s">
        <v>95</v>
      </c>
      <c r="C99" s="1269">
        <v>0</v>
      </c>
      <c r="D99" s="1269">
        <v>0</v>
      </c>
      <c r="E99" s="1181">
        <f t="shared" ref="E99:L100" si="103">E100</f>
        <v>0</v>
      </c>
      <c r="F99" s="1181">
        <f t="shared" si="103"/>
        <v>0</v>
      </c>
      <c r="G99" s="1181">
        <f t="shared" si="103"/>
        <v>0</v>
      </c>
      <c r="H99" s="1176">
        <f t="shared" si="76"/>
        <v>0</v>
      </c>
      <c r="I99" s="1181">
        <v>0</v>
      </c>
      <c r="J99" s="1181">
        <f t="shared" si="103"/>
        <v>0</v>
      </c>
      <c r="K99" s="1181">
        <f t="shared" si="103"/>
        <v>0</v>
      </c>
      <c r="L99" s="1181">
        <f t="shared" si="103"/>
        <v>0</v>
      </c>
      <c r="M99" s="1176">
        <f t="shared" si="77"/>
        <v>0</v>
      </c>
      <c r="N99" s="1181">
        <v>0</v>
      </c>
      <c r="O99" s="1181">
        <f t="shared" ref="O99:Q100" si="104">O100</f>
        <v>0</v>
      </c>
      <c r="P99" s="1181">
        <f t="shared" si="104"/>
        <v>0</v>
      </c>
      <c r="Q99" s="1181">
        <f t="shared" si="104"/>
        <v>0</v>
      </c>
      <c r="R99" s="1176">
        <f t="shared" si="78"/>
        <v>0</v>
      </c>
    </row>
    <row r="100" spans="1:18" s="6" customFormat="1" ht="12" hidden="1" customHeight="1">
      <c r="A100" s="1270">
        <v>18100</v>
      </c>
      <c r="B100" s="1178" t="s">
        <v>96</v>
      </c>
      <c r="C100" s="1269">
        <v>0</v>
      </c>
      <c r="D100" s="1269">
        <v>0</v>
      </c>
      <c r="E100" s="1181">
        <f t="shared" si="103"/>
        <v>0</v>
      </c>
      <c r="F100" s="1181">
        <f t="shared" si="103"/>
        <v>0</v>
      </c>
      <c r="G100" s="1181">
        <f t="shared" si="103"/>
        <v>0</v>
      </c>
      <c r="H100" s="1176">
        <f t="shared" si="76"/>
        <v>0</v>
      </c>
      <c r="I100" s="1181">
        <v>0</v>
      </c>
      <c r="J100" s="1181">
        <f t="shared" si="103"/>
        <v>0</v>
      </c>
      <c r="K100" s="1181">
        <f t="shared" si="103"/>
        <v>0</v>
      </c>
      <c r="L100" s="1181">
        <f t="shared" si="103"/>
        <v>0</v>
      </c>
      <c r="M100" s="1176">
        <f t="shared" si="77"/>
        <v>0</v>
      </c>
      <c r="N100" s="1181">
        <v>0</v>
      </c>
      <c r="O100" s="1181">
        <f t="shared" si="104"/>
        <v>0</v>
      </c>
      <c r="P100" s="1181">
        <f t="shared" si="104"/>
        <v>0</v>
      </c>
      <c r="Q100" s="1181">
        <f t="shared" si="104"/>
        <v>0</v>
      </c>
      <c r="R100" s="1176">
        <f t="shared" si="78"/>
        <v>0</v>
      </c>
    </row>
    <row r="101" spans="1:18" s="6" customFormat="1" ht="24" hidden="1" customHeight="1">
      <c r="A101" s="1271">
        <v>18130</v>
      </c>
      <c r="B101" s="1272" t="s">
        <v>159</v>
      </c>
      <c r="C101" s="1269">
        <v>0</v>
      </c>
      <c r="D101" s="1269">
        <v>0</v>
      </c>
      <c r="E101" s="1181">
        <f t="shared" ref="E101:G101" si="105">SUM(E102:E104)</f>
        <v>0</v>
      </c>
      <c r="F101" s="1181">
        <f t="shared" ref="F101" si="106">SUM(F102:F104)</f>
        <v>0</v>
      </c>
      <c r="G101" s="1181">
        <f t="shared" si="105"/>
        <v>0</v>
      </c>
      <c r="H101" s="1176">
        <f t="shared" si="76"/>
        <v>0</v>
      </c>
      <c r="I101" s="1181">
        <v>0</v>
      </c>
      <c r="J101" s="1181">
        <f t="shared" ref="J101:L101" si="107">SUM(J102:J104)</f>
        <v>0</v>
      </c>
      <c r="K101" s="1181">
        <f t="shared" si="107"/>
        <v>0</v>
      </c>
      <c r="L101" s="1181">
        <f t="shared" si="107"/>
        <v>0</v>
      </c>
      <c r="M101" s="1176">
        <f t="shared" si="77"/>
        <v>0</v>
      </c>
      <c r="N101" s="1181">
        <v>0</v>
      </c>
      <c r="O101" s="1181">
        <f t="shared" ref="O101:Q101" si="108">SUM(O102:O104)</f>
        <v>0</v>
      </c>
      <c r="P101" s="1181">
        <f t="shared" si="108"/>
        <v>0</v>
      </c>
      <c r="Q101" s="1181">
        <f t="shared" si="108"/>
        <v>0</v>
      </c>
      <c r="R101" s="1176">
        <f t="shared" si="78"/>
        <v>0</v>
      </c>
    </row>
    <row r="102" spans="1:18" s="6" customFormat="1" ht="36" hidden="1" customHeight="1">
      <c r="A102" s="1273">
        <v>18131</v>
      </c>
      <c r="B102" s="1272" t="s">
        <v>160</v>
      </c>
      <c r="C102" s="1269"/>
      <c r="D102" s="1269">
        <v>0</v>
      </c>
      <c r="E102" s="1181"/>
      <c r="F102" s="1181"/>
      <c r="G102" s="1181"/>
      <c r="H102" s="1176">
        <f t="shared" si="76"/>
        <v>0</v>
      </c>
      <c r="I102" s="1181">
        <v>0</v>
      </c>
      <c r="J102" s="1181"/>
      <c r="K102" s="1181"/>
      <c r="L102" s="1181"/>
      <c r="M102" s="1176">
        <f t="shared" si="77"/>
        <v>0</v>
      </c>
      <c r="N102" s="1181">
        <v>0</v>
      </c>
      <c r="O102" s="1181"/>
      <c r="P102" s="1181"/>
      <c r="Q102" s="1181"/>
      <c r="R102" s="1176">
        <f t="shared" si="78"/>
        <v>0</v>
      </c>
    </row>
    <row r="103" spans="1:18" s="6" customFormat="1" ht="24" hidden="1" customHeight="1">
      <c r="A103" s="1273">
        <v>18132</v>
      </c>
      <c r="B103" s="1272" t="s">
        <v>169</v>
      </c>
      <c r="C103" s="1269"/>
      <c r="D103" s="1269">
        <v>0</v>
      </c>
      <c r="E103" s="1181"/>
      <c r="F103" s="1181"/>
      <c r="G103" s="1181"/>
      <c r="H103" s="1176">
        <f t="shared" si="76"/>
        <v>0</v>
      </c>
      <c r="I103" s="1181">
        <v>0</v>
      </c>
      <c r="J103" s="1181"/>
      <c r="K103" s="1181"/>
      <c r="L103" s="1181"/>
      <c r="M103" s="1176">
        <f t="shared" si="77"/>
        <v>0</v>
      </c>
      <c r="N103" s="1181">
        <v>0</v>
      </c>
      <c r="O103" s="1181"/>
      <c r="P103" s="1181"/>
      <c r="Q103" s="1181"/>
      <c r="R103" s="1176">
        <f t="shared" si="78"/>
        <v>0</v>
      </c>
    </row>
    <row r="104" spans="1:18" s="6" customFormat="1" ht="24" hidden="1" customHeight="1">
      <c r="A104" s="1273">
        <v>18139</v>
      </c>
      <c r="B104" s="1272" t="s">
        <v>179</v>
      </c>
      <c r="C104" s="1269"/>
      <c r="D104" s="1269">
        <v>0</v>
      </c>
      <c r="E104" s="1181"/>
      <c r="F104" s="1181"/>
      <c r="G104" s="1181"/>
      <c r="H104" s="1176">
        <f t="shared" si="76"/>
        <v>0</v>
      </c>
      <c r="I104" s="1181">
        <v>0</v>
      </c>
      <c r="J104" s="1181"/>
      <c r="K104" s="1181"/>
      <c r="L104" s="1181"/>
      <c r="M104" s="1176">
        <f t="shared" si="77"/>
        <v>0</v>
      </c>
      <c r="N104" s="1181">
        <v>0</v>
      </c>
      <c r="O104" s="1181"/>
      <c r="P104" s="1181"/>
      <c r="Q104" s="1181"/>
      <c r="R104" s="1176">
        <f t="shared" si="78"/>
        <v>0</v>
      </c>
    </row>
    <row r="105" spans="1:18" s="6" customFormat="1" ht="12" hidden="1" customHeight="1">
      <c r="A105" s="1274" t="s">
        <v>180</v>
      </c>
      <c r="B105" s="1187" t="s">
        <v>173</v>
      </c>
      <c r="C105" s="174">
        <v>0</v>
      </c>
      <c r="D105" s="174">
        <v>0</v>
      </c>
      <c r="E105" s="238">
        <f t="shared" ref="E105:L105" si="109">E106</f>
        <v>0</v>
      </c>
      <c r="F105" s="238">
        <f t="shared" si="109"/>
        <v>0</v>
      </c>
      <c r="G105" s="238">
        <f t="shared" si="109"/>
        <v>0</v>
      </c>
      <c r="H105" s="1176">
        <f t="shared" si="76"/>
        <v>0</v>
      </c>
      <c r="I105" s="238">
        <v>0</v>
      </c>
      <c r="J105" s="238">
        <f t="shared" si="109"/>
        <v>0</v>
      </c>
      <c r="K105" s="238">
        <f t="shared" si="109"/>
        <v>0</v>
      </c>
      <c r="L105" s="238">
        <f t="shared" si="109"/>
        <v>0</v>
      </c>
      <c r="M105" s="1176">
        <f t="shared" si="77"/>
        <v>0</v>
      </c>
      <c r="N105" s="238">
        <v>0</v>
      </c>
      <c r="O105" s="238">
        <f t="shared" ref="O105:Q105" si="110">O106</f>
        <v>0</v>
      </c>
      <c r="P105" s="238">
        <f t="shared" si="110"/>
        <v>0</v>
      </c>
      <c r="Q105" s="238">
        <f t="shared" si="110"/>
        <v>0</v>
      </c>
      <c r="R105" s="1176">
        <f t="shared" si="78"/>
        <v>0</v>
      </c>
    </row>
    <row r="106" spans="1:18" s="6" customFormat="1" ht="24" hidden="1" customHeight="1">
      <c r="A106" s="1274">
        <v>19500</v>
      </c>
      <c r="B106" s="1272" t="s">
        <v>174</v>
      </c>
      <c r="C106" s="1269">
        <v>0</v>
      </c>
      <c r="D106" s="1269">
        <v>0</v>
      </c>
      <c r="E106" s="1181">
        <f t="shared" ref="E106:G106" si="111">SUM(E107:E109)</f>
        <v>0</v>
      </c>
      <c r="F106" s="1181">
        <f t="shared" si="111"/>
        <v>0</v>
      </c>
      <c r="G106" s="1181">
        <f t="shared" si="111"/>
        <v>0</v>
      </c>
      <c r="H106" s="1176">
        <f t="shared" si="76"/>
        <v>0</v>
      </c>
      <c r="I106" s="1181">
        <v>0</v>
      </c>
      <c r="J106" s="1181">
        <f t="shared" ref="J106:L106" si="112">SUM(J107:J109)</f>
        <v>0</v>
      </c>
      <c r="K106" s="1181">
        <f t="shared" si="112"/>
        <v>0</v>
      </c>
      <c r="L106" s="1181">
        <f t="shared" si="112"/>
        <v>0</v>
      </c>
      <c r="M106" s="1176">
        <f t="shared" si="77"/>
        <v>0</v>
      </c>
      <c r="N106" s="1181">
        <v>0</v>
      </c>
      <c r="O106" s="1181">
        <f t="shared" ref="O106:Q106" si="113">SUM(O107:O109)</f>
        <v>0</v>
      </c>
      <c r="P106" s="1181">
        <f t="shared" si="113"/>
        <v>0</v>
      </c>
      <c r="Q106" s="1181">
        <f t="shared" si="113"/>
        <v>0</v>
      </c>
      <c r="R106" s="1176">
        <f t="shared" si="78"/>
        <v>0</v>
      </c>
    </row>
    <row r="107" spans="1:18" s="6" customFormat="1" ht="24" hidden="1" customHeight="1">
      <c r="A107" s="1275">
        <v>19550</v>
      </c>
      <c r="B107" s="1272" t="s">
        <v>175</v>
      </c>
      <c r="C107" s="1269"/>
      <c r="D107" s="1269">
        <v>0</v>
      </c>
      <c r="E107" s="1181"/>
      <c r="F107" s="1181"/>
      <c r="G107" s="1181"/>
      <c r="H107" s="1176">
        <f t="shared" si="76"/>
        <v>0</v>
      </c>
      <c r="I107" s="1181">
        <v>0</v>
      </c>
      <c r="J107" s="1181"/>
      <c r="K107" s="1181"/>
      <c r="L107" s="1181"/>
      <c r="M107" s="1176">
        <f t="shared" si="77"/>
        <v>0</v>
      </c>
      <c r="N107" s="1181">
        <v>0</v>
      </c>
      <c r="O107" s="1181"/>
      <c r="P107" s="1181"/>
      <c r="Q107" s="1181"/>
      <c r="R107" s="1176">
        <f t="shared" si="78"/>
        <v>0</v>
      </c>
    </row>
    <row r="108" spans="1:18" s="6" customFormat="1" ht="36" hidden="1" customHeight="1">
      <c r="A108" s="1275">
        <v>19560</v>
      </c>
      <c r="B108" s="1272" t="s">
        <v>181</v>
      </c>
      <c r="C108" s="1269"/>
      <c r="D108" s="1269">
        <v>0</v>
      </c>
      <c r="E108" s="1181"/>
      <c r="F108" s="1181"/>
      <c r="G108" s="1181"/>
      <c r="H108" s="1176">
        <f t="shared" si="76"/>
        <v>0</v>
      </c>
      <c r="I108" s="1181">
        <v>0</v>
      </c>
      <c r="J108" s="1181"/>
      <c r="K108" s="1181"/>
      <c r="L108" s="1181"/>
      <c r="M108" s="1176">
        <f t="shared" si="77"/>
        <v>0</v>
      </c>
      <c r="N108" s="1181">
        <v>0</v>
      </c>
      <c r="O108" s="1181"/>
      <c r="P108" s="1181"/>
      <c r="Q108" s="1181"/>
      <c r="R108" s="1176">
        <f t="shared" si="78"/>
        <v>0</v>
      </c>
    </row>
    <row r="109" spans="1:18" s="6" customFormat="1" ht="72" hidden="1" customHeight="1">
      <c r="A109" s="1275">
        <v>19570</v>
      </c>
      <c r="B109" s="1272" t="s">
        <v>182</v>
      </c>
      <c r="C109" s="1269"/>
      <c r="D109" s="1269">
        <v>0</v>
      </c>
      <c r="E109" s="1181"/>
      <c r="F109" s="1181"/>
      <c r="G109" s="1181"/>
      <c r="H109" s="1176">
        <f t="shared" si="76"/>
        <v>0</v>
      </c>
      <c r="I109" s="1181">
        <v>0</v>
      </c>
      <c r="J109" s="1181"/>
      <c r="K109" s="1181"/>
      <c r="L109" s="1181"/>
      <c r="M109" s="1176">
        <f t="shared" si="77"/>
        <v>0</v>
      </c>
      <c r="N109" s="1181">
        <v>0</v>
      </c>
      <c r="O109" s="1181"/>
      <c r="P109" s="1181"/>
      <c r="Q109" s="1181"/>
      <c r="R109" s="1176">
        <f t="shared" si="78"/>
        <v>0</v>
      </c>
    </row>
    <row r="110" spans="1:18" s="6" customFormat="1" ht="24" hidden="1" customHeight="1">
      <c r="A110" s="1276" t="s">
        <v>222</v>
      </c>
      <c r="B110" s="1277" t="s">
        <v>216</v>
      </c>
      <c r="C110" s="1269">
        <v>0</v>
      </c>
      <c r="D110" s="1269">
        <v>0</v>
      </c>
      <c r="E110" s="1176">
        <f t="shared" ref="E110:L110" si="114">E111</f>
        <v>0</v>
      </c>
      <c r="F110" s="1176">
        <f t="shared" si="114"/>
        <v>0</v>
      </c>
      <c r="G110" s="1176">
        <f t="shared" si="114"/>
        <v>0</v>
      </c>
      <c r="H110" s="1176">
        <f t="shared" si="76"/>
        <v>0</v>
      </c>
      <c r="I110" s="1181">
        <v>0</v>
      </c>
      <c r="J110" s="1176">
        <f t="shared" si="114"/>
        <v>0</v>
      </c>
      <c r="K110" s="1176">
        <f t="shared" si="114"/>
        <v>0</v>
      </c>
      <c r="L110" s="1176">
        <f t="shared" si="114"/>
        <v>0</v>
      </c>
      <c r="M110" s="1176">
        <f t="shared" si="77"/>
        <v>0</v>
      </c>
      <c r="N110" s="1181">
        <v>0</v>
      </c>
      <c r="O110" s="1176">
        <f t="shared" ref="O110:Q110" si="115">O111</f>
        <v>0</v>
      </c>
      <c r="P110" s="1176">
        <f t="shared" si="115"/>
        <v>0</v>
      </c>
      <c r="Q110" s="1176">
        <f t="shared" si="115"/>
        <v>0</v>
      </c>
      <c r="R110" s="1176">
        <f t="shared" si="78"/>
        <v>0</v>
      </c>
    </row>
    <row r="111" spans="1:18" s="6" customFormat="1" ht="36" hidden="1" customHeight="1">
      <c r="A111" s="1276">
        <v>17100</v>
      </c>
      <c r="B111" s="1277" t="s">
        <v>217</v>
      </c>
      <c r="C111" s="1269">
        <v>0</v>
      </c>
      <c r="D111" s="1269">
        <v>0</v>
      </c>
      <c r="E111" s="1176">
        <f t="shared" ref="E111:G111" si="116">SUM(E112:E115)</f>
        <v>0</v>
      </c>
      <c r="F111" s="1176">
        <f t="shared" si="116"/>
        <v>0</v>
      </c>
      <c r="G111" s="1176">
        <f t="shared" si="116"/>
        <v>0</v>
      </c>
      <c r="H111" s="1176">
        <f t="shared" si="76"/>
        <v>0</v>
      </c>
      <c r="I111" s="1181">
        <v>0</v>
      </c>
      <c r="J111" s="1176">
        <f t="shared" ref="J111:L111" si="117">SUM(J112:J115)</f>
        <v>0</v>
      </c>
      <c r="K111" s="1176">
        <f t="shared" si="117"/>
        <v>0</v>
      </c>
      <c r="L111" s="1176">
        <f t="shared" si="117"/>
        <v>0</v>
      </c>
      <c r="M111" s="1176">
        <f t="shared" si="77"/>
        <v>0</v>
      </c>
      <c r="N111" s="1181">
        <v>0</v>
      </c>
      <c r="O111" s="1176">
        <f t="shared" ref="O111:Q111" si="118">SUM(O112:O115)</f>
        <v>0</v>
      </c>
      <c r="P111" s="1176">
        <f t="shared" si="118"/>
        <v>0</v>
      </c>
      <c r="Q111" s="1176">
        <f t="shared" si="118"/>
        <v>0</v>
      </c>
      <c r="R111" s="1176">
        <f t="shared" si="78"/>
        <v>0</v>
      </c>
    </row>
    <row r="112" spans="1:18" s="6" customFormat="1" ht="60" hidden="1" customHeight="1">
      <c r="A112" s="1278">
        <v>17110</v>
      </c>
      <c r="B112" s="1277" t="s">
        <v>218</v>
      </c>
      <c r="C112" s="1269"/>
      <c r="D112" s="1269">
        <v>0</v>
      </c>
      <c r="E112" s="1181"/>
      <c r="F112" s="1181"/>
      <c r="G112" s="1181"/>
      <c r="H112" s="1176">
        <f t="shared" si="76"/>
        <v>0</v>
      </c>
      <c r="I112" s="1181">
        <v>0</v>
      </c>
      <c r="J112" s="1181"/>
      <c r="K112" s="1181"/>
      <c r="L112" s="1181"/>
      <c r="M112" s="1176">
        <f t="shared" si="77"/>
        <v>0</v>
      </c>
      <c r="N112" s="1181">
        <v>0</v>
      </c>
      <c r="O112" s="1181"/>
      <c r="P112" s="1181"/>
      <c r="Q112" s="1181"/>
      <c r="R112" s="1176">
        <f t="shared" si="78"/>
        <v>0</v>
      </c>
    </row>
    <row r="113" spans="1:18" s="6" customFormat="1" ht="60" hidden="1" customHeight="1">
      <c r="A113" s="1278">
        <v>17120</v>
      </c>
      <c r="B113" s="1277" t="s">
        <v>219</v>
      </c>
      <c r="C113" s="1269"/>
      <c r="D113" s="1269">
        <v>0</v>
      </c>
      <c r="E113" s="1181"/>
      <c r="F113" s="1181"/>
      <c r="G113" s="1181"/>
      <c r="H113" s="1176">
        <f t="shared" si="76"/>
        <v>0</v>
      </c>
      <c r="I113" s="1181">
        <v>0</v>
      </c>
      <c r="J113" s="1181"/>
      <c r="K113" s="1181"/>
      <c r="L113" s="1181"/>
      <c r="M113" s="1176">
        <f t="shared" si="77"/>
        <v>0</v>
      </c>
      <c r="N113" s="1181">
        <v>0</v>
      </c>
      <c r="O113" s="1181"/>
      <c r="P113" s="1181"/>
      <c r="Q113" s="1181"/>
      <c r="R113" s="1176">
        <f t="shared" si="78"/>
        <v>0</v>
      </c>
    </row>
    <row r="114" spans="1:18" s="6" customFormat="1" ht="108" hidden="1" customHeight="1">
      <c r="A114" s="1278">
        <v>17130</v>
      </c>
      <c r="B114" s="1277" t="s">
        <v>220</v>
      </c>
      <c r="C114" s="1269"/>
      <c r="D114" s="1269">
        <v>0</v>
      </c>
      <c r="E114" s="1181"/>
      <c r="F114" s="1181"/>
      <c r="G114" s="1181"/>
      <c r="H114" s="1176">
        <f t="shared" si="76"/>
        <v>0</v>
      </c>
      <c r="I114" s="1181">
        <v>0</v>
      </c>
      <c r="J114" s="1181"/>
      <c r="K114" s="1181"/>
      <c r="L114" s="1181"/>
      <c r="M114" s="1176">
        <f t="shared" si="77"/>
        <v>0</v>
      </c>
      <c r="N114" s="1181">
        <v>0</v>
      </c>
      <c r="O114" s="1181"/>
      <c r="P114" s="1181"/>
      <c r="Q114" s="1181"/>
      <c r="R114" s="1176">
        <f t="shared" si="78"/>
        <v>0</v>
      </c>
    </row>
    <row r="115" spans="1:18" s="6" customFormat="1" ht="96" hidden="1" customHeight="1">
      <c r="A115" s="1278">
        <v>17140</v>
      </c>
      <c r="B115" s="1277" t="s">
        <v>221</v>
      </c>
      <c r="C115" s="1269"/>
      <c r="D115" s="1269">
        <v>0</v>
      </c>
      <c r="E115" s="1181"/>
      <c r="F115" s="1181"/>
      <c r="G115" s="1181"/>
      <c r="H115" s="1176">
        <f t="shared" si="76"/>
        <v>0</v>
      </c>
      <c r="I115" s="1181">
        <v>0</v>
      </c>
      <c r="J115" s="1181"/>
      <c r="K115" s="1181"/>
      <c r="L115" s="1181"/>
      <c r="M115" s="1176">
        <f t="shared" si="77"/>
        <v>0</v>
      </c>
      <c r="N115" s="1181">
        <v>0</v>
      </c>
      <c r="O115" s="1181"/>
      <c r="P115" s="1181"/>
      <c r="Q115" s="1181"/>
      <c r="R115" s="1176">
        <f t="shared" si="78"/>
        <v>0</v>
      </c>
    </row>
    <row r="116" spans="1:18" s="6" customFormat="1">
      <c r="A116" s="1279">
        <v>21700</v>
      </c>
      <c r="B116" s="1172" t="s">
        <v>97</v>
      </c>
      <c r="C116" s="1269">
        <v>14319134</v>
      </c>
      <c r="D116" s="1269">
        <v>14405154</v>
      </c>
      <c r="E116" s="1181">
        <f t="shared" ref="E116:G116" si="119">E117+E118</f>
        <v>0</v>
      </c>
      <c r="F116" s="1181">
        <f t="shared" si="119"/>
        <v>0</v>
      </c>
      <c r="G116" s="1181">
        <f t="shared" si="119"/>
        <v>97240</v>
      </c>
      <c r="H116" s="1176">
        <f t="shared" si="76"/>
        <v>14502394</v>
      </c>
      <c r="I116" s="1181">
        <v>14405154</v>
      </c>
      <c r="J116" s="1181">
        <f t="shared" ref="J116:L116" si="120">J117+J118</f>
        <v>0</v>
      </c>
      <c r="K116" s="1181">
        <f t="shared" si="120"/>
        <v>0</v>
      </c>
      <c r="L116" s="1181">
        <f t="shared" si="120"/>
        <v>97240</v>
      </c>
      <c r="M116" s="1176">
        <f t="shared" si="77"/>
        <v>14502394</v>
      </c>
      <c r="N116" s="1181">
        <v>14405154</v>
      </c>
      <c r="O116" s="1181">
        <f t="shared" ref="O116:Q116" si="121">O117+O118</f>
        <v>0</v>
      </c>
      <c r="P116" s="1181">
        <f t="shared" si="121"/>
        <v>0</v>
      </c>
      <c r="Q116" s="1181">
        <f t="shared" si="121"/>
        <v>97240</v>
      </c>
      <c r="R116" s="1176">
        <f t="shared" si="78"/>
        <v>14502394</v>
      </c>
    </row>
    <row r="117" spans="1:18" s="6" customFormat="1" ht="24">
      <c r="A117" s="1280">
        <v>21710</v>
      </c>
      <c r="B117" s="1178" t="s">
        <v>98</v>
      </c>
      <c r="C117" s="1269">
        <v>14319134</v>
      </c>
      <c r="D117" s="1269">
        <v>14405154</v>
      </c>
      <c r="E117" s="1181"/>
      <c r="F117" s="1181"/>
      <c r="G117" s="1181">
        <f>G272+G280+G288</f>
        <v>97240</v>
      </c>
      <c r="H117" s="1176">
        <f t="shared" si="76"/>
        <v>14502394</v>
      </c>
      <c r="I117" s="1181">
        <v>14405154</v>
      </c>
      <c r="J117" s="1181"/>
      <c r="K117" s="1181"/>
      <c r="L117" s="1181">
        <f>L272+L280+L288</f>
        <v>97240</v>
      </c>
      <c r="M117" s="1176">
        <f t="shared" si="77"/>
        <v>14502394</v>
      </c>
      <c r="N117" s="1181">
        <v>14405154</v>
      </c>
      <c r="O117" s="1181"/>
      <c r="P117" s="1181"/>
      <c r="Q117" s="1181">
        <f>Q272+Q280+Q288</f>
        <v>97240</v>
      </c>
      <c r="R117" s="1176">
        <f t="shared" si="78"/>
        <v>14502394</v>
      </c>
    </row>
    <row r="118" spans="1:18" s="6" customFormat="1" ht="24" hidden="1" customHeight="1">
      <c r="A118" s="1280">
        <v>21720</v>
      </c>
      <c r="B118" s="1178" t="s">
        <v>99</v>
      </c>
      <c r="C118" s="1269"/>
      <c r="D118" s="1269">
        <v>0</v>
      </c>
      <c r="E118" s="1181"/>
      <c r="F118" s="1181"/>
      <c r="G118" s="1181"/>
      <c r="H118" s="1176">
        <f t="shared" si="76"/>
        <v>0</v>
      </c>
      <c r="I118" s="1181">
        <v>0</v>
      </c>
      <c r="J118" s="1181"/>
      <c r="K118" s="1181"/>
      <c r="L118" s="1181"/>
      <c r="M118" s="1176">
        <f t="shared" si="77"/>
        <v>0</v>
      </c>
      <c r="N118" s="1181">
        <v>0</v>
      </c>
      <c r="O118" s="1181"/>
      <c r="P118" s="1181"/>
      <c r="Q118" s="1181"/>
      <c r="R118" s="1176">
        <f t="shared" si="78"/>
        <v>0</v>
      </c>
    </row>
    <row r="119" spans="1:18" s="6" customFormat="1" ht="11.4">
      <c r="A119" s="1169" t="s">
        <v>100</v>
      </c>
      <c r="B119" s="1169" t="s">
        <v>101</v>
      </c>
      <c r="C119" s="1281">
        <v>14334134</v>
      </c>
      <c r="D119" s="1281">
        <v>14420154</v>
      </c>
      <c r="E119" s="1196">
        <f t="shared" ref="E119:G119" si="122">E120+E147</f>
        <v>0</v>
      </c>
      <c r="F119" s="1196">
        <f t="shared" si="122"/>
        <v>0</v>
      </c>
      <c r="G119" s="1196">
        <f t="shared" si="122"/>
        <v>97240</v>
      </c>
      <c r="H119" s="1170">
        <f t="shared" si="76"/>
        <v>14517394</v>
      </c>
      <c r="I119" s="1196">
        <v>14420154</v>
      </c>
      <c r="J119" s="1196">
        <f t="shared" ref="J119:L119" si="123">J120+J147</f>
        <v>0</v>
      </c>
      <c r="K119" s="1196">
        <f t="shared" si="123"/>
        <v>0</v>
      </c>
      <c r="L119" s="1196">
        <f t="shared" si="123"/>
        <v>97240</v>
      </c>
      <c r="M119" s="1170">
        <f t="shared" si="77"/>
        <v>14517394</v>
      </c>
      <c r="N119" s="1196">
        <v>14420154</v>
      </c>
      <c r="O119" s="1196">
        <f t="shared" ref="O119:Q119" si="124">O120+O147</f>
        <v>0</v>
      </c>
      <c r="P119" s="1196">
        <f t="shared" si="124"/>
        <v>0</v>
      </c>
      <c r="Q119" s="1196">
        <f t="shared" si="124"/>
        <v>97240</v>
      </c>
      <c r="R119" s="1170">
        <f t="shared" si="78"/>
        <v>14517394</v>
      </c>
    </row>
    <row r="120" spans="1:18" s="6" customFormat="1" ht="22.8">
      <c r="A120" s="1172" t="s">
        <v>102</v>
      </c>
      <c r="B120" s="1172" t="s">
        <v>103</v>
      </c>
      <c r="C120" s="1269">
        <v>14286491</v>
      </c>
      <c r="D120" s="1269">
        <v>14372511</v>
      </c>
      <c r="E120" s="1181">
        <f t="shared" ref="E120:G120" si="125">E121+E125+E126+E129+E132</f>
        <v>0</v>
      </c>
      <c r="F120" s="1181">
        <f t="shared" si="125"/>
        <v>0</v>
      </c>
      <c r="G120" s="1181">
        <f t="shared" si="125"/>
        <v>97240</v>
      </c>
      <c r="H120" s="1176">
        <f t="shared" si="76"/>
        <v>14469751</v>
      </c>
      <c r="I120" s="1181">
        <v>14372511</v>
      </c>
      <c r="J120" s="1181">
        <f t="shared" ref="J120:L120" si="126">J121+J125+J126+J129+J132</f>
        <v>0</v>
      </c>
      <c r="K120" s="1181">
        <f t="shared" si="126"/>
        <v>0</v>
      </c>
      <c r="L120" s="1181">
        <f t="shared" si="126"/>
        <v>97240</v>
      </c>
      <c r="M120" s="1176">
        <f t="shared" si="77"/>
        <v>14469751</v>
      </c>
      <c r="N120" s="1181">
        <v>14372511</v>
      </c>
      <c r="O120" s="1181">
        <f t="shared" ref="O120:Q120" si="127">O121+O125+O126+O129+O132</f>
        <v>0</v>
      </c>
      <c r="P120" s="1181">
        <f t="shared" si="127"/>
        <v>0</v>
      </c>
      <c r="Q120" s="1181">
        <f t="shared" si="127"/>
        <v>97240</v>
      </c>
      <c r="R120" s="1176">
        <f t="shared" si="78"/>
        <v>14469751</v>
      </c>
    </row>
    <row r="121" spans="1:18" s="6" customFormat="1">
      <c r="A121" s="1172" t="s">
        <v>104</v>
      </c>
      <c r="B121" s="1172" t="s">
        <v>105</v>
      </c>
      <c r="C121" s="1269">
        <v>14286491</v>
      </c>
      <c r="D121" s="1269">
        <v>14372511</v>
      </c>
      <c r="E121" s="1181">
        <f t="shared" ref="E121:F121" si="128">E122+E124</f>
        <v>0</v>
      </c>
      <c r="F121" s="1181">
        <f t="shared" si="128"/>
        <v>0</v>
      </c>
      <c r="G121" s="1181">
        <f>G122+G124</f>
        <v>97240</v>
      </c>
      <c r="H121" s="1176">
        <f t="shared" si="76"/>
        <v>14469751</v>
      </c>
      <c r="I121" s="1181">
        <v>14372511</v>
      </c>
      <c r="J121" s="1181">
        <f t="shared" ref="J121:K121" si="129">J122+J124</f>
        <v>0</v>
      </c>
      <c r="K121" s="1181">
        <f t="shared" si="129"/>
        <v>0</v>
      </c>
      <c r="L121" s="1181">
        <f>L122+L124</f>
        <v>97240</v>
      </c>
      <c r="M121" s="1176">
        <f t="shared" si="77"/>
        <v>14469751</v>
      </c>
      <c r="N121" s="1181">
        <v>14372511</v>
      </c>
      <c r="O121" s="1181">
        <f t="shared" ref="O121:P121" si="130">O122+O124</f>
        <v>0</v>
      </c>
      <c r="P121" s="1181">
        <f t="shared" si="130"/>
        <v>0</v>
      </c>
      <c r="Q121" s="1181">
        <f>Q122+Q124</f>
        <v>97240</v>
      </c>
      <c r="R121" s="1176">
        <f t="shared" si="78"/>
        <v>14469751</v>
      </c>
    </row>
    <row r="122" spans="1:18" s="29" customFormat="1">
      <c r="A122" s="1270">
        <v>1000</v>
      </c>
      <c r="B122" s="1178" t="s">
        <v>106</v>
      </c>
      <c r="C122" s="1269">
        <v>12828199</v>
      </c>
      <c r="D122" s="1269">
        <v>12914219</v>
      </c>
      <c r="E122" s="1197"/>
      <c r="F122" s="1197"/>
      <c r="G122" s="1181">
        <f>G276+G284</f>
        <v>89240</v>
      </c>
      <c r="H122" s="1176">
        <f t="shared" si="76"/>
        <v>13003459</v>
      </c>
      <c r="I122" s="1181">
        <v>12914219</v>
      </c>
      <c r="J122" s="1197"/>
      <c r="K122" s="1197"/>
      <c r="L122" s="1181">
        <f>L276+L284</f>
        <v>89240</v>
      </c>
      <c r="M122" s="1176">
        <f t="shared" si="77"/>
        <v>13003459</v>
      </c>
      <c r="N122" s="1181">
        <v>12914219</v>
      </c>
      <c r="O122" s="1197"/>
      <c r="P122" s="1197"/>
      <c r="Q122" s="1181">
        <f>Q276+Q284</f>
        <v>89240</v>
      </c>
      <c r="R122" s="1176">
        <f t="shared" si="78"/>
        <v>13003459</v>
      </c>
    </row>
    <row r="123" spans="1:18" s="89" customFormat="1">
      <c r="A123" s="1282">
        <v>1100</v>
      </c>
      <c r="B123" s="1178" t="s">
        <v>107</v>
      </c>
      <c r="C123" s="1269">
        <v>10278083</v>
      </c>
      <c r="D123" s="1269">
        <v>10278083</v>
      </c>
      <c r="E123" s="1197"/>
      <c r="F123" s="1197"/>
      <c r="G123" s="1181">
        <v>0</v>
      </c>
      <c r="H123" s="1176">
        <f t="shared" si="76"/>
        <v>10278083</v>
      </c>
      <c r="I123" s="1181">
        <v>10278083</v>
      </c>
      <c r="J123" s="1197"/>
      <c r="K123" s="1197"/>
      <c r="L123" s="1181">
        <v>0</v>
      </c>
      <c r="M123" s="1176">
        <f t="shared" si="77"/>
        <v>10278083</v>
      </c>
      <c r="N123" s="1181">
        <v>10278083</v>
      </c>
      <c r="O123" s="1197"/>
      <c r="P123" s="1197"/>
      <c r="Q123" s="1181">
        <v>0</v>
      </c>
      <c r="R123" s="1176">
        <f t="shared" si="78"/>
        <v>10278083</v>
      </c>
    </row>
    <row r="124" spans="1:18" s="89" customFormat="1">
      <c r="A124" s="1270">
        <v>2000</v>
      </c>
      <c r="B124" s="1178" t="s">
        <v>108</v>
      </c>
      <c r="C124" s="1269">
        <v>1458292</v>
      </c>
      <c r="D124" s="1269">
        <v>1458292</v>
      </c>
      <c r="E124" s="1197"/>
      <c r="F124" s="1197"/>
      <c r="G124" s="1181">
        <f>G292</f>
        <v>8000</v>
      </c>
      <c r="H124" s="1176">
        <f t="shared" si="76"/>
        <v>1466292</v>
      </c>
      <c r="I124" s="1181">
        <v>1458292</v>
      </c>
      <c r="J124" s="1197"/>
      <c r="K124" s="1197"/>
      <c r="L124" s="1181">
        <f>L292</f>
        <v>8000</v>
      </c>
      <c r="M124" s="1176">
        <f t="shared" si="77"/>
        <v>1466292</v>
      </c>
      <c r="N124" s="1181">
        <v>1458292</v>
      </c>
      <c r="O124" s="1197"/>
      <c r="P124" s="1197"/>
      <c r="Q124" s="1181">
        <f>Q292</f>
        <v>8000</v>
      </c>
      <c r="R124" s="1176">
        <f t="shared" si="78"/>
        <v>1466292</v>
      </c>
    </row>
    <row r="125" spans="1:18" s="89" customFormat="1" ht="12" hidden="1" customHeight="1">
      <c r="A125" s="1283">
        <v>4000</v>
      </c>
      <c r="B125" s="1172" t="s">
        <v>132</v>
      </c>
      <c r="C125" s="1269"/>
      <c r="D125" s="1269">
        <v>0</v>
      </c>
      <c r="E125" s="1197"/>
      <c r="F125" s="1197"/>
      <c r="G125" s="1197"/>
      <c r="H125" s="1176">
        <f t="shared" si="76"/>
        <v>0</v>
      </c>
      <c r="I125" s="1181">
        <v>0</v>
      </c>
      <c r="J125" s="1197"/>
      <c r="K125" s="1197"/>
      <c r="L125" s="1197"/>
      <c r="M125" s="1176">
        <f t="shared" si="77"/>
        <v>0</v>
      </c>
      <c r="N125" s="1181">
        <v>0</v>
      </c>
      <c r="O125" s="1197"/>
      <c r="P125" s="1197"/>
      <c r="Q125" s="1197"/>
      <c r="R125" s="1176">
        <f t="shared" si="78"/>
        <v>0</v>
      </c>
    </row>
    <row r="126" spans="1:18" s="89" customFormat="1" ht="12" hidden="1" customHeight="1">
      <c r="A126" s="1283" t="s">
        <v>109</v>
      </c>
      <c r="B126" s="1172" t="s">
        <v>110</v>
      </c>
      <c r="C126" s="1269">
        <v>0</v>
      </c>
      <c r="D126" s="1269">
        <v>0</v>
      </c>
      <c r="E126" s="1181">
        <f t="shared" ref="E126:G126" si="131">E127+E128</f>
        <v>0</v>
      </c>
      <c r="F126" s="1181">
        <f t="shared" si="131"/>
        <v>0</v>
      </c>
      <c r="G126" s="1181">
        <f t="shared" si="131"/>
        <v>0</v>
      </c>
      <c r="H126" s="1176">
        <f t="shared" si="76"/>
        <v>0</v>
      </c>
      <c r="I126" s="1181">
        <v>0</v>
      </c>
      <c r="J126" s="1181">
        <f t="shared" ref="J126:L126" si="132">J127+J128</f>
        <v>0</v>
      </c>
      <c r="K126" s="1181">
        <f t="shared" si="132"/>
        <v>0</v>
      </c>
      <c r="L126" s="1181">
        <f t="shared" si="132"/>
        <v>0</v>
      </c>
      <c r="M126" s="1176">
        <f t="shared" si="77"/>
        <v>0</v>
      </c>
      <c r="N126" s="1181">
        <v>0</v>
      </c>
      <c r="O126" s="1181">
        <f t="shared" ref="O126:Q126" si="133">O127+O128</f>
        <v>0</v>
      </c>
      <c r="P126" s="1181">
        <f t="shared" si="133"/>
        <v>0</v>
      </c>
      <c r="Q126" s="1181">
        <f t="shared" si="133"/>
        <v>0</v>
      </c>
      <c r="R126" s="1176">
        <f t="shared" si="78"/>
        <v>0</v>
      </c>
    </row>
    <row r="127" spans="1:18" s="89" customFormat="1" ht="12" hidden="1" customHeight="1">
      <c r="A127" s="1270">
        <v>3000</v>
      </c>
      <c r="B127" s="1178" t="s">
        <v>111</v>
      </c>
      <c r="C127" s="1284"/>
      <c r="D127" s="1284">
        <v>0</v>
      </c>
      <c r="E127" s="1204"/>
      <c r="F127" s="1204"/>
      <c r="G127" s="1204"/>
      <c r="H127" s="1176">
        <f t="shared" si="76"/>
        <v>0</v>
      </c>
      <c r="I127" s="1203">
        <v>0</v>
      </c>
      <c r="J127" s="1204"/>
      <c r="K127" s="1204"/>
      <c r="L127" s="1204"/>
      <c r="M127" s="1176">
        <f t="shared" si="77"/>
        <v>0</v>
      </c>
      <c r="N127" s="1203">
        <v>0</v>
      </c>
      <c r="O127" s="1204"/>
      <c r="P127" s="1204"/>
      <c r="Q127" s="1204"/>
      <c r="R127" s="1176">
        <f t="shared" si="78"/>
        <v>0</v>
      </c>
    </row>
    <row r="128" spans="1:18" s="89" customFormat="1" ht="12" hidden="1" customHeight="1">
      <c r="A128" s="1270">
        <v>6000</v>
      </c>
      <c r="B128" s="1178" t="s">
        <v>112</v>
      </c>
      <c r="C128" s="287"/>
      <c r="D128" s="287">
        <v>0</v>
      </c>
      <c r="E128" s="248"/>
      <c r="F128" s="248"/>
      <c r="G128" s="248"/>
      <c r="H128" s="1176">
        <f t="shared" si="76"/>
        <v>0</v>
      </c>
      <c r="I128" s="346">
        <v>0</v>
      </c>
      <c r="J128" s="248"/>
      <c r="K128" s="248"/>
      <c r="L128" s="248"/>
      <c r="M128" s="1176">
        <f t="shared" si="77"/>
        <v>0</v>
      </c>
      <c r="N128" s="346">
        <v>0</v>
      </c>
      <c r="O128" s="248"/>
      <c r="P128" s="248"/>
      <c r="Q128" s="248"/>
      <c r="R128" s="1176">
        <f t="shared" si="78"/>
        <v>0</v>
      </c>
    </row>
    <row r="129" spans="1:18" s="89" customFormat="1" ht="24" hidden="1" customHeight="1">
      <c r="A129" s="1283" t="s">
        <v>113</v>
      </c>
      <c r="B129" s="1172" t="s">
        <v>183</v>
      </c>
      <c r="C129" s="1269">
        <v>0</v>
      </c>
      <c r="D129" s="1269">
        <v>0</v>
      </c>
      <c r="E129" s="1181">
        <f t="shared" ref="E129:G129" si="134">E130+E131</f>
        <v>0</v>
      </c>
      <c r="F129" s="1181">
        <f t="shared" si="134"/>
        <v>0</v>
      </c>
      <c r="G129" s="1181">
        <f t="shared" si="134"/>
        <v>0</v>
      </c>
      <c r="H129" s="1176">
        <f t="shared" si="76"/>
        <v>0</v>
      </c>
      <c r="I129" s="1181">
        <v>0</v>
      </c>
      <c r="J129" s="1181">
        <f t="shared" ref="J129:L129" si="135">J130+J131</f>
        <v>0</v>
      </c>
      <c r="K129" s="1181">
        <f t="shared" si="135"/>
        <v>0</v>
      </c>
      <c r="L129" s="1181">
        <f t="shared" si="135"/>
        <v>0</v>
      </c>
      <c r="M129" s="1176">
        <f t="shared" si="77"/>
        <v>0</v>
      </c>
      <c r="N129" s="1181">
        <v>0</v>
      </c>
      <c r="O129" s="1181">
        <f t="shared" ref="O129:Q129" si="136">O130+O131</f>
        <v>0</v>
      </c>
      <c r="P129" s="1181">
        <f t="shared" si="136"/>
        <v>0</v>
      </c>
      <c r="Q129" s="1181">
        <f t="shared" si="136"/>
        <v>0</v>
      </c>
      <c r="R129" s="1176">
        <f t="shared" si="78"/>
        <v>0</v>
      </c>
    </row>
    <row r="130" spans="1:18" s="89" customFormat="1" ht="12" hidden="1" customHeight="1">
      <c r="A130" s="1270">
        <v>7600</v>
      </c>
      <c r="B130" s="1285" t="s">
        <v>184</v>
      </c>
      <c r="C130" s="1269"/>
      <c r="D130" s="1269">
        <v>0</v>
      </c>
      <c r="E130" s="1197"/>
      <c r="F130" s="1197"/>
      <c r="G130" s="1197"/>
      <c r="H130" s="1176">
        <f t="shared" si="76"/>
        <v>0</v>
      </c>
      <c r="I130" s="1181">
        <v>0</v>
      </c>
      <c r="J130" s="1197"/>
      <c r="K130" s="1197"/>
      <c r="L130" s="1197"/>
      <c r="M130" s="1176">
        <f t="shared" si="77"/>
        <v>0</v>
      </c>
      <c r="N130" s="1181">
        <v>0</v>
      </c>
      <c r="O130" s="1197"/>
      <c r="P130" s="1197"/>
      <c r="Q130" s="1197"/>
      <c r="R130" s="1176">
        <f t="shared" si="78"/>
        <v>0</v>
      </c>
    </row>
    <row r="131" spans="1:18" s="89" customFormat="1" ht="12" hidden="1" customHeight="1">
      <c r="A131" s="1270">
        <v>7700</v>
      </c>
      <c r="B131" s="1286" t="s">
        <v>114</v>
      </c>
      <c r="C131" s="1269"/>
      <c r="D131" s="1269">
        <v>0</v>
      </c>
      <c r="E131" s="1197"/>
      <c r="F131" s="1197"/>
      <c r="G131" s="1197"/>
      <c r="H131" s="1176">
        <f t="shared" si="76"/>
        <v>0</v>
      </c>
      <c r="I131" s="1181">
        <v>0</v>
      </c>
      <c r="J131" s="1197"/>
      <c r="K131" s="1197"/>
      <c r="L131" s="1197"/>
      <c r="M131" s="1176">
        <f t="shared" si="77"/>
        <v>0</v>
      </c>
      <c r="N131" s="1181">
        <v>0</v>
      </c>
      <c r="O131" s="1197"/>
      <c r="P131" s="1197"/>
      <c r="Q131" s="1197"/>
      <c r="R131" s="1176">
        <f t="shared" si="78"/>
        <v>0</v>
      </c>
    </row>
    <row r="132" spans="1:18" s="89" customFormat="1" ht="24" hidden="1" customHeight="1">
      <c r="A132" s="1283" t="s">
        <v>185</v>
      </c>
      <c r="B132" s="1172" t="s">
        <v>115</v>
      </c>
      <c r="C132" s="1269">
        <v>0</v>
      </c>
      <c r="D132" s="1269">
        <v>0</v>
      </c>
      <c r="E132" s="1181">
        <f t="shared" ref="E132:G132" si="137">E133+E139+E143+E146</f>
        <v>0</v>
      </c>
      <c r="F132" s="1181">
        <f t="shared" si="137"/>
        <v>0</v>
      </c>
      <c r="G132" s="1181">
        <f t="shared" si="137"/>
        <v>0</v>
      </c>
      <c r="H132" s="1176">
        <f t="shared" si="76"/>
        <v>0</v>
      </c>
      <c r="I132" s="1181">
        <v>0</v>
      </c>
      <c r="J132" s="1181">
        <f t="shared" ref="J132:L132" si="138">J133+J139+J143+J146</f>
        <v>0</v>
      </c>
      <c r="K132" s="1181">
        <f t="shared" si="138"/>
        <v>0</v>
      </c>
      <c r="L132" s="1181">
        <f t="shared" si="138"/>
        <v>0</v>
      </c>
      <c r="M132" s="1176">
        <f t="shared" si="77"/>
        <v>0</v>
      </c>
      <c r="N132" s="1181">
        <v>0</v>
      </c>
      <c r="O132" s="1181">
        <f t="shared" ref="O132:Q132" si="139">O133+O139+O143+O146</f>
        <v>0</v>
      </c>
      <c r="P132" s="1181">
        <f t="shared" si="139"/>
        <v>0</v>
      </c>
      <c r="Q132" s="1181">
        <f t="shared" si="139"/>
        <v>0</v>
      </c>
      <c r="R132" s="1176">
        <f t="shared" si="78"/>
        <v>0</v>
      </c>
    </row>
    <row r="133" spans="1:18" s="89" customFormat="1" ht="12" hidden="1" customHeight="1">
      <c r="A133" s="1270">
        <v>7100</v>
      </c>
      <c r="B133" s="1285" t="s">
        <v>116</v>
      </c>
      <c r="C133" s="1269">
        <v>0</v>
      </c>
      <c r="D133" s="1269">
        <v>0</v>
      </c>
      <c r="E133" s="1181">
        <f t="shared" ref="E133:G133" si="140">E134+E135</f>
        <v>0</v>
      </c>
      <c r="F133" s="1181">
        <f t="shared" si="140"/>
        <v>0</v>
      </c>
      <c r="G133" s="1181">
        <f t="shared" si="140"/>
        <v>0</v>
      </c>
      <c r="H133" s="1176">
        <f t="shared" si="76"/>
        <v>0</v>
      </c>
      <c r="I133" s="1181">
        <v>0</v>
      </c>
      <c r="J133" s="1181">
        <f t="shared" ref="J133:L133" si="141">J134+J135</f>
        <v>0</v>
      </c>
      <c r="K133" s="1181">
        <f t="shared" si="141"/>
        <v>0</v>
      </c>
      <c r="L133" s="1181">
        <f t="shared" si="141"/>
        <v>0</v>
      </c>
      <c r="M133" s="1176">
        <f t="shared" si="77"/>
        <v>0</v>
      </c>
      <c r="N133" s="1181">
        <v>0</v>
      </c>
      <c r="O133" s="1181">
        <f t="shared" ref="O133:Q133" si="142">O134+O135</f>
        <v>0</v>
      </c>
      <c r="P133" s="1181">
        <f t="shared" si="142"/>
        <v>0</v>
      </c>
      <c r="Q133" s="1181">
        <f t="shared" si="142"/>
        <v>0</v>
      </c>
      <c r="R133" s="1176">
        <f t="shared" si="78"/>
        <v>0</v>
      </c>
    </row>
    <row r="134" spans="1:18" s="89" customFormat="1" ht="24" hidden="1" customHeight="1">
      <c r="A134" s="1271" t="s">
        <v>117</v>
      </c>
      <c r="B134" s="1285" t="s">
        <v>118</v>
      </c>
      <c r="C134" s="1269"/>
      <c r="D134" s="1269">
        <v>0</v>
      </c>
      <c r="E134" s="1181"/>
      <c r="F134" s="1181"/>
      <c r="G134" s="1181"/>
      <c r="H134" s="1176">
        <f t="shared" si="76"/>
        <v>0</v>
      </c>
      <c r="I134" s="1181">
        <v>0</v>
      </c>
      <c r="J134" s="1181"/>
      <c r="K134" s="1181"/>
      <c r="L134" s="1181"/>
      <c r="M134" s="1176">
        <f t="shared" si="77"/>
        <v>0</v>
      </c>
      <c r="N134" s="1181">
        <v>0</v>
      </c>
      <c r="O134" s="1181"/>
      <c r="P134" s="1181"/>
      <c r="Q134" s="1181"/>
      <c r="R134" s="1176">
        <f t="shared" si="78"/>
        <v>0</v>
      </c>
    </row>
    <row r="135" spans="1:18" s="89" customFormat="1" ht="24" hidden="1" customHeight="1">
      <c r="A135" s="1271">
        <v>7130</v>
      </c>
      <c r="B135" s="1285" t="s">
        <v>119</v>
      </c>
      <c r="C135" s="1269">
        <v>0</v>
      </c>
      <c r="D135" s="1269">
        <v>0</v>
      </c>
      <c r="E135" s="1181">
        <f t="shared" ref="E135:G135" si="143">SUM(E136:E138)</f>
        <v>0</v>
      </c>
      <c r="F135" s="1181">
        <f t="shared" ref="F135" si="144">SUM(F136:F138)</f>
        <v>0</v>
      </c>
      <c r="G135" s="1181">
        <f t="shared" si="143"/>
        <v>0</v>
      </c>
      <c r="H135" s="1176">
        <f t="shared" si="76"/>
        <v>0</v>
      </c>
      <c r="I135" s="1181">
        <v>0</v>
      </c>
      <c r="J135" s="1181">
        <f t="shared" ref="J135:L135" si="145">SUM(J136:J138)</f>
        <v>0</v>
      </c>
      <c r="K135" s="1181">
        <f t="shared" si="145"/>
        <v>0</v>
      </c>
      <c r="L135" s="1181">
        <f t="shared" si="145"/>
        <v>0</v>
      </c>
      <c r="M135" s="1176">
        <f t="shared" si="77"/>
        <v>0</v>
      </c>
      <c r="N135" s="1181">
        <v>0</v>
      </c>
      <c r="O135" s="1181">
        <f t="shared" ref="O135:Q135" si="146">SUM(O136:O138)</f>
        <v>0</v>
      </c>
      <c r="P135" s="1181">
        <f t="shared" si="146"/>
        <v>0</v>
      </c>
      <c r="Q135" s="1181">
        <f t="shared" si="146"/>
        <v>0</v>
      </c>
      <c r="R135" s="1176">
        <f t="shared" si="78"/>
        <v>0</v>
      </c>
    </row>
    <row r="136" spans="1:18" s="89" customFormat="1" ht="36" hidden="1" customHeight="1">
      <c r="A136" s="1273">
        <v>7131</v>
      </c>
      <c r="B136" s="1285" t="s">
        <v>120</v>
      </c>
      <c r="C136" s="1269"/>
      <c r="D136" s="1269">
        <v>0</v>
      </c>
      <c r="E136" s="1181"/>
      <c r="F136" s="1181"/>
      <c r="G136" s="1181"/>
      <c r="H136" s="1176">
        <f t="shared" si="76"/>
        <v>0</v>
      </c>
      <c r="I136" s="1181">
        <v>0</v>
      </c>
      <c r="J136" s="1181"/>
      <c r="K136" s="1181"/>
      <c r="L136" s="1181"/>
      <c r="M136" s="1176">
        <f t="shared" si="77"/>
        <v>0</v>
      </c>
      <c r="N136" s="1181">
        <v>0</v>
      </c>
      <c r="O136" s="1181"/>
      <c r="P136" s="1181"/>
      <c r="Q136" s="1181"/>
      <c r="R136" s="1176">
        <f t="shared" si="78"/>
        <v>0</v>
      </c>
    </row>
    <row r="137" spans="1:18" s="29" customFormat="1" ht="36" hidden="1" customHeight="1">
      <c r="A137" s="1273">
        <v>7132</v>
      </c>
      <c r="B137" s="1285" t="s">
        <v>121</v>
      </c>
      <c r="C137" s="1269"/>
      <c r="D137" s="1269">
        <v>0</v>
      </c>
      <c r="E137" s="1181"/>
      <c r="F137" s="1181"/>
      <c r="G137" s="1181"/>
      <c r="H137" s="1176">
        <f t="shared" si="76"/>
        <v>0</v>
      </c>
      <c r="I137" s="1181">
        <v>0</v>
      </c>
      <c r="J137" s="1181"/>
      <c r="K137" s="1181"/>
      <c r="L137" s="1181"/>
      <c r="M137" s="1176">
        <f t="shared" si="77"/>
        <v>0</v>
      </c>
      <c r="N137" s="1181">
        <v>0</v>
      </c>
      <c r="O137" s="1181"/>
      <c r="P137" s="1181"/>
      <c r="Q137" s="1181"/>
      <c r="R137" s="1176">
        <f t="shared" si="78"/>
        <v>0</v>
      </c>
    </row>
    <row r="138" spans="1:18" s="29" customFormat="1" ht="24" hidden="1" customHeight="1">
      <c r="A138" s="1273" t="s">
        <v>186</v>
      </c>
      <c r="B138" s="1285" t="s">
        <v>187</v>
      </c>
      <c r="C138" s="1269"/>
      <c r="D138" s="1269">
        <v>0</v>
      </c>
      <c r="E138" s="1181"/>
      <c r="F138" s="1181"/>
      <c r="G138" s="1181"/>
      <c r="H138" s="1176">
        <f t="shared" ref="H138:H201" si="147">SUM(D138:G138)</f>
        <v>0</v>
      </c>
      <c r="I138" s="1181">
        <v>0</v>
      </c>
      <c r="J138" s="1181"/>
      <c r="K138" s="1181"/>
      <c r="L138" s="1181"/>
      <c r="M138" s="1176">
        <f t="shared" ref="M138:M201" si="148">SUM(I138:L138)</f>
        <v>0</v>
      </c>
      <c r="N138" s="1181">
        <v>0</v>
      </c>
      <c r="O138" s="1181"/>
      <c r="P138" s="1181"/>
      <c r="Q138" s="1181"/>
      <c r="R138" s="1176">
        <f t="shared" ref="R138:R201" si="149">SUM(N138:Q138)</f>
        <v>0</v>
      </c>
    </row>
    <row r="139" spans="1:18" s="29" customFormat="1" ht="24" hidden="1" customHeight="1">
      <c r="A139" s="1270">
        <v>7300</v>
      </c>
      <c r="B139" s="1272" t="s">
        <v>155</v>
      </c>
      <c r="C139" s="1269">
        <v>0</v>
      </c>
      <c r="D139" s="1269">
        <v>0</v>
      </c>
      <c r="E139" s="1181">
        <f t="shared" ref="E139:G139" si="150">SUM(E140:E142)</f>
        <v>0</v>
      </c>
      <c r="F139" s="1181">
        <f t="shared" si="150"/>
        <v>0</v>
      </c>
      <c r="G139" s="1181">
        <f t="shared" si="150"/>
        <v>0</v>
      </c>
      <c r="H139" s="1176">
        <f t="shared" si="147"/>
        <v>0</v>
      </c>
      <c r="I139" s="1181">
        <v>0</v>
      </c>
      <c r="J139" s="1181">
        <f t="shared" ref="J139:L139" si="151">SUM(J140:J142)</f>
        <v>0</v>
      </c>
      <c r="K139" s="1181">
        <f t="shared" si="151"/>
        <v>0</v>
      </c>
      <c r="L139" s="1181">
        <f t="shared" si="151"/>
        <v>0</v>
      </c>
      <c r="M139" s="1176">
        <f t="shared" si="148"/>
        <v>0</v>
      </c>
      <c r="N139" s="1181">
        <v>0</v>
      </c>
      <c r="O139" s="1181">
        <f t="shared" ref="O139:Q139" si="152">SUM(O140:O142)</f>
        <v>0</v>
      </c>
      <c r="P139" s="1181">
        <f t="shared" si="152"/>
        <v>0</v>
      </c>
      <c r="Q139" s="1181">
        <f t="shared" si="152"/>
        <v>0</v>
      </c>
      <c r="R139" s="1176">
        <f t="shared" si="149"/>
        <v>0</v>
      </c>
    </row>
    <row r="140" spans="1:18" s="4" customFormat="1" ht="24" hidden="1" customHeight="1">
      <c r="A140" s="1271" t="s">
        <v>188</v>
      </c>
      <c r="B140" s="1285" t="s">
        <v>170</v>
      </c>
      <c r="C140" s="1287"/>
      <c r="D140" s="1287">
        <v>0</v>
      </c>
      <c r="E140" s="1209"/>
      <c r="F140" s="1209"/>
      <c r="G140" s="1209"/>
      <c r="H140" s="1176">
        <f t="shared" si="147"/>
        <v>0</v>
      </c>
      <c r="I140" s="1209">
        <v>0</v>
      </c>
      <c r="J140" s="1209"/>
      <c r="K140" s="1209"/>
      <c r="L140" s="1209"/>
      <c r="M140" s="1176">
        <f t="shared" si="148"/>
        <v>0</v>
      </c>
      <c r="N140" s="1209">
        <v>0</v>
      </c>
      <c r="O140" s="1209"/>
      <c r="P140" s="1209"/>
      <c r="Q140" s="1209"/>
      <c r="R140" s="1176">
        <f t="shared" si="149"/>
        <v>0</v>
      </c>
    </row>
    <row r="141" spans="1:18" ht="48" hidden="1" customHeight="1">
      <c r="A141" s="1271" t="s">
        <v>189</v>
      </c>
      <c r="B141" s="1285" t="s">
        <v>156</v>
      </c>
      <c r="C141" s="1287"/>
      <c r="D141" s="1287">
        <v>0</v>
      </c>
      <c r="E141" s="1209"/>
      <c r="F141" s="1209"/>
      <c r="G141" s="1209"/>
      <c r="H141" s="1176">
        <f t="shared" si="147"/>
        <v>0</v>
      </c>
      <c r="I141" s="1209">
        <v>0</v>
      </c>
      <c r="J141" s="1209"/>
      <c r="K141" s="1209"/>
      <c r="L141" s="1209"/>
      <c r="M141" s="1176">
        <f t="shared" si="148"/>
        <v>0</v>
      </c>
      <c r="N141" s="1209">
        <v>0</v>
      </c>
      <c r="O141" s="1209"/>
      <c r="P141" s="1209"/>
      <c r="Q141" s="1209"/>
      <c r="R141" s="1176">
        <f t="shared" si="149"/>
        <v>0</v>
      </c>
    </row>
    <row r="142" spans="1:18" ht="36" hidden="1" customHeight="1">
      <c r="A142" s="1271">
        <v>7350</v>
      </c>
      <c r="B142" s="1285" t="s">
        <v>163</v>
      </c>
      <c r="C142" s="1287"/>
      <c r="D142" s="1287">
        <v>0</v>
      </c>
      <c r="E142" s="1209"/>
      <c r="F142" s="1209"/>
      <c r="G142" s="1209"/>
      <c r="H142" s="1176">
        <f t="shared" si="147"/>
        <v>0</v>
      </c>
      <c r="I142" s="1209">
        <v>0</v>
      </c>
      <c r="J142" s="1209"/>
      <c r="K142" s="1209"/>
      <c r="L142" s="1209"/>
      <c r="M142" s="1176">
        <f t="shared" si="148"/>
        <v>0</v>
      </c>
      <c r="N142" s="1209">
        <v>0</v>
      </c>
      <c r="O142" s="1209"/>
      <c r="P142" s="1209"/>
      <c r="Q142" s="1209"/>
      <c r="R142" s="1176">
        <f t="shared" si="149"/>
        <v>0</v>
      </c>
    </row>
    <row r="143" spans="1:18" ht="24" hidden="1" customHeight="1">
      <c r="A143" s="1270">
        <v>7400</v>
      </c>
      <c r="B143" s="1272" t="s">
        <v>161</v>
      </c>
      <c r="C143" s="1269">
        <v>0</v>
      </c>
      <c r="D143" s="1269">
        <v>0</v>
      </c>
      <c r="E143" s="1181">
        <f t="shared" ref="E143:G143" si="153">SUM(E144:E145)</f>
        <v>0</v>
      </c>
      <c r="F143" s="1181">
        <f t="shared" si="153"/>
        <v>0</v>
      </c>
      <c r="G143" s="1181">
        <f t="shared" si="153"/>
        <v>0</v>
      </c>
      <c r="H143" s="1176">
        <f t="shared" si="147"/>
        <v>0</v>
      </c>
      <c r="I143" s="1181">
        <v>0</v>
      </c>
      <c r="J143" s="1181">
        <f t="shared" ref="J143:L143" si="154">SUM(J144:J145)</f>
        <v>0</v>
      </c>
      <c r="K143" s="1181">
        <f t="shared" si="154"/>
        <v>0</v>
      </c>
      <c r="L143" s="1181">
        <f t="shared" si="154"/>
        <v>0</v>
      </c>
      <c r="M143" s="1176">
        <f t="shared" si="148"/>
        <v>0</v>
      </c>
      <c r="N143" s="1181">
        <v>0</v>
      </c>
      <c r="O143" s="1181">
        <f t="shared" ref="O143:Q143" si="155">SUM(O144:O145)</f>
        <v>0</v>
      </c>
      <c r="P143" s="1181">
        <f t="shared" si="155"/>
        <v>0</v>
      </c>
      <c r="Q143" s="1181">
        <f t="shared" si="155"/>
        <v>0</v>
      </c>
      <c r="R143" s="1176">
        <f t="shared" si="149"/>
        <v>0</v>
      </c>
    </row>
    <row r="144" spans="1:18" ht="24" hidden="1" customHeight="1">
      <c r="A144" s="1271">
        <v>7460</v>
      </c>
      <c r="B144" s="1272" t="s">
        <v>162</v>
      </c>
      <c r="C144" s="1287"/>
      <c r="D144" s="1287">
        <v>0</v>
      </c>
      <c r="E144" s="1209"/>
      <c r="F144" s="1209"/>
      <c r="G144" s="1209"/>
      <c r="H144" s="1176">
        <f t="shared" si="147"/>
        <v>0</v>
      </c>
      <c r="I144" s="1209">
        <v>0</v>
      </c>
      <c r="J144" s="1209"/>
      <c r="K144" s="1209"/>
      <c r="L144" s="1209"/>
      <c r="M144" s="1176">
        <f t="shared" si="148"/>
        <v>0</v>
      </c>
      <c r="N144" s="1209">
        <v>0</v>
      </c>
      <c r="O144" s="1209"/>
      <c r="P144" s="1209"/>
      <c r="Q144" s="1209"/>
      <c r="R144" s="1176">
        <f t="shared" si="149"/>
        <v>0</v>
      </c>
    </row>
    <row r="145" spans="1:18" ht="48" hidden="1" customHeight="1">
      <c r="A145" s="1271">
        <v>7470</v>
      </c>
      <c r="B145" s="1285" t="s">
        <v>167</v>
      </c>
      <c r="C145" s="1287"/>
      <c r="D145" s="1287">
        <v>0</v>
      </c>
      <c r="E145" s="1209"/>
      <c r="F145" s="1209"/>
      <c r="G145" s="1209"/>
      <c r="H145" s="1176">
        <f t="shared" si="147"/>
        <v>0</v>
      </c>
      <c r="I145" s="1209">
        <v>0</v>
      </c>
      <c r="J145" s="1209"/>
      <c r="K145" s="1209"/>
      <c r="L145" s="1209"/>
      <c r="M145" s="1176">
        <f t="shared" si="148"/>
        <v>0</v>
      </c>
      <c r="N145" s="1209">
        <v>0</v>
      </c>
      <c r="O145" s="1209"/>
      <c r="P145" s="1209"/>
      <c r="Q145" s="1209"/>
      <c r="R145" s="1176">
        <f t="shared" si="149"/>
        <v>0</v>
      </c>
    </row>
    <row r="146" spans="1:18" ht="24" hidden="1" customHeight="1">
      <c r="A146" s="1270">
        <v>7500</v>
      </c>
      <c r="B146" s="1285" t="s">
        <v>157</v>
      </c>
      <c r="C146" s="1269"/>
      <c r="D146" s="1269">
        <v>0</v>
      </c>
      <c r="E146" s="1181"/>
      <c r="F146" s="1181"/>
      <c r="G146" s="1181"/>
      <c r="H146" s="1176">
        <f t="shared" si="147"/>
        <v>0</v>
      </c>
      <c r="I146" s="1181">
        <v>0</v>
      </c>
      <c r="J146" s="1181"/>
      <c r="K146" s="1181"/>
      <c r="L146" s="1181"/>
      <c r="M146" s="1176">
        <f t="shared" si="148"/>
        <v>0</v>
      </c>
      <c r="N146" s="1181">
        <v>0</v>
      </c>
      <c r="O146" s="1181"/>
      <c r="P146" s="1181"/>
      <c r="Q146" s="1181"/>
      <c r="R146" s="1176">
        <f t="shared" si="149"/>
        <v>0</v>
      </c>
    </row>
    <row r="147" spans="1:18" s="4" customFormat="1">
      <c r="A147" s="1283" t="s">
        <v>133</v>
      </c>
      <c r="B147" s="1172" t="s">
        <v>122</v>
      </c>
      <c r="C147" s="1288">
        <v>47643</v>
      </c>
      <c r="D147" s="1288">
        <v>47643</v>
      </c>
      <c r="E147" s="1212">
        <f t="shared" ref="E147:G147" si="156">E148+E149</f>
        <v>0</v>
      </c>
      <c r="F147" s="1212">
        <f t="shared" si="156"/>
        <v>0</v>
      </c>
      <c r="G147" s="1212">
        <f t="shared" si="156"/>
        <v>0</v>
      </c>
      <c r="H147" s="1176">
        <f t="shared" si="147"/>
        <v>47643</v>
      </c>
      <c r="I147" s="1212">
        <v>47643</v>
      </c>
      <c r="J147" s="1212">
        <f t="shared" ref="J147:L147" si="157">J148+J149</f>
        <v>0</v>
      </c>
      <c r="K147" s="1212">
        <f t="shared" si="157"/>
        <v>0</v>
      </c>
      <c r="L147" s="1212">
        <f t="shared" si="157"/>
        <v>0</v>
      </c>
      <c r="M147" s="1176">
        <f t="shared" si="148"/>
        <v>47643</v>
      </c>
      <c r="N147" s="1212">
        <v>47643</v>
      </c>
      <c r="O147" s="1212">
        <f t="shared" ref="O147:Q147" si="158">O148+O149</f>
        <v>0</v>
      </c>
      <c r="P147" s="1212">
        <f t="shared" si="158"/>
        <v>0</v>
      </c>
      <c r="Q147" s="1212">
        <f t="shared" si="158"/>
        <v>0</v>
      </c>
      <c r="R147" s="1176">
        <f t="shared" si="149"/>
        <v>47643</v>
      </c>
    </row>
    <row r="148" spans="1:18" s="6" customFormat="1">
      <c r="A148" s="1283">
        <v>5000</v>
      </c>
      <c r="B148" s="1172" t="s">
        <v>123</v>
      </c>
      <c r="C148" s="1269">
        <v>47643</v>
      </c>
      <c r="D148" s="1269">
        <v>47643</v>
      </c>
      <c r="E148" s="1197"/>
      <c r="F148" s="1197"/>
      <c r="G148" s="1197"/>
      <c r="H148" s="1176">
        <f t="shared" si="147"/>
        <v>47643</v>
      </c>
      <c r="I148" s="1181">
        <v>47643</v>
      </c>
      <c r="J148" s="1197"/>
      <c r="K148" s="1197"/>
      <c r="L148" s="1197"/>
      <c r="M148" s="1176">
        <f t="shared" si="148"/>
        <v>47643</v>
      </c>
      <c r="N148" s="1181">
        <v>47643</v>
      </c>
      <c r="O148" s="1197"/>
      <c r="P148" s="1197"/>
      <c r="Q148" s="1197"/>
      <c r="R148" s="1176">
        <f t="shared" si="149"/>
        <v>47643</v>
      </c>
    </row>
    <row r="149" spans="1:18" s="6" customFormat="1" ht="12" hidden="1" customHeight="1">
      <c r="A149" s="771">
        <v>9000</v>
      </c>
      <c r="B149" s="772" t="s">
        <v>164</v>
      </c>
      <c r="C149" s="287">
        <v>0</v>
      </c>
      <c r="D149" s="287">
        <v>0</v>
      </c>
      <c r="E149" s="346">
        <f t="shared" ref="E149:G149" si="159">E150+E156+E160+E163</f>
        <v>0</v>
      </c>
      <c r="F149" s="346">
        <f t="shared" si="159"/>
        <v>0</v>
      </c>
      <c r="G149" s="346">
        <f t="shared" si="159"/>
        <v>0</v>
      </c>
      <c r="H149" s="247">
        <f t="shared" si="147"/>
        <v>0</v>
      </c>
      <c r="I149" s="346">
        <v>0</v>
      </c>
      <c r="J149" s="346">
        <f t="shared" ref="J149:L149" si="160">J150+J156+J160+J163</f>
        <v>0</v>
      </c>
      <c r="K149" s="346">
        <f t="shared" si="160"/>
        <v>0</v>
      </c>
      <c r="L149" s="346">
        <f t="shared" si="160"/>
        <v>0</v>
      </c>
      <c r="M149" s="247">
        <f t="shared" si="148"/>
        <v>0</v>
      </c>
      <c r="N149" s="346">
        <v>0</v>
      </c>
      <c r="O149" s="346">
        <f t="shared" ref="O149:Q149" si="161">O150+O156+O160+O163</f>
        <v>0</v>
      </c>
      <c r="P149" s="346">
        <f t="shared" si="161"/>
        <v>0</v>
      </c>
      <c r="Q149" s="346">
        <f t="shared" si="161"/>
        <v>0</v>
      </c>
      <c r="R149" s="247">
        <f t="shared" si="149"/>
        <v>0</v>
      </c>
    </row>
    <row r="150" spans="1:18" s="6" customFormat="1" ht="12" hidden="1" customHeight="1">
      <c r="A150" s="126">
        <v>9100</v>
      </c>
      <c r="B150" s="179" t="s">
        <v>124</v>
      </c>
      <c r="C150" s="171">
        <v>0</v>
      </c>
      <c r="D150" s="171">
        <v>0</v>
      </c>
      <c r="E150" s="233">
        <f t="shared" ref="E150:G150" si="162">SUM(E151:E152)</f>
        <v>0</v>
      </c>
      <c r="F150" s="233">
        <f t="shared" ref="F150" si="163">SUM(F151:F152)</f>
        <v>0</v>
      </c>
      <c r="G150" s="233">
        <f t="shared" si="162"/>
        <v>0</v>
      </c>
      <c r="H150" s="232">
        <f t="shared" si="147"/>
        <v>0</v>
      </c>
      <c r="I150" s="233">
        <v>0</v>
      </c>
      <c r="J150" s="233">
        <f t="shared" ref="J150:L150" si="164">SUM(J151:J152)</f>
        <v>0</v>
      </c>
      <c r="K150" s="233">
        <f t="shared" si="164"/>
        <v>0</v>
      </c>
      <c r="L150" s="233">
        <f t="shared" si="164"/>
        <v>0</v>
      </c>
      <c r="M150" s="232">
        <f t="shared" si="148"/>
        <v>0</v>
      </c>
      <c r="N150" s="233">
        <v>0</v>
      </c>
      <c r="O150" s="233">
        <f t="shared" ref="O150:Q150" si="165">SUM(O151:O152)</f>
        <v>0</v>
      </c>
      <c r="P150" s="233">
        <f t="shared" si="165"/>
        <v>0</v>
      </c>
      <c r="Q150" s="233">
        <f t="shared" si="165"/>
        <v>0</v>
      </c>
      <c r="R150" s="232">
        <f t="shared" si="149"/>
        <v>0</v>
      </c>
    </row>
    <row r="151" spans="1:18" s="6" customFormat="1" ht="24" hidden="1" customHeight="1">
      <c r="A151" s="277" t="s">
        <v>125</v>
      </c>
      <c r="B151" s="179" t="s">
        <v>214</v>
      </c>
      <c r="C151" s="171"/>
      <c r="D151" s="171">
        <v>0</v>
      </c>
      <c r="E151" s="233"/>
      <c r="F151" s="233"/>
      <c r="G151" s="233"/>
      <c r="H151" s="232">
        <f t="shared" si="147"/>
        <v>0</v>
      </c>
      <c r="I151" s="233">
        <v>0</v>
      </c>
      <c r="J151" s="233"/>
      <c r="K151" s="233"/>
      <c r="L151" s="233"/>
      <c r="M151" s="232">
        <f t="shared" si="148"/>
        <v>0</v>
      </c>
      <c r="N151" s="233">
        <v>0</v>
      </c>
      <c r="O151" s="233"/>
      <c r="P151" s="233"/>
      <c r="Q151" s="233"/>
      <c r="R151" s="232">
        <f t="shared" si="149"/>
        <v>0</v>
      </c>
    </row>
    <row r="152" spans="1:18" s="6" customFormat="1" ht="24" hidden="1" customHeight="1">
      <c r="A152" s="277">
        <v>9140</v>
      </c>
      <c r="B152" s="179" t="s">
        <v>215</v>
      </c>
      <c r="C152" s="171">
        <v>0</v>
      </c>
      <c r="D152" s="171">
        <v>0</v>
      </c>
      <c r="E152" s="233">
        <f t="shared" ref="E152:G152" si="166">SUM(E153:E155)</f>
        <v>0</v>
      </c>
      <c r="F152" s="233">
        <f t="shared" si="166"/>
        <v>0</v>
      </c>
      <c r="G152" s="233">
        <f t="shared" si="166"/>
        <v>0</v>
      </c>
      <c r="H152" s="232">
        <f t="shared" si="147"/>
        <v>0</v>
      </c>
      <c r="I152" s="233">
        <v>0</v>
      </c>
      <c r="J152" s="233">
        <f t="shared" ref="J152:L152" si="167">SUM(J153:J155)</f>
        <v>0</v>
      </c>
      <c r="K152" s="233">
        <f t="shared" si="167"/>
        <v>0</v>
      </c>
      <c r="L152" s="233">
        <f t="shared" si="167"/>
        <v>0</v>
      </c>
      <c r="M152" s="232">
        <f t="shared" si="148"/>
        <v>0</v>
      </c>
      <c r="N152" s="233">
        <v>0</v>
      </c>
      <c r="O152" s="233">
        <f t="shared" ref="O152:Q152" si="168">SUM(O153:O155)</f>
        <v>0</v>
      </c>
      <c r="P152" s="233">
        <f t="shared" si="168"/>
        <v>0</v>
      </c>
      <c r="Q152" s="233">
        <f t="shared" si="168"/>
        <v>0</v>
      </c>
      <c r="R152" s="232">
        <f t="shared" si="149"/>
        <v>0</v>
      </c>
    </row>
    <row r="153" spans="1:18" s="6" customFormat="1" ht="36" hidden="1" customHeight="1">
      <c r="A153" s="278">
        <v>9141</v>
      </c>
      <c r="B153" s="172" t="s">
        <v>190</v>
      </c>
      <c r="C153" s="180"/>
      <c r="D153" s="180">
        <v>0</v>
      </c>
      <c r="E153" s="252"/>
      <c r="F153" s="252"/>
      <c r="G153" s="252"/>
      <c r="H153" s="232">
        <f t="shared" si="147"/>
        <v>0</v>
      </c>
      <c r="I153" s="252">
        <v>0</v>
      </c>
      <c r="J153" s="252"/>
      <c r="K153" s="252"/>
      <c r="L153" s="252"/>
      <c r="M153" s="232">
        <f t="shared" si="148"/>
        <v>0</v>
      </c>
      <c r="N153" s="252">
        <v>0</v>
      </c>
      <c r="O153" s="252"/>
      <c r="P153" s="252"/>
      <c r="Q153" s="252"/>
      <c r="R153" s="232">
        <f t="shared" si="149"/>
        <v>0</v>
      </c>
    </row>
    <row r="154" spans="1:18" s="6" customFormat="1" ht="36" hidden="1" customHeight="1">
      <c r="A154" s="278">
        <v>9142</v>
      </c>
      <c r="B154" s="172" t="s">
        <v>191</v>
      </c>
      <c r="C154" s="180"/>
      <c r="D154" s="180">
        <v>0</v>
      </c>
      <c r="E154" s="252"/>
      <c r="F154" s="252"/>
      <c r="G154" s="252"/>
      <c r="H154" s="232">
        <f t="shared" si="147"/>
        <v>0</v>
      </c>
      <c r="I154" s="252">
        <v>0</v>
      </c>
      <c r="J154" s="252"/>
      <c r="K154" s="252"/>
      <c r="L154" s="252"/>
      <c r="M154" s="232">
        <f t="shared" si="148"/>
        <v>0</v>
      </c>
      <c r="N154" s="252">
        <v>0</v>
      </c>
      <c r="O154" s="252"/>
      <c r="P154" s="252"/>
      <c r="Q154" s="252"/>
      <c r="R154" s="232">
        <f t="shared" si="149"/>
        <v>0</v>
      </c>
    </row>
    <row r="155" spans="1:18" s="6" customFormat="1" ht="24" hidden="1" customHeight="1">
      <c r="A155" s="278">
        <v>9149</v>
      </c>
      <c r="B155" s="172" t="s">
        <v>192</v>
      </c>
      <c r="C155" s="180"/>
      <c r="D155" s="180">
        <v>0</v>
      </c>
      <c r="E155" s="252"/>
      <c r="F155" s="252"/>
      <c r="G155" s="252"/>
      <c r="H155" s="232">
        <f t="shared" si="147"/>
        <v>0</v>
      </c>
      <c r="I155" s="252">
        <v>0</v>
      </c>
      <c r="J155" s="252"/>
      <c r="K155" s="252"/>
      <c r="L155" s="252"/>
      <c r="M155" s="232">
        <f t="shared" si="148"/>
        <v>0</v>
      </c>
      <c r="N155" s="252">
        <v>0</v>
      </c>
      <c r="O155" s="252"/>
      <c r="P155" s="252"/>
      <c r="Q155" s="252"/>
      <c r="R155" s="232">
        <f t="shared" si="149"/>
        <v>0</v>
      </c>
    </row>
    <row r="156" spans="1:18" s="6" customFormat="1" ht="24" hidden="1" customHeight="1">
      <c r="A156" s="126">
        <v>9500</v>
      </c>
      <c r="B156" s="172" t="s">
        <v>165</v>
      </c>
      <c r="C156" s="171">
        <v>0</v>
      </c>
      <c r="D156" s="171">
        <v>0</v>
      </c>
      <c r="E156" s="233">
        <f t="shared" ref="E156:G156" si="169">SUM(E157:E159)</f>
        <v>0</v>
      </c>
      <c r="F156" s="233">
        <f t="shared" si="169"/>
        <v>0</v>
      </c>
      <c r="G156" s="233">
        <f t="shared" si="169"/>
        <v>0</v>
      </c>
      <c r="H156" s="232">
        <f t="shared" si="147"/>
        <v>0</v>
      </c>
      <c r="I156" s="233">
        <v>0</v>
      </c>
      <c r="J156" s="233">
        <f t="shared" ref="J156:L156" si="170">SUM(J157:J159)</f>
        <v>0</v>
      </c>
      <c r="K156" s="233">
        <f t="shared" si="170"/>
        <v>0</v>
      </c>
      <c r="L156" s="233">
        <f t="shared" si="170"/>
        <v>0</v>
      </c>
      <c r="M156" s="232">
        <f t="shared" si="148"/>
        <v>0</v>
      </c>
      <c r="N156" s="233">
        <v>0</v>
      </c>
      <c r="O156" s="233">
        <f t="shared" ref="O156:Q156" si="171">SUM(O157:O159)</f>
        <v>0</v>
      </c>
      <c r="P156" s="233">
        <f t="shared" si="171"/>
        <v>0</v>
      </c>
      <c r="Q156" s="233">
        <f t="shared" si="171"/>
        <v>0</v>
      </c>
      <c r="R156" s="232">
        <f t="shared" si="149"/>
        <v>0</v>
      </c>
    </row>
    <row r="157" spans="1:18" s="6" customFormat="1" ht="24" hidden="1" customHeight="1">
      <c r="A157" s="277" t="s">
        <v>193</v>
      </c>
      <c r="B157" s="172" t="s">
        <v>171</v>
      </c>
      <c r="C157" s="171"/>
      <c r="D157" s="171">
        <v>0</v>
      </c>
      <c r="E157" s="233"/>
      <c r="F157" s="233"/>
      <c r="G157" s="233"/>
      <c r="H157" s="232">
        <f t="shared" si="147"/>
        <v>0</v>
      </c>
      <c r="I157" s="233">
        <v>0</v>
      </c>
      <c r="J157" s="233"/>
      <c r="K157" s="233"/>
      <c r="L157" s="233"/>
      <c r="M157" s="232">
        <f t="shared" si="148"/>
        <v>0</v>
      </c>
      <c r="N157" s="233">
        <v>0</v>
      </c>
      <c r="O157" s="233"/>
      <c r="P157" s="233"/>
      <c r="Q157" s="233"/>
      <c r="R157" s="232">
        <f t="shared" si="149"/>
        <v>0</v>
      </c>
    </row>
    <row r="158" spans="1:18" s="6" customFormat="1" ht="48" hidden="1" customHeight="1">
      <c r="A158" s="277">
        <v>9580</v>
      </c>
      <c r="B158" s="172" t="s">
        <v>166</v>
      </c>
      <c r="C158" s="180"/>
      <c r="D158" s="180">
        <v>0</v>
      </c>
      <c r="E158" s="252"/>
      <c r="F158" s="252"/>
      <c r="G158" s="252"/>
      <c r="H158" s="232">
        <f t="shared" si="147"/>
        <v>0</v>
      </c>
      <c r="I158" s="252">
        <v>0</v>
      </c>
      <c r="J158" s="252"/>
      <c r="K158" s="252"/>
      <c r="L158" s="252"/>
      <c r="M158" s="232">
        <f t="shared" si="148"/>
        <v>0</v>
      </c>
      <c r="N158" s="252">
        <v>0</v>
      </c>
      <c r="O158" s="252"/>
      <c r="P158" s="252"/>
      <c r="Q158" s="252"/>
      <c r="R158" s="232">
        <f t="shared" si="149"/>
        <v>0</v>
      </c>
    </row>
    <row r="159" spans="1:18" s="6" customFormat="1" ht="48" hidden="1" customHeight="1">
      <c r="A159" s="277">
        <v>9590</v>
      </c>
      <c r="B159" s="179" t="s">
        <v>172</v>
      </c>
      <c r="C159" s="180"/>
      <c r="D159" s="180">
        <v>0</v>
      </c>
      <c r="E159" s="252"/>
      <c r="F159" s="252"/>
      <c r="G159" s="252"/>
      <c r="H159" s="232">
        <f t="shared" si="147"/>
        <v>0</v>
      </c>
      <c r="I159" s="252">
        <v>0</v>
      </c>
      <c r="J159" s="252"/>
      <c r="K159" s="252"/>
      <c r="L159" s="252"/>
      <c r="M159" s="232">
        <f t="shared" si="148"/>
        <v>0</v>
      </c>
      <c r="N159" s="252">
        <v>0</v>
      </c>
      <c r="O159" s="252"/>
      <c r="P159" s="252"/>
      <c r="Q159" s="252"/>
      <c r="R159" s="232">
        <f t="shared" si="149"/>
        <v>0</v>
      </c>
    </row>
    <row r="160" spans="1:18" s="6" customFormat="1" ht="24" hidden="1" customHeight="1">
      <c r="A160" s="126">
        <v>9700</v>
      </c>
      <c r="B160" s="183" t="s">
        <v>194</v>
      </c>
      <c r="C160" s="171">
        <v>0</v>
      </c>
      <c r="D160" s="171">
        <v>0</v>
      </c>
      <c r="E160" s="233">
        <f t="shared" ref="E160:G160" si="172">SUM(E161:E162)</f>
        <v>0</v>
      </c>
      <c r="F160" s="233">
        <f t="shared" si="172"/>
        <v>0</v>
      </c>
      <c r="G160" s="233">
        <f t="shared" si="172"/>
        <v>0</v>
      </c>
      <c r="H160" s="232">
        <f t="shared" si="147"/>
        <v>0</v>
      </c>
      <c r="I160" s="233">
        <v>0</v>
      </c>
      <c r="J160" s="233">
        <f t="shared" ref="J160:L160" si="173">SUM(J161:J162)</f>
        <v>0</v>
      </c>
      <c r="K160" s="233">
        <f t="shared" si="173"/>
        <v>0</v>
      </c>
      <c r="L160" s="233">
        <f t="shared" si="173"/>
        <v>0</v>
      </c>
      <c r="M160" s="232">
        <f t="shared" si="148"/>
        <v>0</v>
      </c>
      <c r="N160" s="233">
        <v>0</v>
      </c>
      <c r="O160" s="233">
        <f t="shared" ref="O160:Q160" si="174">SUM(O161:O162)</f>
        <v>0</v>
      </c>
      <c r="P160" s="233">
        <f t="shared" si="174"/>
        <v>0</v>
      </c>
      <c r="Q160" s="233">
        <f t="shared" si="174"/>
        <v>0</v>
      </c>
      <c r="R160" s="232">
        <f t="shared" si="149"/>
        <v>0</v>
      </c>
    </row>
    <row r="161" spans="1:18" s="6" customFormat="1" ht="24" hidden="1" customHeight="1">
      <c r="A161" s="277">
        <v>9710</v>
      </c>
      <c r="B161" s="184" t="s">
        <v>195</v>
      </c>
      <c r="C161" s="180"/>
      <c r="D161" s="180">
        <v>0</v>
      </c>
      <c r="E161" s="252"/>
      <c r="F161" s="252"/>
      <c r="G161" s="252"/>
      <c r="H161" s="232">
        <f t="shared" si="147"/>
        <v>0</v>
      </c>
      <c r="I161" s="252">
        <v>0</v>
      </c>
      <c r="J161" s="252"/>
      <c r="K161" s="252"/>
      <c r="L161" s="252"/>
      <c r="M161" s="232">
        <f t="shared" si="148"/>
        <v>0</v>
      </c>
      <c r="N161" s="252">
        <v>0</v>
      </c>
      <c r="O161" s="252"/>
      <c r="P161" s="252"/>
      <c r="Q161" s="252"/>
      <c r="R161" s="232">
        <f t="shared" si="149"/>
        <v>0</v>
      </c>
    </row>
    <row r="162" spans="1:18" s="6" customFormat="1" ht="48" hidden="1" customHeight="1">
      <c r="A162" s="288">
        <v>9720</v>
      </c>
      <c r="B162" s="183" t="s">
        <v>196</v>
      </c>
      <c r="C162" s="180"/>
      <c r="D162" s="180">
        <v>0</v>
      </c>
      <c r="E162" s="252"/>
      <c r="F162" s="252"/>
      <c r="G162" s="252"/>
      <c r="H162" s="232">
        <f t="shared" si="147"/>
        <v>0</v>
      </c>
      <c r="I162" s="252">
        <v>0</v>
      </c>
      <c r="J162" s="252"/>
      <c r="K162" s="252"/>
      <c r="L162" s="252"/>
      <c r="M162" s="232">
        <f t="shared" si="148"/>
        <v>0</v>
      </c>
      <c r="N162" s="252">
        <v>0</v>
      </c>
      <c r="O162" s="252"/>
      <c r="P162" s="252"/>
      <c r="Q162" s="252"/>
      <c r="R162" s="232">
        <f t="shared" si="149"/>
        <v>0</v>
      </c>
    </row>
    <row r="163" spans="1:18" s="6" customFormat="1" ht="24" hidden="1" customHeight="1">
      <c r="A163" s="126">
        <v>9600</v>
      </c>
      <c r="B163" s="179" t="s">
        <v>134</v>
      </c>
      <c r="C163" s="180"/>
      <c r="D163" s="180">
        <v>0</v>
      </c>
      <c r="E163" s="252"/>
      <c r="F163" s="252"/>
      <c r="G163" s="252"/>
      <c r="H163" s="232">
        <f t="shared" si="147"/>
        <v>0</v>
      </c>
      <c r="I163" s="252">
        <v>0</v>
      </c>
      <c r="J163" s="252"/>
      <c r="K163" s="252"/>
      <c r="L163" s="252"/>
      <c r="M163" s="232">
        <f t="shared" si="148"/>
        <v>0</v>
      </c>
      <c r="N163" s="252">
        <v>0</v>
      </c>
      <c r="O163" s="252"/>
      <c r="P163" s="252"/>
      <c r="Q163" s="252"/>
      <c r="R163" s="232">
        <f t="shared" si="149"/>
        <v>0</v>
      </c>
    </row>
    <row r="164" spans="1:18" s="6" customFormat="1" ht="60" hidden="1" customHeight="1">
      <c r="A164" s="124" t="s">
        <v>197</v>
      </c>
      <c r="B164" s="185" t="s">
        <v>47</v>
      </c>
      <c r="C164" s="186"/>
      <c r="D164" s="186">
        <v>0</v>
      </c>
      <c r="E164" s="262">
        <f t="shared" ref="E164:G164" si="175">E94-E119</f>
        <v>0</v>
      </c>
      <c r="F164" s="262">
        <f t="shared" si="175"/>
        <v>0</v>
      </c>
      <c r="G164" s="262">
        <f t="shared" si="175"/>
        <v>0</v>
      </c>
      <c r="H164" s="232">
        <f t="shared" si="147"/>
        <v>0</v>
      </c>
      <c r="I164" s="262">
        <v>0</v>
      </c>
      <c r="J164" s="262">
        <f t="shared" ref="J164:L164" si="176">J94-J119</f>
        <v>0</v>
      </c>
      <c r="K164" s="262">
        <f t="shared" si="176"/>
        <v>0</v>
      </c>
      <c r="L164" s="262">
        <f t="shared" si="176"/>
        <v>0</v>
      </c>
      <c r="M164" s="232">
        <f t="shared" si="148"/>
        <v>0</v>
      </c>
      <c r="N164" s="262">
        <v>0</v>
      </c>
      <c r="O164" s="262">
        <f t="shared" ref="O164:Q164" si="177">O94-O119</f>
        <v>0</v>
      </c>
      <c r="P164" s="262">
        <f t="shared" si="177"/>
        <v>0</v>
      </c>
      <c r="Q164" s="262">
        <f t="shared" si="177"/>
        <v>0</v>
      </c>
      <c r="R164" s="232">
        <f t="shared" si="149"/>
        <v>0</v>
      </c>
    </row>
    <row r="165" spans="1:18" s="6" customFormat="1" ht="12" hidden="1" customHeight="1">
      <c r="A165" s="289" t="s">
        <v>48</v>
      </c>
      <c r="B165" s="185" t="s">
        <v>49</v>
      </c>
      <c r="C165" s="186">
        <v>0</v>
      </c>
      <c r="D165" s="186">
        <v>0</v>
      </c>
      <c r="E165" s="262">
        <f t="shared" ref="E165:G165" si="178">E166+E169+E173+E172</f>
        <v>0</v>
      </c>
      <c r="F165" s="262">
        <f t="shared" si="178"/>
        <v>0</v>
      </c>
      <c r="G165" s="262">
        <f t="shared" si="178"/>
        <v>0</v>
      </c>
      <c r="H165" s="232">
        <f t="shared" si="147"/>
        <v>0</v>
      </c>
      <c r="I165" s="262">
        <v>0</v>
      </c>
      <c r="J165" s="262">
        <f t="shared" ref="J165:L165" si="179">J166+J169+J173+J172</f>
        <v>0</v>
      </c>
      <c r="K165" s="262">
        <f t="shared" si="179"/>
        <v>0</v>
      </c>
      <c r="L165" s="262">
        <f t="shared" si="179"/>
        <v>0</v>
      </c>
      <c r="M165" s="232">
        <f t="shared" si="148"/>
        <v>0</v>
      </c>
      <c r="N165" s="262">
        <v>0</v>
      </c>
      <c r="O165" s="262">
        <f t="shared" ref="O165:Q165" si="180">O166+O169+O173+O172</f>
        <v>0</v>
      </c>
      <c r="P165" s="262">
        <f t="shared" si="180"/>
        <v>0</v>
      </c>
      <c r="Q165" s="262">
        <f t="shared" si="180"/>
        <v>0</v>
      </c>
      <c r="R165" s="232">
        <f t="shared" si="149"/>
        <v>0</v>
      </c>
    </row>
    <row r="166" spans="1:18" s="6" customFormat="1" ht="12" hidden="1" customHeight="1">
      <c r="A166" s="126" t="s">
        <v>50</v>
      </c>
      <c r="B166" s="179" t="s">
        <v>51</v>
      </c>
      <c r="C166" s="169">
        <v>0</v>
      </c>
      <c r="D166" s="169">
        <v>0</v>
      </c>
      <c r="E166" s="231">
        <f t="shared" ref="E166:G166" si="181">E167+E168</f>
        <v>0</v>
      </c>
      <c r="F166" s="231">
        <f t="shared" si="181"/>
        <v>0</v>
      </c>
      <c r="G166" s="231">
        <f t="shared" si="181"/>
        <v>0</v>
      </c>
      <c r="H166" s="232">
        <f t="shared" si="147"/>
        <v>0</v>
      </c>
      <c r="I166" s="231">
        <v>0</v>
      </c>
      <c r="J166" s="231">
        <f t="shared" ref="J166:L166" si="182">J167+J168</f>
        <v>0</v>
      </c>
      <c r="K166" s="231">
        <f t="shared" si="182"/>
        <v>0</v>
      </c>
      <c r="L166" s="231">
        <f t="shared" si="182"/>
        <v>0</v>
      </c>
      <c r="M166" s="232">
        <f t="shared" si="148"/>
        <v>0</v>
      </c>
      <c r="N166" s="231">
        <v>0</v>
      </c>
      <c r="O166" s="231">
        <f t="shared" ref="O166:Q166" si="183">O167+O168</f>
        <v>0</v>
      </c>
      <c r="P166" s="231">
        <f t="shared" si="183"/>
        <v>0</v>
      </c>
      <c r="Q166" s="231">
        <f t="shared" si="183"/>
        <v>0</v>
      </c>
      <c r="R166" s="232">
        <f t="shared" si="149"/>
        <v>0</v>
      </c>
    </row>
    <row r="167" spans="1:18" s="6" customFormat="1" ht="12" hidden="1" customHeight="1">
      <c r="A167" s="126" t="s">
        <v>52</v>
      </c>
      <c r="B167" s="179" t="s">
        <v>53</v>
      </c>
      <c r="C167" s="169"/>
      <c r="D167" s="169">
        <v>0</v>
      </c>
      <c r="E167" s="231"/>
      <c r="F167" s="231"/>
      <c r="G167" s="231"/>
      <c r="H167" s="232">
        <f t="shared" si="147"/>
        <v>0</v>
      </c>
      <c r="I167" s="231">
        <v>0</v>
      </c>
      <c r="J167" s="231"/>
      <c r="K167" s="231"/>
      <c r="L167" s="231"/>
      <c r="M167" s="232">
        <f t="shared" si="148"/>
        <v>0</v>
      </c>
      <c r="N167" s="231">
        <v>0</v>
      </c>
      <c r="O167" s="231"/>
      <c r="P167" s="231"/>
      <c r="Q167" s="231"/>
      <c r="R167" s="232">
        <f t="shared" si="149"/>
        <v>0</v>
      </c>
    </row>
    <row r="168" spans="1:18" s="6" customFormat="1" ht="12" hidden="1" customHeight="1">
      <c r="A168" s="126" t="s">
        <v>54</v>
      </c>
      <c r="B168" s="179" t="s">
        <v>55</v>
      </c>
      <c r="C168" s="169"/>
      <c r="D168" s="169">
        <v>0</v>
      </c>
      <c r="E168" s="231"/>
      <c r="F168" s="231"/>
      <c r="G168" s="231"/>
      <c r="H168" s="232">
        <f t="shared" si="147"/>
        <v>0</v>
      </c>
      <c r="I168" s="231">
        <v>0</v>
      </c>
      <c r="J168" s="231"/>
      <c r="K168" s="231"/>
      <c r="L168" s="231"/>
      <c r="M168" s="232">
        <f t="shared" si="148"/>
        <v>0</v>
      </c>
      <c r="N168" s="231">
        <v>0</v>
      </c>
      <c r="O168" s="231"/>
      <c r="P168" s="231"/>
      <c r="Q168" s="231"/>
      <c r="R168" s="232">
        <f t="shared" si="149"/>
        <v>0</v>
      </c>
    </row>
    <row r="169" spans="1:18" s="6" customFormat="1" ht="12" hidden="1" customHeight="1">
      <c r="A169" s="126" t="s">
        <v>56</v>
      </c>
      <c r="B169" s="179" t="s">
        <v>57</v>
      </c>
      <c r="C169" s="169">
        <v>0</v>
      </c>
      <c r="D169" s="169">
        <v>0</v>
      </c>
      <c r="E169" s="231">
        <f t="shared" ref="E169:G169" si="184">E170+E171</f>
        <v>0</v>
      </c>
      <c r="F169" s="231">
        <f t="shared" si="184"/>
        <v>0</v>
      </c>
      <c r="G169" s="231">
        <f t="shared" si="184"/>
        <v>0</v>
      </c>
      <c r="H169" s="232">
        <f t="shared" si="147"/>
        <v>0</v>
      </c>
      <c r="I169" s="231">
        <v>0</v>
      </c>
      <c r="J169" s="231">
        <f t="shared" ref="J169:L169" si="185">J170+J171</f>
        <v>0</v>
      </c>
      <c r="K169" s="231">
        <f t="shared" si="185"/>
        <v>0</v>
      </c>
      <c r="L169" s="231">
        <f t="shared" si="185"/>
        <v>0</v>
      </c>
      <c r="M169" s="232">
        <f t="shared" si="148"/>
        <v>0</v>
      </c>
      <c r="N169" s="231">
        <v>0</v>
      </c>
      <c r="O169" s="231">
        <f t="shared" ref="O169:Q169" si="186">O170+O171</f>
        <v>0</v>
      </c>
      <c r="P169" s="231">
        <f t="shared" si="186"/>
        <v>0</v>
      </c>
      <c r="Q169" s="231">
        <f t="shared" si="186"/>
        <v>0</v>
      </c>
      <c r="R169" s="232">
        <f t="shared" si="149"/>
        <v>0</v>
      </c>
    </row>
    <row r="170" spans="1:18" s="6" customFormat="1" ht="12" hidden="1" customHeight="1">
      <c r="A170" s="126" t="s">
        <v>58</v>
      </c>
      <c r="B170" s="179" t="s">
        <v>59</v>
      </c>
      <c r="C170" s="169"/>
      <c r="D170" s="169">
        <v>0</v>
      </c>
      <c r="E170" s="231"/>
      <c r="F170" s="231"/>
      <c r="G170" s="231"/>
      <c r="H170" s="232">
        <f t="shared" si="147"/>
        <v>0</v>
      </c>
      <c r="I170" s="231">
        <v>0</v>
      </c>
      <c r="J170" s="231"/>
      <c r="K170" s="231"/>
      <c r="L170" s="231"/>
      <c r="M170" s="232">
        <f t="shared" si="148"/>
        <v>0</v>
      </c>
      <c r="N170" s="231">
        <v>0</v>
      </c>
      <c r="O170" s="231"/>
      <c r="P170" s="231"/>
      <c r="Q170" s="231"/>
      <c r="R170" s="232">
        <f t="shared" si="149"/>
        <v>0</v>
      </c>
    </row>
    <row r="171" spans="1:18" s="6" customFormat="1" ht="12" hidden="1" customHeight="1">
      <c r="A171" s="126" t="s">
        <v>60</v>
      </c>
      <c r="B171" s="179" t="s">
        <v>61</v>
      </c>
      <c r="C171" s="169"/>
      <c r="D171" s="169">
        <v>0</v>
      </c>
      <c r="E171" s="231"/>
      <c r="F171" s="231"/>
      <c r="G171" s="231"/>
      <c r="H171" s="232">
        <f t="shared" si="147"/>
        <v>0</v>
      </c>
      <c r="I171" s="231">
        <v>0</v>
      </c>
      <c r="J171" s="231"/>
      <c r="K171" s="231"/>
      <c r="L171" s="231"/>
      <c r="M171" s="232">
        <f t="shared" si="148"/>
        <v>0</v>
      </c>
      <c r="N171" s="231">
        <v>0</v>
      </c>
      <c r="O171" s="231"/>
      <c r="P171" s="231"/>
      <c r="Q171" s="231"/>
      <c r="R171" s="232">
        <f t="shared" si="149"/>
        <v>0</v>
      </c>
    </row>
    <row r="172" spans="1:18" s="6" customFormat="1" ht="12" hidden="1" customHeight="1">
      <c r="A172" s="126" t="s">
        <v>198</v>
      </c>
      <c r="B172" s="187" t="s">
        <v>168</v>
      </c>
      <c r="C172" s="169"/>
      <c r="D172" s="169">
        <v>0</v>
      </c>
      <c r="E172" s="231"/>
      <c r="F172" s="231"/>
      <c r="G172" s="231"/>
      <c r="H172" s="232">
        <f t="shared" si="147"/>
        <v>0</v>
      </c>
      <c r="I172" s="231">
        <v>0</v>
      </c>
      <c r="J172" s="231"/>
      <c r="K172" s="231"/>
      <c r="L172" s="231"/>
      <c r="M172" s="232">
        <f t="shared" si="148"/>
        <v>0</v>
      </c>
      <c r="N172" s="231">
        <v>0</v>
      </c>
      <c r="O172" s="231"/>
      <c r="P172" s="231"/>
      <c r="Q172" s="231"/>
      <c r="R172" s="232">
        <f t="shared" si="149"/>
        <v>0</v>
      </c>
    </row>
    <row r="173" spans="1:18" s="6" customFormat="1" ht="12" hidden="1" customHeight="1">
      <c r="A173" s="290" t="s">
        <v>62</v>
      </c>
      <c r="B173" s="125" t="s">
        <v>63</v>
      </c>
      <c r="C173" s="171">
        <v>0</v>
      </c>
      <c r="D173" s="171">
        <v>0</v>
      </c>
      <c r="E173" s="233">
        <f t="shared" ref="E173:G173" si="187">E174+E175+E176</f>
        <v>0</v>
      </c>
      <c r="F173" s="233">
        <f t="shared" si="187"/>
        <v>0</v>
      </c>
      <c r="G173" s="233">
        <f t="shared" si="187"/>
        <v>0</v>
      </c>
      <c r="H173" s="232">
        <f t="shared" si="147"/>
        <v>0</v>
      </c>
      <c r="I173" s="233">
        <v>0</v>
      </c>
      <c r="J173" s="233">
        <f t="shared" ref="J173:L173" si="188">J174+J175+J176</f>
        <v>0</v>
      </c>
      <c r="K173" s="233">
        <f t="shared" si="188"/>
        <v>0</v>
      </c>
      <c r="L173" s="233">
        <f t="shared" si="188"/>
        <v>0</v>
      </c>
      <c r="M173" s="232">
        <f t="shared" si="148"/>
        <v>0</v>
      </c>
      <c r="N173" s="233">
        <v>0</v>
      </c>
      <c r="O173" s="233">
        <f t="shared" ref="O173:Q173" si="189">O174+O175+O176</f>
        <v>0</v>
      </c>
      <c r="P173" s="233">
        <f t="shared" si="189"/>
        <v>0</v>
      </c>
      <c r="Q173" s="233">
        <f t="shared" si="189"/>
        <v>0</v>
      </c>
      <c r="R173" s="232">
        <f t="shared" si="149"/>
        <v>0</v>
      </c>
    </row>
    <row r="174" spans="1:18" s="6" customFormat="1" ht="36" hidden="1" customHeight="1">
      <c r="A174" s="290" t="s">
        <v>64</v>
      </c>
      <c r="B174" s="179" t="s">
        <v>65</v>
      </c>
      <c r="C174" s="169"/>
      <c r="D174" s="169">
        <v>0</v>
      </c>
      <c r="E174" s="231"/>
      <c r="F174" s="231"/>
      <c r="G174" s="231"/>
      <c r="H174" s="232">
        <f t="shared" si="147"/>
        <v>0</v>
      </c>
      <c r="I174" s="231">
        <v>0</v>
      </c>
      <c r="J174" s="231"/>
      <c r="K174" s="231"/>
      <c r="L174" s="231"/>
      <c r="M174" s="232">
        <f t="shared" si="148"/>
        <v>0</v>
      </c>
      <c r="N174" s="231">
        <v>0</v>
      </c>
      <c r="O174" s="231"/>
      <c r="P174" s="231"/>
      <c r="Q174" s="231"/>
      <c r="R174" s="232">
        <f t="shared" si="149"/>
        <v>0</v>
      </c>
    </row>
    <row r="175" spans="1:18" s="6" customFormat="1" ht="24" hidden="1" customHeight="1">
      <c r="A175" s="290" t="s">
        <v>66</v>
      </c>
      <c r="B175" s="179" t="s">
        <v>67</v>
      </c>
      <c r="C175" s="169"/>
      <c r="D175" s="169">
        <v>0</v>
      </c>
      <c r="E175" s="231"/>
      <c r="F175" s="231"/>
      <c r="G175" s="231"/>
      <c r="H175" s="232">
        <f t="shared" si="147"/>
        <v>0</v>
      </c>
      <c r="I175" s="231">
        <v>0</v>
      </c>
      <c r="J175" s="231"/>
      <c r="K175" s="231"/>
      <c r="L175" s="231"/>
      <c r="M175" s="232">
        <f t="shared" si="148"/>
        <v>0</v>
      </c>
      <c r="N175" s="231">
        <v>0</v>
      </c>
      <c r="O175" s="231"/>
      <c r="P175" s="231"/>
      <c r="Q175" s="231"/>
      <c r="R175" s="232">
        <f t="shared" si="149"/>
        <v>0</v>
      </c>
    </row>
    <row r="176" spans="1:18" s="6" customFormat="1" ht="24" hidden="1" customHeight="1">
      <c r="A176" s="290" t="s">
        <v>68</v>
      </c>
      <c r="B176" s="125" t="s">
        <v>69</v>
      </c>
      <c r="C176" s="169"/>
      <c r="D176" s="169">
        <v>0</v>
      </c>
      <c r="E176" s="231"/>
      <c r="F176" s="231"/>
      <c r="G176" s="231"/>
      <c r="H176" s="232">
        <f t="shared" si="147"/>
        <v>0</v>
      </c>
      <c r="I176" s="231">
        <v>0</v>
      </c>
      <c r="J176" s="231"/>
      <c r="K176" s="231"/>
      <c r="L176" s="231"/>
      <c r="M176" s="232">
        <f t="shared" si="148"/>
        <v>0</v>
      </c>
      <c r="N176" s="231">
        <v>0</v>
      </c>
      <c r="O176" s="231"/>
      <c r="P176" s="231"/>
      <c r="Q176" s="231"/>
      <c r="R176" s="232">
        <f t="shared" si="149"/>
        <v>0</v>
      </c>
    </row>
    <row r="177" spans="1:18" s="6" customFormat="1" ht="34.200000000000003" hidden="1">
      <c r="A177" s="265"/>
      <c r="B177" s="266" t="s">
        <v>200</v>
      </c>
      <c r="C177" s="267"/>
      <c r="D177" s="347">
        <v>0</v>
      </c>
      <c r="E177" s="268"/>
      <c r="F177" s="268"/>
      <c r="G177" s="268"/>
      <c r="H177" s="269">
        <f t="shared" si="147"/>
        <v>0</v>
      </c>
      <c r="I177" s="347">
        <v>0</v>
      </c>
      <c r="J177" s="268"/>
      <c r="K177" s="268"/>
      <c r="L177" s="268"/>
      <c r="M177" s="269">
        <f t="shared" si="148"/>
        <v>0</v>
      </c>
      <c r="N177" s="347">
        <v>0</v>
      </c>
      <c r="O177" s="268"/>
      <c r="P177" s="268"/>
      <c r="Q177" s="268"/>
      <c r="R177" s="269">
        <f t="shared" si="149"/>
        <v>0</v>
      </c>
    </row>
    <row r="178" spans="1:18" s="6" customFormat="1" ht="20.399999999999999" hidden="1">
      <c r="A178" s="129" t="s">
        <v>201</v>
      </c>
      <c r="B178" s="99" t="s">
        <v>88</v>
      </c>
      <c r="C178" s="227">
        <v>0</v>
      </c>
      <c r="D178" s="228">
        <v>0</v>
      </c>
      <c r="E178" s="228">
        <f t="shared" ref="E178:G178" si="190">E179+E180+E182+E200</f>
        <v>0</v>
      </c>
      <c r="F178" s="228">
        <f t="shared" si="190"/>
        <v>0</v>
      </c>
      <c r="G178" s="228">
        <f t="shared" si="190"/>
        <v>0</v>
      </c>
      <c r="H178" s="229">
        <f t="shared" si="147"/>
        <v>0</v>
      </c>
      <c r="I178" s="228">
        <v>0</v>
      </c>
      <c r="J178" s="228">
        <f t="shared" ref="J178:L178" si="191">J179+J180+J182+J200</f>
        <v>0</v>
      </c>
      <c r="K178" s="228">
        <f t="shared" si="191"/>
        <v>0</v>
      </c>
      <c r="L178" s="228">
        <f t="shared" si="191"/>
        <v>0</v>
      </c>
      <c r="M178" s="229">
        <f t="shared" si="148"/>
        <v>0</v>
      </c>
      <c r="N178" s="228">
        <v>0</v>
      </c>
      <c r="O178" s="228">
        <f t="shared" ref="O178:Q178" si="192">O179+O180+O182+O200</f>
        <v>0</v>
      </c>
      <c r="P178" s="228">
        <f t="shared" si="192"/>
        <v>0</v>
      </c>
      <c r="Q178" s="228">
        <f t="shared" si="192"/>
        <v>0</v>
      </c>
      <c r="R178" s="229">
        <f t="shared" si="149"/>
        <v>0</v>
      </c>
    </row>
    <row r="179" spans="1:18" s="6" customFormat="1" ht="22.8" hidden="1">
      <c r="A179" s="130" t="s">
        <v>177</v>
      </c>
      <c r="B179" s="100" t="s">
        <v>90</v>
      </c>
      <c r="C179" s="230"/>
      <c r="D179" s="231">
        <v>0</v>
      </c>
      <c r="E179" s="231"/>
      <c r="F179" s="231"/>
      <c r="G179" s="231"/>
      <c r="H179" s="232">
        <f t="shared" si="147"/>
        <v>0</v>
      </c>
      <c r="I179" s="231">
        <v>0</v>
      </c>
      <c r="J179" s="231"/>
      <c r="K179" s="231"/>
      <c r="L179" s="231"/>
      <c r="M179" s="232">
        <f t="shared" si="148"/>
        <v>0</v>
      </c>
      <c r="N179" s="231">
        <v>0</v>
      </c>
      <c r="O179" s="231"/>
      <c r="P179" s="231"/>
      <c r="Q179" s="231"/>
      <c r="R179" s="232">
        <f t="shared" si="149"/>
        <v>0</v>
      </c>
    </row>
    <row r="180" spans="1:18" s="6" customFormat="1" hidden="1">
      <c r="A180" s="130" t="s">
        <v>91</v>
      </c>
      <c r="B180" s="100" t="s">
        <v>92</v>
      </c>
      <c r="C180" s="230"/>
      <c r="D180" s="231">
        <v>0</v>
      </c>
      <c r="E180" s="231"/>
      <c r="F180" s="231"/>
      <c r="G180" s="231"/>
      <c r="H180" s="232">
        <f t="shared" si="147"/>
        <v>0</v>
      </c>
      <c r="I180" s="231">
        <v>0</v>
      </c>
      <c r="J180" s="231"/>
      <c r="K180" s="231"/>
      <c r="L180" s="231"/>
      <c r="M180" s="232">
        <f t="shared" si="148"/>
        <v>0</v>
      </c>
      <c r="N180" s="231">
        <v>0</v>
      </c>
      <c r="O180" s="231"/>
      <c r="P180" s="231"/>
      <c r="Q180" s="231"/>
      <c r="R180" s="232">
        <f t="shared" si="149"/>
        <v>0</v>
      </c>
    </row>
    <row r="181" spans="1:18" s="29" customFormat="1" hidden="1">
      <c r="A181" s="131">
        <v>21210</v>
      </c>
      <c r="B181" s="101" t="s">
        <v>93</v>
      </c>
      <c r="C181" s="230"/>
      <c r="D181" s="231">
        <v>0</v>
      </c>
      <c r="E181" s="231"/>
      <c r="F181" s="231"/>
      <c r="G181" s="231"/>
      <c r="H181" s="232">
        <f t="shared" si="147"/>
        <v>0</v>
      </c>
      <c r="I181" s="231">
        <v>0</v>
      </c>
      <c r="J181" s="231"/>
      <c r="K181" s="231"/>
      <c r="L181" s="231"/>
      <c r="M181" s="232">
        <f t="shared" si="148"/>
        <v>0</v>
      </c>
      <c r="N181" s="231">
        <v>0</v>
      </c>
      <c r="O181" s="231"/>
      <c r="P181" s="231"/>
      <c r="Q181" s="231"/>
      <c r="R181" s="232">
        <f t="shared" si="149"/>
        <v>0</v>
      </c>
    </row>
    <row r="182" spans="1:18" s="89" customFormat="1" ht="20.399999999999999" hidden="1">
      <c r="A182" s="130" t="s">
        <v>178</v>
      </c>
      <c r="B182" s="100" t="s">
        <v>94</v>
      </c>
      <c r="C182" s="232">
        <v>0</v>
      </c>
      <c r="D182" s="233">
        <v>0</v>
      </c>
      <c r="E182" s="233">
        <f t="shared" ref="E182:G182" si="193">E183+E189</f>
        <v>0</v>
      </c>
      <c r="F182" s="233">
        <f t="shared" si="193"/>
        <v>0</v>
      </c>
      <c r="G182" s="233">
        <f t="shared" si="193"/>
        <v>0</v>
      </c>
      <c r="H182" s="232">
        <f t="shared" si="147"/>
        <v>0</v>
      </c>
      <c r="I182" s="233">
        <v>0</v>
      </c>
      <c r="J182" s="233">
        <f t="shared" ref="J182:L182" si="194">J183+J189</f>
        <v>0</v>
      </c>
      <c r="K182" s="233">
        <f t="shared" si="194"/>
        <v>0</v>
      </c>
      <c r="L182" s="233">
        <f t="shared" si="194"/>
        <v>0</v>
      </c>
      <c r="M182" s="232">
        <f t="shared" si="148"/>
        <v>0</v>
      </c>
      <c r="N182" s="233">
        <v>0</v>
      </c>
      <c r="O182" s="233">
        <f t="shared" ref="O182:Q182" si="195">O183+O189</f>
        <v>0</v>
      </c>
      <c r="P182" s="233">
        <f t="shared" si="195"/>
        <v>0</v>
      </c>
      <c r="Q182" s="233">
        <f t="shared" si="195"/>
        <v>0</v>
      </c>
      <c r="R182" s="232">
        <f t="shared" si="149"/>
        <v>0</v>
      </c>
    </row>
    <row r="183" spans="1:18" s="89" customFormat="1" hidden="1">
      <c r="A183" s="132">
        <v>18000</v>
      </c>
      <c r="B183" s="101" t="s">
        <v>95</v>
      </c>
      <c r="C183" s="232">
        <v>0</v>
      </c>
      <c r="D183" s="233">
        <v>0</v>
      </c>
      <c r="E183" s="233">
        <f t="shared" ref="E183:L184" si="196">E184</f>
        <v>0</v>
      </c>
      <c r="F183" s="233">
        <f t="shared" si="196"/>
        <v>0</v>
      </c>
      <c r="G183" s="233">
        <f t="shared" si="196"/>
        <v>0</v>
      </c>
      <c r="H183" s="232">
        <f t="shared" si="147"/>
        <v>0</v>
      </c>
      <c r="I183" s="233">
        <v>0</v>
      </c>
      <c r="J183" s="233">
        <f t="shared" si="196"/>
        <v>0</v>
      </c>
      <c r="K183" s="233">
        <f t="shared" si="196"/>
        <v>0</v>
      </c>
      <c r="L183" s="233">
        <f t="shared" si="196"/>
        <v>0</v>
      </c>
      <c r="M183" s="232">
        <f t="shared" si="148"/>
        <v>0</v>
      </c>
      <c r="N183" s="233">
        <v>0</v>
      </c>
      <c r="O183" s="233">
        <f t="shared" ref="O183:Q184" si="197">O184</f>
        <v>0</v>
      </c>
      <c r="P183" s="233">
        <f t="shared" si="197"/>
        <v>0</v>
      </c>
      <c r="Q183" s="233">
        <f t="shared" si="197"/>
        <v>0</v>
      </c>
      <c r="R183" s="232">
        <f t="shared" si="149"/>
        <v>0</v>
      </c>
    </row>
    <row r="184" spans="1:18" s="89" customFormat="1" hidden="1">
      <c r="A184" s="132">
        <v>18100</v>
      </c>
      <c r="B184" s="101" t="s">
        <v>96</v>
      </c>
      <c r="C184" s="232">
        <v>0</v>
      </c>
      <c r="D184" s="233">
        <v>0</v>
      </c>
      <c r="E184" s="233">
        <f t="shared" si="196"/>
        <v>0</v>
      </c>
      <c r="F184" s="233">
        <f t="shared" si="196"/>
        <v>0</v>
      </c>
      <c r="G184" s="233">
        <f t="shared" si="196"/>
        <v>0</v>
      </c>
      <c r="H184" s="232">
        <f t="shared" si="147"/>
        <v>0</v>
      </c>
      <c r="I184" s="233">
        <v>0</v>
      </c>
      <c r="J184" s="233">
        <f t="shared" si="196"/>
        <v>0</v>
      </c>
      <c r="K184" s="233">
        <f t="shared" si="196"/>
        <v>0</v>
      </c>
      <c r="L184" s="233">
        <f t="shared" si="196"/>
        <v>0</v>
      </c>
      <c r="M184" s="232">
        <f t="shared" si="148"/>
        <v>0</v>
      </c>
      <c r="N184" s="233">
        <v>0</v>
      </c>
      <c r="O184" s="233">
        <f t="shared" si="197"/>
        <v>0</v>
      </c>
      <c r="P184" s="233">
        <f t="shared" si="197"/>
        <v>0</v>
      </c>
      <c r="Q184" s="233">
        <f t="shared" si="197"/>
        <v>0</v>
      </c>
      <c r="R184" s="232">
        <f t="shared" si="149"/>
        <v>0</v>
      </c>
    </row>
    <row r="185" spans="1:18" s="89" customFormat="1" ht="24" hidden="1">
      <c r="A185" s="234">
        <v>18130</v>
      </c>
      <c r="B185" s="235" t="s">
        <v>159</v>
      </c>
      <c r="C185" s="232">
        <v>0</v>
      </c>
      <c r="D185" s="233">
        <v>0</v>
      </c>
      <c r="E185" s="233">
        <f t="shared" ref="E185:G185" si="198">SUM(E186:E188)</f>
        <v>0</v>
      </c>
      <c r="F185" s="233">
        <f t="shared" ref="F185" si="199">SUM(F186:F188)</f>
        <v>0</v>
      </c>
      <c r="G185" s="233">
        <f t="shared" si="198"/>
        <v>0</v>
      </c>
      <c r="H185" s="232">
        <f t="shared" si="147"/>
        <v>0</v>
      </c>
      <c r="I185" s="233">
        <v>0</v>
      </c>
      <c r="J185" s="233">
        <f t="shared" ref="J185:L185" si="200">SUM(J186:J188)</f>
        <v>0</v>
      </c>
      <c r="K185" s="233">
        <f t="shared" si="200"/>
        <v>0</v>
      </c>
      <c r="L185" s="233">
        <f t="shared" si="200"/>
        <v>0</v>
      </c>
      <c r="M185" s="232">
        <f t="shared" si="148"/>
        <v>0</v>
      </c>
      <c r="N185" s="233">
        <v>0</v>
      </c>
      <c r="O185" s="233">
        <f t="shared" ref="O185:Q185" si="201">SUM(O186:O188)</f>
        <v>0</v>
      </c>
      <c r="P185" s="233">
        <f t="shared" si="201"/>
        <v>0</v>
      </c>
      <c r="Q185" s="233">
        <f t="shared" si="201"/>
        <v>0</v>
      </c>
      <c r="R185" s="232">
        <f t="shared" si="149"/>
        <v>0</v>
      </c>
    </row>
    <row r="186" spans="1:18" s="89" customFormat="1" ht="24" hidden="1">
      <c r="A186" s="236">
        <v>18131</v>
      </c>
      <c r="B186" s="235" t="s">
        <v>160</v>
      </c>
      <c r="C186" s="232"/>
      <c r="D186" s="233">
        <v>0</v>
      </c>
      <c r="E186" s="233"/>
      <c r="F186" s="233"/>
      <c r="G186" s="233"/>
      <c r="H186" s="232">
        <f t="shared" si="147"/>
        <v>0</v>
      </c>
      <c r="I186" s="233">
        <v>0</v>
      </c>
      <c r="J186" s="233"/>
      <c r="K186" s="233"/>
      <c r="L186" s="233"/>
      <c r="M186" s="232">
        <f t="shared" si="148"/>
        <v>0</v>
      </c>
      <c r="N186" s="233">
        <v>0</v>
      </c>
      <c r="O186" s="233"/>
      <c r="P186" s="233"/>
      <c r="Q186" s="233"/>
      <c r="R186" s="232">
        <f t="shared" si="149"/>
        <v>0</v>
      </c>
    </row>
    <row r="187" spans="1:18" s="89" customFormat="1" ht="24" hidden="1">
      <c r="A187" s="236">
        <v>18132</v>
      </c>
      <c r="B187" s="235" t="s">
        <v>169</v>
      </c>
      <c r="C187" s="232"/>
      <c r="D187" s="233">
        <v>0</v>
      </c>
      <c r="E187" s="233"/>
      <c r="F187" s="233"/>
      <c r="G187" s="233"/>
      <c r="H187" s="232">
        <f t="shared" si="147"/>
        <v>0</v>
      </c>
      <c r="I187" s="233">
        <v>0</v>
      </c>
      <c r="J187" s="233"/>
      <c r="K187" s="233"/>
      <c r="L187" s="233"/>
      <c r="M187" s="232">
        <f t="shared" si="148"/>
        <v>0</v>
      </c>
      <c r="N187" s="233">
        <v>0</v>
      </c>
      <c r="O187" s="233"/>
      <c r="P187" s="233"/>
      <c r="Q187" s="233"/>
      <c r="R187" s="232">
        <f t="shared" si="149"/>
        <v>0</v>
      </c>
    </row>
    <row r="188" spans="1:18" s="89" customFormat="1" ht="24" hidden="1">
      <c r="A188" s="236">
        <v>18139</v>
      </c>
      <c r="B188" s="235" t="s">
        <v>179</v>
      </c>
      <c r="C188" s="232"/>
      <c r="D188" s="233">
        <v>0</v>
      </c>
      <c r="E188" s="233"/>
      <c r="F188" s="233"/>
      <c r="G188" s="233"/>
      <c r="H188" s="232">
        <f t="shared" si="147"/>
        <v>0</v>
      </c>
      <c r="I188" s="233">
        <v>0</v>
      </c>
      <c r="J188" s="233"/>
      <c r="K188" s="233"/>
      <c r="L188" s="233"/>
      <c r="M188" s="232">
        <f t="shared" si="148"/>
        <v>0</v>
      </c>
      <c r="N188" s="233">
        <v>0</v>
      </c>
      <c r="O188" s="233"/>
      <c r="P188" s="233"/>
      <c r="Q188" s="233"/>
      <c r="R188" s="232">
        <f t="shared" si="149"/>
        <v>0</v>
      </c>
    </row>
    <row r="189" spans="1:18" s="89" customFormat="1" hidden="1">
      <c r="A189" s="135" t="s">
        <v>180</v>
      </c>
      <c r="B189" s="109" t="s">
        <v>173</v>
      </c>
      <c r="C189" s="237">
        <v>0</v>
      </c>
      <c r="D189" s="238">
        <v>0</v>
      </c>
      <c r="E189" s="238">
        <f t="shared" ref="E189:L189" si="202">E190</f>
        <v>0</v>
      </c>
      <c r="F189" s="238">
        <f t="shared" si="202"/>
        <v>0</v>
      </c>
      <c r="G189" s="238">
        <f t="shared" si="202"/>
        <v>0</v>
      </c>
      <c r="H189" s="232">
        <f t="shared" si="147"/>
        <v>0</v>
      </c>
      <c r="I189" s="238">
        <v>0</v>
      </c>
      <c r="J189" s="238">
        <f t="shared" si="202"/>
        <v>0</v>
      </c>
      <c r="K189" s="238">
        <f t="shared" si="202"/>
        <v>0</v>
      </c>
      <c r="L189" s="238">
        <f t="shared" si="202"/>
        <v>0</v>
      </c>
      <c r="M189" s="232">
        <f t="shared" si="148"/>
        <v>0</v>
      </c>
      <c r="N189" s="238">
        <v>0</v>
      </c>
      <c r="O189" s="238">
        <f t="shared" ref="O189:Q189" si="203">O190</f>
        <v>0</v>
      </c>
      <c r="P189" s="238">
        <f t="shared" si="203"/>
        <v>0</v>
      </c>
      <c r="Q189" s="238">
        <f t="shared" si="203"/>
        <v>0</v>
      </c>
      <c r="R189" s="232">
        <f t="shared" si="149"/>
        <v>0</v>
      </c>
    </row>
    <row r="190" spans="1:18" s="89" customFormat="1" hidden="1">
      <c r="A190" s="135">
        <v>19500</v>
      </c>
      <c r="B190" s="235" t="s">
        <v>174</v>
      </c>
      <c r="C190" s="232">
        <v>0</v>
      </c>
      <c r="D190" s="233">
        <v>0</v>
      </c>
      <c r="E190" s="233">
        <f t="shared" ref="E190:G190" si="204">SUM(E191:E193)</f>
        <v>0</v>
      </c>
      <c r="F190" s="233">
        <f t="shared" si="204"/>
        <v>0</v>
      </c>
      <c r="G190" s="233">
        <f t="shared" si="204"/>
        <v>0</v>
      </c>
      <c r="H190" s="232">
        <f t="shared" si="147"/>
        <v>0</v>
      </c>
      <c r="I190" s="233">
        <v>0</v>
      </c>
      <c r="J190" s="233">
        <f t="shared" ref="J190:L190" si="205">SUM(J191:J193)</f>
        <v>0</v>
      </c>
      <c r="K190" s="233">
        <f t="shared" si="205"/>
        <v>0</v>
      </c>
      <c r="L190" s="233">
        <f t="shared" si="205"/>
        <v>0</v>
      </c>
      <c r="M190" s="232">
        <f t="shared" si="148"/>
        <v>0</v>
      </c>
      <c r="N190" s="233">
        <v>0</v>
      </c>
      <c r="O190" s="233">
        <f t="shared" ref="O190:Q190" si="206">SUM(O191:O193)</f>
        <v>0</v>
      </c>
      <c r="P190" s="233">
        <f t="shared" si="206"/>
        <v>0</v>
      </c>
      <c r="Q190" s="233">
        <f t="shared" si="206"/>
        <v>0</v>
      </c>
      <c r="R190" s="232">
        <f t="shared" si="149"/>
        <v>0</v>
      </c>
    </row>
    <row r="191" spans="1:18" s="89" customFormat="1" ht="24" hidden="1">
      <c r="A191" s="136">
        <v>19550</v>
      </c>
      <c r="B191" s="235" t="s">
        <v>175</v>
      </c>
      <c r="C191" s="232"/>
      <c r="D191" s="233">
        <v>0</v>
      </c>
      <c r="E191" s="233"/>
      <c r="F191" s="233"/>
      <c r="G191" s="233"/>
      <c r="H191" s="232">
        <f t="shared" si="147"/>
        <v>0</v>
      </c>
      <c r="I191" s="233">
        <v>0</v>
      </c>
      <c r="J191" s="233"/>
      <c r="K191" s="233"/>
      <c r="L191" s="233"/>
      <c r="M191" s="232">
        <f t="shared" si="148"/>
        <v>0</v>
      </c>
      <c r="N191" s="233">
        <v>0</v>
      </c>
      <c r="O191" s="233"/>
      <c r="P191" s="233"/>
      <c r="Q191" s="233"/>
      <c r="R191" s="232">
        <f t="shared" si="149"/>
        <v>0</v>
      </c>
    </row>
    <row r="192" spans="1:18" s="89" customFormat="1" ht="36" hidden="1">
      <c r="A192" s="136">
        <v>19560</v>
      </c>
      <c r="B192" s="235" t="s">
        <v>181</v>
      </c>
      <c r="C192" s="232"/>
      <c r="D192" s="233">
        <v>0</v>
      </c>
      <c r="E192" s="233"/>
      <c r="F192" s="233"/>
      <c r="G192" s="233"/>
      <c r="H192" s="232">
        <f t="shared" si="147"/>
        <v>0</v>
      </c>
      <c r="I192" s="233">
        <v>0</v>
      </c>
      <c r="J192" s="233"/>
      <c r="K192" s="233"/>
      <c r="L192" s="233"/>
      <c r="M192" s="232">
        <f t="shared" si="148"/>
        <v>0</v>
      </c>
      <c r="N192" s="233">
        <v>0</v>
      </c>
      <c r="O192" s="233"/>
      <c r="P192" s="233"/>
      <c r="Q192" s="233"/>
      <c r="R192" s="232">
        <f t="shared" si="149"/>
        <v>0</v>
      </c>
    </row>
    <row r="193" spans="1:18" s="89" customFormat="1" ht="60" hidden="1">
      <c r="A193" s="136">
        <v>19570</v>
      </c>
      <c r="B193" s="235" t="s">
        <v>182</v>
      </c>
      <c r="C193" s="232"/>
      <c r="D193" s="233">
        <v>0</v>
      </c>
      <c r="E193" s="233"/>
      <c r="F193" s="233"/>
      <c r="G193" s="233"/>
      <c r="H193" s="232">
        <f t="shared" si="147"/>
        <v>0</v>
      </c>
      <c r="I193" s="233">
        <v>0</v>
      </c>
      <c r="J193" s="233"/>
      <c r="K193" s="233"/>
      <c r="L193" s="233"/>
      <c r="M193" s="232">
        <f t="shared" si="148"/>
        <v>0</v>
      </c>
      <c r="N193" s="233">
        <v>0</v>
      </c>
      <c r="O193" s="233"/>
      <c r="P193" s="233"/>
      <c r="Q193" s="233"/>
      <c r="R193" s="232">
        <f t="shared" si="149"/>
        <v>0</v>
      </c>
    </row>
    <row r="194" spans="1:18" s="6" customFormat="1" ht="24" hidden="1">
      <c r="A194" s="240" t="s">
        <v>222</v>
      </c>
      <c r="B194" s="241" t="s">
        <v>216</v>
      </c>
      <c r="C194" s="232">
        <f>C195</f>
        <v>0</v>
      </c>
      <c r="D194" s="233">
        <v>0</v>
      </c>
      <c r="E194" s="232">
        <f t="shared" ref="E194:L194" si="207">E195</f>
        <v>0</v>
      </c>
      <c r="F194" s="232">
        <f t="shared" si="207"/>
        <v>0</v>
      </c>
      <c r="G194" s="232">
        <f t="shared" si="207"/>
        <v>0</v>
      </c>
      <c r="H194" s="232">
        <f t="shared" si="147"/>
        <v>0</v>
      </c>
      <c r="I194" s="233">
        <v>0</v>
      </c>
      <c r="J194" s="232">
        <f t="shared" si="207"/>
        <v>0</v>
      </c>
      <c r="K194" s="232">
        <f t="shared" si="207"/>
        <v>0</v>
      </c>
      <c r="L194" s="232">
        <f t="shared" si="207"/>
        <v>0</v>
      </c>
      <c r="M194" s="232">
        <f t="shared" si="148"/>
        <v>0</v>
      </c>
      <c r="N194" s="233">
        <v>0</v>
      </c>
      <c r="O194" s="232">
        <f t="shared" ref="O194:Q194" si="208">O195</f>
        <v>0</v>
      </c>
      <c r="P194" s="232">
        <f t="shared" si="208"/>
        <v>0</v>
      </c>
      <c r="Q194" s="232">
        <f t="shared" si="208"/>
        <v>0</v>
      </c>
      <c r="R194" s="232">
        <f t="shared" si="149"/>
        <v>0</v>
      </c>
    </row>
    <row r="195" spans="1:18" s="6" customFormat="1" ht="36" hidden="1">
      <c r="A195" s="240">
        <v>17100</v>
      </c>
      <c r="B195" s="241" t="s">
        <v>217</v>
      </c>
      <c r="C195" s="232">
        <f>SUM(C196:C199)</f>
        <v>0</v>
      </c>
      <c r="D195" s="233">
        <v>0</v>
      </c>
      <c r="E195" s="232">
        <f t="shared" ref="E195:G195" si="209">SUM(E196:E199)</f>
        <v>0</v>
      </c>
      <c r="F195" s="232">
        <f t="shared" si="209"/>
        <v>0</v>
      </c>
      <c r="G195" s="232">
        <f t="shared" si="209"/>
        <v>0</v>
      </c>
      <c r="H195" s="232">
        <f t="shared" si="147"/>
        <v>0</v>
      </c>
      <c r="I195" s="233">
        <v>0</v>
      </c>
      <c r="J195" s="232">
        <f t="shared" ref="J195:L195" si="210">SUM(J196:J199)</f>
        <v>0</v>
      </c>
      <c r="K195" s="232">
        <f t="shared" si="210"/>
        <v>0</v>
      </c>
      <c r="L195" s="232">
        <f t="shared" si="210"/>
        <v>0</v>
      </c>
      <c r="M195" s="232">
        <f t="shared" si="148"/>
        <v>0</v>
      </c>
      <c r="N195" s="233">
        <v>0</v>
      </c>
      <c r="O195" s="232">
        <f t="shared" ref="O195:Q195" si="211">SUM(O196:O199)</f>
        <v>0</v>
      </c>
      <c r="P195" s="232">
        <f t="shared" si="211"/>
        <v>0</v>
      </c>
      <c r="Q195" s="232">
        <f t="shared" si="211"/>
        <v>0</v>
      </c>
      <c r="R195" s="232">
        <f t="shared" si="149"/>
        <v>0</v>
      </c>
    </row>
    <row r="196" spans="1:18" s="6" customFormat="1" ht="48" hidden="1">
      <c r="A196" s="242">
        <v>17110</v>
      </c>
      <c r="B196" s="241" t="s">
        <v>218</v>
      </c>
      <c r="C196" s="232"/>
      <c r="D196" s="233">
        <v>0</v>
      </c>
      <c r="E196" s="233"/>
      <c r="F196" s="233"/>
      <c r="G196" s="233"/>
      <c r="H196" s="232">
        <f t="shared" si="147"/>
        <v>0</v>
      </c>
      <c r="I196" s="233">
        <v>0</v>
      </c>
      <c r="J196" s="233"/>
      <c r="K196" s="233"/>
      <c r="L196" s="233"/>
      <c r="M196" s="232">
        <f t="shared" si="148"/>
        <v>0</v>
      </c>
      <c r="N196" s="233">
        <v>0</v>
      </c>
      <c r="O196" s="233"/>
      <c r="P196" s="233"/>
      <c r="Q196" s="233"/>
      <c r="R196" s="232">
        <f t="shared" si="149"/>
        <v>0</v>
      </c>
    </row>
    <row r="197" spans="1:18" s="6" customFormat="1" ht="48" hidden="1">
      <c r="A197" s="242">
        <v>17120</v>
      </c>
      <c r="B197" s="241" t="s">
        <v>219</v>
      </c>
      <c r="C197" s="232"/>
      <c r="D197" s="233">
        <v>0</v>
      </c>
      <c r="E197" s="233"/>
      <c r="F197" s="233"/>
      <c r="G197" s="233"/>
      <c r="H197" s="232">
        <f t="shared" si="147"/>
        <v>0</v>
      </c>
      <c r="I197" s="233">
        <v>0</v>
      </c>
      <c r="J197" s="233"/>
      <c r="K197" s="233"/>
      <c r="L197" s="233"/>
      <c r="M197" s="232">
        <f t="shared" si="148"/>
        <v>0</v>
      </c>
      <c r="N197" s="233">
        <v>0</v>
      </c>
      <c r="O197" s="233"/>
      <c r="P197" s="233"/>
      <c r="Q197" s="233"/>
      <c r="R197" s="232">
        <f t="shared" si="149"/>
        <v>0</v>
      </c>
    </row>
    <row r="198" spans="1:18" s="6" customFormat="1" ht="96" hidden="1">
      <c r="A198" s="242">
        <v>17130</v>
      </c>
      <c r="B198" s="241" t="s">
        <v>220</v>
      </c>
      <c r="C198" s="232"/>
      <c r="D198" s="233">
        <v>0</v>
      </c>
      <c r="E198" s="233"/>
      <c r="F198" s="233"/>
      <c r="G198" s="233"/>
      <c r="H198" s="232">
        <f t="shared" si="147"/>
        <v>0</v>
      </c>
      <c r="I198" s="233">
        <v>0</v>
      </c>
      <c r="J198" s="233"/>
      <c r="K198" s="233"/>
      <c r="L198" s="233"/>
      <c r="M198" s="232">
        <f t="shared" si="148"/>
        <v>0</v>
      </c>
      <c r="N198" s="233">
        <v>0</v>
      </c>
      <c r="O198" s="233"/>
      <c r="P198" s="233"/>
      <c r="Q198" s="233"/>
      <c r="R198" s="232">
        <f t="shared" si="149"/>
        <v>0</v>
      </c>
    </row>
    <row r="199" spans="1:18" s="6" customFormat="1" ht="96" hidden="1">
      <c r="A199" s="242">
        <v>17140</v>
      </c>
      <c r="B199" s="241" t="s">
        <v>221</v>
      </c>
      <c r="C199" s="232"/>
      <c r="D199" s="233">
        <v>0</v>
      </c>
      <c r="E199" s="233"/>
      <c r="F199" s="233"/>
      <c r="G199" s="233"/>
      <c r="H199" s="232">
        <f t="shared" si="147"/>
        <v>0</v>
      </c>
      <c r="I199" s="233">
        <v>0</v>
      </c>
      <c r="J199" s="233"/>
      <c r="K199" s="233"/>
      <c r="L199" s="233"/>
      <c r="M199" s="232">
        <f t="shared" si="148"/>
        <v>0</v>
      </c>
      <c r="N199" s="233">
        <v>0</v>
      </c>
      <c r="O199" s="233"/>
      <c r="P199" s="233"/>
      <c r="Q199" s="233"/>
      <c r="R199" s="232">
        <f t="shared" si="149"/>
        <v>0</v>
      </c>
    </row>
    <row r="200" spans="1:18" s="89" customFormat="1" hidden="1">
      <c r="A200" s="137">
        <v>21700</v>
      </c>
      <c r="B200" s="100" t="s">
        <v>97</v>
      </c>
      <c r="C200" s="232">
        <v>0</v>
      </c>
      <c r="D200" s="233">
        <v>0</v>
      </c>
      <c r="E200" s="233">
        <f t="shared" ref="E200:G200" si="212">E201+E202</f>
        <v>0</v>
      </c>
      <c r="F200" s="233">
        <f t="shared" si="212"/>
        <v>0</v>
      </c>
      <c r="G200" s="233">
        <f t="shared" si="212"/>
        <v>0</v>
      </c>
      <c r="H200" s="232">
        <f t="shared" si="147"/>
        <v>0</v>
      </c>
      <c r="I200" s="233">
        <v>0</v>
      </c>
      <c r="J200" s="233">
        <f t="shared" ref="J200:L200" si="213">J201+J202</f>
        <v>0</v>
      </c>
      <c r="K200" s="233">
        <f t="shared" si="213"/>
        <v>0</v>
      </c>
      <c r="L200" s="233">
        <f t="shared" si="213"/>
        <v>0</v>
      </c>
      <c r="M200" s="232">
        <f t="shared" si="148"/>
        <v>0</v>
      </c>
      <c r="N200" s="233">
        <v>0</v>
      </c>
      <c r="O200" s="233">
        <f t="shared" ref="O200:Q200" si="214">O201+O202</f>
        <v>0</v>
      </c>
      <c r="P200" s="233">
        <f t="shared" si="214"/>
        <v>0</v>
      </c>
      <c r="Q200" s="233">
        <f t="shared" si="214"/>
        <v>0</v>
      </c>
      <c r="R200" s="232">
        <f t="shared" si="149"/>
        <v>0</v>
      </c>
    </row>
    <row r="201" spans="1:18" s="89" customFormat="1" ht="24" hidden="1">
      <c r="A201" s="138">
        <v>21710</v>
      </c>
      <c r="B201" s="101" t="s">
        <v>98</v>
      </c>
      <c r="C201" s="232"/>
      <c r="D201" s="233">
        <v>0</v>
      </c>
      <c r="E201" s="233"/>
      <c r="F201" s="233"/>
      <c r="G201" s="233"/>
      <c r="H201" s="232">
        <f t="shared" si="147"/>
        <v>0</v>
      </c>
      <c r="I201" s="233">
        <v>0</v>
      </c>
      <c r="J201" s="233"/>
      <c r="K201" s="233"/>
      <c r="L201" s="233"/>
      <c r="M201" s="232">
        <f t="shared" si="148"/>
        <v>0</v>
      </c>
      <c r="N201" s="233">
        <v>0</v>
      </c>
      <c r="O201" s="233"/>
      <c r="P201" s="233"/>
      <c r="Q201" s="233"/>
      <c r="R201" s="232">
        <f t="shared" si="149"/>
        <v>0</v>
      </c>
    </row>
    <row r="202" spans="1:18" s="29" customFormat="1" ht="24" hidden="1">
      <c r="A202" s="138">
        <v>21720</v>
      </c>
      <c r="B202" s="101" t="s">
        <v>99</v>
      </c>
      <c r="C202" s="232"/>
      <c r="D202" s="233">
        <v>0</v>
      </c>
      <c r="E202" s="233"/>
      <c r="F202" s="233"/>
      <c r="G202" s="233"/>
      <c r="H202" s="232">
        <f t="shared" ref="H202:H260" si="215">SUM(D202:G202)</f>
        <v>0</v>
      </c>
      <c r="I202" s="233">
        <v>0</v>
      </c>
      <c r="J202" s="233"/>
      <c r="K202" s="233"/>
      <c r="L202" s="233"/>
      <c r="M202" s="232">
        <f t="shared" ref="M202:M260" si="216">SUM(I202:L202)</f>
        <v>0</v>
      </c>
      <c r="N202" s="233">
        <v>0</v>
      </c>
      <c r="O202" s="233"/>
      <c r="P202" s="233"/>
      <c r="Q202" s="233"/>
      <c r="R202" s="232">
        <f t="shared" ref="R202:R260" si="217">SUM(N202:Q202)</f>
        <v>0</v>
      </c>
    </row>
    <row r="203" spans="1:18" s="29" customFormat="1" ht="11.4" hidden="1">
      <c r="A203" s="129" t="s">
        <v>100</v>
      </c>
      <c r="B203" s="99" t="s">
        <v>101</v>
      </c>
      <c r="C203" s="229">
        <v>0</v>
      </c>
      <c r="D203" s="243">
        <v>0</v>
      </c>
      <c r="E203" s="243">
        <f t="shared" ref="E203:G203" si="218">E204+E231</f>
        <v>0</v>
      </c>
      <c r="F203" s="243">
        <f t="shared" si="218"/>
        <v>0</v>
      </c>
      <c r="G203" s="243">
        <f t="shared" si="218"/>
        <v>0</v>
      </c>
      <c r="H203" s="270">
        <f t="shared" si="215"/>
        <v>0</v>
      </c>
      <c r="I203" s="243">
        <v>0</v>
      </c>
      <c r="J203" s="243">
        <f t="shared" ref="J203:L203" si="219">J204+J231</f>
        <v>0</v>
      </c>
      <c r="K203" s="243">
        <f t="shared" si="219"/>
        <v>0</v>
      </c>
      <c r="L203" s="243">
        <f t="shared" si="219"/>
        <v>0</v>
      </c>
      <c r="M203" s="270">
        <f t="shared" si="216"/>
        <v>0</v>
      </c>
      <c r="N203" s="243">
        <v>0</v>
      </c>
      <c r="O203" s="243">
        <f t="shared" ref="O203:Q203" si="220">O204+O231</f>
        <v>0</v>
      </c>
      <c r="P203" s="243">
        <f t="shared" si="220"/>
        <v>0</v>
      </c>
      <c r="Q203" s="243">
        <f t="shared" si="220"/>
        <v>0</v>
      </c>
      <c r="R203" s="270">
        <f t="shared" si="217"/>
        <v>0</v>
      </c>
    </row>
    <row r="204" spans="1:18" s="29" customFormat="1" ht="20.399999999999999" hidden="1">
      <c r="A204" s="130" t="s">
        <v>102</v>
      </c>
      <c r="B204" s="100" t="s">
        <v>103</v>
      </c>
      <c r="C204" s="232">
        <v>0</v>
      </c>
      <c r="D204" s="233">
        <v>0</v>
      </c>
      <c r="E204" s="233">
        <f t="shared" ref="E204:G204" si="221">E205+E209+E210+E213+E216</f>
        <v>0</v>
      </c>
      <c r="F204" s="233">
        <f t="shared" si="221"/>
        <v>0</v>
      </c>
      <c r="G204" s="233">
        <f t="shared" si="221"/>
        <v>0</v>
      </c>
      <c r="H204" s="232">
        <f t="shared" si="215"/>
        <v>0</v>
      </c>
      <c r="I204" s="233">
        <v>0</v>
      </c>
      <c r="J204" s="233">
        <f t="shared" ref="J204:L204" si="222">J205+J209+J210+J213+J216</f>
        <v>0</v>
      </c>
      <c r="K204" s="233">
        <f t="shared" si="222"/>
        <v>0</v>
      </c>
      <c r="L204" s="233">
        <f t="shared" si="222"/>
        <v>0</v>
      </c>
      <c r="M204" s="232">
        <f t="shared" si="216"/>
        <v>0</v>
      </c>
      <c r="N204" s="233">
        <v>0</v>
      </c>
      <c r="O204" s="233">
        <f t="shared" ref="O204:Q204" si="223">O205+O209+O210+O213+O216</f>
        <v>0</v>
      </c>
      <c r="P204" s="233">
        <f t="shared" si="223"/>
        <v>0</v>
      </c>
      <c r="Q204" s="233">
        <f t="shared" si="223"/>
        <v>0</v>
      </c>
      <c r="R204" s="232">
        <f t="shared" si="217"/>
        <v>0</v>
      </c>
    </row>
    <row r="205" spans="1:18" s="29" customFormat="1" hidden="1">
      <c r="A205" s="130" t="s">
        <v>104</v>
      </c>
      <c r="B205" s="100" t="s">
        <v>105</v>
      </c>
      <c r="C205" s="232">
        <v>0</v>
      </c>
      <c r="D205" s="233">
        <v>0</v>
      </c>
      <c r="E205" s="233">
        <f t="shared" ref="E205:G205" si="224">E206+E208</f>
        <v>0</v>
      </c>
      <c r="F205" s="233">
        <f t="shared" si="224"/>
        <v>0</v>
      </c>
      <c r="G205" s="233">
        <f t="shared" si="224"/>
        <v>0</v>
      </c>
      <c r="H205" s="232">
        <f t="shared" si="215"/>
        <v>0</v>
      </c>
      <c r="I205" s="233">
        <v>0</v>
      </c>
      <c r="J205" s="233">
        <f t="shared" ref="J205:L205" si="225">J206+J208</f>
        <v>0</v>
      </c>
      <c r="K205" s="233">
        <f t="shared" si="225"/>
        <v>0</v>
      </c>
      <c r="L205" s="233">
        <f t="shared" si="225"/>
        <v>0</v>
      </c>
      <c r="M205" s="232">
        <f t="shared" si="216"/>
        <v>0</v>
      </c>
      <c r="N205" s="233">
        <v>0</v>
      </c>
      <c r="O205" s="233">
        <f t="shared" ref="O205:Q205" si="226">O206+O208</f>
        <v>0</v>
      </c>
      <c r="P205" s="233">
        <f t="shared" si="226"/>
        <v>0</v>
      </c>
      <c r="Q205" s="233">
        <f t="shared" si="226"/>
        <v>0</v>
      </c>
      <c r="R205" s="232">
        <f t="shared" si="217"/>
        <v>0</v>
      </c>
    </row>
    <row r="206" spans="1:18" s="29" customFormat="1" hidden="1">
      <c r="A206" s="132">
        <v>1000</v>
      </c>
      <c r="B206" s="101" t="s">
        <v>106</v>
      </c>
      <c r="C206" s="232"/>
      <c r="D206" s="233">
        <v>0</v>
      </c>
      <c r="E206" s="244"/>
      <c r="F206" s="244"/>
      <c r="G206" s="244"/>
      <c r="H206" s="232">
        <f t="shared" si="215"/>
        <v>0</v>
      </c>
      <c r="I206" s="233">
        <v>0</v>
      </c>
      <c r="J206" s="244"/>
      <c r="K206" s="244"/>
      <c r="L206" s="244"/>
      <c r="M206" s="232">
        <f t="shared" si="216"/>
        <v>0</v>
      </c>
      <c r="N206" s="233">
        <v>0</v>
      </c>
      <c r="O206" s="244"/>
      <c r="P206" s="244"/>
      <c r="Q206" s="244"/>
      <c r="R206" s="232">
        <f t="shared" si="217"/>
        <v>0</v>
      </c>
    </row>
    <row r="207" spans="1:18" s="29" customFormat="1" hidden="1">
      <c r="A207" s="139">
        <v>1100</v>
      </c>
      <c r="B207" s="101" t="s">
        <v>107</v>
      </c>
      <c r="C207" s="232"/>
      <c r="D207" s="233">
        <v>0</v>
      </c>
      <c r="E207" s="244"/>
      <c r="F207" s="244"/>
      <c r="G207" s="244"/>
      <c r="H207" s="232">
        <f t="shared" si="215"/>
        <v>0</v>
      </c>
      <c r="I207" s="233">
        <v>0</v>
      </c>
      <c r="J207" s="244"/>
      <c r="K207" s="244"/>
      <c r="L207" s="244"/>
      <c r="M207" s="232">
        <f t="shared" si="216"/>
        <v>0</v>
      </c>
      <c r="N207" s="233">
        <v>0</v>
      </c>
      <c r="O207" s="244"/>
      <c r="P207" s="244"/>
      <c r="Q207" s="244"/>
      <c r="R207" s="232">
        <f t="shared" si="217"/>
        <v>0</v>
      </c>
    </row>
    <row r="208" spans="1:18" s="29" customFormat="1" hidden="1">
      <c r="A208" s="132">
        <v>2000</v>
      </c>
      <c r="B208" s="101" t="s">
        <v>108</v>
      </c>
      <c r="C208" s="232"/>
      <c r="D208" s="233">
        <v>0</v>
      </c>
      <c r="E208" s="244"/>
      <c r="F208" s="244"/>
      <c r="G208" s="244"/>
      <c r="H208" s="232">
        <f t="shared" si="215"/>
        <v>0</v>
      </c>
      <c r="I208" s="233">
        <v>0</v>
      </c>
      <c r="J208" s="244"/>
      <c r="K208" s="244"/>
      <c r="L208" s="244"/>
      <c r="M208" s="232">
        <f t="shared" si="216"/>
        <v>0</v>
      </c>
      <c r="N208" s="233">
        <v>0</v>
      </c>
      <c r="O208" s="244"/>
      <c r="P208" s="244"/>
      <c r="Q208" s="244"/>
      <c r="R208" s="232">
        <f t="shared" si="217"/>
        <v>0</v>
      </c>
    </row>
    <row r="209" spans="1:18" s="29" customFormat="1" hidden="1">
      <c r="A209" s="140">
        <v>4000</v>
      </c>
      <c r="B209" s="100" t="s">
        <v>132</v>
      </c>
      <c r="C209" s="232"/>
      <c r="D209" s="233">
        <v>0</v>
      </c>
      <c r="E209" s="244"/>
      <c r="F209" s="244"/>
      <c r="G209" s="244"/>
      <c r="H209" s="232">
        <f t="shared" si="215"/>
        <v>0</v>
      </c>
      <c r="I209" s="233">
        <v>0</v>
      </c>
      <c r="J209" s="244"/>
      <c r="K209" s="244"/>
      <c r="L209" s="244"/>
      <c r="M209" s="232">
        <f t="shared" si="216"/>
        <v>0</v>
      </c>
      <c r="N209" s="233">
        <v>0</v>
      </c>
      <c r="O209" s="244"/>
      <c r="P209" s="244"/>
      <c r="Q209" s="244"/>
      <c r="R209" s="232">
        <f t="shared" si="217"/>
        <v>0</v>
      </c>
    </row>
    <row r="210" spans="1:18" s="29" customFormat="1" hidden="1">
      <c r="A210" s="140" t="s">
        <v>109</v>
      </c>
      <c r="B210" s="100" t="s">
        <v>110</v>
      </c>
      <c r="C210" s="232">
        <v>0</v>
      </c>
      <c r="D210" s="233">
        <v>0</v>
      </c>
      <c r="E210" s="233">
        <f t="shared" ref="E210:G210" si="227">E211+E212</f>
        <v>0</v>
      </c>
      <c r="F210" s="233">
        <f t="shared" si="227"/>
        <v>0</v>
      </c>
      <c r="G210" s="233">
        <f t="shared" si="227"/>
        <v>0</v>
      </c>
      <c r="H210" s="232">
        <f t="shared" si="215"/>
        <v>0</v>
      </c>
      <c r="I210" s="233">
        <v>0</v>
      </c>
      <c r="J210" s="233">
        <f t="shared" ref="J210:L210" si="228">J211+J212</f>
        <v>0</v>
      </c>
      <c r="K210" s="233">
        <f t="shared" si="228"/>
        <v>0</v>
      </c>
      <c r="L210" s="233">
        <f t="shared" si="228"/>
        <v>0</v>
      </c>
      <c r="M210" s="232">
        <f t="shared" si="216"/>
        <v>0</v>
      </c>
      <c r="N210" s="233">
        <v>0</v>
      </c>
      <c r="O210" s="233">
        <f t="shared" ref="O210:Q210" si="229">O211+O212</f>
        <v>0</v>
      </c>
      <c r="P210" s="233">
        <f t="shared" si="229"/>
        <v>0</v>
      </c>
      <c r="Q210" s="233">
        <f t="shared" si="229"/>
        <v>0</v>
      </c>
      <c r="R210" s="232">
        <f t="shared" si="217"/>
        <v>0</v>
      </c>
    </row>
    <row r="211" spans="1:18" s="29" customFormat="1" hidden="1">
      <c r="A211" s="132">
        <v>3000</v>
      </c>
      <c r="B211" s="101" t="s">
        <v>111</v>
      </c>
      <c r="C211" s="245"/>
      <c r="D211" s="345">
        <v>0</v>
      </c>
      <c r="E211" s="246"/>
      <c r="F211" s="246"/>
      <c r="G211" s="246"/>
      <c r="H211" s="232">
        <f t="shared" si="215"/>
        <v>0</v>
      </c>
      <c r="I211" s="345">
        <v>0</v>
      </c>
      <c r="J211" s="246"/>
      <c r="K211" s="246"/>
      <c r="L211" s="246"/>
      <c r="M211" s="232">
        <f t="shared" si="216"/>
        <v>0</v>
      </c>
      <c r="N211" s="345">
        <v>0</v>
      </c>
      <c r="O211" s="246"/>
      <c r="P211" s="246"/>
      <c r="Q211" s="246"/>
      <c r="R211" s="232">
        <f t="shared" si="217"/>
        <v>0</v>
      </c>
    </row>
    <row r="212" spans="1:18" s="29" customFormat="1" hidden="1">
      <c r="A212" s="132">
        <v>6000</v>
      </c>
      <c r="B212" s="101" t="s">
        <v>112</v>
      </c>
      <c r="C212" s="247"/>
      <c r="D212" s="346">
        <v>0</v>
      </c>
      <c r="E212" s="248"/>
      <c r="F212" s="248"/>
      <c r="G212" s="248"/>
      <c r="H212" s="232">
        <f t="shared" si="215"/>
        <v>0</v>
      </c>
      <c r="I212" s="346">
        <v>0</v>
      </c>
      <c r="J212" s="248"/>
      <c r="K212" s="248"/>
      <c r="L212" s="248"/>
      <c r="M212" s="232">
        <f t="shared" si="216"/>
        <v>0</v>
      </c>
      <c r="N212" s="346">
        <v>0</v>
      </c>
      <c r="O212" s="248"/>
      <c r="P212" s="248"/>
      <c r="Q212" s="248"/>
      <c r="R212" s="232">
        <f t="shared" si="217"/>
        <v>0</v>
      </c>
    </row>
    <row r="213" spans="1:18" s="29" customFormat="1" ht="22.8" hidden="1">
      <c r="A213" s="140" t="s">
        <v>113</v>
      </c>
      <c r="B213" s="100" t="s">
        <v>183</v>
      </c>
      <c r="C213" s="232">
        <v>0</v>
      </c>
      <c r="D213" s="233">
        <v>0</v>
      </c>
      <c r="E213" s="233">
        <f t="shared" ref="E213:G213" si="230">E214+E215</f>
        <v>0</v>
      </c>
      <c r="F213" s="233">
        <f t="shared" si="230"/>
        <v>0</v>
      </c>
      <c r="G213" s="233">
        <f t="shared" si="230"/>
        <v>0</v>
      </c>
      <c r="H213" s="232">
        <f t="shared" si="215"/>
        <v>0</v>
      </c>
      <c r="I213" s="233">
        <v>0</v>
      </c>
      <c r="J213" s="233">
        <f t="shared" ref="J213:L213" si="231">J214+J215</f>
        <v>0</v>
      </c>
      <c r="K213" s="233">
        <f t="shared" si="231"/>
        <v>0</v>
      </c>
      <c r="L213" s="233">
        <f t="shared" si="231"/>
        <v>0</v>
      </c>
      <c r="M213" s="232">
        <f t="shared" si="216"/>
        <v>0</v>
      </c>
      <c r="N213" s="233">
        <v>0</v>
      </c>
      <c r="O213" s="233">
        <f t="shared" ref="O213:Q213" si="232">O214+O215</f>
        <v>0</v>
      </c>
      <c r="P213" s="233">
        <f t="shared" si="232"/>
        <v>0</v>
      </c>
      <c r="Q213" s="233">
        <f t="shared" si="232"/>
        <v>0</v>
      </c>
      <c r="R213" s="232">
        <f t="shared" si="217"/>
        <v>0</v>
      </c>
    </row>
    <row r="214" spans="1:18" s="29" customFormat="1" hidden="1">
      <c r="A214" s="132">
        <v>7600</v>
      </c>
      <c r="B214" s="249" t="s">
        <v>184</v>
      </c>
      <c r="C214" s="232"/>
      <c r="D214" s="233">
        <v>0</v>
      </c>
      <c r="E214" s="244"/>
      <c r="F214" s="244"/>
      <c r="G214" s="244"/>
      <c r="H214" s="232">
        <f t="shared" si="215"/>
        <v>0</v>
      </c>
      <c r="I214" s="233">
        <v>0</v>
      </c>
      <c r="J214" s="244"/>
      <c r="K214" s="244"/>
      <c r="L214" s="244"/>
      <c r="M214" s="232">
        <f t="shared" si="216"/>
        <v>0</v>
      </c>
      <c r="N214" s="233">
        <v>0</v>
      </c>
      <c r="O214" s="244"/>
      <c r="P214" s="244"/>
      <c r="Q214" s="244"/>
      <c r="R214" s="232">
        <f t="shared" si="217"/>
        <v>0</v>
      </c>
    </row>
    <row r="215" spans="1:18" s="29" customFormat="1" hidden="1">
      <c r="A215" s="132">
        <v>7700</v>
      </c>
      <c r="B215" s="250" t="s">
        <v>114</v>
      </c>
      <c r="C215" s="232"/>
      <c r="D215" s="233">
        <v>0</v>
      </c>
      <c r="E215" s="244"/>
      <c r="F215" s="244"/>
      <c r="G215" s="244"/>
      <c r="H215" s="232">
        <f t="shared" si="215"/>
        <v>0</v>
      </c>
      <c r="I215" s="233">
        <v>0</v>
      </c>
      <c r="J215" s="244"/>
      <c r="K215" s="244"/>
      <c r="L215" s="244"/>
      <c r="M215" s="232">
        <f t="shared" si="216"/>
        <v>0</v>
      </c>
      <c r="N215" s="233">
        <v>0</v>
      </c>
      <c r="O215" s="244"/>
      <c r="P215" s="244"/>
      <c r="Q215" s="244"/>
      <c r="R215" s="232">
        <f t="shared" si="217"/>
        <v>0</v>
      </c>
    </row>
    <row r="216" spans="1:18" s="29" customFormat="1" ht="20.399999999999999" hidden="1">
      <c r="A216" s="140" t="s">
        <v>185</v>
      </c>
      <c r="B216" s="100" t="s">
        <v>115</v>
      </c>
      <c r="C216" s="232">
        <v>0</v>
      </c>
      <c r="D216" s="233">
        <v>0</v>
      </c>
      <c r="E216" s="233">
        <f t="shared" ref="E216:G216" si="233">E217+E223+E227+E230</f>
        <v>0</v>
      </c>
      <c r="F216" s="233">
        <f t="shared" si="233"/>
        <v>0</v>
      </c>
      <c r="G216" s="233">
        <f t="shared" si="233"/>
        <v>0</v>
      </c>
      <c r="H216" s="232">
        <f t="shared" si="215"/>
        <v>0</v>
      </c>
      <c r="I216" s="233">
        <v>0</v>
      </c>
      <c r="J216" s="233">
        <f t="shared" ref="J216:L216" si="234">J217+J223+J227+J230</f>
        <v>0</v>
      </c>
      <c r="K216" s="233">
        <f t="shared" si="234"/>
        <v>0</v>
      </c>
      <c r="L216" s="233">
        <f t="shared" si="234"/>
        <v>0</v>
      </c>
      <c r="M216" s="232">
        <f t="shared" si="216"/>
        <v>0</v>
      </c>
      <c r="N216" s="233">
        <v>0</v>
      </c>
      <c r="O216" s="233">
        <f t="shared" ref="O216:Q216" si="235">O217+O223+O227+O230</f>
        <v>0</v>
      </c>
      <c r="P216" s="233">
        <f t="shared" si="235"/>
        <v>0</v>
      </c>
      <c r="Q216" s="233">
        <f t="shared" si="235"/>
        <v>0</v>
      </c>
      <c r="R216" s="232">
        <f t="shared" si="217"/>
        <v>0</v>
      </c>
    </row>
    <row r="217" spans="1:18" s="29" customFormat="1" hidden="1">
      <c r="A217" s="132">
        <v>7100</v>
      </c>
      <c r="B217" s="249" t="s">
        <v>116</v>
      </c>
      <c r="C217" s="232">
        <v>0</v>
      </c>
      <c r="D217" s="233">
        <v>0</v>
      </c>
      <c r="E217" s="233">
        <f t="shared" ref="E217:G217" si="236">E218+E219</f>
        <v>0</v>
      </c>
      <c r="F217" s="233">
        <f t="shared" si="236"/>
        <v>0</v>
      </c>
      <c r="G217" s="233">
        <f t="shared" si="236"/>
        <v>0</v>
      </c>
      <c r="H217" s="232">
        <f t="shared" si="215"/>
        <v>0</v>
      </c>
      <c r="I217" s="233">
        <v>0</v>
      </c>
      <c r="J217" s="233">
        <f t="shared" ref="J217:L217" si="237">J218+J219</f>
        <v>0</v>
      </c>
      <c r="K217" s="233">
        <f t="shared" si="237"/>
        <v>0</v>
      </c>
      <c r="L217" s="233">
        <f t="shared" si="237"/>
        <v>0</v>
      </c>
      <c r="M217" s="232">
        <f t="shared" si="216"/>
        <v>0</v>
      </c>
      <c r="N217" s="233">
        <v>0</v>
      </c>
      <c r="O217" s="233">
        <f t="shared" ref="O217:Q217" si="238">O218+O219</f>
        <v>0</v>
      </c>
      <c r="P217" s="233">
        <f t="shared" si="238"/>
        <v>0</v>
      </c>
      <c r="Q217" s="233">
        <f t="shared" si="238"/>
        <v>0</v>
      </c>
      <c r="R217" s="232">
        <f t="shared" si="217"/>
        <v>0</v>
      </c>
    </row>
    <row r="218" spans="1:18" s="29" customFormat="1" ht="24" hidden="1">
      <c r="A218" s="234" t="s">
        <v>117</v>
      </c>
      <c r="B218" s="249" t="s">
        <v>118</v>
      </c>
      <c r="C218" s="232"/>
      <c r="D218" s="233">
        <v>0</v>
      </c>
      <c r="E218" s="233"/>
      <c r="F218" s="233"/>
      <c r="G218" s="233"/>
      <c r="H218" s="232">
        <f t="shared" si="215"/>
        <v>0</v>
      </c>
      <c r="I218" s="233">
        <v>0</v>
      </c>
      <c r="J218" s="233"/>
      <c r="K218" s="233"/>
      <c r="L218" s="233"/>
      <c r="M218" s="232">
        <f t="shared" si="216"/>
        <v>0</v>
      </c>
      <c r="N218" s="233">
        <v>0</v>
      </c>
      <c r="O218" s="233"/>
      <c r="P218" s="233"/>
      <c r="Q218" s="233"/>
      <c r="R218" s="232">
        <f t="shared" si="217"/>
        <v>0</v>
      </c>
    </row>
    <row r="219" spans="1:18" s="29" customFormat="1" ht="24" hidden="1">
      <c r="A219" s="234">
        <v>7130</v>
      </c>
      <c r="B219" s="249" t="s">
        <v>119</v>
      </c>
      <c r="C219" s="232">
        <v>0</v>
      </c>
      <c r="D219" s="233">
        <v>0</v>
      </c>
      <c r="E219" s="233">
        <f t="shared" ref="E219:G219" si="239">SUM(E220:E222)</f>
        <v>0</v>
      </c>
      <c r="F219" s="233">
        <f t="shared" ref="F219" si="240">SUM(F220:F222)</f>
        <v>0</v>
      </c>
      <c r="G219" s="233">
        <f t="shared" si="239"/>
        <v>0</v>
      </c>
      <c r="H219" s="232">
        <f t="shared" si="215"/>
        <v>0</v>
      </c>
      <c r="I219" s="233">
        <v>0</v>
      </c>
      <c r="J219" s="233">
        <f t="shared" ref="J219:L219" si="241">SUM(J220:J222)</f>
        <v>0</v>
      </c>
      <c r="K219" s="233">
        <f t="shared" si="241"/>
        <v>0</v>
      </c>
      <c r="L219" s="233">
        <f t="shared" si="241"/>
        <v>0</v>
      </c>
      <c r="M219" s="232">
        <f t="shared" si="216"/>
        <v>0</v>
      </c>
      <c r="N219" s="233">
        <v>0</v>
      </c>
      <c r="O219" s="233">
        <f t="shared" ref="O219:Q219" si="242">SUM(O220:O222)</f>
        <v>0</v>
      </c>
      <c r="P219" s="233">
        <f t="shared" si="242"/>
        <v>0</v>
      </c>
      <c r="Q219" s="233">
        <f t="shared" si="242"/>
        <v>0</v>
      </c>
      <c r="R219" s="232">
        <f t="shared" si="217"/>
        <v>0</v>
      </c>
    </row>
    <row r="220" spans="1:18" s="29" customFormat="1" ht="36" hidden="1">
      <c r="A220" s="236">
        <v>7131</v>
      </c>
      <c r="B220" s="249" t="s">
        <v>120</v>
      </c>
      <c r="C220" s="232"/>
      <c r="D220" s="233">
        <v>0</v>
      </c>
      <c r="E220" s="233"/>
      <c r="F220" s="233"/>
      <c r="G220" s="233"/>
      <c r="H220" s="232">
        <f t="shared" si="215"/>
        <v>0</v>
      </c>
      <c r="I220" s="233">
        <v>0</v>
      </c>
      <c r="J220" s="233"/>
      <c r="K220" s="233"/>
      <c r="L220" s="233"/>
      <c r="M220" s="232">
        <f t="shared" si="216"/>
        <v>0</v>
      </c>
      <c r="N220" s="233">
        <v>0</v>
      </c>
      <c r="O220" s="233"/>
      <c r="P220" s="233"/>
      <c r="Q220" s="233"/>
      <c r="R220" s="232">
        <f t="shared" si="217"/>
        <v>0</v>
      </c>
    </row>
    <row r="221" spans="1:18" s="29" customFormat="1" ht="36" hidden="1">
      <c r="A221" s="236">
        <v>7132</v>
      </c>
      <c r="B221" s="249" t="s">
        <v>121</v>
      </c>
      <c r="C221" s="232"/>
      <c r="D221" s="233">
        <v>0</v>
      </c>
      <c r="E221" s="233"/>
      <c r="F221" s="233"/>
      <c r="G221" s="233"/>
      <c r="H221" s="232">
        <f t="shared" si="215"/>
        <v>0</v>
      </c>
      <c r="I221" s="233">
        <v>0</v>
      </c>
      <c r="J221" s="233"/>
      <c r="K221" s="233"/>
      <c r="L221" s="233"/>
      <c r="M221" s="232">
        <f t="shared" si="216"/>
        <v>0</v>
      </c>
      <c r="N221" s="233">
        <v>0</v>
      </c>
      <c r="O221" s="233"/>
      <c r="P221" s="233"/>
      <c r="Q221" s="233"/>
      <c r="R221" s="232">
        <f t="shared" si="217"/>
        <v>0</v>
      </c>
    </row>
    <row r="222" spans="1:18" s="29" customFormat="1" ht="24" hidden="1">
      <c r="A222" s="236" t="s">
        <v>186</v>
      </c>
      <c r="B222" s="249" t="s">
        <v>187</v>
      </c>
      <c r="C222" s="232"/>
      <c r="D222" s="233">
        <v>0</v>
      </c>
      <c r="E222" s="233"/>
      <c r="F222" s="233"/>
      <c r="G222" s="233"/>
      <c r="H222" s="232">
        <f t="shared" si="215"/>
        <v>0</v>
      </c>
      <c r="I222" s="233">
        <v>0</v>
      </c>
      <c r="J222" s="233"/>
      <c r="K222" s="233"/>
      <c r="L222" s="233"/>
      <c r="M222" s="232">
        <f t="shared" si="216"/>
        <v>0</v>
      </c>
      <c r="N222" s="233">
        <v>0</v>
      </c>
      <c r="O222" s="233"/>
      <c r="P222" s="233"/>
      <c r="Q222" s="233"/>
      <c r="R222" s="232">
        <f t="shared" si="217"/>
        <v>0</v>
      </c>
    </row>
    <row r="223" spans="1:18" s="29" customFormat="1" ht="24" hidden="1">
      <c r="A223" s="132">
        <v>7300</v>
      </c>
      <c r="B223" s="235" t="s">
        <v>155</v>
      </c>
      <c r="C223" s="232">
        <v>0</v>
      </c>
      <c r="D223" s="233">
        <v>0</v>
      </c>
      <c r="E223" s="233">
        <f t="shared" ref="E223:G223" si="243">SUM(E224:E226)</f>
        <v>0</v>
      </c>
      <c r="F223" s="233">
        <f t="shared" si="243"/>
        <v>0</v>
      </c>
      <c r="G223" s="233">
        <f t="shared" si="243"/>
        <v>0</v>
      </c>
      <c r="H223" s="232">
        <f t="shared" si="215"/>
        <v>0</v>
      </c>
      <c r="I223" s="233">
        <v>0</v>
      </c>
      <c r="J223" s="233">
        <f t="shared" ref="J223:L223" si="244">SUM(J224:J226)</f>
        <v>0</v>
      </c>
      <c r="K223" s="233">
        <f t="shared" si="244"/>
        <v>0</v>
      </c>
      <c r="L223" s="233">
        <f t="shared" si="244"/>
        <v>0</v>
      </c>
      <c r="M223" s="232">
        <f t="shared" si="216"/>
        <v>0</v>
      </c>
      <c r="N223" s="233">
        <v>0</v>
      </c>
      <c r="O223" s="233">
        <f t="shared" ref="O223:Q223" si="245">SUM(O224:O226)</f>
        <v>0</v>
      </c>
      <c r="P223" s="233">
        <f t="shared" si="245"/>
        <v>0</v>
      </c>
      <c r="Q223" s="233">
        <f t="shared" si="245"/>
        <v>0</v>
      </c>
      <c r="R223" s="232">
        <f t="shared" si="217"/>
        <v>0</v>
      </c>
    </row>
    <row r="224" spans="1:18" s="29" customFormat="1" ht="24" hidden="1">
      <c r="A224" s="234" t="s">
        <v>188</v>
      </c>
      <c r="B224" s="249" t="s">
        <v>170</v>
      </c>
      <c r="C224" s="251"/>
      <c r="D224" s="252">
        <v>0</v>
      </c>
      <c r="E224" s="252"/>
      <c r="F224" s="252"/>
      <c r="G224" s="252"/>
      <c r="H224" s="232">
        <f t="shared" si="215"/>
        <v>0</v>
      </c>
      <c r="I224" s="252">
        <v>0</v>
      </c>
      <c r="J224" s="252"/>
      <c r="K224" s="252"/>
      <c r="L224" s="252"/>
      <c r="M224" s="232">
        <f t="shared" si="216"/>
        <v>0</v>
      </c>
      <c r="N224" s="252">
        <v>0</v>
      </c>
      <c r="O224" s="252"/>
      <c r="P224" s="252"/>
      <c r="Q224" s="252"/>
      <c r="R224" s="232">
        <f t="shared" si="217"/>
        <v>0</v>
      </c>
    </row>
    <row r="225" spans="1:18" s="29" customFormat="1" ht="48" hidden="1">
      <c r="A225" s="234" t="s">
        <v>189</v>
      </c>
      <c r="B225" s="249" t="s">
        <v>156</v>
      </c>
      <c r="C225" s="251"/>
      <c r="D225" s="252">
        <v>0</v>
      </c>
      <c r="E225" s="252"/>
      <c r="F225" s="252"/>
      <c r="G225" s="252"/>
      <c r="H225" s="232">
        <f t="shared" si="215"/>
        <v>0</v>
      </c>
      <c r="I225" s="252">
        <v>0</v>
      </c>
      <c r="J225" s="252"/>
      <c r="K225" s="252"/>
      <c r="L225" s="252"/>
      <c r="M225" s="232">
        <f t="shared" si="216"/>
        <v>0</v>
      </c>
      <c r="N225" s="252">
        <v>0</v>
      </c>
      <c r="O225" s="252"/>
      <c r="P225" s="252"/>
      <c r="Q225" s="252"/>
      <c r="R225" s="232">
        <f t="shared" si="217"/>
        <v>0</v>
      </c>
    </row>
    <row r="226" spans="1:18" s="29" customFormat="1" ht="36" hidden="1">
      <c r="A226" s="234">
        <v>7350</v>
      </c>
      <c r="B226" s="249" t="s">
        <v>163</v>
      </c>
      <c r="C226" s="251"/>
      <c r="D226" s="252">
        <v>0</v>
      </c>
      <c r="E226" s="252"/>
      <c r="F226" s="252"/>
      <c r="G226" s="252"/>
      <c r="H226" s="232">
        <f t="shared" si="215"/>
        <v>0</v>
      </c>
      <c r="I226" s="252">
        <v>0</v>
      </c>
      <c r="J226" s="252"/>
      <c r="K226" s="252"/>
      <c r="L226" s="252"/>
      <c r="M226" s="232">
        <f t="shared" si="216"/>
        <v>0</v>
      </c>
      <c r="N226" s="252">
        <v>0</v>
      </c>
      <c r="O226" s="252"/>
      <c r="P226" s="252"/>
      <c r="Q226" s="252"/>
      <c r="R226" s="232">
        <f t="shared" si="217"/>
        <v>0</v>
      </c>
    </row>
    <row r="227" spans="1:18" s="29" customFormat="1" ht="24" hidden="1">
      <c r="A227" s="132">
        <v>7400</v>
      </c>
      <c r="B227" s="235" t="s">
        <v>161</v>
      </c>
      <c r="C227" s="232">
        <v>0</v>
      </c>
      <c r="D227" s="233">
        <v>0</v>
      </c>
      <c r="E227" s="233">
        <f t="shared" ref="E227:G227" si="246">SUM(E228:E229)</f>
        <v>0</v>
      </c>
      <c r="F227" s="233">
        <f t="shared" si="246"/>
        <v>0</v>
      </c>
      <c r="G227" s="233">
        <f t="shared" si="246"/>
        <v>0</v>
      </c>
      <c r="H227" s="232">
        <f t="shared" si="215"/>
        <v>0</v>
      </c>
      <c r="I227" s="233">
        <v>0</v>
      </c>
      <c r="J227" s="233">
        <f t="shared" ref="J227:L227" si="247">SUM(J228:J229)</f>
        <v>0</v>
      </c>
      <c r="K227" s="233">
        <f t="shared" si="247"/>
        <v>0</v>
      </c>
      <c r="L227" s="233">
        <f t="shared" si="247"/>
        <v>0</v>
      </c>
      <c r="M227" s="232">
        <f t="shared" si="216"/>
        <v>0</v>
      </c>
      <c r="N227" s="233">
        <v>0</v>
      </c>
      <c r="O227" s="233">
        <f t="shared" ref="O227:Q227" si="248">SUM(O228:O229)</f>
        <v>0</v>
      </c>
      <c r="P227" s="233">
        <f t="shared" si="248"/>
        <v>0</v>
      </c>
      <c r="Q227" s="233">
        <f t="shared" si="248"/>
        <v>0</v>
      </c>
      <c r="R227" s="232">
        <f t="shared" si="217"/>
        <v>0</v>
      </c>
    </row>
    <row r="228" spans="1:18" s="29" customFormat="1" ht="24" hidden="1">
      <c r="A228" s="234">
        <v>7460</v>
      </c>
      <c r="B228" s="235" t="s">
        <v>162</v>
      </c>
      <c r="C228" s="251"/>
      <c r="D228" s="252">
        <v>0</v>
      </c>
      <c r="E228" s="252"/>
      <c r="F228" s="252"/>
      <c r="G228" s="252"/>
      <c r="H228" s="232">
        <f t="shared" si="215"/>
        <v>0</v>
      </c>
      <c r="I228" s="252">
        <v>0</v>
      </c>
      <c r="J228" s="252"/>
      <c r="K228" s="252"/>
      <c r="L228" s="252"/>
      <c r="M228" s="232">
        <f t="shared" si="216"/>
        <v>0</v>
      </c>
      <c r="N228" s="252">
        <v>0</v>
      </c>
      <c r="O228" s="252"/>
      <c r="P228" s="252"/>
      <c r="Q228" s="252"/>
      <c r="R228" s="232">
        <f t="shared" si="217"/>
        <v>0</v>
      </c>
    </row>
    <row r="229" spans="1:18" s="29" customFormat="1" ht="36" hidden="1">
      <c r="A229" s="234">
        <v>7470</v>
      </c>
      <c r="B229" s="249" t="s">
        <v>167</v>
      </c>
      <c r="C229" s="251"/>
      <c r="D229" s="252">
        <v>0</v>
      </c>
      <c r="E229" s="252"/>
      <c r="F229" s="252"/>
      <c r="G229" s="252"/>
      <c r="H229" s="232">
        <f t="shared" si="215"/>
        <v>0</v>
      </c>
      <c r="I229" s="252">
        <v>0</v>
      </c>
      <c r="J229" s="252"/>
      <c r="K229" s="252"/>
      <c r="L229" s="252"/>
      <c r="M229" s="232">
        <f t="shared" si="216"/>
        <v>0</v>
      </c>
      <c r="N229" s="252">
        <v>0</v>
      </c>
      <c r="O229" s="252"/>
      <c r="P229" s="252"/>
      <c r="Q229" s="252"/>
      <c r="R229" s="232">
        <f t="shared" si="217"/>
        <v>0</v>
      </c>
    </row>
    <row r="230" spans="1:18" s="29" customFormat="1" ht="24" hidden="1">
      <c r="A230" s="132">
        <v>7500</v>
      </c>
      <c r="B230" s="249" t="s">
        <v>157</v>
      </c>
      <c r="C230" s="232"/>
      <c r="D230" s="233">
        <v>0</v>
      </c>
      <c r="E230" s="233"/>
      <c r="F230" s="233"/>
      <c r="G230" s="233"/>
      <c r="H230" s="232">
        <f t="shared" si="215"/>
        <v>0</v>
      </c>
      <c r="I230" s="233">
        <v>0</v>
      </c>
      <c r="J230" s="233"/>
      <c r="K230" s="233"/>
      <c r="L230" s="233"/>
      <c r="M230" s="232">
        <f t="shared" si="216"/>
        <v>0</v>
      </c>
      <c r="N230" s="233">
        <v>0</v>
      </c>
      <c r="O230" s="233"/>
      <c r="P230" s="233"/>
      <c r="Q230" s="233"/>
      <c r="R230" s="232">
        <f t="shared" si="217"/>
        <v>0</v>
      </c>
    </row>
    <row r="231" spans="1:18" s="29" customFormat="1" hidden="1">
      <c r="A231" s="140" t="s">
        <v>133</v>
      </c>
      <c r="B231" s="100" t="s">
        <v>122</v>
      </c>
      <c r="C231" s="253">
        <v>0</v>
      </c>
      <c r="D231" s="254">
        <v>0</v>
      </c>
      <c r="E231" s="254">
        <f t="shared" ref="E231:G231" si="249">E232+E233</f>
        <v>0</v>
      </c>
      <c r="F231" s="254">
        <f t="shared" si="249"/>
        <v>0</v>
      </c>
      <c r="G231" s="254">
        <f t="shared" si="249"/>
        <v>0</v>
      </c>
      <c r="H231" s="232">
        <f t="shared" si="215"/>
        <v>0</v>
      </c>
      <c r="I231" s="254">
        <v>0</v>
      </c>
      <c r="J231" s="254">
        <f t="shared" ref="J231:L231" si="250">J232+J233</f>
        <v>0</v>
      </c>
      <c r="K231" s="254">
        <f t="shared" si="250"/>
        <v>0</v>
      </c>
      <c r="L231" s="254">
        <f t="shared" si="250"/>
        <v>0</v>
      </c>
      <c r="M231" s="232">
        <f t="shared" si="216"/>
        <v>0</v>
      </c>
      <c r="N231" s="254">
        <v>0</v>
      </c>
      <c r="O231" s="254">
        <f t="shared" ref="O231:Q231" si="251">O232+O233</f>
        <v>0</v>
      </c>
      <c r="P231" s="254">
        <f t="shared" si="251"/>
        <v>0</v>
      </c>
      <c r="Q231" s="254">
        <f t="shared" si="251"/>
        <v>0</v>
      </c>
      <c r="R231" s="232">
        <f t="shared" si="217"/>
        <v>0</v>
      </c>
    </row>
    <row r="232" spans="1:18" s="29" customFormat="1" hidden="1">
      <c r="A232" s="140">
        <v>5000</v>
      </c>
      <c r="B232" s="100" t="s">
        <v>123</v>
      </c>
      <c r="C232" s="232"/>
      <c r="D232" s="233">
        <v>0</v>
      </c>
      <c r="E232" s="244"/>
      <c r="F232" s="244"/>
      <c r="G232" s="244"/>
      <c r="H232" s="232">
        <f t="shared" si="215"/>
        <v>0</v>
      </c>
      <c r="I232" s="233">
        <v>0</v>
      </c>
      <c r="J232" s="244"/>
      <c r="K232" s="244"/>
      <c r="L232" s="244"/>
      <c r="M232" s="232">
        <f t="shared" si="216"/>
        <v>0</v>
      </c>
      <c r="N232" s="233">
        <v>0</v>
      </c>
      <c r="O232" s="244"/>
      <c r="P232" s="244"/>
      <c r="Q232" s="244"/>
      <c r="R232" s="232">
        <f t="shared" si="217"/>
        <v>0</v>
      </c>
    </row>
    <row r="233" spans="1:18" s="29" customFormat="1" hidden="1">
      <c r="A233" s="140">
        <v>9000</v>
      </c>
      <c r="B233" s="255" t="s">
        <v>164</v>
      </c>
      <c r="C233" s="232">
        <v>0</v>
      </c>
      <c r="D233" s="233">
        <v>0</v>
      </c>
      <c r="E233" s="233">
        <f t="shared" ref="E233:G233" si="252">E234+E240+E244+E247</f>
        <v>0</v>
      </c>
      <c r="F233" s="233">
        <f t="shared" si="252"/>
        <v>0</v>
      </c>
      <c r="G233" s="233">
        <f t="shared" si="252"/>
        <v>0</v>
      </c>
      <c r="H233" s="232">
        <f t="shared" si="215"/>
        <v>0</v>
      </c>
      <c r="I233" s="233">
        <v>0</v>
      </c>
      <c r="J233" s="233">
        <f t="shared" ref="J233:L233" si="253">J234+J240+J244+J247</f>
        <v>0</v>
      </c>
      <c r="K233" s="233">
        <f t="shared" si="253"/>
        <v>0</v>
      </c>
      <c r="L233" s="233">
        <f t="shared" si="253"/>
        <v>0</v>
      </c>
      <c r="M233" s="232">
        <f t="shared" si="216"/>
        <v>0</v>
      </c>
      <c r="N233" s="233">
        <v>0</v>
      </c>
      <c r="O233" s="233">
        <f t="shared" ref="O233:Q233" si="254">O234+O240+O244+O247</f>
        <v>0</v>
      </c>
      <c r="P233" s="233">
        <f t="shared" si="254"/>
        <v>0</v>
      </c>
      <c r="Q233" s="233">
        <f t="shared" si="254"/>
        <v>0</v>
      </c>
      <c r="R233" s="232">
        <f t="shared" si="217"/>
        <v>0</v>
      </c>
    </row>
    <row r="234" spans="1:18" s="29" customFormat="1" hidden="1">
      <c r="A234" s="256">
        <v>9100</v>
      </c>
      <c r="B234" s="249" t="s">
        <v>124</v>
      </c>
      <c r="C234" s="232">
        <v>0</v>
      </c>
      <c r="D234" s="233">
        <v>0</v>
      </c>
      <c r="E234" s="233">
        <f t="shared" ref="E234:G234" si="255">SUM(E235:E236)</f>
        <v>0</v>
      </c>
      <c r="F234" s="233">
        <f t="shared" ref="F234" si="256">SUM(F235:F236)</f>
        <v>0</v>
      </c>
      <c r="G234" s="233">
        <f t="shared" si="255"/>
        <v>0</v>
      </c>
      <c r="H234" s="232">
        <f t="shared" si="215"/>
        <v>0</v>
      </c>
      <c r="I234" s="233">
        <v>0</v>
      </c>
      <c r="J234" s="233">
        <f t="shared" ref="J234:L234" si="257">SUM(J235:J236)</f>
        <v>0</v>
      </c>
      <c r="K234" s="233">
        <f t="shared" si="257"/>
        <v>0</v>
      </c>
      <c r="L234" s="233">
        <f t="shared" si="257"/>
        <v>0</v>
      </c>
      <c r="M234" s="232">
        <f t="shared" si="216"/>
        <v>0</v>
      </c>
      <c r="N234" s="233">
        <v>0</v>
      </c>
      <c r="O234" s="233">
        <f t="shared" ref="O234:Q234" si="258">SUM(O235:O236)</f>
        <v>0</v>
      </c>
      <c r="P234" s="233">
        <f t="shared" si="258"/>
        <v>0</v>
      </c>
      <c r="Q234" s="233">
        <f t="shared" si="258"/>
        <v>0</v>
      </c>
      <c r="R234" s="232">
        <f t="shared" si="217"/>
        <v>0</v>
      </c>
    </row>
    <row r="235" spans="1:18" s="29" customFormat="1" ht="24" hidden="1">
      <c r="A235" s="234" t="s">
        <v>125</v>
      </c>
      <c r="B235" s="249" t="s">
        <v>203</v>
      </c>
      <c r="C235" s="232"/>
      <c r="D235" s="233">
        <v>0</v>
      </c>
      <c r="E235" s="233"/>
      <c r="F235" s="233"/>
      <c r="G235" s="233"/>
      <c r="H235" s="232">
        <f t="shared" si="215"/>
        <v>0</v>
      </c>
      <c r="I235" s="233">
        <v>0</v>
      </c>
      <c r="J235" s="233"/>
      <c r="K235" s="233"/>
      <c r="L235" s="233"/>
      <c r="M235" s="232">
        <f t="shared" si="216"/>
        <v>0</v>
      </c>
      <c r="N235" s="233">
        <v>0</v>
      </c>
      <c r="O235" s="233"/>
      <c r="P235" s="233"/>
      <c r="Q235" s="233"/>
      <c r="R235" s="232">
        <f t="shared" si="217"/>
        <v>0</v>
      </c>
    </row>
    <row r="236" spans="1:18" s="29" customFormat="1" ht="24" hidden="1">
      <c r="A236" s="234">
        <v>9140</v>
      </c>
      <c r="B236" s="249" t="s">
        <v>204</v>
      </c>
      <c r="C236" s="232">
        <v>0</v>
      </c>
      <c r="D236" s="233">
        <v>0</v>
      </c>
      <c r="E236" s="233">
        <f t="shared" ref="E236:G236" si="259">SUM(E237:E239)</f>
        <v>0</v>
      </c>
      <c r="F236" s="233">
        <f t="shared" si="259"/>
        <v>0</v>
      </c>
      <c r="G236" s="233">
        <f t="shared" si="259"/>
        <v>0</v>
      </c>
      <c r="H236" s="232">
        <f t="shared" si="215"/>
        <v>0</v>
      </c>
      <c r="I236" s="233">
        <v>0</v>
      </c>
      <c r="J236" s="233">
        <f t="shared" ref="J236:L236" si="260">SUM(J237:J239)</f>
        <v>0</v>
      </c>
      <c r="K236" s="233">
        <f t="shared" si="260"/>
        <v>0</v>
      </c>
      <c r="L236" s="233">
        <f t="shared" si="260"/>
        <v>0</v>
      </c>
      <c r="M236" s="232">
        <f t="shared" si="216"/>
        <v>0</v>
      </c>
      <c r="N236" s="233">
        <v>0</v>
      </c>
      <c r="O236" s="233">
        <f t="shared" ref="O236:Q236" si="261">SUM(O237:O239)</f>
        <v>0</v>
      </c>
      <c r="P236" s="233">
        <f t="shared" si="261"/>
        <v>0</v>
      </c>
      <c r="Q236" s="233">
        <f t="shared" si="261"/>
        <v>0</v>
      </c>
      <c r="R236" s="232">
        <f t="shared" si="217"/>
        <v>0</v>
      </c>
    </row>
    <row r="237" spans="1:18" s="29" customFormat="1" ht="36" hidden="1">
      <c r="A237" s="236">
        <v>9141</v>
      </c>
      <c r="B237" s="235" t="s">
        <v>190</v>
      </c>
      <c r="C237" s="251"/>
      <c r="D237" s="252">
        <v>0</v>
      </c>
      <c r="E237" s="252"/>
      <c r="F237" s="252"/>
      <c r="G237" s="252"/>
      <c r="H237" s="232">
        <f t="shared" si="215"/>
        <v>0</v>
      </c>
      <c r="I237" s="252">
        <v>0</v>
      </c>
      <c r="J237" s="252"/>
      <c r="K237" s="252"/>
      <c r="L237" s="252"/>
      <c r="M237" s="232">
        <f t="shared" si="216"/>
        <v>0</v>
      </c>
      <c r="N237" s="252">
        <v>0</v>
      </c>
      <c r="O237" s="252"/>
      <c r="P237" s="252"/>
      <c r="Q237" s="252"/>
      <c r="R237" s="232">
        <f t="shared" si="217"/>
        <v>0</v>
      </c>
    </row>
    <row r="238" spans="1:18" s="29" customFormat="1" ht="36" hidden="1">
      <c r="A238" s="236">
        <v>9142</v>
      </c>
      <c r="B238" s="235" t="s">
        <v>191</v>
      </c>
      <c r="C238" s="251"/>
      <c r="D238" s="252">
        <v>0</v>
      </c>
      <c r="E238" s="252"/>
      <c r="F238" s="252"/>
      <c r="G238" s="252"/>
      <c r="H238" s="232">
        <f t="shared" si="215"/>
        <v>0</v>
      </c>
      <c r="I238" s="252">
        <v>0</v>
      </c>
      <c r="J238" s="252"/>
      <c r="K238" s="252"/>
      <c r="L238" s="252"/>
      <c r="M238" s="232">
        <f t="shared" si="216"/>
        <v>0</v>
      </c>
      <c r="N238" s="252">
        <v>0</v>
      </c>
      <c r="O238" s="252"/>
      <c r="P238" s="252"/>
      <c r="Q238" s="252"/>
      <c r="R238" s="232">
        <f t="shared" si="217"/>
        <v>0</v>
      </c>
    </row>
    <row r="239" spans="1:18" s="29" customFormat="1" ht="24" hidden="1">
      <c r="A239" s="236">
        <v>9149</v>
      </c>
      <c r="B239" s="235" t="s">
        <v>192</v>
      </c>
      <c r="C239" s="251"/>
      <c r="D239" s="252">
        <v>0</v>
      </c>
      <c r="E239" s="252"/>
      <c r="F239" s="252"/>
      <c r="G239" s="252"/>
      <c r="H239" s="232">
        <f t="shared" si="215"/>
        <v>0</v>
      </c>
      <c r="I239" s="252">
        <v>0</v>
      </c>
      <c r="J239" s="252"/>
      <c r="K239" s="252"/>
      <c r="L239" s="252"/>
      <c r="M239" s="232">
        <f t="shared" si="216"/>
        <v>0</v>
      </c>
      <c r="N239" s="252">
        <v>0</v>
      </c>
      <c r="O239" s="252"/>
      <c r="P239" s="252"/>
      <c r="Q239" s="252"/>
      <c r="R239" s="232">
        <f t="shared" si="217"/>
        <v>0</v>
      </c>
    </row>
    <row r="240" spans="1:18" s="29" customFormat="1" ht="24" hidden="1">
      <c r="A240" s="256">
        <v>9500</v>
      </c>
      <c r="B240" s="235" t="s">
        <v>165</v>
      </c>
      <c r="C240" s="232">
        <v>0</v>
      </c>
      <c r="D240" s="233">
        <v>0</v>
      </c>
      <c r="E240" s="233">
        <f t="shared" ref="E240:G240" si="262">SUM(E241:E243)</f>
        <v>0</v>
      </c>
      <c r="F240" s="233">
        <f t="shared" si="262"/>
        <v>0</v>
      </c>
      <c r="G240" s="233">
        <f t="shared" si="262"/>
        <v>0</v>
      </c>
      <c r="H240" s="232">
        <f t="shared" si="215"/>
        <v>0</v>
      </c>
      <c r="I240" s="233">
        <v>0</v>
      </c>
      <c r="J240" s="233">
        <f t="shared" ref="J240:L240" si="263">SUM(J241:J243)</f>
        <v>0</v>
      </c>
      <c r="K240" s="233">
        <f t="shared" si="263"/>
        <v>0</v>
      </c>
      <c r="L240" s="233">
        <f t="shared" si="263"/>
        <v>0</v>
      </c>
      <c r="M240" s="232">
        <f t="shared" si="216"/>
        <v>0</v>
      </c>
      <c r="N240" s="233">
        <v>0</v>
      </c>
      <c r="O240" s="233">
        <f t="shared" ref="O240:Q240" si="264">SUM(O241:O243)</f>
        <v>0</v>
      </c>
      <c r="P240" s="233">
        <f t="shared" si="264"/>
        <v>0</v>
      </c>
      <c r="Q240" s="233">
        <f t="shared" si="264"/>
        <v>0</v>
      </c>
      <c r="R240" s="232">
        <f t="shared" si="217"/>
        <v>0</v>
      </c>
    </row>
    <row r="241" spans="1:18" s="29" customFormat="1" ht="24" hidden="1">
      <c r="A241" s="234" t="s">
        <v>193</v>
      </c>
      <c r="B241" s="235" t="s">
        <v>171</v>
      </c>
      <c r="C241" s="232"/>
      <c r="D241" s="233">
        <v>0</v>
      </c>
      <c r="E241" s="233"/>
      <c r="F241" s="233"/>
      <c r="G241" s="233"/>
      <c r="H241" s="232">
        <f t="shared" si="215"/>
        <v>0</v>
      </c>
      <c r="I241" s="233">
        <v>0</v>
      </c>
      <c r="J241" s="233"/>
      <c r="K241" s="233"/>
      <c r="L241" s="233"/>
      <c r="M241" s="232">
        <f t="shared" si="216"/>
        <v>0</v>
      </c>
      <c r="N241" s="233">
        <v>0</v>
      </c>
      <c r="O241" s="233"/>
      <c r="P241" s="233"/>
      <c r="Q241" s="233"/>
      <c r="R241" s="232">
        <f t="shared" si="217"/>
        <v>0</v>
      </c>
    </row>
    <row r="242" spans="1:18" s="29" customFormat="1" ht="48" hidden="1">
      <c r="A242" s="234">
        <v>9580</v>
      </c>
      <c r="B242" s="235" t="s">
        <v>166</v>
      </c>
      <c r="C242" s="251"/>
      <c r="D242" s="252">
        <v>0</v>
      </c>
      <c r="E242" s="252"/>
      <c r="F242" s="252"/>
      <c r="G242" s="252"/>
      <c r="H242" s="232">
        <f t="shared" si="215"/>
        <v>0</v>
      </c>
      <c r="I242" s="252">
        <v>0</v>
      </c>
      <c r="J242" s="252"/>
      <c r="K242" s="252"/>
      <c r="L242" s="252"/>
      <c r="M242" s="232">
        <f t="shared" si="216"/>
        <v>0</v>
      </c>
      <c r="N242" s="252">
        <v>0</v>
      </c>
      <c r="O242" s="252"/>
      <c r="P242" s="252"/>
      <c r="Q242" s="252"/>
      <c r="R242" s="232">
        <f t="shared" si="217"/>
        <v>0</v>
      </c>
    </row>
    <row r="243" spans="1:18" s="29" customFormat="1" ht="36" hidden="1">
      <c r="A243" s="234">
        <v>9590</v>
      </c>
      <c r="B243" s="249" t="s">
        <v>172</v>
      </c>
      <c r="C243" s="251"/>
      <c r="D243" s="252">
        <v>0</v>
      </c>
      <c r="E243" s="252"/>
      <c r="F243" s="252"/>
      <c r="G243" s="252"/>
      <c r="H243" s="232">
        <f t="shared" si="215"/>
        <v>0</v>
      </c>
      <c r="I243" s="252">
        <v>0</v>
      </c>
      <c r="J243" s="252"/>
      <c r="K243" s="252"/>
      <c r="L243" s="252"/>
      <c r="M243" s="232">
        <f t="shared" si="216"/>
        <v>0</v>
      </c>
      <c r="N243" s="252">
        <v>0</v>
      </c>
      <c r="O243" s="252"/>
      <c r="P243" s="252"/>
      <c r="Q243" s="252"/>
      <c r="R243" s="232">
        <f t="shared" si="217"/>
        <v>0</v>
      </c>
    </row>
    <row r="244" spans="1:18" s="29" customFormat="1" ht="24" hidden="1">
      <c r="A244" s="256">
        <v>9700</v>
      </c>
      <c r="B244" s="257" t="s">
        <v>194</v>
      </c>
      <c r="C244" s="232">
        <v>0</v>
      </c>
      <c r="D244" s="233">
        <v>0</v>
      </c>
      <c r="E244" s="233">
        <f t="shared" ref="E244:G244" si="265">SUM(E245:E246)</f>
        <v>0</v>
      </c>
      <c r="F244" s="233">
        <f t="shared" si="265"/>
        <v>0</v>
      </c>
      <c r="G244" s="233">
        <f t="shared" si="265"/>
        <v>0</v>
      </c>
      <c r="H244" s="232">
        <f t="shared" si="215"/>
        <v>0</v>
      </c>
      <c r="I244" s="233">
        <v>0</v>
      </c>
      <c r="J244" s="233">
        <f t="shared" ref="J244:L244" si="266">SUM(J245:J246)</f>
        <v>0</v>
      </c>
      <c r="K244" s="233">
        <f t="shared" si="266"/>
        <v>0</v>
      </c>
      <c r="L244" s="233">
        <f t="shared" si="266"/>
        <v>0</v>
      </c>
      <c r="M244" s="232">
        <f t="shared" si="216"/>
        <v>0</v>
      </c>
      <c r="N244" s="233">
        <v>0</v>
      </c>
      <c r="O244" s="233">
        <f t="shared" ref="O244:Q244" si="267">SUM(O245:O246)</f>
        <v>0</v>
      </c>
      <c r="P244" s="233">
        <f t="shared" si="267"/>
        <v>0</v>
      </c>
      <c r="Q244" s="233">
        <f t="shared" si="267"/>
        <v>0</v>
      </c>
      <c r="R244" s="232">
        <f t="shared" si="217"/>
        <v>0</v>
      </c>
    </row>
    <row r="245" spans="1:18" s="29" customFormat="1" ht="24" hidden="1">
      <c r="A245" s="234">
        <v>9710</v>
      </c>
      <c r="B245" s="258" t="s">
        <v>195</v>
      </c>
      <c r="C245" s="251"/>
      <c r="D245" s="252">
        <v>0</v>
      </c>
      <c r="E245" s="252"/>
      <c r="F245" s="252"/>
      <c r="G245" s="252"/>
      <c r="H245" s="232">
        <f t="shared" si="215"/>
        <v>0</v>
      </c>
      <c r="I245" s="252">
        <v>0</v>
      </c>
      <c r="J245" s="252"/>
      <c r="K245" s="252"/>
      <c r="L245" s="252"/>
      <c r="M245" s="232">
        <f t="shared" si="216"/>
        <v>0</v>
      </c>
      <c r="N245" s="252">
        <v>0</v>
      </c>
      <c r="O245" s="252"/>
      <c r="P245" s="252"/>
      <c r="Q245" s="252"/>
      <c r="R245" s="232">
        <f t="shared" si="217"/>
        <v>0</v>
      </c>
    </row>
    <row r="246" spans="1:18" s="29" customFormat="1" ht="36" hidden="1">
      <c r="A246" s="259">
        <v>9720</v>
      </c>
      <c r="B246" s="257" t="s">
        <v>196</v>
      </c>
      <c r="C246" s="251"/>
      <c r="D246" s="252">
        <v>0</v>
      </c>
      <c r="E246" s="252"/>
      <c r="F246" s="252"/>
      <c r="G246" s="252"/>
      <c r="H246" s="232">
        <f t="shared" si="215"/>
        <v>0</v>
      </c>
      <c r="I246" s="252">
        <v>0</v>
      </c>
      <c r="J246" s="252"/>
      <c r="K246" s="252"/>
      <c r="L246" s="252"/>
      <c r="M246" s="232">
        <f t="shared" si="216"/>
        <v>0</v>
      </c>
      <c r="N246" s="252">
        <v>0</v>
      </c>
      <c r="O246" s="252"/>
      <c r="P246" s="252"/>
      <c r="Q246" s="252"/>
      <c r="R246" s="232">
        <f t="shared" si="217"/>
        <v>0</v>
      </c>
    </row>
    <row r="247" spans="1:18" s="29" customFormat="1" ht="24" hidden="1">
      <c r="A247" s="256">
        <v>9600</v>
      </c>
      <c r="B247" s="249" t="s">
        <v>134</v>
      </c>
      <c r="C247" s="251"/>
      <c r="D247" s="252">
        <v>0</v>
      </c>
      <c r="E247" s="252"/>
      <c r="F247" s="252"/>
      <c r="G247" s="252"/>
      <c r="H247" s="232">
        <f t="shared" si="215"/>
        <v>0</v>
      </c>
      <c r="I247" s="252">
        <v>0</v>
      </c>
      <c r="J247" s="252"/>
      <c r="K247" s="252"/>
      <c r="L247" s="252"/>
      <c r="M247" s="232">
        <f t="shared" si="216"/>
        <v>0</v>
      </c>
      <c r="N247" s="252">
        <v>0</v>
      </c>
      <c r="O247" s="252"/>
      <c r="P247" s="252"/>
      <c r="Q247" s="252"/>
      <c r="R247" s="232">
        <f t="shared" si="217"/>
        <v>0</v>
      </c>
    </row>
    <row r="248" spans="1:18" s="29" customFormat="1" ht="30.6" hidden="1">
      <c r="A248" s="130" t="s">
        <v>197</v>
      </c>
      <c r="B248" s="260" t="s">
        <v>47</v>
      </c>
      <c r="C248" s="261"/>
      <c r="D248" s="262">
        <v>0</v>
      </c>
      <c r="E248" s="262">
        <f t="shared" ref="E248:G248" si="268">E178-E203</f>
        <v>0</v>
      </c>
      <c r="F248" s="262">
        <f t="shared" si="268"/>
        <v>0</v>
      </c>
      <c r="G248" s="262">
        <f t="shared" si="268"/>
        <v>0</v>
      </c>
      <c r="H248" s="232">
        <f t="shared" si="215"/>
        <v>0</v>
      </c>
      <c r="I248" s="262">
        <v>0</v>
      </c>
      <c r="J248" s="262">
        <f t="shared" ref="J248:L248" si="269">J178-J203</f>
        <v>0</v>
      </c>
      <c r="K248" s="262">
        <f t="shared" si="269"/>
        <v>0</v>
      </c>
      <c r="L248" s="262">
        <f t="shared" si="269"/>
        <v>0</v>
      </c>
      <c r="M248" s="232">
        <f t="shared" si="216"/>
        <v>0</v>
      </c>
      <c r="N248" s="262">
        <v>0</v>
      </c>
      <c r="O248" s="262">
        <f t="shared" ref="O248:Q248" si="270">O178-O203</f>
        <v>0</v>
      </c>
      <c r="P248" s="262">
        <f t="shared" si="270"/>
        <v>0</v>
      </c>
      <c r="Q248" s="262">
        <f t="shared" si="270"/>
        <v>0</v>
      </c>
      <c r="R248" s="232">
        <f t="shared" si="217"/>
        <v>0</v>
      </c>
    </row>
    <row r="249" spans="1:18" s="29" customFormat="1" hidden="1">
      <c r="A249" s="263" t="s">
        <v>48</v>
      </c>
      <c r="B249" s="260" t="s">
        <v>49</v>
      </c>
      <c r="C249" s="261">
        <v>0</v>
      </c>
      <c r="D249" s="262">
        <v>0</v>
      </c>
      <c r="E249" s="262">
        <f t="shared" ref="E249:G249" si="271">E250+E253+E257+E256</f>
        <v>0</v>
      </c>
      <c r="F249" s="262">
        <f t="shared" si="271"/>
        <v>0</v>
      </c>
      <c r="G249" s="262">
        <f t="shared" si="271"/>
        <v>0</v>
      </c>
      <c r="H249" s="232">
        <f t="shared" si="215"/>
        <v>0</v>
      </c>
      <c r="I249" s="262">
        <v>0</v>
      </c>
      <c r="J249" s="262">
        <f t="shared" ref="J249:L249" si="272">J250+J253+J257+J256</f>
        <v>0</v>
      </c>
      <c r="K249" s="262">
        <f t="shared" si="272"/>
        <v>0</v>
      </c>
      <c r="L249" s="262">
        <f t="shared" si="272"/>
        <v>0</v>
      </c>
      <c r="M249" s="232">
        <f t="shared" si="216"/>
        <v>0</v>
      </c>
      <c r="N249" s="262">
        <v>0</v>
      </c>
      <c r="O249" s="262">
        <f t="shared" ref="O249:Q249" si="273">O250+O253+O257+O256</f>
        <v>0</v>
      </c>
      <c r="P249" s="262">
        <f t="shared" si="273"/>
        <v>0</v>
      </c>
      <c r="Q249" s="262">
        <f t="shared" si="273"/>
        <v>0</v>
      </c>
      <c r="R249" s="232">
        <f t="shared" si="217"/>
        <v>0</v>
      </c>
    </row>
    <row r="250" spans="1:18" s="29" customFormat="1" hidden="1">
      <c r="A250" s="256" t="s">
        <v>50</v>
      </c>
      <c r="B250" s="249" t="s">
        <v>51</v>
      </c>
      <c r="C250" s="230">
        <v>0</v>
      </c>
      <c r="D250" s="231">
        <v>0</v>
      </c>
      <c r="E250" s="231">
        <f t="shared" ref="E250:G250" si="274">E251+E252</f>
        <v>0</v>
      </c>
      <c r="F250" s="231">
        <f t="shared" si="274"/>
        <v>0</v>
      </c>
      <c r="G250" s="231">
        <f t="shared" si="274"/>
        <v>0</v>
      </c>
      <c r="H250" s="232">
        <f t="shared" si="215"/>
        <v>0</v>
      </c>
      <c r="I250" s="231">
        <v>0</v>
      </c>
      <c r="J250" s="231">
        <f t="shared" ref="J250:L250" si="275">J251+J252</f>
        <v>0</v>
      </c>
      <c r="K250" s="231">
        <f t="shared" si="275"/>
        <v>0</v>
      </c>
      <c r="L250" s="231">
        <f t="shared" si="275"/>
        <v>0</v>
      </c>
      <c r="M250" s="232">
        <f t="shared" si="216"/>
        <v>0</v>
      </c>
      <c r="N250" s="231">
        <v>0</v>
      </c>
      <c r="O250" s="231">
        <f t="shared" ref="O250:Q250" si="276">O251+O252</f>
        <v>0</v>
      </c>
      <c r="P250" s="231">
        <f t="shared" si="276"/>
        <v>0</v>
      </c>
      <c r="Q250" s="231">
        <f t="shared" si="276"/>
        <v>0</v>
      </c>
      <c r="R250" s="232">
        <f t="shared" si="217"/>
        <v>0</v>
      </c>
    </row>
    <row r="251" spans="1:18" s="29" customFormat="1" hidden="1">
      <c r="A251" s="256" t="s">
        <v>52</v>
      </c>
      <c r="B251" s="249" t="s">
        <v>53</v>
      </c>
      <c r="C251" s="230"/>
      <c r="D251" s="231">
        <v>0</v>
      </c>
      <c r="E251" s="231"/>
      <c r="F251" s="231"/>
      <c r="G251" s="231"/>
      <c r="H251" s="232">
        <f t="shared" si="215"/>
        <v>0</v>
      </c>
      <c r="I251" s="231">
        <v>0</v>
      </c>
      <c r="J251" s="231"/>
      <c r="K251" s="231"/>
      <c r="L251" s="231"/>
      <c r="M251" s="232">
        <f t="shared" si="216"/>
        <v>0</v>
      </c>
      <c r="N251" s="231">
        <v>0</v>
      </c>
      <c r="O251" s="231"/>
      <c r="P251" s="231"/>
      <c r="Q251" s="231"/>
      <c r="R251" s="232">
        <f t="shared" si="217"/>
        <v>0</v>
      </c>
    </row>
    <row r="252" spans="1:18" s="29" customFormat="1" hidden="1">
      <c r="A252" s="256" t="s">
        <v>54</v>
      </c>
      <c r="B252" s="249" t="s">
        <v>55</v>
      </c>
      <c r="C252" s="230"/>
      <c r="D252" s="231">
        <v>0</v>
      </c>
      <c r="E252" s="231"/>
      <c r="F252" s="231"/>
      <c r="G252" s="231"/>
      <c r="H252" s="232">
        <f t="shared" si="215"/>
        <v>0</v>
      </c>
      <c r="I252" s="231">
        <v>0</v>
      </c>
      <c r="J252" s="231"/>
      <c r="K252" s="231"/>
      <c r="L252" s="231"/>
      <c r="M252" s="232">
        <f t="shared" si="216"/>
        <v>0</v>
      </c>
      <c r="N252" s="231">
        <v>0</v>
      </c>
      <c r="O252" s="231"/>
      <c r="P252" s="231"/>
      <c r="Q252" s="231"/>
      <c r="R252" s="232">
        <f t="shared" si="217"/>
        <v>0</v>
      </c>
    </row>
    <row r="253" spans="1:18" s="29" customFormat="1" hidden="1">
      <c r="A253" s="256" t="s">
        <v>56</v>
      </c>
      <c r="B253" s="249" t="s">
        <v>57</v>
      </c>
      <c r="C253" s="230">
        <v>0</v>
      </c>
      <c r="D253" s="231">
        <v>0</v>
      </c>
      <c r="E253" s="231">
        <f t="shared" ref="E253:G253" si="277">E254+E255</f>
        <v>0</v>
      </c>
      <c r="F253" s="231">
        <f t="shared" si="277"/>
        <v>0</v>
      </c>
      <c r="G253" s="231">
        <f t="shared" si="277"/>
        <v>0</v>
      </c>
      <c r="H253" s="232">
        <f t="shared" si="215"/>
        <v>0</v>
      </c>
      <c r="I253" s="231">
        <v>0</v>
      </c>
      <c r="J253" s="231">
        <f t="shared" ref="J253:L253" si="278">J254+J255</f>
        <v>0</v>
      </c>
      <c r="K253" s="231">
        <f t="shared" si="278"/>
        <v>0</v>
      </c>
      <c r="L253" s="231">
        <f t="shared" si="278"/>
        <v>0</v>
      </c>
      <c r="M253" s="232">
        <f t="shared" si="216"/>
        <v>0</v>
      </c>
      <c r="N253" s="231">
        <v>0</v>
      </c>
      <c r="O253" s="231">
        <f t="shared" ref="O253:Q253" si="279">O254+O255</f>
        <v>0</v>
      </c>
      <c r="P253" s="231">
        <f t="shared" si="279"/>
        <v>0</v>
      </c>
      <c r="Q253" s="231">
        <f t="shared" si="279"/>
        <v>0</v>
      </c>
      <c r="R253" s="232">
        <f t="shared" si="217"/>
        <v>0</v>
      </c>
    </row>
    <row r="254" spans="1:18" s="29" customFormat="1" hidden="1">
      <c r="A254" s="256" t="s">
        <v>58</v>
      </c>
      <c r="B254" s="249" t="s">
        <v>59</v>
      </c>
      <c r="C254" s="230"/>
      <c r="D254" s="231">
        <v>0</v>
      </c>
      <c r="E254" s="231"/>
      <c r="F254" s="231"/>
      <c r="G254" s="231"/>
      <c r="H254" s="232">
        <f t="shared" si="215"/>
        <v>0</v>
      </c>
      <c r="I254" s="231">
        <v>0</v>
      </c>
      <c r="J254" s="231"/>
      <c r="K254" s="231"/>
      <c r="L254" s="231"/>
      <c r="M254" s="232">
        <f t="shared" si="216"/>
        <v>0</v>
      </c>
      <c r="N254" s="231">
        <v>0</v>
      </c>
      <c r="O254" s="231"/>
      <c r="P254" s="231"/>
      <c r="Q254" s="231"/>
      <c r="R254" s="232">
        <f t="shared" si="217"/>
        <v>0</v>
      </c>
    </row>
    <row r="255" spans="1:18" s="29" customFormat="1" hidden="1">
      <c r="A255" s="256" t="s">
        <v>60</v>
      </c>
      <c r="B255" s="249" t="s">
        <v>61</v>
      </c>
      <c r="C255" s="230"/>
      <c r="D255" s="231">
        <v>0</v>
      </c>
      <c r="E255" s="231"/>
      <c r="F255" s="231"/>
      <c r="G255" s="231"/>
      <c r="H255" s="232">
        <f t="shared" si="215"/>
        <v>0</v>
      </c>
      <c r="I255" s="231">
        <v>0</v>
      </c>
      <c r="J255" s="231"/>
      <c r="K255" s="231"/>
      <c r="L255" s="231"/>
      <c r="M255" s="232">
        <f t="shared" si="216"/>
        <v>0</v>
      </c>
      <c r="N255" s="231">
        <v>0</v>
      </c>
      <c r="O255" s="231"/>
      <c r="P255" s="231"/>
      <c r="Q255" s="231"/>
      <c r="R255" s="232">
        <f t="shared" si="217"/>
        <v>0</v>
      </c>
    </row>
    <row r="256" spans="1:18" s="29" customFormat="1" hidden="1">
      <c r="A256" s="256" t="s">
        <v>198</v>
      </c>
      <c r="B256" s="264" t="s">
        <v>168</v>
      </c>
      <c r="C256" s="230"/>
      <c r="D256" s="231">
        <v>0</v>
      </c>
      <c r="E256" s="231"/>
      <c r="F256" s="231"/>
      <c r="G256" s="231"/>
      <c r="H256" s="232">
        <f t="shared" si="215"/>
        <v>0</v>
      </c>
      <c r="I256" s="231">
        <v>0</v>
      </c>
      <c r="J256" s="231"/>
      <c r="K256" s="231"/>
      <c r="L256" s="231"/>
      <c r="M256" s="232">
        <f t="shared" si="216"/>
        <v>0</v>
      </c>
      <c r="N256" s="231">
        <v>0</v>
      </c>
      <c r="O256" s="231"/>
      <c r="P256" s="231"/>
      <c r="Q256" s="231"/>
      <c r="R256" s="232">
        <f t="shared" si="217"/>
        <v>0</v>
      </c>
    </row>
    <row r="257" spans="1:18" s="29" customFormat="1" hidden="1">
      <c r="A257" s="144" t="s">
        <v>62</v>
      </c>
      <c r="B257" s="101" t="s">
        <v>63</v>
      </c>
      <c r="C257" s="232">
        <v>0</v>
      </c>
      <c r="D257" s="233">
        <v>0</v>
      </c>
      <c r="E257" s="233">
        <f t="shared" ref="E257:G257" si="280">E258+E259+E260</f>
        <v>0</v>
      </c>
      <c r="F257" s="233">
        <f t="shared" si="280"/>
        <v>0</v>
      </c>
      <c r="G257" s="233">
        <f t="shared" si="280"/>
        <v>0</v>
      </c>
      <c r="H257" s="232">
        <f t="shared" si="215"/>
        <v>0</v>
      </c>
      <c r="I257" s="233">
        <v>0</v>
      </c>
      <c r="J257" s="233">
        <f t="shared" ref="J257:L257" si="281">J258+J259+J260</f>
        <v>0</v>
      </c>
      <c r="K257" s="233">
        <f t="shared" si="281"/>
        <v>0</v>
      </c>
      <c r="L257" s="233">
        <f t="shared" si="281"/>
        <v>0</v>
      </c>
      <c r="M257" s="232">
        <f t="shared" si="216"/>
        <v>0</v>
      </c>
      <c r="N257" s="233">
        <v>0</v>
      </c>
      <c r="O257" s="233">
        <f t="shared" ref="O257:Q257" si="282">O258+O259+O260</f>
        <v>0</v>
      </c>
      <c r="P257" s="233">
        <f t="shared" si="282"/>
        <v>0</v>
      </c>
      <c r="Q257" s="233">
        <f t="shared" si="282"/>
        <v>0</v>
      </c>
      <c r="R257" s="232">
        <f t="shared" si="217"/>
        <v>0</v>
      </c>
    </row>
    <row r="258" spans="1:18" s="29" customFormat="1" ht="36" hidden="1">
      <c r="A258" s="144" t="s">
        <v>64</v>
      </c>
      <c r="B258" s="249" t="s">
        <v>65</v>
      </c>
      <c r="C258" s="230"/>
      <c r="D258" s="231">
        <v>0</v>
      </c>
      <c r="E258" s="231"/>
      <c r="F258" s="231"/>
      <c r="G258" s="231"/>
      <c r="H258" s="232">
        <f t="shared" si="215"/>
        <v>0</v>
      </c>
      <c r="I258" s="231">
        <v>0</v>
      </c>
      <c r="J258" s="231"/>
      <c r="K258" s="231"/>
      <c r="L258" s="231"/>
      <c r="M258" s="232">
        <f t="shared" si="216"/>
        <v>0</v>
      </c>
      <c r="N258" s="231">
        <v>0</v>
      </c>
      <c r="O258" s="231"/>
      <c r="P258" s="231"/>
      <c r="Q258" s="231"/>
      <c r="R258" s="232">
        <f t="shared" si="217"/>
        <v>0</v>
      </c>
    </row>
    <row r="259" spans="1:18" s="29" customFormat="1" ht="24" hidden="1">
      <c r="A259" s="144" t="s">
        <v>66</v>
      </c>
      <c r="B259" s="249" t="s">
        <v>67</v>
      </c>
      <c r="C259" s="230"/>
      <c r="D259" s="231">
        <v>0</v>
      </c>
      <c r="E259" s="231"/>
      <c r="F259" s="231"/>
      <c r="G259" s="231"/>
      <c r="H259" s="232">
        <f t="shared" si="215"/>
        <v>0</v>
      </c>
      <c r="I259" s="231">
        <v>0</v>
      </c>
      <c r="J259" s="231"/>
      <c r="K259" s="231"/>
      <c r="L259" s="231"/>
      <c r="M259" s="232">
        <f t="shared" si="216"/>
        <v>0</v>
      </c>
      <c r="N259" s="231">
        <v>0</v>
      </c>
      <c r="O259" s="231"/>
      <c r="P259" s="231"/>
      <c r="Q259" s="231"/>
      <c r="R259" s="232">
        <f t="shared" si="217"/>
        <v>0</v>
      </c>
    </row>
    <row r="260" spans="1:18" s="29" customFormat="1" ht="24" hidden="1">
      <c r="A260" s="144" t="s">
        <v>68</v>
      </c>
      <c r="B260" s="101" t="s">
        <v>69</v>
      </c>
      <c r="C260" s="230"/>
      <c r="D260" s="231">
        <v>0</v>
      </c>
      <c r="E260" s="231"/>
      <c r="F260" s="231"/>
      <c r="G260" s="231"/>
      <c r="H260" s="232">
        <f t="shared" si="215"/>
        <v>0</v>
      </c>
      <c r="I260" s="231">
        <v>0</v>
      </c>
      <c r="J260" s="231"/>
      <c r="K260" s="231"/>
      <c r="L260" s="231"/>
      <c r="M260" s="232">
        <f t="shared" si="216"/>
        <v>0</v>
      </c>
      <c r="N260" s="231">
        <v>0</v>
      </c>
      <c r="O260" s="231"/>
      <c r="P260" s="231"/>
      <c r="Q260" s="231"/>
      <c r="R260" s="232">
        <f t="shared" si="217"/>
        <v>0</v>
      </c>
    </row>
    <row r="261" spans="1:18" s="29" customFormat="1">
      <c r="A261" s="271"/>
      <c r="B261" s="272"/>
      <c r="C261" s="253"/>
      <c r="D261" s="254"/>
      <c r="E261" s="253"/>
      <c r="F261" s="253"/>
      <c r="G261" s="253"/>
      <c r="H261" s="232"/>
      <c r="I261" s="254"/>
      <c r="J261" s="253"/>
      <c r="K261" s="253"/>
      <c r="L261" s="253"/>
      <c r="M261" s="232"/>
      <c r="N261" s="254"/>
      <c r="O261" s="253"/>
      <c r="P261" s="253"/>
      <c r="Q261" s="253"/>
      <c r="R261" s="232"/>
    </row>
    <row r="262" spans="1:18">
      <c r="A262" s="33"/>
      <c r="B262" s="164"/>
      <c r="C262" s="165"/>
      <c r="D262" s="163"/>
      <c r="E262" s="165"/>
      <c r="F262" s="163"/>
      <c r="G262" s="163"/>
      <c r="H262" s="163"/>
      <c r="I262" s="163"/>
      <c r="J262" s="165"/>
      <c r="K262" s="163"/>
      <c r="L262" s="163"/>
      <c r="M262" s="163"/>
      <c r="N262" s="163"/>
      <c r="O262" s="165"/>
      <c r="P262" s="163"/>
      <c r="Q262" s="163"/>
      <c r="R262" s="163"/>
    </row>
    <row r="263" spans="1:18">
      <c r="A263" s="33"/>
      <c r="B263" s="164"/>
      <c r="C263" s="165"/>
      <c r="D263" s="163"/>
      <c r="E263" s="165"/>
      <c r="F263" s="163"/>
      <c r="G263" s="163"/>
      <c r="H263" s="163"/>
      <c r="I263" s="163"/>
      <c r="J263" s="165"/>
      <c r="K263" s="163"/>
      <c r="L263" s="163"/>
      <c r="M263" s="163"/>
      <c r="N263" s="163"/>
      <c r="O263" s="165"/>
      <c r="P263" s="163"/>
      <c r="Q263" s="163"/>
      <c r="R263" s="163"/>
    </row>
    <row r="264" spans="1:18" ht="13.2">
      <c r="A264" s="369" t="s">
        <v>236</v>
      </c>
      <c r="B264" s="370" t="s">
        <v>237</v>
      </c>
      <c r="C264" s="773"/>
      <c r="D264" s="774"/>
      <c r="E264" s="773"/>
      <c r="F264" s="774"/>
      <c r="G264" s="774"/>
      <c r="H264" s="774"/>
      <c r="I264" s="774"/>
      <c r="J264" s="773"/>
      <c r="K264" s="774"/>
      <c r="L264" s="774"/>
      <c r="M264" s="774"/>
      <c r="N264" s="774"/>
      <c r="O264" s="773"/>
      <c r="P264" s="774"/>
      <c r="Q264" s="774"/>
      <c r="R264" s="774"/>
    </row>
    <row r="265" spans="1:18" ht="13.2">
      <c r="A265" s="371"/>
      <c r="B265" s="372" t="s">
        <v>238</v>
      </c>
      <c r="C265" s="165"/>
      <c r="D265" s="163"/>
      <c r="E265" s="165"/>
      <c r="F265" s="163"/>
      <c r="G265" s="163"/>
      <c r="H265" s="163"/>
      <c r="I265" s="163"/>
      <c r="J265" s="165"/>
      <c r="K265" s="163"/>
      <c r="L265" s="163"/>
      <c r="M265" s="163"/>
      <c r="N265" s="163"/>
      <c r="O265" s="165"/>
      <c r="P265" s="163"/>
      <c r="Q265" s="163"/>
      <c r="R265" s="163"/>
    </row>
    <row r="266" spans="1:18" ht="13.2">
      <c r="A266" s="373" t="s">
        <v>223</v>
      </c>
      <c r="B266" s="374" t="s">
        <v>1061</v>
      </c>
      <c r="C266" s="165"/>
      <c r="D266" s="163"/>
      <c r="E266" s="165"/>
      <c r="F266" s="163"/>
      <c r="G266" s="163"/>
      <c r="H266" s="163"/>
      <c r="I266" s="163"/>
      <c r="J266" s="165"/>
      <c r="K266" s="163"/>
      <c r="L266" s="163"/>
      <c r="M266" s="163"/>
      <c r="N266" s="163"/>
      <c r="O266" s="165"/>
      <c r="P266" s="163"/>
      <c r="Q266" s="163"/>
      <c r="R266" s="163"/>
    </row>
    <row r="267" spans="1:18" s="1071" customFormat="1" ht="13.2">
      <c r="A267" s="959"/>
      <c r="B267" s="932"/>
      <c r="C267" s="469"/>
      <c r="D267" s="470"/>
      <c r="E267" s="469"/>
      <c r="F267" s="470"/>
      <c r="G267" s="470"/>
      <c r="H267" s="470"/>
      <c r="I267" s="470"/>
      <c r="J267" s="469"/>
      <c r="K267" s="470"/>
      <c r="L267" s="470"/>
      <c r="M267" s="470"/>
      <c r="N267" s="470"/>
      <c r="O267" s="469"/>
      <c r="P267" s="470"/>
      <c r="Q267" s="470"/>
      <c r="R267" s="470"/>
    </row>
    <row r="268" spans="1:18" s="1071" customFormat="1" ht="13.2">
      <c r="A268" s="931" t="s">
        <v>224</v>
      </c>
      <c r="B268" s="932" t="s">
        <v>242</v>
      </c>
      <c r="C268" s="469"/>
      <c r="D268" s="470"/>
      <c r="E268" s="469"/>
      <c r="F268" s="470"/>
      <c r="G268" s="1006">
        <f>G273+G281+G289</f>
        <v>97240</v>
      </c>
      <c r="H268" s="1006"/>
      <c r="I268" s="1006"/>
      <c r="J268" s="1006"/>
      <c r="K268" s="1006"/>
      <c r="L268" s="1006">
        <f t="shared" ref="L268:Q268" si="283">L273+L281+L289</f>
        <v>97240</v>
      </c>
      <c r="M268" s="1006"/>
      <c r="N268" s="1006"/>
      <c r="O268" s="1006"/>
      <c r="P268" s="1006"/>
      <c r="Q268" s="1006">
        <f t="shared" si="283"/>
        <v>97240</v>
      </c>
      <c r="R268" s="470"/>
    </row>
    <row r="269" spans="1:18" s="1071" customFormat="1" ht="39.6">
      <c r="A269" s="1245" t="s">
        <v>243</v>
      </c>
      <c r="B269" s="1246" t="s">
        <v>618</v>
      </c>
      <c r="C269" s="1148"/>
      <c r="D269" s="1147"/>
      <c r="E269" s="1148"/>
      <c r="F269" s="1147"/>
      <c r="G269" s="1148"/>
      <c r="H269" s="1147"/>
      <c r="I269" s="1147"/>
      <c r="J269" s="1148"/>
      <c r="K269" s="1147"/>
      <c r="L269" s="1148"/>
      <c r="M269" s="1147"/>
      <c r="N269" s="1147"/>
      <c r="O269" s="1148"/>
      <c r="P269" s="1147"/>
      <c r="Q269" s="1148"/>
      <c r="R269" s="1147"/>
    </row>
    <row r="270" spans="1:18" s="1071" customFormat="1">
      <c r="A270" s="1247"/>
      <c r="B270" s="1247" t="s">
        <v>88</v>
      </c>
      <c r="C270" s="1248"/>
      <c r="D270" s="1249"/>
      <c r="E270" s="1248"/>
      <c r="F270" s="1249"/>
      <c r="G270" s="1250">
        <f>G271</f>
        <v>65780</v>
      </c>
      <c r="H270" s="1249"/>
      <c r="I270" s="1249"/>
      <c r="J270" s="1248"/>
      <c r="K270" s="1249"/>
      <c r="L270" s="1250">
        <f>L271</f>
        <v>65780</v>
      </c>
      <c r="M270" s="1249"/>
      <c r="N270" s="1249"/>
      <c r="O270" s="1248"/>
      <c r="P270" s="1249"/>
      <c r="Q270" s="1250">
        <f>Q271</f>
        <v>65780</v>
      </c>
      <c r="R270" s="1249"/>
    </row>
    <row r="271" spans="1:18" s="1071" customFormat="1">
      <c r="A271" s="1251"/>
      <c r="B271" s="1008" t="s">
        <v>97</v>
      </c>
      <c r="C271" s="469"/>
      <c r="D271" s="470"/>
      <c r="E271" s="469"/>
      <c r="F271" s="470"/>
      <c r="G271" s="469">
        <f>G272</f>
        <v>65780</v>
      </c>
      <c r="H271" s="470"/>
      <c r="I271" s="470"/>
      <c r="J271" s="469"/>
      <c r="K271" s="470"/>
      <c r="L271" s="469">
        <f>L272</f>
        <v>65780</v>
      </c>
      <c r="M271" s="470"/>
      <c r="N271" s="470"/>
      <c r="O271" s="469"/>
      <c r="P271" s="470"/>
      <c r="Q271" s="469">
        <f>Q272</f>
        <v>65780</v>
      </c>
      <c r="R271" s="470"/>
    </row>
    <row r="272" spans="1:18" s="1071" customFormat="1" ht="24">
      <c r="A272" s="1252"/>
      <c r="B272" s="1253" t="s">
        <v>98</v>
      </c>
      <c r="C272" s="469"/>
      <c r="D272" s="470"/>
      <c r="E272" s="469"/>
      <c r="F272" s="470"/>
      <c r="G272" s="469">
        <v>65780</v>
      </c>
      <c r="H272" s="470"/>
      <c r="I272" s="470"/>
      <c r="J272" s="469"/>
      <c r="K272" s="470"/>
      <c r="L272" s="469">
        <v>65780</v>
      </c>
      <c r="M272" s="470"/>
      <c r="N272" s="470"/>
      <c r="O272" s="469"/>
      <c r="P272" s="470"/>
      <c r="Q272" s="469">
        <v>65780</v>
      </c>
      <c r="R272" s="470"/>
    </row>
    <row r="273" spans="1:18" s="1071" customFormat="1">
      <c r="A273" s="1247"/>
      <c r="B273" s="1247" t="s">
        <v>101</v>
      </c>
      <c r="C273" s="469"/>
      <c r="D273" s="470"/>
      <c r="E273" s="469"/>
      <c r="F273" s="470"/>
      <c r="G273" s="1006">
        <f>G274</f>
        <v>65780</v>
      </c>
      <c r="H273" s="470"/>
      <c r="I273" s="470"/>
      <c r="J273" s="469"/>
      <c r="K273" s="470"/>
      <c r="L273" s="1006">
        <f>L274</f>
        <v>65780</v>
      </c>
      <c r="M273" s="470"/>
      <c r="N273" s="470"/>
      <c r="O273" s="469"/>
      <c r="P273" s="470"/>
      <c r="Q273" s="1006">
        <f>Q274</f>
        <v>65780</v>
      </c>
      <c r="R273" s="470"/>
    </row>
    <row r="274" spans="1:18" s="1071" customFormat="1">
      <c r="A274" s="1008"/>
      <c r="B274" s="1008" t="s">
        <v>103</v>
      </c>
      <c r="C274" s="469"/>
      <c r="D274" s="470"/>
      <c r="E274" s="469"/>
      <c r="F274" s="470"/>
      <c r="G274" s="469">
        <f>G275</f>
        <v>65780</v>
      </c>
      <c r="H274" s="470"/>
      <c r="I274" s="470"/>
      <c r="J274" s="469"/>
      <c r="K274" s="470"/>
      <c r="L274" s="469">
        <f>L275</f>
        <v>65780</v>
      </c>
      <c r="M274" s="470"/>
      <c r="N274" s="470"/>
      <c r="O274" s="469"/>
      <c r="P274" s="470"/>
      <c r="Q274" s="469">
        <f>Q275</f>
        <v>65780</v>
      </c>
      <c r="R274" s="470"/>
    </row>
    <row r="275" spans="1:18" s="1071" customFormat="1">
      <c r="A275" s="1008"/>
      <c r="B275" s="1008" t="s">
        <v>105</v>
      </c>
      <c r="C275" s="469"/>
      <c r="D275" s="470"/>
      <c r="E275" s="469"/>
      <c r="F275" s="470"/>
      <c r="G275" s="469">
        <f>G276</f>
        <v>65780</v>
      </c>
      <c r="H275" s="470"/>
      <c r="I275" s="470"/>
      <c r="J275" s="469"/>
      <c r="K275" s="470"/>
      <c r="L275" s="469">
        <f>L276</f>
        <v>65780</v>
      </c>
      <c r="M275" s="470"/>
      <c r="N275" s="470"/>
      <c r="O275" s="469"/>
      <c r="P275" s="470"/>
      <c r="Q275" s="469">
        <f>Q276</f>
        <v>65780</v>
      </c>
      <c r="R275" s="470"/>
    </row>
    <row r="276" spans="1:18" s="1071" customFormat="1">
      <c r="A276" s="1254">
        <v>1000</v>
      </c>
      <c r="B276" s="768" t="s">
        <v>106</v>
      </c>
      <c r="C276" s="1016"/>
      <c r="D276" s="1015"/>
      <c r="E276" s="1016"/>
      <c r="F276" s="1015"/>
      <c r="G276" s="1016">
        <v>65780</v>
      </c>
      <c r="H276" s="1015"/>
      <c r="I276" s="1015"/>
      <c r="J276" s="1016"/>
      <c r="K276" s="1015"/>
      <c r="L276" s="1016">
        <v>65780</v>
      </c>
      <c r="M276" s="1015"/>
      <c r="N276" s="1015"/>
      <c r="O276" s="1016"/>
      <c r="P276" s="1015"/>
      <c r="Q276" s="1016">
        <v>65780</v>
      </c>
      <c r="R276" s="1015"/>
    </row>
    <row r="277" spans="1:18" s="1071" customFormat="1" ht="39.6">
      <c r="A277" s="1245" t="s">
        <v>250</v>
      </c>
      <c r="B277" s="1246" t="s">
        <v>619</v>
      </c>
      <c r="C277" s="1148"/>
      <c r="D277" s="1147"/>
      <c r="E277" s="1148"/>
      <c r="F277" s="1147"/>
      <c r="G277" s="1148"/>
      <c r="H277" s="1147"/>
      <c r="I277" s="1147"/>
      <c r="J277" s="1148"/>
      <c r="K277" s="1147"/>
      <c r="L277" s="1148"/>
      <c r="M277" s="1147"/>
      <c r="N277" s="1147"/>
      <c r="O277" s="1148"/>
      <c r="P277" s="1147"/>
      <c r="Q277" s="1148"/>
      <c r="R277" s="1147"/>
    </row>
    <row r="278" spans="1:18" s="1071" customFormat="1">
      <c r="A278" s="1008"/>
      <c r="B278" s="1008" t="s">
        <v>88</v>
      </c>
      <c r="C278" s="469"/>
      <c r="D278" s="470"/>
      <c r="E278" s="469"/>
      <c r="F278" s="470"/>
      <c r="G278" s="1006">
        <f>G279</f>
        <v>23460</v>
      </c>
      <c r="H278" s="470"/>
      <c r="I278" s="470"/>
      <c r="J278" s="469"/>
      <c r="K278" s="470"/>
      <c r="L278" s="1006">
        <f>L279</f>
        <v>23460</v>
      </c>
      <c r="M278" s="470"/>
      <c r="N278" s="470"/>
      <c r="O278" s="469"/>
      <c r="P278" s="470"/>
      <c r="Q278" s="1006">
        <f>Q279</f>
        <v>23460</v>
      </c>
      <c r="R278" s="470"/>
    </row>
    <row r="279" spans="1:18" s="1071" customFormat="1">
      <c r="A279" s="1251"/>
      <c r="B279" s="1008" t="s">
        <v>97</v>
      </c>
      <c r="C279" s="469"/>
      <c r="D279" s="470"/>
      <c r="E279" s="469"/>
      <c r="F279" s="470"/>
      <c r="G279" s="469">
        <f>G280</f>
        <v>23460</v>
      </c>
      <c r="H279" s="470"/>
      <c r="I279" s="470"/>
      <c r="J279" s="469"/>
      <c r="K279" s="470"/>
      <c r="L279" s="469">
        <f>L280</f>
        <v>23460</v>
      </c>
      <c r="M279" s="470"/>
      <c r="N279" s="470"/>
      <c r="O279" s="469"/>
      <c r="P279" s="470"/>
      <c r="Q279" s="469">
        <f>Q280</f>
        <v>23460</v>
      </c>
      <c r="R279" s="470"/>
    </row>
    <row r="280" spans="1:18" s="1071" customFormat="1" ht="24">
      <c r="A280" s="1255"/>
      <c r="B280" s="768" t="s">
        <v>98</v>
      </c>
      <c r="C280" s="469"/>
      <c r="D280" s="470"/>
      <c r="E280" s="469"/>
      <c r="F280" s="470"/>
      <c r="G280" s="469">
        <v>23460</v>
      </c>
      <c r="H280" s="470"/>
      <c r="I280" s="470"/>
      <c r="J280" s="469"/>
      <c r="K280" s="470"/>
      <c r="L280" s="469">
        <v>23460</v>
      </c>
      <c r="M280" s="470"/>
      <c r="N280" s="470"/>
      <c r="O280" s="469"/>
      <c r="P280" s="470"/>
      <c r="Q280" s="469">
        <v>23460</v>
      </c>
      <c r="R280" s="470"/>
    </row>
    <row r="281" spans="1:18" s="1071" customFormat="1">
      <c r="A281" s="1008"/>
      <c r="B281" s="1008" t="s">
        <v>101</v>
      </c>
      <c r="C281" s="469"/>
      <c r="D281" s="470"/>
      <c r="E281" s="469"/>
      <c r="F281" s="470"/>
      <c r="G281" s="1006">
        <f>G282</f>
        <v>23460</v>
      </c>
      <c r="H281" s="470"/>
      <c r="I281" s="470"/>
      <c r="J281" s="469"/>
      <c r="K281" s="470"/>
      <c r="L281" s="1006">
        <f>L282</f>
        <v>23460</v>
      </c>
      <c r="M281" s="470"/>
      <c r="N281" s="470"/>
      <c r="O281" s="469"/>
      <c r="P281" s="470"/>
      <c r="Q281" s="1006">
        <f>Q282</f>
        <v>23460</v>
      </c>
      <c r="R281" s="470"/>
    </row>
    <row r="282" spans="1:18" s="1071" customFormat="1">
      <c r="A282" s="1008"/>
      <c r="B282" s="1008" t="s">
        <v>103</v>
      </c>
      <c r="C282" s="469"/>
      <c r="D282" s="470"/>
      <c r="E282" s="469"/>
      <c r="F282" s="470"/>
      <c r="G282" s="469">
        <f>G283</f>
        <v>23460</v>
      </c>
      <c r="H282" s="470"/>
      <c r="I282" s="470"/>
      <c r="J282" s="469"/>
      <c r="K282" s="470"/>
      <c r="L282" s="469">
        <f>L283</f>
        <v>23460</v>
      </c>
      <c r="M282" s="470"/>
      <c r="N282" s="470"/>
      <c r="O282" s="469"/>
      <c r="P282" s="470"/>
      <c r="Q282" s="469">
        <f>Q283</f>
        <v>23460</v>
      </c>
      <c r="R282" s="470"/>
    </row>
    <row r="283" spans="1:18" s="1071" customFormat="1">
      <c r="A283" s="1008"/>
      <c r="B283" s="1008" t="s">
        <v>105</v>
      </c>
      <c r="C283" s="469"/>
      <c r="D283" s="470"/>
      <c r="E283" s="469"/>
      <c r="F283" s="470"/>
      <c r="G283" s="469">
        <f>G284</f>
        <v>23460</v>
      </c>
      <c r="H283" s="470"/>
      <c r="I283" s="470"/>
      <c r="J283" s="469"/>
      <c r="K283" s="470"/>
      <c r="L283" s="469">
        <f>L284</f>
        <v>23460</v>
      </c>
      <c r="M283" s="470"/>
      <c r="N283" s="470"/>
      <c r="O283" s="469"/>
      <c r="P283" s="470"/>
      <c r="Q283" s="469">
        <f>Q284</f>
        <v>23460</v>
      </c>
      <c r="R283" s="470"/>
    </row>
    <row r="284" spans="1:18" s="1071" customFormat="1">
      <c r="A284" s="1254"/>
      <c r="B284" s="768" t="s">
        <v>106</v>
      </c>
      <c r="C284" s="469"/>
      <c r="D284" s="470"/>
      <c r="E284" s="469"/>
      <c r="F284" s="470"/>
      <c r="G284" s="469">
        <v>23460</v>
      </c>
      <c r="H284" s="470"/>
      <c r="I284" s="470"/>
      <c r="J284" s="469"/>
      <c r="K284" s="470"/>
      <c r="L284" s="469">
        <v>23460</v>
      </c>
      <c r="M284" s="470"/>
      <c r="N284" s="470"/>
      <c r="O284" s="469"/>
      <c r="P284" s="470"/>
      <c r="Q284" s="469">
        <v>23460</v>
      </c>
      <c r="R284" s="470"/>
    </row>
    <row r="285" spans="1:18" s="1071" customFormat="1" ht="39.6">
      <c r="A285" s="1256" t="s">
        <v>257</v>
      </c>
      <c r="B285" s="1246" t="s">
        <v>620</v>
      </c>
      <c r="C285" s="1148"/>
      <c r="D285" s="1147"/>
      <c r="E285" s="1148"/>
      <c r="F285" s="1147"/>
      <c r="G285" s="1148"/>
      <c r="H285" s="1147"/>
      <c r="I285" s="1147"/>
      <c r="J285" s="1148"/>
      <c r="K285" s="1147"/>
      <c r="L285" s="1148"/>
      <c r="M285" s="1147"/>
      <c r="N285" s="1147"/>
      <c r="O285" s="1148"/>
      <c r="P285" s="1147"/>
      <c r="Q285" s="1148"/>
      <c r="R285" s="1147"/>
    </row>
    <row r="286" spans="1:18" s="1071" customFormat="1">
      <c r="A286" s="1008"/>
      <c r="B286" s="1008" t="s">
        <v>88</v>
      </c>
      <c r="C286" s="469"/>
      <c r="D286" s="470"/>
      <c r="E286" s="469"/>
      <c r="F286" s="470"/>
      <c r="G286" s="1006">
        <f>G287</f>
        <v>8000</v>
      </c>
      <c r="H286" s="470"/>
      <c r="I286" s="470"/>
      <c r="J286" s="469"/>
      <c r="K286" s="470"/>
      <c r="L286" s="1006">
        <f>L287</f>
        <v>8000</v>
      </c>
      <c r="M286" s="470"/>
      <c r="N286" s="470"/>
      <c r="O286" s="469"/>
      <c r="P286" s="470"/>
      <c r="Q286" s="1006">
        <f>Q287</f>
        <v>8000</v>
      </c>
      <c r="R286" s="470"/>
    </row>
    <row r="287" spans="1:18" s="1071" customFormat="1">
      <c r="A287" s="1251"/>
      <c r="B287" s="1008" t="s">
        <v>97</v>
      </c>
      <c r="C287" s="469"/>
      <c r="D287" s="470"/>
      <c r="E287" s="469"/>
      <c r="F287" s="470"/>
      <c r="G287" s="469">
        <f>G288</f>
        <v>8000</v>
      </c>
      <c r="H287" s="470"/>
      <c r="I287" s="470"/>
      <c r="J287" s="469"/>
      <c r="K287" s="470"/>
      <c r="L287" s="469">
        <f>L288</f>
        <v>8000</v>
      </c>
      <c r="M287" s="470"/>
      <c r="N287" s="470"/>
      <c r="O287" s="469"/>
      <c r="P287" s="470"/>
      <c r="Q287" s="469">
        <f>Q288</f>
        <v>8000</v>
      </c>
      <c r="R287" s="470"/>
    </row>
    <row r="288" spans="1:18" s="1071" customFormat="1" ht="24">
      <c r="A288" s="1255"/>
      <c r="B288" s="768" t="s">
        <v>98</v>
      </c>
      <c r="C288" s="469"/>
      <c r="D288" s="470"/>
      <c r="E288" s="469"/>
      <c r="F288" s="470"/>
      <c r="G288" s="469">
        <v>8000</v>
      </c>
      <c r="H288" s="470"/>
      <c r="I288" s="470"/>
      <c r="J288" s="469"/>
      <c r="K288" s="470"/>
      <c r="L288" s="469">
        <v>8000</v>
      </c>
      <c r="M288" s="470"/>
      <c r="N288" s="470"/>
      <c r="O288" s="469"/>
      <c r="P288" s="470"/>
      <c r="Q288" s="469">
        <v>8000</v>
      </c>
      <c r="R288" s="470"/>
    </row>
    <row r="289" spans="1:18" s="1071" customFormat="1">
      <c r="A289" s="1008"/>
      <c r="B289" s="1008" t="s">
        <v>101</v>
      </c>
      <c r="C289" s="469"/>
      <c r="D289" s="470"/>
      <c r="E289" s="469"/>
      <c r="F289" s="470"/>
      <c r="G289" s="1006">
        <f>G290</f>
        <v>8000</v>
      </c>
      <c r="H289" s="470"/>
      <c r="I289" s="470"/>
      <c r="J289" s="469"/>
      <c r="K289" s="470"/>
      <c r="L289" s="1006">
        <f>L290</f>
        <v>8000</v>
      </c>
      <c r="M289" s="470"/>
      <c r="N289" s="470"/>
      <c r="O289" s="469"/>
      <c r="P289" s="470"/>
      <c r="Q289" s="1006">
        <f>Q290</f>
        <v>8000</v>
      </c>
      <c r="R289" s="470"/>
    </row>
    <row r="290" spans="1:18" s="1071" customFormat="1">
      <c r="A290" s="1008"/>
      <c r="B290" s="1008" t="s">
        <v>103</v>
      </c>
      <c r="C290" s="469"/>
      <c r="D290" s="470"/>
      <c r="E290" s="469"/>
      <c r="F290" s="470"/>
      <c r="G290" s="469">
        <f>G291</f>
        <v>8000</v>
      </c>
      <c r="H290" s="470"/>
      <c r="I290" s="470"/>
      <c r="J290" s="469"/>
      <c r="K290" s="470"/>
      <c r="L290" s="469">
        <f>L291</f>
        <v>8000</v>
      </c>
      <c r="M290" s="470"/>
      <c r="N290" s="470"/>
      <c r="O290" s="469"/>
      <c r="P290" s="470"/>
      <c r="Q290" s="469">
        <f>Q291</f>
        <v>8000</v>
      </c>
      <c r="R290" s="470"/>
    </row>
    <row r="291" spans="1:18" s="1071" customFormat="1">
      <c r="A291" s="1008"/>
      <c r="B291" s="1008" t="s">
        <v>105</v>
      </c>
      <c r="C291" s="1107"/>
      <c r="D291" s="1257"/>
      <c r="E291" s="469"/>
      <c r="F291" s="470"/>
      <c r="G291" s="469">
        <f>G292</f>
        <v>8000</v>
      </c>
      <c r="H291" s="470"/>
      <c r="I291" s="470"/>
      <c r="J291" s="469"/>
      <c r="K291" s="470"/>
      <c r="L291" s="469">
        <f>L292</f>
        <v>8000</v>
      </c>
      <c r="M291" s="470"/>
      <c r="N291" s="470"/>
      <c r="O291" s="469"/>
      <c r="P291" s="470"/>
      <c r="Q291" s="469">
        <f>Q292</f>
        <v>8000</v>
      </c>
      <c r="R291" s="470"/>
    </row>
    <row r="292" spans="1:18" s="1071" customFormat="1">
      <c r="A292" s="1254"/>
      <c r="B292" s="768" t="s">
        <v>108</v>
      </c>
      <c r="C292" s="1107"/>
      <c r="D292" s="1257"/>
      <c r="E292" s="469"/>
      <c r="F292" s="470"/>
      <c r="G292" s="469">
        <v>8000</v>
      </c>
      <c r="H292" s="470"/>
      <c r="I292" s="470"/>
      <c r="J292" s="469"/>
      <c r="K292" s="470"/>
      <c r="L292" s="469">
        <v>8000</v>
      </c>
      <c r="M292" s="470"/>
      <c r="N292" s="470"/>
      <c r="O292" s="469"/>
      <c r="P292" s="470"/>
      <c r="Q292" s="469">
        <v>8000</v>
      </c>
      <c r="R292" s="470"/>
    </row>
    <row r="293" spans="1:18" s="1071" customFormat="1">
      <c r="A293" s="1258"/>
      <c r="B293" s="1259"/>
      <c r="C293" s="1107"/>
      <c r="D293" s="1257"/>
      <c r="E293" s="469"/>
      <c r="F293" s="470"/>
      <c r="G293" s="470"/>
      <c r="H293" s="470"/>
      <c r="I293" s="470"/>
      <c r="J293" s="469"/>
      <c r="K293" s="470"/>
      <c r="L293" s="470"/>
      <c r="M293" s="470"/>
      <c r="N293" s="470"/>
      <c r="O293" s="469"/>
      <c r="P293" s="470"/>
      <c r="Q293" s="470"/>
      <c r="R293" s="470"/>
    </row>
    <row r="294" spans="1:18" s="1071" customFormat="1">
      <c r="A294" s="1258"/>
      <c r="B294" s="1259"/>
      <c r="C294" s="1107"/>
      <c r="D294" s="1257"/>
      <c r="E294" s="469"/>
      <c r="F294" s="470"/>
      <c r="G294" s="470"/>
      <c r="H294" s="470"/>
      <c r="I294" s="470"/>
      <c r="J294" s="469"/>
      <c r="K294" s="470"/>
      <c r="L294" s="470"/>
      <c r="M294" s="470"/>
      <c r="N294" s="470"/>
      <c r="O294" s="469"/>
      <c r="P294" s="470"/>
      <c r="Q294" s="470"/>
      <c r="R294" s="470"/>
    </row>
    <row r="295" spans="1:18" s="1071" customFormat="1">
      <c r="A295" s="1108"/>
      <c r="B295" s="1260"/>
      <c r="C295" s="1107"/>
      <c r="D295" s="1257"/>
      <c r="E295" s="469"/>
      <c r="F295" s="470"/>
      <c r="G295" s="470"/>
      <c r="H295" s="470"/>
      <c r="I295" s="470"/>
      <c r="J295" s="469"/>
      <c r="K295" s="470"/>
      <c r="L295" s="470"/>
      <c r="M295" s="470"/>
      <c r="N295" s="470"/>
      <c r="O295" s="469"/>
      <c r="P295" s="470"/>
      <c r="Q295" s="470"/>
      <c r="R295" s="470"/>
    </row>
    <row r="296" spans="1:18" s="1071" customFormat="1">
      <c r="A296" s="1108"/>
      <c r="B296" s="1260"/>
      <c r="C296" s="1107"/>
      <c r="D296" s="1257"/>
      <c r="E296" s="469"/>
      <c r="F296" s="470"/>
      <c r="G296" s="470"/>
      <c r="H296" s="470"/>
      <c r="I296" s="470"/>
      <c r="J296" s="469"/>
      <c r="K296" s="470"/>
      <c r="L296" s="470"/>
      <c r="M296" s="470"/>
      <c r="N296" s="470"/>
      <c r="O296" s="469"/>
      <c r="P296" s="470"/>
      <c r="Q296" s="470"/>
      <c r="R296" s="470"/>
    </row>
    <row r="297" spans="1:18" s="1071" customFormat="1">
      <c r="A297" s="1108"/>
      <c r="B297" s="1260"/>
      <c r="C297" s="1107"/>
      <c r="D297" s="1257"/>
      <c r="E297" s="469"/>
      <c r="F297" s="470"/>
      <c r="G297" s="470"/>
      <c r="H297" s="470"/>
      <c r="I297" s="470"/>
      <c r="J297" s="469"/>
      <c r="K297" s="470"/>
      <c r="L297" s="470"/>
      <c r="M297" s="470"/>
      <c r="N297" s="470"/>
      <c r="O297" s="469"/>
      <c r="P297" s="470"/>
      <c r="Q297" s="470"/>
      <c r="R297" s="470"/>
    </row>
    <row r="298" spans="1:18" s="1071" customFormat="1">
      <c r="A298" s="1108"/>
      <c r="B298" s="1260"/>
      <c r="C298" s="1107"/>
      <c r="D298" s="1257"/>
      <c r="E298" s="469"/>
      <c r="F298" s="470"/>
      <c r="G298" s="470"/>
      <c r="H298" s="470"/>
      <c r="I298" s="470"/>
      <c r="J298" s="469"/>
      <c r="K298" s="470"/>
      <c r="L298" s="470"/>
      <c r="M298" s="470"/>
      <c r="N298" s="470"/>
      <c r="O298" s="469"/>
      <c r="P298" s="470"/>
      <c r="Q298" s="470"/>
      <c r="R298" s="470"/>
    </row>
    <row r="299" spans="1:18" s="1071" customFormat="1">
      <c r="A299" s="1108"/>
      <c r="B299" s="1260"/>
      <c r="C299" s="1107"/>
      <c r="D299" s="1257"/>
      <c r="E299" s="469"/>
      <c r="F299" s="470"/>
      <c r="G299" s="470"/>
      <c r="H299" s="470"/>
      <c r="I299" s="470"/>
      <c r="J299" s="469"/>
      <c r="K299" s="470"/>
      <c r="L299" s="470"/>
      <c r="M299" s="470"/>
      <c r="N299" s="470"/>
      <c r="O299" s="469"/>
      <c r="P299" s="470"/>
      <c r="Q299" s="470"/>
      <c r="R299" s="470"/>
    </row>
    <row r="300" spans="1:18" s="1071" customFormat="1">
      <c r="A300" s="1108"/>
      <c r="B300" s="1260"/>
      <c r="C300" s="1107"/>
      <c r="D300" s="1257"/>
      <c r="E300" s="469"/>
      <c r="F300" s="470"/>
      <c r="G300" s="470"/>
      <c r="H300" s="470"/>
      <c r="I300" s="470"/>
      <c r="J300" s="469"/>
      <c r="K300" s="470"/>
      <c r="L300" s="470"/>
      <c r="M300" s="470"/>
      <c r="N300" s="470"/>
      <c r="O300" s="469"/>
      <c r="P300" s="470"/>
      <c r="Q300" s="470"/>
      <c r="R300" s="470"/>
    </row>
    <row r="301" spans="1:18" s="1071" customFormat="1">
      <c r="A301" s="1108"/>
      <c r="B301" s="1260"/>
      <c r="C301" s="1107"/>
      <c r="D301" s="1257"/>
      <c r="E301" s="469"/>
      <c r="F301" s="470"/>
      <c r="G301" s="470"/>
      <c r="H301" s="470"/>
      <c r="I301" s="470"/>
      <c r="J301" s="469"/>
      <c r="K301" s="470"/>
      <c r="L301" s="470"/>
      <c r="M301" s="470"/>
      <c r="N301" s="470"/>
      <c r="O301" s="469"/>
      <c r="P301" s="470"/>
      <c r="Q301" s="470"/>
      <c r="R301" s="470"/>
    </row>
    <row r="302" spans="1:18" s="1071" customFormat="1">
      <c r="A302" s="1108"/>
      <c r="B302" s="1260"/>
      <c r="C302" s="1107"/>
      <c r="D302" s="1257"/>
      <c r="E302" s="469"/>
      <c r="F302" s="470"/>
      <c r="G302" s="470"/>
      <c r="H302" s="470"/>
      <c r="I302" s="470"/>
      <c r="J302" s="469"/>
      <c r="K302" s="470"/>
      <c r="L302" s="470"/>
      <c r="M302" s="470"/>
      <c r="N302" s="470"/>
      <c r="O302" s="469"/>
      <c r="P302" s="470"/>
      <c r="Q302" s="470"/>
      <c r="R302" s="470"/>
    </row>
    <row r="303" spans="1:18" s="1071" customFormat="1">
      <c r="A303" s="1108"/>
      <c r="B303" s="1260"/>
      <c r="C303" s="1107"/>
      <c r="D303" s="1257"/>
      <c r="E303" s="469"/>
      <c r="F303" s="470"/>
      <c r="G303" s="470"/>
      <c r="H303" s="470"/>
      <c r="I303" s="470"/>
      <c r="J303" s="469"/>
      <c r="K303" s="470"/>
      <c r="L303" s="470"/>
      <c r="M303" s="470"/>
      <c r="N303" s="470"/>
      <c r="O303" s="469"/>
      <c r="P303" s="470"/>
      <c r="Q303" s="470"/>
      <c r="R303" s="470"/>
    </row>
    <row r="304" spans="1:18" s="1071" customFormat="1">
      <c r="A304" s="1108"/>
      <c r="B304" s="1260"/>
      <c r="C304" s="1107"/>
      <c r="D304" s="1257"/>
      <c r="E304" s="469"/>
      <c r="F304" s="470"/>
      <c r="G304" s="470"/>
      <c r="H304" s="470"/>
      <c r="I304" s="470"/>
      <c r="J304" s="469"/>
      <c r="K304" s="470"/>
      <c r="L304" s="470"/>
      <c r="M304" s="470"/>
      <c r="N304" s="470"/>
      <c r="O304" s="469"/>
      <c r="P304" s="470"/>
      <c r="Q304" s="470"/>
      <c r="R304" s="470"/>
    </row>
    <row r="305" spans="1:18" s="1071" customFormat="1">
      <c r="A305" s="1108"/>
      <c r="B305" s="1260"/>
      <c r="C305" s="1107"/>
      <c r="D305" s="1257"/>
      <c r="E305" s="469"/>
      <c r="F305" s="470"/>
      <c r="G305" s="470"/>
      <c r="H305" s="470"/>
      <c r="I305" s="470"/>
      <c r="J305" s="469"/>
      <c r="K305" s="470"/>
      <c r="L305" s="470"/>
      <c r="M305" s="470"/>
      <c r="N305" s="470"/>
      <c r="O305" s="469"/>
      <c r="P305" s="470"/>
      <c r="Q305" s="470"/>
      <c r="R305" s="470"/>
    </row>
    <row r="306" spans="1:18" s="1071" customFormat="1">
      <c r="A306" s="1108"/>
      <c r="B306" s="1260"/>
      <c r="C306" s="1107"/>
      <c r="D306" s="1257"/>
      <c r="E306" s="469"/>
      <c r="F306" s="470"/>
      <c r="G306" s="470"/>
      <c r="H306" s="470"/>
      <c r="I306" s="470"/>
      <c r="J306" s="469"/>
      <c r="K306" s="470"/>
      <c r="L306" s="470"/>
      <c r="M306" s="470"/>
      <c r="N306" s="470"/>
      <c r="O306" s="469"/>
      <c r="P306" s="470"/>
      <c r="Q306" s="470"/>
      <c r="R306" s="470"/>
    </row>
    <row r="307" spans="1:18" s="1071" customFormat="1">
      <c r="A307" s="1108"/>
      <c r="B307" s="1260"/>
      <c r="C307" s="1107"/>
      <c r="D307" s="1257"/>
      <c r="E307" s="469"/>
      <c r="F307" s="470"/>
      <c r="G307" s="470"/>
      <c r="H307" s="470"/>
      <c r="I307" s="470"/>
      <c r="J307" s="469"/>
      <c r="K307" s="470"/>
      <c r="L307" s="470"/>
      <c r="M307" s="470"/>
      <c r="N307" s="470"/>
      <c r="O307" s="469"/>
      <c r="P307" s="470"/>
      <c r="Q307" s="470"/>
      <c r="R307" s="470"/>
    </row>
    <row r="308" spans="1:18" s="1071" customFormat="1">
      <c r="A308" s="1108"/>
      <c r="B308" s="1260"/>
      <c r="C308" s="1107"/>
      <c r="D308" s="1257"/>
      <c r="E308" s="469"/>
      <c r="F308" s="470"/>
      <c r="G308" s="470"/>
      <c r="H308" s="470"/>
      <c r="I308" s="470"/>
      <c r="J308" s="469"/>
      <c r="K308" s="470"/>
      <c r="L308" s="470"/>
      <c r="M308" s="470"/>
      <c r="N308" s="470"/>
      <c r="O308" s="469"/>
      <c r="P308" s="470"/>
      <c r="Q308" s="470"/>
      <c r="R308" s="470"/>
    </row>
    <row r="309" spans="1:18" s="1071" customFormat="1">
      <c r="A309" s="1108"/>
      <c r="B309" s="1260"/>
      <c r="C309" s="1107"/>
      <c r="D309" s="1257"/>
      <c r="E309" s="469"/>
      <c r="F309" s="470"/>
      <c r="G309" s="470"/>
      <c r="H309" s="470"/>
      <c r="I309" s="470"/>
      <c r="J309" s="469"/>
      <c r="K309" s="470"/>
      <c r="L309" s="470"/>
      <c r="M309" s="470"/>
      <c r="N309" s="470"/>
      <c r="O309" s="469"/>
      <c r="P309" s="470"/>
      <c r="Q309" s="470"/>
      <c r="R309" s="470"/>
    </row>
    <row r="310" spans="1:18" s="1071" customFormat="1">
      <c r="A310" s="1108"/>
      <c r="B310" s="1260"/>
      <c r="C310" s="1107"/>
      <c r="D310" s="1257"/>
      <c r="E310" s="469"/>
      <c r="F310" s="470"/>
      <c r="G310" s="470"/>
      <c r="H310" s="470"/>
      <c r="I310" s="470"/>
      <c r="J310" s="469"/>
      <c r="K310" s="470"/>
      <c r="L310" s="470"/>
      <c r="M310" s="470"/>
      <c r="N310" s="470"/>
      <c r="O310" s="469"/>
      <c r="P310" s="470"/>
      <c r="Q310" s="470"/>
      <c r="R310" s="470"/>
    </row>
    <row r="311" spans="1:18" s="1071" customFormat="1">
      <c r="A311" s="1108"/>
      <c r="B311" s="1260"/>
      <c r="C311" s="1107"/>
      <c r="D311" s="1257"/>
      <c r="E311" s="469"/>
      <c r="F311" s="470"/>
      <c r="G311" s="470"/>
      <c r="H311" s="470"/>
      <c r="I311" s="470"/>
      <c r="J311" s="469"/>
      <c r="K311" s="470"/>
      <c r="L311" s="470"/>
      <c r="M311" s="470"/>
      <c r="N311" s="470"/>
      <c r="O311" s="469"/>
      <c r="P311" s="470"/>
      <c r="Q311" s="470"/>
      <c r="R311" s="470"/>
    </row>
    <row r="312" spans="1:18" s="1071" customFormat="1">
      <c r="A312" s="1108"/>
      <c r="B312" s="1260"/>
      <c r="C312" s="1107"/>
      <c r="D312" s="1257"/>
      <c r="E312" s="469"/>
      <c r="F312" s="470"/>
      <c r="G312" s="470"/>
      <c r="H312" s="470"/>
      <c r="I312" s="470"/>
      <c r="J312" s="469"/>
      <c r="K312" s="470"/>
      <c r="L312" s="470"/>
      <c r="M312" s="470"/>
      <c r="N312" s="470"/>
      <c r="O312" s="469"/>
      <c r="P312" s="470"/>
      <c r="Q312" s="470"/>
      <c r="R312" s="470"/>
    </row>
    <row r="313" spans="1:18" s="1071" customFormat="1">
      <c r="A313" s="1108"/>
      <c r="B313" s="1260"/>
      <c r="C313" s="1107"/>
      <c r="D313" s="1257"/>
      <c r="E313" s="469"/>
      <c r="F313" s="470"/>
      <c r="G313" s="470"/>
      <c r="H313" s="470"/>
      <c r="I313" s="470"/>
      <c r="J313" s="469"/>
      <c r="K313" s="470"/>
      <c r="L313" s="470"/>
      <c r="M313" s="470"/>
      <c r="N313" s="470"/>
      <c r="O313" s="469"/>
      <c r="P313" s="470"/>
      <c r="Q313" s="470"/>
      <c r="R313" s="470"/>
    </row>
    <row r="314" spans="1:18" s="1071" customFormat="1">
      <c r="A314" s="1108"/>
      <c r="B314" s="1260"/>
      <c r="C314" s="1107"/>
      <c r="D314" s="1257"/>
      <c r="E314" s="469"/>
      <c r="F314" s="470"/>
      <c r="G314" s="470"/>
      <c r="H314" s="470"/>
      <c r="I314" s="470"/>
      <c r="J314" s="469"/>
      <c r="K314" s="470"/>
      <c r="L314" s="470"/>
      <c r="M314" s="470"/>
      <c r="N314" s="470"/>
      <c r="O314" s="469"/>
      <c r="P314" s="470"/>
      <c r="Q314" s="470"/>
      <c r="R314" s="470"/>
    </row>
    <row r="315" spans="1:18" s="1071" customFormat="1">
      <c r="A315" s="1108"/>
      <c r="B315" s="1260"/>
      <c r="C315" s="1107"/>
      <c r="D315" s="1257"/>
      <c r="E315" s="469"/>
      <c r="F315" s="470"/>
      <c r="G315" s="470"/>
      <c r="H315" s="470"/>
      <c r="I315" s="470"/>
      <c r="J315" s="469"/>
      <c r="K315" s="470"/>
      <c r="L315" s="470"/>
      <c r="M315" s="470"/>
      <c r="N315" s="470"/>
      <c r="O315" s="469"/>
      <c r="P315" s="470"/>
      <c r="Q315" s="470"/>
      <c r="R315" s="470"/>
    </row>
    <row r="316" spans="1:18" s="1071" customFormat="1">
      <c r="A316" s="1108"/>
      <c r="B316" s="1260"/>
      <c r="C316" s="1107"/>
      <c r="D316" s="1257"/>
      <c r="E316" s="469"/>
      <c r="F316" s="470"/>
      <c r="G316" s="470"/>
      <c r="H316" s="470"/>
      <c r="I316" s="470"/>
      <c r="J316" s="469"/>
      <c r="K316" s="470"/>
      <c r="L316" s="470"/>
      <c r="M316" s="470"/>
      <c r="N316" s="470"/>
      <c r="O316" s="469"/>
      <c r="P316" s="470"/>
      <c r="Q316" s="470"/>
      <c r="R316" s="470"/>
    </row>
    <row r="317" spans="1:18" s="1071" customFormat="1">
      <c r="A317" s="1108"/>
      <c r="B317" s="1260"/>
      <c r="C317" s="1107"/>
      <c r="D317" s="1257"/>
      <c r="E317" s="469"/>
      <c r="F317" s="470"/>
      <c r="G317" s="470"/>
      <c r="H317" s="470"/>
      <c r="I317" s="470"/>
      <c r="J317" s="469"/>
      <c r="K317" s="470"/>
      <c r="L317" s="470"/>
      <c r="M317" s="470"/>
      <c r="N317" s="470"/>
      <c r="O317" s="469"/>
      <c r="P317" s="470"/>
      <c r="Q317" s="470"/>
      <c r="R317" s="470"/>
    </row>
    <row r="318" spans="1:18" s="1071" customFormat="1">
      <c r="A318" s="1108"/>
      <c r="B318" s="1260"/>
      <c r="C318" s="1107"/>
      <c r="D318" s="1257"/>
      <c r="E318" s="469"/>
      <c r="F318" s="470"/>
      <c r="G318" s="470"/>
      <c r="H318" s="470"/>
      <c r="I318" s="470"/>
      <c r="J318" s="469"/>
      <c r="K318" s="470"/>
      <c r="L318" s="470"/>
      <c r="M318" s="470"/>
      <c r="N318" s="470"/>
      <c r="O318" s="469"/>
      <c r="P318" s="470"/>
      <c r="Q318" s="470"/>
      <c r="R318" s="470"/>
    </row>
    <row r="319" spans="1:18" s="1071" customFormat="1">
      <c r="A319" s="1108"/>
      <c r="B319" s="1260"/>
      <c r="C319" s="1107"/>
      <c r="D319" s="1257"/>
      <c r="E319" s="469"/>
      <c r="F319" s="470"/>
      <c r="G319" s="470"/>
      <c r="H319" s="470"/>
      <c r="I319" s="470"/>
      <c r="J319" s="469"/>
      <c r="K319" s="470"/>
      <c r="L319" s="470"/>
      <c r="M319" s="470"/>
      <c r="N319" s="470"/>
      <c r="O319" s="469"/>
      <c r="P319" s="470"/>
      <c r="Q319" s="470"/>
      <c r="R319" s="470"/>
    </row>
    <row r="320" spans="1:18" s="1071" customFormat="1">
      <c r="A320" s="1108"/>
      <c r="B320" s="1260"/>
      <c r="C320" s="1107"/>
      <c r="D320" s="1257"/>
      <c r="E320" s="469"/>
      <c r="F320" s="470"/>
      <c r="G320" s="470"/>
      <c r="H320" s="470"/>
      <c r="I320" s="470"/>
      <c r="J320" s="469"/>
      <c r="K320" s="470"/>
      <c r="L320" s="470"/>
      <c r="M320" s="470"/>
      <c r="N320" s="470"/>
      <c r="O320" s="469"/>
      <c r="P320" s="470"/>
      <c r="Q320" s="470"/>
      <c r="R320" s="470"/>
    </row>
    <row r="321" spans="1:18" s="1071" customFormat="1">
      <c r="A321" s="1108"/>
      <c r="B321" s="1260"/>
      <c r="C321" s="1107"/>
      <c r="D321" s="1257"/>
      <c r="E321" s="469"/>
      <c r="F321" s="470"/>
      <c r="G321" s="470"/>
      <c r="H321" s="470"/>
      <c r="I321" s="470"/>
      <c r="J321" s="469"/>
      <c r="K321" s="470"/>
      <c r="L321" s="470"/>
      <c r="M321" s="470"/>
      <c r="N321" s="470"/>
      <c r="O321" s="469"/>
      <c r="P321" s="470"/>
      <c r="Q321" s="470"/>
      <c r="R321" s="470"/>
    </row>
    <row r="322" spans="1:18" s="1071" customFormat="1">
      <c r="A322" s="1108"/>
      <c r="B322" s="1260"/>
      <c r="C322" s="1107"/>
      <c r="D322" s="1257"/>
      <c r="E322" s="469"/>
      <c r="F322" s="470"/>
      <c r="G322" s="470"/>
      <c r="H322" s="470"/>
      <c r="I322" s="470"/>
      <c r="J322" s="469"/>
      <c r="K322" s="470"/>
      <c r="L322" s="470"/>
      <c r="M322" s="470"/>
      <c r="N322" s="470"/>
      <c r="O322" s="469"/>
      <c r="P322" s="470"/>
      <c r="Q322" s="470"/>
      <c r="R322" s="470"/>
    </row>
    <row r="323" spans="1:18" s="1071" customFormat="1">
      <c r="A323" s="1108"/>
      <c r="B323" s="1260"/>
      <c r="C323" s="1107"/>
      <c r="D323" s="1257"/>
      <c r="E323" s="469"/>
      <c r="F323" s="470"/>
      <c r="G323" s="470"/>
      <c r="H323" s="470"/>
      <c r="I323" s="470"/>
      <c r="J323" s="469"/>
      <c r="K323" s="470"/>
      <c r="L323" s="470"/>
      <c r="M323" s="470"/>
      <c r="N323" s="470"/>
      <c r="O323" s="469"/>
      <c r="P323" s="470"/>
      <c r="Q323" s="470"/>
      <c r="R323" s="470"/>
    </row>
    <row r="324" spans="1:18" s="1071" customFormat="1">
      <c r="A324" s="1108"/>
      <c r="B324" s="1260"/>
      <c r="C324" s="1107"/>
      <c r="D324" s="1257"/>
      <c r="E324" s="469"/>
      <c r="F324" s="470"/>
      <c r="G324" s="470"/>
      <c r="H324" s="470"/>
      <c r="I324" s="470"/>
      <c r="J324" s="469"/>
      <c r="K324" s="470"/>
      <c r="L324" s="470"/>
      <c r="M324" s="470"/>
      <c r="N324" s="470"/>
      <c r="O324" s="469"/>
      <c r="P324" s="470"/>
      <c r="Q324" s="470"/>
      <c r="R324" s="470"/>
    </row>
    <row r="325" spans="1:18" s="1071" customFormat="1">
      <c r="A325" s="1108"/>
      <c r="B325" s="1260"/>
      <c r="C325" s="1107"/>
      <c r="D325" s="1257"/>
      <c r="E325" s="469"/>
      <c r="F325" s="470"/>
      <c r="G325" s="470"/>
      <c r="H325" s="470"/>
      <c r="I325" s="470"/>
      <c r="J325" s="469"/>
      <c r="K325" s="470"/>
      <c r="L325" s="470"/>
      <c r="M325" s="470"/>
      <c r="N325" s="470"/>
      <c r="O325" s="469"/>
      <c r="P325" s="470"/>
      <c r="Q325" s="470"/>
      <c r="R325" s="470"/>
    </row>
    <row r="326" spans="1:18" s="1071" customFormat="1">
      <c r="A326" s="1108"/>
      <c r="B326" s="1260"/>
      <c r="C326" s="1107"/>
      <c r="D326" s="1257"/>
      <c r="E326" s="469"/>
      <c r="F326" s="470"/>
      <c r="G326" s="470"/>
      <c r="H326" s="470"/>
      <c r="I326" s="470"/>
      <c r="J326" s="469"/>
      <c r="K326" s="470"/>
      <c r="L326" s="470"/>
      <c r="M326" s="470"/>
      <c r="N326" s="470"/>
      <c r="O326" s="469"/>
      <c r="P326" s="470"/>
      <c r="Q326" s="470"/>
      <c r="R326" s="470"/>
    </row>
    <row r="327" spans="1:18" s="1071" customFormat="1">
      <c r="A327" s="1108"/>
      <c r="B327" s="1260"/>
      <c r="C327" s="1107"/>
      <c r="D327" s="1257"/>
      <c r="E327" s="469"/>
      <c r="F327" s="470"/>
      <c r="G327" s="470"/>
      <c r="H327" s="470"/>
      <c r="I327" s="470"/>
      <c r="J327" s="469"/>
      <c r="K327" s="470"/>
      <c r="L327" s="470"/>
      <c r="M327" s="470"/>
      <c r="N327" s="470"/>
      <c r="O327" s="469"/>
      <c r="P327" s="470"/>
      <c r="Q327" s="470"/>
      <c r="R327" s="470"/>
    </row>
    <row r="328" spans="1:18" s="1071" customFormat="1">
      <c r="A328" s="1108"/>
      <c r="B328" s="1260"/>
      <c r="C328" s="1107"/>
      <c r="D328" s="1257"/>
      <c r="E328" s="469"/>
      <c r="F328" s="470"/>
      <c r="G328" s="470"/>
      <c r="H328" s="470"/>
      <c r="I328" s="470"/>
      <c r="J328" s="469"/>
      <c r="K328" s="470"/>
      <c r="L328" s="470"/>
      <c r="M328" s="470"/>
      <c r="N328" s="470"/>
      <c r="O328" s="469"/>
      <c r="P328" s="470"/>
      <c r="Q328" s="470"/>
      <c r="R328" s="470"/>
    </row>
    <row r="329" spans="1:18" s="1071" customFormat="1">
      <c r="A329" s="1261"/>
      <c r="B329" s="1262"/>
      <c r="C329" s="1263"/>
      <c r="D329" s="1264"/>
      <c r="E329" s="469"/>
      <c r="F329" s="470"/>
      <c r="G329" s="470"/>
      <c r="H329" s="470"/>
      <c r="I329" s="470"/>
      <c r="J329" s="469"/>
      <c r="K329" s="470"/>
      <c r="L329" s="470"/>
      <c r="M329" s="470"/>
      <c r="N329" s="470"/>
      <c r="O329" s="469"/>
      <c r="P329" s="470"/>
      <c r="Q329" s="470"/>
      <c r="R329" s="470"/>
    </row>
    <row r="330" spans="1:18" s="1071" customFormat="1">
      <c r="A330" s="1261"/>
      <c r="B330" s="1262"/>
      <c r="C330" s="1263"/>
      <c r="D330" s="1264"/>
      <c r="E330" s="469"/>
      <c r="F330" s="470"/>
      <c r="G330" s="470"/>
      <c r="H330" s="470"/>
      <c r="I330" s="470"/>
      <c r="J330" s="469"/>
      <c r="K330" s="470"/>
      <c r="L330" s="470"/>
      <c r="M330" s="470"/>
      <c r="N330" s="470"/>
      <c r="O330" s="469"/>
      <c r="P330" s="470"/>
      <c r="Q330" s="470"/>
      <c r="R330" s="470"/>
    </row>
    <row r="331" spans="1:18" s="1071" customFormat="1">
      <c r="A331" s="1261"/>
      <c r="B331" s="1262"/>
      <c r="C331" s="1263"/>
      <c r="D331" s="1264"/>
      <c r="E331" s="469"/>
      <c r="F331" s="470"/>
      <c r="G331" s="470"/>
      <c r="H331" s="470"/>
      <c r="I331" s="470"/>
      <c r="J331" s="469"/>
      <c r="K331" s="470"/>
      <c r="L331" s="470"/>
      <c r="M331" s="470"/>
      <c r="N331" s="470"/>
      <c r="O331" s="469"/>
      <c r="P331" s="470"/>
      <c r="Q331" s="470"/>
      <c r="R331" s="470"/>
    </row>
    <row r="332" spans="1:18" s="1071" customFormat="1">
      <c r="A332" s="1261"/>
      <c r="B332" s="1262"/>
      <c r="C332" s="1263"/>
      <c r="D332" s="1264"/>
      <c r="E332" s="469"/>
      <c r="F332" s="470"/>
      <c r="G332" s="470"/>
      <c r="H332" s="470"/>
      <c r="I332" s="470"/>
      <c r="J332" s="469"/>
      <c r="K332" s="470"/>
      <c r="L332" s="470"/>
      <c r="M332" s="470"/>
      <c r="N332" s="470"/>
      <c r="O332" s="469"/>
      <c r="P332" s="470"/>
      <c r="Q332" s="470"/>
      <c r="R332" s="470"/>
    </row>
    <row r="333" spans="1:18" s="1071" customFormat="1">
      <c r="A333" s="1261"/>
      <c r="B333" s="1262"/>
      <c r="C333" s="1263"/>
      <c r="D333" s="1264"/>
      <c r="E333" s="469"/>
      <c r="F333" s="470"/>
      <c r="G333" s="470"/>
      <c r="H333" s="470"/>
      <c r="I333" s="470"/>
      <c r="J333" s="469"/>
      <c r="K333" s="470"/>
      <c r="L333" s="470"/>
      <c r="M333" s="470"/>
      <c r="N333" s="470"/>
      <c r="O333" s="469"/>
      <c r="P333" s="470"/>
      <c r="Q333" s="470"/>
      <c r="R333" s="470"/>
    </row>
    <row r="334" spans="1:18" s="1071" customFormat="1">
      <c r="A334" s="1261"/>
      <c r="B334" s="1262"/>
      <c r="C334" s="1263"/>
      <c r="D334" s="1264"/>
      <c r="E334" s="469"/>
      <c r="F334" s="470"/>
      <c r="G334" s="470"/>
      <c r="H334" s="470"/>
      <c r="I334" s="470"/>
      <c r="J334" s="469"/>
      <c r="K334" s="470"/>
      <c r="L334" s="470"/>
      <c r="M334" s="470"/>
      <c r="N334" s="470"/>
      <c r="O334" s="469"/>
      <c r="P334" s="470"/>
      <c r="Q334" s="470"/>
      <c r="R334" s="470"/>
    </row>
    <row r="335" spans="1:18" s="1071" customFormat="1">
      <c r="A335" s="1261"/>
      <c r="B335" s="1262"/>
      <c r="C335" s="1263"/>
      <c r="D335" s="1264"/>
      <c r="E335" s="469"/>
      <c r="F335" s="470"/>
      <c r="G335" s="470"/>
      <c r="H335" s="470"/>
      <c r="I335" s="470"/>
      <c r="J335" s="469"/>
      <c r="K335" s="470"/>
      <c r="L335" s="470"/>
      <c r="M335" s="470"/>
      <c r="N335" s="470"/>
      <c r="O335" s="469"/>
      <c r="P335" s="470"/>
      <c r="Q335" s="470"/>
      <c r="R335" s="470"/>
    </row>
    <row r="336" spans="1:18" s="1071" customFormat="1">
      <c r="A336" s="1261"/>
      <c r="B336" s="1262"/>
      <c r="C336" s="1263"/>
      <c r="D336" s="1264"/>
      <c r="E336" s="469"/>
      <c r="F336" s="470"/>
      <c r="G336" s="470"/>
      <c r="H336" s="470"/>
      <c r="I336" s="470"/>
      <c r="J336" s="469"/>
      <c r="K336" s="470"/>
      <c r="L336" s="470"/>
      <c r="M336" s="470"/>
      <c r="N336" s="470"/>
      <c r="O336" s="469"/>
      <c r="P336" s="470"/>
      <c r="Q336" s="470"/>
      <c r="R336" s="470"/>
    </row>
    <row r="337" spans="1:18" s="1071" customFormat="1">
      <c r="A337" s="1261"/>
      <c r="B337" s="1262"/>
      <c r="C337" s="1263"/>
      <c r="D337" s="1264"/>
      <c r="E337" s="469"/>
      <c r="F337" s="470"/>
      <c r="G337" s="470"/>
      <c r="H337" s="470"/>
      <c r="I337" s="470"/>
      <c r="J337" s="469"/>
      <c r="K337" s="470"/>
      <c r="L337" s="470"/>
      <c r="M337" s="470"/>
      <c r="N337" s="470"/>
      <c r="O337" s="469"/>
      <c r="P337" s="470"/>
      <c r="Q337" s="470"/>
      <c r="R337" s="470"/>
    </row>
    <row r="338" spans="1:18" s="1071" customFormat="1">
      <c r="A338" s="1261"/>
      <c r="B338" s="1262"/>
      <c r="C338" s="1263"/>
      <c r="D338" s="1264"/>
      <c r="E338" s="469"/>
      <c r="F338" s="470"/>
      <c r="G338" s="470"/>
      <c r="H338" s="470"/>
      <c r="I338" s="470"/>
      <c r="J338" s="469"/>
      <c r="K338" s="470"/>
      <c r="L338" s="470"/>
      <c r="M338" s="470"/>
      <c r="N338" s="470"/>
      <c r="O338" s="469"/>
      <c r="P338" s="470"/>
      <c r="Q338" s="470"/>
      <c r="R338" s="470"/>
    </row>
    <row r="339" spans="1:18" s="1071" customFormat="1">
      <c r="A339" s="1261"/>
      <c r="B339" s="1262"/>
      <c r="C339" s="1263"/>
      <c r="D339" s="1264"/>
      <c r="E339" s="469"/>
      <c r="F339" s="470"/>
      <c r="G339" s="470"/>
      <c r="H339" s="470"/>
      <c r="I339" s="470"/>
      <c r="J339" s="469"/>
      <c r="K339" s="470"/>
      <c r="L339" s="470"/>
      <c r="M339" s="470"/>
      <c r="N339" s="470"/>
      <c r="O339" s="469"/>
      <c r="P339" s="470"/>
      <c r="Q339" s="470"/>
      <c r="R339" s="470"/>
    </row>
    <row r="340" spans="1:18" s="1071" customFormat="1">
      <c r="A340" s="1261"/>
      <c r="B340" s="1262"/>
      <c r="C340" s="1263"/>
      <c r="D340" s="1264"/>
      <c r="E340" s="469"/>
      <c r="F340" s="470"/>
      <c r="G340" s="470"/>
      <c r="H340" s="470"/>
      <c r="I340" s="470"/>
      <c r="J340" s="469"/>
      <c r="K340" s="470"/>
      <c r="L340" s="470"/>
      <c r="M340" s="470"/>
      <c r="N340" s="470"/>
      <c r="O340" s="469"/>
      <c r="P340" s="470"/>
      <c r="Q340" s="470"/>
      <c r="R340" s="470"/>
    </row>
    <row r="341" spans="1:18" s="1071" customFormat="1">
      <c r="A341" s="1261"/>
      <c r="B341" s="1262"/>
      <c r="C341" s="1263"/>
      <c r="D341" s="1264"/>
      <c r="E341" s="469"/>
      <c r="F341" s="470"/>
      <c r="G341" s="470"/>
      <c r="H341" s="470"/>
      <c r="I341" s="470"/>
      <c r="J341" s="469"/>
      <c r="K341" s="470"/>
      <c r="L341" s="470"/>
      <c r="M341" s="470"/>
      <c r="N341" s="470"/>
      <c r="O341" s="469"/>
      <c r="P341" s="470"/>
      <c r="Q341" s="470"/>
      <c r="R341" s="470"/>
    </row>
    <row r="342" spans="1:18" s="1071" customFormat="1">
      <c r="A342" s="1261"/>
      <c r="B342" s="1262"/>
      <c r="C342" s="1263"/>
      <c r="D342" s="1264"/>
      <c r="E342" s="469"/>
      <c r="F342" s="470"/>
      <c r="G342" s="470"/>
      <c r="H342" s="470"/>
      <c r="I342" s="470"/>
      <c r="J342" s="469"/>
      <c r="K342" s="470"/>
      <c r="L342" s="470"/>
      <c r="M342" s="470"/>
      <c r="N342" s="470"/>
      <c r="O342" s="469"/>
      <c r="P342" s="470"/>
      <c r="Q342" s="470"/>
      <c r="R342" s="470"/>
    </row>
    <row r="343" spans="1:18" s="1071" customFormat="1">
      <c r="A343" s="1261"/>
      <c r="B343" s="1262"/>
      <c r="C343" s="1263"/>
      <c r="D343" s="1264"/>
      <c r="E343" s="469"/>
      <c r="F343" s="470"/>
      <c r="G343" s="470"/>
      <c r="H343" s="470"/>
      <c r="I343" s="470"/>
      <c r="J343" s="469"/>
      <c r="K343" s="470"/>
      <c r="L343" s="470"/>
      <c r="M343" s="470"/>
      <c r="N343" s="470"/>
      <c r="O343" s="469"/>
      <c r="P343" s="470"/>
      <c r="Q343" s="470"/>
      <c r="R343" s="470"/>
    </row>
    <row r="344" spans="1:18" s="1071" customFormat="1">
      <c r="A344" s="1261"/>
      <c r="B344" s="1262"/>
      <c r="C344" s="1263"/>
      <c r="D344" s="1264"/>
      <c r="E344" s="469"/>
      <c r="F344" s="470"/>
      <c r="G344" s="470"/>
      <c r="H344" s="470"/>
      <c r="I344" s="470"/>
      <c r="J344" s="469"/>
      <c r="K344" s="470"/>
      <c r="L344" s="470"/>
      <c r="M344" s="470"/>
      <c r="N344" s="470"/>
      <c r="O344" s="469"/>
      <c r="P344" s="470"/>
      <c r="Q344" s="470"/>
      <c r="R344" s="470"/>
    </row>
    <row r="345" spans="1:18" s="1071" customFormat="1">
      <c r="A345" s="1261"/>
      <c r="B345" s="1262"/>
      <c r="C345" s="1263"/>
      <c r="D345" s="1264"/>
      <c r="E345" s="469"/>
      <c r="F345" s="470"/>
      <c r="G345" s="470"/>
      <c r="H345" s="470"/>
      <c r="I345" s="470"/>
      <c r="J345" s="469"/>
      <c r="K345" s="470"/>
      <c r="L345" s="470"/>
      <c r="M345" s="470"/>
      <c r="N345" s="470"/>
      <c r="O345" s="469"/>
      <c r="P345" s="470"/>
      <c r="Q345" s="470"/>
      <c r="R345" s="470"/>
    </row>
    <row r="346" spans="1:18" s="1071" customFormat="1">
      <c r="A346" s="1261"/>
      <c r="B346" s="1262"/>
      <c r="C346" s="1263"/>
      <c r="D346" s="1264"/>
      <c r="E346" s="469"/>
      <c r="F346" s="470"/>
      <c r="G346" s="470"/>
      <c r="H346" s="470"/>
      <c r="I346" s="470"/>
      <c r="J346" s="469"/>
      <c r="K346" s="470"/>
      <c r="L346" s="470"/>
      <c r="M346" s="470"/>
      <c r="N346" s="470"/>
      <c r="O346" s="469"/>
      <c r="P346" s="470"/>
      <c r="Q346" s="470"/>
      <c r="R346" s="470"/>
    </row>
    <row r="347" spans="1:18" s="1071" customFormat="1">
      <c r="A347" s="1261"/>
      <c r="B347" s="1262"/>
      <c r="C347" s="1263"/>
      <c r="D347" s="1264"/>
      <c r="E347" s="469"/>
      <c r="F347" s="470"/>
      <c r="G347" s="470"/>
      <c r="H347" s="470"/>
      <c r="I347" s="470"/>
      <c r="J347" s="469"/>
      <c r="K347" s="470"/>
      <c r="L347" s="470"/>
      <c r="M347" s="470"/>
      <c r="N347" s="470"/>
      <c r="O347" s="469"/>
      <c r="P347" s="470"/>
      <c r="Q347" s="470"/>
      <c r="R347" s="470"/>
    </row>
    <row r="348" spans="1:18" s="1071" customFormat="1">
      <c r="A348" s="1261"/>
      <c r="B348" s="1262"/>
      <c r="C348" s="1263"/>
      <c r="D348" s="1264"/>
      <c r="E348" s="469"/>
      <c r="F348" s="470"/>
      <c r="G348" s="470"/>
      <c r="H348" s="470"/>
      <c r="I348" s="470"/>
      <c r="J348" s="469"/>
      <c r="K348" s="470"/>
      <c r="L348" s="470"/>
      <c r="M348" s="470"/>
      <c r="N348" s="470"/>
      <c r="O348" s="469"/>
      <c r="P348" s="470"/>
      <c r="Q348" s="470"/>
      <c r="R348" s="470"/>
    </row>
    <row r="349" spans="1:18" s="1071" customFormat="1">
      <c r="A349" s="1261"/>
      <c r="B349" s="1262"/>
      <c r="C349" s="1263"/>
      <c r="D349" s="1264"/>
      <c r="E349" s="469"/>
      <c r="F349" s="470"/>
      <c r="G349" s="470"/>
      <c r="H349" s="470"/>
      <c r="I349" s="470"/>
      <c r="J349" s="469"/>
      <c r="K349" s="470"/>
      <c r="L349" s="470"/>
      <c r="M349" s="470"/>
      <c r="N349" s="470"/>
      <c r="O349" s="469"/>
      <c r="P349" s="470"/>
      <c r="Q349" s="470"/>
      <c r="R349" s="470"/>
    </row>
    <row r="350" spans="1:18" s="1071" customFormat="1">
      <c r="A350" s="1261"/>
      <c r="B350" s="1262"/>
      <c r="C350" s="1263"/>
      <c r="D350" s="1264"/>
      <c r="E350" s="469"/>
      <c r="F350" s="470"/>
      <c r="G350" s="470"/>
      <c r="H350" s="470"/>
      <c r="I350" s="470"/>
      <c r="J350" s="469"/>
      <c r="K350" s="470"/>
      <c r="L350" s="470"/>
      <c r="M350" s="470"/>
      <c r="N350" s="470"/>
      <c r="O350" s="469"/>
      <c r="P350" s="470"/>
      <c r="Q350" s="470"/>
      <c r="R350" s="470"/>
    </row>
    <row r="351" spans="1:18" s="1071" customFormat="1">
      <c r="A351" s="1261"/>
      <c r="B351" s="1262"/>
      <c r="C351" s="1263"/>
      <c r="D351" s="1264"/>
      <c r="E351" s="469"/>
      <c r="F351" s="470"/>
      <c r="G351" s="470"/>
      <c r="H351" s="470"/>
      <c r="I351" s="470"/>
      <c r="J351" s="469"/>
      <c r="K351" s="470"/>
      <c r="L351" s="470"/>
      <c r="M351" s="470"/>
      <c r="N351" s="470"/>
      <c r="O351" s="469"/>
      <c r="P351" s="470"/>
      <c r="Q351" s="470"/>
      <c r="R351" s="470"/>
    </row>
    <row r="352" spans="1:18" s="1071" customFormat="1">
      <c r="A352" s="1261"/>
      <c r="B352" s="1262"/>
      <c r="C352" s="1263"/>
      <c r="D352" s="1264"/>
      <c r="E352" s="469"/>
      <c r="F352" s="470"/>
      <c r="G352" s="470"/>
      <c r="H352" s="470"/>
      <c r="I352" s="470"/>
      <c r="J352" s="469"/>
      <c r="K352" s="470"/>
      <c r="L352" s="470"/>
      <c r="M352" s="470"/>
      <c r="N352" s="470"/>
      <c r="O352" s="469"/>
      <c r="P352" s="470"/>
      <c r="Q352" s="470"/>
      <c r="R352" s="470"/>
    </row>
    <row r="353" spans="1:18" s="1071" customFormat="1">
      <c r="A353" s="1261"/>
      <c r="B353" s="1262"/>
      <c r="C353" s="1263"/>
      <c r="D353" s="1264"/>
      <c r="E353" s="469"/>
      <c r="F353" s="470"/>
      <c r="G353" s="470"/>
      <c r="H353" s="470"/>
      <c r="I353" s="470"/>
      <c r="J353" s="469"/>
      <c r="K353" s="470"/>
      <c r="L353" s="470"/>
      <c r="M353" s="470"/>
      <c r="N353" s="470"/>
      <c r="O353" s="469"/>
      <c r="P353" s="470"/>
      <c r="Q353" s="470"/>
      <c r="R353" s="470"/>
    </row>
    <row r="354" spans="1:18" s="1071" customFormat="1">
      <c r="A354" s="1261"/>
      <c r="B354" s="1262"/>
      <c r="C354" s="1263"/>
      <c r="D354" s="1264"/>
      <c r="E354" s="469"/>
      <c r="F354" s="470"/>
      <c r="G354" s="470"/>
      <c r="H354" s="470"/>
      <c r="I354" s="470"/>
      <c r="J354" s="469"/>
      <c r="K354" s="470"/>
      <c r="L354" s="470"/>
      <c r="M354" s="470"/>
      <c r="N354" s="470"/>
      <c r="O354" s="469"/>
      <c r="P354" s="470"/>
      <c r="Q354" s="470"/>
      <c r="R354" s="470"/>
    </row>
    <row r="355" spans="1:18" s="1071" customFormat="1">
      <c r="A355" s="1261"/>
      <c r="B355" s="1262"/>
      <c r="C355" s="1263"/>
      <c r="D355" s="1264"/>
      <c r="E355" s="469"/>
      <c r="F355" s="470"/>
      <c r="G355" s="470"/>
      <c r="H355" s="470"/>
      <c r="I355" s="470"/>
      <c r="J355" s="469"/>
      <c r="K355" s="470"/>
      <c r="L355" s="470"/>
      <c r="M355" s="470"/>
      <c r="N355" s="470"/>
      <c r="O355" s="469"/>
      <c r="P355" s="470"/>
      <c r="Q355" s="470"/>
      <c r="R355" s="470"/>
    </row>
    <row r="356" spans="1:18" s="1071" customFormat="1">
      <c r="A356" s="1261"/>
      <c r="B356" s="1262"/>
      <c r="C356" s="1263"/>
      <c r="D356" s="1264"/>
      <c r="E356" s="469"/>
      <c r="F356" s="470"/>
      <c r="G356" s="470"/>
      <c r="H356" s="470"/>
      <c r="I356" s="470"/>
      <c r="J356" s="469"/>
      <c r="K356" s="470"/>
      <c r="L356" s="470"/>
      <c r="M356" s="470"/>
      <c r="N356" s="470"/>
      <c r="O356" s="469"/>
      <c r="P356" s="470"/>
      <c r="Q356" s="470"/>
      <c r="R356" s="470"/>
    </row>
    <row r="357" spans="1:18" s="1071" customFormat="1">
      <c r="A357" s="1261"/>
      <c r="B357" s="1262"/>
      <c r="C357" s="1263"/>
      <c r="D357" s="1264"/>
      <c r="E357" s="469"/>
      <c r="F357" s="470"/>
      <c r="G357" s="470"/>
      <c r="H357" s="470"/>
      <c r="I357" s="470"/>
      <c r="J357" s="469"/>
      <c r="K357" s="470"/>
      <c r="L357" s="470"/>
      <c r="M357" s="470"/>
      <c r="N357" s="470"/>
      <c r="O357" s="469"/>
      <c r="P357" s="470"/>
      <c r="Q357" s="470"/>
      <c r="R357" s="470"/>
    </row>
    <row r="358" spans="1:18" s="1071" customFormat="1">
      <c r="A358" s="1261"/>
      <c r="B358" s="1262"/>
      <c r="C358" s="1263"/>
      <c r="D358" s="1264"/>
      <c r="E358" s="469"/>
      <c r="F358" s="470"/>
      <c r="G358" s="470"/>
      <c r="H358" s="470"/>
      <c r="I358" s="470"/>
      <c r="J358" s="469"/>
      <c r="K358" s="470"/>
      <c r="L358" s="470"/>
      <c r="M358" s="470"/>
      <c r="N358" s="470"/>
      <c r="O358" s="469"/>
      <c r="P358" s="470"/>
      <c r="Q358" s="470"/>
      <c r="R358" s="470"/>
    </row>
    <row r="359" spans="1:18" s="1071" customFormat="1">
      <c r="A359" s="1261"/>
      <c r="B359" s="1262"/>
      <c r="C359" s="1263"/>
      <c r="D359" s="1264"/>
      <c r="E359" s="469"/>
      <c r="F359" s="470"/>
      <c r="G359" s="470"/>
      <c r="H359" s="470"/>
      <c r="I359" s="470"/>
      <c r="J359" s="469"/>
      <c r="K359" s="470"/>
      <c r="L359" s="470"/>
      <c r="M359" s="470"/>
      <c r="N359" s="470"/>
      <c r="O359" s="469"/>
      <c r="P359" s="470"/>
      <c r="Q359" s="470"/>
      <c r="R359" s="470"/>
    </row>
    <row r="360" spans="1:18" s="1071" customFormat="1">
      <c r="A360" s="1261"/>
      <c r="B360" s="1262"/>
      <c r="C360" s="1263"/>
      <c r="D360" s="1264"/>
      <c r="E360" s="469"/>
      <c r="F360" s="470"/>
      <c r="G360" s="470"/>
      <c r="H360" s="470"/>
      <c r="I360" s="470"/>
      <c r="J360" s="469"/>
      <c r="K360" s="470"/>
      <c r="L360" s="470"/>
      <c r="M360" s="470"/>
      <c r="N360" s="470"/>
      <c r="O360" s="469"/>
      <c r="P360" s="470"/>
      <c r="Q360" s="470"/>
      <c r="R360" s="470"/>
    </row>
    <row r="361" spans="1:18" s="1071" customFormat="1">
      <c r="A361" s="1261"/>
      <c r="B361" s="1262"/>
      <c r="C361" s="1263"/>
      <c r="D361" s="1264"/>
      <c r="E361" s="469"/>
      <c r="F361" s="470"/>
      <c r="G361" s="470"/>
      <c r="H361" s="470"/>
      <c r="I361" s="470"/>
      <c r="J361" s="469"/>
      <c r="K361" s="470"/>
      <c r="L361" s="470"/>
      <c r="M361" s="470"/>
      <c r="N361" s="470"/>
      <c r="O361" s="469"/>
      <c r="P361" s="470"/>
      <c r="Q361" s="470"/>
      <c r="R361" s="470"/>
    </row>
    <row r="362" spans="1:18" s="1071" customFormat="1">
      <c r="A362" s="1261"/>
      <c r="B362" s="1262"/>
      <c r="C362" s="1263"/>
      <c r="D362" s="1264"/>
      <c r="E362" s="469"/>
      <c r="F362" s="470"/>
      <c r="G362" s="470"/>
      <c r="H362" s="470"/>
      <c r="I362" s="470"/>
      <c r="J362" s="469"/>
      <c r="K362" s="470"/>
      <c r="L362" s="470"/>
      <c r="M362" s="470"/>
      <c r="N362" s="470"/>
      <c r="O362" s="469"/>
      <c r="P362" s="470"/>
      <c r="Q362" s="470"/>
      <c r="R362" s="470"/>
    </row>
    <row r="363" spans="1:18" s="1071" customFormat="1">
      <c r="A363" s="1261"/>
      <c r="B363" s="1262"/>
      <c r="C363" s="1263"/>
      <c r="D363" s="1264"/>
      <c r="E363" s="1165"/>
      <c r="F363" s="1121"/>
      <c r="G363" s="1121"/>
      <c r="H363" s="1166"/>
      <c r="I363" s="1121"/>
      <c r="J363" s="1165"/>
      <c r="K363" s="1121"/>
      <c r="L363" s="1121"/>
      <c r="M363" s="1166"/>
      <c r="N363" s="1121"/>
      <c r="O363" s="1165"/>
      <c r="P363" s="1121"/>
      <c r="Q363" s="1121"/>
      <c r="R363" s="1166"/>
    </row>
    <row r="364" spans="1:18" s="1071" customFormat="1">
      <c r="A364" s="1261"/>
      <c r="B364" s="1262"/>
      <c r="C364" s="1263"/>
      <c r="D364" s="1264"/>
      <c r="E364" s="1165"/>
      <c r="F364" s="1121"/>
      <c r="G364" s="1121"/>
      <c r="H364" s="1166"/>
      <c r="I364" s="1121"/>
      <c r="J364" s="1165"/>
      <c r="K364" s="1121"/>
      <c r="L364" s="1121"/>
      <c r="M364" s="1166"/>
      <c r="N364" s="1121"/>
      <c r="O364" s="1165"/>
      <c r="P364" s="1121"/>
      <c r="Q364" s="1121"/>
      <c r="R364" s="1166"/>
    </row>
    <row r="365" spans="1:18" s="1071" customFormat="1">
      <c r="A365" s="1261"/>
      <c r="B365" s="1262"/>
      <c r="C365" s="1263"/>
      <c r="D365" s="1264"/>
      <c r="E365" s="1165"/>
      <c r="F365" s="1121"/>
      <c r="G365" s="1121"/>
      <c r="H365" s="1166"/>
      <c r="I365" s="1121"/>
      <c r="J365" s="1165"/>
      <c r="K365" s="1121"/>
      <c r="L365" s="1121"/>
      <c r="M365" s="1166"/>
      <c r="N365" s="1121"/>
      <c r="O365" s="1165"/>
      <c r="P365" s="1121"/>
      <c r="Q365" s="1121"/>
      <c r="R365" s="1166"/>
    </row>
    <row r="366" spans="1:18" s="1071" customFormat="1">
      <c r="A366" s="1261"/>
      <c r="B366" s="1262"/>
      <c r="C366" s="1263"/>
      <c r="D366" s="1264"/>
      <c r="E366" s="1165"/>
      <c r="F366" s="1121"/>
      <c r="G366" s="1121"/>
      <c r="H366" s="1166"/>
      <c r="I366" s="1121"/>
      <c r="J366" s="1165"/>
      <c r="K366" s="1121"/>
      <c r="L366" s="1121"/>
      <c r="M366" s="1166"/>
      <c r="N366" s="1121"/>
      <c r="O366" s="1165"/>
      <c r="P366" s="1121"/>
      <c r="Q366" s="1121"/>
      <c r="R366" s="1166"/>
    </row>
    <row r="367" spans="1:18" s="1071" customFormat="1">
      <c r="A367" s="1261"/>
      <c r="B367" s="1262"/>
      <c r="C367" s="1263"/>
      <c r="D367" s="1264"/>
      <c r="E367" s="1165"/>
      <c r="F367" s="1121"/>
      <c r="G367" s="1121"/>
      <c r="H367" s="1166"/>
      <c r="I367" s="1121"/>
      <c r="J367" s="1165"/>
      <c r="K367" s="1121"/>
      <c r="L367" s="1121"/>
      <c r="M367" s="1166"/>
      <c r="N367" s="1121"/>
      <c r="O367" s="1165"/>
      <c r="P367" s="1121"/>
      <c r="Q367" s="1121"/>
      <c r="R367" s="1166"/>
    </row>
    <row r="368" spans="1:18" s="1071" customFormat="1">
      <c r="A368" s="1261"/>
      <c r="B368" s="1262"/>
      <c r="C368" s="1263"/>
      <c r="D368" s="1264"/>
      <c r="E368" s="1165"/>
      <c r="F368" s="1121"/>
      <c r="G368" s="1121"/>
      <c r="H368" s="1166"/>
      <c r="I368" s="1121"/>
      <c r="J368" s="1165"/>
      <c r="K368" s="1121"/>
      <c r="L368" s="1121"/>
      <c r="M368" s="1166"/>
      <c r="N368" s="1121"/>
      <c r="O368" s="1165"/>
      <c r="P368" s="1121"/>
      <c r="Q368" s="1121"/>
      <c r="R368" s="1166"/>
    </row>
    <row r="369" spans="1:18" s="1071" customFormat="1">
      <c r="A369" s="1261"/>
      <c r="B369" s="1262"/>
      <c r="C369" s="1263"/>
      <c r="D369" s="1264"/>
      <c r="E369" s="1165"/>
      <c r="F369" s="1121"/>
      <c r="G369" s="1121"/>
      <c r="H369" s="1166"/>
      <c r="I369" s="1121"/>
      <c r="J369" s="1165"/>
      <c r="K369" s="1121"/>
      <c r="L369" s="1121"/>
      <c r="M369" s="1166"/>
      <c r="N369" s="1121"/>
      <c r="O369" s="1165"/>
      <c r="P369" s="1121"/>
      <c r="Q369" s="1121"/>
      <c r="R369" s="1166"/>
    </row>
    <row r="370" spans="1:18" s="1071" customFormat="1">
      <c r="A370" s="1261"/>
      <c r="B370" s="1262"/>
      <c r="C370" s="1263"/>
      <c r="D370" s="1264"/>
      <c r="E370" s="1165"/>
      <c r="F370" s="1121"/>
      <c r="G370" s="1121"/>
      <c r="H370" s="1166"/>
      <c r="I370" s="1121"/>
      <c r="J370" s="1165"/>
      <c r="K370" s="1121"/>
      <c r="L370" s="1121"/>
      <c r="M370" s="1166"/>
      <c r="N370" s="1121"/>
      <c r="O370" s="1165"/>
      <c r="P370" s="1121"/>
      <c r="Q370" s="1121"/>
      <c r="R370" s="1166"/>
    </row>
    <row r="371" spans="1:18" s="1071" customFormat="1">
      <c r="A371" s="1261"/>
      <c r="B371" s="1262"/>
      <c r="C371" s="1263"/>
      <c r="D371" s="1264"/>
      <c r="E371" s="1165"/>
      <c r="F371" s="1121"/>
      <c r="G371" s="1121"/>
      <c r="H371" s="1166"/>
      <c r="I371" s="1121"/>
      <c r="J371" s="1165"/>
      <c r="K371" s="1121"/>
      <c r="L371" s="1121"/>
      <c r="M371" s="1166"/>
      <c r="N371" s="1121"/>
      <c r="O371" s="1165"/>
      <c r="P371" s="1121"/>
      <c r="Q371" s="1121"/>
      <c r="R371" s="1166"/>
    </row>
    <row r="372" spans="1:18" s="1071" customFormat="1">
      <c r="A372" s="1261"/>
      <c r="B372" s="1262"/>
      <c r="C372" s="1263"/>
      <c r="D372" s="1264"/>
      <c r="E372" s="1165"/>
      <c r="F372" s="1121"/>
      <c r="G372" s="1121"/>
      <c r="H372" s="1166"/>
      <c r="I372" s="1121"/>
      <c r="J372" s="1165"/>
      <c r="K372" s="1121"/>
      <c r="L372" s="1121"/>
      <c r="M372" s="1166"/>
      <c r="N372" s="1121"/>
      <c r="O372" s="1165"/>
      <c r="P372" s="1121"/>
      <c r="Q372" s="1121"/>
      <c r="R372" s="1166"/>
    </row>
    <row r="373" spans="1:18" s="1071" customFormat="1">
      <c r="A373" s="1261"/>
      <c r="B373" s="1262"/>
      <c r="C373" s="1263"/>
      <c r="D373" s="1264"/>
      <c r="E373" s="1165"/>
      <c r="F373" s="1121"/>
      <c r="G373" s="1121"/>
      <c r="H373" s="1166"/>
      <c r="I373" s="1121"/>
      <c r="J373" s="1165"/>
      <c r="K373" s="1121"/>
      <c r="L373" s="1121"/>
      <c r="M373" s="1166"/>
      <c r="N373" s="1121"/>
      <c r="O373" s="1165"/>
      <c r="P373" s="1121"/>
      <c r="Q373" s="1121"/>
      <c r="R373" s="1166"/>
    </row>
    <row r="374" spans="1:18" s="1071" customFormat="1">
      <c r="A374" s="1261"/>
      <c r="B374" s="1262"/>
      <c r="C374" s="1263"/>
      <c r="D374" s="1264"/>
      <c r="E374" s="1165"/>
      <c r="F374" s="1121"/>
      <c r="G374" s="1121"/>
      <c r="H374" s="1166"/>
      <c r="I374" s="1121"/>
      <c r="J374" s="1165"/>
      <c r="K374" s="1121"/>
      <c r="L374" s="1121"/>
      <c r="M374" s="1166"/>
      <c r="N374" s="1121"/>
      <c r="O374" s="1165"/>
      <c r="P374" s="1121"/>
      <c r="Q374" s="1121"/>
      <c r="R374" s="1166"/>
    </row>
    <row r="375" spans="1:18" s="1071" customFormat="1">
      <c r="A375" s="1261"/>
      <c r="B375" s="1262"/>
      <c r="C375" s="1263"/>
      <c r="D375" s="1264"/>
      <c r="E375" s="1165"/>
      <c r="F375" s="1121"/>
      <c r="G375" s="1121"/>
      <c r="H375" s="1166"/>
      <c r="I375" s="1121"/>
      <c r="J375" s="1165"/>
      <c r="K375" s="1121"/>
      <c r="L375" s="1121"/>
      <c r="M375" s="1166"/>
      <c r="N375" s="1121"/>
      <c r="O375" s="1165"/>
      <c r="P375" s="1121"/>
      <c r="Q375" s="1121"/>
      <c r="R375" s="1166"/>
    </row>
    <row r="376" spans="1:18" s="1071" customFormat="1">
      <c r="A376" s="1261"/>
      <c r="B376" s="1262"/>
      <c r="C376" s="1263"/>
      <c r="D376" s="1264"/>
      <c r="E376" s="1165"/>
      <c r="F376" s="1121"/>
      <c r="G376" s="1121"/>
      <c r="H376" s="1166"/>
      <c r="I376" s="1121"/>
      <c r="J376" s="1165"/>
      <c r="K376" s="1121"/>
      <c r="L376" s="1121"/>
      <c r="M376" s="1166"/>
      <c r="N376" s="1121"/>
      <c r="O376" s="1165"/>
      <c r="P376" s="1121"/>
      <c r="Q376" s="1121"/>
      <c r="R376" s="1166"/>
    </row>
    <row r="377" spans="1:18" s="1071" customFormat="1">
      <c r="A377" s="1261"/>
      <c r="B377" s="1262"/>
      <c r="C377" s="1263"/>
      <c r="D377" s="1264"/>
      <c r="E377" s="1165"/>
      <c r="F377" s="1121"/>
      <c r="G377" s="1121"/>
      <c r="H377" s="1166"/>
      <c r="I377" s="1121"/>
      <c r="J377" s="1165"/>
      <c r="K377" s="1121"/>
      <c r="L377" s="1121"/>
      <c r="M377" s="1166"/>
      <c r="N377" s="1121"/>
      <c r="O377" s="1165"/>
      <c r="P377" s="1121"/>
      <c r="Q377" s="1121"/>
      <c r="R377" s="1166"/>
    </row>
    <row r="378" spans="1:18" s="1071" customFormat="1">
      <c r="A378" s="1261"/>
      <c r="B378" s="1262"/>
      <c r="C378" s="1263"/>
      <c r="D378" s="1264"/>
      <c r="E378" s="1165"/>
      <c r="F378" s="1121"/>
      <c r="G378" s="1121"/>
      <c r="H378" s="1166"/>
      <c r="I378" s="1121"/>
      <c r="J378" s="1165"/>
      <c r="K378" s="1121"/>
      <c r="L378" s="1121"/>
      <c r="M378" s="1166"/>
      <c r="N378" s="1121"/>
      <c r="O378" s="1165"/>
      <c r="P378" s="1121"/>
      <c r="Q378" s="1121"/>
      <c r="R378" s="1166"/>
    </row>
    <row r="379" spans="1:18" s="1071" customFormat="1">
      <c r="A379" s="1261"/>
      <c r="B379" s="1262"/>
      <c r="C379" s="1263"/>
      <c r="D379" s="1264"/>
      <c r="E379" s="1165"/>
      <c r="F379" s="1121"/>
      <c r="G379" s="1121"/>
      <c r="H379" s="1166"/>
      <c r="I379" s="1121"/>
      <c r="J379" s="1165"/>
      <c r="K379" s="1121"/>
      <c r="L379" s="1121"/>
      <c r="M379" s="1166"/>
      <c r="N379" s="1121"/>
      <c r="O379" s="1165"/>
      <c r="P379" s="1121"/>
      <c r="Q379" s="1121"/>
      <c r="R379" s="1166"/>
    </row>
    <row r="380" spans="1:18" s="1071" customFormat="1">
      <c r="A380" s="1261"/>
      <c r="B380" s="1262"/>
      <c r="C380" s="1263"/>
      <c r="D380" s="1264"/>
      <c r="E380" s="1165"/>
      <c r="F380" s="1121"/>
      <c r="G380" s="1121"/>
      <c r="H380" s="1166"/>
      <c r="I380" s="1121"/>
      <c r="J380" s="1165"/>
      <c r="K380" s="1121"/>
      <c r="L380" s="1121"/>
      <c r="M380" s="1166"/>
      <c r="N380" s="1121"/>
      <c r="O380" s="1165"/>
      <c r="P380" s="1121"/>
      <c r="Q380" s="1121"/>
      <c r="R380" s="1166"/>
    </row>
    <row r="381" spans="1:18" s="1071" customFormat="1">
      <c r="A381" s="1261"/>
      <c r="B381" s="1262"/>
      <c r="C381" s="1263"/>
      <c r="D381" s="1264"/>
      <c r="E381" s="1165"/>
      <c r="F381" s="1121"/>
      <c r="G381" s="1121"/>
      <c r="H381" s="1166"/>
      <c r="I381" s="1121"/>
      <c r="J381" s="1165"/>
      <c r="K381" s="1121"/>
      <c r="L381" s="1121"/>
      <c r="M381" s="1166"/>
      <c r="N381" s="1121"/>
      <c r="O381" s="1165"/>
      <c r="P381" s="1121"/>
      <c r="Q381" s="1121"/>
      <c r="R381" s="1166"/>
    </row>
    <row r="382" spans="1:18" s="1071" customFormat="1">
      <c r="A382" s="1261"/>
      <c r="B382" s="1262"/>
      <c r="C382" s="1263"/>
      <c r="D382" s="1264"/>
      <c r="E382" s="1165"/>
      <c r="F382" s="1121"/>
      <c r="G382" s="1121"/>
      <c r="H382" s="1166"/>
      <c r="I382" s="1121"/>
      <c r="J382" s="1165"/>
      <c r="K382" s="1121"/>
      <c r="L382" s="1121"/>
      <c r="M382" s="1166"/>
      <c r="N382" s="1121"/>
      <c r="O382" s="1165"/>
      <c r="P382" s="1121"/>
      <c r="Q382" s="1121"/>
      <c r="R382" s="1166"/>
    </row>
    <row r="383" spans="1:18" s="1071" customFormat="1">
      <c r="A383" s="1261"/>
      <c r="B383" s="1262"/>
      <c r="C383" s="1263"/>
      <c r="D383" s="1264"/>
      <c r="E383" s="1165"/>
      <c r="F383" s="1121"/>
      <c r="G383" s="1121"/>
      <c r="H383" s="1166"/>
      <c r="I383" s="1121"/>
      <c r="J383" s="1165"/>
      <c r="K383" s="1121"/>
      <c r="L383" s="1121"/>
      <c r="M383" s="1166"/>
      <c r="N383" s="1121"/>
      <c r="O383" s="1165"/>
      <c r="P383" s="1121"/>
      <c r="Q383" s="1121"/>
      <c r="R383" s="1166"/>
    </row>
    <row r="384" spans="1:18" s="1071" customFormat="1">
      <c r="A384" s="1261"/>
      <c r="B384" s="1262"/>
      <c r="C384" s="1263"/>
      <c r="D384" s="1264"/>
      <c r="E384" s="1165"/>
      <c r="F384" s="1121"/>
      <c r="G384" s="1121"/>
      <c r="H384" s="1166"/>
      <c r="I384" s="1121"/>
      <c r="J384" s="1165"/>
      <c r="K384" s="1121"/>
      <c r="L384" s="1121"/>
      <c r="M384" s="1166"/>
      <c r="N384" s="1121"/>
      <c r="O384" s="1165"/>
      <c r="P384" s="1121"/>
      <c r="Q384" s="1121"/>
      <c r="R384" s="1166"/>
    </row>
    <row r="385" spans="1:18" s="1071" customFormat="1">
      <c r="A385" s="1261"/>
      <c r="B385" s="1262"/>
      <c r="C385" s="1263"/>
      <c r="D385" s="1264"/>
      <c r="E385" s="1165"/>
      <c r="F385" s="1121"/>
      <c r="G385" s="1121"/>
      <c r="H385" s="1166"/>
      <c r="I385" s="1121"/>
      <c r="J385" s="1165"/>
      <c r="K385" s="1121"/>
      <c r="L385" s="1121"/>
      <c r="M385" s="1166"/>
      <c r="N385" s="1121"/>
      <c r="O385" s="1165"/>
      <c r="P385" s="1121"/>
      <c r="Q385" s="1121"/>
      <c r="R385" s="1166"/>
    </row>
    <row r="386" spans="1:18" s="1071" customFormat="1">
      <c r="A386" s="1261"/>
      <c r="B386" s="1262"/>
      <c r="C386" s="1263"/>
      <c r="D386" s="1264"/>
      <c r="E386" s="1165"/>
      <c r="F386" s="1121"/>
      <c r="G386" s="1121"/>
      <c r="H386" s="1166"/>
      <c r="I386" s="1121"/>
      <c r="J386" s="1165"/>
      <c r="K386" s="1121"/>
      <c r="L386" s="1121"/>
      <c r="M386" s="1166"/>
      <c r="N386" s="1121"/>
      <c r="O386" s="1165"/>
      <c r="P386" s="1121"/>
      <c r="Q386" s="1121"/>
      <c r="R386" s="1166"/>
    </row>
    <row r="387" spans="1:18" s="1071" customFormat="1">
      <c r="A387" s="1261"/>
      <c r="B387" s="1262"/>
      <c r="C387" s="1263"/>
      <c r="D387" s="1264"/>
      <c r="E387" s="1165"/>
      <c r="F387" s="1121"/>
      <c r="G387" s="1121"/>
      <c r="H387" s="1166"/>
      <c r="I387" s="1121"/>
      <c r="J387" s="1165"/>
      <c r="K387" s="1121"/>
      <c r="L387" s="1121"/>
      <c r="M387" s="1166"/>
      <c r="N387" s="1121"/>
      <c r="O387" s="1165"/>
      <c r="P387" s="1121"/>
      <c r="Q387" s="1121"/>
      <c r="R387" s="1166"/>
    </row>
    <row r="388" spans="1:18" s="1071" customFormat="1">
      <c r="A388" s="1261"/>
      <c r="B388" s="1262"/>
      <c r="C388" s="1263"/>
      <c r="D388" s="1264"/>
      <c r="E388" s="1165"/>
      <c r="F388" s="1121"/>
      <c r="G388" s="1121"/>
      <c r="H388" s="1166"/>
      <c r="I388" s="1121"/>
      <c r="J388" s="1165"/>
      <c r="K388" s="1121"/>
      <c r="L388" s="1121"/>
      <c r="M388" s="1166"/>
      <c r="N388" s="1121"/>
      <c r="O388" s="1165"/>
      <c r="P388" s="1121"/>
      <c r="Q388" s="1121"/>
      <c r="R388" s="1166"/>
    </row>
    <row r="389" spans="1:18" s="1071" customFormat="1">
      <c r="A389" s="1261"/>
      <c r="B389" s="1262"/>
      <c r="C389" s="1263"/>
      <c r="D389" s="1264"/>
      <c r="E389" s="1165"/>
      <c r="F389" s="1121"/>
      <c r="G389" s="1121"/>
      <c r="H389" s="1166"/>
      <c r="I389" s="1121"/>
      <c r="J389" s="1165"/>
      <c r="K389" s="1121"/>
      <c r="L389" s="1121"/>
      <c r="M389" s="1166"/>
      <c r="N389" s="1121"/>
      <c r="O389" s="1165"/>
      <c r="P389" s="1121"/>
      <c r="Q389" s="1121"/>
      <c r="R389" s="1166"/>
    </row>
    <row r="390" spans="1:18" s="1071" customFormat="1">
      <c r="A390" s="1261"/>
      <c r="B390" s="1262"/>
      <c r="C390" s="1263"/>
      <c r="D390" s="1264"/>
      <c r="E390" s="1165"/>
      <c r="F390" s="1121"/>
      <c r="G390" s="1121"/>
      <c r="H390" s="1166"/>
      <c r="I390" s="1121"/>
      <c r="J390" s="1165"/>
      <c r="K390" s="1121"/>
      <c r="L390" s="1121"/>
      <c r="M390" s="1166"/>
      <c r="N390" s="1121"/>
      <c r="O390" s="1165"/>
      <c r="P390" s="1121"/>
      <c r="Q390" s="1121"/>
      <c r="R390" s="1166"/>
    </row>
    <row r="391" spans="1:18" s="1071" customFormat="1">
      <c r="A391" s="1261"/>
      <c r="B391" s="1262"/>
      <c r="C391" s="1263"/>
      <c r="D391" s="1264"/>
      <c r="E391" s="1165"/>
      <c r="F391" s="1121"/>
      <c r="G391" s="1121"/>
      <c r="H391" s="1166"/>
      <c r="I391" s="1121"/>
      <c r="J391" s="1165"/>
      <c r="K391" s="1121"/>
      <c r="L391" s="1121"/>
      <c r="M391" s="1166"/>
      <c r="N391" s="1121"/>
      <c r="O391" s="1165"/>
      <c r="P391" s="1121"/>
      <c r="Q391" s="1121"/>
      <c r="R391" s="1166"/>
    </row>
    <row r="392" spans="1:18" s="1071" customFormat="1">
      <c r="A392" s="1261"/>
      <c r="B392" s="1262"/>
      <c r="C392" s="1263"/>
      <c r="D392" s="1264"/>
      <c r="E392" s="1165"/>
      <c r="F392" s="1121"/>
      <c r="G392" s="1121"/>
      <c r="H392" s="1166"/>
      <c r="I392" s="1121"/>
      <c r="J392" s="1165"/>
      <c r="K392" s="1121"/>
      <c r="L392" s="1121"/>
      <c r="M392" s="1166"/>
      <c r="N392" s="1121"/>
      <c r="O392" s="1165"/>
      <c r="P392" s="1121"/>
      <c r="Q392" s="1121"/>
      <c r="R392" s="1166"/>
    </row>
    <row r="393" spans="1:18" s="1071" customFormat="1">
      <c r="A393" s="1261"/>
      <c r="B393" s="1262"/>
      <c r="C393" s="1263"/>
      <c r="D393" s="1264"/>
      <c r="E393" s="1165"/>
      <c r="F393" s="1121"/>
      <c r="G393" s="1121"/>
      <c r="H393" s="1166"/>
      <c r="I393" s="1121"/>
      <c r="J393" s="1165"/>
      <c r="K393" s="1121"/>
      <c r="L393" s="1121"/>
      <c r="M393" s="1166"/>
      <c r="N393" s="1121"/>
      <c r="O393" s="1165"/>
      <c r="P393" s="1121"/>
      <c r="Q393" s="1121"/>
      <c r="R393" s="1166"/>
    </row>
    <row r="394" spans="1:18" s="1071" customFormat="1">
      <c r="A394" s="1261"/>
      <c r="B394" s="1262"/>
      <c r="C394" s="1263"/>
      <c r="D394" s="1264"/>
      <c r="E394" s="1165"/>
      <c r="F394" s="1121"/>
      <c r="G394" s="1121"/>
      <c r="H394" s="1166"/>
      <c r="I394" s="1121"/>
      <c r="J394" s="1165"/>
      <c r="K394" s="1121"/>
      <c r="L394" s="1121"/>
      <c r="M394" s="1166"/>
      <c r="N394" s="1121"/>
      <c r="O394" s="1165"/>
      <c r="P394" s="1121"/>
      <c r="Q394" s="1121"/>
      <c r="R394" s="1166"/>
    </row>
    <row r="395" spans="1:18" s="1071" customFormat="1">
      <c r="A395" s="1261"/>
      <c r="B395" s="1262"/>
      <c r="C395" s="1263"/>
      <c r="D395" s="1264"/>
      <c r="E395" s="1165"/>
      <c r="F395" s="1121"/>
      <c r="G395" s="1121"/>
      <c r="H395" s="1166"/>
      <c r="I395" s="1121"/>
      <c r="J395" s="1165"/>
      <c r="K395" s="1121"/>
      <c r="L395" s="1121"/>
      <c r="M395" s="1166"/>
      <c r="N395" s="1121"/>
      <c r="O395" s="1165"/>
      <c r="P395" s="1121"/>
      <c r="Q395" s="1121"/>
      <c r="R395" s="1166"/>
    </row>
    <row r="396" spans="1:18" s="1071" customFormat="1">
      <c r="A396" s="1261"/>
      <c r="B396" s="1262"/>
      <c r="C396" s="1263"/>
      <c r="D396" s="1264"/>
      <c r="E396" s="1165"/>
      <c r="F396" s="1121"/>
      <c r="G396" s="1121"/>
      <c r="H396" s="1166"/>
      <c r="I396" s="1121"/>
      <c r="J396" s="1165"/>
      <c r="K396" s="1121"/>
      <c r="L396" s="1121"/>
      <c r="M396" s="1166"/>
      <c r="N396" s="1121"/>
      <c r="O396" s="1165"/>
      <c r="P396" s="1121"/>
      <c r="Q396" s="1121"/>
      <c r="R396" s="1166"/>
    </row>
    <row r="397" spans="1:18" s="1071" customFormat="1">
      <c r="A397" s="1261"/>
      <c r="B397" s="1262"/>
      <c r="C397" s="1263"/>
      <c r="D397" s="1264"/>
      <c r="E397" s="1165"/>
      <c r="F397" s="1121"/>
      <c r="G397" s="1121"/>
      <c r="H397" s="1166"/>
      <c r="I397" s="1121"/>
      <c r="J397" s="1165"/>
      <c r="K397" s="1121"/>
      <c r="L397" s="1121"/>
      <c r="M397" s="1166"/>
      <c r="N397" s="1121"/>
      <c r="O397" s="1165"/>
      <c r="P397" s="1121"/>
      <c r="Q397" s="1121"/>
      <c r="R397" s="1166"/>
    </row>
    <row r="398" spans="1:18" s="1071" customFormat="1">
      <c r="A398" s="1261"/>
      <c r="B398" s="1262"/>
      <c r="C398" s="1263"/>
      <c r="D398" s="1264"/>
      <c r="E398" s="1165"/>
      <c r="F398" s="1121"/>
      <c r="G398" s="1121"/>
      <c r="H398" s="1166"/>
      <c r="I398" s="1121"/>
      <c r="J398" s="1165"/>
      <c r="K398" s="1121"/>
      <c r="L398" s="1121"/>
      <c r="M398" s="1166"/>
      <c r="N398" s="1121"/>
      <c r="O398" s="1165"/>
      <c r="P398" s="1121"/>
      <c r="Q398" s="1121"/>
      <c r="R398" s="1166"/>
    </row>
    <row r="399" spans="1:18" s="1071" customFormat="1">
      <c r="A399" s="1261"/>
      <c r="B399" s="1262"/>
      <c r="C399" s="1263"/>
      <c r="D399" s="1264"/>
      <c r="E399" s="1165"/>
      <c r="F399" s="1121"/>
      <c r="G399" s="1121"/>
      <c r="H399" s="1166"/>
      <c r="I399" s="1121"/>
      <c r="J399" s="1165"/>
      <c r="K399" s="1121"/>
      <c r="L399" s="1121"/>
      <c r="M399" s="1166"/>
      <c r="N399" s="1121"/>
      <c r="O399" s="1165"/>
      <c r="P399" s="1121"/>
      <c r="Q399" s="1121"/>
      <c r="R399" s="1166"/>
    </row>
    <row r="400" spans="1:18" s="1071" customFormat="1">
      <c r="A400" s="1261"/>
      <c r="B400" s="1262"/>
      <c r="C400" s="1263"/>
      <c r="D400" s="1264"/>
      <c r="E400" s="1165"/>
      <c r="F400" s="1121"/>
      <c r="G400" s="1121"/>
      <c r="H400" s="1166"/>
      <c r="I400" s="1121"/>
      <c r="J400" s="1165"/>
      <c r="K400" s="1121"/>
      <c r="L400" s="1121"/>
      <c r="M400" s="1166"/>
      <c r="N400" s="1121"/>
      <c r="O400" s="1165"/>
      <c r="P400" s="1121"/>
      <c r="Q400" s="1121"/>
      <c r="R400" s="1166"/>
    </row>
    <row r="401" spans="1:18" s="1071" customFormat="1">
      <c r="A401" s="1261"/>
      <c r="B401" s="1262"/>
      <c r="C401" s="1263"/>
      <c r="D401" s="1264"/>
      <c r="E401" s="1165"/>
      <c r="F401" s="1121"/>
      <c r="G401" s="1121"/>
      <c r="H401" s="1166"/>
      <c r="I401" s="1121"/>
      <c r="J401" s="1165"/>
      <c r="K401" s="1121"/>
      <c r="L401" s="1121"/>
      <c r="M401" s="1166"/>
      <c r="N401" s="1121"/>
      <c r="O401" s="1165"/>
      <c r="P401" s="1121"/>
      <c r="Q401" s="1121"/>
      <c r="R401" s="1166"/>
    </row>
    <row r="402" spans="1:18" s="1071" customFormat="1">
      <c r="A402" s="1261"/>
      <c r="B402" s="1262"/>
      <c r="C402" s="1263"/>
      <c r="D402" s="1264"/>
      <c r="E402" s="1165"/>
      <c r="F402" s="1121"/>
      <c r="G402" s="1121"/>
      <c r="H402" s="1166"/>
      <c r="I402" s="1121"/>
      <c r="J402" s="1165"/>
      <c r="K402" s="1121"/>
      <c r="L402" s="1121"/>
      <c r="M402" s="1166"/>
      <c r="N402" s="1121"/>
      <c r="O402" s="1165"/>
      <c r="P402" s="1121"/>
      <c r="Q402" s="1121"/>
      <c r="R402" s="1166"/>
    </row>
    <row r="403" spans="1:18" s="1071" customFormat="1">
      <c r="A403" s="1261"/>
      <c r="B403" s="1262"/>
      <c r="C403" s="1263"/>
      <c r="D403" s="1264"/>
      <c r="E403" s="1165"/>
      <c r="F403" s="1121"/>
      <c r="G403" s="1121"/>
      <c r="H403" s="1166"/>
      <c r="I403" s="1121"/>
      <c r="J403" s="1165"/>
      <c r="K403" s="1121"/>
      <c r="L403" s="1121"/>
      <c r="M403" s="1166"/>
      <c r="N403" s="1121"/>
      <c r="O403" s="1165"/>
      <c r="P403" s="1121"/>
      <c r="Q403" s="1121"/>
      <c r="R403" s="1166"/>
    </row>
    <row r="404" spans="1:18" s="1071" customFormat="1">
      <c r="A404" s="1261"/>
      <c r="B404" s="1262"/>
      <c r="C404" s="1263"/>
      <c r="D404" s="1264"/>
      <c r="E404" s="1165"/>
      <c r="F404" s="1121"/>
      <c r="G404" s="1121"/>
      <c r="H404" s="1166"/>
      <c r="I404" s="1121"/>
      <c r="J404" s="1165"/>
      <c r="K404" s="1121"/>
      <c r="L404" s="1121"/>
      <c r="M404" s="1166"/>
      <c r="N404" s="1121"/>
      <c r="O404" s="1165"/>
      <c r="P404" s="1121"/>
      <c r="Q404" s="1121"/>
      <c r="R404" s="1166"/>
    </row>
    <row r="405" spans="1:18" s="1071" customFormat="1">
      <c r="A405" s="1261"/>
      <c r="B405" s="1262"/>
      <c r="C405" s="1263"/>
      <c r="D405" s="1264"/>
      <c r="E405" s="1165"/>
      <c r="F405" s="1121"/>
      <c r="G405" s="1121"/>
      <c r="H405" s="1166"/>
      <c r="I405" s="1121"/>
      <c r="J405" s="1165"/>
      <c r="K405" s="1121"/>
      <c r="L405" s="1121"/>
      <c r="M405" s="1166"/>
      <c r="N405" s="1121"/>
      <c r="O405" s="1165"/>
      <c r="P405" s="1121"/>
      <c r="Q405" s="1121"/>
      <c r="R405" s="1166"/>
    </row>
    <row r="406" spans="1:18" s="1071" customFormat="1">
      <c r="A406" s="1261"/>
      <c r="B406" s="1262"/>
      <c r="C406" s="1263"/>
      <c r="D406" s="1264"/>
      <c r="E406" s="1165"/>
      <c r="F406" s="1121"/>
      <c r="G406" s="1121"/>
      <c r="H406" s="1166"/>
      <c r="I406" s="1121"/>
      <c r="J406" s="1165"/>
      <c r="K406" s="1121"/>
      <c r="L406" s="1121"/>
      <c r="M406" s="1166"/>
      <c r="N406" s="1121"/>
      <c r="O406" s="1165"/>
      <c r="P406" s="1121"/>
      <c r="Q406" s="1121"/>
      <c r="R406" s="1166"/>
    </row>
    <row r="407" spans="1:18">
      <c r="E407" s="35"/>
      <c r="F407" s="33"/>
      <c r="G407" s="33"/>
      <c r="H407" s="36"/>
      <c r="I407" s="33"/>
      <c r="J407" s="35"/>
      <c r="K407" s="33"/>
      <c r="L407" s="33"/>
      <c r="M407" s="36"/>
      <c r="N407" s="33"/>
      <c r="O407" s="35"/>
      <c r="P407" s="33"/>
      <c r="Q407" s="33"/>
      <c r="R407" s="36"/>
    </row>
    <row r="408" spans="1:18">
      <c r="E408" s="35"/>
      <c r="F408" s="33"/>
      <c r="G408" s="33"/>
      <c r="H408" s="36"/>
      <c r="I408" s="33"/>
      <c r="J408" s="35"/>
      <c r="K408" s="33"/>
      <c r="L408" s="33"/>
      <c r="M408" s="36"/>
      <c r="N408" s="33"/>
      <c r="O408" s="35"/>
      <c r="P408" s="33"/>
      <c r="Q408" s="33"/>
      <c r="R408" s="36"/>
    </row>
    <row r="409" spans="1:18">
      <c r="E409" s="35"/>
      <c r="F409" s="33"/>
      <c r="G409" s="33"/>
      <c r="H409" s="36"/>
      <c r="I409" s="33"/>
      <c r="J409" s="35"/>
      <c r="K409" s="33"/>
      <c r="L409" s="33"/>
      <c r="M409" s="36"/>
      <c r="N409" s="33"/>
      <c r="O409" s="35"/>
      <c r="P409" s="33"/>
      <c r="Q409" s="33"/>
      <c r="R409" s="36"/>
    </row>
    <row r="410" spans="1:18">
      <c r="E410" s="35"/>
      <c r="F410" s="33"/>
      <c r="G410" s="33"/>
      <c r="H410" s="36"/>
      <c r="I410" s="33"/>
      <c r="J410" s="35"/>
      <c r="K410" s="33"/>
      <c r="L410" s="33"/>
      <c r="M410" s="36"/>
      <c r="N410" s="33"/>
      <c r="O410" s="35"/>
      <c r="P410" s="33"/>
      <c r="Q410" s="33"/>
      <c r="R410" s="36"/>
    </row>
    <row r="411" spans="1:18">
      <c r="E411" s="35"/>
      <c r="F411" s="33"/>
      <c r="G411" s="33"/>
      <c r="H411" s="36"/>
      <c r="I411" s="33"/>
      <c r="J411" s="35"/>
      <c r="K411" s="33"/>
      <c r="L411" s="33"/>
      <c r="M411" s="36"/>
      <c r="N411" s="33"/>
      <c r="O411" s="35"/>
      <c r="P411" s="33"/>
      <c r="Q411" s="33"/>
      <c r="R411" s="36"/>
    </row>
    <row r="412" spans="1:18">
      <c r="E412" s="35"/>
      <c r="F412" s="33"/>
      <c r="G412" s="33"/>
      <c r="H412" s="36"/>
      <c r="I412" s="33"/>
      <c r="J412" s="35"/>
      <c r="K412" s="33"/>
      <c r="L412" s="33"/>
      <c r="M412" s="36"/>
      <c r="N412" s="33"/>
      <c r="O412" s="35"/>
      <c r="P412" s="33"/>
      <c r="Q412" s="33"/>
      <c r="R412" s="36"/>
    </row>
    <row r="413" spans="1:18">
      <c r="E413" s="35"/>
      <c r="F413" s="33"/>
      <c r="G413" s="33"/>
      <c r="H413" s="36"/>
      <c r="I413" s="33"/>
      <c r="J413" s="35"/>
      <c r="K413" s="33"/>
      <c r="L413" s="33"/>
      <c r="M413" s="36"/>
      <c r="N413" s="33"/>
      <c r="O413" s="35"/>
      <c r="P413" s="33"/>
      <c r="Q413" s="33"/>
      <c r="R413" s="36"/>
    </row>
    <row r="414" spans="1:18">
      <c r="E414" s="35"/>
      <c r="F414" s="33"/>
      <c r="G414" s="33"/>
      <c r="H414" s="36"/>
      <c r="I414" s="33"/>
      <c r="J414" s="35"/>
      <c r="K414" s="33"/>
      <c r="L414" s="33"/>
      <c r="M414" s="36"/>
      <c r="N414" s="33"/>
      <c r="O414" s="35"/>
      <c r="P414" s="33"/>
      <c r="Q414" s="33"/>
      <c r="R414" s="36"/>
    </row>
    <row r="415" spans="1:18">
      <c r="E415" s="35"/>
      <c r="F415" s="33"/>
      <c r="G415" s="33"/>
      <c r="H415" s="36"/>
      <c r="I415" s="33"/>
      <c r="J415" s="35"/>
      <c r="K415" s="33"/>
      <c r="L415" s="33"/>
      <c r="M415" s="36"/>
      <c r="N415" s="33"/>
      <c r="O415" s="35"/>
      <c r="P415" s="33"/>
      <c r="Q415" s="33"/>
      <c r="R415" s="36"/>
    </row>
    <row r="416" spans="1:18">
      <c r="E416" s="35"/>
      <c r="F416" s="33"/>
      <c r="G416" s="33"/>
      <c r="H416" s="36"/>
      <c r="I416" s="33"/>
      <c r="J416" s="35"/>
      <c r="K416" s="33"/>
      <c r="L416" s="33"/>
      <c r="M416" s="36"/>
      <c r="N416" s="33"/>
      <c r="O416" s="35"/>
      <c r="P416" s="33"/>
      <c r="Q416" s="33"/>
      <c r="R416" s="36"/>
    </row>
  </sheetData>
  <mergeCells count="23">
    <mergeCell ref="O5:Q5"/>
    <mergeCell ref="A5:A7"/>
    <mergeCell ref="B5:B7"/>
    <mergeCell ref="C5:C7"/>
    <mergeCell ref="R5:R7"/>
    <mergeCell ref="L6:L7"/>
    <mergeCell ref="O6:O7"/>
    <mergeCell ref="Q6:Q7"/>
    <mergeCell ref="J6:J7"/>
    <mergeCell ref="I5:I7"/>
    <mergeCell ref="J5:L5"/>
    <mergeCell ref="M5:M7"/>
    <mergeCell ref="N5:N7"/>
    <mergeCell ref="P6:P7"/>
    <mergeCell ref="K6:K7"/>
    <mergeCell ref="F6:F7"/>
    <mergeCell ref="B2:H2"/>
    <mergeCell ref="B3:H3"/>
    <mergeCell ref="D5:D7"/>
    <mergeCell ref="E5:G5"/>
    <mergeCell ref="H5:H7"/>
    <mergeCell ref="E6:E7"/>
    <mergeCell ref="G6:G7"/>
  </mergeCells>
  <phoneticPr fontId="27" type="noConversion"/>
  <pageMargins left="0.27559055118110237" right="0.27559055118110237" top="0.39370078740157483" bottom="0.43307086614173229" header="0.23622047244094491" footer="0.23622047244094491"/>
  <pageSetup paperSize="9" scale="60" orientation="landscape" r:id="rId1"/>
  <headerFooter alignWithMargins="0">
    <oddFooter>&amp;L&amp;F&amp;C&amp;P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C000"/>
  </sheetPr>
  <dimension ref="A1:R405"/>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R9" sqref="A9:R9"/>
    </sheetView>
  </sheetViews>
  <sheetFormatPr defaultColWidth="9.109375" defaultRowHeight="10.199999999999999"/>
  <cols>
    <col min="1" max="1" width="11.44140625" style="702" customWidth="1"/>
    <col min="2" max="2" width="37.6640625" style="703" customWidth="1"/>
    <col min="3" max="3" width="12.44140625" style="704" customWidth="1"/>
    <col min="4" max="4" width="10.88671875" style="702" customWidth="1"/>
    <col min="5" max="5" width="12" style="533" customWidth="1"/>
    <col min="6" max="7" width="11.44140625" style="533" customWidth="1"/>
    <col min="8" max="8" width="11.6640625" style="533" customWidth="1"/>
    <col min="9" max="9" width="11.44140625" style="533" customWidth="1"/>
    <col min="10" max="10" width="12" style="533" customWidth="1"/>
    <col min="11" max="12" width="11.44140625" style="533" customWidth="1"/>
    <col min="13" max="13" width="11.6640625" style="533" customWidth="1"/>
    <col min="14" max="14" width="11.44140625" style="533" customWidth="1"/>
    <col min="15" max="15" width="12" style="533" customWidth="1"/>
    <col min="16" max="17" width="11.44140625" style="533" customWidth="1"/>
    <col min="18" max="18" width="11.6640625" style="275" customWidth="1"/>
    <col min="19" max="16384" width="9.109375" style="3"/>
  </cols>
  <sheetData>
    <row r="1" spans="1:18" ht="13.2">
      <c r="A1" s="622"/>
      <c r="B1" s="622"/>
      <c r="C1" s="622"/>
      <c r="D1" s="622"/>
      <c r="E1" s="622"/>
      <c r="F1" s="623"/>
      <c r="G1" s="623"/>
      <c r="H1" s="531"/>
      <c r="I1" s="623"/>
      <c r="J1" s="623"/>
      <c r="K1" s="623"/>
      <c r="L1" s="623"/>
      <c r="M1" s="531"/>
      <c r="N1" s="623"/>
      <c r="O1" s="623"/>
      <c r="P1" s="623"/>
      <c r="Q1" s="623"/>
      <c r="R1" s="217"/>
    </row>
    <row r="2" spans="1:18" ht="13.2">
      <c r="A2" s="624"/>
      <c r="B2" s="1478"/>
      <c r="C2" s="1478"/>
      <c r="D2" s="1478"/>
      <c r="E2" s="1478"/>
      <c r="F2" s="1478"/>
      <c r="G2" s="1478"/>
      <c r="H2" s="1478"/>
      <c r="I2" s="423"/>
      <c r="J2" s="423"/>
      <c r="K2" s="423"/>
      <c r="L2" s="423"/>
      <c r="M2" s="625"/>
      <c r="N2" s="423"/>
      <c r="O2" s="423"/>
      <c r="P2" s="423"/>
      <c r="Q2" s="423"/>
      <c r="R2" s="625"/>
    </row>
    <row r="3" spans="1:18" s="1" customFormat="1" ht="12.75" customHeight="1">
      <c r="A3" s="626"/>
      <c r="B3" s="1478" t="s">
        <v>489</v>
      </c>
      <c r="C3" s="1478"/>
      <c r="D3" s="1478"/>
      <c r="E3" s="1478"/>
      <c r="F3" s="1478"/>
      <c r="G3" s="1478"/>
      <c r="H3" s="1478"/>
      <c r="I3" s="627"/>
      <c r="J3" s="627"/>
      <c r="K3" s="627"/>
      <c r="L3" s="627"/>
      <c r="M3" s="625"/>
      <c r="N3" s="627"/>
      <c r="O3" s="627"/>
      <c r="P3" s="627"/>
      <c r="Q3" s="627"/>
      <c r="R3" s="625"/>
    </row>
    <row r="4" spans="1:18" s="1" customFormat="1" ht="13.2">
      <c r="A4" s="626"/>
      <c r="B4" s="627"/>
      <c r="C4" s="628"/>
      <c r="D4" s="627"/>
      <c r="E4" s="627"/>
      <c r="F4" s="627"/>
      <c r="G4" s="627"/>
      <c r="H4" s="627"/>
      <c r="I4" s="627"/>
      <c r="J4" s="627"/>
      <c r="K4" s="627"/>
      <c r="L4" s="627"/>
      <c r="M4" s="627"/>
      <c r="N4" s="627"/>
      <c r="O4" s="627"/>
      <c r="P4" s="627"/>
      <c r="Q4" s="627"/>
      <c r="R4" s="627"/>
    </row>
    <row r="5" spans="1:18" s="1" customFormat="1" ht="14.25" customHeight="1">
      <c r="A5" s="1479" t="s">
        <v>213</v>
      </c>
      <c r="B5" s="1480"/>
      <c r="C5" s="1412" t="s">
        <v>202</v>
      </c>
      <c r="D5" s="1401" t="s">
        <v>231</v>
      </c>
      <c r="E5" s="1404" t="s">
        <v>232</v>
      </c>
      <c r="F5" s="1405"/>
      <c r="G5" s="1406"/>
      <c r="H5" s="1407" t="s">
        <v>486</v>
      </c>
      <c r="I5" s="1415" t="s">
        <v>234</v>
      </c>
      <c r="J5" s="1425" t="s">
        <v>232</v>
      </c>
      <c r="K5" s="1426"/>
      <c r="L5" s="1427"/>
      <c r="M5" s="1428" t="s">
        <v>487</v>
      </c>
      <c r="N5" s="1431" t="s">
        <v>235</v>
      </c>
      <c r="O5" s="1434" t="s">
        <v>232</v>
      </c>
      <c r="P5" s="1435"/>
      <c r="Q5" s="1436"/>
      <c r="R5" s="1418" t="s">
        <v>488</v>
      </c>
    </row>
    <row r="6" spans="1:18" s="1" customFormat="1" ht="18" customHeight="1">
      <c r="A6" s="1479"/>
      <c r="B6" s="1480"/>
      <c r="C6" s="1413"/>
      <c r="D6" s="1402"/>
      <c r="E6" s="1410" t="s">
        <v>233</v>
      </c>
      <c r="F6" s="1410" t="s">
        <v>496</v>
      </c>
      <c r="G6" s="1410" t="s">
        <v>485</v>
      </c>
      <c r="H6" s="1408"/>
      <c r="I6" s="1416"/>
      <c r="J6" s="1421" t="s">
        <v>233</v>
      </c>
      <c r="K6" s="1421" t="s">
        <v>496</v>
      </c>
      <c r="L6" s="1421" t="s">
        <v>485</v>
      </c>
      <c r="M6" s="1429"/>
      <c r="N6" s="1432"/>
      <c r="O6" s="1423" t="s">
        <v>233</v>
      </c>
      <c r="P6" s="1423" t="s">
        <v>496</v>
      </c>
      <c r="Q6" s="1423" t="s">
        <v>485</v>
      </c>
      <c r="R6" s="1419"/>
    </row>
    <row r="7" spans="1:18" s="1" customFormat="1" ht="25.95" customHeight="1">
      <c r="A7" s="1479"/>
      <c r="B7" s="1480"/>
      <c r="C7" s="1414"/>
      <c r="D7" s="1403"/>
      <c r="E7" s="1411"/>
      <c r="F7" s="1411"/>
      <c r="G7" s="1411"/>
      <c r="H7" s="1409"/>
      <c r="I7" s="1417"/>
      <c r="J7" s="1422"/>
      <c r="K7" s="1422"/>
      <c r="L7" s="1422"/>
      <c r="M7" s="1430"/>
      <c r="N7" s="1433"/>
      <c r="O7" s="1424"/>
      <c r="P7" s="1424"/>
      <c r="Q7" s="1424"/>
      <c r="R7" s="1420"/>
    </row>
    <row r="8" spans="1:18" s="25" customFormat="1">
      <c r="A8" s="629">
        <v>1</v>
      </c>
      <c r="B8" s="629">
        <v>2</v>
      </c>
      <c r="C8" s="629">
        <v>3</v>
      </c>
      <c r="D8" s="629">
        <v>4</v>
      </c>
      <c r="E8" s="629">
        <v>5</v>
      </c>
      <c r="F8" s="629">
        <v>6</v>
      </c>
      <c r="G8" s="629">
        <v>7</v>
      </c>
      <c r="H8" s="630" t="s">
        <v>482</v>
      </c>
      <c r="I8" s="629">
        <v>9</v>
      </c>
      <c r="J8" s="629">
        <v>10</v>
      </c>
      <c r="K8" s="629">
        <v>11</v>
      </c>
      <c r="L8" s="629">
        <v>12</v>
      </c>
      <c r="M8" s="630" t="s">
        <v>483</v>
      </c>
      <c r="N8" s="629">
        <v>14</v>
      </c>
      <c r="O8" s="629">
        <v>15</v>
      </c>
      <c r="P8" s="629">
        <v>16</v>
      </c>
      <c r="Q8" s="629">
        <v>17</v>
      </c>
      <c r="R8" s="630" t="s">
        <v>484</v>
      </c>
    </row>
    <row r="9" spans="1:18" ht="13.2">
      <c r="A9" s="1340"/>
      <c r="B9" s="1341" t="s">
        <v>86</v>
      </c>
      <c r="C9" s="1342"/>
      <c r="D9" s="1342"/>
      <c r="E9" s="1343"/>
      <c r="F9" s="1343"/>
      <c r="G9" s="1343"/>
      <c r="H9" s="1343"/>
      <c r="I9" s="1344"/>
      <c r="J9" s="1343"/>
      <c r="K9" s="1343"/>
      <c r="L9" s="1343"/>
      <c r="M9" s="1343"/>
      <c r="N9" s="1344"/>
      <c r="O9" s="1343"/>
      <c r="P9" s="1343"/>
      <c r="Q9" s="1343"/>
      <c r="R9" s="1343"/>
    </row>
    <row r="10" spans="1:18" s="4" customFormat="1" ht="20.399999999999999">
      <c r="A10" s="631" t="s">
        <v>201</v>
      </c>
      <c r="B10" s="632" t="s">
        <v>88</v>
      </c>
      <c r="C10" s="633">
        <v>261076</v>
      </c>
      <c r="D10" s="633">
        <v>398337</v>
      </c>
      <c r="E10" s="634">
        <f>E11+E12+E14+E32</f>
        <v>0</v>
      </c>
      <c r="F10" s="634">
        <f>F11+F12+F14+F32</f>
        <v>21133</v>
      </c>
      <c r="G10" s="634">
        <f>G11+G12+G14+G32</f>
        <v>111000</v>
      </c>
      <c r="H10" s="635">
        <f t="shared" ref="H10:H73" si="0">SUM(D10:G10)</f>
        <v>530470</v>
      </c>
      <c r="I10" s="634">
        <v>4220790</v>
      </c>
      <c r="J10" s="634">
        <f>J11+J12+J14+J32</f>
        <v>0</v>
      </c>
      <c r="K10" s="634">
        <f>K11+K12+K14+K32</f>
        <v>21133</v>
      </c>
      <c r="L10" s="634">
        <f>L11+L12+L14+L32</f>
        <v>0</v>
      </c>
      <c r="M10" s="635">
        <f t="shared" ref="M10:M73" si="1">SUM(I10:L10)</f>
        <v>4241923</v>
      </c>
      <c r="N10" s="634">
        <v>255276</v>
      </c>
      <c r="O10" s="634">
        <f>O11+O12+O14+O32</f>
        <v>0</v>
      </c>
      <c r="P10" s="634">
        <f>P11+P12+P14+P32</f>
        <v>21133</v>
      </c>
      <c r="Q10" s="634">
        <f>Q11+Q12+Q14+Q32</f>
        <v>0</v>
      </c>
      <c r="R10" s="635">
        <f t="shared" ref="R10:R73" si="2">SUM(N10:Q10)</f>
        <v>276409</v>
      </c>
    </row>
    <row r="11" spans="1:18" ht="24" hidden="1" customHeight="1">
      <c r="A11" s="636" t="s">
        <v>177</v>
      </c>
      <c r="B11" s="637" t="s">
        <v>90</v>
      </c>
      <c r="C11" s="638"/>
      <c r="D11" s="638">
        <v>0</v>
      </c>
      <c r="E11" s="639"/>
      <c r="F11" s="639"/>
      <c r="G11" s="639"/>
      <c r="H11" s="640">
        <f t="shared" si="0"/>
        <v>0</v>
      </c>
      <c r="I11" s="639">
        <v>0</v>
      </c>
      <c r="J11" s="639"/>
      <c r="K11" s="639"/>
      <c r="L11" s="639"/>
      <c r="M11" s="640">
        <f t="shared" si="1"/>
        <v>0</v>
      </c>
      <c r="N11" s="639">
        <v>0</v>
      </c>
      <c r="O11" s="639"/>
      <c r="P11" s="639"/>
      <c r="Q11" s="639"/>
      <c r="R11" s="640">
        <f t="shared" si="2"/>
        <v>0</v>
      </c>
    </row>
    <row r="12" spans="1:18" ht="12" hidden="1" customHeight="1">
      <c r="A12" s="636" t="s">
        <v>91</v>
      </c>
      <c r="B12" s="637" t="s">
        <v>92</v>
      </c>
      <c r="C12" s="638"/>
      <c r="D12" s="638">
        <v>0</v>
      </c>
      <c r="E12" s="639"/>
      <c r="F12" s="639"/>
      <c r="G12" s="639"/>
      <c r="H12" s="640">
        <f t="shared" si="0"/>
        <v>0</v>
      </c>
      <c r="I12" s="639">
        <v>0</v>
      </c>
      <c r="J12" s="639"/>
      <c r="K12" s="639"/>
      <c r="L12" s="639"/>
      <c r="M12" s="640">
        <f t="shared" si="1"/>
        <v>0</v>
      </c>
      <c r="N12" s="639">
        <v>0</v>
      </c>
      <c r="O12" s="639"/>
      <c r="P12" s="639"/>
      <c r="Q12" s="639"/>
      <c r="R12" s="640">
        <f t="shared" si="2"/>
        <v>0</v>
      </c>
    </row>
    <row r="13" spans="1:18" ht="24" hidden="1" customHeight="1">
      <c r="A13" s="641">
        <v>21210</v>
      </c>
      <c r="B13" s="642" t="s">
        <v>93</v>
      </c>
      <c r="C13" s="638"/>
      <c r="D13" s="638">
        <v>0</v>
      </c>
      <c r="E13" s="639"/>
      <c r="F13" s="639"/>
      <c r="G13" s="639"/>
      <c r="H13" s="640">
        <f t="shared" si="0"/>
        <v>0</v>
      </c>
      <c r="I13" s="639">
        <v>0</v>
      </c>
      <c r="J13" s="639"/>
      <c r="K13" s="639"/>
      <c r="L13" s="639"/>
      <c r="M13" s="640">
        <f t="shared" si="1"/>
        <v>0</v>
      </c>
      <c r="N13" s="639">
        <v>0</v>
      </c>
      <c r="O13" s="639"/>
      <c r="P13" s="639"/>
      <c r="Q13" s="639"/>
      <c r="R13" s="640">
        <f t="shared" si="2"/>
        <v>0</v>
      </c>
    </row>
    <row r="14" spans="1:18" ht="21" hidden="1" customHeight="1">
      <c r="A14" s="636" t="s">
        <v>178</v>
      </c>
      <c r="B14" s="637" t="s">
        <v>94</v>
      </c>
      <c r="C14" s="643">
        <v>0</v>
      </c>
      <c r="D14" s="643">
        <v>0</v>
      </c>
      <c r="E14" s="644">
        <f>E15+E21</f>
        <v>0</v>
      </c>
      <c r="F14" s="644">
        <f>F15+F21</f>
        <v>0</v>
      </c>
      <c r="G14" s="644">
        <f>G15+G21</f>
        <v>0</v>
      </c>
      <c r="H14" s="640">
        <f t="shared" si="0"/>
        <v>0</v>
      </c>
      <c r="I14" s="644">
        <v>0</v>
      </c>
      <c r="J14" s="644">
        <f>J15+J21</f>
        <v>0</v>
      </c>
      <c r="K14" s="644">
        <f>K15+K21</f>
        <v>0</v>
      </c>
      <c r="L14" s="644">
        <f>L15+L21</f>
        <v>0</v>
      </c>
      <c r="M14" s="640">
        <f t="shared" si="1"/>
        <v>0</v>
      </c>
      <c r="N14" s="644">
        <v>0</v>
      </c>
      <c r="O14" s="644">
        <f>O15+O21</f>
        <v>0</v>
      </c>
      <c r="P14" s="644">
        <f>P15+P21</f>
        <v>0</v>
      </c>
      <c r="Q14" s="644">
        <f>Q15+Q21</f>
        <v>0</v>
      </c>
      <c r="R14" s="640">
        <f t="shared" si="2"/>
        <v>0</v>
      </c>
    </row>
    <row r="15" spans="1:18" ht="12" hidden="1" customHeight="1">
      <c r="A15" s="645">
        <v>18000</v>
      </c>
      <c r="B15" s="642" t="s">
        <v>95</v>
      </c>
      <c r="C15" s="643">
        <v>0</v>
      </c>
      <c r="D15" s="643">
        <v>0</v>
      </c>
      <c r="E15" s="644">
        <f t="shared" ref="E15:L16" si="3">E16</f>
        <v>0</v>
      </c>
      <c r="F15" s="644">
        <f t="shared" si="3"/>
        <v>0</v>
      </c>
      <c r="G15" s="644">
        <f t="shared" si="3"/>
        <v>0</v>
      </c>
      <c r="H15" s="640">
        <f t="shared" si="0"/>
        <v>0</v>
      </c>
      <c r="I15" s="644">
        <v>0</v>
      </c>
      <c r="J15" s="644">
        <f t="shared" si="3"/>
        <v>0</v>
      </c>
      <c r="K15" s="644">
        <f t="shared" si="3"/>
        <v>0</v>
      </c>
      <c r="L15" s="644">
        <f t="shared" si="3"/>
        <v>0</v>
      </c>
      <c r="M15" s="640">
        <f t="shared" si="1"/>
        <v>0</v>
      </c>
      <c r="N15" s="644">
        <v>0</v>
      </c>
      <c r="O15" s="644">
        <f t="shared" ref="O15:Q16" si="4">O16</f>
        <v>0</v>
      </c>
      <c r="P15" s="644">
        <f t="shared" si="4"/>
        <v>0</v>
      </c>
      <c r="Q15" s="644">
        <f t="shared" si="4"/>
        <v>0</v>
      </c>
      <c r="R15" s="640">
        <f t="shared" si="2"/>
        <v>0</v>
      </c>
    </row>
    <row r="16" spans="1:18" ht="12" hidden="1" customHeight="1">
      <c r="A16" s="645">
        <v>18100</v>
      </c>
      <c r="B16" s="642" t="s">
        <v>96</v>
      </c>
      <c r="C16" s="643">
        <v>0</v>
      </c>
      <c r="D16" s="643">
        <v>0</v>
      </c>
      <c r="E16" s="644">
        <f>E17</f>
        <v>0</v>
      </c>
      <c r="F16" s="644">
        <f t="shared" si="3"/>
        <v>0</v>
      </c>
      <c r="G16" s="644">
        <f t="shared" si="3"/>
        <v>0</v>
      </c>
      <c r="H16" s="640">
        <f t="shared" si="0"/>
        <v>0</v>
      </c>
      <c r="I16" s="644">
        <v>0</v>
      </c>
      <c r="J16" s="644">
        <f>J17</f>
        <v>0</v>
      </c>
      <c r="K16" s="644">
        <f t="shared" si="3"/>
        <v>0</v>
      </c>
      <c r="L16" s="644">
        <f t="shared" si="3"/>
        <v>0</v>
      </c>
      <c r="M16" s="640">
        <f t="shared" si="1"/>
        <v>0</v>
      </c>
      <c r="N16" s="644">
        <v>0</v>
      </c>
      <c r="O16" s="644">
        <f t="shared" si="4"/>
        <v>0</v>
      </c>
      <c r="P16" s="644">
        <f t="shared" si="4"/>
        <v>0</v>
      </c>
      <c r="Q16" s="644">
        <f t="shared" si="4"/>
        <v>0</v>
      </c>
      <c r="R16" s="640">
        <f t="shared" si="2"/>
        <v>0</v>
      </c>
    </row>
    <row r="17" spans="1:18" s="4" customFormat="1" ht="24" hidden="1" customHeight="1">
      <c r="A17" s="646">
        <v>18130</v>
      </c>
      <c r="B17" s="647" t="s">
        <v>159</v>
      </c>
      <c r="C17" s="643">
        <v>0</v>
      </c>
      <c r="D17" s="643">
        <v>0</v>
      </c>
      <c r="E17" s="644">
        <f>SUM(E18:E20)</f>
        <v>0</v>
      </c>
      <c r="F17" s="644">
        <f>SUM(F18:F20)</f>
        <v>0</v>
      </c>
      <c r="G17" s="644">
        <f>SUM(G18:G20)</f>
        <v>0</v>
      </c>
      <c r="H17" s="640">
        <f t="shared" si="0"/>
        <v>0</v>
      </c>
      <c r="I17" s="644">
        <v>0</v>
      </c>
      <c r="J17" s="644">
        <f>SUM(J18:J20)</f>
        <v>0</v>
      </c>
      <c r="K17" s="644">
        <f>SUM(K18:K20)</f>
        <v>0</v>
      </c>
      <c r="L17" s="644">
        <f>SUM(L18:L20)</f>
        <v>0</v>
      </c>
      <c r="M17" s="640">
        <f t="shared" si="1"/>
        <v>0</v>
      </c>
      <c r="N17" s="644">
        <v>0</v>
      </c>
      <c r="O17" s="644">
        <f>SUM(O18:O20)</f>
        <v>0</v>
      </c>
      <c r="P17" s="644">
        <f>SUM(P18:P20)</f>
        <v>0</v>
      </c>
      <c r="Q17" s="644">
        <f>SUM(Q18:Q20)</f>
        <v>0</v>
      </c>
      <c r="R17" s="640">
        <f t="shared" si="2"/>
        <v>0</v>
      </c>
    </row>
    <row r="18" spans="1:18" s="6" customFormat="1" ht="36" hidden="1" customHeight="1">
      <c r="A18" s="648">
        <v>18131</v>
      </c>
      <c r="B18" s="647" t="s">
        <v>160</v>
      </c>
      <c r="C18" s="643"/>
      <c r="D18" s="643">
        <v>0</v>
      </c>
      <c r="E18" s="644"/>
      <c r="F18" s="644"/>
      <c r="G18" s="644"/>
      <c r="H18" s="640">
        <f t="shared" si="0"/>
        <v>0</v>
      </c>
      <c r="I18" s="644">
        <v>0</v>
      </c>
      <c r="J18" s="644"/>
      <c r="K18" s="644"/>
      <c r="L18" s="644"/>
      <c r="M18" s="640">
        <f t="shared" si="1"/>
        <v>0</v>
      </c>
      <c r="N18" s="644">
        <v>0</v>
      </c>
      <c r="O18" s="644"/>
      <c r="P18" s="644"/>
      <c r="Q18" s="644"/>
      <c r="R18" s="640">
        <f t="shared" si="2"/>
        <v>0</v>
      </c>
    </row>
    <row r="19" spans="1:18" s="6" customFormat="1" ht="24" hidden="1" customHeight="1">
      <c r="A19" s="648">
        <v>18132</v>
      </c>
      <c r="B19" s="647" t="s">
        <v>169</v>
      </c>
      <c r="C19" s="643"/>
      <c r="D19" s="643">
        <v>0</v>
      </c>
      <c r="E19" s="644"/>
      <c r="F19" s="644"/>
      <c r="G19" s="644"/>
      <c r="H19" s="640">
        <f t="shared" si="0"/>
        <v>0</v>
      </c>
      <c r="I19" s="644">
        <v>0</v>
      </c>
      <c r="J19" s="644"/>
      <c r="K19" s="644"/>
      <c r="L19" s="644"/>
      <c r="M19" s="640">
        <f t="shared" si="1"/>
        <v>0</v>
      </c>
      <c r="N19" s="644">
        <v>0</v>
      </c>
      <c r="O19" s="644"/>
      <c r="P19" s="644"/>
      <c r="Q19" s="644"/>
      <c r="R19" s="640">
        <f t="shared" si="2"/>
        <v>0</v>
      </c>
    </row>
    <row r="20" spans="1:18" s="6" customFormat="1" ht="24" hidden="1" customHeight="1">
      <c r="A20" s="648">
        <v>18139</v>
      </c>
      <c r="B20" s="647" t="s">
        <v>179</v>
      </c>
      <c r="C20" s="643"/>
      <c r="D20" s="643">
        <v>0</v>
      </c>
      <c r="E20" s="644"/>
      <c r="F20" s="644"/>
      <c r="G20" s="644"/>
      <c r="H20" s="640">
        <f t="shared" si="0"/>
        <v>0</v>
      </c>
      <c r="I20" s="644">
        <v>0</v>
      </c>
      <c r="J20" s="644"/>
      <c r="K20" s="644"/>
      <c r="L20" s="644"/>
      <c r="M20" s="640">
        <f t="shared" si="1"/>
        <v>0</v>
      </c>
      <c r="N20" s="644">
        <v>0</v>
      </c>
      <c r="O20" s="644"/>
      <c r="P20" s="644"/>
      <c r="Q20" s="644"/>
      <c r="R20" s="640">
        <f t="shared" si="2"/>
        <v>0</v>
      </c>
    </row>
    <row r="21" spans="1:18" s="6" customFormat="1" ht="12" hidden="1" customHeight="1">
      <c r="A21" s="649" t="s">
        <v>180</v>
      </c>
      <c r="B21" s="650" t="s">
        <v>173</v>
      </c>
      <c r="C21" s="651">
        <v>0</v>
      </c>
      <c r="D21" s="651">
        <v>0</v>
      </c>
      <c r="E21" s="652">
        <f t="shared" ref="E21:L21" si="5">E22</f>
        <v>0</v>
      </c>
      <c r="F21" s="652">
        <f t="shared" si="5"/>
        <v>0</v>
      </c>
      <c r="G21" s="652">
        <f t="shared" si="5"/>
        <v>0</v>
      </c>
      <c r="H21" s="640">
        <f t="shared" si="0"/>
        <v>0</v>
      </c>
      <c r="I21" s="652">
        <v>0</v>
      </c>
      <c r="J21" s="652">
        <f t="shared" si="5"/>
        <v>0</v>
      </c>
      <c r="K21" s="652">
        <f t="shared" si="5"/>
        <v>0</v>
      </c>
      <c r="L21" s="652">
        <f t="shared" si="5"/>
        <v>0</v>
      </c>
      <c r="M21" s="640">
        <f t="shared" si="1"/>
        <v>0</v>
      </c>
      <c r="N21" s="652">
        <v>0</v>
      </c>
      <c r="O21" s="652">
        <f>O22</f>
        <v>0</v>
      </c>
      <c r="P21" s="652">
        <f>P22</f>
        <v>0</v>
      </c>
      <c r="Q21" s="652">
        <f>Q22</f>
        <v>0</v>
      </c>
      <c r="R21" s="640">
        <f t="shared" si="2"/>
        <v>0</v>
      </c>
    </row>
    <row r="22" spans="1:18" s="6" customFormat="1" ht="24" hidden="1" customHeight="1">
      <c r="A22" s="649">
        <v>19500</v>
      </c>
      <c r="B22" s="647" t="s">
        <v>174</v>
      </c>
      <c r="C22" s="643">
        <v>0</v>
      </c>
      <c r="D22" s="643">
        <v>0</v>
      </c>
      <c r="E22" s="644">
        <f>SUM(E23:E25)</f>
        <v>0</v>
      </c>
      <c r="F22" s="644">
        <f>SUM(F23:F25)</f>
        <v>0</v>
      </c>
      <c r="G22" s="644">
        <f>SUM(G23:G25)</f>
        <v>0</v>
      </c>
      <c r="H22" s="640">
        <f t="shared" si="0"/>
        <v>0</v>
      </c>
      <c r="I22" s="644">
        <v>0</v>
      </c>
      <c r="J22" s="644">
        <f>SUM(J23:J25)</f>
        <v>0</v>
      </c>
      <c r="K22" s="644">
        <f>SUM(K23:K25)</f>
        <v>0</v>
      </c>
      <c r="L22" s="644">
        <f>SUM(L23:L25)</f>
        <v>0</v>
      </c>
      <c r="M22" s="640">
        <f t="shared" si="1"/>
        <v>0</v>
      </c>
      <c r="N22" s="644">
        <v>0</v>
      </c>
      <c r="O22" s="644">
        <f>SUM(O23:O25)</f>
        <v>0</v>
      </c>
      <c r="P22" s="644">
        <f>SUM(P23:P25)</f>
        <v>0</v>
      </c>
      <c r="Q22" s="644">
        <f>SUM(Q23:Q25)</f>
        <v>0</v>
      </c>
      <c r="R22" s="640">
        <f t="shared" si="2"/>
        <v>0</v>
      </c>
    </row>
    <row r="23" spans="1:18" s="6" customFormat="1" ht="24" hidden="1" customHeight="1">
      <c r="A23" s="653">
        <v>19550</v>
      </c>
      <c r="B23" s="647" t="s">
        <v>175</v>
      </c>
      <c r="C23" s="643"/>
      <c r="D23" s="643">
        <v>0</v>
      </c>
      <c r="E23" s="644"/>
      <c r="F23" s="644"/>
      <c r="G23" s="644"/>
      <c r="H23" s="640">
        <f t="shared" si="0"/>
        <v>0</v>
      </c>
      <c r="I23" s="644">
        <v>0</v>
      </c>
      <c r="J23" s="644"/>
      <c r="K23" s="644"/>
      <c r="L23" s="644"/>
      <c r="M23" s="640">
        <f t="shared" si="1"/>
        <v>0</v>
      </c>
      <c r="N23" s="644">
        <v>0</v>
      </c>
      <c r="O23" s="644"/>
      <c r="P23" s="644"/>
      <c r="Q23" s="644"/>
      <c r="R23" s="640">
        <f t="shared" si="2"/>
        <v>0</v>
      </c>
    </row>
    <row r="24" spans="1:18" s="6" customFormat="1" ht="36" hidden="1" customHeight="1">
      <c r="A24" s="653">
        <v>19560</v>
      </c>
      <c r="B24" s="647" t="s">
        <v>181</v>
      </c>
      <c r="C24" s="643"/>
      <c r="D24" s="643">
        <v>0</v>
      </c>
      <c r="E24" s="644"/>
      <c r="F24" s="644"/>
      <c r="G24" s="644"/>
      <c r="H24" s="640">
        <f t="shared" si="0"/>
        <v>0</v>
      </c>
      <c r="I24" s="644">
        <v>0</v>
      </c>
      <c r="J24" s="644"/>
      <c r="K24" s="644"/>
      <c r="L24" s="644"/>
      <c r="M24" s="640">
        <f t="shared" si="1"/>
        <v>0</v>
      </c>
      <c r="N24" s="644">
        <v>0</v>
      </c>
      <c r="O24" s="644"/>
      <c r="P24" s="644"/>
      <c r="Q24" s="644"/>
      <c r="R24" s="640">
        <f t="shared" si="2"/>
        <v>0</v>
      </c>
    </row>
    <row r="25" spans="1:18" s="6" customFormat="1" ht="72" hidden="1" customHeight="1">
      <c r="A25" s="653">
        <v>19570</v>
      </c>
      <c r="B25" s="647" t="s">
        <v>182</v>
      </c>
      <c r="C25" s="643"/>
      <c r="D25" s="643">
        <v>0</v>
      </c>
      <c r="E25" s="644"/>
      <c r="F25" s="644"/>
      <c r="G25" s="644"/>
      <c r="H25" s="640">
        <f t="shared" si="0"/>
        <v>0</v>
      </c>
      <c r="I25" s="644">
        <v>0</v>
      </c>
      <c r="J25" s="644"/>
      <c r="K25" s="644"/>
      <c r="L25" s="644"/>
      <c r="M25" s="640">
        <f t="shared" si="1"/>
        <v>0</v>
      </c>
      <c r="N25" s="644">
        <v>0</v>
      </c>
      <c r="O25" s="644"/>
      <c r="P25" s="644"/>
      <c r="Q25" s="644"/>
      <c r="R25" s="640">
        <f t="shared" si="2"/>
        <v>0</v>
      </c>
    </row>
    <row r="26" spans="1:18" s="6" customFormat="1" ht="36" hidden="1" customHeight="1">
      <c r="A26" s="654" t="s">
        <v>222</v>
      </c>
      <c r="B26" s="655" t="s">
        <v>216</v>
      </c>
      <c r="C26" s="643">
        <f>C27</f>
        <v>0</v>
      </c>
      <c r="D26" s="643">
        <v>0</v>
      </c>
      <c r="E26" s="640">
        <f t="shared" ref="E26:L26" si="6">E27</f>
        <v>0</v>
      </c>
      <c r="F26" s="640">
        <f t="shared" si="6"/>
        <v>0</v>
      </c>
      <c r="G26" s="640">
        <f t="shared" si="6"/>
        <v>0</v>
      </c>
      <c r="H26" s="640">
        <f t="shared" si="0"/>
        <v>0</v>
      </c>
      <c r="I26" s="644">
        <v>0</v>
      </c>
      <c r="J26" s="640">
        <f t="shared" si="6"/>
        <v>0</v>
      </c>
      <c r="K26" s="640">
        <f t="shared" si="6"/>
        <v>0</v>
      </c>
      <c r="L26" s="640">
        <f t="shared" si="6"/>
        <v>0</v>
      </c>
      <c r="M26" s="640">
        <f t="shared" si="1"/>
        <v>0</v>
      </c>
      <c r="N26" s="644">
        <v>0</v>
      </c>
      <c r="O26" s="640">
        <f>O27</f>
        <v>0</v>
      </c>
      <c r="P26" s="640">
        <f>P27</f>
        <v>0</v>
      </c>
      <c r="Q26" s="640">
        <f>Q27</f>
        <v>0</v>
      </c>
      <c r="R26" s="640">
        <f t="shared" si="2"/>
        <v>0</v>
      </c>
    </row>
    <row r="27" spans="1:18" s="6" customFormat="1" ht="36" hidden="1" customHeight="1">
      <c r="A27" s="654">
        <v>17100</v>
      </c>
      <c r="B27" s="655" t="s">
        <v>217</v>
      </c>
      <c r="C27" s="643">
        <f>SUM(C28:C31)</f>
        <v>0</v>
      </c>
      <c r="D27" s="643">
        <v>0</v>
      </c>
      <c r="E27" s="640">
        <f>SUM(E28:E31)</f>
        <v>0</v>
      </c>
      <c r="F27" s="640">
        <f>SUM(F28:F31)</f>
        <v>0</v>
      </c>
      <c r="G27" s="640">
        <f>SUM(G28:G31)</f>
        <v>0</v>
      </c>
      <c r="H27" s="640">
        <f t="shared" si="0"/>
        <v>0</v>
      </c>
      <c r="I27" s="644">
        <v>0</v>
      </c>
      <c r="J27" s="640">
        <f>SUM(J28:J31)</f>
        <v>0</v>
      </c>
      <c r="K27" s="640">
        <f>SUM(K28:K31)</f>
        <v>0</v>
      </c>
      <c r="L27" s="640">
        <f>SUM(L28:L31)</f>
        <v>0</v>
      </c>
      <c r="M27" s="640">
        <f t="shared" si="1"/>
        <v>0</v>
      </c>
      <c r="N27" s="644">
        <v>0</v>
      </c>
      <c r="O27" s="640">
        <f>SUM(O28:O31)</f>
        <v>0</v>
      </c>
      <c r="P27" s="640">
        <f>SUM(P28:P31)</f>
        <v>0</v>
      </c>
      <c r="Q27" s="640">
        <f>SUM(Q28:Q31)</f>
        <v>0</v>
      </c>
      <c r="R27" s="640">
        <f t="shared" si="2"/>
        <v>0</v>
      </c>
    </row>
    <row r="28" spans="1:18" s="6" customFormat="1" ht="60" hidden="1" customHeight="1">
      <c r="A28" s="656">
        <v>17110</v>
      </c>
      <c r="B28" s="655" t="s">
        <v>218</v>
      </c>
      <c r="C28" s="643"/>
      <c r="D28" s="643">
        <v>0</v>
      </c>
      <c r="E28" s="644"/>
      <c r="F28" s="644"/>
      <c r="G28" s="644"/>
      <c r="H28" s="640">
        <f t="shared" si="0"/>
        <v>0</v>
      </c>
      <c r="I28" s="644">
        <v>0</v>
      </c>
      <c r="J28" s="644"/>
      <c r="K28" s="644"/>
      <c r="L28" s="644"/>
      <c r="M28" s="640">
        <f t="shared" si="1"/>
        <v>0</v>
      </c>
      <c r="N28" s="644">
        <v>0</v>
      </c>
      <c r="O28" s="644"/>
      <c r="P28" s="644"/>
      <c r="Q28" s="644"/>
      <c r="R28" s="640">
        <f t="shared" si="2"/>
        <v>0</v>
      </c>
    </row>
    <row r="29" spans="1:18" s="6" customFormat="1" ht="60" hidden="1" customHeight="1">
      <c r="A29" s="656">
        <v>17120</v>
      </c>
      <c r="B29" s="655" t="s">
        <v>219</v>
      </c>
      <c r="C29" s="643"/>
      <c r="D29" s="643">
        <v>0</v>
      </c>
      <c r="E29" s="644"/>
      <c r="F29" s="644"/>
      <c r="G29" s="644"/>
      <c r="H29" s="640">
        <f t="shared" si="0"/>
        <v>0</v>
      </c>
      <c r="I29" s="644">
        <v>0</v>
      </c>
      <c r="J29" s="644"/>
      <c r="K29" s="644"/>
      <c r="L29" s="644"/>
      <c r="M29" s="640">
        <f t="shared" si="1"/>
        <v>0</v>
      </c>
      <c r="N29" s="644">
        <v>0</v>
      </c>
      <c r="O29" s="644"/>
      <c r="P29" s="644"/>
      <c r="Q29" s="644"/>
      <c r="R29" s="640">
        <f t="shared" si="2"/>
        <v>0</v>
      </c>
    </row>
    <row r="30" spans="1:18" s="6" customFormat="1" ht="108" hidden="1" customHeight="1">
      <c r="A30" s="656">
        <v>17130</v>
      </c>
      <c r="B30" s="655" t="s">
        <v>220</v>
      </c>
      <c r="C30" s="643"/>
      <c r="D30" s="643">
        <v>0</v>
      </c>
      <c r="E30" s="644"/>
      <c r="F30" s="644"/>
      <c r="G30" s="644"/>
      <c r="H30" s="640">
        <f t="shared" si="0"/>
        <v>0</v>
      </c>
      <c r="I30" s="644">
        <v>0</v>
      </c>
      <c r="J30" s="644"/>
      <c r="K30" s="644"/>
      <c r="L30" s="644"/>
      <c r="M30" s="640">
        <f t="shared" si="1"/>
        <v>0</v>
      </c>
      <c r="N30" s="644">
        <v>0</v>
      </c>
      <c r="O30" s="644"/>
      <c r="P30" s="644"/>
      <c r="Q30" s="644"/>
      <c r="R30" s="640">
        <f t="shared" si="2"/>
        <v>0</v>
      </c>
    </row>
    <row r="31" spans="1:18" s="6" customFormat="1" ht="108" hidden="1" customHeight="1">
      <c r="A31" s="656">
        <v>17140</v>
      </c>
      <c r="B31" s="655" t="s">
        <v>221</v>
      </c>
      <c r="C31" s="643"/>
      <c r="D31" s="643">
        <v>0</v>
      </c>
      <c r="E31" s="644"/>
      <c r="F31" s="644"/>
      <c r="G31" s="644"/>
      <c r="H31" s="640">
        <f t="shared" si="0"/>
        <v>0</v>
      </c>
      <c r="I31" s="644">
        <v>0</v>
      </c>
      <c r="J31" s="644"/>
      <c r="K31" s="644"/>
      <c r="L31" s="644"/>
      <c r="M31" s="640">
        <f t="shared" si="1"/>
        <v>0</v>
      </c>
      <c r="N31" s="644">
        <v>0</v>
      </c>
      <c r="O31" s="644"/>
      <c r="P31" s="644"/>
      <c r="Q31" s="644"/>
      <c r="R31" s="640">
        <f t="shared" si="2"/>
        <v>0</v>
      </c>
    </row>
    <row r="32" spans="1:18" s="6" customFormat="1" ht="12">
      <c r="A32" s="657">
        <v>21700</v>
      </c>
      <c r="B32" s="637" t="s">
        <v>97</v>
      </c>
      <c r="C32" s="643">
        <v>261076</v>
      </c>
      <c r="D32" s="643">
        <v>398337</v>
      </c>
      <c r="E32" s="644">
        <f>E33+E34</f>
        <v>0</v>
      </c>
      <c r="F32" s="644">
        <f>F35</f>
        <v>21133</v>
      </c>
      <c r="G32" s="644">
        <f>G35</f>
        <v>111000</v>
      </c>
      <c r="H32" s="640">
        <f t="shared" si="0"/>
        <v>530470</v>
      </c>
      <c r="I32" s="644">
        <v>4220790</v>
      </c>
      <c r="J32" s="644">
        <f>J33+J34</f>
        <v>0</v>
      </c>
      <c r="K32" s="644">
        <f>K33+K34</f>
        <v>21133</v>
      </c>
      <c r="L32" s="644">
        <f>L33+L34</f>
        <v>0</v>
      </c>
      <c r="M32" s="640">
        <f t="shared" si="1"/>
        <v>4241923</v>
      </c>
      <c r="N32" s="644">
        <v>255276</v>
      </c>
      <c r="O32" s="644">
        <f>O33+O34</f>
        <v>0</v>
      </c>
      <c r="P32" s="644">
        <f>P33+P34</f>
        <v>21133</v>
      </c>
      <c r="Q32" s="644">
        <f>Q33+Q34</f>
        <v>0</v>
      </c>
      <c r="R32" s="640">
        <f t="shared" si="2"/>
        <v>276409</v>
      </c>
    </row>
    <row r="33" spans="1:18" s="6" customFormat="1" ht="24">
      <c r="A33" s="658">
        <v>21710</v>
      </c>
      <c r="B33" s="642" t="s">
        <v>98</v>
      </c>
      <c r="C33" s="643">
        <v>261076</v>
      </c>
      <c r="D33" s="643">
        <v>398337</v>
      </c>
      <c r="E33" s="644"/>
      <c r="F33" s="644">
        <f>F35</f>
        <v>21133</v>
      </c>
      <c r="G33" s="644">
        <f>G35</f>
        <v>111000</v>
      </c>
      <c r="H33" s="640">
        <f t="shared" si="0"/>
        <v>530470</v>
      </c>
      <c r="I33" s="644">
        <v>4220790</v>
      </c>
      <c r="J33" s="644"/>
      <c r="K33" s="644">
        <f>K35</f>
        <v>21133</v>
      </c>
      <c r="L33" s="644">
        <f>L35</f>
        <v>0</v>
      </c>
      <c r="M33" s="640">
        <f t="shared" si="1"/>
        <v>4241923</v>
      </c>
      <c r="N33" s="644">
        <v>255276</v>
      </c>
      <c r="O33" s="644"/>
      <c r="P33" s="644">
        <f>P35</f>
        <v>21133</v>
      </c>
      <c r="Q33" s="644">
        <f>Q35</f>
        <v>0</v>
      </c>
      <c r="R33" s="640">
        <f t="shared" si="2"/>
        <v>276409</v>
      </c>
    </row>
    <row r="34" spans="1:18" s="6" customFormat="1" ht="24" hidden="1" customHeight="1">
      <c r="A34" s="658">
        <v>21720</v>
      </c>
      <c r="B34" s="642" t="s">
        <v>99</v>
      </c>
      <c r="C34" s="643"/>
      <c r="D34" s="643">
        <v>0</v>
      </c>
      <c r="E34" s="644"/>
      <c r="F34" s="644"/>
      <c r="G34" s="644"/>
      <c r="H34" s="640">
        <f t="shared" si="0"/>
        <v>0</v>
      </c>
      <c r="I34" s="644">
        <v>0</v>
      </c>
      <c r="J34" s="644"/>
      <c r="K34" s="644"/>
      <c r="L34" s="644"/>
      <c r="M34" s="640">
        <f t="shared" si="1"/>
        <v>0</v>
      </c>
      <c r="N34" s="644">
        <v>0</v>
      </c>
      <c r="O34" s="644"/>
      <c r="P34" s="644"/>
      <c r="Q34" s="644"/>
      <c r="R34" s="640">
        <f t="shared" si="2"/>
        <v>0</v>
      </c>
    </row>
    <row r="35" spans="1:18" s="6" customFormat="1" ht="11.4">
      <c r="A35" s="631" t="s">
        <v>100</v>
      </c>
      <c r="B35" s="632" t="s">
        <v>101</v>
      </c>
      <c r="C35" s="659">
        <v>261076</v>
      </c>
      <c r="D35" s="659">
        <v>398337</v>
      </c>
      <c r="E35" s="660">
        <f>E36+E63</f>
        <v>0</v>
      </c>
      <c r="F35" s="660">
        <f>F36+F63</f>
        <v>21133</v>
      </c>
      <c r="G35" s="660">
        <f>G36+G63</f>
        <v>111000</v>
      </c>
      <c r="H35" s="635">
        <f t="shared" si="0"/>
        <v>530470</v>
      </c>
      <c r="I35" s="660">
        <v>4220790</v>
      </c>
      <c r="J35" s="660">
        <f>J36+J63</f>
        <v>0</v>
      </c>
      <c r="K35" s="660">
        <f>K36+K63</f>
        <v>21133</v>
      </c>
      <c r="L35" s="660">
        <f>L36+L63</f>
        <v>0</v>
      </c>
      <c r="M35" s="635">
        <f t="shared" si="1"/>
        <v>4241923</v>
      </c>
      <c r="N35" s="660">
        <v>255276</v>
      </c>
      <c r="O35" s="660">
        <f>O36+O63</f>
        <v>0</v>
      </c>
      <c r="P35" s="635">
        <f>P36+P63</f>
        <v>21133</v>
      </c>
      <c r="Q35" s="635">
        <f>Q36+Q63</f>
        <v>0</v>
      </c>
      <c r="R35" s="635">
        <f t="shared" si="2"/>
        <v>276409</v>
      </c>
    </row>
    <row r="36" spans="1:18" s="6" customFormat="1" ht="20.399999999999999">
      <c r="A36" s="636" t="s">
        <v>102</v>
      </c>
      <c r="B36" s="637" t="s">
        <v>103</v>
      </c>
      <c r="C36" s="643">
        <v>259676</v>
      </c>
      <c r="D36" s="643">
        <v>396937</v>
      </c>
      <c r="E36" s="644">
        <f>E37+E41+E42+E45+E48</f>
        <v>0</v>
      </c>
      <c r="F36" s="644">
        <f>F37+F41+F42+F45+F48</f>
        <v>21133</v>
      </c>
      <c r="G36" s="644">
        <f>G37+G41+G42+G45+G48</f>
        <v>111000</v>
      </c>
      <c r="H36" s="640">
        <f t="shared" si="0"/>
        <v>529070</v>
      </c>
      <c r="I36" s="644">
        <v>4215811</v>
      </c>
      <c r="J36" s="644">
        <f>J37+J41+J42+J45+J48</f>
        <v>0</v>
      </c>
      <c r="K36" s="644">
        <f>K37+K41+K42+K45+K48</f>
        <v>21133</v>
      </c>
      <c r="L36" s="644">
        <f>L37+L41+L42+L45+L48</f>
        <v>0</v>
      </c>
      <c r="M36" s="640">
        <f t="shared" si="1"/>
        <v>4236944</v>
      </c>
      <c r="N36" s="644">
        <v>253876</v>
      </c>
      <c r="O36" s="644">
        <f>O37+O41+O42+O45+O48</f>
        <v>0</v>
      </c>
      <c r="P36" s="640">
        <f>P37+P41+P42+P45+P48</f>
        <v>21133</v>
      </c>
      <c r="Q36" s="640">
        <f>Q37+Q41+Q42+Q45+Q48</f>
        <v>0</v>
      </c>
      <c r="R36" s="640">
        <f t="shared" si="2"/>
        <v>275009</v>
      </c>
    </row>
    <row r="37" spans="1:18" s="6" customFormat="1" ht="12">
      <c r="A37" s="636" t="s">
        <v>104</v>
      </c>
      <c r="B37" s="637" t="s">
        <v>105</v>
      </c>
      <c r="C37" s="643">
        <v>258902</v>
      </c>
      <c r="D37" s="643">
        <v>396163</v>
      </c>
      <c r="E37" s="644">
        <f>E38+E40</f>
        <v>0</v>
      </c>
      <c r="F37" s="644">
        <f>F38+F40</f>
        <v>21133</v>
      </c>
      <c r="G37" s="644">
        <f>G38+G40</f>
        <v>111000</v>
      </c>
      <c r="H37" s="640">
        <f t="shared" si="0"/>
        <v>528296</v>
      </c>
      <c r="I37" s="644">
        <v>4215037</v>
      </c>
      <c r="J37" s="644">
        <f>J38+J40</f>
        <v>0</v>
      </c>
      <c r="K37" s="644">
        <f>K38+K40</f>
        <v>21133</v>
      </c>
      <c r="L37" s="644">
        <f>L38+L40</f>
        <v>0</v>
      </c>
      <c r="M37" s="640">
        <f t="shared" si="1"/>
        <v>4236170</v>
      </c>
      <c r="N37" s="644">
        <v>253102</v>
      </c>
      <c r="O37" s="644">
        <f>O38+O40</f>
        <v>0</v>
      </c>
      <c r="P37" s="640">
        <f>P38+P40</f>
        <v>21133</v>
      </c>
      <c r="Q37" s="640">
        <f>Q38+Q40</f>
        <v>0</v>
      </c>
      <c r="R37" s="640">
        <f t="shared" si="2"/>
        <v>274235</v>
      </c>
    </row>
    <row r="38" spans="1:18" s="6" customFormat="1" ht="12">
      <c r="A38" s="645">
        <v>1000</v>
      </c>
      <c r="B38" s="642" t="s">
        <v>106</v>
      </c>
      <c r="C38" s="643">
        <v>197102</v>
      </c>
      <c r="D38" s="643">
        <v>267551</v>
      </c>
      <c r="E38" s="661"/>
      <c r="F38" s="644">
        <f t="shared" ref="F38:G40" si="7">F122</f>
        <v>20893</v>
      </c>
      <c r="G38" s="644">
        <f t="shared" si="7"/>
        <v>0</v>
      </c>
      <c r="H38" s="640">
        <f t="shared" si="0"/>
        <v>288444</v>
      </c>
      <c r="I38" s="644">
        <v>3511832</v>
      </c>
      <c r="J38" s="661"/>
      <c r="K38" s="644">
        <f t="shared" ref="K38:L40" si="8">K122</f>
        <v>20893</v>
      </c>
      <c r="L38" s="644">
        <f t="shared" si="8"/>
        <v>0</v>
      </c>
      <c r="M38" s="640">
        <f t="shared" si="1"/>
        <v>3532725</v>
      </c>
      <c r="N38" s="644">
        <v>197102</v>
      </c>
      <c r="O38" s="661"/>
      <c r="P38" s="640">
        <f t="shared" ref="P38:Q40" si="9">P122</f>
        <v>20893</v>
      </c>
      <c r="Q38" s="640">
        <f t="shared" si="9"/>
        <v>0</v>
      </c>
      <c r="R38" s="640">
        <f t="shared" si="2"/>
        <v>217995</v>
      </c>
    </row>
    <row r="39" spans="1:18" s="6" customFormat="1" ht="12">
      <c r="A39" s="662">
        <v>1100</v>
      </c>
      <c r="B39" s="642" t="s">
        <v>107</v>
      </c>
      <c r="C39" s="643">
        <v>155529</v>
      </c>
      <c r="D39" s="643">
        <v>212301</v>
      </c>
      <c r="E39" s="661"/>
      <c r="F39" s="644">
        <f t="shared" si="7"/>
        <v>16164</v>
      </c>
      <c r="G39" s="644">
        <f t="shared" si="7"/>
        <v>0</v>
      </c>
      <c r="H39" s="640">
        <f t="shared" si="0"/>
        <v>228465</v>
      </c>
      <c r="I39" s="644">
        <v>2836171</v>
      </c>
      <c r="J39" s="661"/>
      <c r="K39" s="644">
        <f t="shared" si="8"/>
        <v>16164</v>
      </c>
      <c r="L39" s="644">
        <f t="shared" si="8"/>
        <v>0</v>
      </c>
      <c r="M39" s="640">
        <f t="shared" si="1"/>
        <v>2852335</v>
      </c>
      <c r="N39" s="644">
        <v>155529</v>
      </c>
      <c r="O39" s="661"/>
      <c r="P39" s="640">
        <f t="shared" si="9"/>
        <v>16164</v>
      </c>
      <c r="Q39" s="640">
        <f t="shared" si="9"/>
        <v>0</v>
      </c>
      <c r="R39" s="640">
        <f t="shared" si="2"/>
        <v>171693</v>
      </c>
    </row>
    <row r="40" spans="1:18" s="6" customFormat="1" ht="12">
      <c r="A40" s="645">
        <v>2000</v>
      </c>
      <c r="B40" s="642" t="s">
        <v>108</v>
      </c>
      <c r="C40" s="643">
        <v>61800</v>
      </c>
      <c r="D40" s="643">
        <v>128612</v>
      </c>
      <c r="E40" s="661"/>
      <c r="F40" s="644">
        <f t="shared" si="7"/>
        <v>240</v>
      </c>
      <c r="G40" s="644">
        <v>111000</v>
      </c>
      <c r="H40" s="640">
        <f t="shared" si="0"/>
        <v>239852</v>
      </c>
      <c r="I40" s="644">
        <v>703205</v>
      </c>
      <c r="J40" s="661"/>
      <c r="K40" s="644">
        <f t="shared" si="8"/>
        <v>240</v>
      </c>
      <c r="L40" s="644">
        <f t="shared" si="8"/>
        <v>0</v>
      </c>
      <c r="M40" s="640">
        <f t="shared" si="1"/>
        <v>703445</v>
      </c>
      <c r="N40" s="644">
        <v>56000</v>
      </c>
      <c r="O40" s="661"/>
      <c r="P40" s="640">
        <f t="shared" si="9"/>
        <v>240</v>
      </c>
      <c r="Q40" s="640">
        <f t="shared" si="9"/>
        <v>0</v>
      </c>
      <c r="R40" s="640">
        <f t="shared" si="2"/>
        <v>56240</v>
      </c>
    </row>
    <row r="41" spans="1:18" s="6" customFormat="1" ht="12" hidden="1" customHeight="1">
      <c r="A41" s="663">
        <v>4000</v>
      </c>
      <c r="B41" s="637" t="s">
        <v>132</v>
      </c>
      <c r="C41" s="643"/>
      <c r="D41" s="643">
        <v>0</v>
      </c>
      <c r="E41" s="661"/>
      <c r="F41" s="661"/>
      <c r="G41" s="661"/>
      <c r="H41" s="640">
        <f t="shared" si="0"/>
        <v>0</v>
      </c>
      <c r="I41" s="644">
        <v>0</v>
      </c>
      <c r="J41" s="661"/>
      <c r="K41" s="661"/>
      <c r="L41" s="661"/>
      <c r="M41" s="640">
        <f t="shared" si="1"/>
        <v>0</v>
      </c>
      <c r="N41" s="644">
        <v>0</v>
      </c>
      <c r="O41" s="661"/>
      <c r="P41" s="661"/>
      <c r="Q41" s="661"/>
      <c r="R41" s="640">
        <f t="shared" si="2"/>
        <v>0</v>
      </c>
    </row>
    <row r="42" spans="1:18" s="6" customFormat="1" ht="12" hidden="1" customHeight="1">
      <c r="A42" s="663" t="s">
        <v>109</v>
      </c>
      <c r="B42" s="637" t="s">
        <v>110</v>
      </c>
      <c r="C42" s="643">
        <v>0</v>
      </c>
      <c r="D42" s="643">
        <v>0</v>
      </c>
      <c r="E42" s="644">
        <f>E43+E44</f>
        <v>0</v>
      </c>
      <c r="F42" s="644">
        <f>F43+F44</f>
        <v>0</v>
      </c>
      <c r="G42" s="644">
        <f>G43+G44</f>
        <v>0</v>
      </c>
      <c r="H42" s="640">
        <f t="shared" si="0"/>
        <v>0</v>
      </c>
      <c r="I42" s="644">
        <v>0</v>
      </c>
      <c r="J42" s="644">
        <f>J43+J44</f>
        <v>0</v>
      </c>
      <c r="K42" s="644">
        <f>K43+K44</f>
        <v>0</v>
      </c>
      <c r="L42" s="644">
        <f>L43+L44</f>
        <v>0</v>
      </c>
      <c r="M42" s="640">
        <f t="shared" si="1"/>
        <v>0</v>
      </c>
      <c r="N42" s="644">
        <v>0</v>
      </c>
      <c r="O42" s="644">
        <f>O43+O44</f>
        <v>0</v>
      </c>
      <c r="P42" s="644">
        <f>P43+P44</f>
        <v>0</v>
      </c>
      <c r="Q42" s="644">
        <f>Q43+Q44</f>
        <v>0</v>
      </c>
      <c r="R42" s="640">
        <f t="shared" si="2"/>
        <v>0</v>
      </c>
    </row>
    <row r="43" spans="1:18" s="6" customFormat="1" ht="12" hidden="1" customHeight="1">
      <c r="A43" s="645">
        <v>3000</v>
      </c>
      <c r="B43" s="642" t="s">
        <v>111</v>
      </c>
      <c r="C43" s="664"/>
      <c r="D43" s="664">
        <v>0</v>
      </c>
      <c r="E43" s="665"/>
      <c r="F43" s="665"/>
      <c r="G43" s="665"/>
      <c r="H43" s="640">
        <f t="shared" si="0"/>
        <v>0</v>
      </c>
      <c r="I43" s="666">
        <v>0</v>
      </c>
      <c r="J43" s="665"/>
      <c r="K43" s="665"/>
      <c r="L43" s="665"/>
      <c r="M43" s="640">
        <f t="shared" si="1"/>
        <v>0</v>
      </c>
      <c r="N43" s="666">
        <v>0</v>
      </c>
      <c r="O43" s="665"/>
      <c r="P43" s="665"/>
      <c r="Q43" s="665"/>
      <c r="R43" s="640">
        <f t="shared" si="2"/>
        <v>0</v>
      </c>
    </row>
    <row r="44" spans="1:18" s="6" customFormat="1" ht="12" hidden="1" customHeight="1">
      <c r="A44" s="645">
        <v>6000</v>
      </c>
      <c r="B44" s="642" t="s">
        <v>112</v>
      </c>
      <c r="C44" s="667"/>
      <c r="D44" s="667">
        <v>0</v>
      </c>
      <c r="E44" s="668"/>
      <c r="F44" s="668"/>
      <c r="G44" s="668"/>
      <c r="H44" s="640">
        <f t="shared" si="0"/>
        <v>0</v>
      </c>
      <c r="I44" s="669">
        <v>0</v>
      </c>
      <c r="J44" s="668"/>
      <c r="K44" s="668"/>
      <c r="L44" s="668"/>
      <c r="M44" s="640">
        <f t="shared" si="1"/>
        <v>0</v>
      </c>
      <c r="N44" s="669">
        <v>0</v>
      </c>
      <c r="O44" s="668"/>
      <c r="P44" s="668"/>
      <c r="Q44" s="668"/>
      <c r="R44" s="640">
        <f t="shared" si="2"/>
        <v>0</v>
      </c>
    </row>
    <row r="45" spans="1:18" s="6" customFormat="1" ht="22.8">
      <c r="A45" s="663" t="s">
        <v>113</v>
      </c>
      <c r="B45" s="637" t="s">
        <v>183</v>
      </c>
      <c r="C45" s="643">
        <v>774</v>
      </c>
      <c r="D45" s="643">
        <v>774</v>
      </c>
      <c r="E45" s="644">
        <f>E46+E47</f>
        <v>0</v>
      </c>
      <c r="F45" s="644">
        <f>F46+F47</f>
        <v>0</v>
      </c>
      <c r="G45" s="644">
        <f>G46+G47</f>
        <v>0</v>
      </c>
      <c r="H45" s="640">
        <f t="shared" si="0"/>
        <v>774</v>
      </c>
      <c r="I45" s="644">
        <v>774</v>
      </c>
      <c r="J45" s="644">
        <f>J46+J47</f>
        <v>0</v>
      </c>
      <c r="K45" s="644">
        <f>K46+K47</f>
        <v>0</v>
      </c>
      <c r="L45" s="644">
        <f>L46+L47</f>
        <v>0</v>
      </c>
      <c r="M45" s="640">
        <f t="shared" si="1"/>
        <v>774</v>
      </c>
      <c r="N45" s="644">
        <v>774</v>
      </c>
      <c r="O45" s="644">
        <f>O46+O47</f>
        <v>0</v>
      </c>
      <c r="P45" s="644">
        <f>P46+P47</f>
        <v>0</v>
      </c>
      <c r="Q45" s="644">
        <f>Q46+Q47</f>
        <v>0</v>
      </c>
      <c r="R45" s="640">
        <f t="shared" si="2"/>
        <v>774</v>
      </c>
    </row>
    <row r="46" spans="1:18" s="6" customFormat="1" ht="12" hidden="1" customHeight="1">
      <c r="A46" s="645">
        <v>7600</v>
      </c>
      <c r="B46" s="670" t="s">
        <v>184</v>
      </c>
      <c r="C46" s="643"/>
      <c r="D46" s="643">
        <v>0</v>
      </c>
      <c r="E46" s="661"/>
      <c r="F46" s="661"/>
      <c r="G46" s="661"/>
      <c r="H46" s="640">
        <f t="shared" si="0"/>
        <v>0</v>
      </c>
      <c r="I46" s="644">
        <v>0</v>
      </c>
      <c r="J46" s="661"/>
      <c r="K46" s="661"/>
      <c r="L46" s="661"/>
      <c r="M46" s="640">
        <f t="shared" si="1"/>
        <v>0</v>
      </c>
      <c r="N46" s="644">
        <v>0</v>
      </c>
      <c r="O46" s="661"/>
      <c r="P46" s="661"/>
      <c r="Q46" s="661"/>
      <c r="R46" s="640">
        <f t="shared" si="2"/>
        <v>0</v>
      </c>
    </row>
    <row r="47" spans="1:18" s="6" customFormat="1" ht="12">
      <c r="A47" s="645">
        <v>7700</v>
      </c>
      <c r="B47" s="671" t="s">
        <v>114</v>
      </c>
      <c r="C47" s="643">
        <v>774</v>
      </c>
      <c r="D47" s="643">
        <v>774</v>
      </c>
      <c r="E47" s="661"/>
      <c r="F47" s="661"/>
      <c r="G47" s="661"/>
      <c r="H47" s="640">
        <f t="shared" si="0"/>
        <v>774</v>
      </c>
      <c r="I47" s="644">
        <v>774</v>
      </c>
      <c r="J47" s="661"/>
      <c r="K47" s="661"/>
      <c r="L47" s="661"/>
      <c r="M47" s="640">
        <f t="shared" si="1"/>
        <v>774</v>
      </c>
      <c r="N47" s="644">
        <v>774</v>
      </c>
      <c r="O47" s="661"/>
      <c r="P47" s="661"/>
      <c r="Q47" s="661"/>
      <c r="R47" s="640">
        <f t="shared" si="2"/>
        <v>774</v>
      </c>
    </row>
    <row r="48" spans="1:18" s="6" customFormat="1" ht="21" hidden="1" customHeight="1">
      <c r="A48" s="663" t="s">
        <v>185</v>
      </c>
      <c r="B48" s="637" t="s">
        <v>115</v>
      </c>
      <c r="C48" s="643">
        <v>0</v>
      </c>
      <c r="D48" s="643">
        <v>0</v>
      </c>
      <c r="E48" s="644">
        <f>E49+E55+E59+E62</f>
        <v>0</v>
      </c>
      <c r="F48" s="644">
        <f>F49+F55+F59+F62</f>
        <v>0</v>
      </c>
      <c r="G48" s="644">
        <f>G49+G55+G59+G62</f>
        <v>0</v>
      </c>
      <c r="H48" s="640">
        <f t="shared" si="0"/>
        <v>0</v>
      </c>
      <c r="I48" s="644">
        <v>0</v>
      </c>
      <c r="J48" s="644">
        <f>J49+J55+J59+J62</f>
        <v>0</v>
      </c>
      <c r="K48" s="644">
        <f>K49+K55+K59+K62</f>
        <v>0</v>
      </c>
      <c r="L48" s="644">
        <f>L49+L55+L59+L62</f>
        <v>0</v>
      </c>
      <c r="M48" s="640">
        <f t="shared" si="1"/>
        <v>0</v>
      </c>
      <c r="N48" s="644">
        <v>0</v>
      </c>
      <c r="O48" s="644">
        <f>O49+O55+O59+O62</f>
        <v>0</v>
      </c>
      <c r="P48" s="644">
        <f>P49+P55+P59+P62</f>
        <v>0</v>
      </c>
      <c r="Q48" s="644">
        <f>Q49+Q55+Q59+Q62</f>
        <v>0</v>
      </c>
      <c r="R48" s="640">
        <f t="shared" si="2"/>
        <v>0</v>
      </c>
    </row>
    <row r="49" spans="1:18" s="6" customFormat="1" ht="12" hidden="1" customHeight="1">
      <c r="A49" s="645">
        <v>7100</v>
      </c>
      <c r="B49" s="670" t="s">
        <v>116</v>
      </c>
      <c r="C49" s="643">
        <v>0</v>
      </c>
      <c r="D49" s="643">
        <v>0</v>
      </c>
      <c r="E49" s="644">
        <f>E50+E51</f>
        <v>0</v>
      </c>
      <c r="F49" s="644">
        <f>F50+F51</f>
        <v>0</v>
      </c>
      <c r="G49" s="644">
        <f>G50+G51</f>
        <v>0</v>
      </c>
      <c r="H49" s="640">
        <f t="shared" si="0"/>
        <v>0</v>
      </c>
      <c r="I49" s="644">
        <v>0</v>
      </c>
      <c r="J49" s="644">
        <f>J50+J51</f>
        <v>0</v>
      </c>
      <c r="K49" s="644">
        <f>K50+K51</f>
        <v>0</v>
      </c>
      <c r="L49" s="644">
        <f>L50+L51</f>
        <v>0</v>
      </c>
      <c r="M49" s="640">
        <f t="shared" si="1"/>
        <v>0</v>
      </c>
      <c r="N49" s="644">
        <v>0</v>
      </c>
      <c r="O49" s="644">
        <f>O50+O51</f>
        <v>0</v>
      </c>
      <c r="P49" s="644">
        <f>P50+P51</f>
        <v>0</v>
      </c>
      <c r="Q49" s="644">
        <f>Q50+Q51</f>
        <v>0</v>
      </c>
      <c r="R49" s="640">
        <f t="shared" si="2"/>
        <v>0</v>
      </c>
    </row>
    <row r="50" spans="1:18" s="6" customFormat="1" ht="24" hidden="1" customHeight="1">
      <c r="A50" s="646" t="s">
        <v>117</v>
      </c>
      <c r="B50" s="670" t="s">
        <v>118</v>
      </c>
      <c r="C50" s="643"/>
      <c r="D50" s="643">
        <v>0</v>
      </c>
      <c r="E50" s="644"/>
      <c r="F50" s="644"/>
      <c r="G50" s="644"/>
      <c r="H50" s="640">
        <f t="shared" si="0"/>
        <v>0</v>
      </c>
      <c r="I50" s="644">
        <v>0</v>
      </c>
      <c r="J50" s="644"/>
      <c r="K50" s="644"/>
      <c r="L50" s="644"/>
      <c r="M50" s="640">
        <f t="shared" si="1"/>
        <v>0</v>
      </c>
      <c r="N50" s="644">
        <v>0</v>
      </c>
      <c r="O50" s="644"/>
      <c r="P50" s="644"/>
      <c r="Q50" s="644"/>
      <c r="R50" s="640">
        <f t="shared" si="2"/>
        <v>0</v>
      </c>
    </row>
    <row r="51" spans="1:18" s="6" customFormat="1" ht="24" hidden="1" customHeight="1">
      <c r="A51" s="646">
        <v>7130</v>
      </c>
      <c r="B51" s="670" t="s">
        <v>119</v>
      </c>
      <c r="C51" s="643">
        <v>0</v>
      </c>
      <c r="D51" s="643">
        <v>0</v>
      </c>
      <c r="E51" s="644">
        <f>SUM(E52:E54)</f>
        <v>0</v>
      </c>
      <c r="F51" s="644">
        <f>SUM(F52:F54)</f>
        <v>0</v>
      </c>
      <c r="G51" s="644">
        <f>SUM(G52:G54)</f>
        <v>0</v>
      </c>
      <c r="H51" s="640">
        <f t="shared" si="0"/>
        <v>0</v>
      </c>
      <c r="I51" s="644">
        <v>0</v>
      </c>
      <c r="J51" s="644">
        <f>SUM(J52:J54)</f>
        <v>0</v>
      </c>
      <c r="K51" s="644">
        <f>SUM(K52:K54)</f>
        <v>0</v>
      </c>
      <c r="L51" s="644">
        <f>SUM(L52:L54)</f>
        <v>0</v>
      </c>
      <c r="M51" s="640">
        <f t="shared" si="1"/>
        <v>0</v>
      </c>
      <c r="N51" s="644">
        <v>0</v>
      </c>
      <c r="O51" s="644">
        <f>SUM(O52:O54)</f>
        <v>0</v>
      </c>
      <c r="P51" s="644">
        <f>SUM(P52:P54)</f>
        <v>0</v>
      </c>
      <c r="Q51" s="644">
        <f>SUM(Q52:Q54)</f>
        <v>0</v>
      </c>
      <c r="R51" s="640">
        <f t="shared" si="2"/>
        <v>0</v>
      </c>
    </row>
    <row r="52" spans="1:18" s="6" customFormat="1" ht="36" hidden="1" customHeight="1">
      <c r="A52" s="648">
        <v>7131</v>
      </c>
      <c r="B52" s="670" t="s">
        <v>120</v>
      </c>
      <c r="C52" s="643"/>
      <c r="D52" s="643">
        <v>0</v>
      </c>
      <c r="E52" s="644"/>
      <c r="F52" s="644"/>
      <c r="G52" s="644"/>
      <c r="H52" s="640">
        <f t="shared" si="0"/>
        <v>0</v>
      </c>
      <c r="I52" s="644">
        <v>0</v>
      </c>
      <c r="J52" s="644"/>
      <c r="K52" s="644"/>
      <c r="L52" s="644"/>
      <c r="M52" s="640">
        <f t="shared" si="1"/>
        <v>0</v>
      </c>
      <c r="N52" s="644">
        <v>0</v>
      </c>
      <c r="O52" s="644"/>
      <c r="P52" s="644"/>
      <c r="Q52" s="644"/>
      <c r="R52" s="640">
        <f t="shared" si="2"/>
        <v>0</v>
      </c>
    </row>
    <row r="53" spans="1:18" s="6" customFormat="1" ht="36" hidden="1" customHeight="1">
      <c r="A53" s="648">
        <v>7132</v>
      </c>
      <c r="B53" s="670" t="s">
        <v>121</v>
      </c>
      <c r="C53" s="643"/>
      <c r="D53" s="643">
        <v>0</v>
      </c>
      <c r="E53" s="644"/>
      <c r="F53" s="644"/>
      <c r="G53" s="644"/>
      <c r="H53" s="640">
        <f t="shared" si="0"/>
        <v>0</v>
      </c>
      <c r="I53" s="644">
        <v>0</v>
      </c>
      <c r="J53" s="644"/>
      <c r="K53" s="644"/>
      <c r="L53" s="644"/>
      <c r="M53" s="640">
        <f t="shared" si="1"/>
        <v>0</v>
      </c>
      <c r="N53" s="644">
        <v>0</v>
      </c>
      <c r="O53" s="644"/>
      <c r="P53" s="644"/>
      <c r="Q53" s="644"/>
      <c r="R53" s="640">
        <f t="shared" si="2"/>
        <v>0</v>
      </c>
    </row>
    <row r="54" spans="1:18" s="6" customFormat="1" ht="36" hidden="1" customHeight="1">
      <c r="A54" s="648" t="s">
        <v>186</v>
      </c>
      <c r="B54" s="670" t="s">
        <v>187</v>
      </c>
      <c r="C54" s="643"/>
      <c r="D54" s="643">
        <v>0</v>
      </c>
      <c r="E54" s="644"/>
      <c r="F54" s="644"/>
      <c r="G54" s="644"/>
      <c r="H54" s="640">
        <f t="shared" si="0"/>
        <v>0</v>
      </c>
      <c r="I54" s="644">
        <v>0</v>
      </c>
      <c r="J54" s="644"/>
      <c r="K54" s="644"/>
      <c r="L54" s="644"/>
      <c r="M54" s="640">
        <f t="shared" si="1"/>
        <v>0</v>
      </c>
      <c r="N54" s="644">
        <v>0</v>
      </c>
      <c r="O54" s="644"/>
      <c r="P54" s="644"/>
      <c r="Q54" s="644"/>
      <c r="R54" s="640">
        <f t="shared" si="2"/>
        <v>0</v>
      </c>
    </row>
    <row r="55" spans="1:18" s="6" customFormat="1" ht="24" hidden="1" customHeight="1">
      <c r="A55" s="645">
        <v>7300</v>
      </c>
      <c r="B55" s="647" t="s">
        <v>155</v>
      </c>
      <c r="C55" s="643">
        <v>0</v>
      </c>
      <c r="D55" s="643">
        <v>0</v>
      </c>
      <c r="E55" s="644">
        <f>SUM(E56:E58)</f>
        <v>0</v>
      </c>
      <c r="F55" s="644">
        <f>SUM(F56:F58)</f>
        <v>0</v>
      </c>
      <c r="G55" s="644">
        <f>SUM(G56:G58)</f>
        <v>0</v>
      </c>
      <c r="H55" s="640">
        <f t="shared" si="0"/>
        <v>0</v>
      </c>
      <c r="I55" s="644">
        <v>0</v>
      </c>
      <c r="J55" s="644">
        <f>SUM(J56:J58)</f>
        <v>0</v>
      </c>
      <c r="K55" s="644">
        <f>SUM(K56:K58)</f>
        <v>0</v>
      </c>
      <c r="L55" s="644">
        <f>SUM(L56:L58)</f>
        <v>0</v>
      </c>
      <c r="M55" s="640">
        <f t="shared" si="1"/>
        <v>0</v>
      </c>
      <c r="N55" s="644">
        <v>0</v>
      </c>
      <c r="O55" s="644">
        <f>SUM(O56:O58)</f>
        <v>0</v>
      </c>
      <c r="P55" s="644">
        <f>SUM(P56:P58)</f>
        <v>0</v>
      </c>
      <c r="Q55" s="644">
        <f>SUM(Q56:Q58)</f>
        <v>0</v>
      </c>
      <c r="R55" s="640">
        <f t="shared" si="2"/>
        <v>0</v>
      </c>
    </row>
    <row r="56" spans="1:18" s="6" customFormat="1" ht="24" hidden="1" customHeight="1">
      <c r="A56" s="646" t="s">
        <v>188</v>
      </c>
      <c r="B56" s="670" t="s">
        <v>170</v>
      </c>
      <c r="C56" s="672"/>
      <c r="D56" s="672">
        <v>0</v>
      </c>
      <c r="E56" s="673"/>
      <c r="F56" s="673"/>
      <c r="G56" s="673"/>
      <c r="H56" s="640">
        <f t="shared" si="0"/>
        <v>0</v>
      </c>
      <c r="I56" s="673">
        <v>0</v>
      </c>
      <c r="J56" s="673"/>
      <c r="K56" s="673"/>
      <c r="L56" s="673"/>
      <c r="M56" s="640">
        <f t="shared" si="1"/>
        <v>0</v>
      </c>
      <c r="N56" s="673">
        <v>0</v>
      </c>
      <c r="O56" s="673"/>
      <c r="P56" s="673"/>
      <c r="Q56" s="673"/>
      <c r="R56" s="640">
        <f t="shared" si="2"/>
        <v>0</v>
      </c>
    </row>
    <row r="57" spans="1:18" s="29" customFormat="1" ht="48" hidden="1" customHeight="1">
      <c r="A57" s="646" t="s">
        <v>189</v>
      </c>
      <c r="B57" s="670" t="s">
        <v>156</v>
      </c>
      <c r="C57" s="672"/>
      <c r="D57" s="672">
        <v>0</v>
      </c>
      <c r="E57" s="673"/>
      <c r="F57" s="673"/>
      <c r="G57" s="673"/>
      <c r="H57" s="640">
        <f t="shared" si="0"/>
        <v>0</v>
      </c>
      <c r="I57" s="673">
        <v>0</v>
      </c>
      <c r="J57" s="673"/>
      <c r="K57" s="673"/>
      <c r="L57" s="673"/>
      <c r="M57" s="640">
        <f t="shared" si="1"/>
        <v>0</v>
      </c>
      <c r="N57" s="673">
        <v>0</v>
      </c>
      <c r="O57" s="673"/>
      <c r="P57" s="673"/>
      <c r="Q57" s="673"/>
      <c r="R57" s="640">
        <f t="shared" si="2"/>
        <v>0</v>
      </c>
    </row>
    <row r="58" spans="1:18" s="89" customFormat="1" ht="36" hidden="1" customHeight="1">
      <c r="A58" s="646">
        <v>7350</v>
      </c>
      <c r="B58" s="670" t="s">
        <v>163</v>
      </c>
      <c r="C58" s="672"/>
      <c r="D58" s="672">
        <v>0</v>
      </c>
      <c r="E58" s="673"/>
      <c r="F58" s="673"/>
      <c r="G58" s="673"/>
      <c r="H58" s="640">
        <f t="shared" si="0"/>
        <v>0</v>
      </c>
      <c r="I58" s="673">
        <v>0</v>
      </c>
      <c r="J58" s="673"/>
      <c r="K58" s="673"/>
      <c r="L58" s="673"/>
      <c r="M58" s="640">
        <f t="shared" si="1"/>
        <v>0</v>
      </c>
      <c r="N58" s="673">
        <v>0</v>
      </c>
      <c r="O58" s="673"/>
      <c r="P58" s="673"/>
      <c r="Q58" s="673"/>
      <c r="R58" s="640">
        <f t="shared" si="2"/>
        <v>0</v>
      </c>
    </row>
    <row r="59" spans="1:18" s="89" customFormat="1" ht="24" hidden="1" customHeight="1">
      <c r="A59" s="645">
        <v>7400</v>
      </c>
      <c r="B59" s="647" t="s">
        <v>161</v>
      </c>
      <c r="C59" s="643">
        <v>0</v>
      </c>
      <c r="D59" s="643">
        <v>0</v>
      </c>
      <c r="E59" s="644">
        <f>SUM(E60:E61)</f>
        <v>0</v>
      </c>
      <c r="F59" s="644">
        <f>SUM(F60:F61)</f>
        <v>0</v>
      </c>
      <c r="G59" s="644">
        <f>SUM(G60:G61)</f>
        <v>0</v>
      </c>
      <c r="H59" s="640">
        <f t="shared" si="0"/>
        <v>0</v>
      </c>
      <c r="I59" s="644">
        <v>0</v>
      </c>
      <c r="J59" s="644">
        <f>SUM(J60:J61)</f>
        <v>0</v>
      </c>
      <c r="K59" s="644">
        <f>SUM(K60:K61)</f>
        <v>0</v>
      </c>
      <c r="L59" s="644">
        <f>SUM(L60:L61)</f>
        <v>0</v>
      </c>
      <c r="M59" s="640">
        <f t="shared" si="1"/>
        <v>0</v>
      </c>
      <c r="N59" s="644">
        <v>0</v>
      </c>
      <c r="O59" s="644">
        <f>SUM(O60:O61)</f>
        <v>0</v>
      </c>
      <c r="P59" s="644">
        <f>SUM(P60:P61)</f>
        <v>0</v>
      </c>
      <c r="Q59" s="644">
        <f>SUM(Q60:Q61)</f>
        <v>0</v>
      </c>
      <c r="R59" s="640">
        <f t="shared" si="2"/>
        <v>0</v>
      </c>
    </row>
    <row r="60" spans="1:18" s="89" customFormat="1" ht="24" hidden="1" customHeight="1">
      <c r="A60" s="646">
        <v>7460</v>
      </c>
      <c r="B60" s="647" t="s">
        <v>162</v>
      </c>
      <c r="C60" s="672"/>
      <c r="D60" s="672">
        <v>0</v>
      </c>
      <c r="E60" s="673"/>
      <c r="F60" s="673"/>
      <c r="G60" s="673"/>
      <c r="H60" s="640">
        <f t="shared" si="0"/>
        <v>0</v>
      </c>
      <c r="I60" s="673">
        <v>0</v>
      </c>
      <c r="J60" s="673"/>
      <c r="K60" s="673"/>
      <c r="L60" s="673"/>
      <c r="M60" s="640">
        <f t="shared" si="1"/>
        <v>0</v>
      </c>
      <c r="N60" s="673">
        <v>0</v>
      </c>
      <c r="O60" s="673"/>
      <c r="P60" s="673"/>
      <c r="Q60" s="673"/>
      <c r="R60" s="640">
        <f t="shared" si="2"/>
        <v>0</v>
      </c>
    </row>
    <row r="61" spans="1:18" s="89" customFormat="1" ht="48" hidden="1" customHeight="1">
      <c r="A61" s="646">
        <v>7470</v>
      </c>
      <c r="B61" s="670" t="s">
        <v>167</v>
      </c>
      <c r="C61" s="672"/>
      <c r="D61" s="672">
        <v>0</v>
      </c>
      <c r="E61" s="673"/>
      <c r="F61" s="673"/>
      <c r="G61" s="673"/>
      <c r="H61" s="640">
        <f t="shared" si="0"/>
        <v>0</v>
      </c>
      <c r="I61" s="673">
        <v>0</v>
      </c>
      <c r="J61" s="673"/>
      <c r="K61" s="673"/>
      <c r="L61" s="673"/>
      <c r="M61" s="640">
        <f t="shared" si="1"/>
        <v>0</v>
      </c>
      <c r="N61" s="673">
        <v>0</v>
      </c>
      <c r="O61" s="673"/>
      <c r="P61" s="673"/>
      <c r="Q61" s="673"/>
      <c r="R61" s="640">
        <f t="shared" si="2"/>
        <v>0</v>
      </c>
    </row>
    <row r="62" spans="1:18" s="89" customFormat="1" ht="24" hidden="1" customHeight="1">
      <c r="A62" s="645">
        <v>7500</v>
      </c>
      <c r="B62" s="670" t="s">
        <v>157</v>
      </c>
      <c r="C62" s="643"/>
      <c r="D62" s="643">
        <v>0</v>
      </c>
      <c r="E62" s="644"/>
      <c r="F62" s="644"/>
      <c r="G62" s="644"/>
      <c r="H62" s="640">
        <f t="shared" si="0"/>
        <v>0</v>
      </c>
      <c r="I62" s="644">
        <v>0</v>
      </c>
      <c r="J62" s="644"/>
      <c r="K62" s="644"/>
      <c r="L62" s="644"/>
      <c r="M62" s="640">
        <f t="shared" si="1"/>
        <v>0</v>
      </c>
      <c r="N62" s="644">
        <v>0</v>
      </c>
      <c r="O62" s="644"/>
      <c r="P62" s="644"/>
      <c r="Q62" s="644"/>
      <c r="R62" s="640">
        <f t="shared" si="2"/>
        <v>0</v>
      </c>
    </row>
    <row r="63" spans="1:18" s="89" customFormat="1" ht="12">
      <c r="A63" s="663" t="s">
        <v>133</v>
      </c>
      <c r="B63" s="637" t="s">
        <v>122</v>
      </c>
      <c r="C63" s="674">
        <v>1400</v>
      </c>
      <c r="D63" s="674">
        <v>1400</v>
      </c>
      <c r="E63" s="675">
        <f>E64+E65</f>
        <v>0</v>
      </c>
      <c r="F63" s="675">
        <f>F64+F65</f>
        <v>0</v>
      </c>
      <c r="G63" s="675">
        <f>G64+G65</f>
        <v>0</v>
      </c>
      <c r="H63" s="640">
        <f t="shared" si="0"/>
        <v>1400</v>
      </c>
      <c r="I63" s="675">
        <v>4979</v>
      </c>
      <c r="J63" s="675">
        <f>J64+J65</f>
        <v>0</v>
      </c>
      <c r="K63" s="675">
        <f>K64+K65</f>
        <v>0</v>
      </c>
      <c r="L63" s="675">
        <f>L64+L65</f>
        <v>0</v>
      </c>
      <c r="M63" s="640">
        <f t="shared" si="1"/>
        <v>4979</v>
      </c>
      <c r="N63" s="675">
        <v>1400</v>
      </c>
      <c r="O63" s="675">
        <f>O64+O65</f>
        <v>0</v>
      </c>
      <c r="P63" s="675">
        <f>P64+P65</f>
        <v>0</v>
      </c>
      <c r="Q63" s="675">
        <f>Q64+Q65</f>
        <v>0</v>
      </c>
      <c r="R63" s="640">
        <f t="shared" si="2"/>
        <v>1400</v>
      </c>
    </row>
    <row r="64" spans="1:18" s="89" customFormat="1" ht="12">
      <c r="A64" s="663">
        <v>5000</v>
      </c>
      <c r="B64" s="637" t="s">
        <v>123</v>
      </c>
      <c r="C64" s="643">
        <v>1400</v>
      </c>
      <c r="D64" s="643">
        <v>1400</v>
      </c>
      <c r="E64" s="661"/>
      <c r="F64" s="661"/>
      <c r="G64" s="661"/>
      <c r="H64" s="640">
        <f t="shared" si="0"/>
        <v>1400</v>
      </c>
      <c r="I64" s="644">
        <v>4979</v>
      </c>
      <c r="J64" s="661"/>
      <c r="K64" s="661"/>
      <c r="L64" s="661"/>
      <c r="M64" s="640">
        <f t="shared" si="1"/>
        <v>4979</v>
      </c>
      <c r="N64" s="644">
        <v>1400</v>
      </c>
      <c r="O64" s="661"/>
      <c r="P64" s="661"/>
      <c r="Q64" s="661"/>
      <c r="R64" s="640">
        <f t="shared" si="2"/>
        <v>1400</v>
      </c>
    </row>
    <row r="65" spans="1:18" s="89" customFormat="1" ht="12" hidden="1" customHeight="1">
      <c r="A65" s="663">
        <v>9000</v>
      </c>
      <c r="B65" s="676" t="s">
        <v>164</v>
      </c>
      <c r="C65" s="643">
        <v>0</v>
      </c>
      <c r="D65" s="643">
        <v>0</v>
      </c>
      <c r="E65" s="644">
        <f>E66+E72+E76+E79</f>
        <v>0</v>
      </c>
      <c r="F65" s="644">
        <f>F66+F72+F76+F79</f>
        <v>0</v>
      </c>
      <c r="G65" s="644">
        <f>G66+G72+G76+G79</f>
        <v>0</v>
      </c>
      <c r="H65" s="640">
        <f t="shared" si="0"/>
        <v>0</v>
      </c>
      <c r="I65" s="644">
        <v>0</v>
      </c>
      <c r="J65" s="644">
        <f>J66+J72+J76+J79</f>
        <v>0</v>
      </c>
      <c r="K65" s="644">
        <f>K66+K72+K76+K79</f>
        <v>0</v>
      </c>
      <c r="L65" s="644">
        <f>L66+L72+L76+L79</f>
        <v>0</v>
      </c>
      <c r="M65" s="640">
        <f t="shared" si="1"/>
        <v>0</v>
      </c>
      <c r="N65" s="644">
        <v>0</v>
      </c>
      <c r="O65" s="644">
        <f>O66+O72+O76+O79</f>
        <v>0</v>
      </c>
      <c r="P65" s="644">
        <f>P66+P72+P76+P79</f>
        <v>0</v>
      </c>
      <c r="Q65" s="644">
        <f>Q66+Q72+Q76+Q79</f>
        <v>0</v>
      </c>
      <c r="R65" s="640">
        <f t="shared" si="2"/>
        <v>0</v>
      </c>
    </row>
    <row r="66" spans="1:18" s="89" customFormat="1" ht="12" hidden="1" customHeight="1">
      <c r="A66" s="677">
        <v>9100</v>
      </c>
      <c r="B66" s="670" t="s">
        <v>124</v>
      </c>
      <c r="C66" s="643">
        <v>0</v>
      </c>
      <c r="D66" s="643">
        <v>0</v>
      </c>
      <c r="E66" s="644">
        <f>SUM(E67:E68)</f>
        <v>0</v>
      </c>
      <c r="F66" s="644">
        <f>SUM(F67:F68)</f>
        <v>0</v>
      </c>
      <c r="G66" s="644">
        <f>SUM(G67:G68)</f>
        <v>0</v>
      </c>
      <c r="H66" s="640">
        <f t="shared" si="0"/>
        <v>0</v>
      </c>
      <c r="I66" s="644">
        <v>0</v>
      </c>
      <c r="J66" s="644">
        <f>SUM(J67:J68)</f>
        <v>0</v>
      </c>
      <c r="K66" s="644">
        <f>SUM(K67:K68)</f>
        <v>0</v>
      </c>
      <c r="L66" s="644">
        <f>SUM(L67:L68)</f>
        <v>0</v>
      </c>
      <c r="M66" s="640">
        <f t="shared" si="1"/>
        <v>0</v>
      </c>
      <c r="N66" s="644">
        <v>0</v>
      </c>
      <c r="O66" s="644">
        <f>SUM(O67:O68)</f>
        <v>0</v>
      </c>
      <c r="P66" s="644">
        <f>SUM(P67:P68)</f>
        <v>0</v>
      </c>
      <c r="Q66" s="644">
        <f>SUM(Q67:Q68)</f>
        <v>0</v>
      </c>
      <c r="R66" s="640">
        <f t="shared" si="2"/>
        <v>0</v>
      </c>
    </row>
    <row r="67" spans="1:18" s="89" customFormat="1" ht="24" hidden="1" customHeight="1">
      <c r="A67" s="646" t="s">
        <v>125</v>
      </c>
      <c r="B67" s="670" t="s">
        <v>203</v>
      </c>
      <c r="C67" s="643"/>
      <c r="D67" s="643">
        <v>0</v>
      </c>
      <c r="E67" s="644"/>
      <c r="F67" s="644"/>
      <c r="G67" s="644"/>
      <c r="H67" s="640">
        <f t="shared" si="0"/>
        <v>0</v>
      </c>
      <c r="I67" s="644">
        <v>0</v>
      </c>
      <c r="J67" s="644"/>
      <c r="K67" s="644"/>
      <c r="L67" s="644"/>
      <c r="M67" s="640">
        <f t="shared" si="1"/>
        <v>0</v>
      </c>
      <c r="N67" s="644">
        <v>0</v>
      </c>
      <c r="O67" s="644"/>
      <c r="P67" s="644"/>
      <c r="Q67" s="644"/>
      <c r="R67" s="640">
        <f t="shared" si="2"/>
        <v>0</v>
      </c>
    </row>
    <row r="68" spans="1:18" s="89" customFormat="1" ht="24" hidden="1" customHeight="1">
      <c r="A68" s="646">
        <v>9140</v>
      </c>
      <c r="B68" s="670" t="s">
        <v>204</v>
      </c>
      <c r="C68" s="643">
        <v>0</v>
      </c>
      <c r="D68" s="643">
        <v>0</v>
      </c>
      <c r="E68" s="644">
        <f>SUM(E69:E71)</f>
        <v>0</v>
      </c>
      <c r="F68" s="644">
        <f>SUM(F69:F71)</f>
        <v>0</v>
      </c>
      <c r="G68" s="644">
        <f>SUM(G69:G71)</f>
        <v>0</v>
      </c>
      <c r="H68" s="640">
        <f t="shared" si="0"/>
        <v>0</v>
      </c>
      <c r="I68" s="644">
        <v>0</v>
      </c>
      <c r="J68" s="644">
        <f>SUM(J69:J71)</f>
        <v>0</v>
      </c>
      <c r="K68" s="644">
        <f>SUM(K69:K71)</f>
        <v>0</v>
      </c>
      <c r="L68" s="644">
        <f>SUM(L69:L71)</f>
        <v>0</v>
      </c>
      <c r="M68" s="640">
        <f t="shared" si="1"/>
        <v>0</v>
      </c>
      <c r="N68" s="644">
        <v>0</v>
      </c>
      <c r="O68" s="644">
        <f>SUM(O69:O71)</f>
        <v>0</v>
      </c>
      <c r="P68" s="644">
        <f>SUM(P69:P71)</f>
        <v>0</v>
      </c>
      <c r="Q68" s="644">
        <f>SUM(Q69:Q71)</f>
        <v>0</v>
      </c>
      <c r="R68" s="640">
        <f t="shared" si="2"/>
        <v>0</v>
      </c>
    </row>
    <row r="69" spans="1:18" s="89" customFormat="1" ht="36" hidden="1" customHeight="1">
      <c r="A69" s="648">
        <v>9141</v>
      </c>
      <c r="B69" s="647" t="s">
        <v>190</v>
      </c>
      <c r="C69" s="672"/>
      <c r="D69" s="672">
        <v>0</v>
      </c>
      <c r="E69" s="673"/>
      <c r="F69" s="673"/>
      <c r="G69" s="673"/>
      <c r="H69" s="640">
        <f t="shared" si="0"/>
        <v>0</v>
      </c>
      <c r="I69" s="673">
        <v>0</v>
      </c>
      <c r="J69" s="673"/>
      <c r="K69" s="673"/>
      <c r="L69" s="673"/>
      <c r="M69" s="640">
        <f t="shared" si="1"/>
        <v>0</v>
      </c>
      <c r="N69" s="673">
        <v>0</v>
      </c>
      <c r="O69" s="673"/>
      <c r="P69" s="673"/>
      <c r="Q69" s="673"/>
      <c r="R69" s="640">
        <f t="shared" si="2"/>
        <v>0</v>
      </c>
    </row>
    <row r="70" spans="1:18" s="89" customFormat="1" ht="36" hidden="1" customHeight="1">
      <c r="A70" s="648">
        <v>9142</v>
      </c>
      <c r="B70" s="647" t="s">
        <v>191</v>
      </c>
      <c r="C70" s="672"/>
      <c r="D70" s="672">
        <v>0</v>
      </c>
      <c r="E70" s="673"/>
      <c r="F70" s="673"/>
      <c r="G70" s="673"/>
      <c r="H70" s="640">
        <f t="shared" si="0"/>
        <v>0</v>
      </c>
      <c r="I70" s="673">
        <v>0</v>
      </c>
      <c r="J70" s="673"/>
      <c r="K70" s="673"/>
      <c r="L70" s="673"/>
      <c r="M70" s="640">
        <f t="shared" si="1"/>
        <v>0</v>
      </c>
      <c r="N70" s="673">
        <v>0</v>
      </c>
      <c r="O70" s="673"/>
      <c r="P70" s="673"/>
      <c r="Q70" s="673"/>
      <c r="R70" s="640">
        <f t="shared" si="2"/>
        <v>0</v>
      </c>
    </row>
    <row r="71" spans="1:18" s="89" customFormat="1" ht="24" hidden="1" customHeight="1">
      <c r="A71" s="648">
        <v>9149</v>
      </c>
      <c r="B71" s="647" t="s">
        <v>192</v>
      </c>
      <c r="C71" s="672"/>
      <c r="D71" s="672">
        <v>0</v>
      </c>
      <c r="E71" s="673"/>
      <c r="F71" s="673"/>
      <c r="G71" s="673"/>
      <c r="H71" s="640">
        <f t="shared" si="0"/>
        <v>0</v>
      </c>
      <c r="I71" s="673">
        <v>0</v>
      </c>
      <c r="J71" s="673"/>
      <c r="K71" s="673"/>
      <c r="L71" s="673"/>
      <c r="M71" s="640">
        <f t="shared" si="1"/>
        <v>0</v>
      </c>
      <c r="N71" s="673">
        <v>0</v>
      </c>
      <c r="O71" s="673"/>
      <c r="P71" s="673"/>
      <c r="Q71" s="673"/>
      <c r="R71" s="640">
        <f t="shared" si="2"/>
        <v>0</v>
      </c>
    </row>
    <row r="72" spans="1:18" s="29" customFormat="1" ht="24" hidden="1" customHeight="1">
      <c r="A72" s="677">
        <v>9500</v>
      </c>
      <c r="B72" s="647" t="s">
        <v>165</v>
      </c>
      <c r="C72" s="643">
        <v>0</v>
      </c>
      <c r="D72" s="643">
        <v>0</v>
      </c>
      <c r="E72" s="644">
        <f>SUM(E73:E75)</f>
        <v>0</v>
      </c>
      <c r="F72" s="644">
        <f>SUM(F73:F75)</f>
        <v>0</v>
      </c>
      <c r="G72" s="644">
        <f>SUM(G73:G75)</f>
        <v>0</v>
      </c>
      <c r="H72" s="640">
        <f t="shared" si="0"/>
        <v>0</v>
      </c>
      <c r="I72" s="644">
        <v>0</v>
      </c>
      <c r="J72" s="644">
        <f>SUM(J73:J75)</f>
        <v>0</v>
      </c>
      <c r="K72" s="644">
        <f>SUM(K73:K75)</f>
        <v>0</v>
      </c>
      <c r="L72" s="644">
        <f>SUM(L73:L75)</f>
        <v>0</v>
      </c>
      <c r="M72" s="640">
        <f t="shared" si="1"/>
        <v>0</v>
      </c>
      <c r="N72" s="644">
        <v>0</v>
      </c>
      <c r="O72" s="644">
        <f>SUM(O73:O75)</f>
        <v>0</v>
      </c>
      <c r="P72" s="644">
        <f>SUM(P73:P75)</f>
        <v>0</v>
      </c>
      <c r="Q72" s="644">
        <f>SUM(Q73:Q75)</f>
        <v>0</v>
      </c>
      <c r="R72" s="640">
        <f t="shared" si="2"/>
        <v>0</v>
      </c>
    </row>
    <row r="73" spans="1:18" s="29" customFormat="1" ht="24" hidden="1" customHeight="1">
      <c r="A73" s="646" t="s">
        <v>193</v>
      </c>
      <c r="B73" s="647" t="s">
        <v>171</v>
      </c>
      <c r="C73" s="643"/>
      <c r="D73" s="643">
        <v>0</v>
      </c>
      <c r="E73" s="644"/>
      <c r="F73" s="644"/>
      <c r="G73" s="644"/>
      <c r="H73" s="640">
        <f t="shared" si="0"/>
        <v>0</v>
      </c>
      <c r="I73" s="644">
        <v>0</v>
      </c>
      <c r="J73" s="644"/>
      <c r="K73" s="644"/>
      <c r="L73" s="644"/>
      <c r="M73" s="640">
        <f t="shared" si="1"/>
        <v>0</v>
      </c>
      <c r="N73" s="644">
        <v>0</v>
      </c>
      <c r="O73" s="644"/>
      <c r="P73" s="644"/>
      <c r="Q73" s="644"/>
      <c r="R73" s="640">
        <f t="shared" si="2"/>
        <v>0</v>
      </c>
    </row>
    <row r="74" spans="1:18" s="28" customFormat="1" ht="48" hidden="1" customHeight="1">
      <c r="A74" s="646">
        <v>9580</v>
      </c>
      <c r="B74" s="647" t="s">
        <v>166</v>
      </c>
      <c r="C74" s="672"/>
      <c r="D74" s="672">
        <v>0</v>
      </c>
      <c r="E74" s="673"/>
      <c r="F74" s="673"/>
      <c r="G74" s="673"/>
      <c r="H74" s="640">
        <f t="shared" ref="H74:H137" si="10">SUM(D74:G74)</f>
        <v>0</v>
      </c>
      <c r="I74" s="673">
        <v>0</v>
      </c>
      <c r="J74" s="673"/>
      <c r="K74" s="673"/>
      <c r="L74" s="673"/>
      <c r="M74" s="640">
        <f t="shared" ref="M74:M137" si="11">SUM(I74:L74)</f>
        <v>0</v>
      </c>
      <c r="N74" s="673">
        <v>0</v>
      </c>
      <c r="O74" s="673"/>
      <c r="P74" s="673"/>
      <c r="Q74" s="673"/>
      <c r="R74" s="640">
        <f t="shared" ref="R74:R137" si="12">SUM(N74:Q74)</f>
        <v>0</v>
      </c>
    </row>
    <row r="75" spans="1:18" s="4" customFormat="1" ht="48" hidden="1" customHeight="1">
      <c r="A75" s="646">
        <v>9590</v>
      </c>
      <c r="B75" s="670" t="s">
        <v>172</v>
      </c>
      <c r="C75" s="672"/>
      <c r="D75" s="672">
        <v>0</v>
      </c>
      <c r="E75" s="673"/>
      <c r="F75" s="673"/>
      <c r="G75" s="673"/>
      <c r="H75" s="640">
        <f t="shared" si="10"/>
        <v>0</v>
      </c>
      <c r="I75" s="673">
        <v>0</v>
      </c>
      <c r="J75" s="673"/>
      <c r="K75" s="673"/>
      <c r="L75" s="673"/>
      <c r="M75" s="640">
        <f t="shared" si="11"/>
        <v>0</v>
      </c>
      <c r="N75" s="673">
        <v>0</v>
      </c>
      <c r="O75" s="673"/>
      <c r="P75" s="673"/>
      <c r="Q75" s="673"/>
      <c r="R75" s="640">
        <f t="shared" si="12"/>
        <v>0</v>
      </c>
    </row>
    <row r="76" spans="1:18" ht="24" hidden="1" customHeight="1">
      <c r="A76" s="677">
        <v>9700</v>
      </c>
      <c r="B76" s="678" t="s">
        <v>194</v>
      </c>
      <c r="C76" s="643">
        <v>0</v>
      </c>
      <c r="D76" s="643">
        <v>0</v>
      </c>
      <c r="E76" s="644">
        <f>SUM(E77:E78)</f>
        <v>0</v>
      </c>
      <c r="F76" s="644">
        <f>SUM(F77:F78)</f>
        <v>0</v>
      </c>
      <c r="G76" s="644">
        <f>SUM(G77:G78)</f>
        <v>0</v>
      </c>
      <c r="H76" s="640">
        <f t="shared" si="10"/>
        <v>0</v>
      </c>
      <c r="I76" s="644">
        <v>0</v>
      </c>
      <c r="J76" s="644">
        <f>SUM(J77:J78)</f>
        <v>0</v>
      </c>
      <c r="K76" s="644">
        <f>SUM(K77:K78)</f>
        <v>0</v>
      </c>
      <c r="L76" s="644">
        <f>SUM(L77:L78)</f>
        <v>0</v>
      </c>
      <c r="M76" s="640">
        <f t="shared" si="11"/>
        <v>0</v>
      </c>
      <c r="N76" s="644">
        <v>0</v>
      </c>
      <c r="O76" s="644">
        <f>SUM(O77:O78)</f>
        <v>0</v>
      </c>
      <c r="P76" s="644">
        <f>SUM(P77:P78)</f>
        <v>0</v>
      </c>
      <c r="Q76" s="644">
        <f>SUM(Q77:Q78)</f>
        <v>0</v>
      </c>
      <c r="R76" s="640">
        <f t="shared" si="12"/>
        <v>0</v>
      </c>
    </row>
    <row r="77" spans="1:18" ht="24" hidden="1" customHeight="1">
      <c r="A77" s="646">
        <v>9710</v>
      </c>
      <c r="B77" s="679" t="s">
        <v>195</v>
      </c>
      <c r="C77" s="672"/>
      <c r="D77" s="672">
        <v>0</v>
      </c>
      <c r="E77" s="673"/>
      <c r="F77" s="673"/>
      <c r="G77" s="673"/>
      <c r="H77" s="640">
        <f t="shared" si="10"/>
        <v>0</v>
      </c>
      <c r="I77" s="673">
        <v>0</v>
      </c>
      <c r="J77" s="673"/>
      <c r="K77" s="673"/>
      <c r="L77" s="673"/>
      <c r="M77" s="640">
        <f t="shared" si="11"/>
        <v>0</v>
      </c>
      <c r="N77" s="673">
        <v>0</v>
      </c>
      <c r="O77" s="673"/>
      <c r="P77" s="673"/>
      <c r="Q77" s="673"/>
      <c r="R77" s="640">
        <f t="shared" si="12"/>
        <v>0</v>
      </c>
    </row>
    <row r="78" spans="1:18" ht="48" hidden="1" customHeight="1">
      <c r="A78" s="680">
        <v>9720</v>
      </c>
      <c r="B78" s="678" t="s">
        <v>196</v>
      </c>
      <c r="C78" s="672"/>
      <c r="D78" s="672">
        <v>0</v>
      </c>
      <c r="E78" s="673"/>
      <c r="F78" s="673"/>
      <c r="G78" s="673"/>
      <c r="H78" s="640">
        <f t="shared" si="10"/>
        <v>0</v>
      </c>
      <c r="I78" s="673">
        <v>0</v>
      </c>
      <c r="J78" s="673"/>
      <c r="K78" s="673"/>
      <c r="L78" s="673"/>
      <c r="M78" s="640">
        <f t="shared" si="11"/>
        <v>0</v>
      </c>
      <c r="N78" s="673">
        <v>0</v>
      </c>
      <c r="O78" s="673"/>
      <c r="P78" s="673"/>
      <c r="Q78" s="673"/>
      <c r="R78" s="640">
        <f t="shared" si="12"/>
        <v>0</v>
      </c>
    </row>
    <row r="79" spans="1:18" ht="24" hidden="1" customHeight="1">
      <c r="A79" s="677">
        <v>9600</v>
      </c>
      <c r="B79" s="670" t="s">
        <v>134</v>
      </c>
      <c r="C79" s="672"/>
      <c r="D79" s="672">
        <v>0</v>
      </c>
      <c r="E79" s="673"/>
      <c r="F79" s="673"/>
      <c r="G79" s="673"/>
      <c r="H79" s="640">
        <f t="shared" si="10"/>
        <v>0</v>
      </c>
      <c r="I79" s="673">
        <v>0</v>
      </c>
      <c r="J79" s="673"/>
      <c r="K79" s="673"/>
      <c r="L79" s="673"/>
      <c r="M79" s="640">
        <f t="shared" si="11"/>
        <v>0</v>
      </c>
      <c r="N79" s="673">
        <v>0</v>
      </c>
      <c r="O79" s="673"/>
      <c r="P79" s="673"/>
      <c r="Q79" s="673"/>
      <c r="R79" s="640">
        <f t="shared" si="12"/>
        <v>0</v>
      </c>
    </row>
    <row r="80" spans="1:18" ht="52.5" hidden="1" customHeight="1">
      <c r="A80" s="636" t="s">
        <v>197</v>
      </c>
      <c r="B80" s="681" t="s">
        <v>47</v>
      </c>
      <c r="C80" s="682">
        <v>0</v>
      </c>
      <c r="D80" s="682">
        <v>0</v>
      </c>
      <c r="E80" s="683">
        <f>E10-E35</f>
        <v>0</v>
      </c>
      <c r="F80" s="683">
        <f>F10-F35</f>
        <v>0</v>
      </c>
      <c r="G80" s="683">
        <f>G10-G35</f>
        <v>0</v>
      </c>
      <c r="H80" s="640">
        <f t="shared" si="10"/>
        <v>0</v>
      </c>
      <c r="I80" s="683">
        <v>0</v>
      </c>
      <c r="J80" s="683">
        <f>J10-J35</f>
        <v>0</v>
      </c>
      <c r="K80" s="683">
        <f>K10-K35</f>
        <v>0</v>
      </c>
      <c r="L80" s="683">
        <f>L10-L35</f>
        <v>0</v>
      </c>
      <c r="M80" s="640">
        <f t="shared" si="11"/>
        <v>0</v>
      </c>
      <c r="N80" s="683">
        <v>0</v>
      </c>
      <c r="O80" s="683">
        <f>O10-O35</f>
        <v>0</v>
      </c>
      <c r="P80" s="683">
        <f>P10-P35</f>
        <v>0</v>
      </c>
      <c r="Q80" s="683">
        <f>Q10-Q35</f>
        <v>0</v>
      </c>
      <c r="R80" s="640">
        <f t="shared" si="12"/>
        <v>0</v>
      </c>
    </row>
    <row r="81" spans="1:18" ht="12" hidden="1" customHeight="1">
      <c r="A81" s="684" t="s">
        <v>48</v>
      </c>
      <c r="B81" s="681" t="s">
        <v>49</v>
      </c>
      <c r="C81" s="682">
        <v>0</v>
      </c>
      <c r="D81" s="682">
        <v>0</v>
      </c>
      <c r="E81" s="683">
        <f>E82+E85+E89+E88</f>
        <v>0</v>
      </c>
      <c r="F81" s="683">
        <f>F82+F85+F89+F88</f>
        <v>0</v>
      </c>
      <c r="G81" s="683">
        <f>G82+G85+G89+G88</f>
        <v>0</v>
      </c>
      <c r="H81" s="640">
        <f t="shared" si="10"/>
        <v>0</v>
      </c>
      <c r="I81" s="683">
        <v>0</v>
      </c>
      <c r="J81" s="683">
        <f>J82+J85+J89+J88</f>
        <v>0</v>
      </c>
      <c r="K81" s="683">
        <f>K82+K85+K89+K88</f>
        <v>0</v>
      </c>
      <c r="L81" s="683">
        <f>L82+L85+L89+L88</f>
        <v>0</v>
      </c>
      <c r="M81" s="640">
        <f t="shared" si="11"/>
        <v>0</v>
      </c>
      <c r="N81" s="683">
        <v>0</v>
      </c>
      <c r="O81" s="683">
        <f>O82+O85+O89+O88</f>
        <v>0</v>
      </c>
      <c r="P81" s="683">
        <f>P82+P85+P89+P88</f>
        <v>0</v>
      </c>
      <c r="Q81" s="683">
        <f>Q82+Q85+Q89+Q88</f>
        <v>0</v>
      </c>
      <c r="R81" s="640">
        <f t="shared" si="12"/>
        <v>0</v>
      </c>
    </row>
    <row r="82" spans="1:18" s="4" customFormat="1" ht="12" hidden="1" customHeight="1">
      <c r="A82" s="677" t="s">
        <v>50</v>
      </c>
      <c r="B82" s="670" t="s">
        <v>51</v>
      </c>
      <c r="C82" s="638">
        <v>0</v>
      </c>
      <c r="D82" s="638">
        <v>0</v>
      </c>
      <c r="E82" s="639">
        <f>E83+E84</f>
        <v>0</v>
      </c>
      <c r="F82" s="639">
        <f>F83+F84</f>
        <v>0</v>
      </c>
      <c r="G82" s="639">
        <f>G83+G84</f>
        <v>0</v>
      </c>
      <c r="H82" s="640">
        <f t="shared" si="10"/>
        <v>0</v>
      </c>
      <c r="I82" s="639">
        <v>0</v>
      </c>
      <c r="J82" s="639">
        <f>J83+J84</f>
        <v>0</v>
      </c>
      <c r="K82" s="639">
        <f>K83+K84</f>
        <v>0</v>
      </c>
      <c r="L82" s="639">
        <f>L83+L84</f>
        <v>0</v>
      </c>
      <c r="M82" s="640">
        <f t="shared" si="11"/>
        <v>0</v>
      </c>
      <c r="N82" s="639">
        <v>0</v>
      </c>
      <c r="O82" s="639">
        <f>O83+O84</f>
        <v>0</v>
      </c>
      <c r="P82" s="639">
        <f>P83+P84</f>
        <v>0</v>
      </c>
      <c r="Q82" s="639">
        <f>Q83+Q84</f>
        <v>0</v>
      </c>
      <c r="R82" s="640">
        <f t="shared" si="12"/>
        <v>0</v>
      </c>
    </row>
    <row r="83" spans="1:18" s="6" customFormat="1" ht="12" hidden="1" customHeight="1">
      <c r="A83" s="677" t="s">
        <v>52</v>
      </c>
      <c r="B83" s="670" t="s">
        <v>53</v>
      </c>
      <c r="C83" s="638"/>
      <c r="D83" s="638">
        <v>0</v>
      </c>
      <c r="E83" s="639"/>
      <c r="F83" s="639"/>
      <c r="G83" s="639"/>
      <c r="H83" s="640">
        <f t="shared" si="10"/>
        <v>0</v>
      </c>
      <c r="I83" s="639">
        <v>0</v>
      </c>
      <c r="J83" s="639"/>
      <c r="K83" s="639"/>
      <c r="L83" s="639"/>
      <c r="M83" s="640">
        <f t="shared" si="11"/>
        <v>0</v>
      </c>
      <c r="N83" s="639">
        <v>0</v>
      </c>
      <c r="O83" s="639"/>
      <c r="P83" s="639"/>
      <c r="Q83" s="639"/>
      <c r="R83" s="640">
        <f t="shared" si="12"/>
        <v>0</v>
      </c>
    </row>
    <row r="84" spans="1:18" s="6" customFormat="1" ht="12" hidden="1" customHeight="1">
      <c r="A84" s="677" t="s">
        <v>54</v>
      </c>
      <c r="B84" s="670" t="s">
        <v>55</v>
      </c>
      <c r="C84" s="638"/>
      <c r="D84" s="638">
        <v>0</v>
      </c>
      <c r="E84" s="639"/>
      <c r="F84" s="639"/>
      <c r="G84" s="639"/>
      <c r="H84" s="640">
        <f t="shared" si="10"/>
        <v>0</v>
      </c>
      <c r="I84" s="639">
        <v>0</v>
      </c>
      <c r="J84" s="639"/>
      <c r="K84" s="639"/>
      <c r="L84" s="639"/>
      <c r="M84" s="640">
        <f t="shared" si="11"/>
        <v>0</v>
      </c>
      <c r="N84" s="639">
        <v>0</v>
      </c>
      <c r="O84" s="639"/>
      <c r="P84" s="639"/>
      <c r="Q84" s="639"/>
      <c r="R84" s="640">
        <f t="shared" si="12"/>
        <v>0</v>
      </c>
    </row>
    <row r="85" spans="1:18" s="6" customFormat="1" ht="12" hidden="1" customHeight="1">
      <c r="A85" s="677" t="s">
        <v>56</v>
      </c>
      <c r="B85" s="670" t="s">
        <v>57</v>
      </c>
      <c r="C85" s="638">
        <v>0</v>
      </c>
      <c r="D85" s="638">
        <v>0</v>
      </c>
      <c r="E85" s="639">
        <f>E86+E87</f>
        <v>0</v>
      </c>
      <c r="F85" s="639">
        <f>F86+F87</f>
        <v>0</v>
      </c>
      <c r="G85" s="639">
        <f>G86+G87</f>
        <v>0</v>
      </c>
      <c r="H85" s="640">
        <f t="shared" si="10"/>
        <v>0</v>
      </c>
      <c r="I85" s="639">
        <v>0</v>
      </c>
      <c r="J85" s="639">
        <f>J86+J87</f>
        <v>0</v>
      </c>
      <c r="K85" s="639">
        <f>K86+K87</f>
        <v>0</v>
      </c>
      <c r="L85" s="639">
        <f>L86+L87</f>
        <v>0</v>
      </c>
      <c r="M85" s="640">
        <f t="shared" si="11"/>
        <v>0</v>
      </c>
      <c r="N85" s="639">
        <v>0</v>
      </c>
      <c r="O85" s="639">
        <f>O86+O87</f>
        <v>0</v>
      </c>
      <c r="P85" s="639">
        <f>P86+P87</f>
        <v>0</v>
      </c>
      <c r="Q85" s="639">
        <f>Q86+Q87</f>
        <v>0</v>
      </c>
      <c r="R85" s="640">
        <f t="shared" si="12"/>
        <v>0</v>
      </c>
    </row>
    <row r="86" spans="1:18" s="6" customFormat="1" ht="12" hidden="1" customHeight="1">
      <c r="A86" s="677" t="s">
        <v>58</v>
      </c>
      <c r="B86" s="670" t="s">
        <v>59</v>
      </c>
      <c r="C86" s="638"/>
      <c r="D86" s="638">
        <v>0</v>
      </c>
      <c r="E86" s="639"/>
      <c r="F86" s="639"/>
      <c r="G86" s="639"/>
      <c r="H86" s="640">
        <f t="shared" si="10"/>
        <v>0</v>
      </c>
      <c r="I86" s="639">
        <v>0</v>
      </c>
      <c r="J86" s="639"/>
      <c r="K86" s="639"/>
      <c r="L86" s="639"/>
      <c r="M86" s="640">
        <f t="shared" si="11"/>
        <v>0</v>
      </c>
      <c r="N86" s="639">
        <v>0</v>
      </c>
      <c r="O86" s="639"/>
      <c r="P86" s="639"/>
      <c r="Q86" s="639"/>
      <c r="R86" s="640">
        <f t="shared" si="12"/>
        <v>0</v>
      </c>
    </row>
    <row r="87" spans="1:18" s="6" customFormat="1" ht="12" hidden="1" customHeight="1">
      <c r="A87" s="677" t="s">
        <v>60</v>
      </c>
      <c r="B87" s="670" t="s">
        <v>61</v>
      </c>
      <c r="C87" s="638"/>
      <c r="D87" s="638">
        <v>0</v>
      </c>
      <c r="E87" s="639"/>
      <c r="F87" s="639"/>
      <c r="G87" s="639"/>
      <c r="H87" s="640">
        <f t="shared" si="10"/>
        <v>0</v>
      </c>
      <c r="I87" s="639">
        <v>0</v>
      </c>
      <c r="J87" s="639"/>
      <c r="K87" s="639"/>
      <c r="L87" s="639"/>
      <c r="M87" s="640">
        <f t="shared" si="11"/>
        <v>0</v>
      </c>
      <c r="N87" s="639">
        <v>0</v>
      </c>
      <c r="O87" s="639"/>
      <c r="P87" s="639"/>
      <c r="Q87" s="639"/>
      <c r="R87" s="640">
        <f t="shared" si="12"/>
        <v>0</v>
      </c>
    </row>
    <row r="88" spans="1:18" s="6" customFormat="1" ht="12" hidden="1" customHeight="1">
      <c r="A88" s="677" t="s">
        <v>198</v>
      </c>
      <c r="B88" s="685" t="s">
        <v>168</v>
      </c>
      <c r="C88" s="638"/>
      <c r="D88" s="638">
        <v>0</v>
      </c>
      <c r="E88" s="639"/>
      <c r="F88" s="639"/>
      <c r="G88" s="639"/>
      <c r="H88" s="640">
        <f t="shared" si="10"/>
        <v>0</v>
      </c>
      <c r="I88" s="639">
        <v>0</v>
      </c>
      <c r="J88" s="639"/>
      <c r="K88" s="639"/>
      <c r="L88" s="639"/>
      <c r="M88" s="640">
        <f t="shared" si="11"/>
        <v>0</v>
      </c>
      <c r="N88" s="639">
        <v>0</v>
      </c>
      <c r="O88" s="639"/>
      <c r="P88" s="639"/>
      <c r="Q88" s="639"/>
      <c r="R88" s="640">
        <f t="shared" si="12"/>
        <v>0</v>
      </c>
    </row>
    <row r="89" spans="1:18" s="6" customFormat="1" ht="12" hidden="1" customHeight="1">
      <c r="A89" s="686" t="s">
        <v>62</v>
      </c>
      <c r="B89" s="642" t="s">
        <v>63</v>
      </c>
      <c r="C89" s="643">
        <v>0</v>
      </c>
      <c r="D89" s="643">
        <v>0</v>
      </c>
      <c r="E89" s="644">
        <f>E90+E91+E92</f>
        <v>0</v>
      </c>
      <c r="F89" s="644">
        <f>F90+F91+F92</f>
        <v>0</v>
      </c>
      <c r="G89" s="644">
        <f>G90+G91+G92</f>
        <v>0</v>
      </c>
      <c r="H89" s="640">
        <f t="shared" si="10"/>
        <v>0</v>
      </c>
      <c r="I89" s="644">
        <v>0</v>
      </c>
      <c r="J89" s="644">
        <f>J90+J91+J92</f>
        <v>0</v>
      </c>
      <c r="K89" s="644">
        <f>K90+K91+K92</f>
        <v>0</v>
      </c>
      <c r="L89" s="644">
        <f>L90+L91+L92</f>
        <v>0</v>
      </c>
      <c r="M89" s="640">
        <f t="shared" si="11"/>
        <v>0</v>
      </c>
      <c r="N89" s="644">
        <v>0</v>
      </c>
      <c r="O89" s="644">
        <f>O90+O91+O92</f>
        <v>0</v>
      </c>
      <c r="P89" s="644">
        <f>P90+P91+P92</f>
        <v>0</v>
      </c>
      <c r="Q89" s="644">
        <f>Q90+Q91+Q92</f>
        <v>0</v>
      </c>
      <c r="R89" s="640">
        <f t="shared" si="12"/>
        <v>0</v>
      </c>
    </row>
    <row r="90" spans="1:18" s="6" customFormat="1" ht="36" hidden="1" customHeight="1">
      <c r="A90" s="686" t="s">
        <v>64</v>
      </c>
      <c r="B90" s="670" t="s">
        <v>65</v>
      </c>
      <c r="C90" s="638"/>
      <c r="D90" s="638">
        <v>0</v>
      </c>
      <c r="E90" s="639"/>
      <c r="F90" s="639"/>
      <c r="G90" s="639"/>
      <c r="H90" s="640">
        <f t="shared" si="10"/>
        <v>0</v>
      </c>
      <c r="I90" s="639">
        <v>0</v>
      </c>
      <c r="J90" s="639"/>
      <c r="K90" s="639"/>
      <c r="L90" s="639"/>
      <c r="M90" s="640">
        <f t="shared" si="11"/>
        <v>0</v>
      </c>
      <c r="N90" s="639">
        <v>0</v>
      </c>
      <c r="O90" s="639"/>
      <c r="P90" s="639"/>
      <c r="Q90" s="639"/>
      <c r="R90" s="640">
        <f t="shared" si="12"/>
        <v>0</v>
      </c>
    </row>
    <row r="91" spans="1:18" s="6" customFormat="1" ht="36" hidden="1" customHeight="1">
      <c r="A91" s="686" t="s">
        <v>66</v>
      </c>
      <c r="B91" s="670" t="s">
        <v>67</v>
      </c>
      <c r="C91" s="638"/>
      <c r="D91" s="638">
        <v>0</v>
      </c>
      <c r="E91" s="639"/>
      <c r="F91" s="639"/>
      <c r="G91" s="639"/>
      <c r="H91" s="640">
        <f t="shared" si="10"/>
        <v>0</v>
      </c>
      <c r="I91" s="639">
        <v>0</v>
      </c>
      <c r="J91" s="639"/>
      <c r="K91" s="639"/>
      <c r="L91" s="639"/>
      <c r="M91" s="640">
        <f t="shared" si="11"/>
        <v>0</v>
      </c>
      <c r="N91" s="639">
        <v>0</v>
      </c>
      <c r="O91" s="639"/>
      <c r="P91" s="639"/>
      <c r="Q91" s="639"/>
      <c r="R91" s="640">
        <f t="shared" si="12"/>
        <v>0</v>
      </c>
    </row>
    <row r="92" spans="1:18" s="6" customFormat="1" ht="24" hidden="1" customHeight="1">
      <c r="A92" s="686" t="s">
        <v>68</v>
      </c>
      <c r="B92" s="642" t="s">
        <v>69</v>
      </c>
      <c r="C92" s="638"/>
      <c r="D92" s="638">
        <v>0</v>
      </c>
      <c r="E92" s="639"/>
      <c r="F92" s="639"/>
      <c r="G92" s="639"/>
      <c r="H92" s="640">
        <f t="shared" si="10"/>
        <v>0</v>
      </c>
      <c r="I92" s="639">
        <v>0</v>
      </c>
      <c r="J92" s="639"/>
      <c r="K92" s="639"/>
      <c r="L92" s="639"/>
      <c r="M92" s="640">
        <f t="shared" si="11"/>
        <v>0</v>
      </c>
      <c r="N92" s="639">
        <v>0</v>
      </c>
      <c r="O92" s="639"/>
      <c r="P92" s="639"/>
      <c r="Q92" s="639"/>
      <c r="R92" s="640">
        <f t="shared" si="12"/>
        <v>0</v>
      </c>
    </row>
    <row r="93" spans="1:18" s="6" customFormat="1" ht="12">
      <c r="A93" s="687"/>
      <c r="B93" s="688" t="s">
        <v>199</v>
      </c>
      <c r="C93" s="689"/>
      <c r="D93" s="690">
        <v>0</v>
      </c>
      <c r="E93" s="691"/>
      <c r="F93" s="691"/>
      <c r="G93" s="691"/>
      <c r="H93" s="692">
        <f t="shared" si="10"/>
        <v>0</v>
      </c>
      <c r="I93" s="693">
        <v>0</v>
      </c>
      <c r="J93" s="691"/>
      <c r="K93" s="691"/>
      <c r="L93" s="691"/>
      <c r="M93" s="692">
        <f t="shared" si="11"/>
        <v>0</v>
      </c>
      <c r="N93" s="693">
        <v>0</v>
      </c>
      <c r="O93" s="691"/>
      <c r="P93" s="691"/>
      <c r="Q93" s="691"/>
      <c r="R93" s="692">
        <f t="shared" si="12"/>
        <v>0</v>
      </c>
    </row>
    <row r="94" spans="1:18" s="6" customFormat="1" ht="20.399999999999999">
      <c r="A94" s="631" t="s">
        <v>201</v>
      </c>
      <c r="B94" s="632" t="s">
        <v>88</v>
      </c>
      <c r="C94" s="633">
        <v>261076</v>
      </c>
      <c r="D94" s="633">
        <v>398337</v>
      </c>
      <c r="E94" s="634">
        <f>E95+E96+E98+E116</f>
        <v>0</v>
      </c>
      <c r="F94" s="634">
        <f>F95+F96+F98+F116</f>
        <v>21133</v>
      </c>
      <c r="G94" s="634">
        <f>G95+G96+G98+G116</f>
        <v>111000</v>
      </c>
      <c r="H94" s="635">
        <f t="shared" si="10"/>
        <v>530470</v>
      </c>
      <c r="I94" s="634">
        <v>4220790</v>
      </c>
      <c r="J94" s="634">
        <f>J95+J96+J98+J116</f>
        <v>0</v>
      </c>
      <c r="K94" s="634">
        <f>K95+K96+K98+K116</f>
        <v>21133</v>
      </c>
      <c r="L94" s="634">
        <f>L95+L96+L98+L116</f>
        <v>0</v>
      </c>
      <c r="M94" s="635">
        <f t="shared" si="11"/>
        <v>4241923</v>
      </c>
      <c r="N94" s="634">
        <v>255276</v>
      </c>
      <c r="O94" s="634">
        <f>O95+O96+O98+O116</f>
        <v>0</v>
      </c>
      <c r="P94" s="634">
        <f>P95+P96+P98+P116</f>
        <v>21133</v>
      </c>
      <c r="Q94" s="634">
        <f>Q95+Q96+Q98+Q116</f>
        <v>0</v>
      </c>
      <c r="R94" s="635">
        <f t="shared" si="12"/>
        <v>276409</v>
      </c>
    </row>
    <row r="95" spans="1:18" s="6" customFormat="1" ht="24" hidden="1" customHeight="1">
      <c r="A95" s="636" t="s">
        <v>177</v>
      </c>
      <c r="B95" s="637" t="s">
        <v>90</v>
      </c>
      <c r="C95" s="638"/>
      <c r="D95" s="638">
        <v>0</v>
      </c>
      <c r="E95" s="639"/>
      <c r="F95" s="639"/>
      <c r="G95" s="639"/>
      <c r="H95" s="640">
        <f t="shared" si="10"/>
        <v>0</v>
      </c>
      <c r="I95" s="639">
        <v>0</v>
      </c>
      <c r="J95" s="639"/>
      <c r="K95" s="639"/>
      <c r="L95" s="639"/>
      <c r="M95" s="640">
        <f t="shared" si="11"/>
        <v>0</v>
      </c>
      <c r="N95" s="639">
        <v>0</v>
      </c>
      <c r="O95" s="639"/>
      <c r="P95" s="639"/>
      <c r="Q95" s="639"/>
      <c r="R95" s="640">
        <f t="shared" si="12"/>
        <v>0</v>
      </c>
    </row>
    <row r="96" spans="1:18" s="6" customFormat="1" ht="12" hidden="1" customHeight="1">
      <c r="A96" s="636" t="s">
        <v>91</v>
      </c>
      <c r="B96" s="637" t="s">
        <v>92</v>
      </c>
      <c r="C96" s="638"/>
      <c r="D96" s="638">
        <v>0</v>
      </c>
      <c r="E96" s="639"/>
      <c r="F96" s="639"/>
      <c r="G96" s="639"/>
      <c r="H96" s="640">
        <f t="shared" si="10"/>
        <v>0</v>
      </c>
      <c r="I96" s="639">
        <v>0</v>
      </c>
      <c r="J96" s="639"/>
      <c r="K96" s="639"/>
      <c r="L96" s="639"/>
      <c r="M96" s="640">
        <f t="shared" si="11"/>
        <v>0</v>
      </c>
      <c r="N96" s="639">
        <v>0</v>
      </c>
      <c r="O96" s="639"/>
      <c r="P96" s="639"/>
      <c r="Q96" s="639"/>
      <c r="R96" s="640">
        <f t="shared" si="12"/>
        <v>0</v>
      </c>
    </row>
    <row r="97" spans="1:18" s="6" customFormat="1" ht="24" hidden="1" customHeight="1">
      <c r="A97" s="641">
        <v>21210</v>
      </c>
      <c r="B97" s="642" t="s">
        <v>93</v>
      </c>
      <c r="C97" s="638"/>
      <c r="D97" s="638">
        <v>0</v>
      </c>
      <c r="E97" s="639"/>
      <c r="F97" s="639"/>
      <c r="G97" s="639"/>
      <c r="H97" s="640">
        <f t="shared" si="10"/>
        <v>0</v>
      </c>
      <c r="I97" s="639">
        <v>0</v>
      </c>
      <c r="J97" s="639"/>
      <c r="K97" s="639"/>
      <c r="L97" s="639"/>
      <c r="M97" s="640">
        <f t="shared" si="11"/>
        <v>0</v>
      </c>
      <c r="N97" s="639">
        <v>0</v>
      </c>
      <c r="O97" s="639"/>
      <c r="P97" s="639"/>
      <c r="Q97" s="639"/>
      <c r="R97" s="640">
        <f t="shared" si="12"/>
        <v>0</v>
      </c>
    </row>
    <row r="98" spans="1:18" s="6" customFormat="1" ht="21" hidden="1" customHeight="1">
      <c r="A98" s="636" t="s">
        <v>178</v>
      </c>
      <c r="B98" s="637" t="s">
        <v>94</v>
      </c>
      <c r="C98" s="643">
        <v>0</v>
      </c>
      <c r="D98" s="643">
        <v>0</v>
      </c>
      <c r="E98" s="644">
        <f>E99+E105</f>
        <v>0</v>
      </c>
      <c r="F98" s="644">
        <f>F99+F105</f>
        <v>0</v>
      </c>
      <c r="G98" s="644">
        <f>G99+G105</f>
        <v>0</v>
      </c>
      <c r="H98" s="640">
        <f t="shared" si="10"/>
        <v>0</v>
      </c>
      <c r="I98" s="644">
        <v>0</v>
      </c>
      <c r="J98" s="644">
        <f>J99+J105</f>
        <v>0</v>
      </c>
      <c r="K98" s="644">
        <f>K99+K105</f>
        <v>0</v>
      </c>
      <c r="L98" s="644">
        <f>L99+L105</f>
        <v>0</v>
      </c>
      <c r="M98" s="640">
        <f t="shared" si="11"/>
        <v>0</v>
      </c>
      <c r="N98" s="644">
        <v>0</v>
      </c>
      <c r="O98" s="644">
        <f>O99+O105</f>
        <v>0</v>
      </c>
      <c r="P98" s="644">
        <f>P99+P105</f>
        <v>0</v>
      </c>
      <c r="Q98" s="644">
        <f>Q99+Q105</f>
        <v>0</v>
      </c>
      <c r="R98" s="640">
        <f t="shared" si="12"/>
        <v>0</v>
      </c>
    </row>
    <row r="99" spans="1:18" s="6" customFormat="1" ht="12" hidden="1" customHeight="1">
      <c r="A99" s="645">
        <v>18000</v>
      </c>
      <c r="B99" s="642" t="s">
        <v>95</v>
      </c>
      <c r="C99" s="643">
        <v>0</v>
      </c>
      <c r="D99" s="643">
        <v>0</v>
      </c>
      <c r="E99" s="644">
        <f t="shared" ref="E99:L100" si="13">E100</f>
        <v>0</v>
      </c>
      <c r="F99" s="644">
        <f t="shared" si="13"/>
        <v>0</v>
      </c>
      <c r="G99" s="644">
        <f t="shared" si="13"/>
        <v>0</v>
      </c>
      <c r="H99" s="640">
        <f t="shared" si="10"/>
        <v>0</v>
      </c>
      <c r="I99" s="644">
        <v>0</v>
      </c>
      <c r="J99" s="644">
        <f t="shared" si="13"/>
        <v>0</v>
      </c>
      <c r="K99" s="644">
        <f t="shared" si="13"/>
        <v>0</v>
      </c>
      <c r="L99" s="644">
        <f t="shared" si="13"/>
        <v>0</v>
      </c>
      <c r="M99" s="640">
        <f t="shared" si="11"/>
        <v>0</v>
      </c>
      <c r="N99" s="644">
        <v>0</v>
      </c>
      <c r="O99" s="644">
        <f t="shared" ref="O99:Q100" si="14">O100</f>
        <v>0</v>
      </c>
      <c r="P99" s="644">
        <f t="shared" si="14"/>
        <v>0</v>
      </c>
      <c r="Q99" s="644">
        <f t="shared" si="14"/>
        <v>0</v>
      </c>
      <c r="R99" s="640">
        <f t="shared" si="12"/>
        <v>0</v>
      </c>
    </row>
    <row r="100" spans="1:18" s="6" customFormat="1" ht="12" hidden="1" customHeight="1">
      <c r="A100" s="645">
        <v>18100</v>
      </c>
      <c r="B100" s="642" t="s">
        <v>96</v>
      </c>
      <c r="C100" s="643">
        <v>0</v>
      </c>
      <c r="D100" s="643">
        <v>0</v>
      </c>
      <c r="E100" s="644">
        <f t="shared" si="13"/>
        <v>0</v>
      </c>
      <c r="F100" s="644">
        <f t="shared" si="13"/>
        <v>0</v>
      </c>
      <c r="G100" s="644">
        <f t="shared" si="13"/>
        <v>0</v>
      </c>
      <c r="H100" s="640">
        <f t="shared" si="10"/>
        <v>0</v>
      </c>
      <c r="I100" s="644">
        <v>0</v>
      </c>
      <c r="J100" s="644">
        <f t="shared" si="13"/>
        <v>0</v>
      </c>
      <c r="K100" s="644">
        <f t="shared" si="13"/>
        <v>0</v>
      </c>
      <c r="L100" s="644">
        <f t="shared" si="13"/>
        <v>0</v>
      </c>
      <c r="M100" s="640">
        <f t="shared" si="11"/>
        <v>0</v>
      </c>
      <c r="N100" s="644">
        <v>0</v>
      </c>
      <c r="O100" s="644">
        <f t="shared" si="14"/>
        <v>0</v>
      </c>
      <c r="P100" s="644">
        <f t="shared" si="14"/>
        <v>0</v>
      </c>
      <c r="Q100" s="644">
        <f t="shared" si="14"/>
        <v>0</v>
      </c>
      <c r="R100" s="640">
        <f t="shared" si="12"/>
        <v>0</v>
      </c>
    </row>
    <row r="101" spans="1:18" s="6" customFormat="1" ht="24" hidden="1" customHeight="1">
      <c r="A101" s="646">
        <v>18130</v>
      </c>
      <c r="B101" s="647" t="s">
        <v>159</v>
      </c>
      <c r="C101" s="643">
        <v>0</v>
      </c>
      <c r="D101" s="643">
        <v>0</v>
      </c>
      <c r="E101" s="644">
        <f>SUM(E102:E104)</f>
        <v>0</v>
      </c>
      <c r="F101" s="644">
        <f>SUM(F102:F104)</f>
        <v>0</v>
      </c>
      <c r="G101" s="644">
        <f>SUM(G102:G104)</f>
        <v>0</v>
      </c>
      <c r="H101" s="640">
        <f t="shared" si="10"/>
        <v>0</v>
      </c>
      <c r="I101" s="644">
        <v>0</v>
      </c>
      <c r="J101" s="644">
        <f>SUM(J102:J104)</f>
        <v>0</v>
      </c>
      <c r="K101" s="644">
        <f>SUM(K102:K104)</f>
        <v>0</v>
      </c>
      <c r="L101" s="644">
        <f>SUM(L102:L104)</f>
        <v>0</v>
      </c>
      <c r="M101" s="640">
        <f t="shared" si="11"/>
        <v>0</v>
      </c>
      <c r="N101" s="644">
        <v>0</v>
      </c>
      <c r="O101" s="644">
        <f>SUM(O102:O104)</f>
        <v>0</v>
      </c>
      <c r="P101" s="644">
        <f>SUM(P102:P104)</f>
        <v>0</v>
      </c>
      <c r="Q101" s="644">
        <f>SUM(Q102:Q104)</f>
        <v>0</v>
      </c>
      <c r="R101" s="640">
        <f t="shared" si="12"/>
        <v>0</v>
      </c>
    </row>
    <row r="102" spans="1:18" s="6" customFormat="1" ht="36" hidden="1" customHeight="1">
      <c r="A102" s="648">
        <v>18131</v>
      </c>
      <c r="B102" s="647" t="s">
        <v>160</v>
      </c>
      <c r="C102" s="643"/>
      <c r="D102" s="643">
        <v>0</v>
      </c>
      <c r="E102" s="644"/>
      <c r="F102" s="644"/>
      <c r="G102" s="644"/>
      <c r="H102" s="640">
        <f t="shared" si="10"/>
        <v>0</v>
      </c>
      <c r="I102" s="644">
        <v>0</v>
      </c>
      <c r="J102" s="644"/>
      <c r="K102" s="644"/>
      <c r="L102" s="644"/>
      <c r="M102" s="640">
        <f t="shared" si="11"/>
        <v>0</v>
      </c>
      <c r="N102" s="644">
        <v>0</v>
      </c>
      <c r="O102" s="644"/>
      <c r="P102" s="644"/>
      <c r="Q102" s="644"/>
      <c r="R102" s="640">
        <f t="shared" si="12"/>
        <v>0</v>
      </c>
    </row>
    <row r="103" spans="1:18" s="6" customFormat="1" ht="24" hidden="1" customHeight="1">
      <c r="A103" s="648">
        <v>18132</v>
      </c>
      <c r="B103" s="647" t="s">
        <v>169</v>
      </c>
      <c r="C103" s="643"/>
      <c r="D103" s="643">
        <v>0</v>
      </c>
      <c r="E103" s="644"/>
      <c r="F103" s="644"/>
      <c r="G103" s="644"/>
      <c r="H103" s="640">
        <f t="shared" si="10"/>
        <v>0</v>
      </c>
      <c r="I103" s="644">
        <v>0</v>
      </c>
      <c r="J103" s="644"/>
      <c r="K103" s="644"/>
      <c r="L103" s="644"/>
      <c r="M103" s="640">
        <f t="shared" si="11"/>
        <v>0</v>
      </c>
      <c r="N103" s="644">
        <v>0</v>
      </c>
      <c r="O103" s="644"/>
      <c r="P103" s="644"/>
      <c r="Q103" s="644"/>
      <c r="R103" s="640">
        <f t="shared" si="12"/>
        <v>0</v>
      </c>
    </row>
    <row r="104" spans="1:18" s="6" customFormat="1" ht="24" hidden="1" customHeight="1">
      <c r="A104" s="648">
        <v>18139</v>
      </c>
      <c r="B104" s="647" t="s">
        <v>179</v>
      </c>
      <c r="C104" s="643"/>
      <c r="D104" s="643">
        <v>0</v>
      </c>
      <c r="E104" s="644"/>
      <c r="F104" s="644"/>
      <c r="G104" s="644"/>
      <c r="H104" s="640">
        <f t="shared" si="10"/>
        <v>0</v>
      </c>
      <c r="I104" s="644">
        <v>0</v>
      </c>
      <c r="J104" s="644"/>
      <c r="K104" s="644"/>
      <c r="L104" s="644"/>
      <c r="M104" s="640">
        <f t="shared" si="11"/>
        <v>0</v>
      </c>
      <c r="N104" s="644">
        <v>0</v>
      </c>
      <c r="O104" s="644"/>
      <c r="P104" s="644"/>
      <c r="Q104" s="644"/>
      <c r="R104" s="640">
        <f t="shared" si="12"/>
        <v>0</v>
      </c>
    </row>
    <row r="105" spans="1:18" s="6" customFormat="1" ht="12" hidden="1" customHeight="1">
      <c r="A105" s="649" t="s">
        <v>180</v>
      </c>
      <c r="B105" s="650" t="s">
        <v>173</v>
      </c>
      <c r="C105" s="651">
        <v>0</v>
      </c>
      <c r="D105" s="651">
        <v>0</v>
      </c>
      <c r="E105" s="652">
        <f t="shared" ref="E105:L105" si="15">E106</f>
        <v>0</v>
      </c>
      <c r="F105" s="652">
        <f t="shared" si="15"/>
        <v>0</v>
      </c>
      <c r="G105" s="652">
        <f t="shared" si="15"/>
        <v>0</v>
      </c>
      <c r="H105" s="640">
        <f t="shared" si="10"/>
        <v>0</v>
      </c>
      <c r="I105" s="652">
        <v>0</v>
      </c>
      <c r="J105" s="652">
        <f t="shared" si="15"/>
        <v>0</v>
      </c>
      <c r="K105" s="652">
        <f t="shared" si="15"/>
        <v>0</v>
      </c>
      <c r="L105" s="652">
        <f t="shared" si="15"/>
        <v>0</v>
      </c>
      <c r="M105" s="640">
        <f t="shared" si="11"/>
        <v>0</v>
      </c>
      <c r="N105" s="652">
        <v>0</v>
      </c>
      <c r="O105" s="652">
        <f>O106</f>
        <v>0</v>
      </c>
      <c r="P105" s="652">
        <f>P106</f>
        <v>0</v>
      </c>
      <c r="Q105" s="652">
        <f>Q106</f>
        <v>0</v>
      </c>
      <c r="R105" s="640">
        <f t="shared" si="12"/>
        <v>0</v>
      </c>
    </row>
    <row r="106" spans="1:18" s="6" customFormat="1" ht="24" hidden="1" customHeight="1">
      <c r="A106" s="649">
        <v>19500</v>
      </c>
      <c r="B106" s="647" t="s">
        <v>174</v>
      </c>
      <c r="C106" s="643">
        <v>0</v>
      </c>
      <c r="D106" s="643">
        <v>0</v>
      </c>
      <c r="E106" s="644">
        <f>SUM(E107:E109)</f>
        <v>0</v>
      </c>
      <c r="F106" s="644">
        <f>SUM(F107:F109)</f>
        <v>0</v>
      </c>
      <c r="G106" s="644">
        <f>SUM(G107:G109)</f>
        <v>0</v>
      </c>
      <c r="H106" s="640">
        <f t="shared" si="10"/>
        <v>0</v>
      </c>
      <c r="I106" s="644">
        <v>0</v>
      </c>
      <c r="J106" s="644">
        <f>SUM(J107:J109)</f>
        <v>0</v>
      </c>
      <c r="K106" s="644">
        <f>SUM(K107:K109)</f>
        <v>0</v>
      </c>
      <c r="L106" s="644">
        <f>SUM(L107:L109)</f>
        <v>0</v>
      </c>
      <c r="M106" s="640">
        <f t="shared" si="11"/>
        <v>0</v>
      </c>
      <c r="N106" s="644">
        <v>0</v>
      </c>
      <c r="O106" s="644">
        <f>SUM(O107:O109)</f>
        <v>0</v>
      </c>
      <c r="P106" s="644">
        <f>SUM(P107:P109)</f>
        <v>0</v>
      </c>
      <c r="Q106" s="644">
        <f>SUM(Q107:Q109)</f>
        <v>0</v>
      </c>
      <c r="R106" s="640">
        <f t="shared" si="12"/>
        <v>0</v>
      </c>
    </row>
    <row r="107" spans="1:18" s="6" customFormat="1" ht="24" hidden="1" customHeight="1">
      <c r="A107" s="653">
        <v>19550</v>
      </c>
      <c r="B107" s="647" t="s">
        <v>175</v>
      </c>
      <c r="C107" s="643"/>
      <c r="D107" s="643">
        <v>0</v>
      </c>
      <c r="E107" s="644"/>
      <c r="F107" s="644"/>
      <c r="G107" s="644"/>
      <c r="H107" s="640">
        <f t="shared" si="10"/>
        <v>0</v>
      </c>
      <c r="I107" s="644">
        <v>0</v>
      </c>
      <c r="J107" s="644"/>
      <c r="K107" s="644"/>
      <c r="L107" s="644"/>
      <c r="M107" s="640">
        <f t="shared" si="11"/>
        <v>0</v>
      </c>
      <c r="N107" s="644">
        <v>0</v>
      </c>
      <c r="O107" s="644"/>
      <c r="P107" s="644"/>
      <c r="Q107" s="644"/>
      <c r="R107" s="640">
        <f t="shared" si="12"/>
        <v>0</v>
      </c>
    </row>
    <row r="108" spans="1:18" s="6" customFormat="1" ht="36" hidden="1" customHeight="1">
      <c r="A108" s="653">
        <v>19560</v>
      </c>
      <c r="B108" s="647" t="s">
        <v>181</v>
      </c>
      <c r="C108" s="643"/>
      <c r="D108" s="643">
        <v>0</v>
      </c>
      <c r="E108" s="644"/>
      <c r="F108" s="644"/>
      <c r="G108" s="644"/>
      <c r="H108" s="640">
        <f t="shared" si="10"/>
        <v>0</v>
      </c>
      <c r="I108" s="644">
        <v>0</v>
      </c>
      <c r="J108" s="644"/>
      <c r="K108" s="644"/>
      <c r="L108" s="644"/>
      <c r="M108" s="640">
        <f t="shared" si="11"/>
        <v>0</v>
      </c>
      <c r="N108" s="644">
        <v>0</v>
      </c>
      <c r="O108" s="644"/>
      <c r="P108" s="644"/>
      <c r="Q108" s="644"/>
      <c r="R108" s="640">
        <f t="shared" si="12"/>
        <v>0</v>
      </c>
    </row>
    <row r="109" spans="1:18" s="6" customFormat="1" ht="72" hidden="1" customHeight="1">
      <c r="A109" s="653">
        <v>19570</v>
      </c>
      <c r="B109" s="647" t="s">
        <v>182</v>
      </c>
      <c r="C109" s="643"/>
      <c r="D109" s="643">
        <v>0</v>
      </c>
      <c r="E109" s="644"/>
      <c r="F109" s="644"/>
      <c r="G109" s="644"/>
      <c r="H109" s="640">
        <f t="shared" si="10"/>
        <v>0</v>
      </c>
      <c r="I109" s="644">
        <v>0</v>
      </c>
      <c r="J109" s="644"/>
      <c r="K109" s="644"/>
      <c r="L109" s="644"/>
      <c r="M109" s="640">
        <f t="shared" si="11"/>
        <v>0</v>
      </c>
      <c r="N109" s="644">
        <v>0</v>
      </c>
      <c r="O109" s="644"/>
      <c r="P109" s="644"/>
      <c r="Q109" s="644"/>
      <c r="R109" s="640">
        <f t="shared" si="12"/>
        <v>0</v>
      </c>
    </row>
    <row r="110" spans="1:18" s="6" customFormat="1" ht="36" hidden="1" customHeight="1">
      <c r="A110" s="654" t="s">
        <v>222</v>
      </c>
      <c r="B110" s="655" t="s">
        <v>216</v>
      </c>
      <c r="C110" s="643">
        <f>C111</f>
        <v>0</v>
      </c>
      <c r="D110" s="643">
        <v>0</v>
      </c>
      <c r="E110" s="640">
        <f t="shared" ref="E110:L110" si="16">E111</f>
        <v>0</v>
      </c>
      <c r="F110" s="640">
        <f t="shared" si="16"/>
        <v>0</v>
      </c>
      <c r="G110" s="640">
        <f t="shared" si="16"/>
        <v>0</v>
      </c>
      <c r="H110" s="640">
        <f t="shared" si="10"/>
        <v>0</v>
      </c>
      <c r="I110" s="644">
        <v>0</v>
      </c>
      <c r="J110" s="640">
        <f t="shared" si="16"/>
        <v>0</v>
      </c>
      <c r="K110" s="640">
        <f t="shared" si="16"/>
        <v>0</v>
      </c>
      <c r="L110" s="640">
        <f t="shared" si="16"/>
        <v>0</v>
      </c>
      <c r="M110" s="640">
        <f t="shared" si="11"/>
        <v>0</v>
      </c>
      <c r="N110" s="644">
        <v>0</v>
      </c>
      <c r="O110" s="640">
        <f>O111</f>
        <v>0</v>
      </c>
      <c r="P110" s="640">
        <f>P111</f>
        <v>0</v>
      </c>
      <c r="Q110" s="640">
        <f>Q111</f>
        <v>0</v>
      </c>
      <c r="R110" s="640">
        <f t="shared" si="12"/>
        <v>0</v>
      </c>
    </row>
    <row r="111" spans="1:18" s="6" customFormat="1" ht="36" hidden="1" customHeight="1">
      <c r="A111" s="654">
        <v>17100</v>
      </c>
      <c r="B111" s="655" t="s">
        <v>217</v>
      </c>
      <c r="C111" s="643">
        <f>SUM(C112:C115)</f>
        <v>0</v>
      </c>
      <c r="D111" s="643">
        <v>0</v>
      </c>
      <c r="E111" s="640">
        <f>SUM(E112:E115)</f>
        <v>0</v>
      </c>
      <c r="F111" s="640">
        <f>SUM(F112:F115)</f>
        <v>0</v>
      </c>
      <c r="G111" s="640">
        <f>SUM(G112:G115)</f>
        <v>0</v>
      </c>
      <c r="H111" s="640">
        <f t="shared" si="10"/>
        <v>0</v>
      </c>
      <c r="I111" s="644">
        <v>0</v>
      </c>
      <c r="J111" s="640">
        <f>SUM(J112:J115)</f>
        <v>0</v>
      </c>
      <c r="K111" s="640">
        <f>SUM(K112:K115)</f>
        <v>0</v>
      </c>
      <c r="L111" s="640">
        <f>SUM(L112:L115)</f>
        <v>0</v>
      </c>
      <c r="M111" s="640">
        <f t="shared" si="11"/>
        <v>0</v>
      </c>
      <c r="N111" s="644">
        <v>0</v>
      </c>
      <c r="O111" s="640">
        <f>SUM(O112:O115)</f>
        <v>0</v>
      </c>
      <c r="P111" s="640">
        <f>SUM(P112:P115)</f>
        <v>0</v>
      </c>
      <c r="Q111" s="640">
        <f>SUM(Q112:Q115)</f>
        <v>0</v>
      </c>
      <c r="R111" s="640">
        <f t="shared" si="12"/>
        <v>0</v>
      </c>
    </row>
    <row r="112" spans="1:18" s="6" customFormat="1" ht="60" hidden="1" customHeight="1">
      <c r="A112" s="656">
        <v>17110</v>
      </c>
      <c r="B112" s="655" t="s">
        <v>218</v>
      </c>
      <c r="C112" s="643"/>
      <c r="D112" s="643">
        <v>0</v>
      </c>
      <c r="E112" s="644"/>
      <c r="F112" s="644"/>
      <c r="G112" s="644"/>
      <c r="H112" s="640">
        <f t="shared" si="10"/>
        <v>0</v>
      </c>
      <c r="I112" s="644">
        <v>0</v>
      </c>
      <c r="J112" s="644"/>
      <c r="K112" s="644"/>
      <c r="L112" s="644"/>
      <c r="M112" s="640">
        <f t="shared" si="11"/>
        <v>0</v>
      </c>
      <c r="N112" s="644">
        <v>0</v>
      </c>
      <c r="O112" s="644"/>
      <c r="P112" s="644"/>
      <c r="Q112" s="644"/>
      <c r="R112" s="640">
        <f t="shared" si="12"/>
        <v>0</v>
      </c>
    </row>
    <row r="113" spans="1:18" s="6" customFormat="1" ht="60" hidden="1" customHeight="1">
      <c r="A113" s="656">
        <v>17120</v>
      </c>
      <c r="B113" s="655" t="s">
        <v>219</v>
      </c>
      <c r="C113" s="643"/>
      <c r="D113" s="643">
        <v>0</v>
      </c>
      <c r="E113" s="644"/>
      <c r="F113" s="644"/>
      <c r="G113" s="644"/>
      <c r="H113" s="640">
        <f t="shared" si="10"/>
        <v>0</v>
      </c>
      <c r="I113" s="644">
        <v>0</v>
      </c>
      <c r="J113" s="644"/>
      <c r="K113" s="644"/>
      <c r="L113" s="644"/>
      <c r="M113" s="640">
        <f t="shared" si="11"/>
        <v>0</v>
      </c>
      <c r="N113" s="644">
        <v>0</v>
      </c>
      <c r="O113" s="644"/>
      <c r="P113" s="644"/>
      <c r="Q113" s="644"/>
      <c r="R113" s="640">
        <f t="shared" si="12"/>
        <v>0</v>
      </c>
    </row>
    <row r="114" spans="1:18" s="6" customFormat="1" ht="108" hidden="1" customHeight="1">
      <c r="A114" s="656">
        <v>17130</v>
      </c>
      <c r="B114" s="655" t="s">
        <v>220</v>
      </c>
      <c r="C114" s="643"/>
      <c r="D114" s="643">
        <v>0</v>
      </c>
      <c r="E114" s="644"/>
      <c r="F114" s="644"/>
      <c r="G114" s="644"/>
      <c r="H114" s="640">
        <f t="shared" si="10"/>
        <v>0</v>
      </c>
      <c r="I114" s="644">
        <v>0</v>
      </c>
      <c r="J114" s="644"/>
      <c r="K114" s="644"/>
      <c r="L114" s="644"/>
      <c r="M114" s="640">
        <f t="shared" si="11"/>
        <v>0</v>
      </c>
      <c r="N114" s="644">
        <v>0</v>
      </c>
      <c r="O114" s="644"/>
      <c r="P114" s="644"/>
      <c r="Q114" s="644"/>
      <c r="R114" s="640">
        <f t="shared" si="12"/>
        <v>0</v>
      </c>
    </row>
    <row r="115" spans="1:18" s="6" customFormat="1" ht="108" hidden="1" customHeight="1">
      <c r="A115" s="656">
        <v>17140</v>
      </c>
      <c r="B115" s="655" t="s">
        <v>221</v>
      </c>
      <c r="C115" s="643"/>
      <c r="D115" s="643">
        <v>0</v>
      </c>
      <c r="E115" s="644"/>
      <c r="F115" s="644"/>
      <c r="G115" s="644"/>
      <c r="H115" s="640">
        <f t="shared" si="10"/>
        <v>0</v>
      </c>
      <c r="I115" s="644">
        <v>0</v>
      </c>
      <c r="J115" s="644"/>
      <c r="K115" s="644"/>
      <c r="L115" s="644"/>
      <c r="M115" s="640">
        <f t="shared" si="11"/>
        <v>0</v>
      </c>
      <c r="N115" s="644">
        <v>0</v>
      </c>
      <c r="O115" s="644"/>
      <c r="P115" s="644"/>
      <c r="Q115" s="644"/>
      <c r="R115" s="640">
        <f t="shared" si="12"/>
        <v>0</v>
      </c>
    </row>
    <row r="116" spans="1:18" s="6" customFormat="1" ht="12">
      <c r="A116" s="657">
        <v>21700</v>
      </c>
      <c r="B116" s="637" t="s">
        <v>97</v>
      </c>
      <c r="C116" s="643">
        <v>261076</v>
      </c>
      <c r="D116" s="643">
        <v>398337</v>
      </c>
      <c r="E116" s="644">
        <f>E117+E118</f>
        <v>0</v>
      </c>
      <c r="F116" s="644">
        <f>F117+F118</f>
        <v>21133</v>
      </c>
      <c r="G116" s="644">
        <f>G117+G118</f>
        <v>111000</v>
      </c>
      <c r="H116" s="640">
        <f t="shared" si="10"/>
        <v>530470</v>
      </c>
      <c r="I116" s="644">
        <v>4220790</v>
      </c>
      <c r="J116" s="644">
        <f>J117+J118</f>
        <v>0</v>
      </c>
      <c r="K116" s="644">
        <f>K117+K118</f>
        <v>21133</v>
      </c>
      <c r="L116" s="644">
        <f>L117+L118</f>
        <v>0</v>
      </c>
      <c r="M116" s="640">
        <f t="shared" si="11"/>
        <v>4241923</v>
      </c>
      <c r="N116" s="644">
        <v>255276</v>
      </c>
      <c r="O116" s="644">
        <f>O117+O118</f>
        <v>0</v>
      </c>
      <c r="P116" s="644">
        <f>P117+P118</f>
        <v>21133</v>
      </c>
      <c r="Q116" s="644">
        <f>Q117+Q118</f>
        <v>0</v>
      </c>
      <c r="R116" s="640">
        <f t="shared" si="12"/>
        <v>276409</v>
      </c>
    </row>
    <row r="117" spans="1:18" s="6" customFormat="1" ht="24">
      <c r="A117" s="658">
        <v>21710</v>
      </c>
      <c r="B117" s="642" t="s">
        <v>98</v>
      </c>
      <c r="C117" s="643">
        <v>261076</v>
      </c>
      <c r="D117" s="643">
        <v>398337</v>
      </c>
      <c r="E117" s="644"/>
      <c r="F117" s="644">
        <f>F119</f>
        <v>21133</v>
      </c>
      <c r="G117" s="644">
        <f>G119</f>
        <v>111000</v>
      </c>
      <c r="H117" s="640">
        <f t="shared" si="10"/>
        <v>530470</v>
      </c>
      <c r="I117" s="644">
        <v>4220790</v>
      </c>
      <c r="J117" s="644"/>
      <c r="K117" s="644">
        <f>K119</f>
        <v>21133</v>
      </c>
      <c r="L117" s="644"/>
      <c r="M117" s="640">
        <f t="shared" si="11"/>
        <v>4241923</v>
      </c>
      <c r="N117" s="644">
        <v>255276</v>
      </c>
      <c r="O117" s="644"/>
      <c r="P117" s="644">
        <f>P119</f>
        <v>21133</v>
      </c>
      <c r="Q117" s="644">
        <f>Q119</f>
        <v>0</v>
      </c>
      <c r="R117" s="640">
        <f t="shared" si="12"/>
        <v>276409</v>
      </c>
    </row>
    <row r="118" spans="1:18" s="6" customFormat="1" ht="24" hidden="1" customHeight="1">
      <c r="A118" s="658">
        <v>21720</v>
      </c>
      <c r="B118" s="642" t="s">
        <v>99</v>
      </c>
      <c r="C118" s="643"/>
      <c r="D118" s="643">
        <v>0</v>
      </c>
      <c r="E118" s="644"/>
      <c r="F118" s="644"/>
      <c r="G118" s="644"/>
      <c r="H118" s="640">
        <f t="shared" si="10"/>
        <v>0</v>
      </c>
      <c r="I118" s="644">
        <v>0</v>
      </c>
      <c r="J118" s="644"/>
      <c r="K118" s="644"/>
      <c r="L118" s="644"/>
      <c r="M118" s="640">
        <f t="shared" si="11"/>
        <v>0</v>
      </c>
      <c r="N118" s="644">
        <v>0</v>
      </c>
      <c r="O118" s="644"/>
      <c r="P118" s="644"/>
      <c r="Q118" s="644"/>
      <c r="R118" s="640">
        <f t="shared" si="12"/>
        <v>0</v>
      </c>
    </row>
    <row r="119" spans="1:18" s="6" customFormat="1" ht="11.4">
      <c r="A119" s="631" t="s">
        <v>100</v>
      </c>
      <c r="B119" s="632" t="s">
        <v>101</v>
      </c>
      <c r="C119" s="659">
        <v>261076</v>
      </c>
      <c r="D119" s="659">
        <v>398337</v>
      </c>
      <c r="E119" s="660">
        <f>E120+E147</f>
        <v>0</v>
      </c>
      <c r="F119" s="660">
        <f>F120+F147</f>
        <v>21133</v>
      </c>
      <c r="G119" s="660">
        <f>G120+G147</f>
        <v>111000</v>
      </c>
      <c r="H119" s="635">
        <f t="shared" si="10"/>
        <v>530470</v>
      </c>
      <c r="I119" s="660">
        <v>4220790</v>
      </c>
      <c r="J119" s="660">
        <f>J120+J147</f>
        <v>0</v>
      </c>
      <c r="K119" s="660">
        <f>K120+K147</f>
        <v>21133</v>
      </c>
      <c r="L119" s="660">
        <f>L120+L147</f>
        <v>0</v>
      </c>
      <c r="M119" s="635">
        <f t="shared" si="11"/>
        <v>4241923</v>
      </c>
      <c r="N119" s="660">
        <v>255276</v>
      </c>
      <c r="O119" s="660">
        <f>O120+O147</f>
        <v>0</v>
      </c>
      <c r="P119" s="660">
        <f>P120+P147</f>
        <v>21133</v>
      </c>
      <c r="Q119" s="660">
        <f>Q120+Q147</f>
        <v>0</v>
      </c>
      <c r="R119" s="635">
        <f t="shared" si="12"/>
        <v>276409</v>
      </c>
    </row>
    <row r="120" spans="1:18" s="6" customFormat="1" ht="20.399999999999999">
      <c r="A120" s="636" t="s">
        <v>102</v>
      </c>
      <c r="B120" s="637" t="s">
        <v>103</v>
      </c>
      <c r="C120" s="643">
        <v>259676</v>
      </c>
      <c r="D120" s="643">
        <v>396937</v>
      </c>
      <c r="E120" s="644">
        <f>E121+E125+E126+E129+E132</f>
        <v>0</v>
      </c>
      <c r="F120" s="644">
        <f>F121+F125+F126+F129+F132</f>
        <v>21133</v>
      </c>
      <c r="G120" s="644">
        <f>G121+G125+G126+G129+G132</f>
        <v>111000</v>
      </c>
      <c r="H120" s="640">
        <f t="shared" si="10"/>
        <v>529070</v>
      </c>
      <c r="I120" s="644">
        <v>4215811</v>
      </c>
      <c r="J120" s="644">
        <f>J121+J125+J126+J129+J132</f>
        <v>0</v>
      </c>
      <c r="K120" s="644">
        <f>K121+K125+K126+K129+K132</f>
        <v>21133</v>
      </c>
      <c r="L120" s="644">
        <f>L121+L125+L126+L129+L132</f>
        <v>0</v>
      </c>
      <c r="M120" s="640">
        <f t="shared" si="11"/>
        <v>4236944</v>
      </c>
      <c r="N120" s="644">
        <v>253876</v>
      </c>
      <c r="O120" s="644">
        <f>O121+O125+O126+O129+O132</f>
        <v>0</v>
      </c>
      <c r="P120" s="644">
        <f>P121+P125+P126+P129+P132</f>
        <v>21133</v>
      </c>
      <c r="Q120" s="644">
        <f>Q121+Q125+Q126+Q129+Q132</f>
        <v>0</v>
      </c>
      <c r="R120" s="640">
        <f t="shared" si="12"/>
        <v>275009</v>
      </c>
    </row>
    <row r="121" spans="1:18" s="6" customFormat="1" ht="12">
      <c r="A121" s="636" t="s">
        <v>104</v>
      </c>
      <c r="B121" s="637" t="s">
        <v>105</v>
      </c>
      <c r="C121" s="643">
        <v>258902</v>
      </c>
      <c r="D121" s="643">
        <v>396163</v>
      </c>
      <c r="E121" s="644">
        <f>E122+E124</f>
        <v>0</v>
      </c>
      <c r="F121" s="644">
        <f>F122+F124</f>
        <v>21133</v>
      </c>
      <c r="G121" s="644">
        <f>G122+G124</f>
        <v>111000</v>
      </c>
      <c r="H121" s="640">
        <f t="shared" si="10"/>
        <v>528296</v>
      </c>
      <c r="I121" s="644">
        <v>4215037</v>
      </c>
      <c r="J121" s="644">
        <f>J122+J124</f>
        <v>0</v>
      </c>
      <c r="K121" s="644">
        <f>K122+K124</f>
        <v>21133</v>
      </c>
      <c r="L121" s="644">
        <f>L122+L124</f>
        <v>0</v>
      </c>
      <c r="M121" s="640">
        <f t="shared" si="11"/>
        <v>4236170</v>
      </c>
      <c r="N121" s="644">
        <v>253102</v>
      </c>
      <c r="O121" s="644">
        <f>O122+O124</f>
        <v>0</v>
      </c>
      <c r="P121" s="644">
        <f>P122+P124</f>
        <v>21133</v>
      </c>
      <c r="Q121" s="644">
        <f>Q122+Q124</f>
        <v>0</v>
      </c>
      <c r="R121" s="640">
        <f t="shared" si="12"/>
        <v>274235</v>
      </c>
    </row>
    <row r="122" spans="1:18" s="29" customFormat="1" ht="12">
      <c r="A122" s="645">
        <v>1000</v>
      </c>
      <c r="B122" s="642" t="s">
        <v>106</v>
      </c>
      <c r="C122" s="643">
        <v>197102</v>
      </c>
      <c r="D122" s="643">
        <v>267551</v>
      </c>
      <c r="E122" s="661"/>
      <c r="F122" s="644">
        <v>20893</v>
      </c>
      <c r="G122" s="644"/>
      <c r="H122" s="640">
        <f t="shared" si="10"/>
        <v>288444</v>
      </c>
      <c r="I122" s="644">
        <v>3511832</v>
      </c>
      <c r="J122" s="661"/>
      <c r="K122" s="644">
        <v>20893</v>
      </c>
      <c r="L122" s="644"/>
      <c r="M122" s="640">
        <f t="shared" si="11"/>
        <v>3532725</v>
      </c>
      <c r="N122" s="644">
        <v>197102</v>
      </c>
      <c r="O122" s="661"/>
      <c r="P122" s="644">
        <v>20893</v>
      </c>
      <c r="Q122" s="644"/>
      <c r="R122" s="640">
        <f t="shared" si="12"/>
        <v>217995</v>
      </c>
    </row>
    <row r="123" spans="1:18" s="89" customFormat="1" ht="12">
      <c r="A123" s="662">
        <v>1100</v>
      </c>
      <c r="B123" s="642" t="s">
        <v>107</v>
      </c>
      <c r="C123" s="643">
        <v>155529</v>
      </c>
      <c r="D123" s="643">
        <v>212301</v>
      </c>
      <c r="E123" s="661"/>
      <c r="F123" s="644">
        <v>16164</v>
      </c>
      <c r="G123" s="644"/>
      <c r="H123" s="640">
        <f t="shared" si="10"/>
        <v>228465</v>
      </c>
      <c r="I123" s="644">
        <v>2836171</v>
      </c>
      <c r="J123" s="661"/>
      <c r="K123" s="644">
        <v>16164</v>
      </c>
      <c r="L123" s="644"/>
      <c r="M123" s="640">
        <f t="shared" si="11"/>
        <v>2852335</v>
      </c>
      <c r="N123" s="644">
        <v>155529</v>
      </c>
      <c r="O123" s="661"/>
      <c r="P123" s="644">
        <v>16164</v>
      </c>
      <c r="Q123" s="644"/>
      <c r="R123" s="640">
        <f t="shared" si="12"/>
        <v>171693</v>
      </c>
    </row>
    <row r="124" spans="1:18" s="89" customFormat="1" ht="12">
      <c r="A124" s="645">
        <v>2000</v>
      </c>
      <c r="B124" s="642" t="s">
        <v>108</v>
      </c>
      <c r="C124" s="643">
        <v>61800</v>
      </c>
      <c r="D124" s="643">
        <v>128612</v>
      </c>
      <c r="E124" s="661"/>
      <c r="F124" s="644">
        <v>240</v>
      </c>
      <c r="G124" s="644">
        <v>111000</v>
      </c>
      <c r="H124" s="640">
        <f t="shared" si="10"/>
        <v>239852</v>
      </c>
      <c r="I124" s="644">
        <v>703205</v>
      </c>
      <c r="J124" s="661"/>
      <c r="K124" s="644">
        <v>240</v>
      </c>
      <c r="L124" s="644"/>
      <c r="M124" s="640">
        <f t="shared" si="11"/>
        <v>703445</v>
      </c>
      <c r="N124" s="644">
        <v>56000</v>
      </c>
      <c r="O124" s="661"/>
      <c r="P124" s="644">
        <v>240</v>
      </c>
      <c r="Q124" s="644"/>
      <c r="R124" s="640">
        <f t="shared" si="12"/>
        <v>56240</v>
      </c>
    </row>
    <row r="125" spans="1:18" s="89" customFormat="1" ht="12" hidden="1" customHeight="1">
      <c r="A125" s="663">
        <v>4000</v>
      </c>
      <c r="B125" s="637" t="s">
        <v>132</v>
      </c>
      <c r="C125" s="643"/>
      <c r="D125" s="643">
        <v>0</v>
      </c>
      <c r="E125" s="661"/>
      <c r="F125" s="661"/>
      <c r="G125" s="661"/>
      <c r="H125" s="640">
        <f t="shared" si="10"/>
        <v>0</v>
      </c>
      <c r="I125" s="644">
        <v>0</v>
      </c>
      <c r="J125" s="661"/>
      <c r="K125" s="661"/>
      <c r="L125" s="661"/>
      <c r="M125" s="640">
        <f t="shared" si="11"/>
        <v>0</v>
      </c>
      <c r="N125" s="644">
        <v>0</v>
      </c>
      <c r="O125" s="661"/>
      <c r="P125" s="661"/>
      <c r="Q125" s="661"/>
      <c r="R125" s="640">
        <f t="shared" si="12"/>
        <v>0</v>
      </c>
    </row>
    <row r="126" spans="1:18" s="89" customFormat="1" ht="12" hidden="1" customHeight="1">
      <c r="A126" s="663" t="s">
        <v>109</v>
      </c>
      <c r="B126" s="637" t="s">
        <v>110</v>
      </c>
      <c r="C126" s="643">
        <v>0</v>
      </c>
      <c r="D126" s="643">
        <v>0</v>
      </c>
      <c r="E126" s="644">
        <f>E127+E128</f>
        <v>0</v>
      </c>
      <c r="F126" s="644">
        <f>F127+F128</f>
        <v>0</v>
      </c>
      <c r="G126" s="644">
        <f>G127+G128</f>
        <v>0</v>
      </c>
      <c r="H126" s="640">
        <f t="shared" si="10"/>
        <v>0</v>
      </c>
      <c r="I126" s="644">
        <v>0</v>
      </c>
      <c r="J126" s="644">
        <f>J127+J128</f>
        <v>0</v>
      </c>
      <c r="K126" s="644">
        <f>K127+K128</f>
        <v>0</v>
      </c>
      <c r="L126" s="644">
        <f>L127+L128</f>
        <v>0</v>
      </c>
      <c r="M126" s="640">
        <f t="shared" si="11"/>
        <v>0</v>
      </c>
      <c r="N126" s="644">
        <v>0</v>
      </c>
      <c r="O126" s="644">
        <f>O127+O128</f>
        <v>0</v>
      </c>
      <c r="P126" s="644">
        <f>P127+P128</f>
        <v>0</v>
      </c>
      <c r="Q126" s="644">
        <f>Q127+Q128</f>
        <v>0</v>
      </c>
      <c r="R126" s="640">
        <f t="shared" si="12"/>
        <v>0</v>
      </c>
    </row>
    <row r="127" spans="1:18" s="89" customFormat="1" ht="12" hidden="1" customHeight="1">
      <c r="A127" s="645">
        <v>3000</v>
      </c>
      <c r="B127" s="642" t="s">
        <v>111</v>
      </c>
      <c r="C127" s="664"/>
      <c r="D127" s="664">
        <v>0</v>
      </c>
      <c r="E127" s="665"/>
      <c r="F127" s="665"/>
      <c r="G127" s="665"/>
      <c r="H127" s="640">
        <f t="shared" si="10"/>
        <v>0</v>
      </c>
      <c r="I127" s="666">
        <v>0</v>
      </c>
      <c r="J127" s="665"/>
      <c r="K127" s="665"/>
      <c r="L127" s="665"/>
      <c r="M127" s="640">
        <f t="shared" si="11"/>
        <v>0</v>
      </c>
      <c r="N127" s="666">
        <v>0</v>
      </c>
      <c r="O127" s="665"/>
      <c r="P127" s="665"/>
      <c r="Q127" s="665"/>
      <c r="R127" s="640">
        <f t="shared" si="12"/>
        <v>0</v>
      </c>
    </row>
    <row r="128" spans="1:18" s="89" customFormat="1" ht="12" hidden="1" customHeight="1">
      <c r="A128" s="645">
        <v>6000</v>
      </c>
      <c r="B128" s="642" t="s">
        <v>112</v>
      </c>
      <c r="C128" s="667"/>
      <c r="D128" s="667">
        <v>0</v>
      </c>
      <c r="E128" s="668"/>
      <c r="F128" s="668"/>
      <c r="G128" s="668"/>
      <c r="H128" s="640">
        <f t="shared" si="10"/>
        <v>0</v>
      </c>
      <c r="I128" s="669">
        <v>0</v>
      </c>
      <c r="J128" s="668"/>
      <c r="K128" s="668"/>
      <c r="L128" s="668"/>
      <c r="M128" s="640">
        <f t="shared" si="11"/>
        <v>0</v>
      </c>
      <c r="N128" s="669">
        <v>0</v>
      </c>
      <c r="O128" s="668"/>
      <c r="P128" s="668"/>
      <c r="Q128" s="668"/>
      <c r="R128" s="640">
        <f t="shared" si="12"/>
        <v>0</v>
      </c>
    </row>
    <row r="129" spans="1:18" s="89" customFormat="1" ht="22.8">
      <c r="A129" s="663" t="s">
        <v>113</v>
      </c>
      <c r="B129" s="637" t="s">
        <v>183</v>
      </c>
      <c r="C129" s="643">
        <v>774</v>
      </c>
      <c r="D129" s="643">
        <v>774</v>
      </c>
      <c r="E129" s="644">
        <f>E130+E131</f>
        <v>0</v>
      </c>
      <c r="F129" s="644">
        <f>F130+F131</f>
        <v>0</v>
      </c>
      <c r="G129" s="644">
        <f>G130+G131</f>
        <v>0</v>
      </c>
      <c r="H129" s="640">
        <f t="shared" si="10"/>
        <v>774</v>
      </c>
      <c r="I129" s="644">
        <v>774</v>
      </c>
      <c r="J129" s="644">
        <f>J130+J131</f>
        <v>0</v>
      </c>
      <c r="K129" s="644">
        <f>K130+K131</f>
        <v>0</v>
      </c>
      <c r="L129" s="644">
        <f>L130+L131</f>
        <v>0</v>
      </c>
      <c r="M129" s="640">
        <f t="shared" si="11"/>
        <v>774</v>
      </c>
      <c r="N129" s="644">
        <v>774</v>
      </c>
      <c r="O129" s="644">
        <f>O130+O131</f>
        <v>0</v>
      </c>
      <c r="P129" s="644">
        <f>P130+P131</f>
        <v>0</v>
      </c>
      <c r="Q129" s="644">
        <f>Q130+Q131</f>
        <v>0</v>
      </c>
      <c r="R129" s="640">
        <f t="shared" si="12"/>
        <v>774</v>
      </c>
    </row>
    <row r="130" spans="1:18" s="89" customFormat="1" ht="12" hidden="1" customHeight="1">
      <c r="A130" s="645">
        <v>7600</v>
      </c>
      <c r="B130" s="670" t="s">
        <v>184</v>
      </c>
      <c r="C130" s="643"/>
      <c r="D130" s="643">
        <v>0</v>
      </c>
      <c r="E130" s="661"/>
      <c r="F130" s="661"/>
      <c r="G130" s="661"/>
      <c r="H130" s="640">
        <f t="shared" si="10"/>
        <v>0</v>
      </c>
      <c r="I130" s="644">
        <v>0</v>
      </c>
      <c r="J130" s="661"/>
      <c r="K130" s="661"/>
      <c r="L130" s="661"/>
      <c r="M130" s="640">
        <f t="shared" si="11"/>
        <v>0</v>
      </c>
      <c r="N130" s="644">
        <v>0</v>
      </c>
      <c r="O130" s="661"/>
      <c r="P130" s="661"/>
      <c r="Q130" s="661"/>
      <c r="R130" s="640">
        <f t="shared" si="12"/>
        <v>0</v>
      </c>
    </row>
    <row r="131" spans="1:18" s="89" customFormat="1" ht="12">
      <c r="A131" s="645">
        <v>7700</v>
      </c>
      <c r="B131" s="671" t="s">
        <v>114</v>
      </c>
      <c r="C131" s="643">
        <v>774</v>
      </c>
      <c r="D131" s="643">
        <v>774</v>
      </c>
      <c r="E131" s="661"/>
      <c r="F131" s="661"/>
      <c r="G131" s="661"/>
      <c r="H131" s="640">
        <f t="shared" si="10"/>
        <v>774</v>
      </c>
      <c r="I131" s="644">
        <v>774</v>
      </c>
      <c r="J131" s="661"/>
      <c r="K131" s="661"/>
      <c r="L131" s="661"/>
      <c r="M131" s="640">
        <f t="shared" si="11"/>
        <v>774</v>
      </c>
      <c r="N131" s="644">
        <v>774</v>
      </c>
      <c r="O131" s="661"/>
      <c r="P131" s="661"/>
      <c r="Q131" s="661"/>
      <c r="R131" s="640">
        <f t="shared" si="12"/>
        <v>774</v>
      </c>
    </row>
    <row r="132" spans="1:18" s="89" customFormat="1" ht="21" hidden="1" customHeight="1">
      <c r="A132" s="663" t="s">
        <v>185</v>
      </c>
      <c r="B132" s="637" t="s">
        <v>115</v>
      </c>
      <c r="C132" s="643">
        <v>0</v>
      </c>
      <c r="D132" s="643">
        <v>0</v>
      </c>
      <c r="E132" s="644">
        <f>E133+E139+E143+E146</f>
        <v>0</v>
      </c>
      <c r="F132" s="644">
        <f>F133+F139+F143+F146</f>
        <v>0</v>
      </c>
      <c r="G132" s="644">
        <f>G133+G139+G143+G146</f>
        <v>0</v>
      </c>
      <c r="H132" s="640">
        <f t="shared" si="10"/>
        <v>0</v>
      </c>
      <c r="I132" s="644">
        <v>0</v>
      </c>
      <c r="J132" s="644">
        <f>J133+J139+J143+J146</f>
        <v>0</v>
      </c>
      <c r="K132" s="644">
        <f>K133+K139+K143+K146</f>
        <v>0</v>
      </c>
      <c r="L132" s="644">
        <f>L133+L139+L143+L146</f>
        <v>0</v>
      </c>
      <c r="M132" s="640">
        <f t="shared" si="11"/>
        <v>0</v>
      </c>
      <c r="N132" s="644">
        <v>0</v>
      </c>
      <c r="O132" s="644">
        <f>O133+O139+O143+O146</f>
        <v>0</v>
      </c>
      <c r="P132" s="644">
        <f>P133+P139+P143+P146</f>
        <v>0</v>
      </c>
      <c r="Q132" s="644">
        <f>Q133+Q139+Q143+Q146</f>
        <v>0</v>
      </c>
      <c r="R132" s="640">
        <f t="shared" si="12"/>
        <v>0</v>
      </c>
    </row>
    <row r="133" spans="1:18" s="89" customFormat="1" ht="12" hidden="1" customHeight="1">
      <c r="A133" s="645">
        <v>7100</v>
      </c>
      <c r="B133" s="670" t="s">
        <v>116</v>
      </c>
      <c r="C133" s="643">
        <v>0</v>
      </c>
      <c r="D133" s="643">
        <v>0</v>
      </c>
      <c r="E133" s="644">
        <f>E134+E135</f>
        <v>0</v>
      </c>
      <c r="F133" s="644">
        <f>F134+F135</f>
        <v>0</v>
      </c>
      <c r="G133" s="644">
        <f>G134+G135</f>
        <v>0</v>
      </c>
      <c r="H133" s="640">
        <f t="shared" si="10"/>
        <v>0</v>
      </c>
      <c r="I133" s="644">
        <v>0</v>
      </c>
      <c r="J133" s="644">
        <f>J134+J135</f>
        <v>0</v>
      </c>
      <c r="K133" s="644">
        <f>K134+K135</f>
        <v>0</v>
      </c>
      <c r="L133" s="644">
        <f>L134+L135</f>
        <v>0</v>
      </c>
      <c r="M133" s="640">
        <f t="shared" si="11"/>
        <v>0</v>
      </c>
      <c r="N133" s="644">
        <v>0</v>
      </c>
      <c r="O133" s="644">
        <f>O134+O135</f>
        <v>0</v>
      </c>
      <c r="P133" s="644">
        <f>P134+P135</f>
        <v>0</v>
      </c>
      <c r="Q133" s="644">
        <f>Q134+Q135</f>
        <v>0</v>
      </c>
      <c r="R133" s="640">
        <f t="shared" si="12"/>
        <v>0</v>
      </c>
    </row>
    <row r="134" spans="1:18" s="89" customFormat="1" ht="24" hidden="1" customHeight="1">
      <c r="A134" s="646" t="s">
        <v>117</v>
      </c>
      <c r="B134" s="670" t="s">
        <v>118</v>
      </c>
      <c r="C134" s="643"/>
      <c r="D134" s="643">
        <v>0</v>
      </c>
      <c r="E134" s="644"/>
      <c r="F134" s="644"/>
      <c r="G134" s="644"/>
      <c r="H134" s="640">
        <f t="shared" si="10"/>
        <v>0</v>
      </c>
      <c r="I134" s="644">
        <v>0</v>
      </c>
      <c r="J134" s="644"/>
      <c r="K134" s="644"/>
      <c r="L134" s="644"/>
      <c r="M134" s="640">
        <f t="shared" si="11"/>
        <v>0</v>
      </c>
      <c r="N134" s="644">
        <v>0</v>
      </c>
      <c r="O134" s="644"/>
      <c r="P134" s="644"/>
      <c r="Q134" s="644"/>
      <c r="R134" s="640">
        <f t="shared" si="12"/>
        <v>0</v>
      </c>
    </row>
    <row r="135" spans="1:18" s="89" customFormat="1" ht="24" hidden="1" customHeight="1">
      <c r="A135" s="646">
        <v>7130</v>
      </c>
      <c r="B135" s="670" t="s">
        <v>119</v>
      </c>
      <c r="C135" s="643">
        <v>0</v>
      </c>
      <c r="D135" s="643">
        <v>0</v>
      </c>
      <c r="E135" s="644">
        <f>SUM(E136:E138)</f>
        <v>0</v>
      </c>
      <c r="F135" s="644">
        <f>SUM(F136:F138)</f>
        <v>0</v>
      </c>
      <c r="G135" s="644">
        <f>SUM(G136:G138)</f>
        <v>0</v>
      </c>
      <c r="H135" s="640">
        <f t="shared" si="10"/>
        <v>0</v>
      </c>
      <c r="I135" s="644">
        <v>0</v>
      </c>
      <c r="J135" s="644">
        <f>SUM(J136:J138)</f>
        <v>0</v>
      </c>
      <c r="K135" s="644">
        <f>SUM(K136:K138)</f>
        <v>0</v>
      </c>
      <c r="L135" s="644">
        <f>SUM(L136:L138)</f>
        <v>0</v>
      </c>
      <c r="M135" s="640">
        <f t="shared" si="11"/>
        <v>0</v>
      </c>
      <c r="N135" s="644">
        <v>0</v>
      </c>
      <c r="O135" s="644">
        <f>SUM(O136:O138)</f>
        <v>0</v>
      </c>
      <c r="P135" s="644">
        <f>SUM(P136:P138)</f>
        <v>0</v>
      </c>
      <c r="Q135" s="644">
        <f>SUM(Q136:Q138)</f>
        <v>0</v>
      </c>
      <c r="R135" s="640">
        <f t="shared" si="12"/>
        <v>0</v>
      </c>
    </row>
    <row r="136" spans="1:18" s="89" customFormat="1" ht="36" hidden="1" customHeight="1">
      <c r="A136" s="648">
        <v>7131</v>
      </c>
      <c r="B136" s="670" t="s">
        <v>120</v>
      </c>
      <c r="C136" s="643"/>
      <c r="D136" s="643">
        <v>0</v>
      </c>
      <c r="E136" s="644"/>
      <c r="F136" s="644"/>
      <c r="G136" s="644"/>
      <c r="H136" s="640">
        <f t="shared" si="10"/>
        <v>0</v>
      </c>
      <c r="I136" s="644">
        <v>0</v>
      </c>
      <c r="J136" s="644"/>
      <c r="K136" s="644"/>
      <c r="L136" s="644"/>
      <c r="M136" s="640">
        <f t="shared" si="11"/>
        <v>0</v>
      </c>
      <c r="N136" s="644">
        <v>0</v>
      </c>
      <c r="O136" s="644"/>
      <c r="P136" s="644"/>
      <c r="Q136" s="644"/>
      <c r="R136" s="640">
        <f t="shared" si="12"/>
        <v>0</v>
      </c>
    </row>
    <row r="137" spans="1:18" s="29" customFormat="1" ht="36" hidden="1" customHeight="1">
      <c r="A137" s="648">
        <v>7132</v>
      </c>
      <c r="B137" s="670" t="s">
        <v>121</v>
      </c>
      <c r="C137" s="643"/>
      <c r="D137" s="643">
        <v>0</v>
      </c>
      <c r="E137" s="644"/>
      <c r="F137" s="644"/>
      <c r="G137" s="644"/>
      <c r="H137" s="640">
        <f t="shared" si="10"/>
        <v>0</v>
      </c>
      <c r="I137" s="644">
        <v>0</v>
      </c>
      <c r="J137" s="644"/>
      <c r="K137" s="644"/>
      <c r="L137" s="644"/>
      <c r="M137" s="640">
        <f t="shared" si="11"/>
        <v>0</v>
      </c>
      <c r="N137" s="644">
        <v>0</v>
      </c>
      <c r="O137" s="644"/>
      <c r="P137" s="644"/>
      <c r="Q137" s="644"/>
      <c r="R137" s="640">
        <f t="shared" si="12"/>
        <v>0</v>
      </c>
    </row>
    <row r="138" spans="1:18" s="29" customFormat="1" ht="36" hidden="1" customHeight="1">
      <c r="A138" s="648" t="s">
        <v>186</v>
      </c>
      <c r="B138" s="670" t="s">
        <v>187</v>
      </c>
      <c r="C138" s="643"/>
      <c r="D138" s="643">
        <v>0</v>
      </c>
      <c r="E138" s="644"/>
      <c r="F138" s="644"/>
      <c r="G138" s="644"/>
      <c r="H138" s="640">
        <f t="shared" ref="H138:H201" si="17">SUM(D138:G138)</f>
        <v>0</v>
      </c>
      <c r="I138" s="644">
        <v>0</v>
      </c>
      <c r="J138" s="644"/>
      <c r="K138" s="644"/>
      <c r="L138" s="644"/>
      <c r="M138" s="640">
        <f t="shared" ref="M138:M201" si="18">SUM(I138:L138)</f>
        <v>0</v>
      </c>
      <c r="N138" s="644">
        <v>0</v>
      </c>
      <c r="O138" s="644"/>
      <c r="P138" s="644"/>
      <c r="Q138" s="644"/>
      <c r="R138" s="640">
        <f t="shared" ref="R138:R201" si="19">SUM(N138:Q138)</f>
        <v>0</v>
      </c>
    </row>
    <row r="139" spans="1:18" s="29" customFormat="1" ht="24" hidden="1" customHeight="1">
      <c r="A139" s="645">
        <v>7300</v>
      </c>
      <c r="B139" s="647" t="s">
        <v>155</v>
      </c>
      <c r="C139" s="643">
        <v>0</v>
      </c>
      <c r="D139" s="643">
        <v>0</v>
      </c>
      <c r="E139" s="644">
        <f>SUM(E140:E142)</f>
        <v>0</v>
      </c>
      <c r="F139" s="644">
        <f>SUM(F140:F142)</f>
        <v>0</v>
      </c>
      <c r="G139" s="644">
        <f>SUM(G140:G142)</f>
        <v>0</v>
      </c>
      <c r="H139" s="640">
        <f t="shared" si="17"/>
        <v>0</v>
      </c>
      <c r="I139" s="644">
        <v>0</v>
      </c>
      <c r="J139" s="644">
        <f>SUM(J140:J142)</f>
        <v>0</v>
      </c>
      <c r="K139" s="644">
        <f>SUM(K140:K142)</f>
        <v>0</v>
      </c>
      <c r="L139" s="644">
        <f>SUM(L140:L142)</f>
        <v>0</v>
      </c>
      <c r="M139" s="640">
        <f t="shared" si="18"/>
        <v>0</v>
      </c>
      <c r="N139" s="644">
        <v>0</v>
      </c>
      <c r="O139" s="644">
        <f>SUM(O140:O142)</f>
        <v>0</v>
      </c>
      <c r="P139" s="644">
        <f>SUM(P140:P142)</f>
        <v>0</v>
      </c>
      <c r="Q139" s="644">
        <f>SUM(Q140:Q142)</f>
        <v>0</v>
      </c>
      <c r="R139" s="640">
        <f t="shared" si="19"/>
        <v>0</v>
      </c>
    </row>
    <row r="140" spans="1:18" s="4" customFormat="1" ht="24" hidden="1" customHeight="1">
      <c r="A140" s="646" t="s">
        <v>188</v>
      </c>
      <c r="B140" s="670" t="s">
        <v>170</v>
      </c>
      <c r="C140" s="672"/>
      <c r="D140" s="672">
        <v>0</v>
      </c>
      <c r="E140" s="673"/>
      <c r="F140" s="673"/>
      <c r="G140" s="673"/>
      <c r="H140" s="640">
        <f t="shared" si="17"/>
        <v>0</v>
      </c>
      <c r="I140" s="673">
        <v>0</v>
      </c>
      <c r="J140" s="673"/>
      <c r="K140" s="673"/>
      <c r="L140" s="673"/>
      <c r="M140" s="640">
        <f t="shared" si="18"/>
        <v>0</v>
      </c>
      <c r="N140" s="673">
        <v>0</v>
      </c>
      <c r="O140" s="673"/>
      <c r="P140" s="673"/>
      <c r="Q140" s="673"/>
      <c r="R140" s="640">
        <f t="shared" si="19"/>
        <v>0</v>
      </c>
    </row>
    <row r="141" spans="1:18" ht="48" hidden="1" customHeight="1">
      <c r="A141" s="646" t="s">
        <v>189</v>
      </c>
      <c r="B141" s="670" t="s">
        <v>156</v>
      </c>
      <c r="C141" s="672"/>
      <c r="D141" s="672">
        <v>0</v>
      </c>
      <c r="E141" s="673"/>
      <c r="F141" s="673"/>
      <c r="G141" s="673"/>
      <c r="H141" s="640">
        <f t="shared" si="17"/>
        <v>0</v>
      </c>
      <c r="I141" s="673">
        <v>0</v>
      </c>
      <c r="J141" s="673"/>
      <c r="K141" s="673"/>
      <c r="L141" s="673"/>
      <c r="M141" s="640">
        <f t="shared" si="18"/>
        <v>0</v>
      </c>
      <c r="N141" s="673">
        <v>0</v>
      </c>
      <c r="O141" s="673"/>
      <c r="P141" s="673"/>
      <c r="Q141" s="673"/>
      <c r="R141" s="640">
        <f t="shared" si="19"/>
        <v>0</v>
      </c>
    </row>
    <row r="142" spans="1:18" ht="36" hidden="1" customHeight="1">
      <c r="A142" s="646">
        <v>7350</v>
      </c>
      <c r="B142" s="670" t="s">
        <v>163</v>
      </c>
      <c r="C142" s="672"/>
      <c r="D142" s="672">
        <v>0</v>
      </c>
      <c r="E142" s="673"/>
      <c r="F142" s="673"/>
      <c r="G142" s="673"/>
      <c r="H142" s="640">
        <f t="shared" si="17"/>
        <v>0</v>
      </c>
      <c r="I142" s="673">
        <v>0</v>
      </c>
      <c r="J142" s="673"/>
      <c r="K142" s="673"/>
      <c r="L142" s="673"/>
      <c r="M142" s="640">
        <f t="shared" si="18"/>
        <v>0</v>
      </c>
      <c r="N142" s="673">
        <v>0</v>
      </c>
      <c r="O142" s="673"/>
      <c r="P142" s="673"/>
      <c r="Q142" s="673"/>
      <c r="R142" s="640">
        <f t="shared" si="19"/>
        <v>0</v>
      </c>
    </row>
    <row r="143" spans="1:18" ht="24" hidden="1" customHeight="1">
      <c r="A143" s="645">
        <v>7400</v>
      </c>
      <c r="B143" s="647" t="s">
        <v>161</v>
      </c>
      <c r="C143" s="643">
        <v>0</v>
      </c>
      <c r="D143" s="643">
        <v>0</v>
      </c>
      <c r="E143" s="644">
        <f>SUM(E144:E145)</f>
        <v>0</v>
      </c>
      <c r="F143" s="644">
        <f>SUM(F144:F145)</f>
        <v>0</v>
      </c>
      <c r="G143" s="644">
        <f>SUM(G144:G145)</f>
        <v>0</v>
      </c>
      <c r="H143" s="640">
        <f t="shared" si="17"/>
        <v>0</v>
      </c>
      <c r="I143" s="644">
        <v>0</v>
      </c>
      <c r="J143" s="644">
        <f>SUM(J144:J145)</f>
        <v>0</v>
      </c>
      <c r="K143" s="644">
        <f>SUM(K144:K145)</f>
        <v>0</v>
      </c>
      <c r="L143" s="644">
        <f>SUM(L144:L145)</f>
        <v>0</v>
      </c>
      <c r="M143" s="640">
        <f t="shared" si="18"/>
        <v>0</v>
      </c>
      <c r="N143" s="644">
        <v>0</v>
      </c>
      <c r="O143" s="644">
        <f>SUM(O144:O145)</f>
        <v>0</v>
      </c>
      <c r="P143" s="644">
        <f>SUM(P144:P145)</f>
        <v>0</v>
      </c>
      <c r="Q143" s="644">
        <f>SUM(Q144:Q145)</f>
        <v>0</v>
      </c>
      <c r="R143" s="640">
        <f t="shared" si="19"/>
        <v>0</v>
      </c>
    </row>
    <row r="144" spans="1:18" ht="24" hidden="1" customHeight="1">
      <c r="A144" s="646">
        <v>7460</v>
      </c>
      <c r="B144" s="647" t="s">
        <v>162</v>
      </c>
      <c r="C144" s="672"/>
      <c r="D144" s="672">
        <v>0</v>
      </c>
      <c r="E144" s="673"/>
      <c r="F144" s="673"/>
      <c r="G144" s="673"/>
      <c r="H144" s="640">
        <f t="shared" si="17"/>
        <v>0</v>
      </c>
      <c r="I144" s="673">
        <v>0</v>
      </c>
      <c r="J144" s="673"/>
      <c r="K144" s="673"/>
      <c r="L144" s="673"/>
      <c r="M144" s="640">
        <f t="shared" si="18"/>
        <v>0</v>
      </c>
      <c r="N144" s="673">
        <v>0</v>
      </c>
      <c r="O144" s="673"/>
      <c r="P144" s="673"/>
      <c r="Q144" s="673"/>
      <c r="R144" s="640">
        <f t="shared" si="19"/>
        <v>0</v>
      </c>
    </row>
    <row r="145" spans="1:18" ht="48" hidden="1" customHeight="1">
      <c r="A145" s="646">
        <v>7470</v>
      </c>
      <c r="B145" s="670" t="s">
        <v>167</v>
      </c>
      <c r="C145" s="672"/>
      <c r="D145" s="672">
        <v>0</v>
      </c>
      <c r="E145" s="673"/>
      <c r="F145" s="673"/>
      <c r="G145" s="673"/>
      <c r="H145" s="640">
        <f t="shared" si="17"/>
        <v>0</v>
      </c>
      <c r="I145" s="673">
        <v>0</v>
      </c>
      <c r="J145" s="673"/>
      <c r="K145" s="673"/>
      <c r="L145" s="673"/>
      <c r="M145" s="640">
        <f t="shared" si="18"/>
        <v>0</v>
      </c>
      <c r="N145" s="673">
        <v>0</v>
      </c>
      <c r="O145" s="673"/>
      <c r="P145" s="673"/>
      <c r="Q145" s="673"/>
      <c r="R145" s="640">
        <f t="shared" si="19"/>
        <v>0</v>
      </c>
    </row>
    <row r="146" spans="1:18" ht="24" hidden="1" customHeight="1">
      <c r="A146" s="645">
        <v>7500</v>
      </c>
      <c r="B146" s="670" t="s">
        <v>157</v>
      </c>
      <c r="C146" s="643"/>
      <c r="D146" s="643">
        <v>0</v>
      </c>
      <c r="E146" s="644"/>
      <c r="F146" s="644"/>
      <c r="G146" s="644"/>
      <c r="H146" s="640">
        <f t="shared" si="17"/>
        <v>0</v>
      </c>
      <c r="I146" s="644">
        <v>0</v>
      </c>
      <c r="J146" s="644"/>
      <c r="K146" s="644"/>
      <c r="L146" s="644"/>
      <c r="M146" s="640">
        <f t="shared" si="18"/>
        <v>0</v>
      </c>
      <c r="N146" s="644">
        <v>0</v>
      </c>
      <c r="O146" s="644"/>
      <c r="P146" s="644"/>
      <c r="Q146" s="644"/>
      <c r="R146" s="640">
        <f t="shared" si="19"/>
        <v>0</v>
      </c>
    </row>
    <row r="147" spans="1:18" s="4" customFormat="1" ht="12">
      <c r="A147" s="663" t="s">
        <v>133</v>
      </c>
      <c r="B147" s="637" t="s">
        <v>122</v>
      </c>
      <c r="C147" s="674">
        <v>1400</v>
      </c>
      <c r="D147" s="674">
        <v>1400</v>
      </c>
      <c r="E147" s="675">
        <f>E148+E149</f>
        <v>0</v>
      </c>
      <c r="F147" s="675">
        <f>F148+F149</f>
        <v>0</v>
      </c>
      <c r="G147" s="675">
        <f>G148+G149</f>
        <v>0</v>
      </c>
      <c r="H147" s="640">
        <f t="shared" si="17"/>
        <v>1400</v>
      </c>
      <c r="I147" s="675">
        <v>4979</v>
      </c>
      <c r="J147" s="675">
        <f>J148+J149</f>
        <v>0</v>
      </c>
      <c r="K147" s="675">
        <f>K148+K149</f>
        <v>0</v>
      </c>
      <c r="L147" s="675">
        <f>L148+L149</f>
        <v>0</v>
      </c>
      <c r="M147" s="640">
        <f t="shared" si="18"/>
        <v>4979</v>
      </c>
      <c r="N147" s="675">
        <v>1400</v>
      </c>
      <c r="O147" s="675">
        <f>O148+O149</f>
        <v>0</v>
      </c>
      <c r="P147" s="675">
        <f>P148+P149</f>
        <v>0</v>
      </c>
      <c r="Q147" s="675">
        <f>Q148+Q149</f>
        <v>0</v>
      </c>
      <c r="R147" s="640">
        <f t="shared" si="19"/>
        <v>1400</v>
      </c>
    </row>
    <row r="148" spans="1:18" s="6" customFormat="1" ht="12">
      <c r="A148" s="663">
        <v>5000</v>
      </c>
      <c r="B148" s="637" t="s">
        <v>123</v>
      </c>
      <c r="C148" s="643">
        <v>1400</v>
      </c>
      <c r="D148" s="643">
        <v>1400</v>
      </c>
      <c r="E148" s="661"/>
      <c r="F148" s="661"/>
      <c r="G148" s="661"/>
      <c r="H148" s="640">
        <f t="shared" si="17"/>
        <v>1400</v>
      </c>
      <c r="I148" s="644">
        <v>4979</v>
      </c>
      <c r="J148" s="661"/>
      <c r="K148" s="661"/>
      <c r="L148" s="661"/>
      <c r="M148" s="640">
        <f t="shared" si="18"/>
        <v>4979</v>
      </c>
      <c r="N148" s="644">
        <v>1400</v>
      </c>
      <c r="O148" s="661"/>
      <c r="P148" s="661"/>
      <c r="Q148" s="661"/>
      <c r="R148" s="640">
        <f t="shared" si="19"/>
        <v>1400</v>
      </c>
    </row>
    <row r="149" spans="1:18" s="6" customFormat="1" ht="12" hidden="1" customHeight="1">
      <c r="A149" s="663">
        <v>9000</v>
      </c>
      <c r="B149" s="676" t="s">
        <v>164</v>
      </c>
      <c r="C149" s="643">
        <v>0</v>
      </c>
      <c r="D149" s="643">
        <v>0</v>
      </c>
      <c r="E149" s="644">
        <f>E150+E156+E160+E163</f>
        <v>0</v>
      </c>
      <c r="F149" s="644">
        <f>F150+F156+F160+F163</f>
        <v>0</v>
      </c>
      <c r="G149" s="644">
        <f>G150+G156+G160+G163</f>
        <v>0</v>
      </c>
      <c r="H149" s="640">
        <f t="shared" si="17"/>
        <v>0</v>
      </c>
      <c r="I149" s="644">
        <v>0</v>
      </c>
      <c r="J149" s="644">
        <f>J150+J156+J160+J163</f>
        <v>0</v>
      </c>
      <c r="K149" s="644">
        <f>K150+K156+K160+K163</f>
        <v>0</v>
      </c>
      <c r="L149" s="644">
        <f>L150+L156+L160+L163</f>
        <v>0</v>
      </c>
      <c r="M149" s="640">
        <f t="shared" si="18"/>
        <v>0</v>
      </c>
      <c r="N149" s="644">
        <v>0</v>
      </c>
      <c r="O149" s="644">
        <f>O150+O156+O160+O163</f>
        <v>0</v>
      </c>
      <c r="P149" s="644">
        <f>P150+P156+P160+P163</f>
        <v>0</v>
      </c>
      <c r="Q149" s="644">
        <f>Q150+Q156+Q160+Q163</f>
        <v>0</v>
      </c>
      <c r="R149" s="640">
        <f t="shared" si="19"/>
        <v>0</v>
      </c>
    </row>
    <row r="150" spans="1:18" s="6" customFormat="1" ht="12" hidden="1" customHeight="1">
      <c r="A150" s="677">
        <v>9100</v>
      </c>
      <c r="B150" s="670" t="s">
        <v>124</v>
      </c>
      <c r="C150" s="643">
        <v>0</v>
      </c>
      <c r="D150" s="643">
        <v>0</v>
      </c>
      <c r="E150" s="644">
        <f>SUM(E151:E152)</f>
        <v>0</v>
      </c>
      <c r="F150" s="644">
        <f>SUM(F151:F152)</f>
        <v>0</v>
      </c>
      <c r="G150" s="644">
        <f>SUM(G151:G152)</f>
        <v>0</v>
      </c>
      <c r="H150" s="640">
        <f t="shared" si="17"/>
        <v>0</v>
      </c>
      <c r="I150" s="644">
        <v>0</v>
      </c>
      <c r="J150" s="644">
        <f>SUM(J151:J152)</f>
        <v>0</v>
      </c>
      <c r="K150" s="644">
        <f>SUM(K151:K152)</f>
        <v>0</v>
      </c>
      <c r="L150" s="644">
        <f>SUM(L151:L152)</f>
        <v>0</v>
      </c>
      <c r="M150" s="640">
        <f t="shared" si="18"/>
        <v>0</v>
      </c>
      <c r="N150" s="644">
        <v>0</v>
      </c>
      <c r="O150" s="644">
        <f>SUM(O151:O152)</f>
        <v>0</v>
      </c>
      <c r="P150" s="644">
        <f>SUM(P151:P152)</f>
        <v>0</v>
      </c>
      <c r="Q150" s="644">
        <f>SUM(Q151:Q152)</f>
        <v>0</v>
      </c>
      <c r="R150" s="640">
        <f t="shared" si="19"/>
        <v>0</v>
      </c>
    </row>
    <row r="151" spans="1:18" s="6" customFormat="1" ht="24" hidden="1" customHeight="1">
      <c r="A151" s="646" t="s">
        <v>125</v>
      </c>
      <c r="B151" s="670" t="s">
        <v>203</v>
      </c>
      <c r="C151" s="643"/>
      <c r="D151" s="643">
        <v>0</v>
      </c>
      <c r="E151" s="644"/>
      <c r="F151" s="644"/>
      <c r="G151" s="644"/>
      <c r="H151" s="640">
        <f t="shared" si="17"/>
        <v>0</v>
      </c>
      <c r="I151" s="644">
        <v>0</v>
      </c>
      <c r="J151" s="644"/>
      <c r="K151" s="644"/>
      <c r="L151" s="644"/>
      <c r="M151" s="640">
        <f t="shared" si="18"/>
        <v>0</v>
      </c>
      <c r="N151" s="644">
        <v>0</v>
      </c>
      <c r="O151" s="644"/>
      <c r="P151" s="644"/>
      <c r="Q151" s="644"/>
      <c r="R151" s="640">
        <f t="shared" si="19"/>
        <v>0</v>
      </c>
    </row>
    <row r="152" spans="1:18" s="6" customFormat="1" ht="24" hidden="1" customHeight="1">
      <c r="A152" s="646">
        <v>9140</v>
      </c>
      <c r="B152" s="670" t="s">
        <v>204</v>
      </c>
      <c r="C152" s="643">
        <v>0</v>
      </c>
      <c r="D152" s="643">
        <v>0</v>
      </c>
      <c r="E152" s="644">
        <f>SUM(E153:E155)</f>
        <v>0</v>
      </c>
      <c r="F152" s="644">
        <f>SUM(F153:F155)</f>
        <v>0</v>
      </c>
      <c r="G152" s="644">
        <f>SUM(G153:G155)</f>
        <v>0</v>
      </c>
      <c r="H152" s="640">
        <f t="shared" si="17"/>
        <v>0</v>
      </c>
      <c r="I152" s="644">
        <v>0</v>
      </c>
      <c r="J152" s="644">
        <f>SUM(J153:J155)</f>
        <v>0</v>
      </c>
      <c r="K152" s="644">
        <f>SUM(K153:K155)</f>
        <v>0</v>
      </c>
      <c r="L152" s="644">
        <f>SUM(L153:L155)</f>
        <v>0</v>
      </c>
      <c r="M152" s="640">
        <f t="shared" si="18"/>
        <v>0</v>
      </c>
      <c r="N152" s="644">
        <v>0</v>
      </c>
      <c r="O152" s="644">
        <f>SUM(O153:O155)</f>
        <v>0</v>
      </c>
      <c r="P152" s="644">
        <f>SUM(P153:P155)</f>
        <v>0</v>
      </c>
      <c r="Q152" s="644">
        <f>SUM(Q153:Q155)</f>
        <v>0</v>
      </c>
      <c r="R152" s="640">
        <f t="shared" si="19"/>
        <v>0</v>
      </c>
    </row>
    <row r="153" spans="1:18" s="6" customFormat="1" ht="36" hidden="1" customHeight="1">
      <c r="A153" s="648">
        <v>9141</v>
      </c>
      <c r="B153" s="647" t="s">
        <v>190</v>
      </c>
      <c r="C153" s="672"/>
      <c r="D153" s="672">
        <v>0</v>
      </c>
      <c r="E153" s="673"/>
      <c r="F153" s="673"/>
      <c r="G153" s="673"/>
      <c r="H153" s="640">
        <f t="shared" si="17"/>
        <v>0</v>
      </c>
      <c r="I153" s="673">
        <v>0</v>
      </c>
      <c r="J153" s="673"/>
      <c r="K153" s="673"/>
      <c r="L153" s="673"/>
      <c r="M153" s="640">
        <f t="shared" si="18"/>
        <v>0</v>
      </c>
      <c r="N153" s="673">
        <v>0</v>
      </c>
      <c r="O153" s="673"/>
      <c r="P153" s="673"/>
      <c r="Q153" s="673"/>
      <c r="R153" s="640">
        <f t="shared" si="19"/>
        <v>0</v>
      </c>
    </row>
    <row r="154" spans="1:18" s="6" customFormat="1" ht="36" hidden="1" customHeight="1">
      <c r="A154" s="648">
        <v>9142</v>
      </c>
      <c r="B154" s="647" t="s">
        <v>191</v>
      </c>
      <c r="C154" s="672"/>
      <c r="D154" s="672">
        <v>0</v>
      </c>
      <c r="E154" s="673"/>
      <c r="F154" s="673"/>
      <c r="G154" s="673"/>
      <c r="H154" s="640">
        <f t="shared" si="17"/>
        <v>0</v>
      </c>
      <c r="I154" s="673">
        <v>0</v>
      </c>
      <c r="J154" s="673"/>
      <c r="K154" s="673"/>
      <c r="L154" s="673"/>
      <c r="M154" s="640">
        <f t="shared" si="18"/>
        <v>0</v>
      </c>
      <c r="N154" s="673">
        <v>0</v>
      </c>
      <c r="O154" s="673"/>
      <c r="P154" s="673"/>
      <c r="Q154" s="673"/>
      <c r="R154" s="640">
        <f t="shared" si="19"/>
        <v>0</v>
      </c>
    </row>
    <row r="155" spans="1:18" s="6" customFormat="1" ht="24" hidden="1" customHeight="1">
      <c r="A155" s="648">
        <v>9149</v>
      </c>
      <c r="B155" s="647" t="s">
        <v>192</v>
      </c>
      <c r="C155" s="672"/>
      <c r="D155" s="672">
        <v>0</v>
      </c>
      <c r="E155" s="673"/>
      <c r="F155" s="673"/>
      <c r="G155" s="673"/>
      <c r="H155" s="640">
        <f t="shared" si="17"/>
        <v>0</v>
      </c>
      <c r="I155" s="673">
        <v>0</v>
      </c>
      <c r="J155" s="673"/>
      <c r="K155" s="673"/>
      <c r="L155" s="673"/>
      <c r="M155" s="640">
        <f t="shared" si="18"/>
        <v>0</v>
      </c>
      <c r="N155" s="673">
        <v>0</v>
      </c>
      <c r="O155" s="673"/>
      <c r="P155" s="673"/>
      <c r="Q155" s="673"/>
      <c r="R155" s="640">
        <f t="shared" si="19"/>
        <v>0</v>
      </c>
    </row>
    <row r="156" spans="1:18" s="6" customFormat="1" ht="24" hidden="1" customHeight="1">
      <c r="A156" s="677">
        <v>9500</v>
      </c>
      <c r="B156" s="647" t="s">
        <v>165</v>
      </c>
      <c r="C156" s="643">
        <v>0</v>
      </c>
      <c r="D156" s="643">
        <v>0</v>
      </c>
      <c r="E156" s="644">
        <f>SUM(E157:E159)</f>
        <v>0</v>
      </c>
      <c r="F156" s="644">
        <f>SUM(F157:F159)</f>
        <v>0</v>
      </c>
      <c r="G156" s="644">
        <f>SUM(G157:G159)</f>
        <v>0</v>
      </c>
      <c r="H156" s="640">
        <f t="shared" si="17"/>
        <v>0</v>
      </c>
      <c r="I156" s="644">
        <v>0</v>
      </c>
      <c r="J156" s="644">
        <f>SUM(J157:J159)</f>
        <v>0</v>
      </c>
      <c r="K156" s="644">
        <f>SUM(K157:K159)</f>
        <v>0</v>
      </c>
      <c r="L156" s="644">
        <f>SUM(L157:L159)</f>
        <v>0</v>
      </c>
      <c r="M156" s="640">
        <f t="shared" si="18"/>
        <v>0</v>
      </c>
      <c r="N156" s="644">
        <v>0</v>
      </c>
      <c r="O156" s="644">
        <f>SUM(O157:O159)</f>
        <v>0</v>
      </c>
      <c r="P156" s="644">
        <f>SUM(P157:P159)</f>
        <v>0</v>
      </c>
      <c r="Q156" s="644">
        <f>SUM(Q157:Q159)</f>
        <v>0</v>
      </c>
      <c r="R156" s="640">
        <f t="shared" si="19"/>
        <v>0</v>
      </c>
    </row>
    <row r="157" spans="1:18" s="6" customFormat="1" ht="24" hidden="1" customHeight="1">
      <c r="A157" s="646" t="s">
        <v>193</v>
      </c>
      <c r="B157" s="647" t="s">
        <v>171</v>
      </c>
      <c r="C157" s="643"/>
      <c r="D157" s="643">
        <v>0</v>
      </c>
      <c r="E157" s="644"/>
      <c r="F157" s="644"/>
      <c r="G157" s="644"/>
      <c r="H157" s="640">
        <f t="shared" si="17"/>
        <v>0</v>
      </c>
      <c r="I157" s="644">
        <v>0</v>
      </c>
      <c r="J157" s="644"/>
      <c r="K157" s="644"/>
      <c r="L157" s="644"/>
      <c r="M157" s="640">
        <f t="shared" si="18"/>
        <v>0</v>
      </c>
      <c r="N157" s="644">
        <v>0</v>
      </c>
      <c r="O157" s="644"/>
      <c r="P157" s="644"/>
      <c r="Q157" s="644"/>
      <c r="R157" s="640">
        <f t="shared" si="19"/>
        <v>0</v>
      </c>
    </row>
    <row r="158" spans="1:18" s="6" customFormat="1" ht="48" hidden="1" customHeight="1">
      <c r="A158" s="646">
        <v>9580</v>
      </c>
      <c r="B158" s="647" t="s">
        <v>166</v>
      </c>
      <c r="C158" s="672"/>
      <c r="D158" s="672">
        <v>0</v>
      </c>
      <c r="E158" s="673"/>
      <c r="F158" s="673"/>
      <c r="G158" s="673"/>
      <c r="H158" s="640">
        <f t="shared" si="17"/>
        <v>0</v>
      </c>
      <c r="I158" s="673">
        <v>0</v>
      </c>
      <c r="J158" s="673"/>
      <c r="K158" s="673"/>
      <c r="L158" s="673"/>
      <c r="M158" s="640">
        <f t="shared" si="18"/>
        <v>0</v>
      </c>
      <c r="N158" s="673">
        <v>0</v>
      </c>
      <c r="O158" s="673"/>
      <c r="P158" s="673"/>
      <c r="Q158" s="673"/>
      <c r="R158" s="640">
        <f t="shared" si="19"/>
        <v>0</v>
      </c>
    </row>
    <row r="159" spans="1:18" s="6" customFormat="1" ht="48" hidden="1" customHeight="1">
      <c r="A159" s="646">
        <v>9590</v>
      </c>
      <c r="B159" s="670" t="s">
        <v>172</v>
      </c>
      <c r="C159" s="672"/>
      <c r="D159" s="672">
        <v>0</v>
      </c>
      <c r="E159" s="673"/>
      <c r="F159" s="673"/>
      <c r="G159" s="673"/>
      <c r="H159" s="640">
        <f t="shared" si="17"/>
        <v>0</v>
      </c>
      <c r="I159" s="673">
        <v>0</v>
      </c>
      <c r="J159" s="673"/>
      <c r="K159" s="673"/>
      <c r="L159" s="673"/>
      <c r="M159" s="640">
        <f t="shared" si="18"/>
        <v>0</v>
      </c>
      <c r="N159" s="673">
        <v>0</v>
      </c>
      <c r="O159" s="673"/>
      <c r="P159" s="673"/>
      <c r="Q159" s="673"/>
      <c r="R159" s="640">
        <f t="shared" si="19"/>
        <v>0</v>
      </c>
    </row>
    <row r="160" spans="1:18" s="6" customFormat="1" ht="24" hidden="1" customHeight="1">
      <c r="A160" s="677">
        <v>9700</v>
      </c>
      <c r="B160" s="678" t="s">
        <v>194</v>
      </c>
      <c r="C160" s="643">
        <v>0</v>
      </c>
      <c r="D160" s="643">
        <v>0</v>
      </c>
      <c r="E160" s="644">
        <f>SUM(E161:E162)</f>
        <v>0</v>
      </c>
      <c r="F160" s="644">
        <f>SUM(F161:F162)</f>
        <v>0</v>
      </c>
      <c r="G160" s="644">
        <f>SUM(G161:G162)</f>
        <v>0</v>
      </c>
      <c r="H160" s="640">
        <f t="shared" si="17"/>
        <v>0</v>
      </c>
      <c r="I160" s="644">
        <v>0</v>
      </c>
      <c r="J160" s="644">
        <f>SUM(J161:J162)</f>
        <v>0</v>
      </c>
      <c r="K160" s="644">
        <f>SUM(K161:K162)</f>
        <v>0</v>
      </c>
      <c r="L160" s="644">
        <f>SUM(L161:L162)</f>
        <v>0</v>
      </c>
      <c r="M160" s="640">
        <f t="shared" si="18"/>
        <v>0</v>
      </c>
      <c r="N160" s="644">
        <v>0</v>
      </c>
      <c r="O160" s="644">
        <f>SUM(O161:O162)</f>
        <v>0</v>
      </c>
      <c r="P160" s="644">
        <f>SUM(P161:P162)</f>
        <v>0</v>
      </c>
      <c r="Q160" s="644">
        <f>SUM(Q161:Q162)</f>
        <v>0</v>
      </c>
      <c r="R160" s="640">
        <f t="shared" si="19"/>
        <v>0</v>
      </c>
    </row>
    <row r="161" spans="1:18" s="6" customFormat="1" ht="24" hidden="1" customHeight="1">
      <c r="A161" s="646">
        <v>9710</v>
      </c>
      <c r="B161" s="679" t="s">
        <v>195</v>
      </c>
      <c r="C161" s="672"/>
      <c r="D161" s="672">
        <v>0</v>
      </c>
      <c r="E161" s="673"/>
      <c r="F161" s="673"/>
      <c r="G161" s="673"/>
      <c r="H161" s="640">
        <f t="shared" si="17"/>
        <v>0</v>
      </c>
      <c r="I161" s="673">
        <v>0</v>
      </c>
      <c r="J161" s="673"/>
      <c r="K161" s="673"/>
      <c r="L161" s="673"/>
      <c r="M161" s="640">
        <f t="shared" si="18"/>
        <v>0</v>
      </c>
      <c r="N161" s="673">
        <v>0</v>
      </c>
      <c r="O161" s="673"/>
      <c r="P161" s="673"/>
      <c r="Q161" s="673"/>
      <c r="R161" s="640">
        <f t="shared" si="19"/>
        <v>0</v>
      </c>
    </row>
    <row r="162" spans="1:18" s="6" customFormat="1" ht="48" hidden="1" customHeight="1">
      <c r="A162" s="680">
        <v>9720</v>
      </c>
      <c r="B162" s="678" t="s">
        <v>196</v>
      </c>
      <c r="C162" s="672"/>
      <c r="D162" s="672">
        <v>0</v>
      </c>
      <c r="E162" s="673"/>
      <c r="F162" s="673"/>
      <c r="G162" s="673"/>
      <c r="H162" s="640">
        <f t="shared" si="17"/>
        <v>0</v>
      </c>
      <c r="I162" s="673">
        <v>0</v>
      </c>
      <c r="J162" s="673"/>
      <c r="K162" s="673"/>
      <c r="L162" s="673"/>
      <c r="M162" s="640">
        <f t="shared" si="18"/>
        <v>0</v>
      </c>
      <c r="N162" s="673">
        <v>0</v>
      </c>
      <c r="O162" s="673"/>
      <c r="P162" s="673"/>
      <c r="Q162" s="673"/>
      <c r="R162" s="640">
        <f t="shared" si="19"/>
        <v>0</v>
      </c>
    </row>
    <row r="163" spans="1:18" s="6" customFormat="1" ht="24" hidden="1" customHeight="1">
      <c r="A163" s="677">
        <v>9600</v>
      </c>
      <c r="B163" s="670" t="s">
        <v>134</v>
      </c>
      <c r="C163" s="672"/>
      <c r="D163" s="672">
        <v>0</v>
      </c>
      <c r="E163" s="673"/>
      <c r="F163" s="673"/>
      <c r="G163" s="673"/>
      <c r="H163" s="640">
        <f t="shared" si="17"/>
        <v>0</v>
      </c>
      <c r="I163" s="673">
        <v>0</v>
      </c>
      <c r="J163" s="673"/>
      <c r="K163" s="673"/>
      <c r="L163" s="673"/>
      <c r="M163" s="640">
        <f t="shared" si="18"/>
        <v>0</v>
      </c>
      <c r="N163" s="673">
        <v>0</v>
      </c>
      <c r="O163" s="673"/>
      <c r="P163" s="673"/>
      <c r="Q163" s="673"/>
      <c r="R163" s="640">
        <f t="shared" si="19"/>
        <v>0</v>
      </c>
    </row>
    <row r="164" spans="1:18" s="6" customFormat="1" ht="52.5" hidden="1" customHeight="1">
      <c r="A164" s="636" t="s">
        <v>197</v>
      </c>
      <c r="B164" s="681" t="s">
        <v>47</v>
      </c>
      <c r="C164" s="682">
        <v>0</v>
      </c>
      <c r="D164" s="682">
        <v>0</v>
      </c>
      <c r="E164" s="683">
        <f>E94-E119</f>
        <v>0</v>
      </c>
      <c r="F164" s="683">
        <f>F94-F119</f>
        <v>0</v>
      </c>
      <c r="G164" s="683">
        <f>G94-G119</f>
        <v>0</v>
      </c>
      <c r="H164" s="640">
        <f t="shared" si="17"/>
        <v>0</v>
      </c>
      <c r="I164" s="683">
        <v>0</v>
      </c>
      <c r="J164" s="683">
        <f>J94-J119</f>
        <v>0</v>
      </c>
      <c r="K164" s="683">
        <f>K94-K119</f>
        <v>0</v>
      </c>
      <c r="L164" s="683">
        <f>L94-L119</f>
        <v>0</v>
      </c>
      <c r="M164" s="640">
        <f t="shared" si="18"/>
        <v>0</v>
      </c>
      <c r="N164" s="683">
        <v>0</v>
      </c>
      <c r="O164" s="683">
        <f>O94-O119</f>
        <v>0</v>
      </c>
      <c r="P164" s="683">
        <f>P94-P119</f>
        <v>0</v>
      </c>
      <c r="Q164" s="683">
        <f>Q94-Q119</f>
        <v>0</v>
      </c>
      <c r="R164" s="640">
        <f t="shared" si="19"/>
        <v>0</v>
      </c>
    </row>
    <row r="165" spans="1:18" s="6" customFormat="1" ht="12" hidden="1" customHeight="1">
      <c r="A165" s="684" t="s">
        <v>48</v>
      </c>
      <c r="B165" s="681" t="s">
        <v>49</v>
      </c>
      <c r="C165" s="682">
        <v>0</v>
      </c>
      <c r="D165" s="682">
        <v>0</v>
      </c>
      <c r="E165" s="683">
        <f>E166+E169+E173+E172</f>
        <v>0</v>
      </c>
      <c r="F165" s="683">
        <f>F166+F169+F173+F172</f>
        <v>0</v>
      </c>
      <c r="G165" s="683">
        <f>G166+G169+G173+G172</f>
        <v>0</v>
      </c>
      <c r="H165" s="640">
        <f t="shared" si="17"/>
        <v>0</v>
      </c>
      <c r="I165" s="683">
        <v>0</v>
      </c>
      <c r="J165" s="683">
        <f>J166+J169+J173+J172</f>
        <v>0</v>
      </c>
      <c r="K165" s="683">
        <f>K166+K169+K173+K172</f>
        <v>0</v>
      </c>
      <c r="L165" s="683">
        <f>L166+L169+L173+L172</f>
        <v>0</v>
      </c>
      <c r="M165" s="640">
        <f t="shared" si="18"/>
        <v>0</v>
      </c>
      <c r="N165" s="683">
        <v>0</v>
      </c>
      <c r="O165" s="683">
        <f>O166+O169+O173+O172</f>
        <v>0</v>
      </c>
      <c r="P165" s="683">
        <f>P166+P169+P173+P172</f>
        <v>0</v>
      </c>
      <c r="Q165" s="683">
        <f>Q166+Q169+Q173+Q172</f>
        <v>0</v>
      </c>
      <c r="R165" s="640">
        <f t="shared" si="19"/>
        <v>0</v>
      </c>
    </row>
    <row r="166" spans="1:18" s="6" customFormat="1" ht="12" hidden="1" customHeight="1">
      <c r="A166" s="677" t="s">
        <v>50</v>
      </c>
      <c r="B166" s="670" t="s">
        <v>51</v>
      </c>
      <c r="C166" s="638">
        <v>0</v>
      </c>
      <c r="D166" s="638">
        <v>0</v>
      </c>
      <c r="E166" s="639">
        <f>E167+E168</f>
        <v>0</v>
      </c>
      <c r="F166" s="639">
        <f>F167+F168</f>
        <v>0</v>
      </c>
      <c r="G166" s="639">
        <f>G167+G168</f>
        <v>0</v>
      </c>
      <c r="H166" s="640">
        <f t="shared" si="17"/>
        <v>0</v>
      </c>
      <c r="I166" s="639">
        <v>0</v>
      </c>
      <c r="J166" s="639">
        <f>J167+J168</f>
        <v>0</v>
      </c>
      <c r="K166" s="639">
        <f>K167+K168</f>
        <v>0</v>
      </c>
      <c r="L166" s="639">
        <f>L167+L168</f>
        <v>0</v>
      </c>
      <c r="M166" s="640">
        <f t="shared" si="18"/>
        <v>0</v>
      </c>
      <c r="N166" s="639">
        <v>0</v>
      </c>
      <c r="O166" s="639">
        <f>O167+O168</f>
        <v>0</v>
      </c>
      <c r="P166" s="639">
        <f>P167+P168</f>
        <v>0</v>
      </c>
      <c r="Q166" s="639">
        <f>Q167+Q168</f>
        <v>0</v>
      </c>
      <c r="R166" s="640">
        <f t="shared" si="19"/>
        <v>0</v>
      </c>
    </row>
    <row r="167" spans="1:18" s="6" customFormat="1" ht="12" hidden="1" customHeight="1">
      <c r="A167" s="677" t="s">
        <v>52</v>
      </c>
      <c r="B167" s="670" t="s">
        <v>53</v>
      </c>
      <c r="C167" s="638"/>
      <c r="D167" s="638">
        <v>0</v>
      </c>
      <c r="E167" s="639"/>
      <c r="F167" s="639"/>
      <c r="G167" s="639"/>
      <c r="H167" s="640">
        <f t="shared" si="17"/>
        <v>0</v>
      </c>
      <c r="I167" s="639">
        <v>0</v>
      </c>
      <c r="J167" s="639"/>
      <c r="K167" s="639"/>
      <c r="L167" s="639"/>
      <c r="M167" s="640">
        <f t="shared" si="18"/>
        <v>0</v>
      </c>
      <c r="N167" s="639">
        <v>0</v>
      </c>
      <c r="O167" s="639"/>
      <c r="P167" s="639"/>
      <c r="Q167" s="639"/>
      <c r="R167" s="640">
        <f t="shared" si="19"/>
        <v>0</v>
      </c>
    </row>
    <row r="168" spans="1:18" s="6" customFormat="1" ht="12" hidden="1" customHeight="1">
      <c r="A168" s="677" t="s">
        <v>54</v>
      </c>
      <c r="B168" s="670" t="s">
        <v>55</v>
      </c>
      <c r="C168" s="638"/>
      <c r="D168" s="638">
        <v>0</v>
      </c>
      <c r="E168" s="639"/>
      <c r="F168" s="639"/>
      <c r="G168" s="639"/>
      <c r="H168" s="640">
        <f t="shared" si="17"/>
        <v>0</v>
      </c>
      <c r="I168" s="639">
        <v>0</v>
      </c>
      <c r="J168" s="639"/>
      <c r="K168" s="639"/>
      <c r="L168" s="639"/>
      <c r="M168" s="640">
        <f t="shared" si="18"/>
        <v>0</v>
      </c>
      <c r="N168" s="639">
        <v>0</v>
      </c>
      <c r="O168" s="639"/>
      <c r="P168" s="639"/>
      <c r="Q168" s="639"/>
      <c r="R168" s="640">
        <f t="shared" si="19"/>
        <v>0</v>
      </c>
    </row>
    <row r="169" spans="1:18" s="6" customFormat="1" ht="12" hidden="1" customHeight="1">
      <c r="A169" s="677" t="s">
        <v>56</v>
      </c>
      <c r="B169" s="670" t="s">
        <v>57</v>
      </c>
      <c r="C169" s="638">
        <v>0</v>
      </c>
      <c r="D169" s="638">
        <v>0</v>
      </c>
      <c r="E169" s="639">
        <f>E170+E171</f>
        <v>0</v>
      </c>
      <c r="F169" s="639">
        <f>F170+F171</f>
        <v>0</v>
      </c>
      <c r="G169" s="639">
        <f>G170+G171</f>
        <v>0</v>
      </c>
      <c r="H169" s="640">
        <f t="shared" si="17"/>
        <v>0</v>
      </c>
      <c r="I169" s="639">
        <v>0</v>
      </c>
      <c r="J169" s="639">
        <f>J170+J171</f>
        <v>0</v>
      </c>
      <c r="K169" s="639">
        <f>K170+K171</f>
        <v>0</v>
      </c>
      <c r="L169" s="639">
        <f>L170+L171</f>
        <v>0</v>
      </c>
      <c r="M169" s="640">
        <f t="shared" si="18"/>
        <v>0</v>
      </c>
      <c r="N169" s="639">
        <v>0</v>
      </c>
      <c r="O169" s="639">
        <f>O170+O171</f>
        <v>0</v>
      </c>
      <c r="P169" s="639">
        <f>P170+P171</f>
        <v>0</v>
      </c>
      <c r="Q169" s="639">
        <f>Q170+Q171</f>
        <v>0</v>
      </c>
      <c r="R169" s="640">
        <f t="shared" si="19"/>
        <v>0</v>
      </c>
    </row>
    <row r="170" spans="1:18" s="6" customFormat="1" ht="12" hidden="1" customHeight="1">
      <c r="A170" s="677" t="s">
        <v>58</v>
      </c>
      <c r="B170" s="670" t="s">
        <v>59</v>
      </c>
      <c r="C170" s="638"/>
      <c r="D170" s="638">
        <v>0</v>
      </c>
      <c r="E170" s="639"/>
      <c r="F170" s="639"/>
      <c r="G170" s="639"/>
      <c r="H170" s="640">
        <f t="shared" si="17"/>
        <v>0</v>
      </c>
      <c r="I170" s="639">
        <v>0</v>
      </c>
      <c r="J170" s="639"/>
      <c r="K170" s="639"/>
      <c r="L170" s="639"/>
      <c r="M170" s="640">
        <f t="shared" si="18"/>
        <v>0</v>
      </c>
      <c r="N170" s="639">
        <v>0</v>
      </c>
      <c r="O170" s="639"/>
      <c r="P170" s="639"/>
      <c r="Q170" s="639"/>
      <c r="R170" s="640">
        <f t="shared" si="19"/>
        <v>0</v>
      </c>
    </row>
    <row r="171" spans="1:18" s="6" customFormat="1" ht="12" hidden="1" customHeight="1">
      <c r="A171" s="677" t="s">
        <v>60</v>
      </c>
      <c r="B171" s="670" t="s">
        <v>61</v>
      </c>
      <c r="C171" s="638"/>
      <c r="D171" s="638">
        <v>0</v>
      </c>
      <c r="E171" s="639"/>
      <c r="F171" s="639"/>
      <c r="G171" s="639"/>
      <c r="H171" s="640">
        <f t="shared" si="17"/>
        <v>0</v>
      </c>
      <c r="I171" s="639">
        <v>0</v>
      </c>
      <c r="J171" s="639"/>
      <c r="K171" s="639"/>
      <c r="L171" s="639"/>
      <c r="M171" s="640">
        <f t="shared" si="18"/>
        <v>0</v>
      </c>
      <c r="N171" s="639">
        <v>0</v>
      </c>
      <c r="O171" s="639"/>
      <c r="P171" s="639"/>
      <c r="Q171" s="639"/>
      <c r="R171" s="640">
        <f t="shared" si="19"/>
        <v>0</v>
      </c>
    </row>
    <row r="172" spans="1:18" s="6" customFormat="1" ht="12" hidden="1" customHeight="1">
      <c r="A172" s="677" t="s">
        <v>198</v>
      </c>
      <c r="B172" s="685" t="s">
        <v>168</v>
      </c>
      <c r="C172" s="638"/>
      <c r="D172" s="638">
        <v>0</v>
      </c>
      <c r="E172" s="639"/>
      <c r="F172" s="639"/>
      <c r="G172" s="639"/>
      <c r="H172" s="640">
        <f t="shared" si="17"/>
        <v>0</v>
      </c>
      <c r="I172" s="639">
        <v>0</v>
      </c>
      <c r="J172" s="639"/>
      <c r="K172" s="639"/>
      <c r="L172" s="639"/>
      <c r="M172" s="640">
        <f t="shared" si="18"/>
        <v>0</v>
      </c>
      <c r="N172" s="639">
        <v>0</v>
      </c>
      <c r="O172" s="639"/>
      <c r="P172" s="639"/>
      <c r="Q172" s="639"/>
      <c r="R172" s="640">
        <f t="shared" si="19"/>
        <v>0</v>
      </c>
    </row>
    <row r="173" spans="1:18" s="6" customFormat="1" ht="12" hidden="1" customHeight="1">
      <c r="A173" s="686" t="s">
        <v>62</v>
      </c>
      <c r="B173" s="642" t="s">
        <v>63</v>
      </c>
      <c r="C173" s="643">
        <v>0</v>
      </c>
      <c r="D173" s="643">
        <v>0</v>
      </c>
      <c r="E173" s="644">
        <f>E174+E175+E176</f>
        <v>0</v>
      </c>
      <c r="F173" s="644">
        <f>F174+F175+F176</f>
        <v>0</v>
      </c>
      <c r="G173" s="644">
        <f>G174+G175+G176</f>
        <v>0</v>
      </c>
      <c r="H173" s="640">
        <f t="shared" si="17"/>
        <v>0</v>
      </c>
      <c r="I173" s="644">
        <v>0</v>
      </c>
      <c r="J173" s="644">
        <f>J174+J175+J176</f>
        <v>0</v>
      </c>
      <c r="K173" s="644">
        <f>K174+K175+K176</f>
        <v>0</v>
      </c>
      <c r="L173" s="644">
        <f>L174+L175+L176</f>
        <v>0</v>
      </c>
      <c r="M173" s="640">
        <f t="shared" si="18"/>
        <v>0</v>
      </c>
      <c r="N173" s="644">
        <v>0</v>
      </c>
      <c r="O173" s="644">
        <f>O174+O175+O176</f>
        <v>0</v>
      </c>
      <c r="P173" s="644">
        <f>P174+P175+P176</f>
        <v>0</v>
      </c>
      <c r="Q173" s="644">
        <f>Q174+Q175+Q176</f>
        <v>0</v>
      </c>
      <c r="R173" s="640">
        <f t="shared" si="19"/>
        <v>0</v>
      </c>
    </row>
    <row r="174" spans="1:18" s="6" customFormat="1" ht="36" hidden="1" customHeight="1">
      <c r="A174" s="686" t="s">
        <v>64</v>
      </c>
      <c r="B174" s="670" t="s">
        <v>65</v>
      </c>
      <c r="C174" s="638"/>
      <c r="D174" s="638">
        <v>0</v>
      </c>
      <c r="E174" s="639"/>
      <c r="F174" s="639"/>
      <c r="G174" s="639"/>
      <c r="H174" s="640">
        <f t="shared" si="17"/>
        <v>0</v>
      </c>
      <c r="I174" s="639">
        <v>0</v>
      </c>
      <c r="J174" s="639"/>
      <c r="K174" s="639"/>
      <c r="L174" s="639"/>
      <c r="M174" s="640">
        <f t="shared" si="18"/>
        <v>0</v>
      </c>
      <c r="N174" s="639">
        <v>0</v>
      </c>
      <c r="O174" s="639"/>
      <c r="P174" s="639"/>
      <c r="Q174" s="639"/>
      <c r="R174" s="640">
        <f t="shared" si="19"/>
        <v>0</v>
      </c>
    </row>
    <row r="175" spans="1:18" s="6" customFormat="1" ht="36" hidden="1" customHeight="1">
      <c r="A175" s="686" t="s">
        <v>66</v>
      </c>
      <c r="B175" s="670" t="s">
        <v>67</v>
      </c>
      <c r="C175" s="638"/>
      <c r="D175" s="638">
        <v>0</v>
      </c>
      <c r="E175" s="639"/>
      <c r="F175" s="639"/>
      <c r="G175" s="639"/>
      <c r="H175" s="640">
        <f t="shared" si="17"/>
        <v>0</v>
      </c>
      <c r="I175" s="639">
        <v>0</v>
      </c>
      <c r="J175" s="639"/>
      <c r="K175" s="639"/>
      <c r="L175" s="639"/>
      <c r="M175" s="640">
        <f t="shared" si="18"/>
        <v>0</v>
      </c>
      <c r="N175" s="639">
        <v>0</v>
      </c>
      <c r="O175" s="639"/>
      <c r="P175" s="639"/>
      <c r="Q175" s="639"/>
      <c r="R175" s="640">
        <f t="shared" si="19"/>
        <v>0</v>
      </c>
    </row>
    <row r="176" spans="1:18" s="6" customFormat="1" ht="24" hidden="1" customHeight="1">
      <c r="A176" s="686" t="s">
        <v>68</v>
      </c>
      <c r="B176" s="642" t="s">
        <v>69</v>
      </c>
      <c r="C176" s="638"/>
      <c r="D176" s="638">
        <v>0</v>
      </c>
      <c r="E176" s="639"/>
      <c r="F176" s="639"/>
      <c r="G176" s="639"/>
      <c r="H176" s="640">
        <f t="shared" si="17"/>
        <v>0</v>
      </c>
      <c r="I176" s="639">
        <v>0</v>
      </c>
      <c r="J176" s="639"/>
      <c r="K176" s="639"/>
      <c r="L176" s="639"/>
      <c r="M176" s="640">
        <f t="shared" si="18"/>
        <v>0</v>
      </c>
      <c r="N176" s="639">
        <v>0</v>
      </c>
      <c r="O176" s="639"/>
      <c r="P176" s="639"/>
      <c r="Q176" s="639"/>
      <c r="R176" s="640">
        <f t="shared" si="19"/>
        <v>0</v>
      </c>
    </row>
    <row r="177" spans="1:18" s="6" customFormat="1" ht="34.200000000000003">
      <c r="A177" s="687"/>
      <c r="B177" s="688" t="s">
        <v>200</v>
      </c>
      <c r="C177" s="689"/>
      <c r="D177" s="690">
        <v>0</v>
      </c>
      <c r="E177" s="691"/>
      <c r="F177" s="691"/>
      <c r="G177" s="691"/>
      <c r="H177" s="692">
        <f t="shared" si="17"/>
        <v>0</v>
      </c>
      <c r="I177" s="693">
        <v>0</v>
      </c>
      <c r="J177" s="691"/>
      <c r="K177" s="691"/>
      <c r="L177" s="691"/>
      <c r="M177" s="692">
        <f t="shared" si="18"/>
        <v>0</v>
      </c>
      <c r="N177" s="693">
        <v>0</v>
      </c>
      <c r="O177" s="691"/>
      <c r="P177" s="691"/>
      <c r="Q177" s="691"/>
      <c r="R177" s="692">
        <f t="shared" si="19"/>
        <v>0</v>
      </c>
    </row>
    <row r="178" spans="1:18" s="6" customFormat="1" ht="21" hidden="1" customHeight="1">
      <c r="A178" s="631" t="s">
        <v>201</v>
      </c>
      <c r="B178" s="632" t="s">
        <v>88</v>
      </c>
      <c r="C178" s="633">
        <v>0</v>
      </c>
      <c r="D178" s="633">
        <v>0</v>
      </c>
      <c r="E178" s="634">
        <f>E179+E180+E182+E200</f>
        <v>0</v>
      </c>
      <c r="F178" s="634">
        <f>F179+F180+F182+F200</f>
        <v>0</v>
      </c>
      <c r="G178" s="634">
        <f>G179+G180+G182+G200</f>
        <v>0</v>
      </c>
      <c r="H178" s="635">
        <f t="shared" si="17"/>
        <v>0</v>
      </c>
      <c r="I178" s="634">
        <v>0</v>
      </c>
      <c r="J178" s="634">
        <f>J179+J180+J182+J200</f>
        <v>0</v>
      </c>
      <c r="K178" s="634">
        <f>K179+K180+K182+K200</f>
        <v>0</v>
      </c>
      <c r="L178" s="634">
        <f>L179+L180+L182+L200</f>
        <v>0</v>
      </c>
      <c r="M178" s="635">
        <f t="shared" si="18"/>
        <v>0</v>
      </c>
      <c r="N178" s="634">
        <v>0</v>
      </c>
      <c r="O178" s="634">
        <f>O179+O180+O182+O200</f>
        <v>0</v>
      </c>
      <c r="P178" s="634">
        <f>P179+P180+P182+P200</f>
        <v>0</v>
      </c>
      <c r="Q178" s="634">
        <f>Q179+Q180+Q182+Q200</f>
        <v>0</v>
      </c>
      <c r="R178" s="635">
        <f t="shared" si="19"/>
        <v>0</v>
      </c>
    </row>
    <row r="179" spans="1:18" s="6" customFormat="1" ht="24" hidden="1" customHeight="1">
      <c r="A179" s="636" t="s">
        <v>177</v>
      </c>
      <c r="B179" s="637" t="s">
        <v>90</v>
      </c>
      <c r="C179" s="638"/>
      <c r="D179" s="638">
        <v>0</v>
      </c>
      <c r="E179" s="639"/>
      <c r="F179" s="639"/>
      <c r="G179" s="639"/>
      <c r="H179" s="640">
        <f t="shared" si="17"/>
        <v>0</v>
      </c>
      <c r="I179" s="639">
        <v>0</v>
      </c>
      <c r="J179" s="639"/>
      <c r="K179" s="639"/>
      <c r="L179" s="639"/>
      <c r="M179" s="640">
        <f t="shared" si="18"/>
        <v>0</v>
      </c>
      <c r="N179" s="639">
        <v>0</v>
      </c>
      <c r="O179" s="639"/>
      <c r="P179" s="639"/>
      <c r="Q179" s="639"/>
      <c r="R179" s="640">
        <f t="shared" si="19"/>
        <v>0</v>
      </c>
    </row>
    <row r="180" spans="1:18" s="6" customFormat="1" ht="12" hidden="1" customHeight="1">
      <c r="A180" s="636" t="s">
        <v>91</v>
      </c>
      <c r="B180" s="637" t="s">
        <v>92</v>
      </c>
      <c r="C180" s="638"/>
      <c r="D180" s="638">
        <v>0</v>
      </c>
      <c r="E180" s="639"/>
      <c r="F180" s="639"/>
      <c r="G180" s="639"/>
      <c r="H180" s="640">
        <f t="shared" si="17"/>
        <v>0</v>
      </c>
      <c r="I180" s="639">
        <v>0</v>
      </c>
      <c r="J180" s="639"/>
      <c r="K180" s="639"/>
      <c r="L180" s="639"/>
      <c r="M180" s="640">
        <f t="shared" si="18"/>
        <v>0</v>
      </c>
      <c r="N180" s="639">
        <v>0</v>
      </c>
      <c r="O180" s="639"/>
      <c r="P180" s="639"/>
      <c r="Q180" s="639"/>
      <c r="R180" s="640">
        <f t="shared" si="19"/>
        <v>0</v>
      </c>
    </row>
    <row r="181" spans="1:18" s="29" customFormat="1" ht="24" hidden="1" customHeight="1">
      <c r="A181" s="641">
        <v>21210</v>
      </c>
      <c r="B181" s="642" t="s">
        <v>93</v>
      </c>
      <c r="C181" s="638"/>
      <c r="D181" s="638">
        <v>0</v>
      </c>
      <c r="E181" s="639"/>
      <c r="F181" s="639"/>
      <c r="G181" s="639"/>
      <c r="H181" s="640">
        <f t="shared" si="17"/>
        <v>0</v>
      </c>
      <c r="I181" s="639">
        <v>0</v>
      </c>
      <c r="J181" s="639"/>
      <c r="K181" s="639"/>
      <c r="L181" s="639"/>
      <c r="M181" s="640">
        <f t="shared" si="18"/>
        <v>0</v>
      </c>
      <c r="N181" s="639">
        <v>0</v>
      </c>
      <c r="O181" s="639"/>
      <c r="P181" s="639"/>
      <c r="Q181" s="639"/>
      <c r="R181" s="640">
        <f t="shared" si="19"/>
        <v>0</v>
      </c>
    </row>
    <row r="182" spans="1:18" s="89" customFormat="1" ht="21" hidden="1" customHeight="1">
      <c r="A182" s="636" t="s">
        <v>178</v>
      </c>
      <c r="B182" s="637" t="s">
        <v>94</v>
      </c>
      <c r="C182" s="643">
        <v>0</v>
      </c>
      <c r="D182" s="643">
        <v>0</v>
      </c>
      <c r="E182" s="644">
        <f>E183+E189</f>
        <v>0</v>
      </c>
      <c r="F182" s="644">
        <f>F183+F189</f>
        <v>0</v>
      </c>
      <c r="G182" s="644">
        <f>G183+G189</f>
        <v>0</v>
      </c>
      <c r="H182" s="640">
        <f t="shared" si="17"/>
        <v>0</v>
      </c>
      <c r="I182" s="644">
        <v>0</v>
      </c>
      <c r="J182" s="644">
        <f>J183+J189</f>
        <v>0</v>
      </c>
      <c r="K182" s="644">
        <f>K183+K189</f>
        <v>0</v>
      </c>
      <c r="L182" s="644">
        <f>L183+L189</f>
        <v>0</v>
      </c>
      <c r="M182" s="640">
        <f t="shared" si="18"/>
        <v>0</v>
      </c>
      <c r="N182" s="644">
        <v>0</v>
      </c>
      <c r="O182" s="644">
        <f>O183+O189</f>
        <v>0</v>
      </c>
      <c r="P182" s="644">
        <f>P183+P189</f>
        <v>0</v>
      </c>
      <c r="Q182" s="644">
        <f>Q183+Q189</f>
        <v>0</v>
      </c>
      <c r="R182" s="640">
        <f t="shared" si="19"/>
        <v>0</v>
      </c>
    </row>
    <row r="183" spans="1:18" s="89" customFormat="1" ht="12" hidden="1" customHeight="1">
      <c r="A183" s="645">
        <v>18000</v>
      </c>
      <c r="B183" s="642" t="s">
        <v>95</v>
      </c>
      <c r="C183" s="643">
        <v>0</v>
      </c>
      <c r="D183" s="643">
        <v>0</v>
      </c>
      <c r="E183" s="644">
        <f t="shared" ref="E183:L184" si="20">E184</f>
        <v>0</v>
      </c>
      <c r="F183" s="644">
        <f t="shared" si="20"/>
        <v>0</v>
      </c>
      <c r="G183" s="644">
        <f t="shared" si="20"/>
        <v>0</v>
      </c>
      <c r="H183" s="640">
        <f t="shared" si="17"/>
        <v>0</v>
      </c>
      <c r="I183" s="644">
        <v>0</v>
      </c>
      <c r="J183" s="644">
        <f t="shared" si="20"/>
        <v>0</v>
      </c>
      <c r="K183" s="644">
        <f t="shared" si="20"/>
        <v>0</v>
      </c>
      <c r="L183" s="644">
        <f t="shared" si="20"/>
        <v>0</v>
      </c>
      <c r="M183" s="640">
        <f t="shared" si="18"/>
        <v>0</v>
      </c>
      <c r="N183" s="644">
        <v>0</v>
      </c>
      <c r="O183" s="644">
        <f t="shared" ref="O183:Q184" si="21">O184</f>
        <v>0</v>
      </c>
      <c r="P183" s="644">
        <f t="shared" si="21"/>
        <v>0</v>
      </c>
      <c r="Q183" s="644">
        <f t="shared" si="21"/>
        <v>0</v>
      </c>
      <c r="R183" s="640">
        <f t="shared" si="19"/>
        <v>0</v>
      </c>
    </row>
    <row r="184" spans="1:18" s="89" customFormat="1" ht="12" hidden="1" customHeight="1">
      <c r="A184" s="645">
        <v>18100</v>
      </c>
      <c r="B184" s="642" t="s">
        <v>96</v>
      </c>
      <c r="C184" s="643">
        <v>0</v>
      </c>
      <c r="D184" s="643">
        <v>0</v>
      </c>
      <c r="E184" s="644">
        <f t="shared" si="20"/>
        <v>0</v>
      </c>
      <c r="F184" s="644">
        <f t="shared" si="20"/>
        <v>0</v>
      </c>
      <c r="G184" s="644">
        <f t="shared" si="20"/>
        <v>0</v>
      </c>
      <c r="H184" s="640">
        <f t="shared" si="17"/>
        <v>0</v>
      </c>
      <c r="I184" s="644">
        <v>0</v>
      </c>
      <c r="J184" s="644">
        <f t="shared" si="20"/>
        <v>0</v>
      </c>
      <c r="K184" s="644">
        <f t="shared" si="20"/>
        <v>0</v>
      </c>
      <c r="L184" s="644">
        <f t="shared" si="20"/>
        <v>0</v>
      </c>
      <c r="M184" s="640">
        <f t="shared" si="18"/>
        <v>0</v>
      </c>
      <c r="N184" s="644">
        <v>0</v>
      </c>
      <c r="O184" s="644">
        <f t="shared" si="21"/>
        <v>0</v>
      </c>
      <c r="P184" s="644">
        <f t="shared" si="21"/>
        <v>0</v>
      </c>
      <c r="Q184" s="644">
        <f t="shared" si="21"/>
        <v>0</v>
      </c>
      <c r="R184" s="640">
        <f t="shared" si="19"/>
        <v>0</v>
      </c>
    </row>
    <row r="185" spans="1:18" s="89" customFormat="1" ht="24" hidden="1" customHeight="1">
      <c r="A185" s="646">
        <v>18130</v>
      </c>
      <c r="B185" s="647" t="s">
        <v>159</v>
      </c>
      <c r="C185" s="643">
        <v>0</v>
      </c>
      <c r="D185" s="643">
        <v>0</v>
      </c>
      <c r="E185" s="644">
        <f>SUM(E186:E188)</f>
        <v>0</v>
      </c>
      <c r="F185" s="644">
        <f>SUM(F186:F188)</f>
        <v>0</v>
      </c>
      <c r="G185" s="644">
        <f>SUM(G186:G188)</f>
        <v>0</v>
      </c>
      <c r="H185" s="640">
        <f t="shared" si="17"/>
        <v>0</v>
      </c>
      <c r="I185" s="644">
        <v>0</v>
      </c>
      <c r="J185" s="644">
        <f>SUM(J186:J188)</f>
        <v>0</v>
      </c>
      <c r="K185" s="644">
        <f>SUM(K186:K188)</f>
        <v>0</v>
      </c>
      <c r="L185" s="644">
        <f>SUM(L186:L188)</f>
        <v>0</v>
      </c>
      <c r="M185" s="640">
        <f t="shared" si="18"/>
        <v>0</v>
      </c>
      <c r="N185" s="644">
        <v>0</v>
      </c>
      <c r="O185" s="644">
        <f>SUM(O186:O188)</f>
        <v>0</v>
      </c>
      <c r="P185" s="644">
        <f>SUM(P186:P188)</f>
        <v>0</v>
      </c>
      <c r="Q185" s="644">
        <f>SUM(Q186:Q188)</f>
        <v>0</v>
      </c>
      <c r="R185" s="640">
        <f t="shared" si="19"/>
        <v>0</v>
      </c>
    </row>
    <row r="186" spans="1:18" s="89" customFormat="1" ht="36" hidden="1" customHeight="1">
      <c r="A186" s="648">
        <v>18131</v>
      </c>
      <c r="B186" s="647" t="s">
        <v>160</v>
      </c>
      <c r="C186" s="643"/>
      <c r="D186" s="643">
        <v>0</v>
      </c>
      <c r="E186" s="644"/>
      <c r="F186" s="644"/>
      <c r="G186" s="644"/>
      <c r="H186" s="640">
        <f t="shared" si="17"/>
        <v>0</v>
      </c>
      <c r="I186" s="644">
        <v>0</v>
      </c>
      <c r="J186" s="644"/>
      <c r="K186" s="644"/>
      <c r="L186" s="644"/>
      <c r="M186" s="640">
        <f t="shared" si="18"/>
        <v>0</v>
      </c>
      <c r="N186" s="644">
        <v>0</v>
      </c>
      <c r="O186" s="644"/>
      <c r="P186" s="644"/>
      <c r="Q186" s="644"/>
      <c r="R186" s="640">
        <f t="shared" si="19"/>
        <v>0</v>
      </c>
    </row>
    <row r="187" spans="1:18" s="89" customFormat="1" ht="24" hidden="1" customHeight="1">
      <c r="A187" s="648">
        <v>18132</v>
      </c>
      <c r="B187" s="647" t="s">
        <v>169</v>
      </c>
      <c r="C187" s="643"/>
      <c r="D187" s="643">
        <v>0</v>
      </c>
      <c r="E187" s="644"/>
      <c r="F187" s="644"/>
      <c r="G187" s="644"/>
      <c r="H187" s="640">
        <f t="shared" si="17"/>
        <v>0</v>
      </c>
      <c r="I187" s="644">
        <v>0</v>
      </c>
      <c r="J187" s="644"/>
      <c r="K187" s="644"/>
      <c r="L187" s="644"/>
      <c r="M187" s="640">
        <f t="shared" si="18"/>
        <v>0</v>
      </c>
      <c r="N187" s="644">
        <v>0</v>
      </c>
      <c r="O187" s="644"/>
      <c r="P187" s="644"/>
      <c r="Q187" s="644"/>
      <c r="R187" s="640">
        <f t="shared" si="19"/>
        <v>0</v>
      </c>
    </row>
    <row r="188" spans="1:18" s="89" customFormat="1" ht="24" hidden="1" customHeight="1">
      <c r="A188" s="648">
        <v>18139</v>
      </c>
      <c r="B188" s="647" t="s">
        <v>179</v>
      </c>
      <c r="C188" s="643"/>
      <c r="D188" s="643">
        <v>0</v>
      </c>
      <c r="E188" s="644"/>
      <c r="F188" s="644"/>
      <c r="G188" s="644"/>
      <c r="H188" s="640">
        <f t="shared" si="17"/>
        <v>0</v>
      </c>
      <c r="I188" s="644">
        <v>0</v>
      </c>
      <c r="J188" s="644"/>
      <c r="K188" s="644"/>
      <c r="L188" s="644"/>
      <c r="M188" s="640">
        <f t="shared" si="18"/>
        <v>0</v>
      </c>
      <c r="N188" s="644">
        <v>0</v>
      </c>
      <c r="O188" s="644"/>
      <c r="P188" s="644"/>
      <c r="Q188" s="644"/>
      <c r="R188" s="640">
        <f t="shared" si="19"/>
        <v>0</v>
      </c>
    </row>
    <row r="189" spans="1:18" s="89" customFormat="1" ht="12" hidden="1" customHeight="1">
      <c r="A189" s="649" t="s">
        <v>180</v>
      </c>
      <c r="B189" s="650" t="s">
        <v>173</v>
      </c>
      <c r="C189" s="651">
        <v>0</v>
      </c>
      <c r="D189" s="651">
        <v>0</v>
      </c>
      <c r="E189" s="652">
        <f t="shared" ref="E189:L189" si="22">E190</f>
        <v>0</v>
      </c>
      <c r="F189" s="652">
        <f t="shared" si="22"/>
        <v>0</v>
      </c>
      <c r="G189" s="652">
        <f t="shared" si="22"/>
        <v>0</v>
      </c>
      <c r="H189" s="640">
        <f t="shared" si="17"/>
        <v>0</v>
      </c>
      <c r="I189" s="652">
        <v>0</v>
      </c>
      <c r="J189" s="652">
        <f t="shared" si="22"/>
        <v>0</v>
      </c>
      <c r="K189" s="652">
        <f t="shared" si="22"/>
        <v>0</v>
      </c>
      <c r="L189" s="652">
        <f t="shared" si="22"/>
        <v>0</v>
      </c>
      <c r="M189" s="640">
        <f t="shared" si="18"/>
        <v>0</v>
      </c>
      <c r="N189" s="652">
        <v>0</v>
      </c>
      <c r="O189" s="652">
        <f>O190</f>
        <v>0</v>
      </c>
      <c r="P189" s="652">
        <f>P190</f>
        <v>0</v>
      </c>
      <c r="Q189" s="652">
        <f>Q190</f>
        <v>0</v>
      </c>
      <c r="R189" s="640">
        <f t="shared" si="19"/>
        <v>0</v>
      </c>
    </row>
    <row r="190" spans="1:18" s="89" customFormat="1" ht="24" hidden="1" customHeight="1">
      <c r="A190" s="649">
        <v>19500</v>
      </c>
      <c r="B190" s="647" t="s">
        <v>174</v>
      </c>
      <c r="C190" s="643">
        <v>0</v>
      </c>
      <c r="D190" s="643">
        <v>0</v>
      </c>
      <c r="E190" s="644">
        <f>SUM(E191:E193)</f>
        <v>0</v>
      </c>
      <c r="F190" s="644">
        <f>SUM(F191:F193)</f>
        <v>0</v>
      </c>
      <c r="G190" s="644">
        <f>SUM(G191:G193)</f>
        <v>0</v>
      </c>
      <c r="H190" s="640">
        <f t="shared" si="17"/>
        <v>0</v>
      </c>
      <c r="I190" s="644">
        <v>0</v>
      </c>
      <c r="J190" s="644">
        <f>SUM(J191:J193)</f>
        <v>0</v>
      </c>
      <c r="K190" s="644">
        <f>SUM(K191:K193)</f>
        <v>0</v>
      </c>
      <c r="L190" s="644">
        <f>SUM(L191:L193)</f>
        <v>0</v>
      </c>
      <c r="M190" s="640">
        <f t="shared" si="18"/>
        <v>0</v>
      </c>
      <c r="N190" s="644">
        <v>0</v>
      </c>
      <c r="O190" s="644">
        <f>SUM(O191:O193)</f>
        <v>0</v>
      </c>
      <c r="P190" s="644">
        <f>SUM(P191:P193)</f>
        <v>0</v>
      </c>
      <c r="Q190" s="644">
        <f>SUM(Q191:Q193)</f>
        <v>0</v>
      </c>
      <c r="R190" s="640">
        <f t="shared" si="19"/>
        <v>0</v>
      </c>
    </row>
    <row r="191" spans="1:18" s="89" customFormat="1" ht="24" hidden="1" customHeight="1">
      <c r="A191" s="653">
        <v>19550</v>
      </c>
      <c r="B191" s="647" t="s">
        <v>175</v>
      </c>
      <c r="C191" s="643"/>
      <c r="D191" s="643">
        <v>0</v>
      </c>
      <c r="E191" s="644"/>
      <c r="F191" s="644"/>
      <c r="G191" s="644"/>
      <c r="H191" s="640">
        <f t="shared" si="17"/>
        <v>0</v>
      </c>
      <c r="I191" s="644">
        <v>0</v>
      </c>
      <c r="J191" s="644"/>
      <c r="K191" s="644"/>
      <c r="L191" s="644"/>
      <c r="M191" s="640">
        <f t="shared" si="18"/>
        <v>0</v>
      </c>
      <c r="N191" s="644">
        <v>0</v>
      </c>
      <c r="O191" s="644"/>
      <c r="P191" s="644"/>
      <c r="Q191" s="644"/>
      <c r="R191" s="640">
        <f t="shared" si="19"/>
        <v>0</v>
      </c>
    </row>
    <row r="192" spans="1:18" s="89" customFormat="1" ht="36" hidden="1" customHeight="1">
      <c r="A192" s="653">
        <v>19560</v>
      </c>
      <c r="B192" s="647" t="s">
        <v>181</v>
      </c>
      <c r="C192" s="643"/>
      <c r="D192" s="643">
        <v>0</v>
      </c>
      <c r="E192" s="644"/>
      <c r="F192" s="644"/>
      <c r="G192" s="644"/>
      <c r="H192" s="640">
        <f t="shared" si="17"/>
        <v>0</v>
      </c>
      <c r="I192" s="644">
        <v>0</v>
      </c>
      <c r="J192" s="644"/>
      <c r="K192" s="644"/>
      <c r="L192" s="644"/>
      <c r="M192" s="640">
        <f t="shared" si="18"/>
        <v>0</v>
      </c>
      <c r="N192" s="644">
        <v>0</v>
      </c>
      <c r="O192" s="644"/>
      <c r="P192" s="644"/>
      <c r="Q192" s="644"/>
      <c r="R192" s="640">
        <f t="shared" si="19"/>
        <v>0</v>
      </c>
    </row>
    <row r="193" spans="1:18" s="89" customFormat="1" ht="72" hidden="1" customHeight="1">
      <c r="A193" s="653">
        <v>19570</v>
      </c>
      <c r="B193" s="647" t="s">
        <v>182</v>
      </c>
      <c r="C193" s="643"/>
      <c r="D193" s="643">
        <v>0</v>
      </c>
      <c r="E193" s="644"/>
      <c r="F193" s="644"/>
      <c r="G193" s="644"/>
      <c r="H193" s="640">
        <f t="shared" si="17"/>
        <v>0</v>
      </c>
      <c r="I193" s="644">
        <v>0</v>
      </c>
      <c r="J193" s="644"/>
      <c r="K193" s="644"/>
      <c r="L193" s="644"/>
      <c r="M193" s="640">
        <f t="shared" si="18"/>
        <v>0</v>
      </c>
      <c r="N193" s="644">
        <v>0</v>
      </c>
      <c r="O193" s="644"/>
      <c r="P193" s="644"/>
      <c r="Q193" s="644"/>
      <c r="R193" s="640">
        <f t="shared" si="19"/>
        <v>0</v>
      </c>
    </row>
    <row r="194" spans="1:18" s="6" customFormat="1" ht="36" hidden="1" customHeight="1">
      <c r="A194" s="654" t="s">
        <v>222</v>
      </c>
      <c r="B194" s="655" t="s">
        <v>216</v>
      </c>
      <c r="C194" s="643">
        <f>C195</f>
        <v>0</v>
      </c>
      <c r="D194" s="643">
        <v>0</v>
      </c>
      <c r="E194" s="640">
        <f t="shared" ref="E194:L194" si="23">E195</f>
        <v>0</v>
      </c>
      <c r="F194" s="640">
        <f t="shared" si="23"/>
        <v>0</v>
      </c>
      <c r="G194" s="640">
        <f t="shared" si="23"/>
        <v>0</v>
      </c>
      <c r="H194" s="640">
        <f t="shared" si="17"/>
        <v>0</v>
      </c>
      <c r="I194" s="644">
        <v>0</v>
      </c>
      <c r="J194" s="640">
        <f t="shared" si="23"/>
        <v>0</v>
      </c>
      <c r="K194" s="640">
        <f t="shared" si="23"/>
        <v>0</v>
      </c>
      <c r="L194" s="640">
        <f t="shared" si="23"/>
        <v>0</v>
      </c>
      <c r="M194" s="640">
        <f t="shared" si="18"/>
        <v>0</v>
      </c>
      <c r="N194" s="644">
        <v>0</v>
      </c>
      <c r="O194" s="640">
        <f>O195</f>
        <v>0</v>
      </c>
      <c r="P194" s="640">
        <f>P195</f>
        <v>0</v>
      </c>
      <c r="Q194" s="640">
        <f>Q195</f>
        <v>0</v>
      </c>
      <c r="R194" s="640">
        <f t="shared" si="19"/>
        <v>0</v>
      </c>
    </row>
    <row r="195" spans="1:18" s="6" customFormat="1" ht="36" hidden="1" customHeight="1">
      <c r="A195" s="654">
        <v>17100</v>
      </c>
      <c r="B195" s="655" t="s">
        <v>217</v>
      </c>
      <c r="C195" s="643">
        <f>SUM(C196:C199)</f>
        <v>0</v>
      </c>
      <c r="D195" s="643">
        <v>0</v>
      </c>
      <c r="E195" s="640">
        <f>SUM(E196:E199)</f>
        <v>0</v>
      </c>
      <c r="F195" s="640">
        <f>SUM(F196:F199)</f>
        <v>0</v>
      </c>
      <c r="G195" s="640">
        <f>SUM(G196:G199)</f>
        <v>0</v>
      </c>
      <c r="H195" s="640">
        <f t="shared" si="17"/>
        <v>0</v>
      </c>
      <c r="I195" s="644">
        <v>0</v>
      </c>
      <c r="J195" s="640">
        <f>SUM(J196:J199)</f>
        <v>0</v>
      </c>
      <c r="K195" s="640">
        <f>SUM(K196:K199)</f>
        <v>0</v>
      </c>
      <c r="L195" s="640">
        <f>SUM(L196:L199)</f>
        <v>0</v>
      </c>
      <c r="M195" s="640">
        <f t="shared" si="18"/>
        <v>0</v>
      </c>
      <c r="N195" s="644">
        <v>0</v>
      </c>
      <c r="O195" s="640">
        <f>SUM(O196:O199)</f>
        <v>0</v>
      </c>
      <c r="P195" s="640">
        <f>SUM(P196:P199)</f>
        <v>0</v>
      </c>
      <c r="Q195" s="640">
        <f>SUM(Q196:Q199)</f>
        <v>0</v>
      </c>
      <c r="R195" s="640">
        <f t="shared" si="19"/>
        <v>0</v>
      </c>
    </row>
    <row r="196" spans="1:18" s="6" customFormat="1" ht="60" hidden="1" customHeight="1">
      <c r="A196" s="656">
        <v>17110</v>
      </c>
      <c r="B196" s="655" t="s">
        <v>218</v>
      </c>
      <c r="C196" s="643"/>
      <c r="D196" s="643">
        <v>0</v>
      </c>
      <c r="E196" s="644"/>
      <c r="F196" s="644"/>
      <c r="G196" s="644"/>
      <c r="H196" s="640">
        <f t="shared" si="17"/>
        <v>0</v>
      </c>
      <c r="I196" s="644">
        <v>0</v>
      </c>
      <c r="J196" s="644"/>
      <c r="K196" s="644"/>
      <c r="L196" s="644"/>
      <c r="M196" s="640">
        <f t="shared" si="18"/>
        <v>0</v>
      </c>
      <c r="N196" s="644">
        <v>0</v>
      </c>
      <c r="O196" s="644"/>
      <c r="P196" s="644"/>
      <c r="Q196" s="644"/>
      <c r="R196" s="640">
        <f t="shared" si="19"/>
        <v>0</v>
      </c>
    </row>
    <row r="197" spans="1:18" s="6" customFormat="1" ht="60" hidden="1" customHeight="1">
      <c r="A197" s="656">
        <v>17120</v>
      </c>
      <c r="B197" s="655" t="s">
        <v>219</v>
      </c>
      <c r="C197" s="643"/>
      <c r="D197" s="643">
        <v>0</v>
      </c>
      <c r="E197" s="644"/>
      <c r="F197" s="644"/>
      <c r="G197" s="644"/>
      <c r="H197" s="640">
        <f t="shared" si="17"/>
        <v>0</v>
      </c>
      <c r="I197" s="644">
        <v>0</v>
      </c>
      <c r="J197" s="644"/>
      <c r="K197" s="644"/>
      <c r="L197" s="644"/>
      <c r="M197" s="640">
        <f t="shared" si="18"/>
        <v>0</v>
      </c>
      <c r="N197" s="644">
        <v>0</v>
      </c>
      <c r="O197" s="644"/>
      <c r="P197" s="644"/>
      <c r="Q197" s="644"/>
      <c r="R197" s="640">
        <f t="shared" si="19"/>
        <v>0</v>
      </c>
    </row>
    <row r="198" spans="1:18" s="6" customFormat="1" ht="108" hidden="1" customHeight="1">
      <c r="A198" s="656">
        <v>17130</v>
      </c>
      <c r="B198" s="655" t="s">
        <v>220</v>
      </c>
      <c r="C198" s="643"/>
      <c r="D198" s="643">
        <v>0</v>
      </c>
      <c r="E198" s="644"/>
      <c r="F198" s="644"/>
      <c r="G198" s="644"/>
      <c r="H198" s="640">
        <f t="shared" si="17"/>
        <v>0</v>
      </c>
      <c r="I198" s="644">
        <v>0</v>
      </c>
      <c r="J198" s="644"/>
      <c r="K198" s="644"/>
      <c r="L198" s="644"/>
      <c r="M198" s="640">
        <f t="shared" si="18"/>
        <v>0</v>
      </c>
      <c r="N198" s="644">
        <v>0</v>
      </c>
      <c r="O198" s="644"/>
      <c r="P198" s="644"/>
      <c r="Q198" s="644"/>
      <c r="R198" s="640">
        <f t="shared" si="19"/>
        <v>0</v>
      </c>
    </row>
    <row r="199" spans="1:18" s="6" customFormat="1" ht="108" hidden="1" customHeight="1">
      <c r="A199" s="656">
        <v>17140</v>
      </c>
      <c r="B199" s="655" t="s">
        <v>221</v>
      </c>
      <c r="C199" s="643"/>
      <c r="D199" s="643">
        <v>0</v>
      </c>
      <c r="E199" s="644"/>
      <c r="F199" s="644"/>
      <c r="G199" s="644"/>
      <c r="H199" s="640">
        <f t="shared" si="17"/>
        <v>0</v>
      </c>
      <c r="I199" s="644">
        <v>0</v>
      </c>
      <c r="J199" s="644"/>
      <c r="K199" s="644"/>
      <c r="L199" s="644"/>
      <c r="M199" s="640">
        <f t="shared" si="18"/>
        <v>0</v>
      </c>
      <c r="N199" s="644">
        <v>0</v>
      </c>
      <c r="O199" s="644"/>
      <c r="P199" s="644"/>
      <c r="Q199" s="644"/>
      <c r="R199" s="640">
        <f t="shared" si="19"/>
        <v>0</v>
      </c>
    </row>
    <row r="200" spans="1:18" s="89" customFormat="1" ht="12" hidden="1" customHeight="1">
      <c r="A200" s="657">
        <v>21700</v>
      </c>
      <c r="B200" s="637" t="s">
        <v>97</v>
      </c>
      <c r="C200" s="643">
        <v>0</v>
      </c>
      <c r="D200" s="643">
        <v>0</v>
      </c>
      <c r="E200" s="644">
        <f>E201+E202</f>
        <v>0</v>
      </c>
      <c r="F200" s="644">
        <f>F201+F202</f>
        <v>0</v>
      </c>
      <c r="G200" s="644">
        <f>G201+G202</f>
        <v>0</v>
      </c>
      <c r="H200" s="640">
        <f t="shared" si="17"/>
        <v>0</v>
      </c>
      <c r="I200" s="644">
        <v>0</v>
      </c>
      <c r="J200" s="644">
        <f>J201+J202</f>
        <v>0</v>
      </c>
      <c r="K200" s="644">
        <f>K201+K202</f>
        <v>0</v>
      </c>
      <c r="L200" s="644">
        <f>L201+L202</f>
        <v>0</v>
      </c>
      <c r="M200" s="640">
        <f t="shared" si="18"/>
        <v>0</v>
      </c>
      <c r="N200" s="644">
        <v>0</v>
      </c>
      <c r="O200" s="644">
        <f>O201+O202</f>
        <v>0</v>
      </c>
      <c r="P200" s="644">
        <f>P201+P202</f>
        <v>0</v>
      </c>
      <c r="Q200" s="644">
        <f>Q201+Q202</f>
        <v>0</v>
      </c>
      <c r="R200" s="640">
        <f t="shared" si="19"/>
        <v>0</v>
      </c>
    </row>
    <row r="201" spans="1:18" s="89" customFormat="1" ht="24" hidden="1" customHeight="1">
      <c r="A201" s="658">
        <v>21710</v>
      </c>
      <c r="B201" s="642" t="s">
        <v>98</v>
      </c>
      <c r="C201" s="643"/>
      <c r="D201" s="643">
        <v>0</v>
      </c>
      <c r="E201" s="644"/>
      <c r="F201" s="644"/>
      <c r="G201" s="644"/>
      <c r="H201" s="640">
        <f t="shared" si="17"/>
        <v>0</v>
      </c>
      <c r="I201" s="644">
        <v>0</v>
      </c>
      <c r="J201" s="644"/>
      <c r="K201" s="644"/>
      <c r="L201" s="644"/>
      <c r="M201" s="640">
        <f t="shared" si="18"/>
        <v>0</v>
      </c>
      <c r="N201" s="644">
        <v>0</v>
      </c>
      <c r="O201" s="644"/>
      <c r="P201" s="644"/>
      <c r="Q201" s="644"/>
      <c r="R201" s="640">
        <f t="shared" si="19"/>
        <v>0</v>
      </c>
    </row>
    <row r="202" spans="1:18" s="29" customFormat="1" ht="24" hidden="1" customHeight="1">
      <c r="A202" s="658">
        <v>21720</v>
      </c>
      <c r="B202" s="642" t="s">
        <v>99</v>
      </c>
      <c r="C202" s="643"/>
      <c r="D202" s="643">
        <v>0</v>
      </c>
      <c r="E202" s="644"/>
      <c r="F202" s="644"/>
      <c r="G202" s="644"/>
      <c r="H202" s="640">
        <f t="shared" ref="H202:H260" si="24">SUM(D202:G202)</f>
        <v>0</v>
      </c>
      <c r="I202" s="644">
        <v>0</v>
      </c>
      <c r="J202" s="644"/>
      <c r="K202" s="644"/>
      <c r="L202" s="644"/>
      <c r="M202" s="640">
        <f t="shared" ref="M202:M260" si="25">SUM(I202:L202)</f>
        <v>0</v>
      </c>
      <c r="N202" s="644">
        <v>0</v>
      </c>
      <c r="O202" s="644"/>
      <c r="P202" s="644"/>
      <c r="Q202" s="644"/>
      <c r="R202" s="640">
        <f t="shared" ref="R202:R260" si="26">SUM(N202:Q202)</f>
        <v>0</v>
      </c>
    </row>
    <row r="203" spans="1:18" s="29" customFormat="1" ht="12" hidden="1" customHeight="1">
      <c r="A203" s="631" t="s">
        <v>100</v>
      </c>
      <c r="B203" s="632" t="s">
        <v>101</v>
      </c>
      <c r="C203" s="659">
        <v>0</v>
      </c>
      <c r="D203" s="659">
        <v>0</v>
      </c>
      <c r="E203" s="660">
        <f>E204+E231</f>
        <v>0</v>
      </c>
      <c r="F203" s="660">
        <f>F204+F231</f>
        <v>0</v>
      </c>
      <c r="G203" s="660">
        <f>G204+G231</f>
        <v>0</v>
      </c>
      <c r="H203" s="635">
        <f t="shared" si="24"/>
        <v>0</v>
      </c>
      <c r="I203" s="660">
        <v>0</v>
      </c>
      <c r="J203" s="660">
        <f>J204+J231</f>
        <v>0</v>
      </c>
      <c r="K203" s="660">
        <f>K204+K231</f>
        <v>0</v>
      </c>
      <c r="L203" s="660">
        <f>L204+L231</f>
        <v>0</v>
      </c>
      <c r="M203" s="635">
        <f t="shared" si="25"/>
        <v>0</v>
      </c>
      <c r="N203" s="660">
        <v>0</v>
      </c>
      <c r="O203" s="660">
        <f>O204+O231</f>
        <v>0</v>
      </c>
      <c r="P203" s="660">
        <f>P204+P231</f>
        <v>0</v>
      </c>
      <c r="Q203" s="660">
        <f>Q204+Q231</f>
        <v>0</v>
      </c>
      <c r="R203" s="635">
        <f t="shared" si="26"/>
        <v>0</v>
      </c>
    </row>
    <row r="204" spans="1:18" s="29" customFormat="1" ht="21" hidden="1" customHeight="1">
      <c r="A204" s="636" t="s">
        <v>102</v>
      </c>
      <c r="B204" s="637" t="s">
        <v>103</v>
      </c>
      <c r="C204" s="643">
        <v>0</v>
      </c>
      <c r="D204" s="643">
        <v>0</v>
      </c>
      <c r="E204" s="644">
        <f>E205+E209+E210+E213+E216</f>
        <v>0</v>
      </c>
      <c r="F204" s="644">
        <f>F205+F209+F210+F213+F216</f>
        <v>0</v>
      </c>
      <c r="G204" s="644">
        <f>G205+G209+G210+G213+G216</f>
        <v>0</v>
      </c>
      <c r="H204" s="640">
        <f t="shared" si="24"/>
        <v>0</v>
      </c>
      <c r="I204" s="644">
        <v>0</v>
      </c>
      <c r="J204" s="644">
        <f>J205+J209+J210+J213+J216</f>
        <v>0</v>
      </c>
      <c r="K204" s="644">
        <f>K205+K209+K210+K213+K216</f>
        <v>0</v>
      </c>
      <c r="L204" s="644">
        <f>L205+L209+L210+L213+L216</f>
        <v>0</v>
      </c>
      <c r="M204" s="640">
        <f t="shared" si="25"/>
        <v>0</v>
      </c>
      <c r="N204" s="644">
        <v>0</v>
      </c>
      <c r="O204" s="644">
        <f>O205+O209+O210+O213+O216</f>
        <v>0</v>
      </c>
      <c r="P204" s="644">
        <f>P205+P209+P210+P213+P216</f>
        <v>0</v>
      </c>
      <c r="Q204" s="644">
        <f>Q205+Q209+Q210+Q213+Q216</f>
        <v>0</v>
      </c>
      <c r="R204" s="640">
        <f t="shared" si="26"/>
        <v>0</v>
      </c>
    </row>
    <row r="205" spans="1:18" s="29" customFormat="1" ht="12" hidden="1" customHeight="1">
      <c r="A205" s="636" t="s">
        <v>104</v>
      </c>
      <c r="B205" s="637" t="s">
        <v>105</v>
      </c>
      <c r="C205" s="643">
        <v>0</v>
      </c>
      <c r="D205" s="643">
        <v>0</v>
      </c>
      <c r="E205" s="644">
        <f>E206+E208</f>
        <v>0</v>
      </c>
      <c r="F205" s="644">
        <f>F206+F208</f>
        <v>0</v>
      </c>
      <c r="G205" s="644">
        <f>G206+G208</f>
        <v>0</v>
      </c>
      <c r="H205" s="640">
        <f t="shared" si="24"/>
        <v>0</v>
      </c>
      <c r="I205" s="644">
        <v>0</v>
      </c>
      <c r="J205" s="644">
        <f>J206+J208</f>
        <v>0</v>
      </c>
      <c r="K205" s="644">
        <f>K206+K208</f>
        <v>0</v>
      </c>
      <c r="L205" s="644">
        <f>L206+L208</f>
        <v>0</v>
      </c>
      <c r="M205" s="640">
        <f t="shared" si="25"/>
        <v>0</v>
      </c>
      <c r="N205" s="644">
        <v>0</v>
      </c>
      <c r="O205" s="644">
        <f>O206+O208</f>
        <v>0</v>
      </c>
      <c r="P205" s="644">
        <f>P206+P208</f>
        <v>0</v>
      </c>
      <c r="Q205" s="644">
        <f>Q206+Q208</f>
        <v>0</v>
      </c>
      <c r="R205" s="640">
        <f t="shared" si="26"/>
        <v>0</v>
      </c>
    </row>
    <row r="206" spans="1:18" s="29" customFormat="1" ht="12" hidden="1" customHeight="1">
      <c r="A206" s="645">
        <v>1000</v>
      </c>
      <c r="B206" s="642" t="s">
        <v>106</v>
      </c>
      <c r="C206" s="643"/>
      <c r="D206" s="643">
        <v>0</v>
      </c>
      <c r="E206" s="661"/>
      <c r="F206" s="661"/>
      <c r="G206" s="661"/>
      <c r="H206" s="640">
        <f t="shared" si="24"/>
        <v>0</v>
      </c>
      <c r="I206" s="644">
        <v>0</v>
      </c>
      <c r="J206" s="661"/>
      <c r="K206" s="661"/>
      <c r="L206" s="661"/>
      <c r="M206" s="640">
        <f t="shared" si="25"/>
        <v>0</v>
      </c>
      <c r="N206" s="644">
        <v>0</v>
      </c>
      <c r="O206" s="661"/>
      <c r="P206" s="661"/>
      <c r="Q206" s="661"/>
      <c r="R206" s="640">
        <f t="shared" si="26"/>
        <v>0</v>
      </c>
    </row>
    <row r="207" spans="1:18" s="29" customFormat="1" ht="12" hidden="1" customHeight="1">
      <c r="A207" s="662">
        <v>1100</v>
      </c>
      <c r="B207" s="642" t="s">
        <v>107</v>
      </c>
      <c r="C207" s="643"/>
      <c r="D207" s="643">
        <v>0</v>
      </c>
      <c r="E207" s="661"/>
      <c r="F207" s="661"/>
      <c r="G207" s="661"/>
      <c r="H207" s="640">
        <f t="shared" si="24"/>
        <v>0</v>
      </c>
      <c r="I207" s="644">
        <v>0</v>
      </c>
      <c r="J207" s="661"/>
      <c r="K207" s="661"/>
      <c r="L207" s="661"/>
      <c r="M207" s="640">
        <f t="shared" si="25"/>
        <v>0</v>
      </c>
      <c r="N207" s="644">
        <v>0</v>
      </c>
      <c r="O207" s="661"/>
      <c r="P207" s="661"/>
      <c r="Q207" s="661"/>
      <c r="R207" s="640">
        <f t="shared" si="26"/>
        <v>0</v>
      </c>
    </row>
    <row r="208" spans="1:18" s="29" customFormat="1" ht="12" hidden="1" customHeight="1">
      <c r="A208" s="645">
        <v>2000</v>
      </c>
      <c r="B208" s="642" t="s">
        <v>108</v>
      </c>
      <c r="C208" s="643"/>
      <c r="D208" s="643">
        <v>0</v>
      </c>
      <c r="E208" s="661"/>
      <c r="F208" s="661"/>
      <c r="G208" s="661"/>
      <c r="H208" s="640">
        <f t="shared" si="24"/>
        <v>0</v>
      </c>
      <c r="I208" s="644">
        <v>0</v>
      </c>
      <c r="J208" s="661"/>
      <c r="K208" s="661"/>
      <c r="L208" s="661"/>
      <c r="M208" s="640">
        <f t="shared" si="25"/>
        <v>0</v>
      </c>
      <c r="N208" s="644">
        <v>0</v>
      </c>
      <c r="O208" s="661"/>
      <c r="P208" s="661"/>
      <c r="Q208" s="661"/>
      <c r="R208" s="640">
        <f t="shared" si="26"/>
        <v>0</v>
      </c>
    </row>
    <row r="209" spans="1:18" s="29" customFormat="1" ht="12" hidden="1" customHeight="1">
      <c r="A209" s="663">
        <v>4000</v>
      </c>
      <c r="B209" s="637" t="s">
        <v>132</v>
      </c>
      <c r="C209" s="643"/>
      <c r="D209" s="643">
        <v>0</v>
      </c>
      <c r="E209" s="661"/>
      <c r="F209" s="661"/>
      <c r="G209" s="661"/>
      <c r="H209" s="640">
        <f t="shared" si="24"/>
        <v>0</v>
      </c>
      <c r="I209" s="644">
        <v>0</v>
      </c>
      <c r="J209" s="661"/>
      <c r="K209" s="661"/>
      <c r="L209" s="661"/>
      <c r="M209" s="640">
        <f t="shared" si="25"/>
        <v>0</v>
      </c>
      <c r="N209" s="644">
        <v>0</v>
      </c>
      <c r="O209" s="661"/>
      <c r="P209" s="661"/>
      <c r="Q209" s="661"/>
      <c r="R209" s="640">
        <f t="shared" si="26"/>
        <v>0</v>
      </c>
    </row>
    <row r="210" spans="1:18" s="29" customFormat="1" ht="12" hidden="1" customHeight="1">
      <c r="A210" s="663" t="s">
        <v>109</v>
      </c>
      <c r="B210" s="637" t="s">
        <v>110</v>
      </c>
      <c r="C210" s="643">
        <v>0</v>
      </c>
      <c r="D210" s="643">
        <v>0</v>
      </c>
      <c r="E210" s="644">
        <f>E211+E212</f>
        <v>0</v>
      </c>
      <c r="F210" s="644">
        <f>F211+F212</f>
        <v>0</v>
      </c>
      <c r="G210" s="644">
        <f>G211+G212</f>
        <v>0</v>
      </c>
      <c r="H210" s="640">
        <f t="shared" si="24"/>
        <v>0</v>
      </c>
      <c r="I210" s="644">
        <v>0</v>
      </c>
      <c r="J210" s="644">
        <f>J211+J212</f>
        <v>0</v>
      </c>
      <c r="K210" s="644">
        <f>K211+K212</f>
        <v>0</v>
      </c>
      <c r="L210" s="644">
        <f>L211+L212</f>
        <v>0</v>
      </c>
      <c r="M210" s="640">
        <f t="shared" si="25"/>
        <v>0</v>
      </c>
      <c r="N210" s="644">
        <v>0</v>
      </c>
      <c r="O210" s="644">
        <f>O211+O212</f>
        <v>0</v>
      </c>
      <c r="P210" s="644">
        <f>P211+P212</f>
        <v>0</v>
      </c>
      <c r="Q210" s="644">
        <f>Q211+Q212</f>
        <v>0</v>
      </c>
      <c r="R210" s="640">
        <f t="shared" si="26"/>
        <v>0</v>
      </c>
    </row>
    <row r="211" spans="1:18" s="29" customFormat="1" ht="12" hidden="1" customHeight="1">
      <c r="A211" s="645">
        <v>3000</v>
      </c>
      <c r="B211" s="642" t="s">
        <v>111</v>
      </c>
      <c r="C211" s="664"/>
      <c r="D211" s="664">
        <v>0</v>
      </c>
      <c r="E211" s="665"/>
      <c r="F211" s="665"/>
      <c r="G211" s="665"/>
      <c r="H211" s="640">
        <f t="shared" si="24"/>
        <v>0</v>
      </c>
      <c r="I211" s="666">
        <v>0</v>
      </c>
      <c r="J211" s="665"/>
      <c r="K211" s="665"/>
      <c r="L211" s="665"/>
      <c r="M211" s="640">
        <f t="shared" si="25"/>
        <v>0</v>
      </c>
      <c r="N211" s="666">
        <v>0</v>
      </c>
      <c r="O211" s="665"/>
      <c r="P211" s="665"/>
      <c r="Q211" s="665"/>
      <c r="R211" s="640">
        <f t="shared" si="26"/>
        <v>0</v>
      </c>
    </row>
    <row r="212" spans="1:18" s="29" customFormat="1" ht="12" hidden="1" customHeight="1">
      <c r="A212" s="645">
        <v>6000</v>
      </c>
      <c r="B212" s="642" t="s">
        <v>112</v>
      </c>
      <c r="C212" s="667"/>
      <c r="D212" s="667">
        <v>0</v>
      </c>
      <c r="E212" s="668"/>
      <c r="F212" s="668"/>
      <c r="G212" s="668"/>
      <c r="H212" s="640">
        <f t="shared" si="24"/>
        <v>0</v>
      </c>
      <c r="I212" s="669">
        <v>0</v>
      </c>
      <c r="J212" s="668"/>
      <c r="K212" s="668"/>
      <c r="L212" s="668"/>
      <c r="M212" s="640">
        <f t="shared" si="25"/>
        <v>0</v>
      </c>
      <c r="N212" s="669">
        <v>0</v>
      </c>
      <c r="O212" s="668"/>
      <c r="P212" s="668"/>
      <c r="Q212" s="668"/>
      <c r="R212" s="640">
        <f t="shared" si="26"/>
        <v>0</v>
      </c>
    </row>
    <row r="213" spans="1:18" s="29" customFormat="1" ht="24" hidden="1" customHeight="1">
      <c r="A213" s="663" t="s">
        <v>113</v>
      </c>
      <c r="B213" s="637" t="s">
        <v>183</v>
      </c>
      <c r="C213" s="643">
        <v>0</v>
      </c>
      <c r="D213" s="643">
        <v>0</v>
      </c>
      <c r="E213" s="644">
        <f>E214+E215</f>
        <v>0</v>
      </c>
      <c r="F213" s="644">
        <f>F214+F215</f>
        <v>0</v>
      </c>
      <c r="G213" s="644">
        <f>G214+G215</f>
        <v>0</v>
      </c>
      <c r="H213" s="640">
        <f t="shared" si="24"/>
        <v>0</v>
      </c>
      <c r="I213" s="644">
        <v>0</v>
      </c>
      <c r="J213" s="644">
        <f>J214+J215</f>
        <v>0</v>
      </c>
      <c r="K213" s="644">
        <f>K214+K215</f>
        <v>0</v>
      </c>
      <c r="L213" s="644">
        <f>L214+L215</f>
        <v>0</v>
      </c>
      <c r="M213" s="640">
        <f t="shared" si="25"/>
        <v>0</v>
      </c>
      <c r="N213" s="644">
        <v>0</v>
      </c>
      <c r="O213" s="644">
        <f>O214+O215</f>
        <v>0</v>
      </c>
      <c r="P213" s="644">
        <f>P214+P215</f>
        <v>0</v>
      </c>
      <c r="Q213" s="644">
        <f>Q214+Q215</f>
        <v>0</v>
      </c>
      <c r="R213" s="640">
        <f t="shared" si="26"/>
        <v>0</v>
      </c>
    </row>
    <row r="214" spans="1:18" s="29" customFormat="1" ht="12" hidden="1" customHeight="1">
      <c r="A214" s="645">
        <v>7600</v>
      </c>
      <c r="B214" s="670" t="s">
        <v>184</v>
      </c>
      <c r="C214" s="643"/>
      <c r="D214" s="643">
        <v>0</v>
      </c>
      <c r="E214" s="661"/>
      <c r="F214" s="661"/>
      <c r="G214" s="661"/>
      <c r="H214" s="640">
        <f t="shared" si="24"/>
        <v>0</v>
      </c>
      <c r="I214" s="644">
        <v>0</v>
      </c>
      <c r="J214" s="661"/>
      <c r="K214" s="661"/>
      <c r="L214" s="661"/>
      <c r="M214" s="640">
        <f t="shared" si="25"/>
        <v>0</v>
      </c>
      <c r="N214" s="644">
        <v>0</v>
      </c>
      <c r="O214" s="661"/>
      <c r="P214" s="661"/>
      <c r="Q214" s="661"/>
      <c r="R214" s="640">
        <f t="shared" si="26"/>
        <v>0</v>
      </c>
    </row>
    <row r="215" spans="1:18" s="29" customFormat="1" ht="12" hidden="1" customHeight="1">
      <c r="A215" s="645">
        <v>7700</v>
      </c>
      <c r="B215" s="671" t="s">
        <v>114</v>
      </c>
      <c r="C215" s="643"/>
      <c r="D215" s="643">
        <v>0</v>
      </c>
      <c r="E215" s="661"/>
      <c r="F215" s="661"/>
      <c r="G215" s="661"/>
      <c r="H215" s="640">
        <f t="shared" si="24"/>
        <v>0</v>
      </c>
      <c r="I215" s="644">
        <v>0</v>
      </c>
      <c r="J215" s="661"/>
      <c r="K215" s="661"/>
      <c r="L215" s="661"/>
      <c r="M215" s="640">
        <f t="shared" si="25"/>
        <v>0</v>
      </c>
      <c r="N215" s="644">
        <v>0</v>
      </c>
      <c r="O215" s="661"/>
      <c r="P215" s="661"/>
      <c r="Q215" s="661"/>
      <c r="R215" s="640">
        <f t="shared" si="26"/>
        <v>0</v>
      </c>
    </row>
    <row r="216" spans="1:18" s="29" customFormat="1" ht="21" hidden="1" customHeight="1">
      <c r="A216" s="663" t="s">
        <v>185</v>
      </c>
      <c r="B216" s="637" t="s">
        <v>115</v>
      </c>
      <c r="C216" s="643">
        <v>0</v>
      </c>
      <c r="D216" s="643">
        <v>0</v>
      </c>
      <c r="E216" s="644">
        <f>E217+E223+E227+E230</f>
        <v>0</v>
      </c>
      <c r="F216" s="644">
        <f>F217+F223+F227+F230</f>
        <v>0</v>
      </c>
      <c r="G216" s="644">
        <f>G217+G223+G227+G230</f>
        <v>0</v>
      </c>
      <c r="H216" s="640">
        <f t="shared" si="24"/>
        <v>0</v>
      </c>
      <c r="I216" s="644">
        <v>0</v>
      </c>
      <c r="J216" s="644">
        <f>J217+J223+J227+J230</f>
        <v>0</v>
      </c>
      <c r="K216" s="644">
        <f>K217+K223+K227+K230</f>
        <v>0</v>
      </c>
      <c r="L216" s="644">
        <f>L217+L223+L227+L230</f>
        <v>0</v>
      </c>
      <c r="M216" s="640">
        <f t="shared" si="25"/>
        <v>0</v>
      </c>
      <c r="N216" s="644">
        <v>0</v>
      </c>
      <c r="O216" s="644">
        <f>O217+O223+O227+O230</f>
        <v>0</v>
      </c>
      <c r="P216" s="644">
        <f>P217+P223+P227+P230</f>
        <v>0</v>
      </c>
      <c r="Q216" s="644">
        <f>Q217+Q223+Q227+Q230</f>
        <v>0</v>
      </c>
      <c r="R216" s="640">
        <f t="shared" si="26"/>
        <v>0</v>
      </c>
    </row>
    <row r="217" spans="1:18" s="29" customFormat="1" ht="12" hidden="1" customHeight="1">
      <c r="A217" s="645">
        <v>7100</v>
      </c>
      <c r="B217" s="670" t="s">
        <v>116</v>
      </c>
      <c r="C217" s="643">
        <v>0</v>
      </c>
      <c r="D217" s="643">
        <v>0</v>
      </c>
      <c r="E217" s="644">
        <f>E218+E219</f>
        <v>0</v>
      </c>
      <c r="F217" s="644">
        <f>F218+F219</f>
        <v>0</v>
      </c>
      <c r="G217" s="644">
        <f>G218+G219</f>
        <v>0</v>
      </c>
      <c r="H217" s="640">
        <f t="shared" si="24"/>
        <v>0</v>
      </c>
      <c r="I217" s="644">
        <v>0</v>
      </c>
      <c r="J217" s="644">
        <f>J218+J219</f>
        <v>0</v>
      </c>
      <c r="K217" s="644">
        <f>K218+K219</f>
        <v>0</v>
      </c>
      <c r="L217" s="644">
        <f>L218+L219</f>
        <v>0</v>
      </c>
      <c r="M217" s="640">
        <f t="shared" si="25"/>
        <v>0</v>
      </c>
      <c r="N217" s="644">
        <v>0</v>
      </c>
      <c r="O217" s="644">
        <f>O218+O219</f>
        <v>0</v>
      </c>
      <c r="P217" s="644">
        <f>P218+P219</f>
        <v>0</v>
      </c>
      <c r="Q217" s="644">
        <f>Q218+Q219</f>
        <v>0</v>
      </c>
      <c r="R217" s="640">
        <f t="shared" si="26"/>
        <v>0</v>
      </c>
    </row>
    <row r="218" spans="1:18" s="29" customFormat="1" ht="24" hidden="1" customHeight="1">
      <c r="A218" s="646" t="s">
        <v>117</v>
      </c>
      <c r="B218" s="670" t="s">
        <v>118</v>
      </c>
      <c r="C218" s="643"/>
      <c r="D218" s="643">
        <v>0</v>
      </c>
      <c r="E218" s="644"/>
      <c r="F218" s="644"/>
      <c r="G218" s="644"/>
      <c r="H218" s="640">
        <f t="shared" si="24"/>
        <v>0</v>
      </c>
      <c r="I218" s="644">
        <v>0</v>
      </c>
      <c r="J218" s="644"/>
      <c r="K218" s="644"/>
      <c r="L218" s="644"/>
      <c r="M218" s="640">
        <f t="shared" si="25"/>
        <v>0</v>
      </c>
      <c r="N218" s="644">
        <v>0</v>
      </c>
      <c r="O218" s="644"/>
      <c r="P218" s="644"/>
      <c r="Q218" s="644"/>
      <c r="R218" s="640">
        <f t="shared" si="26"/>
        <v>0</v>
      </c>
    </row>
    <row r="219" spans="1:18" s="29" customFormat="1" ht="24" hidden="1" customHeight="1">
      <c r="A219" s="646">
        <v>7130</v>
      </c>
      <c r="B219" s="670" t="s">
        <v>119</v>
      </c>
      <c r="C219" s="643">
        <v>0</v>
      </c>
      <c r="D219" s="643">
        <v>0</v>
      </c>
      <c r="E219" s="644">
        <f>SUM(E220:E222)</f>
        <v>0</v>
      </c>
      <c r="F219" s="644">
        <f>SUM(F220:F222)</f>
        <v>0</v>
      </c>
      <c r="G219" s="644">
        <f>SUM(G220:G222)</f>
        <v>0</v>
      </c>
      <c r="H219" s="640">
        <f t="shared" si="24"/>
        <v>0</v>
      </c>
      <c r="I219" s="644">
        <v>0</v>
      </c>
      <c r="J219" s="644">
        <f>SUM(J220:J222)</f>
        <v>0</v>
      </c>
      <c r="K219" s="644">
        <f>SUM(K220:K222)</f>
        <v>0</v>
      </c>
      <c r="L219" s="644">
        <f>SUM(L220:L222)</f>
        <v>0</v>
      </c>
      <c r="M219" s="640">
        <f t="shared" si="25"/>
        <v>0</v>
      </c>
      <c r="N219" s="644">
        <v>0</v>
      </c>
      <c r="O219" s="644">
        <f>SUM(O220:O222)</f>
        <v>0</v>
      </c>
      <c r="P219" s="644">
        <f>SUM(P220:P222)</f>
        <v>0</v>
      </c>
      <c r="Q219" s="644">
        <f>SUM(Q220:Q222)</f>
        <v>0</v>
      </c>
      <c r="R219" s="640">
        <f t="shared" si="26"/>
        <v>0</v>
      </c>
    </row>
    <row r="220" spans="1:18" s="29" customFormat="1" ht="36" hidden="1" customHeight="1">
      <c r="A220" s="648">
        <v>7131</v>
      </c>
      <c r="B220" s="670" t="s">
        <v>120</v>
      </c>
      <c r="C220" s="643"/>
      <c r="D220" s="643">
        <v>0</v>
      </c>
      <c r="E220" s="644"/>
      <c r="F220" s="644"/>
      <c r="G220" s="644"/>
      <c r="H220" s="640">
        <f t="shared" si="24"/>
        <v>0</v>
      </c>
      <c r="I220" s="644">
        <v>0</v>
      </c>
      <c r="J220" s="644"/>
      <c r="K220" s="644"/>
      <c r="L220" s="644"/>
      <c r="M220" s="640">
        <f t="shared" si="25"/>
        <v>0</v>
      </c>
      <c r="N220" s="644">
        <v>0</v>
      </c>
      <c r="O220" s="644"/>
      <c r="P220" s="644"/>
      <c r="Q220" s="644"/>
      <c r="R220" s="640">
        <f t="shared" si="26"/>
        <v>0</v>
      </c>
    </row>
    <row r="221" spans="1:18" s="29" customFormat="1" ht="36" hidden="1" customHeight="1">
      <c r="A221" s="648">
        <v>7132</v>
      </c>
      <c r="B221" s="670" t="s">
        <v>121</v>
      </c>
      <c r="C221" s="643"/>
      <c r="D221" s="643">
        <v>0</v>
      </c>
      <c r="E221" s="644"/>
      <c r="F221" s="644"/>
      <c r="G221" s="644"/>
      <c r="H221" s="640">
        <f t="shared" si="24"/>
        <v>0</v>
      </c>
      <c r="I221" s="644">
        <v>0</v>
      </c>
      <c r="J221" s="644"/>
      <c r="K221" s="644"/>
      <c r="L221" s="644"/>
      <c r="M221" s="640">
        <f t="shared" si="25"/>
        <v>0</v>
      </c>
      <c r="N221" s="644">
        <v>0</v>
      </c>
      <c r="O221" s="644"/>
      <c r="P221" s="644"/>
      <c r="Q221" s="644"/>
      <c r="R221" s="640">
        <f t="shared" si="26"/>
        <v>0</v>
      </c>
    </row>
    <row r="222" spans="1:18" s="29" customFormat="1" ht="36" hidden="1" customHeight="1">
      <c r="A222" s="648" t="s">
        <v>186</v>
      </c>
      <c r="B222" s="670" t="s">
        <v>187</v>
      </c>
      <c r="C222" s="643"/>
      <c r="D222" s="643">
        <v>0</v>
      </c>
      <c r="E222" s="644"/>
      <c r="F222" s="644"/>
      <c r="G222" s="644"/>
      <c r="H222" s="640">
        <f t="shared" si="24"/>
        <v>0</v>
      </c>
      <c r="I222" s="644">
        <v>0</v>
      </c>
      <c r="J222" s="644"/>
      <c r="K222" s="644"/>
      <c r="L222" s="644"/>
      <c r="M222" s="640">
        <f t="shared" si="25"/>
        <v>0</v>
      </c>
      <c r="N222" s="644">
        <v>0</v>
      </c>
      <c r="O222" s="644"/>
      <c r="P222" s="644"/>
      <c r="Q222" s="644"/>
      <c r="R222" s="640">
        <f t="shared" si="26"/>
        <v>0</v>
      </c>
    </row>
    <row r="223" spans="1:18" s="29" customFormat="1" ht="24" hidden="1" customHeight="1">
      <c r="A223" s="645">
        <v>7300</v>
      </c>
      <c r="B223" s="647" t="s">
        <v>155</v>
      </c>
      <c r="C223" s="643">
        <v>0</v>
      </c>
      <c r="D223" s="643">
        <v>0</v>
      </c>
      <c r="E223" s="644">
        <f>SUM(E224:E226)</f>
        <v>0</v>
      </c>
      <c r="F223" s="644">
        <f>SUM(F224:F226)</f>
        <v>0</v>
      </c>
      <c r="G223" s="644">
        <f>SUM(G224:G226)</f>
        <v>0</v>
      </c>
      <c r="H223" s="640">
        <f t="shared" si="24"/>
        <v>0</v>
      </c>
      <c r="I223" s="644">
        <v>0</v>
      </c>
      <c r="J223" s="644">
        <f>SUM(J224:J226)</f>
        <v>0</v>
      </c>
      <c r="K223" s="644">
        <f>SUM(K224:K226)</f>
        <v>0</v>
      </c>
      <c r="L223" s="644">
        <f>SUM(L224:L226)</f>
        <v>0</v>
      </c>
      <c r="M223" s="640">
        <f t="shared" si="25"/>
        <v>0</v>
      </c>
      <c r="N223" s="644">
        <v>0</v>
      </c>
      <c r="O223" s="644">
        <f>SUM(O224:O226)</f>
        <v>0</v>
      </c>
      <c r="P223" s="644">
        <f>SUM(P224:P226)</f>
        <v>0</v>
      </c>
      <c r="Q223" s="644">
        <f>SUM(Q224:Q226)</f>
        <v>0</v>
      </c>
      <c r="R223" s="640">
        <f t="shared" si="26"/>
        <v>0</v>
      </c>
    </row>
    <row r="224" spans="1:18" s="29" customFormat="1" ht="24" hidden="1" customHeight="1">
      <c r="A224" s="646" t="s">
        <v>188</v>
      </c>
      <c r="B224" s="670" t="s">
        <v>170</v>
      </c>
      <c r="C224" s="672"/>
      <c r="D224" s="672">
        <v>0</v>
      </c>
      <c r="E224" s="673"/>
      <c r="F224" s="673"/>
      <c r="G224" s="673"/>
      <c r="H224" s="640">
        <f t="shared" si="24"/>
        <v>0</v>
      </c>
      <c r="I224" s="673">
        <v>0</v>
      </c>
      <c r="J224" s="673"/>
      <c r="K224" s="673"/>
      <c r="L224" s="673"/>
      <c r="M224" s="640">
        <f t="shared" si="25"/>
        <v>0</v>
      </c>
      <c r="N224" s="673">
        <v>0</v>
      </c>
      <c r="O224" s="673"/>
      <c r="P224" s="673"/>
      <c r="Q224" s="673"/>
      <c r="R224" s="640">
        <f t="shared" si="26"/>
        <v>0</v>
      </c>
    </row>
    <row r="225" spans="1:18" s="29" customFormat="1" ht="48" hidden="1" customHeight="1">
      <c r="A225" s="646" t="s">
        <v>189</v>
      </c>
      <c r="B225" s="670" t="s">
        <v>156</v>
      </c>
      <c r="C225" s="672"/>
      <c r="D225" s="672">
        <v>0</v>
      </c>
      <c r="E225" s="673"/>
      <c r="F225" s="673"/>
      <c r="G225" s="673"/>
      <c r="H225" s="640">
        <f t="shared" si="24"/>
        <v>0</v>
      </c>
      <c r="I225" s="673">
        <v>0</v>
      </c>
      <c r="J225" s="673"/>
      <c r="K225" s="673"/>
      <c r="L225" s="673"/>
      <c r="M225" s="640">
        <f t="shared" si="25"/>
        <v>0</v>
      </c>
      <c r="N225" s="673">
        <v>0</v>
      </c>
      <c r="O225" s="673"/>
      <c r="P225" s="673"/>
      <c r="Q225" s="673"/>
      <c r="R225" s="640">
        <f t="shared" si="26"/>
        <v>0</v>
      </c>
    </row>
    <row r="226" spans="1:18" s="29" customFormat="1" ht="36" hidden="1" customHeight="1">
      <c r="A226" s="646">
        <v>7350</v>
      </c>
      <c r="B226" s="670" t="s">
        <v>163</v>
      </c>
      <c r="C226" s="672"/>
      <c r="D226" s="672">
        <v>0</v>
      </c>
      <c r="E226" s="673"/>
      <c r="F226" s="673"/>
      <c r="G226" s="673"/>
      <c r="H226" s="640">
        <f t="shared" si="24"/>
        <v>0</v>
      </c>
      <c r="I226" s="673">
        <v>0</v>
      </c>
      <c r="J226" s="673"/>
      <c r="K226" s="673"/>
      <c r="L226" s="673"/>
      <c r="M226" s="640">
        <f t="shared" si="25"/>
        <v>0</v>
      </c>
      <c r="N226" s="673">
        <v>0</v>
      </c>
      <c r="O226" s="673"/>
      <c r="P226" s="673"/>
      <c r="Q226" s="673"/>
      <c r="R226" s="640">
        <f t="shared" si="26"/>
        <v>0</v>
      </c>
    </row>
    <row r="227" spans="1:18" s="29" customFormat="1" ht="24" hidden="1" customHeight="1">
      <c r="A227" s="645">
        <v>7400</v>
      </c>
      <c r="B227" s="647" t="s">
        <v>161</v>
      </c>
      <c r="C227" s="643">
        <v>0</v>
      </c>
      <c r="D227" s="643">
        <v>0</v>
      </c>
      <c r="E227" s="644">
        <f>SUM(E228:E229)</f>
        <v>0</v>
      </c>
      <c r="F227" s="644">
        <f>SUM(F228:F229)</f>
        <v>0</v>
      </c>
      <c r="G227" s="644">
        <f>SUM(G228:G229)</f>
        <v>0</v>
      </c>
      <c r="H227" s="640">
        <f t="shared" si="24"/>
        <v>0</v>
      </c>
      <c r="I227" s="644">
        <v>0</v>
      </c>
      <c r="J227" s="644">
        <f>SUM(J228:J229)</f>
        <v>0</v>
      </c>
      <c r="K227" s="644">
        <f>SUM(K228:K229)</f>
        <v>0</v>
      </c>
      <c r="L227" s="644">
        <f>SUM(L228:L229)</f>
        <v>0</v>
      </c>
      <c r="M227" s="640">
        <f t="shared" si="25"/>
        <v>0</v>
      </c>
      <c r="N227" s="644">
        <v>0</v>
      </c>
      <c r="O227" s="644">
        <f>SUM(O228:O229)</f>
        <v>0</v>
      </c>
      <c r="P227" s="644">
        <f>SUM(P228:P229)</f>
        <v>0</v>
      </c>
      <c r="Q227" s="644">
        <f>SUM(Q228:Q229)</f>
        <v>0</v>
      </c>
      <c r="R227" s="640">
        <f t="shared" si="26"/>
        <v>0</v>
      </c>
    </row>
    <row r="228" spans="1:18" s="29" customFormat="1" ht="24" hidden="1" customHeight="1">
      <c r="A228" s="646">
        <v>7460</v>
      </c>
      <c r="B228" s="647" t="s">
        <v>162</v>
      </c>
      <c r="C228" s="672"/>
      <c r="D228" s="672">
        <v>0</v>
      </c>
      <c r="E228" s="673"/>
      <c r="F228" s="673"/>
      <c r="G228" s="673"/>
      <c r="H228" s="640">
        <f t="shared" si="24"/>
        <v>0</v>
      </c>
      <c r="I228" s="673">
        <v>0</v>
      </c>
      <c r="J228" s="673"/>
      <c r="K228" s="673"/>
      <c r="L228" s="673"/>
      <c r="M228" s="640">
        <f t="shared" si="25"/>
        <v>0</v>
      </c>
      <c r="N228" s="673">
        <v>0</v>
      </c>
      <c r="O228" s="673"/>
      <c r="P228" s="673"/>
      <c r="Q228" s="673"/>
      <c r="R228" s="640">
        <f t="shared" si="26"/>
        <v>0</v>
      </c>
    </row>
    <row r="229" spans="1:18" s="29" customFormat="1" ht="48" hidden="1" customHeight="1">
      <c r="A229" s="646">
        <v>7470</v>
      </c>
      <c r="B229" s="670" t="s">
        <v>167</v>
      </c>
      <c r="C229" s="672"/>
      <c r="D229" s="672">
        <v>0</v>
      </c>
      <c r="E229" s="673"/>
      <c r="F229" s="673"/>
      <c r="G229" s="673"/>
      <c r="H229" s="640">
        <f t="shared" si="24"/>
        <v>0</v>
      </c>
      <c r="I229" s="673">
        <v>0</v>
      </c>
      <c r="J229" s="673"/>
      <c r="K229" s="673"/>
      <c r="L229" s="673"/>
      <c r="M229" s="640">
        <f t="shared" si="25"/>
        <v>0</v>
      </c>
      <c r="N229" s="673">
        <v>0</v>
      </c>
      <c r="O229" s="673"/>
      <c r="P229" s="673"/>
      <c r="Q229" s="673"/>
      <c r="R229" s="640">
        <f t="shared" si="26"/>
        <v>0</v>
      </c>
    </row>
    <row r="230" spans="1:18" s="29" customFormat="1" ht="24" hidden="1" customHeight="1">
      <c r="A230" s="645">
        <v>7500</v>
      </c>
      <c r="B230" s="670" t="s">
        <v>157</v>
      </c>
      <c r="C230" s="643"/>
      <c r="D230" s="643">
        <v>0</v>
      </c>
      <c r="E230" s="644"/>
      <c r="F230" s="644"/>
      <c r="G230" s="644"/>
      <c r="H230" s="640">
        <f t="shared" si="24"/>
        <v>0</v>
      </c>
      <c r="I230" s="644">
        <v>0</v>
      </c>
      <c r="J230" s="644"/>
      <c r="K230" s="644"/>
      <c r="L230" s="644"/>
      <c r="M230" s="640">
        <f t="shared" si="25"/>
        <v>0</v>
      </c>
      <c r="N230" s="644">
        <v>0</v>
      </c>
      <c r="O230" s="644"/>
      <c r="P230" s="644"/>
      <c r="Q230" s="644"/>
      <c r="R230" s="640">
        <f t="shared" si="26"/>
        <v>0</v>
      </c>
    </row>
    <row r="231" spans="1:18" s="29" customFormat="1" ht="12" hidden="1" customHeight="1">
      <c r="A231" s="663" t="s">
        <v>133</v>
      </c>
      <c r="B231" s="637" t="s">
        <v>122</v>
      </c>
      <c r="C231" s="674">
        <v>0</v>
      </c>
      <c r="D231" s="674">
        <v>0</v>
      </c>
      <c r="E231" s="675">
        <f>E232+E233</f>
        <v>0</v>
      </c>
      <c r="F231" s="675">
        <f>F232+F233</f>
        <v>0</v>
      </c>
      <c r="G231" s="675">
        <f>G232+G233</f>
        <v>0</v>
      </c>
      <c r="H231" s="640">
        <f t="shared" si="24"/>
        <v>0</v>
      </c>
      <c r="I231" s="675">
        <v>0</v>
      </c>
      <c r="J231" s="675">
        <f>J232+J233</f>
        <v>0</v>
      </c>
      <c r="K231" s="675">
        <f>K232+K233</f>
        <v>0</v>
      </c>
      <c r="L231" s="675">
        <f>L232+L233</f>
        <v>0</v>
      </c>
      <c r="M231" s="640">
        <f t="shared" si="25"/>
        <v>0</v>
      </c>
      <c r="N231" s="675">
        <v>0</v>
      </c>
      <c r="O231" s="675">
        <f>O232+O233</f>
        <v>0</v>
      </c>
      <c r="P231" s="675">
        <f>P232+P233</f>
        <v>0</v>
      </c>
      <c r="Q231" s="675">
        <f>Q232+Q233</f>
        <v>0</v>
      </c>
      <c r="R231" s="640">
        <f t="shared" si="26"/>
        <v>0</v>
      </c>
    </row>
    <row r="232" spans="1:18" s="29" customFormat="1" ht="12" hidden="1" customHeight="1">
      <c r="A232" s="663">
        <v>5000</v>
      </c>
      <c r="B232" s="637" t="s">
        <v>123</v>
      </c>
      <c r="C232" s="643"/>
      <c r="D232" s="643">
        <v>0</v>
      </c>
      <c r="E232" s="661"/>
      <c r="F232" s="661"/>
      <c r="G232" s="661"/>
      <c r="H232" s="640">
        <f t="shared" si="24"/>
        <v>0</v>
      </c>
      <c r="I232" s="644">
        <v>0</v>
      </c>
      <c r="J232" s="661"/>
      <c r="K232" s="661"/>
      <c r="L232" s="661"/>
      <c r="M232" s="640">
        <f t="shared" si="25"/>
        <v>0</v>
      </c>
      <c r="N232" s="644">
        <v>0</v>
      </c>
      <c r="O232" s="661"/>
      <c r="P232" s="661"/>
      <c r="Q232" s="661"/>
      <c r="R232" s="640">
        <f t="shared" si="26"/>
        <v>0</v>
      </c>
    </row>
    <row r="233" spans="1:18" s="29" customFormat="1" ht="12" hidden="1" customHeight="1">
      <c r="A233" s="663">
        <v>9000</v>
      </c>
      <c r="B233" s="676" t="s">
        <v>164</v>
      </c>
      <c r="C233" s="643">
        <v>0</v>
      </c>
      <c r="D233" s="643">
        <v>0</v>
      </c>
      <c r="E233" s="644">
        <f>E234+E240+E244+E247</f>
        <v>0</v>
      </c>
      <c r="F233" s="644">
        <f>F234+F240+F244+F247</f>
        <v>0</v>
      </c>
      <c r="G233" s="644">
        <f>G234+G240+G244+G247</f>
        <v>0</v>
      </c>
      <c r="H233" s="640">
        <f t="shared" si="24"/>
        <v>0</v>
      </c>
      <c r="I233" s="644">
        <v>0</v>
      </c>
      <c r="J233" s="644">
        <f>J234+J240+J244+J247</f>
        <v>0</v>
      </c>
      <c r="K233" s="644">
        <f>K234+K240+K244+K247</f>
        <v>0</v>
      </c>
      <c r="L233" s="644">
        <f>L234+L240+L244+L247</f>
        <v>0</v>
      </c>
      <c r="M233" s="640">
        <f t="shared" si="25"/>
        <v>0</v>
      </c>
      <c r="N233" s="644">
        <v>0</v>
      </c>
      <c r="O233" s="644">
        <f>O234+O240+O244+O247</f>
        <v>0</v>
      </c>
      <c r="P233" s="644">
        <f>P234+P240+P244+P247</f>
        <v>0</v>
      </c>
      <c r="Q233" s="644">
        <f>Q234+Q240+Q244+Q247</f>
        <v>0</v>
      </c>
      <c r="R233" s="640">
        <f t="shared" si="26"/>
        <v>0</v>
      </c>
    </row>
    <row r="234" spans="1:18" s="29" customFormat="1" ht="12" hidden="1" customHeight="1">
      <c r="A234" s="677">
        <v>9100</v>
      </c>
      <c r="B234" s="670" t="s">
        <v>124</v>
      </c>
      <c r="C234" s="643">
        <v>0</v>
      </c>
      <c r="D234" s="643">
        <v>0</v>
      </c>
      <c r="E234" s="644">
        <f>SUM(E235:E236)</f>
        <v>0</v>
      </c>
      <c r="F234" s="644">
        <f>SUM(F235:F236)</f>
        <v>0</v>
      </c>
      <c r="G234" s="644">
        <f>SUM(G235:G236)</f>
        <v>0</v>
      </c>
      <c r="H234" s="640">
        <f t="shared" si="24"/>
        <v>0</v>
      </c>
      <c r="I234" s="644">
        <v>0</v>
      </c>
      <c r="J234" s="644">
        <f>SUM(J235:J236)</f>
        <v>0</v>
      </c>
      <c r="K234" s="644">
        <f>SUM(K235:K236)</f>
        <v>0</v>
      </c>
      <c r="L234" s="644">
        <f>SUM(L235:L236)</f>
        <v>0</v>
      </c>
      <c r="M234" s="640">
        <f t="shared" si="25"/>
        <v>0</v>
      </c>
      <c r="N234" s="644">
        <v>0</v>
      </c>
      <c r="O234" s="644">
        <f>SUM(O235:O236)</f>
        <v>0</v>
      </c>
      <c r="P234" s="644">
        <f>SUM(P235:P236)</f>
        <v>0</v>
      </c>
      <c r="Q234" s="644">
        <f>SUM(Q235:Q236)</f>
        <v>0</v>
      </c>
      <c r="R234" s="640">
        <f t="shared" si="26"/>
        <v>0</v>
      </c>
    </row>
    <row r="235" spans="1:18" s="29" customFormat="1" ht="24" hidden="1" customHeight="1">
      <c r="A235" s="646" t="s">
        <v>125</v>
      </c>
      <c r="B235" s="670" t="s">
        <v>203</v>
      </c>
      <c r="C235" s="643"/>
      <c r="D235" s="643">
        <v>0</v>
      </c>
      <c r="E235" s="644"/>
      <c r="F235" s="644"/>
      <c r="G235" s="644"/>
      <c r="H235" s="640">
        <f t="shared" si="24"/>
        <v>0</v>
      </c>
      <c r="I235" s="644">
        <v>0</v>
      </c>
      <c r="J235" s="644"/>
      <c r="K235" s="644"/>
      <c r="L235" s="644"/>
      <c r="M235" s="640">
        <f t="shared" si="25"/>
        <v>0</v>
      </c>
      <c r="N235" s="644">
        <v>0</v>
      </c>
      <c r="O235" s="644"/>
      <c r="P235" s="644"/>
      <c r="Q235" s="644"/>
      <c r="R235" s="640">
        <f t="shared" si="26"/>
        <v>0</v>
      </c>
    </row>
    <row r="236" spans="1:18" s="29" customFormat="1" ht="24" hidden="1" customHeight="1">
      <c r="A236" s="646">
        <v>9140</v>
      </c>
      <c r="B236" s="670" t="s">
        <v>204</v>
      </c>
      <c r="C236" s="643">
        <v>0</v>
      </c>
      <c r="D236" s="643">
        <v>0</v>
      </c>
      <c r="E236" s="644">
        <f>SUM(E237:E239)</f>
        <v>0</v>
      </c>
      <c r="F236" s="644">
        <f>SUM(F237:F239)</f>
        <v>0</v>
      </c>
      <c r="G236" s="644">
        <f>SUM(G237:G239)</f>
        <v>0</v>
      </c>
      <c r="H236" s="640">
        <f t="shared" si="24"/>
        <v>0</v>
      </c>
      <c r="I236" s="644">
        <v>0</v>
      </c>
      <c r="J236" s="644">
        <f>SUM(J237:J239)</f>
        <v>0</v>
      </c>
      <c r="K236" s="644">
        <f>SUM(K237:K239)</f>
        <v>0</v>
      </c>
      <c r="L236" s="644">
        <f>SUM(L237:L239)</f>
        <v>0</v>
      </c>
      <c r="M236" s="640">
        <f t="shared" si="25"/>
        <v>0</v>
      </c>
      <c r="N236" s="644">
        <v>0</v>
      </c>
      <c r="O236" s="644">
        <f>SUM(O237:O239)</f>
        <v>0</v>
      </c>
      <c r="P236" s="644">
        <f>SUM(P237:P239)</f>
        <v>0</v>
      </c>
      <c r="Q236" s="644">
        <f>SUM(Q237:Q239)</f>
        <v>0</v>
      </c>
      <c r="R236" s="640">
        <f t="shared" si="26"/>
        <v>0</v>
      </c>
    </row>
    <row r="237" spans="1:18" s="29" customFormat="1" ht="36" hidden="1" customHeight="1">
      <c r="A237" s="648">
        <v>9141</v>
      </c>
      <c r="B237" s="647" t="s">
        <v>190</v>
      </c>
      <c r="C237" s="672"/>
      <c r="D237" s="672">
        <v>0</v>
      </c>
      <c r="E237" s="673"/>
      <c r="F237" s="673"/>
      <c r="G237" s="673"/>
      <c r="H237" s="640">
        <f t="shared" si="24"/>
        <v>0</v>
      </c>
      <c r="I237" s="673">
        <v>0</v>
      </c>
      <c r="J237" s="673"/>
      <c r="K237" s="673"/>
      <c r="L237" s="673"/>
      <c r="M237" s="640">
        <f t="shared" si="25"/>
        <v>0</v>
      </c>
      <c r="N237" s="673">
        <v>0</v>
      </c>
      <c r="O237" s="673"/>
      <c r="P237" s="673"/>
      <c r="Q237" s="673"/>
      <c r="R237" s="640">
        <f t="shared" si="26"/>
        <v>0</v>
      </c>
    </row>
    <row r="238" spans="1:18" s="29" customFormat="1" ht="36" hidden="1" customHeight="1">
      <c r="A238" s="648">
        <v>9142</v>
      </c>
      <c r="B238" s="647" t="s">
        <v>191</v>
      </c>
      <c r="C238" s="672"/>
      <c r="D238" s="672">
        <v>0</v>
      </c>
      <c r="E238" s="673"/>
      <c r="F238" s="673"/>
      <c r="G238" s="673"/>
      <c r="H238" s="640">
        <f t="shared" si="24"/>
        <v>0</v>
      </c>
      <c r="I238" s="673">
        <v>0</v>
      </c>
      <c r="J238" s="673"/>
      <c r="K238" s="673"/>
      <c r="L238" s="673"/>
      <c r="M238" s="640">
        <f t="shared" si="25"/>
        <v>0</v>
      </c>
      <c r="N238" s="673">
        <v>0</v>
      </c>
      <c r="O238" s="673"/>
      <c r="P238" s="673"/>
      <c r="Q238" s="673"/>
      <c r="R238" s="640">
        <f t="shared" si="26"/>
        <v>0</v>
      </c>
    </row>
    <row r="239" spans="1:18" s="29" customFormat="1" ht="24" hidden="1" customHeight="1">
      <c r="A239" s="648">
        <v>9149</v>
      </c>
      <c r="B239" s="647" t="s">
        <v>192</v>
      </c>
      <c r="C239" s="672"/>
      <c r="D239" s="672">
        <v>0</v>
      </c>
      <c r="E239" s="673"/>
      <c r="F239" s="673"/>
      <c r="G239" s="673"/>
      <c r="H239" s="640">
        <f t="shared" si="24"/>
        <v>0</v>
      </c>
      <c r="I239" s="673">
        <v>0</v>
      </c>
      <c r="J239" s="673"/>
      <c r="K239" s="673"/>
      <c r="L239" s="673"/>
      <c r="M239" s="640">
        <f t="shared" si="25"/>
        <v>0</v>
      </c>
      <c r="N239" s="673">
        <v>0</v>
      </c>
      <c r="O239" s="673"/>
      <c r="P239" s="673"/>
      <c r="Q239" s="673"/>
      <c r="R239" s="640">
        <f t="shared" si="26"/>
        <v>0</v>
      </c>
    </row>
    <row r="240" spans="1:18" s="29" customFormat="1" ht="24" hidden="1" customHeight="1">
      <c r="A240" s="677">
        <v>9500</v>
      </c>
      <c r="B240" s="647" t="s">
        <v>165</v>
      </c>
      <c r="C240" s="643">
        <v>0</v>
      </c>
      <c r="D240" s="643">
        <v>0</v>
      </c>
      <c r="E240" s="644">
        <f>SUM(E241:E243)</f>
        <v>0</v>
      </c>
      <c r="F240" s="644">
        <f>SUM(F241:F243)</f>
        <v>0</v>
      </c>
      <c r="G240" s="644">
        <f>SUM(G241:G243)</f>
        <v>0</v>
      </c>
      <c r="H240" s="640">
        <f t="shared" si="24"/>
        <v>0</v>
      </c>
      <c r="I240" s="644">
        <v>0</v>
      </c>
      <c r="J240" s="644">
        <f>SUM(J241:J243)</f>
        <v>0</v>
      </c>
      <c r="K240" s="644">
        <f>SUM(K241:K243)</f>
        <v>0</v>
      </c>
      <c r="L240" s="644">
        <f>SUM(L241:L243)</f>
        <v>0</v>
      </c>
      <c r="M240" s="640">
        <f t="shared" si="25"/>
        <v>0</v>
      </c>
      <c r="N240" s="644">
        <v>0</v>
      </c>
      <c r="O240" s="644">
        <f>SUM(O241:O243)</f>
        <v>0</v>
      </c>
      <c r="P240" s="644">
        <f>SUM(P241:P243)</f>
        <v>0</v>
      </c>
      <c r="Q240" s="644">
        <f>SUM(Q241:Q243)</f>
        <v>0</v>
      </c>
      <c r="R240" s="640">
        <f t="shared" si="26"/>
        <v>0</v>
      </c>
    </row>
    <row r="241" spans="1:18" s="29" customFormat="1" ht="24" hidden="1" customHeight="1">
      <c r="A241" s="646" t="s">
        <v>193</v>
      </c>
      <c r="B241" s="647" t="s">
        <v>171</v>
      </c>
      <c r="C241" s="643"/>
      <c r="D241" s="643">
        <v>0</v>
      </c>
      <c r="E241" s="644"/>
      <c r="F241" s="644"/>
      <c r="G241" s="644"/>
      <c r="H241" s="640">
        <f t="shared" si="24"/>
        <v>0</v>
      </c>
      <c r="I241" s="644">
        <v>0</v>
      </c>
      <c r="J241" s="644"/>
      <c r="K241" s="644"/>
      <c r="L241" s="644"/>
      <c r="M241" s="640">
        <f t="shared" si="25"/>
        <v>0</v>
      </c>
      <c r="N241" s="644">
        <v>0</v>
      </c>
      <c r="O241" s="644"/>
      <c r="P241" s="644"/>
      <c r="Q241" s="644"/>
      <c r="R241" s="640">
        <f t="shared" si="26"/>
        <v>0</v>
      </c>
    </row>
    <row r="242" spans="1:18" s="29" customFormat="1" ht="48" hidden="1" customHeight="1">
      <c r="A242" s="646">
        <v>9580</v>
      </c>
      <c r="B242" s="647" t="s">
        <v>166</v>
      </c>
      <c r="C242" s="672"/>
      <c r="D242" s="672">
        <v>0</v>
      </c>
      <c r="E242" s="673"/>
      <c r="F242" s="673"/>
      <c r="G242" s="673"/>
      <c r="H242" s="640">
        <f t="shared" si="24"/>
        <v>0</v>
      </c>
      <c r="I242" s="673">
        <v>0</v>
      </c>
      <c r="J242" s="673"/>
      <c r="K242" s="673"/>
      <c r="L242" s="673"/>
      <c r="M242" s="640">
        <f t="shared" si="25"/>
        <v>0</v>
      </c>
      <c r="N242" s="673">
        <v>0</v>
      </c>
      <c r="O242" s="673"/>
      <c r="P242" s="673"/>
      <c r="Q242" s="673"/>
      <c r="R242" s="640">
        <f t="shared" si="26"/>
        <v>0</v>
      </c>
    </row>
    <row r="243" spans="1:18" s="29" customFormat="1" ht="48" hidden="1" customHeight="1">
      <c r="A243" s="646">
        <v>9590</v>
      </c>
      <c r="B243" s="670" t="s">
        <v>172</v>
      </c>
      <c r="C243" s="672"/>
      <c r="D243" s="672">
        <v>0</v>
      </c>
      <c r="E243" s="673"/>
      <c r="F243" s="673"/>
      <c r="G243" s="673"/>
      <c r="H243" s="640">
        <f t="shared" si="24"/>
        <v>0</v>
      </c>
      <c r="I243" s="673">
        <v>0</v>
      </c>
      <c r="J243" s="673"/>
      <c r="K243" s="673"/>
      <c r="L243" s="673"/>
      <c r="M243" s="640">
        <f t="shared" si="25"/>
        <v>0</v>
      </c>
      <c r="N243" s="673">
        <v>0</v>
      </c>
      <c r="O243" s="673"/>
      <c r="P243" s="673"/>
      <c r="Q243" s="673"/>
      <c r="R243" s="640">
        <f t="shared" si="26"/>
        <v>0</v>
      </c>
    </row>
    <row r="244" spans="1:18" s="29" customFormat="1" ht="24" hidden="1" customHeight="1">
      <c r="A244" s="677">
        <v>9700</v>
      </c>
      <c r="B244" s="678" t="s">
        <v>194</v>
      </c>
      <c r="C244" s="643">
        <v>0</v>
      </c>
      <c r="D244" s="643">
        <v>0</v>
      </c>
      <c r="E244" s="644">
        <f>SUM(E245:E246)</f>
        <v>0</v>
      </c>
      <c r="F244" s="644">
        <f>SUM(F245:F246)</f>
        <v>0</v>
      </c>
      <c r="G244" s="644">
        <f>SUM(G245:G246)</f>
        <v>0</v>
      </c>
      <c r="H244" s="640">
        <f t="shared" si="24"/>
        <v>0</v>
      </c>
      <c r="I244" s="644">
        <v>0</v>
      </c>
      <c r="J244" s="644">
        <f>SUM(J245:J246)</f>
        <v>0</v>
      </c>
      <c r="K244" s="644">
        <f>SUM(K245:K246)</f>
        <v>0</v>
      </c>
      <c r="L244" s="644">
        <f>SUM(L245:L246)</f>
        <v>0</v>
      </c>
      <c r="M244" s="640">
        <f t="shared" si="25"/>
        <v>0</v>
      </c>
      <c r="N244" s="644">
        <v>0</v>
      </c>
      <c r="O244" s="644">
        <f>SUM(O245:O246)</f>
        <v>0</v>
      </c>
      <c r="P244" s="644">
        <f>SUM(P245:P246)</f>
        <v>0</v>
      </c>
      <c r="Q244" s="644">
        <f>SUM(Q245:Q246)</f>
        <v>0</v>
      </c>
      <c r="R244" s="640">
        <f t="shared" si="26"/>
        <v>0</v>
      </c>
    </row>
    <row r="245" spans="1:18" s="29" customFormat="1" ht="24" hidden="1" customHeight="1">
      <c r="A245" s="646">
        <v>9710</v>
      </c>
      <c r="B245" s="679" t="s">
        <v>195</v>
      </c>
      <c r="C245" s="672"/>
      <c r="D245" s="672">
        <v>0</v>
      </c>
      <c r="E245" s="673"/>
      <c r="F245" s="673"/>
      <c r="G245" s="673"/>
      <c r="H245" s="640">
        <f t="shared" si="24"/>
        <v>0</v>
      </c>
      <c r="I245" s="673">
        <v>0</v>
      </c>
      <c r="J245" s="673"/>
      <c r="K245" s="673"/>
      <c r="L245" s="673"/>
      <c r="M245" s="640">
        <f t="shared" si="25"/>
        <v>0</v>
      </c>
      <c r="N245" s="673">
        <v>0</v>
      </c>
      <c r="O245" s="673"/>
      <c r="P245" s="673"/>
      <c r="Q245" s="673"/>
      <c r="R245" s="640">
        <f t="shared" si="26"/>
        <v>0</v>
      </c>
    </row>
    <row r="246" spans="1:18" s="29" customFormat="1" ht="48" hidden="1" customHeight="1">
      <c r="A246" s="680">
        <v>9720</v>
      </c>
      <c r="B246" s="678" t="s">
        <v>196</v>
      </c>
      <c r="C246" s="672"/>
      <c r="D246" s="672">
        <v>0</v>
      </c>
      <c r="E246" s="673"/>
      <c r="F246" s="673"/>
      <c r="G246" s="673"/>
      <c r="H246" s="640">
        <f t="shared" si="24"/>
        <v>0</v>
      </c>
      <c r="I246" s="673">
        <v>0</v>
      </c>
      <c r="J246" s="673"/>
      <c r="K246" s="673"/>
      <c r="L246" s="673"/>
      <c r="M246" s="640">
        <f t="shared" si="25"/>
        <v>0</v>
      </c>
      <c r="N246" s="673">
        <v>0</v>
      </c>
      <c r="O246" s="673"/>
      <c r="P246" s="673"/>
      <c r="Q246" s="673"/>
      <c r="R246" s="640">
        <f t="shared" si="26"/>
        <v>0</v>
      </c>
    </row>
    <row r="247" spans="1:18" s="29" customFormat="1" ht="24" hidden="1" customHeight="1">
      <c r="A247" s="677">
        <v>9600</v>
      </c>
      <c r="B247" s="670" t="s">
        <v>134</v>
      </c>
      <c r="C247" s="672"/>
      <c r="D247" s="672">
        <v>0</v>
      </c>
      <c r="E247" s="673"/>
      <c r="F247" s="673"/>
      <c r="G247" s="673"/>
      <c r="H247" s="640">
        <f t="shared" si="24"/>
        <v>0</v>
      </c>
      <c r="I247" s="673">
        <v>0</v>
      </c>
      <c r="J247" s="673"/>
      <c r="K247" s="673"/>
      <c r="L247" s="673"/>
      <c r="M247" s="640">
        <f t="shared" si="25"/>
        <v>0</v>
      </c>
      <c r="N247" s="673">
        <v>0</v>
      </c>
      <c r="O247" s="673"/>
      <c r="P247" s="673"/>
      <c r="Q247" s="673"/>
      <c r="R247" s="640">
        <f t="shared" si="26"/>
        <v>0</v>
      </c>
    </row>
    <row r="248" spans="1:18" s="29" customFormat="1" ht="52.5" hidden="1" customHeight="1">
      <c r="A248" s="636" t="s">
        <v>197</v>
      </c>
      <c r="B248" s="681" t="s">
        <v>47</v>
      </c>
      <c r="C248" s="682"/>
      <c r="D248" s="682">
        <v>0</v>
      </c>
      <c r="E248" s="683">
        <f>E178-E203</f>
        <v>0</v>
      </c>
      <c r="F248" s="683">
        <f>F178-F203</f>
        <v>0</v>
      </c>
      <c r="G248" s="683">
        <f>G178-G203</f>
        <v>0</v>
      </c>
      <c r="H248" s="640">
        <f t="shared" si="24"/>
        <v>0</v>
      </c>
      <c r="I248" s="683">
        <v>0</v>
      </c>
      <c r="J248" s="683">
        <f>J178-J203</f>
        <v>0</v>
      </c>
      <c r="K248" s="683">
        <f>K178-K203</f>
        <v>0</v>
      </c>
      <c r="L248" s="683">
        <f>L178-L203</f>
        <v>0</v>
      </c>
      <c r="M248" s="640">
        <f t="shared" si="25"/>
        <v>0</v>
      </c>
      <c r="N248" s="683">
        <v>0</v>
      </c>
      <c r="O248" s="683">
        <f>O178-O203</f>
        <v>0</v>
      </c>
      <c r="P248" s="683">
        <f>P178-P203</f>
        <v>0</v>
      </c>
      <c r="Q248" s="683">
        <f>Q178-Q203</f>
        <v>0</v>
      </c>
      <c r="R248" s="640">
        <f t="shared" si="26"/>
        <v>0</v>
      </c>
    </row>
    <row r="249" spans="1:18" s="29" customFormat="1" ht="12" hidden="1" customHeight="1">
      <c r="A249" s="684" t="s">
        <v>48</v>
      </c>
      <c r="B249" s="681" t="s">
        <v>49</v>
      </c>
      <c r="C249" s="682">
        <v>0</v>
      </c>
      <c r="D249" s="682">
        <v>0</v>
      </c>
      <c r="E249" s="683">
        <f>E250+E253+E257+E256</f>
        <v>0</v>
      </c>
      <c r="F249" s="683">
        <f>F250+F253+F257+F256</f>
        <v>0</v>
      </c>
      <c r="G249" s="683">
        <f>G250+G253+G257+G256</f>
        <v>0</v>
      </c>
      <c r="H249" s="640">
        <f t="shared" si="24"/>
        <v>0</v>
      </c>
      <c r="I249" s="683">
        <v>0</v>
      </c>
      <c r="J249" s="683">
        <f>J250+J253+J257+J256</f>
        <v>0</v>
      </c>
      <c r="K249" s="683">
        <f>K250+K253+K257+K256</f>
        <v>0</v>
      </c>
      <c r="L249" s="683">
        <f>L250+L253+L257+L256</f>
        <v>0</v>
      </c>
      <c r="M249" s="640">
        <f t="shared" si="25"/>
        <v>0</v>
      </c>
      <c r="N249" s="683">
        <v>0</v>
      </c>
      <c r="O249" s="683">
        <f>O250+O253+O257+O256</f>
        <v>0</v>
      </c>
      <c r="P249" s="683">
        <f>P250+P253+P257+P256</f>
        <v>0</v>
      </c>
      <c r="Q249" s="683">
        <f>Q250+Q253+Q257+Q256</f>
        <v>0</v>
      </c>
      <c r="R249" s="640">
        <f t="shared" si="26"/>
        <v>0</v>
      </c>
    </row>
    <row r="250" spans="1:18" s="29" customFormat="1" ht="12" hidden="1" customHeight="1">
      <c r="A250" s="677" t="s">
        <v>50</v>
      </c>
      <c r="B250" s="670" t="s">
        <v>51</v>
      </c>
      <c r="C250" s="638">
        <v>0</v>
      </c>
      <c r="D250" s="638">
        <v>0</v>
      </c>
      <c r="E250" s="639">
        <f>E251+E252</f>
        <v>0</v>
      </c>
      <c r="F250" s="639">
        <f>F251+F252</f>
        <v>0</v>
      </c>
      <c r="G250" s="639">
        <f>G251+G252</f>
        <v>0</v>
      </c>
      <c r="H250" s="640">
        <f t="shared" si="24"/>
        <v>0</v>
      </c>
      <c r="I250" s="639">
        <v>0</v>
      </c>
      <c r="J250" s="639">
        <f>J251+J252</f>
        <v>0</v>
      </c>
      <c r="K250" s="639">
        <f>K251+K252</f>
        <v>0</v>
      </c>
      <c r="L250" s="639">
        <f>L251+L252</f>
        <v>0</v>
      </c>
      <c r="M250" s="640">
        <f t="shared" si="25"/>
        <v>0</v>
      </c>
      <c r="N250" s="639">
        <v>0</v>
      </c>
      <c r="O250" s="639">
        <f>O251+O252</f>
        <v>0</v>
      </c>
      <c r="P250" s="639">
        <f>P251+P252</f>
        <v>0</v>
      </c>
      <c r="Q250" s="639">
        <f>Q251+Q252</f>
        <v>0</v>
      </c>
      <c r="R250" s="640">
        <f t="shared" si="26"/>
        <v>0</v>
      </c>
    </row>
    <row r="251" spans="1:18" s="29" customFormat="1" ht="12" hidden="1" customHeight="1">
      <c r="A251" s="677" t="s">
        <v>52</v>
      </c>
      <c r="B251" s="670" t="s">
        <v>53</v>
      </c>
      <c r="C251" s="638"/>
      <c r="D251" s="638">
        <v>0</v>
      </c>
      <c r="E251" s="639"/>
      <c r="F251" s="639"/>
      <c r="G251" s="639"/>
      <c r="H251" s="640">
        <f t="shared" si="24"/>
        <v>0</v>
      </c>
      <c r="I251" s="639">
        <v>0</v>
      </c>
      <c r="J251" s="639"/>
      <c r="K251" s="639"/>
      <c r="L251" s="639"/>
      <c r="M251" s="640">
        <f t="shared" si="25"/>
        <v>0</v>
      </c>
      <c r="N251" s="639">
        <v>0</v>
      </c>
      <c r="O251" s="639"/>
      <c r="P251" s="639"/>
      <c r="Q251" s="639"/>
      <c r="R251" s="640">
        <f t="shared" si="26"/>
        <v>0</v>
      </c>
    </row>
    <row r="252" spans="1:18" s="29" customFormat="1" ht="12" hidden="1" customHeight="1">
      <c r="A252" s="677" t="s">
        <v>54</v>
      </c>
      <c r="B252" s="670" t="s">
        <v>55</v>
      </c>
      <c r="C252" s="638"/>
      <c r="D252" s="638">
        <v>0</v>
      </c>
      <c r="E252" s="639"/>
      <c r="F252" s="639"/>
      <c r="G252" s="639"/>
      <c r="H252" s="640">
        <f t="shared" si="24"/>
        <v>0</v>
      </c>
      <c r="I252" s="639">
        <v>0</v>
      </c>
      <c r="J252" s="639"/>
      <c r="K252" s="639"/>
      <c r="L252" s="639"/>
      <c r="M252" s="640">
        <f t="shared" si="25"/>
        <v>0</v>
      </c>
      <c r="N252" s="639">
        <v>0</v>
      </c>
      <c r="O252" s="639"/>
      <c r="P252" s="639"/>
      <c r="Q252" s="639"/>
      <c r="R252" s="640">
        <f t="shared" si="26"/>
        <v>0</v>
      </c>
    </row>
    <row r="253" spans="1:18" s="29" customFormat="1" ht="12" hidden="1" customHeight="1">
      <c r="A253" s="677" t="s">
        <v>56</v>
      </c>
      <c r="B253" s="670" t="s">
        <v>57</v>
      </c>
      <c r="C253" s="638">
        <v>0</v>
      </c>
      <c r="D253" s="638">
        <v>0</v>
      </c>
      <c r="E253" s="639">
        <f>E254+E255</f>
        <v>0</v>
      </c>
      <c r="F253" s="639">
        <f>F254+F255</f>
        <v>0</v>
      </c>
      <c r="G253" s="639">
        <f>G254+G255</f>
        <v>0</v>
      </c>
      <c r="H253" s="640">
        <f t="shared" si="24"/>
        <v>0</v>
      </c>
      <c r="I253" s="639">
        <v>0</v>
      </c>
      <c r="J253" s="639">
        <f>J254+J255</f>
        <v>0</v>
      </c>
      <c r="K253" s="639">
        <f>K254+K255</f>
        <v>0</v>
      </c>
      <c r="L253" s="639">
        <f>L254+L255</f>
        <v>0</v>
      </c>
      <c r="M253" s="640">
        <f t="shared" si="25"/>
        <v>0</v>
      </c>
      <c r="N253" s="639">
        <v>0</v>
      </c>
      <c r="O253" s="639">
        <f>O254+O255</f>
        <v>0</v>
      </c>
      <c r="P253" s="639">
        <f>P254+P255</f>
        <v>0</v>
      </c>
      <c r="Q253" s="639">
        <f>Q254+Q255</f>
        <v>0</v>
      </c>
      <c r="R253" s="640">
        <f t="shared" si="26"/>
        <v>0</v>
      </c>
    </row>
    <row r="254" spans="1:18" s="29" customFormat="1" ht="12" hidden="1" customHeight="1">
      <c r="A254" s="677" t="s">
        <v>58</v>
      </c>
      <c r="B254" s="670" t="s">
        <v>59</v>
      </c>
      <c r="C254" s="638"/>
      <c r="D254" s="638">
        <v>0</v>
      </c>
      <c r="E254" s="639"/>
      <c r="F254" s="639"/>
      <c r="G254" s="639"/>
      <c r="H254" s="640">
        <f t="shared" si="24"/>
        <v>0</v>
      </c>
      <c r="I254" s="639">
        <v>0</v>
      </c>
      <c r="J254" s="639"/>
      <c r="K254" s="639"/>
      <c r="L254" s="639"/>
      <c r="M254" s="640">
        <f t="shared" si="25"/>
        <v>0</v>
      </c>
      <c r="N254" s="639">
        <v>0</v>
      </c>
      <c r="O254" s="639"/>
      <c r="P254" s="639"/>
      <c r="Q254" s="639"/>
      <c r="R254" s="640">
        <f t="shared" si="26"/>
        <v>0</v>
      </c>
    </row>
    <row r="255" spans="1:18" s="29" customFormat="1" ht="12" hidden="1" customHeight="1">
      <c r="A255" s="677" t="s">
        <v>60</v>
      </c>
      <c r="B255" s="670" t="s">
        <v>61</v>
      </c>
      <c r="C255" s="638"/>
      <c r="D255" s="638">
        <v>0</v>
      </c>
      <c r="E255" s="639"/>
      <c r="F255" s="639"/>
      <c r="G255" s="639"/>
      <c r="H255" s="640">
        <f t="shared" si="24"/>
        <v>0</v>
      </c>
      <c r="I255" s="639">
        <v>0</v>
      </c>
      <c r="J255" s="639"/>
      <c r="K255" s="639"/>
      <c r="L255" s="639"/>
      <c r="M255" s="640">
        <f t="shared" si="25"/>
        <v>0</v>
      </c>
      <c r="N255" s="639">
        <v>0</v>
      </c>
      <c r="O255" s="639"/>
      <c r="P255" s="639"/>
      <c r="Q255" s="639"/>
      <c r="R255" s="640">
        <f t="shared" si="26"/>
        <v>0</v>
      </c>
    </row>
    <row r="256" spans="1:18" s="29" customFormat="1" ht="12" hidden="1" customHeight="1">
      <c r="A256" s="677" t="s">
        <v>198</v>
      </c>
      <c r="B256" s="685" t="s">
        <v>168</v>
      </c>
      <c r="C256" s="638"/>
      <c r="D256" s="638">
        <v>0</v>
      </c>
      <c r="E256" s="639"/>
      <c r="F256" s="639"/>
      <c r="G256" s="639"/>
      <c r="H256" s="640">
        <f t="shared" si="24"/>
        <v>0</v>
      </c>
      <c r="I256" s="639">
        <v>0</v>
      </c>
      <c r="J256" s="639"/>
      <c r="K256" s="639"/>
      <c r="L256" s="639"/>
      <c r="M256" s="640">
        <f t="shared" si="25"/>
        <v>0</v>
      </c>
      <c r="N256" s="639">
        <v>0</v>
      </c>
      <c r="O256" s="639"/>
      <c r="P256" s="639"/>
      <c r="Q256" s="639"/>
      <c r="R256" s="640">
        <f t="shared" si="26"/>
        <v>0</v>
      </c>
    </row>
    <row r="257" spans="1:18" s="29" customFormat="1" ht="12" hidden="1" customHeight="1">
      <c r="A257" s="686" t="s">
        <v>62</v>
      </c>
      <c r="B257" s="642" t="s">
        <v>63</v>
      </c>
      <c r="C257" s="643">
        <v>0</v>
      </c>
      <c r="D257" s="643">
        <v>0</v>
      </c>
      <c r="E257" s="644">
        <f>E258+E259+E260</f>
        <v>0</v>
      </c>
      <c r="F257" s="644">
        <f>F258+F259+F260</f>
        <v>0</v>
      </c>
      <c r="G257" s="644">
        <f>G258+G259+G260</f>
        <v>0</v>
      </c>
      <c r="H257" s="640">
        <f t="shared" si="24"/>
        <v>0</v>
      </c>
      <c r="I257" s="644">
        <v>0</v>
      </c>
      <c r="J257" s="644">
        <f>J258+J259+J260</f>
        <v>0</v>
      </c>
      <c r="K257" s="644">
        <f>K258+K259+K260</f>
        <v>0</v>
      </c>
      <c r="L257" s="644">
        <f>L258+L259+L260</f>
        <v>0</v>
      </c>
      <c r="M257" s="640">
        <f t="shared" si="25"/>
        <v>0</v>
      </c>
      <c r="N257" s="644">
        <v>0</v>
      </c>
      <c r="O257" s="644">
        <f>O258+O259+O260</f>
        <v>0</v>
      </c>
      <c r="P257" s="644">
        <f>P258+P259+P260</f>
        <v>0</v>
      </c>
      <c r="Q257" s="644">
        <f>Q258+Q259+Q260</f>
        <v>0</v>
      </c>
      <c r="R257" s="640">
        <f t="shared" si="26"/>
        <v>0</v>
      </c>
    </row>
    <row r="258" spans="1:18" s="29" customFormat="1" ht="36" hidden="1" customHeight="1">
      <c r="A258" s="686" t="s">
        <v>64</v>
      </c>
      <c r="B258" s="670" t="s">
        <v>65</v>
      </c>
      <c r="C258" s="638"/>
      <c r="D258" s="638">
        <v>0</v>
      </c>
      <c r="E258" s="639"/>
      <c r="F258" s="639"/>
      <c r="G258" s="639"/>
      <c r="H258" s="640">
        <f t="shared" si="24"/>
        <v>0</v>
      </c>
      <c r="I258" s="639">
        <v>0</v>
      </c>
      <c r="J258" s="639"/>
      <c r="K258" s="639"/>
      <c r="L258" s="639"/>
      <c r="M258" s="640">
        <f t="shared" si="25"/>
        <v>0</v>
      </c>
      <c r="N258" s="639">
        <v>0</v>
      </c>
      <c r="O258" s="639"/>
      <c r="P258" s="639"/>
      <c r="Q258" s="639"/>
      <c r="R258" s="640">
        <f t="shared" si="26"/>
        <v>0</v>
      </c>
    </row>
    <row r="259" spans="1:18" s="29" customFormat="1" ht="36" hidden="1" customHeight="1">
      <c r="A259" s="686" t="s">
        <v>66</v>
      </c>
      <c r="B259" s="670" t="s">
        <v>67</v>
      </c>
      <c r="C259" s="638"/>
      <c r="D259" s="638">
        <v>0</v>
      </c>
      <c r="E259" s="639"/>
      <c r="F259" s="639"/>
      <c r="G259" s="639"/>
      <c r="H259" s="640">
        <f t="shared" si="24"/>
        <v>0</v>
      </c>
      <c r="I259" s="639">
        <v>0</v>
      </c>
      <c r="J259" s="639"/>
      <c r="K259" s="639"/>
      <c r="L259" s="639"/>
      <c r="M259" s="640">
        <f t="shared" si="25"/>
        <v>0</v>
      </c>
      <c r="N259" s="639">
        <v>0</v>
      </c>
      <c r="O259" s="639"/>
      <c r="P259" s="639"/>
      <c r="Q259" s="639"/>
      <c r="R259" s="640">
        <f t="shared" si="26"/>
        <v>0</v>
      </c>
    </row>
    <row r="260" spans="1:18" s="29" customFormat="1" ht="24" hidden="1" customHeight="1">
      <c r="A260" s="686" t="s">
        <v>68</v>
      </c>
      <c r="B260" s="642" t="s">
        <v>69</v>
      </c>
      <c r="C260" s="638"/>
      <c r="D260" s="638">
        <v>0</v>
      </c>
      <c r="E260" s="639"/>
      <c r="F260" s="639"/>
      <c r="G260" s="639"/>
      <c r="H260" s="640">
        <f t="shared" si="24"/>
        <v>0</v>
      </c>
      <c r="I260" s="639">
        <v>0</v>
      </c>
      <c r="J260" s="639"/>
      <c r="K260" s="639"/>
      <c r="L260" s="639"/>
      <c r="M260" s="640">
        <f t="shared" si="25"/>
        <v>0</v>
      </c>
      <c r="N260" s="639">
        <v>0</v>
      </c>
      <c r="O260" s="639"/>
      <c r="P260" s="639"/>
      <c r="Q260" s="639"/>
      <c r="R260" s="640">
        <f t="shared" si="26"/>
        <v>0</v>
      </c>
    </row>
    <row r="261" spans="1:18" s="29" customFormat="1" ht="12">
      <c r="A261" s="694"/>
      <c r="B261" s="695"/>
      <c r="C261" s="696"/>
      <c r="D261" s="675"/>
      <c r="E261" s="696"/>
      <c r="F261" s="696"/>
      <c r="G261" s="696"/>
      <c r="H261" s="640"/>
      <c r="I261" s="675"/>
      <c r="J261" s="696"/>
      <c r="K261" s="696"/>
      <c r="L261" s="696"/>
      <c r="M261" s="640"/>
      <c r="N261" s="675"/>
      <c r="O261" s="696"/>
      <c r="P261" s="696"/>
      <c r="Q261" s="696"/>
      <c r="R261" s="640"/>
    </row>
    <row r="262" spans="1:18" ht="12">
      <c r="A262" s="36"/>
      <c r="B262" s="164"/>
      <c r="C262" s="165"/>
      <c r="D262" s="163"/>
      <c r="E262" s="165"/>
      <c r="F262" s="165"/>
      <c r="G262" s="165"/>
      <c r="H262" s="165"/>
      <c r="I262" s="165"/>
      <c r="J262" s="165"/>
      <c r="K262" s="165"/>
      <c r="L262" s="165"/>
      <c r="M262" s="165"/>
      <c r="N262" s="165"/>
      <c r="O262" s="165"/>
      <c r="P262" s="165"/>
      <c r="Q262" s="165"/>
      <c r="R262" s="163"/>
    </row>
    <row r="263" spans="1:18" ht="12">
      <c r="A263" s="36"/>
      <c r="B263" s="164"/>
      <c r="C263" s="165"/>
      <c r="D263" s="163"/>
      <c r="E263" s="165"/>
      <c r="F263" s="165"/>
      <c r="G263" s="165"/>
      <c r="H263" s="165"/>
      <c r="I263" s="165"/>
      <c r="J263" s="165"/>
      <c r="K263" s="165"/>
      <c r="L263" s="165"/>
      <c r="M263" s="165"/>
      <c r="N263" s="165"/>
      <c r="O263" s="165"/>
      <c r="P263" s="165"/>
      <c r="Q263" s="165"/>
      <c r="R263" s="163"/>
    </row>
    <row r="264" spans="1:18" ht="13.2">
      <c r="A264" s="697" t="s">
        <v>236</v>
      </c>
      <c r="B264" s="698" t="s">
        <v>237</v>
      </c>
      <c r="C264" s="165"/>
      <c r="D264" s="163"/>
      <c r="E264" s="165"/>
      <c r="F264" s="165"/>
      <c r="G264" s="165"/>
      <c r="H264" s="165"/>
      <c r="I264" s="165"/>
      <c r="J264" s="165"/>
      <c r="K264" s="165"/>
      <c r="L264" s="165"/>
      <c r="M264" s="165"/>
      <c r="N264" s="165"/>
      <c r="O264" s="165"/>
      <c r="P264" s="165"/>
      <c r="Q264" s="165"/>
      <c r="R264" s="163"/>
    </row>
    <row r="265" spans="1:18" ht="13.2">
      <c r="A265" s="586"/>
      <c r="B265" s="530" t="s">
        <v>238</v>
      </c>
      <c r="C265" s="165"/>
      <c r="D265" s="163"/>
      <c r="E265" s="165"/>
      <c r="F265" s="165"/>
      <c r="G265" s="165"/>
      <c r="H265" s="165"/>
      <c r="I265" s="165"/>
      <c r="J265" s="165"/>
      <c r="K265" s="165"/>
      <c r="L265" s="165"/>
      <c r="M265" s="165"/>
      <c r="N265" s="165"/>
      <c r="O265" s="165"/>
      <c r="P265" s="165"/>
      <c r="Q265" s="165"/>
      <c r="R265" s="163"/>
    </row>
    <row r="266" spans="1:18" ht="13.2">
      <c r="A266" s="425" t="s">
        <v>223</v>
      </c>
      <c r="B266" s="520" t="s">
        <v>434</v>
      </c>
      <c r="C266" s="165"/>
      <c r="D266" s="163"/>
      <c r="E266" s="165"/>
      <c r="F266" s="165"/>
      <c r="G266" s="165"/>
      <c r="H266" s="165"/>
      <c r="I266" s="165"/>
      <c r="J266" s="165"/>
      <c r="K266" s="165"/>
      <c r="L266" s="165"/>
      <c r="M266" s="165"/>
      <c r="N266" s="165"/>
      <c r="O266" s="165"/>
      <c r="P266" s="165"/>
      <c r="Q266" s="165"/>
      <c r="R266" s="163"/>
    </row>
    <row r="267" spans="1:18" ht="13.2">
      <c r="A267" s="483"/>
      <c r="B267" s="594"/>
      <c r="C267" s="165"/>
      <c r="D267" s="163"/>
      <c r="E267" s="165"/>
      <c r="F267" s="165"/>
      <c r="G267" s="165"/>
      <c r="H267" s="165"/>
      <c r="I267" s="165"/>
      <c r="J267" s="165"/>
      <c r="K267" s="165"/>
      <c r="L267" s="165"/>
      <c r="M267" s="165"/>
      <c r="N267" s="165"/>
      <c r="O267" s="165"/>
      <c r="P267" s="165"/>
      <c r="Q267" s="165"/>
      <c r="R267" s="163"/>
    </row>
    <row r="268" spans="1:18" ht="13.2">
      <c r="A268" s="699" t="s">
        <v>224</v>
      </c>
      <c r="B268" s="520" t="s">
        <v>242</v>
      </c>
      <c r="C268" s="165"/>
      <c r="D268" s="163"/>
      <c r="E268" s="165"/>
      <c r="F268" s="165"/>
      <c r="G268" s="165"/>
      <c r="H268" s="165"/>
      <c r="I268" s="165"/>
      <c r="J268" s="165"/>
      <c r="K268" s="165"/>
      <c r="L268" s="165"/>
      <c r="M268" s="165"/>
      <c r="N268" s="165"/>
      <c r="O268" s="165"/>
      <c r="P268" s="165"/>
      <c r="Q268" s="165"/>
      <c r="R268" s="163"/>
    </row>
    <row r="269" spans="1:18" ht="52.8">
      <c r="A269" s="486" t="s">
        <v>243</v>
      </c>
      <c r="B269" s="594" t="s">
        <v>420</v>
      </c>
      <c r="C269" s="165"/>
      <c r="D269" s="163"/>
      <c r="E269" s="165"/>
      <c r="F269" s="165">
        <v>21133</v>
      </c>
      <c r="G269" s="165"/>
      <c r="H269" s="165"/>
      <c r="I269" s="165"/>
      <c r="J269" s="165"/>
      <c r="K269" s="165">
        <v>21133</v>
      </c>
      <c r="L269" s="165"/>
      <c r="M269" s="165"/>
      <c r="N269" s="165"/>
      <c r="O269" s="165"/>
      <c r="P269" s="165">
        <v>21133</v>
      </c>
      <c r="Q269" s="165"/>
      <c r="R269" s="163"/>
    </row>
    <row r="270" spans="1:18" ht="39.6">
      <c r="A270" s="486" t="s">
        <v>250</v>
      </c>
      <c r="B270" s="594" t="s">
        <v>916</v>
      </c>
      <c r="C270" s="165"/>
      <c r="D270" s="163"/>
      <c r="E270" s="165"/>
      <c r="F270" s="165"/>
      <c r="G270" s="165">
        <v>45000</v>
      </c>
      <c r="H270" s="165"/>
      <c r="I270" s="165"/>
      <c r="J270" s="165"/>
      <c r="K270" s="165"/>
      <c r="L270" s="165"/>
      <c r="M270" s="165"/>
      <c r="N270" s="165"/>
      <c r="O270" s="165"/>
      <c r="P270" s="165"/>
      <c r="Q270" s="165"/>
      <c r="R270" s="163"/>
    </row>
    <row r="271" spans="1:18" ht="39.6">
      <c r="A271" s="486" t="s">
        <v>257</v>
      </c>
      <c r="B271" s="594" t="s">
        <v>595</v>
      </c>
      <c r="C271" s="165"/>
      <c r="D271" s="163"/>
      <c r="E271" s="165"/>
      <c r="F271" s="165"/>
      <c r="G271" s="165">
        <v>66000</v>
      </c>
      <c r="H271" s="165"/>
      <c r="I271" s="165"/>
      <c r="J271" s="165"/>
      <c r="K271" s="165"/>
      <c r="L271" s="165"/>
      <c r="M271" s="165"/>
      <c r="N271" s="165"/>
      <c r="O271" s="165"/>
      <c r="P271" s="165"/>
      <c r="Q271" s="165"/>
      <c r="R271" s="163"/>
    </row>
    <row r="272" spans="1:18" ht="13.2">
      <c r="A272" s="697" t="s">
        <v>245</v>
      </c>
      <c r="B272" s="698" t="s">
        <v>140</v>
      </c>
      <c r="C272" s="165"/>
      <c r="D272" s="163"/>
      <c r="E272" s="165"/>
      <c r="F272" s="165"/>
      <c r="G272" s="165"/>
      <c r="H272" s="165"/>
      <c r="I272" s="165"/>
      <c r="J272" s="165"/>
      <c r="K272" s="165"/>
      <c r="L272" s="165"/>
      <c r="M272" s="165"/>
      <c r="N272" s="165"/>
      <c r="O272" s="165"/>
      <c r="P272" s="165"/>
      <c r="Q272" s="165"/>
      <c r="R272" s="163"/>
    </row>
    <row r="273" spans="1:18" ht="13.2">
      <c r="A273" s="586"/>
      <c r="B273" s="530" t="s">
        <v>238</v>
      </c>
      <c r="C273" s="165"/>
      <c r="D273" s="163"/>
      <c r="E273" s="165"/>
      <c r="F273" s="165"/>
      <c r="G273" s="165"/>
      <c r="H273" s="165"/>
      <c r="I273" s="165"/>
      <c r="J273" s="165"/>
      <c r="K273" s="165"/>
      <c r="L273" s="165"/>
      <c r="M273" s="165"/>
      <c r="N273" s="165"/>
      <c r="O273" s="165"/>
      <c r="P273" s="165"/>
      <c r="Q273" s="165"/>
      <c r="R273" s="163"/>
    </row>
    <row r="274" spans="1:18" ht="13.2">
      <c r="A274" s="425" t="s">
        <v>223</v>
      </c>
      <c r="B274" s="520" t="s">
        <v>434</v>
      </c>
      <c r="C274" s="165"/>
      <c r="D274" s="163"/>
      <c r="E274" s="165"/>
      <c r="F274" s="165"/>
      <c r="G274" s="165"/>
      <c r="H274" s="165"/>
      <c r="I274" s="165"/>
      <c r="J274" s="165"/>
      <c r="K274" s="165"/>
      <c r="L274" s="165"/>
      <c r="M274" s="165"/>
      <c r="N274" s="165"/>
      <c r="O274" s="165"/>
      <c r="P274" s="165"/>
      <c r="Q274" s="165"/>
      <c r="R274" s="163"/>
    </row>
    <row r="275" spans="1:18" ht="13.2">
      <c r="A275" s="486" t="s">
        <v>240</v>
      </c>
      <c r="B275" s="594" t="s">
        <v>241</v>
      </c>
      <c r="C275" s="165"/>
      <c r="D275" s="163"/>
      <c r="E275" s="165"/>
      <c r="F275" s="165"/>
      <c r="G275" s="165"/>
      <c r="H275" s="165"/>
      <c r="I275" s="165"/>
      <c r="J275" s="165"/>
      <c r="K275" s="165"/>
      <c r="L275" s="165"/>
      <c r="M275" s="165"/>
      <c r="N275" s="165"/>
      <c r="O275" s="165"/>
      <c r="P275" s="165"/>
      <c r="Q275" s="165"/>
      <c r="R275" s="163"/>
    </row>
    <row r="276" spans="1:18" ht="13.2">
      <c r="A276" s="483"/>
      <c r="B276" s="594"/>
      <c r="C276" s="165"/>
      <c r="D276" s="163"/>
      <c r="E276" s="165"/>
      <c r="F276" s="165"/>
      <c r="G276" s="165"/>
      <c r="H276" s="165"/>
      <c r="I276" s="165"/>
      <c r="J276" s="165"/>
      <c r="K276" s="165"/>
      <c r="L276" s="165"/>
      <c r="M276" s="165"/>
      <c r="N276" s="165"/>
      <c r="O276" s="165"/>
      <c r="P276" s="165"/>
      <c r="Q276" s="165"/>
      <c r="R276" s="163"/>
    </row>
    <row r="277" spans="1:18" ht="13.2">
      <c r="A277" s="699" t="s">
        <v>224</v>
      </c>
      <c r="B277" s="520" t="s">
        <v>242</v>
      </c>
      <c r="C277" s="165"/>
      <c r="D277" s="163"/>
      <c r="E277" s="165"/>
      <c r="F277" s="165"/>
      <c r="G277" s="165"/>
      <c r="H277" s="165"/>
      <c r="I277" s="165"/>
      <c r="J277" s="165"/>
      <c r="K277" s="165"/>
      <c r="L277" s="165"/>
      <c r="M277" s="165"/>
      <c r="N277" s="165"/>
      <c r="O277" s="165"/>
      <c r="P277" s="165"/>
      <c r="Q277" s="165"/>
      <c r="R277" s="163"/>
    </row>
    <row r="278" spans="1:18" ht="12">
      <c r="A278" s="36"/>
      <c r="B278" s="700"/>
      <c r="C278" s="165"/>
      <c r="D278" s="163"/>
      <c r="E278" s="165"/>
      <c r="F278" s="165"/>
      <c r="G278" s="165"/>
      <c r="H278" s="165"/>
      <c r="I278" s="165"/>
      <c r="J278" s="165"/>
      <c r="K278" s="165"/>
      <c r="L278" s="165"/>
      <c r="M278" s="165"/>
      <c r="N278" s="165"/>
      <c r="O278" s="165"/>
      <c r="P278" s="165"/>
      <c r="Q278" s="165"/>
      <c r="R278" s="163"/>
    </row>
    <row r="279" spans="1:18" ht="12">
      <c r="A279" s="36"/>
      <c r="B279" s="700"/>
      <c r="C279" s="165"/>
      <c r="D279" s="163"/>
      <c r="E279" s="165"/>
      <c r="F279" s="165"/>
      <c r="G279" s="165"/>
      <c r="H279" s="165"/>
      <c r="I279" s="165"/>
      <c r="J279" s="165"/>
      <c r="K279" s="165"/>
      <c r="L279" s="165"/>
      <c r="M279" s="165"/>
      <c r="N279" s="165"/>
      <c r="O279" s="165"/>
      <c r="P279" s="165"/>
      <c r="Q279" s="165"/>
      <c r="R279" s="163"/>
    </row>
    <row r="280" spans="1:18" ht="12">
      <c r="A280" s="36"/>
      <c r="B280" s="701"/>
      <c r="C280" s="165"/>
      <c r="D280" s="163"/>
      <c r="E280" s="165"/>
      <c r="F280" s="165"/>
      <c r="G280" s="165"/>
      <c r="H280" s="165"/>
      <c r="I280" s="165"/>
      <c r="J280" s="165"/>
      <c r="K280" s="165"/>
      <c r="L280" s="165"/>
      <c r="M280" s="165"/>
      <c r="N280" s="165"/>
      <c r="O280" s="165"/>
      <c r="P280" s="165"/>
      <c r="Q280" s="165"/>
      <c r="R280" s="163"/>
    </row>
    <row r="281" spans="1:18" ht="12">
      <c r="A281" s="36"/>
      <c r="B281" s="700"/>
      <c r="C281" s="532"/>
      <c r="D281" s="36"/>
      <c r="E281" s="165"/>
      <c r="F281" s="165"/>
      <c r="G281" s="165"/>
      <c r="H281" s="165"/>
      <c r="I281" s="165"/>
      <c r="J281" s="165"/>
      <c r="K281" s="165"/>
      <c r="L281" s="165"/>
      <c r="M281" s="165"/>
      <c r="N281" s="165"/>
      <c r="O281" s="165"/>
      <c r="P281" s="165"/>
      <c r="Q281" s="165"/>
      <c r="R281" s="163"/>
    </row>
    <row r="282" spans="1:18" ht="12">
      <c r="A282" s="36"/>
      <c r="B282" s="700"/>
      <c r="C282" s="532"/>
      <c r="D282" s="36"/>
      <c r="E282" s="165"/>
      <c r="F282" s="165"/>
      <c r="G282" s="165"/>
      <c r="H282" s="165"/>
      <c r="I282" s="165"/>
      <c r="J282" s="165"/>
      <c r="K282" s="165"/>
      <c r="L282" s="165"/>
      <c r="M282" s="165"/>
      <c r="N282" s="165"/>
      <c r="O282" s="165"/>
      <c r="P282" s="165"/>
      <c r="Q282" s="165"/>
      <c r="R282" s="163"/>
    </row>
    <row r="283" spans="1:18" ht="12">
      <c r="A283" s="36"/>
      <c r="B283" s="700"/>
      <c r="C283" s="532"/>
      <c r="D283" s="36"/>
      <c r="E283" s="165"/>
      <c r="F283" s="165"/>
      <c r="G283" s="165"/>
      <c r="H283" s="165"/>
      <c r="I283" s="165"/>
      <c r="J283" s="165"/>
      <c r="K283" s="165"/>
      <c r="L283" s="165"/>
      <c r="M283" s="165"/>
      <c r="N283" s="165"/>
      <c r="O283" s="165"/>
      <c r="P283" s="165"/>
      <c r="Q283" s="165"/>
      <c r="R283" s="163"/>
    </row>
    <row r="284" spans="1:18" ht="12">
      <c r="A284" s="36"/>
      <c r="B284" s="700"/>
      <c r="C284" s="532"/>
      <c r="D284" s="36"/>
      <c r="E284" s="165"/>
      <c r="F284" s="165"/>
      <c r="G284" s="165"/>
      <c r="H284" s="165"/>
      <c r="I284" s="165"/>
      <c r="J284" s="165"/>
      <c r="K284" s="165"/>
      <c r="L284" s="165"/>
      <c r="M284" s="165"/>
      <c r="N284" s="165"/>
      <c r="O284" s="165"/>
      <c r="P284" s="165"/>
      <c r="Q284" s="165"/>
      <c r="R284" s="163"/>
    </row>
    <row r="285" spans="1:18" ht="12">
      <c r="A285" s="36"/>
      <c r="B285" s="700"/>
      <c r="C285" s="532"/>
      <c r="D285" s="36"/>
      <c r="E285" s="165"/>
      <c r="F285" s="165"/>
      <c r="G285" s="165"/>
      <c r="H285" s="165"/>
      <c r="I285" s="165"/>
      <c r="J285" s="165"/>
      <c r="K285" s="165"/>
      <c r="L285" s="165"/>
      <c r="M285" s="165"/>
      <c r="N285" s="165"/>
      <c r="O285" s="165"/>
      <c r="P285" s="165"/>
      <c r="Q285" s="165"/>
      <c r="R285" s="163"/>
    </row>
    <row r="286" spans="1:18" ht="12">
      <c r="A286" s="36"/>
      <c r="B286" s="700"/>
      <c r="C286" s="532"/>
      <c r="D286" s="36"/>
      <c r="E286" s="165"/>
      <c r="F286" s="165"/>
      <c r="G286" s="165"/>
      <c r="H286" s="165"/>
      <c r="I286" s="165"/>
      <c r="J286" s="165"/>
      <c r="K286" s="165"/>
      <c r="L286" s="165"/>
      <c r="M286" s="165"/>
      <c r="N286" s="165"/>
      <c r="O286" s="165"/>
      <c r="P286" s="165"/>
      <c r="Q286" s="165"/>
      <c r="R286" s="163"/>
    </row>
    <row r="287" spans="1:18" ht="12">
      <c r="A287" s="36"/>
      <c r="B287" s="700"/>
      <c r="C287" s="532"/>
      <c r="D287" s="36"/>
      <c r="E287" s="165"/>
      <c r="F287" s="165"/>
      <c r="G287" s="165"/>
      <c r="H287" s="165"/>
      <c r="I287" s="165"/>
      <c r="J287" s="165"/>
      <c r="K287" s="165"/>
      <c r="L287" s="165"/>
      <c r="M287" s="165"/>
      <c r="N287" s="165"/>
      <c r="O287" s="165"/>
      <c r="P287" s="165"/>
      <c r="Q287" s="165"/>
      <c r="R287" s="163"/>
    </row>
    <row r="288" spans="1:18" ht="12">
      <c r="A288" s="36"/>
      <c r="B288" s="700"/>
      <c r="C288" s="532"/>
      <c r="D288" s="36"/>
      <c r="E288" s="165"/>
      <c r="F288" s="165"/>
      <c r="G288" s="165"/>
      <c r="H288" s="165"/>
      <c r="I288" s="165"/>
      <c r="J288" s="165"/>
      <c r="K288" s="165"/>
      <c r="L288" s="165"/>
      <c r="M288" s="165"/>
      <c r="N288" s="165"/>
      <c r="O288" s="165"/>
      <c r="P288" s="165"/>
      <c r="Q288" s="165"/>
      <c r="R288" s="163"/>
    </row>
    <row r="289" spans="1:18" ht="12">
      <c r="A289" s="36"/>
      <c r="B289" s="700"/>
      <c r="C289" s="532"/>
      <c r="D289" s="36"/>
      <c r="E289" s="165"/>
      <c r="F289" s="165"/>
      <c r="G289" s="165"/>
      <c r="H289" s="165"/>
      <c r="I289" s="165"/>
      <c r="J289" s="165"/>
      <c r="K289" s="165"/>
      <c r="L289" s="165"/>
      <c r="M289" s="165"/>
      <c r="N289" s="165"/>
      <c r="O289" s="165"/>
      <c r="P289" s="165"/>
      <c r="Q289" s="165"/>
      <c r="R289" s="163"/>
    </row>
    <row r="290" spans="1:18" ht="12">
      <c r="A290" s="36"/>
      <c r="B290" s="700"/>
      <c r="C290" s="532"/>
      <c r="D290" s="36"/>
      <c r="E290" s="165"/>
      <c r="F290" s="165"/>
      <c r="G290" s="165"/>
      <c r="H290" s="165"/>
      <c r="I290" s="165"/>
      <c r="J290" s="165"/>
      <c r="K290" s="165"/>
      <c r="L290" s="165"/>
      <c r="M290" s="165"/>
      <c r="N290" s="165"/>
      <c r="O290" s="165"/>
      <c r="P290" s="165"/>
      <c r="Q290" s="165"/>
      <c r="R290" s="163"/>
    </row>
    <row r="291" spans="1:18" ht="12">
      <c r="A291" s="36"/>
      <c r="B291" s="700"/>
      <c r="C291" s="532"/>
      <c r="D291" s="36"/>
      <c r="E291" s="165"/>
      <c r="F291" s="165"/>
      <c r="G291" s="165"/>
      <c r="H291" s="165"/>
      <c r="I291" s="165"/>
      <c r="J291" s="165"/>
      <c r="K291" s="165"/>
      <c r="L291" s="165"/>
      <c r="M291" s="165"/>
      <c r="N291" s="165"/>
      <c r="O291" s="165"/>
      <c r="P291" s="165"/>
      <c r="Q291" s="165"/>
      <c r="R291" s="163"/>
    </row>
    <row r="292" spans="1:18" ht="12">
      <c r="A292" s="36"/>
      <c r="B292" s="700"/>
      <c r="C292" s="532"/>
      <c r="D292" s="36"/>
      <c r="E292" s="165"/>
      <c r="F292" s="165"/>
      <c r="G292" s="165"/>
      <c r="H292" s="165"/>
      <c r="I292" s="165"/>
      <c r="J292" s="165"/>
      <c r="K292" s="165"/>
      <c r="L292" s="165"/>
      <c r="M292" s="165"/>
      <c r="N292" s="165"/>
      <c r="O292" s="165"/>
      <c r="P292" s="165"/>
      <c r="Q292" s="165"/>
      <c r="R292" s="163"/>
    </row>
    <row r="293" spans="1:18" ht="12">
      <c r="A293" s="36"/>
      <c r="B293" s="700"/>
      <c r="C293" s="532"/>
      <c r="D293" s="36"/>
      <c r="E293" s="165"/>
      <c r="F293" s="165"/>
      <c r="G293" s="165"/>
      <c r="H293" s="165"/>
      <c r="I293" s="165"/>
      <c r="J293" s="165"/>
      <c r="K293" s="165"/>
      <c r="L293" s="165"/>
      <c r="M293" s="165"/>
      <c r="N293" s="165"/>
      <c r="O293" s="165"/>
      <c r="P293" s="165"/>
      <c r="Q293" s="165"/>
      <c r="R293" s="163"/>
    </row>
    <row r="294" spans="1:18" ht="12">
      <c r="A294" s="36"/>
      <c r="B294" s="700"/>
      <c r="C294" s="532"/>
      <c r="D294" s="36"/>
      <c r="E294" s="165"/>
      <c r="F294" s="165"/>
      <c r="G294" s="165"/>
      <c r="H294" s="165"/>
      <c r="I294" s="165"/>
      <c r="J294" s="165"/>
      <c r="K294" s="165"/>
      <c r="L294" s="165"/>
      <c r="M294" s="165"/>
      <c r="N294" s="165"/>
      <c r="O294" s="165"/>
      <c r="P294" s="165"/>
      <c r="Q294" s="165"/>
      <c r="R294" s="163"/>
    </row>
    <row r="295" spans="1:18" ht="12">
      <c r="A295" s="36"/>
      <c r="B295" s="700"/>
      <c r="C295" s="532"/>
      <c r="D295" s="36"/>
      <c r="E295" s="165"/>
      <c r="F295" s="165"/>
      <c r="G295" s="165"/>
      <c r="H295" s="165"/>
      <c r="I295" s="165"/>
      <c r="J295" s="165"/>
      <c r="K295" s="165"/>
      <c r="L295" s="165"/>
      <c r="M295" s="165"/>
      <c r="N295" s="165"/>
      <c r="O295" s="165"/>
      <c r="P295" s="165"/>
      <c r="Q295" s="165"/>
      <c r="R295" s="163"/>
    </row>
    <row r="296" spans="1:18" ht="12">
      <c r="A296" s="36"/>
      <c r="B296" s="700"/>
      <c r="C296" s="532"/>
      <c r="D296" s="36"/>
      <c r="E296" s="165"/>
      <c r="F296" s="165"/>
      <c r="G296" s="165"/>
      <c r="H296" s="165"/>
      <c r="I296" s="165"/>
      <c r="J296" s="165"/>
      <c r="K296" s="165"/>
      <c r="L296" s="165"/>
      <c r="M296" s="165"/>
      <c r="N296" s="165"/>
      <c r="O296" s="165"/>
      <c r="P296" s="165"/>
      <c r="Q296" s="165"/>
      <c r="R296" s="163"/>
    </row>
    <row r="297" spans="1:18" ht="12">
      <c r="A297" s="36"/>
      <c r="B297" s="700"/>
      <c r="C297" s="532"/>
      <c r="D297" s="36"/>
      <c r="E297" s="165"/>
      <c r="F297" s="165"/>
      <c r="G297" s="165"/>
      <c r="H297" s="165"/>
      <c r="I297" s="165"/>
      <c r="J297" s="165"/>
      <c r="K297" s="165"/>
      <c r="L297" s="165"/>
      <c r="M297" s="165"/>
      <c r="N297" s="165"/>
      <c r="O297" s="165"/>
      <c r="P297" s="165"/>
      <c r="Q297" s="165"/>
      <c r="R297" s="163"/>
    </row>
    <row r="298" spans="1:18" ht="12">
      <c r="A298" s="36"/>
      <c r="B298" s="700"/>
      <c r="C298" s="532"/>
      <c r="D298" s="36"/>
      <c r="E298" s="165"/>
      <c r="F298" s="165"/>
      <c r="G298" s="165"/>
      <c r="H298" s="165"/>
      <c r="I298" s="165"/>
      <c r="J298" s="165"/>
      <c r="K298" s="165"/>
      <c r="L298" s="165"/>
      <c r="M298" s="165"/>
      <c r="N298" s="165"/>
      <c r="O298" s="165"/>
      <c r="P298" s="165"/>
      <c r="Q298" s="165"/>
      <c r="R298" s="163"/>
    </row>
    <row r="299" spans="1:18" ht="12">
      <c r="A299" s="36"/>
      <c r="B299" s="700"/>
      <c r="C299" s="532"/>
      <c r="D299" s="36"/>
      <c r="E299" s="165"/>
      <c r="F299" s="165"/>
      <c r="G299" s="165"/>
      <c r="H299" s="165"/>
      <c r="I299" s="165"/>
      <c r="J299" s="165"/>
      <c r="K299" s="165"/>
      <c r="L299" s="165"/>
      <c r="M299" s="165"/>
      <c r="N299" s="165"/>
      <c r="O299" s="165"/>
      <c r="P299" s="165"/>
      <c r="Q299" s="165"/>
      <c r="R299" s="163"/>
    </row>
    <row r="300" spans="1:18" ht="12">
      <c r="A300" s="36"/>
      <c r="B300" s="700"/>
      <c r="C300" s="532"/>
      <c r="D300" s="36"/>
      <c r="E300" s="165"/>
      <c r="F300" s="165"/>
      <c r="G300" s="165"/>
      <c r="H300" s="165"/>
      <c r="I300" s="165"/>
      <c r="J300" s="165"/>
      <c r="K300" s="165"/>
      <c r="L300" s="165"/>
      <c r="M300" s="165"/>
      <c r="N300" s="165"/>
      <c r="O300" s="165"/>
      <c r="P300" s="165"/>
      <c r="Q300" s="165"/>
      <c r="R300" s="163"/>
    </row>
    <row r="301" spans="1:18" ht="12">
      <c r="A301" s="36"/>
      <c r="B301" s="700"/>
      <c r="C301" s="532"/>
      <c r="D301" s="36"/>
      <c r="E301" s="165"/>
      <c r="F301" s="165"/>
      <c r="G301" s="165"/>
      <c r="H301" s="165"/>
      <c r="I301" s="165"/>
      <c r="J301" s="165"/>
      <c r="K301" s="165"/>
      <c r="L301" s="165"/>
      <c r="M301" s="165"/>
      <c r="N301" s="165"/>
      <c r="O301" s="165"/>
      <c r="P301" s="165"/>
      <c r="Q301" s="165"/>
      <c r="R301" s="163"/>
    </row>
    <row r="302" spans="1:18" ht="12">
      <c r="A302" s="36"/>
      <c r="B302" s="700"/>
      <c r="C302" s="532"/>
      <c r="D302" s="36"/>
      <c r="E302" s="165"/>
      <c r="F302" s="165"/>
      <c r="G302" s="165"/>
      <c r="H302" s="165"/>
      <c r="I302" s="165"/>
      <c r="J302" s="165"/>
      <c r="K302" s="165"/>
      <c r="L302" s="165"/>
      <c r="M302" s="165"/>
      <c r="N302" s="165"/>
      <c r="O302" s="165"/>
      <c r="P302" s="165"/>
      <c r="Q302" s="165"/>
      <c r="R302" s="163"/>
    </row>
    <row r="303" spans="1:18" ht="12">
      <c r="A303" s="36"/>
      <c r="B303" s="700"/>
      <c r="C303" s="532"/>
      <c r="D303" s="36"/>
      <c r="E303" s="165"/>
      <c r="F303" s="165"/>
      <c r="G303" s="165"/>
      <c r="H303" s="165"/>
      <c r="I303" s="165"/>
      <c r="J303" s="165"/>
      <c r="K303" s="165"/>
      <c r="L303" s="165"/>
      <c r="M303" s="165"/>
      <c r="N303" s="165"/>
      <c r="O303" s="165"/>
      <c r="P303" s="165"/>
      <c r="Q303" s="165"/>
      <c r="R303" s="163"/>
    </row>
    <row r="304" spans="1:18" ht="12">
      <c r="A304" s="36"/>
      <c r="B304" s="700"/>
      <c r="C304" s="532"/>
      <c r="D304" s="36"/>
      <c r="E304" s="165"/>
      <c r="F304" s="165"/>
      <c r="G304" s="165"/>
      <c r="H304" s="165"/>
      <c r="I304" s="165"/>
      <c r="J304" s="165"/>
      <c r="K304" s="165"/>
      <c r="L304" s="165"/>
      <c r="M304" s="165"/>
      <c r="N304" s="165"/>
      <c r="O304" s="165"/>
      <c r="P304" s="165"/>
      <c r="Q304" s="165"/>
      <c r="R304" s="163"/>
    </row>
    <row r="305" spans="1:18" ht="12">
      <c r="A305" s="36"/>
      <c r="B305" s="700"/>
      <c r="C305" s="532"/>
      <c r="D305" s="36"/>
      <c r="E305" s="165"/>
      <c r="F305" s="165"/>
      <c r="G305" s="165"/>
      <c r="H305" s="165"/>
      <c r="I305" s="165"/>
      <c r="J305" s="165"/>
      <c r="K305" s="165"/>
      <c r="L305" s="165"/>
      <c r="M305" s="165"/>
      <c r="N305" s="165"/>
      <c r="O305" s="165"/>
      <c r="P305" s="165"/>
      <c r="Q305" s="165"/>
      <c r="R305" s="163"/>
    </row>
    <row r="306" spans="1:18" ht="12">
      <c r="A306" s="36"/>
      <c r="B306" s="700"/>
      <c r="C306" s="532"/>
      <c r="D306" s="36"/>
      <c r="E306" s="165"/>
      <c r="F306" s="165"/>
      <c r="G306" s="165"/>
      <c r="H306" s="165"/>
      <c r="I306" s="165"/>
      <c r="J306" s="165"/>
      <c r="K306" s="165"/>
      <c r="L306" s="165"/>
      <c r="M306" s="165"/>
      <c r="N306" s="165"/>
      <c r="O306" s="165"/>
      <c r="P306" s="165"/>
      <c r="Q306" s="165"/>
      <c r="R306" s="163"/>
    </row>
    <row r="307" spans="1:18" ht="12">
      <c r="A307" s="36"/>
      <c r="B307" s="700"/>
      <c r="C307" s="532"/>
      <c r="D307" s="36"/>
      <c r="E307" s="165"/>
      <c r="F307" s="165"/>
      <c r="G307" s="165"/>
      <c r="H307" s="165"/>
      <c r="I307" s="165"/>
      <c r="J307" s="165"/>
      <c r="K307" s="165"/>
      <c r="L307" s="165"/>
      <c r="M307" s="165"/>
      <c r="N307" s="165"/>
      <c r="O307" s="165"/>
      <c r="P307" s="165"/>
      <c r="Q307" s="165"/>
      <c r="R307" s="163"/>
    </row>
    <row r="308" spans="1:18" ht="12">
      <c r="A308" s="36"/>
      <c r="B308" s="700"/>
      <c r="C308" s="532"/>
      <c r="D308" s="36"/>
      <c r="E308" s="165"/>
      <c r="F308" s="165"/>
      <c r="G308" s="165"/>
      <c r="H308" s="165"/>
      <c r="I308" s="165"/>
      <c r="J308" s="165"/>
      <c r="K308" s="165"/>
      <c r="L308" s="165"/>
      <c r="M308" s="165"/>
      <c r="N308" s="165"/>
      <c r="O308" s="165"/>
      <c r="P308" s="165"/>
      <c r="Q308" s="165"/>
      <c r="R308" s="163"/>
    </row>
    <row r="309" spans="1:18" ht="12">
      <c r="A309" s="36"/>
      <c r="B309" s="700"/>
      <c r="C309" s="532"/>
      <c r="D309" s="36"/>
      <c r="E309" s="165"/>
      <c r="F309" s="165"/>
      <c r="G309" s="165"/>
      <c r="H309" s="165"/>
      <c r="I309" s="165"/>
      <c r="J309" s="165"/>
      <c r="K309" s="165"/>
      <c r="L309" s="165"/>
      <c r="M309" s="165"/>
      <c r="N309" s="165"/>
      <c r="O309" s="165"/>
      <c r="P309" s="165"/>
      <c r="Q309" s="165"/>
      <c r="R309" s="163"/>
    </row>
    <row r="310" spans="1:18" ht="12">
      <c r="A310" s="36"/>
      <c r="B310" s="700"/>
      <c r="C310" s="532"/>
      <c r="D310" s="36"/>
      <c r="E310" s="165"/>
      <c r="F310" s="165"/>
      <c r="G310" s="165"/>
      <c r="H310" s="165"/>
      <c r="I310" s="165"/>
      <c r="J310" s="165"/>
      <c r="K310" s="165"/>
      <c r="L310" s="165"/>
      <c r="M310" s="165"/>
      <c r="N310" s="165"/>
      <c r="O310" s="165"/>
      <c r="P310" s="165"/>
      <c r="Q310" s="165"/>
      <c r="R310" s="163"/>
    </row>
    <row r="311" spans="1:18" ht="12">
      <c r="A311" s="36"/>
      <c r="B311" s="700"/>
      <c r="C311" s="532"/>
      <c r="D311" s="36"/>
      <c r="E311" s="165"/>
      <c r="F311" s="165"/>
      <c r="G311" s="165"/>
      <c r="H311" s="165"/>
      <c r="I311" s="165"/>
      <c r="J311" s="165"/>
      <c r="K311" s="165"/>
      <c r="L311" s="165"/>
      <c r="M311" s="165"/>
      <c r="N311" s="165"/>
      <c r="O311" s="165"/>
      <c r="P311" s="165"/>
      <c r="Q311" s="165"/>
      <c r="R311" s="163"/>
    </row>
    <row r="312" spans="1:18" ht="12">
      <c r="A312" s="36"/>
      <c r="B312" s="700"/>
      <c r="C312" s="532"/>
      <c r="D312" s="36"/>
      <c r="E312" s="165"/>
      <c r="F312" s="165"/>
      <c r="G312" s="165"/>
      <c r="H312" s="165"/>
      <c r="I312" s="165"/>
      <c r="J312" s="165"/>
      <c r="K312" s="165"/>
      <c r="L312" s="165"/>
      <c r="M312" s="165"/>
      <c r="N312" s="165"/>
      <c r="O312" s="165"/>
      <c r="P312" s="165"/>
      <c r="Q312" s="165"/>
      <c r="R312" s="163"/>
    </row>
    <row r="313" spans="1:18" ht="12">
      <c r="A313" s="36"/>
      <c r="B313" s="700"/>
      <c r="C313" s="532"/>
      <c r="D313" s="36"/>
      <c r="E313" s="165"/>
      <c r="F313" s="165"/>
      <c r="G313" s="165"/>
      <c r="H313" s="165"/>
      <c r="I313" s="165"/>
      <c r="J313" s="165"/>
      <c r="K313" s="165"/>
      <c r="L313" s="165"/>
      <c r="M313" s="165"/>
      <c r="N313" s="165"/>
      <c r="O313" s="165"/>
      <c r="P313" s="165"/>
      <c r="Q313" s="165"/>
      <c r="R313" s="163"/>
    </row>
    <row r="314" spans="1:18" ht="12">
      <c r="A314" s="36"/>
      <c r="B314" s="700"/>
      <c r="C314" s="532"/>
      <c r="D314" s="36"/>
      <c r="E314" s="165"/>
      <c r="F314" s="165"/>
      <c r="G314" s="165"/>
      <c r="H314" s="165"/>
      <c r="I314" s="165"/>
      <c r="J314" s="165"/>
      <c r="K314" s="165"/>
      <c r="L314" s="165"/>
      <c r="M314" s="165"/>
      <c r="N314" s="165"/>
      <c r="O314" s="165"/>
      <c r="P314" s="165"/>
      <c r="Q314" s="165"/>
      <c r="R314" s="163"/>
    </row>
    <row r="315" spans="1:18" ht="12">
      <c r="A315" s="36"/>
      <c r="B315" s="700"/>
      <c r="C315" s="532"/>
      <c r="D315" s="36"/>
      <c r="E315" s="165"/>
      <c r="F315" s="165"/>
      <c r="G315" s="165"/>
      <c r="H315" s="165"/>
      <c r="I315" s="165"/>
      <c r="J315" s="165"/>
      <c r="K315" s="165"/>
      <c r="L315" s="165"/>
      <c r="M315" s="165"/>
      <c r="N315" s="165"/>
      <c r="O315" s="165"/>
      <c r="P315" s="165"/>
      <c r="Q315" s="165"/>
      <c r="R315" s="163"/>
    </row>
    <row r="316" spans="1:18" ht="12">
      <c r="A316" s="36"/>
      <c r="B316" s="700"/>
      <c r="C316" s="532"/>
      <c r="D316" s="36"/>
      <c r="E316" s="165"/>
      <c r="F316" s="165"/>
      <c r="G316" s="165"/>
      <c r="H316" s="165"/>
      <c r="I316" s="165"/>
      <c r="J316" s="165"/>
      <c r="K316" s="165"/>
      <c r="L316" s="165"/>
      <c r="M316" s="165"/>
      <c r="N316" s="165"/>
      <c r="O316" s="165"/>
      <c r="P316" s="165"/>
      <c r="Q316" s="165"/>
      <c r="R316" s="163"/>
    </row>
    <row r="317" spans="1:18" ht="12">
      <c r="A317" s="36"/>
      <c r="B317" s="700"/>
      <c r="C317" s="532"/>
      <c r="D317" s="36"/>
      <c r="E317" s="165"/>
      <c r="F317" s="165"/>
      <c r="G317" s="165"/>
      <c r="H317" s="165"/>
      <c r="I317" s="165"/>
      <c r="J317" s="165"/>
      <c r="K317" s="165"/>
      <c r="L317" s="165"/>
      <c r="M317" s="165"/>
      <c r="N317" s="165"/>
      <c r="O317" s="165"/>
      <c r="P317" s="165"/>
      <c r="Q317" s="165"/>
      <c r="R317" s="163"/>
    </row>
    <row r="318" spans="1:18" ht="12">
      <c r="A318" s="36"/>
      <c r="B318" s="700"/>
      <c r="C318" s="532"/>
      <c r="D318" s="36"/>
      <c r="E318" s="165"/>
      <c r="F318" s="165"/>
      <c r="G318" s="165"/>
      <c r="H318" s="165"/>
      <c r="I318" s="165"/>
      <c r="J318" s="165"/>
      <c r="K318" s="165"/>
      <c r="L318" s="165"/>
      <c r="M318" s="165"/>
      <c r="N318" s="165"/>
      <c r="O318" s="165"/>
      <c r="P318" s="165"/>
      <c r="Q318" s="165"/>
      <c r="R318" s="163"/>
    </row>
    <row r="319" spans="1:18" ht="12">
      <c r="A319" s="36"/>
      <c r="B319" s="700"/>
      <c r="C319" s="532"/>
      <c r="D319" s="36"/>
      <c r="E319" s="165"/>
      <c r="F319" s="165"/>
      <c r="G319" s="165"/>
      <c r="H319" s="165"/>
      <c r="I319" s="165"/>
      <c r="J319" s="165"/>
      <c r="K319" s="165"/>
      <c r="L319" s="165"/>
      <c r="M319" s="165"/>
      <c r="N319" s="165"/>
      <c r="O319" s="165"/>
      <c r="P319" s="165"/>
      <c r="Q319" s="165"/>
      <c r="R319" s="163"/>
    </row>
    <row r="320" spans="1:18" ht="12">
      <c r="A320" s="36"/>
      <c r="B320" s="700"/>
      <c r="C320" s="532"/>
      <c r="D320" s="36"/>
      <c r="E320" s="165"/>
      <c r="F320" s="165"/>
      <c r="G320" s="165"/>
      <c r="H320" s="165"/>
      <c r="I320" s="165"/>
      <c r="J320" s="165"/>
      <c r="K320" s="165"/>
      <c r="L320" s="165"/>
      <c r="M320" s="165"/>
      <c r="N320" s="165"/>
      <c r="O320" s="165"/>
      <c r="P320" s="165"/>
      <c r="Q320" s="165"/>
      <c r="R320" s="163"/>
    </row>
    <row r="321" spans="1:18" ht="12">
      <c r="A321" s="36"/>
      <c r="B321" s="700"/>
      <c r="C321" s="532"/>
      <c r="D321" s="36"/>
      <c r="E321" s="165"/>
      <c r="F321" s="165"/>
      <c r="G321" s="165"/>
      <c r="H321" s="165"/>
      <c r="I321" s="165"/>
      <c r="J321" s="165"/>
      <c r="K321" s="165"/>
      <c r="L321" s="165"/>
      <c r="M321" s="165"/>
      <c r="N321" s="165"/>
      <c r="O321" s="165"/>
      <c r="P321" s="165"/>
      <c r="Q321" s="165"/>
      <c r="R321" s="163"/>
    </row>
    <row r="322" spans="1:18" ht="12">
      <c r="A322" s="36"/>
      <c r="B322" s="700"/>
      <c r="C322" s="532"/>
      <c r="D322" s="36"/>
      <c r="E322" s="165"/>
      <c r="F322" s="165"/>
      <c r="G322" s="165"/>
      <c r="H322" s="165"/>
      <c r="I322" s="165"/>
      <c r="J322" s="165"/>
      <c r="K322" s="165"/>
      <c r="L322" s="165"/>
      <c r="M322" s="165"/>
      <c r="N322" s="165"/>
      <c r="O322" s="165"/>
      <c r="P322" s="165"/>
      <c r="Q322" s="165"/>
      <c r="R322" s="163"/>
    </row>
    <row r="323" spans="1:18" ht="12">
      <c r="A323" s="36"/>
      <c r="B323" s="700"/>
      <c r="C323" s="532"/>
      <c r="D323" s="36"/>
      <c r="E323" s="165"/>
      <c r="F323" s="165"/>
      <c r="G323" s="165"/>
      <c r="H323" s="165"/>
      <c r="I323" s="165"/>
      <c r="J323" s="165"/>
      <c r="K323" s="165"/>
      <c r="L323" s="165"/>
      <c r="M323" s="165"/>
      <c r="N323" s="165"/>
      <c r="O323" s="165"/>
      <c r="P323" s="165"/>
      <c r="Q323" s="165"/>
      <c r="R323" s="163"/>
    </row>
    <row r="324" spans="1:18" ht="12">
      <c r="A324" s="36"/>
      <c r="B324" s="700"/>
      <c r="C324" s="532"/>
      <c r="D324" s="36"/>
      <c r="E324" s="165"/>
      <c r="F324" s="165"/>
      <c r="G324" s="165"/>
      <c r="H324" s="165"/>
      <c r="I324" s="165"/>
      <c r="J324" s="165"/>
      <c r="K324" s="165"/>
      <c r="L324" s="165"/>
      <c r="M324" s="165"/>
      <c r="N324" s="165"/>
      <c r="O324" s="165"/>
      <c r="P324" s="165"/>
      <c r="Q324" s="165"/>
      <c r="R324" s="163"/>
    </row>
    <row r="325" spans="1:18" ht="12">
      <c r="A325" s="36"/>
      <c r="B325" s="700"/>
      <c r="C325" s="532"/>
      <c r="D325" s="36"/>
      <c r="E325" s="165"/>
      <c r="F325" s="165"/>
      <c r="G325" s="165"/>
      <c r="H325" s="165"/>
      <c r="I325" s="165"/>
      <c r="J325" s="165"/>
      <c r="K325" s="165"/>
      <c r="L325" s="165"/>
      <c r="M325" s="165"/>
      <c r="N325" s="165"/>
      <c r="O325" s="165"/>
      <c r="P325" s="165"/>
      <c r="Q325" s="165"/>
      <c r="R325" s="163"/>
    </row>
    <row r="326" spans="1:18" ht="12">
      <c r="A326" s="36"/>
      <c r="B326" s="700"/>
      <c r="C326" s="532"/>
      <c r="D326" s="36"/>
      <c r="E326" s="165"/>
      <c r="F326" s="165"/>
      <c r="G326" s="165"/>
      <c r="H326" s="165"/>
      <c r="I326" s="165"/>
      <c r="J326" s="165"/>
      <c r="K326" s="165"/>
      <c r="L326" s="165"/>
      <c r="M326" s="165"/>
      <c r="N326" s="165"/>
      <c r="O326" s="165"/>
      <c r="P326" s="165"/>
      <c r="Q326" s="165"/>
      <c r="R326" s="163"/>
    </row>
    <row r="327" spans="1:18" ht="12">
      <c r="A327" s="36"/>
      <c r="B327" s="700"/>
      <c r="C327" s="532"/>
      <c r="D327" s="36"/>
      <c r="E327" s="165"/>
      <c r="F327" s="165"/>
      <c r="G327" s="165"/>
      <c r="H327" s="165"/>
      <c r="I327" s="165"/>
      <c r="J327" s="165"/>
      <c r="K327" s="165"/>
      <c r="L327" s="165"/>
      <c r="M327" s="165"/>
      <c r="N327" s="165"/>
      <c r="O327" s="165"/>
      <c r="P327" s="165"/>
      <c r="Q327" s="165"/>
      <c r="R327" s="163"/>
    </row>
    <row r="328" spans="1:18" ht="12">
      <c r="A328" s="36"/>
      <c r="B328" s="700"/>
      <c r="C328" s="532"/>
      <c r="D328" s="36"/>
      <c r="E328" s="165"/>
      <c r="F328" s="165"/>
      <c r="G328" s="165"/>
      <c r="H328" s="165"/>
      <c r="I328" s="165"/>
      <c r="J328" s="165"/>
      <c r="K328" s="165"/>
      <c r="L328" s="165"/>
      <c r="M328" s="165"/>
      <c r="N328" s="165"/>
      <c r="O328" s="165"/>
      <c r="P328" s="165"/>
      <c r="Q328" s="165"/>
      <c r="R328" s="163"/>
    </row>
    <row r="329" spans="1:18" ht="12">
      <c r="A329" s="36"/>
      <c r="B329" s="700"/>
      <c r="C329" s="532"/>
      <c r="D329" s="36"/>
      <c r="E329" s="165"/>
      <c r="F329" s="165"/>
      <c r="G329" s="165"/>
      <c r="H329" s="165"/>
      <c r="I329" s="165"/>
      <c r="J329" s="165"/>
      <c r="K329" s="165"/>
      <c r="L329" s="165"/>
      <c r="M329" s="165"/>
      <c r="N329" s="165"/>
      <c r="O329" s="165"/>
      <c r="P329" s="165"/>
      <c r="Q329" s="165"/>
      <c r="R329" s="163"/>
    </row>
    <row r="330" spans="1:18" ht="12">
      <c r="A330" s="36"/>
      <c r="B330" s="700"/>
      <c r="C330" s="532"/>
      <c r="D330" s="36"/>
      <c r="E330" s="165"/>
      <c r="F330" s="165"/>
      <c r="G330" s="165"/>
      <c r="H330" s="165"/>
      <c r="I330" s="165"/>
      <c r="J330" s="165"/>
      <c r="K330" s="165"/>
      <c r="L330" s="165"/>
      <c r="M330" s="165"/>
      <c r="N330" s="165"/>
      <c r="O330" s="165"/>
      <c r="P330" s="165"/>
      <c r="Q330" s="165"/>
      <c r="R330" s="163"/>
    </row>
    <row r="331" spans="1:18" ht="12">
      <c r="A331" s="36"/>
      <c r="B331" s="700"/>
      <c r="C331" s="532"/>
      <c r="D331" s="36"/>
      <c r="E331" s="165"/>
      <c r="F331" s="165"/>
      <c r="G331" s="165"/>
      <c r="H331" s="165"/>
      <c r="I331" s="165"/>
      <c r="J331" s="165"/>
      <c r="K331" s="165"/>
      <c r="L331" s="165"/>
      <c r="M331" s="165"/>
      <c r="N331" s="165"/>
      <c r="O331" s="165"/>
      <c r="P331" s="165"/>
      <c r="Q331" s="165"/>
      <c r="R331" s="163"/>
    </row>
    <row r="332" spans="1:18" ht="12">
      <c r="A332" s="36"/>
      <c r="B332" s="700"/>
      <c r="C332" s="532"/>
      <c r="D332" s="36"/>
      <c r="E332" s="165"/>
      <c r="F332" s="165"/>
      <c r="G332" s="165"/>
      <c r="H332" s="165"/>
      <c r="I332" s="165"/>
      <c r="J332" s="165"/>
      <c r="K332" s="165"/>
      <c r="L332" s="165"/>
      <c r="M332" s="165"/>
      <c r="N332" s="165"/>
      <c r="O332" s="165"/>
      <c r="P332" s="165"/>
      <c r="Q332" s="165"/>
      <c r="R332" s="163"/>
    </row>
    <row r="333" spans="1:18" ht="12">
      <c r="A333" s="36"/>
      <c r="B333" s="700"/>
      <c r="C333" s="532"/>
      <c r="D333" s="36"/>
      <c r="E333" s="165"/>
      <c r="F333" s="165"/>
      <c r="G333" s="165"/>
      <c r="H333" s="165"/>
      <c r="I333" s="165"/>
      <c r="J333" s="165"/>
      <c r="K333" s="165"/>
      <c r="L333" s="165"/>
      <c r="M333" s="165"/>
      <c r="N333" s="165"/>
      <c r="O333" s="165"/>
      <c r="P333" s="165"/>
      <c r="Q333" s="165"/>
      <c r="R333" s="163"/>
    </row>
    <row r="334" spans="1:18" ht="12">
      <c r="A334" s="36"/>
      <c r="B334" s="700"/>
      <c r="C334" s="532"/>
      <c r="D334" s="36"/>
      <c r="E334" s="165"/>
      <c r="F334" s="165"/>
      <c r="G334" s="165"/>
      <c r="H334" s="165"/>
      <c r="I334" s="165"/>
      <c r="J334" s="165"/>
      <c r="K334" s="165"/>
      <c r="L334" s="165"/>
      <c r="M334" s="165"/>
      <c r="N334" s="165"/>
      <c r="O334" s="165"/>
      <c r="P334" s="165"/>
      <c r="Q334" s="165"/>
      <c r="R334" s="163"/>
    </row>
    <row r="335" spans="1:18" ht="12">
      <c r="A335" s="36"/>
      <c r="B335" s="700"/>
      <c r="C335" s="532"/>
      <c r="D335" s="36"/>
      <c r="E335" s="165"/>
      <c r="F335" s="165"/>
      <c r="G335" s="165"/>
      <c r="H335" s="165"/>
      <c r="I335" s="165"/>
      <c r="J335" s="165"/>
      <c r="K335" s="165"/>
      <c r="L335" s="165"/>
      <c r="M335" s="165"/>
      <c r="N335" s="165"/>
      <c r="O335" s="165"/>
      <c r="P335" s="165"/>
      <c r="Q335" s="165"/>
      <c r="R335" s="163"/>
    </row>
    <row r="336" spans="1:18" ht="12">
      <c r="A336" s="36"/>
      <c r="B336" s="700"/>
      <c r="C336" s="532"/>
      <c r="D336" s="36"/>
      <c r="E336" s="165"/>
      <c r="F336" s="165"/>
      <c r="G336" s="165"/>
      <c r="H336" s="165"/>
      <c r="I336" s="165"/>
      <c r="J336" s="165"/>
      <c r="K336" s="165"/>
      <c r="L336" s="165"/>
      <c r="M336" s="165"/>
      <c r="N336" s="165"/>
      <c r="O336" s="165"/>
      <c r="P336" s="165"/>
      <c r="Q336" s="165"/>
      <c r="R336" s="163"/>
    </row>
    <row r="337" spans="1:18" ht="12">
      <c r="A337" s="36"/>
      <c r="B337" s="700"/>
      <c r="C337" s="532"/>
      <c r="D337" s="36"/>
      <c r="E337" s="165"/>
      <c r="F337" s="165"/>
      <c r="G337" s="165"/>
      <c r="H337" s="165"/>
      <c r="I337" s="165"/>
      <c r="J337" s="165"/>
      <c r="K337" s="165"/>
      <c r="L337" s="165"/>
      <c r="M337" s="165"/>
      <c r="N337" s="165"/>
      <c r="O337" s="165"/>
      <c r="P337" s="165"/>
      <c r="Q337" s="165"/>
      <c r="R337" s="163"/>
    </row>
    <row r="338" spans="1:18" ht="12">
      <c r="A338" s="36"/>
      <c r="B338" s="700"/>
      <c r="C338" s="532"/>
      <c r="D338" s="36"/>
      <c r="E338" s="165"/>
      <c r="F338" s="165"/>
      <c r="G338" s="165"/>
      <c r="H338" s="165"/>
      <c r="I338" s="165"/>
      <c r="J338" s="165"/>
      <c r="K338" s="165"/>
      <c r="L338" s="165"/>
      <c r="M338" s="165"/>
      <c r="N338" s="165"/>
      <c r="O338" s="165"/>
      <c r="P338" s="165"/>
      <c r="Q338" s="165"/>
      <c r="R338" s="163"/>
    </row>
    <row r="339" spans="1:18" ht="12">
      <c r="A339" s="36"/>
      <c r="B339" s="700"/>
      <c r="C339" s="532"/>
      <c r="D339" s="36"/>
      <c r="E339" s="165"/>
      <c r="F339" s="165"/>
      <c r="G339" s="165"/>
      <c r="H339" s="165"/>
      <c r="I339" s="165"/>
      <c r="J339" s="165"/>
      <c r="K339" s="165"/>
      <c r="L339" s="165"/>
      <c r="M339" s="165"/>
      <c r="N339" s="165"/>
      <c r="O339" s="165"/>
      <c r="P339" s="165"/>
      <c r="Q339" s="165"/>
      <c r="R339" s="163"/>
    </row>
    <row r="340" spans="1:18" ht="12">
      <c r="E340" s="165"/>
      <c r="F340" s="165"/>
      <c r="G340" s="165"/>
      <c r="H340" s="165"/>
      <c r="I340" s="165"/>
      <c r="J340" s="165"/>
      <c r="K340" s="165"/>
      <c r="L340" s="165"/>
      <c r="M340" s="165"/>
      <c r="N340" s="165"/>
      <c r="O340" s="165"/>
      <c r="P340" s="165"/>
      <c r="Q340" s="165"/>
      <c r="R340" s="163"/>
    </row>
    <row r="341" spans="1:18" ht="12">
      <c r="E341" s="165"/>
      <c r="F341" s="165"/>
      <c r="G341" s="165"/>
      <c r="H341" s="165"/>
      <c r="I341" s="165"/>
      <c r="J341" s="165"/>
      <c r="K341" s="165"/>
      <c r="L341" s="165"/>
      <c r="M341" s="165"/>
      <c r="N341" s="165"/>
      <c r="O341" s="165"/>
      <c r="P341" s="165"/>
      <c r="Q341" s="165"/>
      <c r="R341" s="163"/>
    </row>
    <row r="342" spans="1:18" ht="12">
      <c r="E342" s="165"/>
      <c r="F342" s="165"/>
      <c r="G342" s="165"/>
      <c r="H342" s="165"/>
      <c r="I342" s="165"/>
      <c r="J342" s="165"/>
      <c r="K342" s="165"/>
      <c r="L342" s="165"/>
      <c r="M342" s="165"/>
      <c r="N342" s="165"/>
      <c r="O342" s="165"/>
      <c r="P342" s="165"/>
      <c r="Q342" s="165"/>
      <c r="R342" s="163"/>
    </row>
    <row r="343" spans="1:18" ht="12">
      <c r="E343" s="165"/>
      <c r="F343" s="165"/>
      <c r="G343" s="165"/>
      <c r="H343" s="165"/>
      <c r="I343" s="165"/>
      <c r="J343" s="165"/>
      <c r="K343" s="165"/>
      <c r="L343" s="165"/>
      <c r="M343" s="165"/>
      <c r="N343" s="165"/>
      <c r="O343" s="165"/>
      <c r="P343" s="165"/>
      <c r="Q343" s="165"/>
      <c r="R343" s="163"/>
    </row>
    <row r="344" spans="1:18" ht="12">
      <c r="E344" s="165"/>
      <c r="F344" s="165"/>
      <c r="G344" s="165"/>
      <c r="H344" s="165"/>
      <c r="I344" s="165"/>
      <c r="J344" s="165"/>
      <c r="K344" s="165"/>
      <c r="L344" s="165"/>
      <c r="M344" s="165"/>
      <c r="N344" s="165"/>
      <c r="O344" s="165"/>
      <c r="P344" s="165"/>
      <c r="Q344" s="165"/>
      <c r="R344" s="163"/>
    </row>
    <row r="345" spans="1:18" ht="12">
      <c r="E345" s="165"/>
      <c r="F345" s="165"/>
      <c r="G345" s="165"/>
      <c r="H345" s="165"/>
      <c r="I345" s="165"/>
      <c r="J345" s="165"/>
      <c r="K345" s="165"/>
      <c r="L345" s="165"/>
      <c r="M345" s="165"/>
      <c r="N345" s="165"/>
      <c r="O345" s="165"/>
      <c r="P345" s="165"/>
      <c r="Q345" s="165"/>
      <c r="R345" s="163"/>
    </row>
    <row r="346" spans="1:18" ht="12">
      <c r="E346" s="165"/>
      <c r="F346" s="165"/>
      <c r="G346" s="165"/>
      <c r="H346" s="165"/>
      <c r="I346" s="165"/>
      <c r="J346" s="165"/>
      <c r="K346" s="165"/>
      <c r="L346" s="165"/>
      <c r="M346" s="165"/>
      <c r="N346" s="165"/>
      <c r="O346" s="165"/>
      <c r="P346" s="165"/>
      <c r="Q346" s="165"/>
      <c r="R346" s="163"/>
    </row>
    <row r="347" spans="1:18" ht="12">
      <c r="E347" s="165"/>
      <c r="F347" s="165"/>
      <c r="G347" s="165"/>
      <c r="H347" s="165"/>
      <c r="I347" s="165"/>
      <c r="J347" s="165"/>
      <c r="K347" s="165"/>
      <c r="L347" s="165"/>
      <c r="M347" s="165"/>
      <c r="N347" s="165"/>
      <c r="O347" s="165"/>
      <c r="P347" s="165"/>
      <c r="Q347" s="165"/>
      <c r="R347" s="163"/>
    </row>
    <row r="348" spans="1:18" ht="12">
      <c r="E348" s="165"/>
      <c r="F348" s="165"/>
      <c r="G348" s="165"/>
      <c r="H348" s="165"/>
      <c r="I348" s="165"/>
      <c r="J348" s="165"/>
      <c r="K348" s="165"/>
      <c r="L348" s="165"/>
      <c r="M348" s="165"/>
      <c r="N348" s="165"/>
      <c r="O348" s="165"/>
      <c r="P348" s="165"/>
      <c r="Q348" s="165"/>
      <c r="R348" s="163"/>
    </row>
    <row r="349" spans="1:18" ht="12">
      <c r="E349" s="165"/>
      <c r="F349" s="165"/>
      <c r="G349" s="165"/>
      <c r="H349" s="165"/>
      <c r="I349" s="165"/>
      <c r="J349" s="165"/>
      <c r="K349" s="165"/>
      <c r="L349" s="165"/>
      <c r="M349" s="165"/>
      <c r="N349" s="165"/>
      <c r="O349" s="165"/>
      <c r="P349" s="165"/>
      <c r="Q349" s="165"/>
      <c r="R349" s="163"/>
    </row>
    <row r="350" spans="1:18" ht="12">
      <c r="E350" s="165"/>
      <c r="F350" s="165"/>
      <c r="G350" s="165"/>
      <c r="H350" s="165"/>
      <c r="I350" s="165"/>
      <c r="J350" s="165"/>
      <c r="K350" s="165"/>
      <c r="L350" s="165"/>
      <c r="M350" s="165"/>
      <c r="N350" s="165"/>
      <c r="O350" s="165"/>
      <c r="P350" s="165"/>
      <c r="Q350" s="165"/>
      <c r="R350" s="163"/>
    </row>
    <row r="351" spans="1:18" ht="12">
      <c r="E351" s="165"/>
      <c r="F351" s="165"/>
      <c r="G351" s="165"/>
      <c r="H351" s="165"/>
      <c r="I351" s="165"/>
      <c r="J351" s="165"/>
      <c r="K351" s="165"/>
      <c r="L351" s="165"/>
      <c r="M351" s="165"/>
      <c r="N351" s="165"/>
      <c r="O351" s="165"/>
      <c r="P351" s="165"/>
      <c r="Q351" s="165"/>
      <c r="R351" s="163"/>
    </row>
    <row r="352" spans="1:18" ht="12">
      <c r="E352" s="165"/>
      <c r="F352" s="165"/>
      <c r="G352" s="165"/>
      <c r="H352" s="165"/>
      <c r="I352" s="165"/>
      <c r="J352" s="165"/>
      <c r="K352" s="165"/>
      <c r="L352" s="165"/>
      <c r="M352" s="165"/>
      <c r="N352" s="165"/>
      <c r="O352" s="165"/>
      <c r="P352" s="165"/>
      <c r="Q352" s="165"/>
      <c r="R352" s="163"/>
    </row>
    <row r="353" spans="5:18" ht="12">
      <c r="E353" s="165"/>
      <c r="F353" s="165"/>
      <c r="G353" s="165"/>
      <c r="H353" s="165"/>
      <c r="I353" s="165"/>
      <c r="J353" s="165"/>
      <c r="K353" s="165"/>
      <c r="L353" s="165"/>
      <c r="M353" s="165"/>
      <c r="N353" s="165"/>
      <c r="O353" s="165"/>
      <c r="P353" s="165"/>
      <c r="Q353" s="165"/>
      <c r="R353" s="163"/>
    </row>
    <row r="354" spans="5:18" ht="12">
      <c r="E354" s="165"/>
      <c r="F354" s="165"/>
      <c r="G354" s="165"/>
      <c r="H354" s="165"/>
      <c r="I354" s="165"/>
      <c r="J354" s="165"/>
      <c r="K354" s="165"/>
      <c r="L354" s="165"/>
      <c r="M354" s="165"/>
      <c r="N354" s="165"/>
      <c r="O354" s="165"/>
      <c r="P354" s="165"/>
      <c r="Q354" s="165"/>
      <c r="R354" s="163"/>
    </row>
    <row r="355" spans="5:18">
      <c r="E355" s="532"/>
      <c r="F355" s="532"/>
      <c r="G355" s="532"/>
      <c r="H355" s="532"/>
      <c r="I355" s="532"/>
      <c r="J355" s="532"/>
      <c r="K355" s="532"/>
      <c r="L355" s="532"/>
      <c r="M355" s="532"/>
      <c r="N355" s="532"/>
      <c r="O355" s="532"/>
      <c r="P355" s="532"/>
      <c r="Q355" s="532"/>
      <c r="R355" s="36"/>
    </row>
    <row r="356" spans="5:18">
      <c r="E356" s="532"/>
      <c r="F356" s="532"/>
      <c r="G356" s="532"/>
      <c r="H356" s="532"/>
      <c r="I356" s="532"/>
      <c r="J356" s="532"/>
      <c r="K356" s="532"/>
      <c r="L356" s="532"/>
      <c r="M356" s="532"/>
      <c r="N356" s="532"/>
      <c r="O356" s="532"/>
      <c r="P356" s="532"/>
      <c r="Q356" s="532"/>
      <c r="R356" s="36"/>
    </row>
    <row r="357" spans="5:18">
      <c r="E357" s="532"/>
      <c r="F357" s="532"/>
      <c r="G357" s="532"/>
      <c r="H357" s="532"/>
      <c r="I357" s="532"/>
      <c r="J357" s="532"/>
      <c r="K357" s="532"/>
      <c r="L357" s="532"/>
      <c r="M357" s="532"/>
      <c r="N357" s="532"/>
      <c r="O357" s="532"/>
      <c r="P357" s="532"/>
      <c r="Q357" s="532"/>
      <c r="R357" s="36"/>
    </row>
    <row r="358" spans="5:18">
      <c r="E358" s="532"/>
      <c r="F358" s="532"/>
      <c r="G358" s="532"/>
      <c r="H358" s="532"/>
      <c r="I358" s="532"/>
      <c r="J358" s="532"/>
      <c r="K358" s="532"/>
      <c r="L358" s="532"/>
      <c r="M358" s="532"/>
      <c r="N358" s="532"/>
      <c r="O358" s="532"/>
      <c r="P358" s="532"/>
      <c r="Q358" s="532"/>
      <c r="R358" s="36"/>
    </row>
    <row r="359" spans="5:18">
      <c r="E359" s="532"/>
      <c r="F359" s="532"/>
      <c r="G359" s="532"/>
      <c r="H359" s="532"/>
      <c r="I359" s="532"/>
      <c r="J359" s="532"/>
      <c r="K359" s="532"/>
      <c r="L359" s="532"/>
      <c r="M359" s="532"/>
      <c r="N359" s="532"/>
      <c r="O359" s="532"/>
      <c r="P359" s="532"/>
      <c r="Q359" s="532"/>
      <c r="R359" s="36"/>
    </row>
    <row r="360" spans="5:18">
      <c r="E360" s="532"/>
      <c r="F360" s="532"/>
      <c r="G360" s="532"/>
      <c r="H360" s="532"/>
      <c r="I360" s="532"/>
      <c r="J360" s="532"/>
      <c r="K360" s="532"/>
      <c r="L360" s="532"/>
      <c r="M360" s="532"/>
      <c r="N360" s="532"/>
      <c r="O360" s="532"/>
      <c r="P360" s="532"/>
      <c r="Q360" s="532"/>
      <c r="R360" s="36"/>
    </row>
    <row r="361" spans="5:18">
      <c r="E361" s="532"/>
      <c r="F361" s="532"/>
      <c r="G361" s="532"/>
      <c r="H361" s="532"/>
      <c r="I361" s="532"/>
      <c r="J361" s="532"/>
      <c r="K361" s="532"/>
      <c r="L361" s="532"/>
      <c r="M361" s="532"/>
      <c r="N361" s="532"/>
      <c r="O361" s="532"/>
      <c r="P361" s="532"/>
      <c r="Q361" s="532"/>
      <c r="R361" s="36"/>
    </row>
    <row r="362" spans="5:18">
      <c r="E362" s="532"/>
      <c r="F362" s="532"/>
      <c r="G362" s="532"/>
      <c r="H362" s="532"/>
      <c r="I362" s="532"/>
      <c r="J362" s="532"/>
      <c r="K362" s="532"/>
      <c r="L362" s="532"/>
      <c r="M362" s="532"/>
      <c r="N362" s="532"/>
      <c r="O362" s="532"/>
      <c r="P362" s="532"/>
      <c r="Q362" s="532"/>
      <c r="R362" s="36"/>
    </row>
    <row r="363" spans="5:18">
      <c r="E363" s="532"/>
      <c r="F363" s="532"/>
      <c r="G363" s="532"/>
      <c r="H363" s="532"/>
      <c r="I363" s="532"/>
      <c r="J363" s="532"/>
      <c r="K363" s="532"/>
      <c r="L363" s="532"/>
      <c r="M363" s="532"/>
      <c r="N363" s="532"/>
      <c r="O363" s="532"/>
      <c r="P363" s="532"/>
      <c r="Q363" s="532"/>
      <c r="R363" s="36"/>
    </row>
    <row r="364" spans="5:18">
      <c r="E364" s="532"/>
      <c r="F364" s="532"/>
      <c r="G364" s="532"/>
      <c r="H364" s="532"/>
      <c r="I364" s="532"/>
      <c r="J364" s="532"/>
      <c r="K364" s="532"/>
      <c r="L364" s="532"/>
      <c r="M364" s="532"/>
      <c r="N364" s="532"/>
      <c r="O364" s="532"/>
      <c r="P364" s="532"/>
      <c r="Q364" s="532"/>
      <c r="R364" s="36"/>
    </row>
    <row r="365" spans="5:18">
      <c r="E365" s="532"/>
      <c r="F365" s="532"/>
      <c r="G365" s="532"/>
      <c r="H365" s="532"/>
      <c r="I365" s="532"/>
      <c r="J365" s="532"/>
      <c r="K365" s="532"/>
      <c r="L365" s="532"/>
      <c r="M365" s="532"/>
      <c r="N365" s="532"/>
      <c r="O365" s="532"/>
      <c r="P365" s="532"/>
      <c r="Q365" s="532"/>
      <c r="R365" s="36"/>
    </row>
    <row r="366" spans="5:18">
      <c r="E366" s="532"/>
      <c r="F366" s="532"/>
      <c r="G366" s="532"/>
      <c r="H366" s="532"/>
      <c r="I366" s="532"/>
      <c r="J366" s="532"/>
      <c r="K366" s="532"/>
      <c r="L366" s="532"/>
      <c r="M366" s="532"/>
      <c r="N366" s="532"/>
      <c r="O366" s="532"/>
      <c r="P366" s="532"/>
      <c r="Q366" s="532"/>
      <c r="R366" s="36"/>
    </row>
    <row r="367" spans="5:18">
      <c r="E367" s="532"/>
      <c r="F367" s="532"/>
      <c r="G367" s="532"/>
      <c r="H367" s="532"/>
      <c r="I367" s="532"/>
      <c r="J367" s="532"/>
      <c r="K367" s="532"/>
      <c r="L367" s="532"/>
      <c r="M367" s="532"/>
      <c r="N367" s="532"/>
      <c r="O367" s="532"/>
      <c r="P367" s="532"/>
      <c r="Q367" s="532"/>
      <c r="R367" s="36"/>
    </row>
    <row r="368" spans="5:18">
      <c r="E368" s="532"/>
      <c r="F368" s="532"/>
      <c r="G368" s="532"/>
      <c r="H368" s="532"/>
      <c r="I368" s="532"/>
      <c r="J368" s="532"/>
      <c r="K368" s="532"/>
      <c r="L368" s="532"/>
      <c r="M368" s="532"/>
      <c r="N368" s="532"/>
      <c r="O368" s="532"/>
      <c r="P368" s="532"/>
      <c r="Q368" s="532"/>
      <c r="R368" s="36"/>
    </row>
    <row r="369" spans="5:18">
      <c r="E369" s="532"/>
      <c r="F369" s="532"/>
      <c r="G369" s="532"/>
      <c r="H369" s="532"/>
      <c r="I369" s="532"/>
      <c r="J369" s="532"/>
      <c r="K369" s="532"/>
      <c r="L369" s="532"/>
      <c r="M369" s="532"/>
      <c r="N369" s="532"/>
      <c r="O369" s="532"/>
      <c r="P369" s="532"/>
      <c r="Q369" s="532"/>
      <c r="R369" s="36"/>
    </row>
    <row r="370" spans="5:18">
      <c r="E370" s="532"/>
      <c r="F370" s="532"/>
      <c r="G370" s="532"/>
      <c r="H370" s="532"/>
      <c r="I370" s="532"/>
      <c r="J370" s="532"/>
      <c r="K370" s="532"/>
      <c r="L370" s="532"/>
      <c r="M370" s="532"/>
      <c r="N370" s="532"/>
      <c r="O370" s="532"/>
      <c r="P370" s="532"/>
      <c r="Q370" s="532"/>
      <c r="R370" s="36"/>
    </row>
    <row r="371" spans="5:18">
      <c r="E371" s="532"/>
      <c r="F371" s="532"/>
      <c r="G371" s="532"/>
      <c r="H371" s="532"/>
      <c r="I371" s="532"/>
      <c r="J371" s="532"/>
      <c r="K371" s="532"/>
      <c r="L371" s="532"/>
      <c r="M371" s="532"/>
      <c r="N371" s="532"/>
      <c r="O371" s="532"/>
      <c r="P371" s="532"/>
      <c r="Q371" s="532"/>
      <c r="R371" s="36"/>
    </row>
    <row r="372" spans="5:18">
      <c r="E372" s="532"/>
      <c r="F372" s="532"/>
      <c r="G372" s="532"/>
      <c r="H372" s="532"/>
      <c r="I372" s="532"/>
      <c r="J372" s="532"/>
      <c r="K372" s="532"/>
      <c r="L372" s="532"/>
      <c r="M372" s="532"/>
      <c r="N372" s="532"/>
      <c r="O372" s="532"/>
      <c r="P372" s="532"/>
      <c r="Q372" s="532"/>
      <c r="R372" s="36"/>
    </row>
    <row r="373" spans="5:18">
      <c r="E373" s="532"/>
      <c r="F373" s="532"/>
      <c r="G373" s="532"/>
      <c r="H373" s="532"/>
      <c r="I373" s="532"/>
      <c r="J373" s="532"/>
      <c r="K373" s="532"/>
      <c r="L373" s="532"/>
      <c r="M373" s="532"/>
      <c r="N373" s="532"/>
      <c r="O373" s="532"/>
      <c r="P373" s="532"/>
      <c r="Q373" s="532"/>
      <c r="R373" s="36"/>
    </row>
    <row r="374" spans="5:18">
      <c r="E374" s="532"/>
      <c r="F374" s="532"/>
      <c r="G374" s="532"/>
      <c r="H374" s="532"/>
      <c r="I374" s="532"/>
      <c r="J374" s="532"/>
      <c r="K374" s="532"/>
      <c r="L374" s="532"/>
      <c r="M374" s="532"/>
      <c r="N374" s="532"/>
      <c r="O374" s="532"/>
      <c r="P374" s="532"/>
      <c r="Q374" s="532"/>
      <c r="R374" s="36"/>
    </row>
    <row r="375" spans="5:18">
      <c r="E375" s="532"/>
      <c r="F375" s="532"/>
      <c r="G375" s="532"/>
      <c r="H375" s="532"/>
      <c r="I375" s="532"/>
      <c r="J375" s="532"/>
      <c r="K375" s="532"/>
      <c r="L375" s="532"/>
      <c r="M375" s="532"/>
      <c r="N375" s="532"/>
      <c r="O375" s="532"/>
      <c r="P375" s="532"/>
      <c r="Q375" s="532"/>
      <c r="R375" s="36"/>
    </row>
    <row r="376" spans="5:18">
      <c r="E376" s="532"/>
      <c r="F376" s="532"/>
      <c r="G376" s="532"/>
      <c r="H376" s="532"/>
      <c r="I376" s="532"/>
      <c r="J376" s="532"/>
      <c r="K376" s="532"/>
      <c r="L376" s="532"/>
      <c r="M376" s="532"/>
      <c r="N376" s="532"/>
      <c r="O376" s="532"/>
      <c r="P376" s="532"/>
      <c r="Q376" s="532"/>
      <c r="R376" s="36"/>
    </row>
    <row r="377" spans="5:18">
      <c r="E377" s="532"/>
      <c r="F377" s="532"/>
      <c r="G377" s="532"/>
      <c r="H377" s="532"/>
      <c r="I377" s="532"/>
      <c r="J377" s="532"/>
      <c r="K377" s="532"/>
      <c r="L377" s="532"/>
      <c r="M377" s="532"/>
      <c r="N377" s="532"/>
      <c r="O377" s="532"/>
      <c r="P377" s="532"/>
      <c r="Q377" s="532"/>
      <c r="R377" s="36"/>
    </row>
    <row r="378" spans="5:18">
      <c r="E378" s="532"/>
      <c r="F378" s="532"/>
      <c r="G378" s="532"/>
      <c r="H378" s="532"/>
      <c r="I378" s="532"/>
      <c r="J378" s="532"/>
      <c r="K378" s="532"/>
      <c r="L378" s="532"/>
      <c r="M378" s="532"/>
      <c r="N378" s="532"/>
      <c r="O378" s="532"/>
      <c r="P378" s="532"/>
      <c r="Q378" s="532"/>
      <c r="R378" s="36"/>
    </row>
    <row r="379" spans="5:18">
      <c r="E379" s="532"/>
      <c r="F379" s="532"/>
      <c r="G379" s="532"/>
      <c r="H379" s="532"/>
      <c r="I379" s="532"/>
      <c r="J379" s="532"/>
      <c r="K379" s="532"/>
      <c r="L379" s="532"/>
      <c r="M379" s="532"/>
      <c r="N379" s="532"/>
      <c r="O379" s="532"/>
      <c r="P379" s="532"/>
      <c r="Q379" s="532"/>
      <c r="R379" s="36"/>
    </row>
    <row r="380" spans="5:18">
      <c r="E380" s="532"/>
      <c r="F380" s="532"/>
      <c r="G380" s="532"/>
      <c r="H380" s="532"/>
      <c r="I380" s="532"/>
      <c r="J380" s="532"/>
      <c r="K380" s="532"/>
      <c r="L380" s="532"/>
      <c r="M380" s="532"/>
      <c r="N380" s="532"/>
      <c r="O380" s="532"/>
      <c r="P380" s="532"/>
      <c r="Q380" s="532"/>
      <c r="R380" s="36"/>
    </row>
    <row r="381" spans="5:18">
      <c r="E381" s="532"/>
      <c r="F381" s="532"/>
      <c r="G381" s="532"/>
      <c r="H381" s="532"/>
      <c r="I381" s="532"/>
      <c r="J381" s="532"/>
      <c r="K381" s="532"/>
      <c r="L381" s="532"/>
      <c r="M381" s="532"/>
      <c r="N381" s="532"/>
      <c r="O381" s="532"/>
      <c r="P381" s="532"/>
      <c r="Q381" s="532"/>
      <c r="R381" s="36"/>
    </row>
    <row r="382" spans="5:18">
      <c r="E382" s="532"/>
      <c r="F382" s="532"/>
      <c r="G382" s="532"/>
      <c r="H382" s="532"/>
      <c r="I382" s="532"/>
      <c r="J382" s="532"/>
      <c r="K382" s="532"/>
      <c r="L382" s="532"/>
      <c r="M382" s="532"/>
      <c r="N382" s="532"/>
      <c r="O382" s="532"/>
      <c r="P382" s="532"/>
      <c r="Q382" s="532"/>
      <c r="R382" s="36"/>
    </row>
    <row r="383" spans="5:18">
      <c r="E383" s="532"/>
      <c r="F383" s="532"/>
      <c r="G383" s="532"/>
      <c r="H383" s="532"/>
      <c r="I383" s="532"/>
      <c r="J383" s="532"/>
      <c r="K383" s="532"/>
      <c r="L383" s="532"/>
      <c r="M383" s="532"/>
      <c r="N383" s="532"/>
      <c r="O383" s="532"/>
      <c r="P383" s="532"/>
      <c r="Q383" s="532"/>
      <c r="R383" s="36"/>
    </row>
    <row r="384" spans="5:18">
      <c r="E384" s="532"/>
      <c r="F384" s="532"/>
      <c r="G384" s="532"/>
      <c r="H384" s="532"/>
      <c r="I384" s="532"/>
      <c r="J384" s="532"/>
      <c r="K384" s="532"/>
      <c r="L384" s="532"/>
      <c r="M384" s="532"/>
      <c r="N384" s="532"/>
      <c r="O384" s="532"/>
      <c r="P384" s="532"/>
      <c r="Q384" s="532"/>
      <c r="R384" s="36"/>
    </row>
    <row r="385" spans="5:18">
      <c r="E385" s="532"/>
      <c r="F385" s="532"/>
      <c r="G385" s="532"/>
      <c r="H385" s="532"/>
      <c r="I385" s="532"/>
      <c r="J385" s="532"/>
      <c r="K385" s="532"/>
      <c r="L385" s="532"/>
      <c r="M385" s="532"/>
      <c r="N385" s="532"/>
      <c r="O385" s="532"/>
      <c r="P385" s="532"/>
      <c r="Q385" s="532"/>
      <c r="R385" s="36"/>
    </row>
    <row r="386" spans="5:18">
      <c r="E386" s="532"/>
      <c r="F386" s="532"/>
      <c r="G386" s="532"/>
      <c r="H386" s="532"/>
      <c r="I386" s="532"/>
      <c r="J386" s="532"/>
      <c r="K386" s="532"/>
      <c r="L386" s="532"/>
      <c r="M386" s="532"/>
      <c r="N386" s="532"/>
      <c r="O386" s="532"/>
      <c r="P386" s="532"/>
      <c r="Q386" s="532"/>
      <c r="R386" s="36"/>
    </row>
    <row r="387" spans="5:18">
      <c r="E387" s="532"/>
      <c r="F387" s="532"/>
      <c r="G387" s="532"/>
      <c r="H387" s="532"/>
      <c r="I387" s="532"/>
      <c r="J387" s="532"/>
      <c r="K387" s="532"/>
      <c r="L387" s="532"/>
      <c r="M387" s="532"/>
      <c r="N387" s="532"/>
      <c r="O387" s="532"/>
      <c r="P387" s="532"/>
      <c r="Q387" s="532"/>
      <c r="R387" s="36"/>
    </row>
    <row r="388" spans="5:18">
      <c r="E388" s="532"/>
      <c r="F388" s="532"/>
      <c r="G388" s="532"/>
      <c r="H388" s="532"/>
      <c r="I388" s="532"/>
      <c r="J388" s="532"/>
      <c r="K388" s="532"/>
      <c r="L388" s="532"/>
      <c r="M388" s="532"/>
      <c r="N388" s="532"/>
      <c r="O388" s="532"/>
      <c r="P388" s="532"/>
      <c r="Q388" s="532"/>
      <c r="R388" s="36"/>
    </row>
    <row r="389" spans="5:18">
      <c r="E389" s="532"/>
      <c r="F389" s="532"/>
      <c r="G389" s="532"/>
      <c r="H389" s="532"/>
      <c r="I389" s="532"/>
      <c r="J389" s="532"/>
      <c r="K389" s="532"/>
      <c r="L389" s="532"/>
      <c r="M389" s="532"/>
      <c r="N389" s="532"/>
      <c r="O389" s="532"/>
      <c r="P389" s="532"/>
      <c r="Q389" s="532"/>
      <c r="R389" s="36"/>
    </row>
    <row r="390" spans="5:18">
      <c r="E390" s="532"/>
      <c r="F390" s="532"/>
      <c r="G390" s="532"/>
      <c r="H390" s="532"/>
      <c r="I390" s="532"/>
      <c r="J390" s="532"/>
      <c r="K390" s="532"/>
      <c r="L390" s="532"/>
      <c r="M390" s="532"/>
      <c r="N390" s="532"/>
      <c r="O390" s="532"/>
      <c r="P390" s="532"/>
      <c r="Q390" s="532"/>
      <c r="R390" s="36"/>
    </row>
    <row r="391" spans="5:18">
      <c r="E391" s="532"/>
      <c r="F391" s="532"/>
      <c r="G391" s="532"/>
      <c r="H391" s="532"/>
      <c r="I391" s="532"/>
      <c r="J391" s="532"/>
      <c r="K391" s="532"/>
      <c r="L391" s="532"/>
      <c r="M391" s="532"/>
      <c r="N391" s="532"/>
      <c r="O391" s="532"/>
      <c r="P391" s="532"/>
      <c r="Q391" s="532"/>
      <c r="R391" s="36"/>
    </row>
    <row r="392" spans="5:18">
      <c r="E392" s="532"/>
      <c r="F392" s="532"/>
      <c r="G392" s="532"/>
      <c r="H392" s="532"/>
      <c r="I392" s="532"/>
      <c r="J392" s="532"/>
      <c r="K392" s="532"/>
      <c r="L392" s="532"/>
      <c r="M392" s="532"/>
      <c r="N392" s="532"/>
      <c r="O392" s="532"/>
      <c r="P392" s="532"/>
      <c r="Q392" s="532"/>
      <c r="R392" s="36"/>
    </row>
    <row r="393" spans="5:18">
      <c r="E393" s="532"/>
      <c r="F393" s="532"/>
      <c r="G393" s="532"/>
      <c r="H393" s="532"/>
      <c r="I393" s="532"/>
      <c r="J393" s="532"/>
      <c r="K393" s="532"/>
      <c r="L393" s="532"/>
      <c r="M393" s="532"/>
      <c r="N393" s="532"/>
      <c r="O393" s="532"/>
      <c r="P393" s="532"/>
      <c r="Q393" s="532"/>
      <c r="R393" s="36"/>
    </row>
    <row r="394" spans="5:18">
      <c r="E394" s="532"/>
      <c r="F394" s="532"/>
      <c r="G394" s="532"/>
      <c r="H394" s="532"/>
      <c r="I394" s="532"/>
      <c r="J394" s="532"/>
      <c r="K394" s="532"/>
      <c r="L394" s="532"/>
      <c r="M394" s="532"/>
      <c r="N394" s="532"/>
      <c r="O394" s="532"/>
      <c r="P394" s="532"/>
      <c r="Q394" s="532"/>
      <c r="R394" s="36"/>
    </row>
    <row r="395" spans="5:18">
      <c r="E395" s="532"/>
      <c r="F395" s="532"/>
      <c r="G395" s="532"/>
      <c r="H395" s="532"/>
      <c r="I395" s="532"/>
      <c r="J395" s="532"/>
      <c r="K395" s="532"/>
      <c r="L395" s="532"/>
      <c r="M395" s="532"/>
      <c r="N395" s="532"/>
      <c r="O395" s="532"/>
      <c r="P395" s="532"/>
      <c r="Q395" s="532"/>
      <c r="R395" s="36"/>
    </row>
    <row r="396" spans="5:18">
      <c r="E396" s="532"/>
      <c r="F396" s="532"/>
      <c r="G396" s="532"/>
      <c r="H396" s="532"/>
      <c r="I396" s="532"/>
      <c r="J396" s="532"/>
      <c r="K396" s="532"/>
      <c r="L396" s="532"/>
      <c r="M396" s="532"/>
      <c r="N396" s="532"/>
      <c r="O396" s="532"/>
      <c r="P396" s="532"/>
      <c r="Q396" s="532"/>
      <c r="R396" s="36"/>
    </row>
    <row r="397" spans="5:18">
      <c r="E397" s="532"/>
      <c r="F397" s="532"/>
      <c r="G397" s="532"/>
      <c r="H397" s="532"/>
      <c r="I397" s="532"/>
      <c r="J397" s="532"/>
      <c r="K397" s="532"/>
      <c r="L397" s="532"/>
      <c r="M397" s="532"/>
      <c r="N397" s="532"/>
      <c r="O397" s="532"/>
      <c r="P397" s="532"/>
      <c r="Q397" s="532"/>
      <c r="R397" s="36"/>
    </row>
    <row r="398" spans="5:18">
      <c r="E398" s="532"/>
      <c r="F398" s="532"/>
      <c r="G398" s="532"/>
      <c r="H398" s="532"/>
      <c r="I398" s="532"/>
      <c r="J398" s="532"/>
      <c r="K398" s="532"/>
      <c r="L398" s="532"/>
      <c r="M398" s="532"/>
      <c r="N398" s="532"/>
      <c r="O398" s="532"/>
      <c r="P398" s="532"/>
      <c r="Q398" s="532"/>
      <c r="R398" s="36"/>
    </row>
    <row r="399" spans="5:18">
      <c r="E399" s="532"/>
      <c r="F399" s="532"/>
      <c r="G399" s="532"/>
      <c r="H399" s="532"/>
      <c r="I399" s="532"/>
      <c r="J399" s="532"/>
      <c r="K399" s="532"/>
      <c r="L399" s="532"/>
      <c r="M399" s="532"/>
      <c r="N399" s="532"/>
      <c r="O399" s="532"/>
      <c r="P399" s="532"/>
      <c r="Q399" s="532"/>
      <c r="R399" s="36"/>
    </row>
    <row r="400" spans="5:18">
      <c r="E400" s="532"/>
      <c r="F400" s="532"/>
      <c r="G400" s="532"/>
      <c r="H400" s="532"/>
      <c r="I400" s="532"/>
      <c r="J400" s="532"/>
      <c r="K400" s="532"/>
      <c r="L400" s="532"/>
      <c r="M400" s="532"/>
      <c r="N400" s="532"/>
      <c r="O400" s="532"/>
      <c r="P400" s="532"/>
      <c r="Q400" s="532"/>
      <c r="R400" s="36"/>
    </row>
    <row r="401" spans="5:18">
      <c r="E401" s="532"/>
      <c r="F401" s="532"/>
      <c r="G401" s="532"/>
      <c r="H401" s="532"/>
      <c r="I401" s="532"/>
      <c r="J401" s="532"/>
      <c r="K401" s="532"/>
      <c r="L401" s="532"/>
      <c r="M401" s="532"/>
      <c r="N401" s="532"/>
      <c r="O401" s="532"/>
      <c r="P401" s="532"/>
      <c r="Q401" s="532"/>
      <c r="R401" s="36"/>
    </row>
    <row r="402" spans="5:18">
      <c r="E402" s="532"/>
      <c r="F402" s="532"/>
      <c r="G402" s="532"/>
      <c r="H402" s="532"/>
      <c r="I402" s="532"/>
      <c r="J402" s="532"/>
      <c r="K402" s="532"/>
      <c r="L402" s="532"/>
      <c r="M402" s="532"/>
      <c r="N402" s="532"/>
      <c r="O402" s="532"/>
      <c r="P402" s="532"/>
      <c r="Q402" s="532"/>
      <c r="R402" s="36"/>
    </row>
    <row r="403" spans="5:18">
      <c r="E403" s="532"/>
      <c r="F403" s="532"/>
      <c r="G403" s="532"/>
      <c r="H403" s="532"/>
      <c r="I403" s="532"/>
      <c r="J403" s="532"/>
      <c r="K403" s="532"/>
      <c r="L403" s="532"/>
      <c r="M403" s="532"/>
      <c r="N403" s="532"/>
      <c r="O403" s="532"/>
      <c r="P403" s="532"/>
      <c r="Q403" s="532"/>
      <c r="R403" s="36"/>
    </row>
    <row r="404" spans="5:18">
      <c r="E404" s="532"/>
      <c r="F404" s="532"/>
      <c r="G404" s="532"/>
      <c r="H404" s="532"/>
      <c r="I404" s="532"/>
      <c r="J404" s="532"/>
      <c r="K404" s="532"/>
      <c r="L404" s="532"/>
      <c r="M404" s="532"/>
      <c r="N404" s="532"/>
      <c r="O404" s="532"/>
      <c r="P404" s="532"/>
      <c r="Q404" s="532"/>
      <c r="R404" s="36"/>
    </row>
    <row r="405" spans="5:18">
      <c r="E405" s="532"/>
      <c r="F405" s="532"/>
      <c r="G405" s="532"/>
      <c r="H405" s="532"/>
      <c r="I405" s="532"/>
      <c r="J405" s="532"/>
      <c r="K405" s="532"/>
      <c r="L405" s="532"/>
      <c r="M405" s="532"/>
      <c r="N405" s="532"/>
      <c r="O405" s="532"/>
      <c r="P405" s="532"/>
      <c r="Q405" s="532"/>
      <c r="R405" s="36"/>
    </row>
  </sheetData>
  <mergeCells count="23">
    <mergeCell ref="A5:A7"/>
    <mergeCell ref="B5:B7"/>
    <mergeCell ref="C5:C7"/>
    <mergeCell ref="I5:I7"/>
    <mergeCell ref="R5:R7"/>
    <mergeCell ref="L6:L7"/>
    <mergeCell ref="O6:O7"/>
    <mergeCell ref="Q6:Q7"/>
    <mergeCell ref="J6:J7"/>
    <mergeCell ref="J5:L5"/>
    <mergeCell ref="M5:M7"/>
    <mergeCell ref="N5:N7"/>
    <mergeCell ref="O5:Q5"/>
    <mergeCell ref="P6:P7"/>
    <mergeCell ref="K6:K7"/>
    <mergeCell ref="F6:F7"/>
    <mergeCell ref="B2:H2"/>
    <mergeCell ref="B3:H3"/>
    <mergeCell ref="D5:D7"/>
    <mergeCell ref="E5:G5"/>
    <mergeCell ref="H5:H7"/>
    <mergeCell ref="E6:E7"/>
    <mergeCell ref="G6:G7"/>
  </mergeCells>
  <phoneticPr fontId="29" type="noConversion"/>
  <pageMargins left="0.27559055118110237" right="0.27559055118110237" top="0.39370078740157483" bottom="0.31496062992125984" header="0.23622047244094491" footer="0.15748031496062992"/>
  <pageSetup paperSize="9" scale="60" orientation="landscape" r:id="rId1"/>
  <headerFooter alignWithMargins="0">
    <oddFooter>&amp;L&amp;F&amp;C&amp;P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FFC000"/>
  </sheetPr>
  <dimension ref="A1:R596"/>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A264" sqref="A264:B278"/>
    </sheetView>
  </sheetViews>
  <sheetFormatPr defaultColWidth="9.109375" defaultRowHeight="10.199999999999999"/>
  <cols>
    <col min="1" max="1" width="11.44140625" style="21" bestFit="1" customWidth="1"/>
    <col min="2" max="2" width="43.6640625" style="1" customWidth="1"/>
    <col min="3" max="3" width="11.33203125" style="22" customWidth="1"/>
    <col min="4" max="4" width="10.88671875" style="21"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577"/>
      <c r="J2" s="577"/>
      <c r="K2" s="577"/>
      <c r="L2" s="577"/>
      <c r="M2" s="220"/>
      <c r="N2" s="577"/>
      <c r="O2" s="577"/>
      <c r="P2" s="577"/>
      <c r="Q2" s="577"/>
      <c r="R2" s="220"/>
    </row>
    <row r="3" spans="1:18" s="1" customFormat="1" ht="12.75" customHeight="1">
      <c r="A3" s="221"/>
      <c r="B3" s="1400" t="s">
        <v>489</v>
      </c>
      <c r="C3" s="1400"/>
      <c r="D3" s="1400"/>
      <c r="E3" s="1400"/>
      <c r="F3" s="1400"/>
      <c r="G3" s="1400"/>
      <c r="H3" s="1400"/>
      <c r="I3" s="578"/>
      <c r="J3" s="578"/>
      <c r="K3" s="578"/>
      <c r="L3" s="578"/>
      <c r="M3" s="220"/>
      <c r="N3" s="578"/>
      <c r="O3" s="578"/>
      <c r="P3" s="578"/>
      <c r="Q3" s="578"/>
      <c r="R3" s="220"/>
    </row>
    <row r="4" spans="1:18" s="1" customFormat="1" ht="13.2">
      <c r="A4" s="221"/>
      <c r="B4" s="578"/>
      <c r="C4" s="222"/>
      <c r="D4" s="578"/>
      <c r="E4" s="578"/>
      <c r="F4" s="578"/>
      <c r="G4" s="578"/>
      <c r="H4" s="578"/>
      <c r="I4" s="578"/>
      <c r="J4" s="578"/>
      <c r="K4" s="578"/>
      <c r="L4" s="578"/>
      <c r="M4" s="578"/>
      <c r="N4" s="578"/>
      <c r="O4" s="578"/>
      <c r="P4" s="578"/>
      <c r="Q4" s="578"/>
      <c r="R4" s="578"/>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8"/>
      <c r="B9" s="392" t="s">
        <v>46</v>
      </c>
      <c r="C9" s="387"/>
      <c r="D9" s="387"/>
      <c r="E9" s="226"/>
      <c r="F9" s="226"/>
      <c r="G9" s="226"/>
      <c r="H9" s="226"/>
      <c r="I9" s="365"/>
      <c r="J9" s="226"/>
      <c r="K9" s="226"/>
      <c r="L9" s="226"/>
      <c r="M9" s="226"/>
      <c r="N9" s="365"/>
      <c r="O9" s="226"/>
      <c r="P9" s="226"/>
      <c r="Q9" s="226"/>
      <c r="R9" s="226"/>
    </row>
    <row r="10" spans="1:18" s="4" customFormat="1" ht="20.399999999999999">
      <c r="A10" s="129" t="s">
        <v>201</v>
      </c>
      <c r="B10" s="123" t="s">
        <v>88</v>
      </c>
      <c r="C10" s="200">
        <v>71265</v>
      </c>
      <c r="D10" s="200">
        <v>71265</v>
      </c>
      <c r="E10" s="228">
        <f>E11+E12+E14+E32</f>
        <v>0</v>
      </c>
      <c r="F10" s="228">
        <f t="shared" ref="F10:G10" si="0">F11+F12+F14+F32</f>
        <v>0</v>
      </c>
      <c r="G10" s="228">
        <f t="shared" si="0"/>
        <v>0</v>
      </c>
      <c r="H10" s="229">
        <f t="shared" ref="H10:H73" si="1">SUM(D10:G10)</f>
        <v>71265</v>
      </c>
      <c r="I10" s="228">
        <v>71265</v>
      </c>
      <c r="J10" s="228">
        <f>J11+J12+J14+J32</f>
        <v>0</v>
      </c>
      <c r="K10" s="228">
        <f t="shared" ref="K10:L10" si="2">K11+K12+K14+K32</f>
        <v>0</v>
      </c>
      <c r="L10" s="228">
        <f t="shared" si="2"/>
        <v>0</v>
      </c>
      <c r="M10" s="229">
        <f t="shared" ref="M10:M73" si="3">SUM(I10:L10)</f>
        <v>71265</v>
      </c>
      <c r="N10" s="228">
        <v>71265</v>
      </c>
      <c r="O10" s="228">
        <f>O11+O12+O14+O32</f>
        <v>0</v>
      </c>
      <c r="P10" s="228">
        <f t="shared" ref="P10:Q10" si="4">P11+P12+P14+P32</f>
        <v>0</v>
      </c>
      <c r="Q10" s="228">
        <f t="shared" si="4"/>
        <v>0</v>
      </c>
      <c r="R10" s="229">
        <f t="shared" ref="R10:R73" si="5">SUM(N10:Q10)</f>
        <v>71265</v>
      </c>
    </row>
    <row r="11" spans="1:18" ht="24" hidden="1" customHeight="1">
      <c r="A11" s="130" t="s">
        <v>177</v>
      </c>
      <c r="B11" s="124" t="s">
        <v>90</v>
      </c>
      <c r="C11" s="98"/>
      <c r="D11" s="98">
        <v>0</v>
      </c>
      <c r="E11" s="231"/>
      <c r="F11" s="231"/>
      <c r="G11" s="231"/>
      <c r="H11" s="232">
        <f t="shared" si="1"/>
        <v>0</v>
      </c>
      <c r="I11" s="231">
        <v>0</v>
      </c>
      <c r="J11" s="231"/>
      <c r="K11" s="231"/>
      <c r="L11" s="231"/>
      <c r="M11" s="232">
        <f t="shared" si="3"/>
        <v>0</v>
      </c>
      <c r="N11" s="231">
        <v>0</v>
      </c>
      <c r="O11" s="231"/>
      <c r="P11" s="231"/>
      <c r="Q11" s="231"/>
      <c r="R11" s="232">
        <f t="shared" si="5"/>
        <v>0</v>
      </c>
    </row>
    <row r="12" spans="1:18" ht="12" hidden="1" customHeight="1">
      <c r="A12" s="130" t="s">
        <v>91</v>
      </c>
      <c r="B12" s="124" t="s">
        <v>92</v>
      </c>
      <c r="C12" s="98"/>
      <c r="D12" s="98">
        <v>0</v>
      </c>
      <c r="E12" s="231"/>
      <c r="F12" s="231"/>
      <c r="G12" s="231"/>
      <c r="H12" s="232">
        <f t="shared" si="1"/>
        <v>0</v>
      </c>
      <c r="I12" s="231">
        <v>0</v>
      </c>
      <c r="J12" s="231"/>
      <c r="K12" s="231"/>
      <c r="L12" s="231"/>
      <c r="M12" s="232">
        <f t="shared" si="3"/>
        <v>0</v>
      </c>
      <c r="N12" s="231">
        <v>0</v>
      </c>
      <c r="O12" s="231"/>
      <c r="P12" s="231"/>
      <c r="Q12" s="231"/>
      <c r="R12" s="232">
        <f t="shared" si="5"/>
        <v>0</v>
      </c>
    </row>
    <row r="13" spans="1:18" ht="12" hidden="1" customHeight="1">
      <c r="A13" s="131">
        <v>21210</v>
      </c>
      <c r="B13" s="125" t="s">
        <v>93</v>
      </c>
      <c r="C13" s="98"/>
      <c r="D13" s="98">
        <v>0</v>
      </c>
      <c r="E13" s="231"/>
      <c r="F13" s="231"/>
      <c r="G13" s="231"/>
      <c r="H13" s="232">
        <f t="shared" si="1"/>
        <v>0</v>
      </c>
      <c r="I13" s="231">
        <v>0</v>
      </c>
      <c r="J13" s="231"/>
      <c r="K13" s="231"/>
      <c r="L13" s="231"/>
      <c r="M13" s="232">
        <f t="shared" si="3"/>
        <v>0</v>
      </c>
      <c r="N13" s="231">
        <v>0</v>
      </c>
      <c r="O13" s="231"/>
      <c r="P13" s="231"/>
      <c r="Q13" s="231"/>
      <c r="R13" s="232">
        <f t="shared" si="5"/>
        <v>0</v>
      </c>
    </row>
    <row r="14" spans="1:18" ht="21" hidden="1" customHeight="1">
      <c r="A14" s="130" t="s">
        <v>178</v>
      </c>
      <c r="B14" s="124" t="s">
        <v>94</v>
      </c>
      <c r="C14" s="170">
        <v>0</v>
      </c>
      <c r="D14" s="170">
        <v>0</v>
      </c>
      <c r="E14" s="233">
        <f>E15+E21</f>
        <v>0</v>
      </c>
      <c r="F14" s="233">
        <f t="shared" ref="F14:G14" si="6">F15+F21</f>
        <v>0</v>
      </c>
      <c r="G14" s="233">
        <f t="shared" si="6"/>
        <v>0</v>
      </c>
      <c r="H14" s="232">
        <f t="shared" si="1"/>
        <v>0</v>
      </c>
      <c r="I14" s="233">
        <v>0</v>
      </c>
      <c r="J14" s="233">
        <f>J15+J21</f>
        <v>0</v>
      </c>
      <c r="K14" s="233">
        <f t="shared" ref="K14:L14" si="7">K15+K21</f>
        <v>0</v>
      </c>
      <c r="L14" s="233">
        <f t="shared" si="7"/>
        <v>0</v>
      </c>
      <c r="M14" s="232">
        <f t="shared" si="3"/>
        <v>0</v>
      </c>
      <c r="N14" s="233">
        <v>0</v>
      </c>
      <c r="O14" s="233">
        <f>O15+O21</f>
        <v>0</v>
      </c>
      <c r="P14" s="233">
        <f t="shared" ref="P14:Q14" si="8">P15+P21</f>
        <v>0</v>
      </c>
      <c r="Q14" s="233">
        <f t="shared" si="8"/>
        <v>0</v>
      </c>
      <c r="R14" s="232">
        <f t="shared" si="5"/>
        <v>0</v>
      </c>
    </row>
    <row r="15" spans="1:18" ht="12" hidden="1" customHeight="1">
      <c r="A15" s="132">
        <v>18000</v>
      </c>
      <c r="B15" s="125" t="s">
        <v>95</v>
      </c>
      <c r="C15" s="170">
        <v>0</v>
      </c>
      <c r="D15" s="170">
        <v>0</v>
      </c>
      <c r="E15" s="233">
        <f t="shared" ref="E15:L16" si="9">E16</f>
        <v>0</v>
      </c>
      <c r="F15" s="233">
        <f t="shared" si="9"/>
        <v>0</v>
      </c>
      <c r="G15" s="233">
        <f t="shared" si="9"/>
        <v>0</v>
      </c>
      <c r="H15" s="232">
        <f t="shared" si="1"/>
        <v>0</v>
      </c>
      <c r="I15" s="233">
        <v>0</v>
      </c>
      <c r="J15" s="233">
        <f t="shared" si="9"/>
        <v>0</v>
      </c>
      <c r="K15" s="233">
        <f t="shared" si="9"/>
        <v>0</v>
      </c>
      <c r="L15" s="233">
        <f t="shared" si="9"/>
        <v>0</v>
      </c>
      <c r="M15" s="232">
        <f t="shared" si="3"/>
        <v>0</v>
      </c>
      <c r="N15" s="233">
        <v>0</v>
      </c>
      <c r="O15" s="233">
        <f t="shared" ref="O15:Q16" si="10">O16</f>
        <v>0</v>
      </c>
      <c r="P15" s="233">
        <f t="shared" si="10"/>
        <v>0</v>
      </c>
      <c r="Q15" s="233">
        <f t="shared" si="10"/>
        <v>0</v>
      </c>
      <c r="R15" s="232">
        <f t="shared" si="5"/>
        <v>0</v>
      </c>
    </row>
    <row r="16" spans="1:18" ht="12" hidden="1" customHeight="1">
      <c r="A16" s="132">
        <v>18100</v>
      </c>
      <c r="B16" s="125" t="s">
        <v>96</v>
      </c>
      <c r="C16" s="170">
        <v>0</v>
      </c>
      <c r="D16" s="170">
        <v>0</v>
      </c>
      <c r="E16" s="233">
        <f>E17</f>
        <v>0</v>
      </c>
      <c r="F16" s="233">
        <f t="shared" si="9"/>
        <v>0</v>
      </c>
      <c r="G16" s="233">
        <f t="shared" si="9"/>
        <v>0</v>
      </c>
      <c r="H16" s="232">
        <f t="shared" si="1"/>
        <v>0</v>
      </c>
      <c r="I16" s="233">
        <v>0</v>
      </c>
      <c r="J16" s="233">
        <f>J17</f>
        <v>0</v>
      </c>
      <c r="K16" s="233">
        <f t="shared" si="9"/>
        <v>0</v>
      </c>
      <c r="L16" s="233">
        <f t="shared" si="9"/>
        <v>0</v>
      </c>
      <c r="M16" s="232">
        <f t="shared" si="3"/>
        <v>0</v>
      </c>
      <c r="N16" s="233">
        <v>0</v>
      </c>
      <c r="O16" s="233">
        <f>O17</f>
        <v>0</v>
      </c>
      <c r="P16" s="233">
        <f t="shared" si="10"/>
        <v>0</v>
      </c>
      <c r="Q16" s="233">
        <f t="shared" si="10"/>
        <v>0</v>
      </c>
      <c r="R16" s="232">
        <f t="shared" si="5"/>
        <v>0</v>
      </c>
    </row>
    <row r="17" spans="1:18" s="4" customFormat="1" ht="24" hidden="1" customHeight="1">
      <c r="A17" s="133">
        <v>18130</v>
      </c>
      <c r="B17" s="172" t="s">
        <v>159</v>
      </c>
      <c r="C17" s="170">
        <v>0</v>
      </c>
      <c r="D17" s="170">
        <v>0</v>
      </c>
      <c r="E17" s="233">
        <f>SUM(E18:E20)</f>
        <v>0</v>
      </c>
      <c r="F17" s="233">
        <f t="shared" ref="F17:G17" si="11">SUM(F18:F20)</f>
        <v>0</v>
      </c>
      <c r="G17" s="233">
        <f t="shared" si="11"/>
        <v>0</v>
      </c>
      <c r="H17" s="232">
        <f t="shared" si="1"/>
        <v>0</v>
      </c>
      <c r="I17" s="233">
        <v>0</v>
      </c>
      <c r="J17" s="233">
        <f>SUM(J18:J20)</f>
        <v>0</v>
      </c>
      <c r="K17" s="233">
        <f t="shared" ref="K17:L17" si="12">SUM(K18:K20)</f>
        <v>0</v>
      </c>
      <c r="L17" s="233">
        <f t="shared" si="12"/>
        <v>0</v>
      </c>
      <c r="M17" s="232">
        <f t="shared" si="3"/>
        <v>0</v>
      </c>
      <c r="N17" s="233">
        <v>0</v>
      </c>
      <c r="O17" s="233">
        <f>SUM(O18:O20)</f>
        <v>0</v>
      </c>
      <c r="P17" s="233">
        <f t="shared" ref="P17:Q17" si="13">SUM(P18:P20)</f>
        <v>0</v>
      </c>
      <c r="Q17" s="233">
        <f t="shared" si="13"/>
        <v>0</v>
      </c>
      <c r="R17" s="232">
        <f t="shared" si="5"/>
        <v>0</v>
      </c>
    </row>
    <row r="18" spans="1:18" s="6" customFormat="1" ht="24" hidden="1" customHeight="1">
      <c r="A18" s="134">
        <v>18131</v>
      </c>
      <c r="B18" s="172" t="s">
        <v>160</v>
      </c>
      <c r="C18" s="170"/>
      <c r="D18" s="170">
        <v>0</v>
      </c>
      <c r="E18" s="233"/>
      <c r="F18" s="233"/>
      <c r="G18" s="233"/>
      <c r="H18" s="232">
        <f t="shared" si="1"/>
        <v>0</v>
      </c>
      <c r="I18" s="233">
        <v>0</v>
      </c>
      <c r="J18" s="233"/>
      <c r="K18" s="233"/>
      <c r="L18" s="233"/>
      <c r="M18" s="232">
        <f t="shared" si="3"/>
        <v>0</v>
      </c>
      <c r="N18" s="233">
        <v>0</v>
      </c>
      <c r="O18" s="233"/>
      <c r="P18" s="233"/>
      <c r="Q18" s="233"/>
      <c r="R18" s="232">
        <f t="shared" si="5"/>
        <v>0</v>
      </c>
    </row>
    <row r="19" spans="1:18" s="6" customFormat="1" ht="24" hidden="1" customHeight="1">
      <c r="A19" s="134">
        <v>18132</v>
      </c>
      <c r="B19" s="172" t="s">
        <v>169</v>
      </c>
      <c r="C19" s="170"/>
      <c r="D19" s="170">
        <v>0</v>
      </c>
      <c r="E19" s="233"/>
      <c r="F19" s="233"/>
      <c r="G19" s="233"/>
      <c r="H19" s="232">
        <f t="shared" si="1"/>
        <v>0</v>
      </c>
      <c r="I19" s="233">
        <v>0</v>
      </c>
      <c r="J19" s="233"/>
      <c r="K19" s="233"/>
      <c r="L19" s="233"/>
      <c r="M19" s="232">
        <f t="shared" si="3"/>
        <v>0</v>
      </c>
      <c r="N19" s="233">
        <v>0</v>
      </c>
      <c r="O19" s="233"/>
      <c r="P19" s="233"/>
      <c r="Q19" s="233"/>
      <c r="R19" s="232">
        <f t="shared" si="5"/>
        <v>0</v>
      </c>
    </row>
    <row r="20" spans="1:18" s="6" customFormat="1" ht="24" hidden="1" customHeight="1">
      <c r="A20" s="134">
        <v>18139</v>
      </c>
      <c r="B20" s="172" t="s">
        <v>179</v>
      </c>
      <c r="C20" s="170"/>
      <c r="D20" s="170">
        <v>0</v>
      </c>
      <c r="E20" s="233"/>
      <c r="F20" s="233"/>
      <c r="G20" s="233"/>
      <c r="H20" s="232">
        <f t="shared" si="1"/>
        <v>0</v>
      </c>
      <c r="I20" s="233">
        <v>0</v>
      </c>
      <c r="J20" s="233"/>
      <c r="K20" s="233"/>
      <c r="L20" s="233"/>
      <c r="M20" s="232">
        <f t="shared" si="3"/>
        <v>0</v>
      </c>
      <c r="N20" s="233">
        <v>0</v>
      </c>
      <c r="O20" s="233"/>
      <c r="P20" s="233"/>
      <c r="Q20" s="233"/>
      <c r="R20" s="232">
        <f t="shared" si="5"/>
        <v>0</v>
      </c>
    </row>
    <row r="21" spans="1:18" s="6" customFormat="1" ht="12" hidden="1" customHeight="1">
      <c r="A21" s="135" t="s">
        <v>180</v>
      </c>
      <c r="B21" s="173" t="s">
        <v>173</v>
      </c>
      <c r="C21" s="201">
        <v>0</v>
      </c>
      <c r="D21" s="201">
        <v>0</v>
      </c>
      <c r="E21" s="238">
        <f t="shared" ref="E21:L21" si="14">E22</f>
        <v>0</v>
      </c>
      <c r="F21" s="238">
        <f t="shared" si="14"/>
        <v>0</v>
      </c>
      <c r="G21" s="238">
        <f t="shared" si="14"/>
        <v>0</v>
      </c>
      <c r="H21" s="232">
        <f t="shared" si="1"/>
        <v>0</v>
      </c>
      <c r="I21" s="238">
        <v>0</v>
      </c>
      <c r="J21" s="238">
        <f t="shared" si="14"/>
        <v>0</v>
      </c>
      <c r="K21" s="238">
        <f t="shared" si="14"/>
        <v>0</v>
      </c>
      <c r="L21" s="238">
        <f t="shared" si="14"/>
        <v>0</v>
      </c>
      <c r="M21" s="232">
        <f t="shared" si="3"/>
        <v>0</v>
      </c>
      <c r="N21" s="238">
        <v>0</v>
      </c>
      <c r="O21" s="238">
        <f t="shared" ref="O21:Q21" si="15">O22</f>
        <v>0</v>
      </c>
      <c r="P21" s="238">
        <f t="shared" si="15"/>
        <v>0</v>
      </c>
      <c r="Q21" s="238">
        <f t="shared" si="15"/>
        <v>0</v>
      </c>
      <c r="R21" s="232">
        <f t="shared" si="5"/>
        <v>0</v>
      </c>
    </row>
    <row r="22" spans="1:18" s="6" customFormat="1" ht="12" hidden="1" customHeight="1">
      <c r="A22" s="135">
        <v>19500</v>
      </c>
      <c r="B22" s="172" t="s">
        <v>174</v>
      </c>
      <c r="C22" s="170">
        <v>0</v>
      </c>
      <c r="D22" s="170">
        <v>0</v>
      </c>
      <c r="E22" s="233">
        <f>SUM(E23:E25)</f>
        <v>0</v>
      </c>
      <c r="F22" s="233">
        <f t="shared" ref="F22:G22" si="16">SUM(F23:F25)</f>
        <v>0</v>
      </c>
      <c r="G22" s="233">
        <f t="shared" si="16"/>
        <v>0</v>
      </c>
      <c r="H22" s="232">
        <f t="shared" si="1"/>
        <v>0</v>
      </c>
      <c r="I22" s="233">
        <v>0</v>
      </c>
      <c r="J22" s="233">
        <f>SUM(J23:J25)</f>
        <v>0</v>
      </c>
      <c r="K22" s="233">
        <f t="shared" ref="K22:L22" si="17">SUM(K23:K25)</f>
        <v>0</v>
      </c>
      <c r="L22" s="233">
        <f t="shared" si="17"/>
        <v>0</v>
      </c>
      <c r="M22" s="232">
        <f t="shared" si="3"/>
        <v>0</v>
      </c>
      <c r="N22" s="233">
        <v>0</v>
      </c>
      <c r="O22" s="233">
        <f>SUM(O23:O25)</f>
        <v>0</v>
      </c>
      <c r="P22" s="233">
        <f t="shared" ref="P22:Q22" si="18">SUM(P23:P25)</f>
        <v>0</v>
      </c>
      <c r="Q22" s="233">
        <f t="shared" si="18"/>
        <v>0</v>
      </c>
      <c r="R22" s="232">
        <f t="shared" si="5"/>
        <v>0</v>
      </c>
    </row>
    <row r="23" spans="1:18" s="6" customFormat="1" ht="24" hidden="1" customHeight="1">
      <c r="A23" s="136">
        <v>19550</v>
      </c>
      <c r="B23" s="172" t="s">
        <v>175</v>
      </c>
      <c r="C23" s="170"/>
      <c r="D23" s="170">
        <v>0</v>
      </c>
      <c r="E23" s="233"/>
      <c r="F23" s="233"/>
      <c r="G23" s="233"/>
      <c r="H23" s="232">
        <f t="shared" si="1"/>
        <v>0</v>
      </c>
      <c r="I23" s="233">
        <v>0</v>
      </c>
      <c r="J23" s="233"/>
      <c r="K23" s="233"/>
      <c r="L23" s="233"/>
      <c r="M23" s="232">
        <f t="shared" si="3"/>
        <v>0</v>
      </c>
      <c r="N23" s="233">
        <v>0</v>
      </c>
      <c r="O23" s="233"/>
      <c r="P23" s="233"/>
      <c r="Q23" s="233"/>
      <c r="R23" s="232">
        <f t="shared" si="5"/>
        <v>0</v>
      </c>
    </row>
    <row r="24" spans="1:18" s="6" customFormat="1" ht="36" hidden="1" customHeight="1">
      <c r="A24" s="136">
        <v>19560</v>
      </c>
      <c r="B24" s="172" t="s">
        <v>181</v>
      </c>
      <c r="C24" s="170"/>
      <c r="D24" s="170">
        <v>0</v>
      </c>
      <c r="E24" s="233"/>
      <c r="F24" s="233"/>
      <c r="G24" s="233"/>
      <c r="H24" s="232">
        <f t="shared" si="1"/>
        <v>0</v>
      </c>
      <c r="I24" s="233">
        <v>0</v>
      </c>
      <c r="J24" s="233"/>
      <c r="K24" s="233"/>
      <c r="L24" s="233"/>
      <c r="M24" s="232">
        <f t="shared" si="3"/>
        <v>0</v>
      </c>
      <c r="N24" s="233">
        <v>0</v>
      </c>
      <c r="O24" s="233"/>
      <c r="P24" s="233"/>
      <c r="Q24" s="233"/>
      <c r="R24" s="232">
        <f t="shared" si="5"/>
        <v>0</v>
      </c>
    </row>
    <row r="25" spans="1:18" s="6" customFormat="1" ht="60" hidden="1" customHeight="1">
      <c r="A25" s="136">
        <v>19570</v>
      </c>
      <c r="B25" s="172" t="s">
        <v>182</v>
      </c>
      <c r="C25" s="170"/>
      <c r="D25" s="170">
        <v>0</v>
      </c>
      <c r="E25" s="233"/>
      <c r="F25" s="233"/>
      <c r="G25" s="233"/>
      <c r="H25" s="232">
        <f t="shared" si="1"/>
        <v>0</v>
      </c>
      <c r="I25" s="233">
        <v>0</v>
      </c>
      <c r="J25" s="233"/>
      <c r="K25" s="233"/>
      <c r="L25" s="233"/>
      <c r="M25" s="232">
        <f t="shared" si="3"/>
        <v>0</v>
      </c>
      <c r="N25" s="233">
        <v>0</v>
      </c>
      <c r="O25" s="233"/>
      <c r="P25" s="233"/>
      <c r="Q25" s="233"/>
      <c r="R25" s="232">
        <f t="shared" si="5"/>
        <v>0</v>
      </c>
    </row>
    <row r="26" spans="1:18" s="6" customFormat="1" ht="24" hidden="1" customHeight="1">
      <c r="A26" s="209" t="s">
        <v>222</v>
      </c>
      <c r="B26" s="208" t="s">
        <v>216</v>
      </c>
      <c r="C26" s="106">
        <v>0</v>
      </c>
      <c r="D26" s="106">
        <v>0</v>
      </c>
      <c r="E26" s="232">
        <f t="shared" ref="E26:L26" si="19">E27</f>
        <v>0</v>
      </c>
      <c r="F26" s="232">
        <f t="shared" si="19"/>
        <v>0</v>
      </c>
      <c r="G26" s="232">
        <f t="shared" si="19"/>
        <v>0</v>
      </c>
      <c r="H26" s="232">
        <f t="shared" si="1"/>
        <v>0</v>
      </c>
      <c r="I26" s="233">
        <v>0</v>
      </c>
      <c r="J26" s="232">
        <f t="shared" si="19"/>
        <v>0</v>
      </c>
      <c r="K26" s="232">
        <f t="shared" si="19"/>
        <v>0</v>
      </c>
      <c r="L26" s="232">
        <f t="shared" si="19"/>
        <v>0</v>
      </c>
      <c r="M26" s="232">
        <f t="shared" si="3"/>
        <v>0</v>
      </c>
      <c r="N26" s="233">
        <v>0</v>
      </c>
      <c r="O26" s="232">
        <f t="shared" ref="O26:Q26" si="20">O27</f>
        <v>0</v>
      </c>
      <c r="P26" s="232">
        <f t="shared" si="20"/>
        <v>0</v>
      </c>
      <c r="Q26" s="232">
        <f t="shared" si="20"/>
        <v>0</v>
      </c>
      <c r="R26" s="232">
        <f t="shared" si="5"/>
        <v>0</v>
      </c>
    </row>
    <row r="27" spans="1:18" s="6" customFormat="1" ht="36" hidden="1" customHeight="1">
      <c r="A27" s="209">
        <v>17100</v>
      </c>
      <c r="B27" s="208" t="s">
        <v>217</v>
      </c>
      <c r="C27" s="106">
        <v>0</v>
      </c>
      <c r="D27" s="106">
        <v>0</v>
      </c>
      <c r="E27" s="232">
        <f t="shared" ref="E27:G27" si="21">SUM(E28:E31)</f>
        <v>0</v>
      </c>
      <c r="F27" s="232">
        <f t="shared" si="21"/>
        <v>0</v>
      </c>
      <c r="G27" s="232">
        <f t="shared" si="21"/>
        <v>0</v>
      </c>
      <c r="H27" s="232">
        <f t="shared" si="1"/>
        <v>0</v>
      </c>
      <c r="I27" s="233">
        <v>0</v>
      </c>
      <c r="J27" s="232">
        <f t="shared" ref="J27:L27" si="22">SUM(J28:J31)</f>
        <v>0</v>
      </c>
      <c r="K27" s="232">
        <f t="shared" si="22"/>
        <v>0</v>
      </c>
      <c r="L27" s="232">
        <f t="shared" si="22"/>
        <v>0</v>
      </c>
      <c r="M27" s="232">
        <f t="shared" si="3"/>
        <v>0</v>
      </c>
      <c r="N27" s="233">
        <v>0</v>
      </c>
      <c r="O27" s="232">
        <f t="shared" ref="O27:Q27" si="23">SUM(O28:O31)</f>
        <v>0</v>
      </c>
      <c r="P27" s="232">
        <f t="shared" si="23"/>
        <v>0</v>
      </c>
      <c r="Q27" s="232">
        <f t="shared" si="23"/>
        <v>0</v>
      </c>
      <c r="R27" s="232">
        <f t="shared" si="5"/>
        <v>0</v>
      </c>
    </row>
    <row r="28" spans="1:18" s="6" customFormat="1" ht="48" hidden="1" customHeight="1">
      <c r="A28" s="149">
        <v>17110</v>
      </c>
      <c r="B28" s="208" t="s">
        <v>218</v>
      </c>
      <c r="C28" s="106"/>
      <c r="D28" s="106">
        <v>0</v>
      </c>
      <c r="E28" s="233"/>
      <c r="F28" s="233"/>
      <c r="G28" s="233"/>
      <c r="H28" s="232">
        <f t="shared" si="1"/>
        <v>0</v>
      </c>
      <c r="I28" s="233">
        <v>0</v>
      </c>
      <c r="J28" s="233"/>
      <c r="K28" s="233"/>
      <c r="L28" s="233"/>
      <c r="M28" s="232">
        <f t="shared" si="3"/>
        <v>0</v>
      </c>
      <c r="N28" s="233">
        <v>0</v>
      </c>
      <c r="O28" s="233"/>
      <c r="P28" s="233"/>
      <c r="Q28" s="233"/>
      <c r="R28" s="232">
        <f t="shared" si="5"/>
        <v>0</v>
      </c>
    </row>
    <row r="29" spans="1:18" s="6" customFormat="1" ht="48" hidden="1" customHeight="1">
      <c r="A29" s="149">
        <v>17120</v>
      </c>
      <c r="B29" s="208" t="s">
        <v>219</v>
      </c>
      <c r="C29" s="106"/>
      <c r="D29" s="106">
        <v>0</v>
      </c>
      <c r="E29" s="233"/>
      <c r="F29" s="233"/>
      <c r="G29" s="233"/>
      <c r="H29" s="232">
        <f t="shared" si="1"/>
        <v>0</v>
      </c>
      <c r="I29" s="233">
        <v>0</v>
      </c>
      <c r="J29" s="233"/>
      <c r="K29" s="233"/>
      <c r="L29" s="233"/>
      <c r="M29" s="232">
        <f t="shared" si="3"/>
        <v>0</v>
      </c>
      <c r="N29" s="233">
        <v>0</v>
      </c>
      <c r="O29" s="233"/>
      <c r="P29" s="233"/>
      <c r="Q29" s="233"/>
      <c r="R29" s="232">
        <f t="shared" si="5"/>
        <v>0</v>
      </c>
    </row>
    <row r="30" spans="1:18" s="6" customFormat="1" ht="96" hidden="1" customHeight="1">
      <c r="A30" s="149">
        <v>17130</v>
      </c>
      <c r="B30" s="208" t="s">
        <v>220</v>
      </c>
      <c r="C30" s="106"/>
      <c r="D30" s="106">
        <v>0</v>
      </c>
      <c r="E30" s="233"/>
      <c r="F30" s="233"/>
      <c r="G30" s="233"/>
      <c r="H30" s="232">
        <f t="shared" si="1"/>
        <v>0</v>
      </c>
      <c r="I30" s="233">
        <v>0</v>
      </c>
      <c r="J30" s="233"/>
      <c r="K30" s="233"/>
      <c r="L30" s="233"/>
      <c r="M30" s="232">
        <f t="shared" si="3"/>
        <v>0</v>
      </c>
      <c r="N30" s="233">
        <v>0</v>
      </c>
      <c r="O30" s="233"/>
      <c r="P30" s="233"/>
      <c r="Q30" s="233"/>
      <c r="R30" s="232">
        <f t="shared" si="5"/>
        <v>0</v>
      </c>
    </row>
    <row r="31" spans="1:18" s="6" customFormat="1" ht="96" hidden="1" customHeight="1">
      <c r="A31" s="149">
        <v>17140</v>
      </c>
      <c r="B31" s="208" t="s">
        <v>221</v>
      </c>
      <c r="C31" s="106"/>
      <c r="D31" s="106">
        <v>0</v>
      </c>
      <c r="E31" s="233"/>
      <c r="F31" s="233"/>
      <c r="G31" s="233"/>
      <c r="H31" s="232">
        <f t="shared" si="1"/>
        <v>0</v>
      </c>
      <c r="I31" s="233">
        <v>0</v>
      </c>
      <c r="J31" s="233"/>
      <c r="K31" s="233"/>
      <c r="L31" s="233"/>
      <c r="M31" s="232">
        <f t="shared" si="3"/>
        <v>0</v>
      </c>
      <c r="N31" s="233">
        <v>0</v>
      </c>
      <c r="O31" s="233"/>
      <c r="P31" s="233"/>
      <c r="Q31" s="233"/>
      <c r="R31" s="232">
        <f t="shared" si="5"/>
        <v>0</v>
      </c>
    </row>
    <row r="32" spans="1:18" s="6" customFormat="1" ht="12">
      <c r="A32" s="137">
        <v>21700</v>
      </c>
      <c r="B32" s="124" t="s">
        <v>97</v>
      </c>
      <c r="C32" s="170">
        <v>71265</v>
      </c>
      <c r="D32" s="170">
        <v>71265</v>
      </c>
      <c r="E32" s="233">
        <f>E33+E34</f>
        <v>0</v>
      </c>
      <c r="F32" s="233">
        <f t="shared" ref="F32:G32" si="24">F33+F34</f>
        <v>0</v>
      </c>
      <c r="G32" s="233">
        <f t="shared" si="24"/>
        <v>0</v>
      </c>
      <c r="H32" s="232">
        <f t="shared" si="1"/>
        <v>71265</v>
      </c>
      <c r="I32" s="233">
        <v>71265</v>
      </c>
      <c r="J32" s="233">
        <f>J33+J34</f>
        <v>0</v>
      </c>
      <c r="K32" s="233">
        <f t="shared" ref="K32:L32" si="25">K33+K34</f>
        <v>0</v>
      </c>
      <c r="L32" s="233">
        <f t="shared" si="25"/>
        <v>0</v>
      </c>
      <c r="M32" s="232">
        <f t="shared" si="3"/>
        <v>71265</v>
      </c>
      <c r="N32" s="233">
        <v>71265</v>
      </c>
      <c r="O32" s="233">
        <f>O33+O34</f>
        <v>0</v>
      </c>
      <c r="P32" s="233">
        <f t="shared" ref="P32:Q32" si="26">P33+P34</f>
        <v>0</v>
      </c>
      <c r="Q32" s="233">
        <f t="shared" si="26"/>
        <v>0</v>
      </c>
      <c r="R32" s="232">
        <f t="shared" si="5"/>
        <v>71265</v>
      </c>
    </row>
    <row r="33" spans="1:18" s="6" customFormat="1" ht="12">
      <c r="A33" s="138">
        <v>21710</v>
      </c>
      <c r="B33" s="125" t="s">
        <v>98</v>
      </c>
      <c r="C33" s="170">
        <v>71265</v>
      </c>
      <c r="D33" s="170">
        <v>71265</v>
      </c>
      <c r="E33" s="233"/>
      <c r="F33" s="233"/>
      <c r="G33" s="233"/>
      <c r="H33" s="232">
        <f t="shared" si="1"/>
        <v>71265</v>
      </c>
      <c r="I33" s="233">
        <v>71265</v>
      </c>
      <c r="J33" s="233"/>
      <c r="K33" s="233"/>
      <c r="L33" s="233"/>
      <c r="M33" s="232">
        <f t="shared" si="3"/>
        <v>71265</v>
      </c>
      <c r="N33" s="233">
        <v>71265</v>
      </c>
      <c r="O33" s="233"/>
      <c r="P33" s="233"/>
      <c r="Q33" s="233"/>
      <c r="R33" s="232">
        <f t="shared" si="5"/>
        <v>71265</v>
      </c>
    </row>
    <row r="34" spans="1:18" s="6" customFormat="1" ht="24" hidden="1" customHeight="1">
      <c r="A34" s="138">
        <v>21720</v>
      </c>
      <c r="B34" s="125" t="s">
        <v>99</v>
      </c>
      <c r="C34" s="170"/>
      <c r="D34" s="170">
        <v>0</v>
      </c>
      <c r="E34" s="233"/>
      <c r="F34" s="233"/>
      <c r="G34" s="233"/>
      <c r="H34" s="232">
        <f t="shared" si="1"/>
        <v>0</v>
      </c>
      <c r="I34" s="233">
        <v>0</v>
      </c>
      <c r="J34" s="233"/>
      <c r="K34" s="233"/>
      <c r="L34" s="233"/>
      <c r="M34" s="232">
        <f t="shared" si="3"/>
        <v>0</v>
      </c>
      <c r="N34" s="233">
        <v>0</v>
      </c>
      <c r="O34" s="233"/>
      <c r="P34" s="233"/>
      <c r="Q34" s="233"/>
      <c r="R34" s="232">
        <f t="shared" si="5"/>
        <v>0</v>
      </c>
    </row>
    <row r="35" spans="1:18" s="6" customFormat="1" ht="11.4">
      <c r="A35" s="129" t="s">
        <v>100</v>
      </c>
      <c r="B35" s="123" t="s">
        <v>101</v>
      </c>
      <c r="C35" s="168">
        <v>71265</v>
      </c>
      <c r="D35" s="168">
        <v>71265</v>
      </c>
      <c r="E35" s="243">
        <f t="shared" ref="E35:G35" si="27">E36+E63</f>
        <v>0</v>
      </c>
      <c r="F35" s="243">
        <f t="shared" si="27"/>
        <v>0</v>
      </c>
      <c r="G35" s="243">
        <f t="shared" si="27"/>
        <v>0</v>
      </c>
      <c r="H35" s="229">
        <f t="shared" si="1"/>
        <v>71265</v>
      </c>
      <c r="I35" s="243">
        <v>71265</v>
      </c>
      <c r="J35" s="243">
        <f t="shared" ref="J35:L35" si="28">J36+J63</f>
        <v>0</v>
      </c>
      <c r="K35" s="243">
        <f t="shared" si="28"/>
        <v>0</v>
      </c>
      <c r="L35" s="243">
        <f t="shared" si="28"/>
        <v>0</v>
      </c>
      <c r="M35" s="229">
        <f t="shared" si="3"/>
        <v>71265</v>
      </c>
      <c r="N35" s="243">
        <v>71265</v>
      </c>
      <c r="O35" s="243">
        <f t="shared" ref="O35:Q35" si="29">O36+O63</f>
        <v>0</v>
      </c>
      <c r="P35" s="243">
        <f t="shared" si="29"/>
        <v>0</v>
      </c>
      <c r="Q35" s="243">
        <f t="shared" si="29"/>
        <v>0</v>
      </c>
      <c r="R35" s="229">
        <f t="shared" si="5"/>
        <v>71265</v>
      </c>
    </row>
    <row r="36" spans="1:18" s="6" customFormat="1" ht="20.399999999999999">
      <c r="A36" s="130" t="s">
        <v>102</v>
      </c>
      <c r="B36" s="124" t="s">
        <v>103</v>
      </c>
      <c r="C36" s="170">
        <v>71265</v>
      </c>
      <c r="D36" s="170">
        <v>71265</v>
      </c>
      <c r="E36" s="233">
        <f>E37+E41+E42+E45+E48</f>
        <v>0</v>
      </c>
      <c r="F36" s="233">
        <f t="shared" ref="F36:G36" si="30">F37+F41+F42+F45+F48</f>
        <v>0</v>
      </c>
      <c r="G36" s="233">
        <f t="shared" si="30"/>
        <v>0</v>
      </c>
      <c r="H36" s="232">
        <f t="shared" si="1"/>
        <v>71265</v>
      </c>
      <c r="I36" s="233">
        <v>71265</v>
      </c>
      <c r="J36" s="233">
        <f>J37+J41+J42+J45+J48</f>
        <v>0</v>
      </c>
      <c r="K36" s="233">
        <f t="shared" ref="K36:L36" si="31">K37+K41+K42+K45+K48</f>
        <v>0</v>
      </c>
      <c r="L36" s="233">
        <f t="shared" si="31"/>
        <v>0</v>
      </c>
      <c r="M36" s="232">
        <f t="shared" si="3"/>
        <v>71265</v>
      </c>
      <c r="N36" s="233">
        <v>71265</v>
      </c>
      <c r="O36" s="233">
        <f>O37+O41+O42+O45+O48</f>
        <v>0</v>
      </c>
      <c r="P36" s="233">
        <f t="shared" ref="P36:Q36" si="32">P37+P41+P42+P45+P48</f>
        <v>0</v>
      </c>
      <c r="Q36" s="233">
        <f t="shared" si="32"/>
        <v>0</v>
      </c>
      <c r="R36" s="232">
        <f t="shared" si="5"/>
        <v>71265</v>
      </c>
    </row>
    <row r="37" spans="1:18" s="6" customFormat="1" ht="12">
      <c r="A37" s="130" t="s">
        <v>104</v>
      </c>
      <c r="B37" s="124" t="s">
        <v>105</v>
      </c>
      <c r="C37" s="170">
        <v>71265</v>
      </c>
      <c r="D37" s="170">
        <v>71265</v>
      </c>
      <c r="E37" s="233">
        <f>E38+E40</f>
        <v>0</v>
      </c>
      <c r="F37" s="233">
        <f t="shared" ref="F37:G37" si="33">F38+F40</f>
        <v>0</v>
      </c>
      <c r="G37" s="233">
        <f t="shared" si="33"/>
        <v>0</v>
      </c>
      <c r="H37" s="232">
        <f t="shared" si="1"/>
        <v>71265</v>
      </c>
      <c r="I37" s="233">
        <v>71265</v>
      </c>
      <c r="J37" s="233">
        <f>J38+J40</f>
        <v>0</v>
      </c>
      <c r="K37" s="233">
        <f t="shared" ref="K37:L37" si="34">K38+K40</f>
        <v>0</v>
      </c>
      <c r="L37" s="233">
        <f t="shared" si="34"/>
        <v>0</v>
      </c>
      <c r="M37" s="232">
        <f t="shared" si="3"/>
        <v>71265</v>
      </c>
      <c r="N37" s="233">
        <v>71265</v>
      </c>
      <c r="O37" s="233">
        <f>O38+O40</f>
        <v>0</v>
      </c>
      <c r="P37" s="233">
        <f t="shared" ref="P37:Q37" si="35">P38+P40</f>
        <v>0</v>
      </c>
      <c r="Q37" s="233">
        <f t="shared" si="35"/>
        <v>0</v>
      </c>
      <c r="R37" s="232">
        <f t="shared" si="5"/>
        <v>71265</v>
      </c>
    </row>
    <row r="38" spans="1:18" s="6" customFormat="1" ht="12">
      <c r="A38" s="132">
        <v>1000</v>
      </c>
      <c r="B38" s="125" t="s">
        <v>106</v>
      </c>
      <c r="C38" s="170">
        <v>55167</v>
      </c>
      <c r="D38" s="170">
        <v>55167</v>
      </c>
      <c r="E38" s="244"/>
      <c r="F38" s="244"/>
      <c r="G38" s="244"/>
      <c r="H38" s="232">
        <f t="shared" si="1"/>
        <v>55167</v>
      </c>
      <c r="I38" s="233">
        <v>55167</v>
      </c>
      <c r="J38" s="244"/>
      <c r="K38" s="244"/>
      <c r="L38" s="244"/>
      <c r="M38" s="232">
        <f t="shared" si="3"/>
        <v>55167</v>
      </c>
      <c r="N38" s="233">
        <v>55167</v>
      </c>
      <c r="O38" s="244"/>
      <c r="P38" s="244"/>
      <c r="Q38" s="244"/>
      <c r="R38" s="232">
        <f t="shared" si="5"/>
        <v>55167</v>
      </c>
    </row>
    <row r="39" spans="1:18" s="6" customFormat="1" ht="12">
      <c r="A39" s="139">
        <v>1100</v>
      </c>
      <c r="B39" s="125" t="s">
        <v>107</v>
      </c>
      <c r="C39" s="170">
        <v>44964</v>
      </c>
      <c r="D39" s="170">
        <v>44964</v>
      </c>
      <c r="E39" s="244"/>
      <c r="F39" s="244"/>
      <c r="G39" s="244"/>
      <c r="H39" s="232">
        <f t="shared" si="1"/>
        <v>44964</v>
      </c>
      <c r="I39" s="233">
        <v>44964</v>
      </c>
      <c r="J39" s="244"/>
      <c r="K39" s="244"/>
      <c r="L39" s="244"/>
      <c r="M39" s="232">
        <f t="shared" si="3"/>
        <v>44964</v>
      </c>
      <c r="N39" s="233">
        <v>44964</v>
      </c>
      <c r="O39" s="244"/>
      <c r="P39" s="244"/>
      <c r="Q39" s="244"/>
      <c r="R39" s="232">
        <f t="shared" si="5"/>
        <v>44964</v>
      </c>
    </row>
    <row r="40" spans="1:18" s="6" customFormat="1" ht="12">
      <c r="A40" s="132">
        <v>2000</v>
      </c>
      <c r="B40" s="125" t="s">
        <v>108</v>
      </c>
      <c r="C40" s="170">
        <v>16098</v>
      </c>
      <c r="D40" s="170">
        <v>16098</v>
      </c>
      <c r="E40" s="244"/>
      <c r="F40" s="244"/>
      <c r="G40" s="244"/>
      <c r="H40" s="232">
        <f t="shared" si="1"/>
        <v>16098</v>
      </c>
      <c r="I40" s="233">
        <v>16098</v>
      </c>
      <c r="J40" s="244"/>
      <c r="K40" s="244"/>
      <c r="L40" s="244"/>
      <c r="M40" s="232">
        <f t="shared" si="3"/>
        <v>16098</v>
      </c>
      <c r="N40" s="233">
        <v>16098</v>
      </c>
      <c r="O40" s="244"/>
      <c r="P40" s="244"/>
      <c r="Q40" s="244"/>
      <c r="R40" s="232">
        <f t="shared" si="5"/>
        <v>16098</v>
      </c>
    </row>
    <row r="41" spans="1:18" s="6" customFormat="1" ht="12" hidden="1" customHeight="1">
      <c r="A41" s="140">
        <v>4000</v>
      </c>
      <c r="B41" s="124" t="s">
        <v>132</v>
      </c>
      <c r="C41" s="170"/>
      <c r="D41" s="170">
        <v>0</v>
      </c>
      <c r="E41" s="244"/>
      <c r="F41" s="244"/>
      <c r="G41" s="244"/>
      <c r="H41" s="232">
        <f t="shared" si="1"/>
        <v>0</v>
      </c>
      <c r="I41" s="233">
        <v>0</v>
      </c>
      <c r="J41" s="244"/>
      <c r="K41" s="244"/>
      <c r="L41" s="244"/>
      <c r="M41" s="232">
        <f t="shared" si="3"/>
        <v>0</v>
      </c>
      <c r="N41" s="233">
        <v>0</v>
      </c>
      <c r="O41" s="244"/>
      <c r="P41" s="244"/>
      <c r="Q41" s="244"/>
      <c r="R41" s="232">
        <f t="shared" si="5"/>
        <v>0</v>
      </c>
    </row>
    <row r="42" spans="1:18" s="6" customFormat="1" ht="12" hidden="1" customHeight="1">
      <c r="A42" s="140" t="s">
        <v>109</v>
      </c>
      <c r="B42" s="124" t="s">
        <v>110</v>
      </c>
      <c r="C42" s="170">
        <v>0</v>
      </c>
      <c r="D42" s="170">
        <v>0</v>
      </c>
      <c r="E42" s="233">
        <f>E43+E44</f>
        <v>0</v>
      </c>
      <c r="F42" s="233">
        <f t="shared" ref="F42:G42" si="36">F43+F44</f>
        <v>0</v>
      </c>
      <c r="G42" s="233">
        <f t="shared" si="36"/>
        <v>0</v>
      </c>
      <c r="H42" s="232">
        <f t="shared" si="1"/>
        <v>0</v>
      </c>
      <c r="I42" s="233">
        <v>0</v>
      </c>
      <c r="J42" s="233">
        <f>J43+J44</f>
        <v>0</v>
      </c>
      <c r="K42" s="233">
        <f t="shared" ref="K42:L42" si="37">K43+K44</f>
        <v>0</v>
      </c>
      <c r="L42" s="233">
        <f t="shared" si="37"/>
        <v>0</v>
      </c>
      <c r="M42" s="232">
        <f t="shared" si="3"/>
        <v>0</v>
      </c>
      <c r="N42" s="233">
        <v>0</v>
      </c>
      <c r="O42" s="233">
        <f>O43+O44</f>
        <v>0</v>
      </c>
      <c r="P42" s="233">
        <f t="shared" ref="P42:Q42" si="38">P43+P44</f>
        <v>0</v>
      </c>
      <c r="Q42" s="233">
        <f t="shared" si="38"/>
        <v>0</v>
      </c>
      <c r="R42" s="232">
        <f t="shared" si="5"/>
        <v>0</v>
      </c>
    </row>
    <row r="43" spans="1:18" s="6" customFormat="1" ht="12" hidden="1" customHeight="1">
      <c r="A43" s="132">
        <v>3000</v>
      </c>
      <c r="B43" s="125" t="s">
        <v>111</v>
      </c>
      <c r="C43" s="202"/>
      <c r="D43" s="202">
        <v>0</v>
      </c>
      <c r="E43" s="246"/>
      <c r="F43" s="246"/>
      <c r="G43" s="246"/>
      <c r="H43" s="232">
        <f t="shared" si="1"/>
        <v>0</v>
      </c>
      <c r="I43" s="345">
        <v>0</v>
      </c>
      <c r="J43" s="246"/>
      <c r="K43" s="246"/>
      <c r="L43" s="246"/>
      <c r="M43" s="232">
        <f t="shared" si="3"/>
        <v>0</v>
      </c>
      <c r="N43" s="345">
        <v>0</v>
      </c>
      <c r="O43" s="246"/>
      <c r="P43" s="246"/>
      <c r="Q43" s="246"/>
      <c r="R43" s="232">
        <f t="shared" si="5"/>
        <v>0</v>
      </c>
    </row>
    <row r="44" spans="1:18" s="6" customFormat="1" ht="12" hidden="1" customHeight="1">
      <c r="A44" s="132">
        <v>6000</v>
      </c>
      <c r="B44" s="125" t="s">
        <v>112</v>
      </c>
      <c r="C44" s="203"/>
      <c r="D44" s="203">
        <v>0</v>
      </c>
      <c r="E44" s="248"/>
      <c r="F44" s="248"/>
      <c r="G44" s="248"/>
      <c r="H44" s="232">
        <f t="shared" si="1"/>
        <v>0</v>
      </c>
      <c r="I44" s="346">
        <v>0</v>
      </c>
      <c r="J44" s="248"/>
      <c r="K44" s="248"/>
      <c r="L44" s="248"/>
      <c r="M44" s="232">
        <f t="shared" si="3"/>
        <v>0</v>
      </c>
      <c r="N44" s="346">
        <v>0</v>
      </c>
      <c r="O44" s="248"/>
      <c r="P44" s="248"/>
      <c r="Q44" s="248"/>
      <c r="R44" s="232">
        <f t="shared" si="5"/>
        <v>0</v>
      </c>
    </row>
    <row r="45" spans="1:18" s="6" customFormat="1" ht="24" hidden="1" customHeight="1">
      <c r="A45" s="140" t="s">
        <v>113</v>
      </c>
      <c r="B45" s="124" t="s">
        <v>183</v>
      </c>
      <c r="C45" s="170">
        <v>0</v>
      </c>
      <c r="D45" s="170">
        <v>0</v>
      </c>
      <c r="E45" s="233">
        <f>E46+E47</f>
        <v>0</v>
      </c>
      <c r="F45" s="233">
        <f t="shared" ref="F45:G45" si="39">F46+F47</f>
        <v>0</v>
      </c>
      <c r="G45" s="233">
        <f t="shared" si="39"/>
        <v>0</v>
      </c>
      <c r="H45" s="232">
        <f t="shared" si="1"/>
        <v>0</v>
      </c>
      <c r="I45" s="233">
        <v>0</v>
      </c>
      <c r="J45" s="233">
        <f>J46+J47</f>
        <v>0</v>
      </c>
      <c r="K45" s="233">
        <f t="shared" ref="K45:L45" si="40">K46+K47</f>
        <v>0</v>
      </c>
      <c r="L45" s="233">
        <f t="shared" si="40"/>
        <v>0</v>
      </c>
      <c r="M45" s="232">
        <f t="shared" si="3"/>
        <v>0</v>
      </c>
      <c r="N45" s="233">
        <v>0</v>
      </c>
      <c r="O45" s="233">
        <f>O46+O47</f>
        <v>0</v>
      </c>
      <c r="P45" s="233">
        <f t="shared" ref="P45:Q45" si="41">P46+P47</f>
        <v>0</v>
      </c>
      <c r="Q45" s="233">
        <f t="shared" si="41"/>
        <v>0</v>
      </c>
      <c r="R45" s="232">
        <f t="shared" si="5"/>
        <v>0</v>
      </c>
    </row>
    <row r="46" spans="1:18" s="6" customFormat="1" ht="12" hidden="1" customHeight="1">
      <c r="A46" s="132">
        <v>7600</v>
      </c>
      <c r="B46" s="179" t="s">
        <v>184</v>
      </c>
      <c r="C46" s="170"/>
      <c r="D46" s="170">
        <v>0</v>
      </c>
      <c r="E46" s="244"/>
      <c r="F46" s="244"/>
      <c r="G46" s="244"/>
      <c r="H46" s="232">
        <f t="shared" si="1"/>
        <v>0</v>
      </c>
      <c r="I46" s="233">
        <v>0</v>
      </c>
      <c r="J46" s="244"/>
      <c r="K46" s="244"/>
      <c r="L46" s="244"/>
      <c r="M46" s="232">
        <f t="shared" si="3"/>
        <v>0</v>
      </c>
      <c r="N46" s="233">
        <v>0</v>
      </c>
      <c r="O46" s="244"/>
      <c r="P46" s="244"/>
      <c r="Q46" s="244"/>
      <c r="R46" s="232">
        <f t="shared" si="5"/>
        <v>0</v>
      </c>
    </row>
    <row r="47" spans="1:18" s="6" customFormat="1" ht="12" hidden="1" customHeight="1">
      <c r="A47" s="132">
        <v>7700</v>
      </c>
      <c r="B47" s="126" t="s">
        <v>114</v>
      </c>
      <c r="C47" s="170"/>
      <c r="D47" s="170">
        <v>0</v>
      </c>
      <c r="E47" s="244"/>
      <c r="F47" s="244"/>
      <c r="G47" s="244"/>
      <c r="H47" s="232">
        <f t="shared" si="1"/>
        <v>0</v>
      </c>
      <c r="I47" s="233">
        <v>0</v>
      </c>
      <c r="J47" s="244"/>
      <c r="K47" s="244"/>
      <c r="L47" s="244"/>
      <c r="M47" s="232">
        <f t="shared" si="3"/>
        <v>0</v>
      </c>
      <c r="N47" s="233">
        <v>0</v>
      </c>
      <c r="O47" s="244"/>
      <c r="P47" s="244"/>
      <c r="Q47" s="244"/>
      <c r="R47" s="232">
        <f t="shared" si="5"/>
        <v>0</v>
      </c>
    </row>
    <row r="48" spans="1:18" s="6" customFormat="1" ht="21" hidden="1" customHeight="1">
      <c r="A48" s="140" t="s">
        <v>185</v>
      </c>
      <c r="B48" s="124" t="s">
        <v>115</v>
      </c>
      <c r="C48" s="170">
        <v>0</v>
      </c>
      <c r="D48" s="170">
        <v>0</v>
      </c>
      <c r="E48" s="233">
        <f t="shared" ref="E48:G48" si="42">E49+E55+E59+E62</f>
        <v>0</v>
      </c>
      <c r="F48" s="233">
        <f t="shared" si="42"/>
        <v>0</v>
      </c>
      <c r="G48" s="233">
        <f t="shared" si="42"/>
        <v>0</v>
      </c>
      <c r="H48" s="232">
        <f t="shared" si="1"/>
        <v>0</v>
      </c>
      <c r="I48" s="233">
        <v>0</v>
      </c>
      <c r="J48" s="233">
        <f t="shared" ref="J48:L48" si="43">J49+J55+J59+J62</f>
        <v>0</v>
      </c>
      <c r="K48" s="233">
        <f t="shared" si="43"/>
        <v>0</v>
      </c>
      <c r="L48" s="233">
        <f t="shared" si="43"/>
        <v>0</v>
      </c>
      <c r="M48" s="232">
        <f t="shared" si="3"/>
        <v>0</v>
      </c>
      <c r="N48" s="233">
        <v>0</v>
      </c>
      <c r="O48" s="233">
        <f t="shared" ref="O48:Q48" si="44">O49+O55+O59+O62</f>
        <v>0</v>
      </c>
      <c r="P48" s="233">
        <f t="shared" si="44"/>
        <v>0</v>
      </c>
      <c r="Q48" s="233">
        <f t="shared" si="44"/>
        <v>0</v>
      </c>
      <c r="R48" s="232">
        <f t="shared" si="5"/>
        <v>0</v>
      </c>
    </row>
    <row r="49" spans="1:18" s="6" customFormat="1" ht="12" hidden="1" customHeight="1">
      <c r="A49" s="132">
        <v>7100</v>
      </c>
      <c r="B49" s="179" t="s">
        <v>116</v>
      </c>
      <c r="C49" s="170">
        <v>0</v>
      </c>
      <c r="D49" s="170">
        <v>0</v>
      </c>
      <c r="E49" s="233">
        <f>E50+E51</f>
        <v>0</v>
      </c>
      <c r="F49" s="233">
        <f t="shared" ref="F49:G49" si="45">F50+F51</f>
        <v>0</v>
      </c>
      <c r="G49" s="233">
        <f t="shared" si="45"/>
        <v>0</v>
      </c>
      <c r="H49" s="232">
        <f t="shared" si="1"/>
        <v>0</v>
      </c>
      <c r="I49" s="233">
        <v>0</v>
      </c>
      <c r="J49" s="233">
        <f>J50+J51</f>
        <v>0</v>
      </c>
      <c r="K49" s="233">
        <f t="shared" ref="K49:L49" si="46">K50+K51</f>
        <v>0</v>
      </c>
      <c r="L49" s="233">
        <f t="shared" si="46"/>
        <v>0</v>
      </c>
      <c r="M49" s="232">
        <f t="shared" si="3"/>
        <v>0</v>
      </c>
      <c r="N49" s="233">
        <v>0</v>
      </c>
      <c r="O49" s="233">
        <f>O50+O51</f>
        <v>0</v>
      </c>
      <c r="P49" s="233">
        <f t="shared" ref="P49:Q49" si="47">P50+P51</f>
        <v>0</v>
      </c>
      <c r="Q49" s="233">
        <f t="shared" si="47"/>
        <v>0</v>
      </c>
      <c r="R49" s="232">
        <f t="shared" si="5"/>
        <v>0</v>
      </c>
    </row>
    <row r="50" spans="1:18" s="6" customFormat="1" ht="24" hidden="1" customHeight="1">
      <c r="A50" s="133" t="s">
        <v>117</v>
      </c>
      <c r="B50" s="179" t="s">
        <v>118</v>
      </c>
      <c r="C50" s="170"/>
      <c r="D50" s="170">
        <v>0</v>
      </c>
      <c r="E50" s="233"/>
      <c r="F50" s="233"/>
      <c r="G50" s="233"/>
      <c r="H50" s="232">
        <f t="shared" si="1"/>
        <v>0</v>
      </c>
      <c r="I50" s="233">
        <v>0</v>
      </c>
      <c r="J50" s="233"/>
      <c r="K50" s="233"/>
      <c r="L50" s="233"/>
      <c r="M50" s="232">
        <f t="shared" si="3"/>
        <v>0</v>
      </c>
      <c r="N50" s="233">
        <v>0</v>
      </c>
      <c r="O50" s="233"/>
      <c r="P50" s="233"/>
      <c r="Q50" s="233"/>
      <c r="R50" s="232">
        <f t="shared" si="5"/>
        <v>0</v>
      </c>
    </row>
    <row r="51" spans="1:18" s="6" customFormat="1" ht="24" hidden="1" customHeight="1">
      <c r="A51" s="133">
        <v>7130</v>
      </c>
      <c r="B51" s="179" t="s">
        <v>119</v>
      </c>
      <c r="C51" s="170">
        <v>0</v>
      </c>
      <c r="D51" s="170">
        <v>0</v>
      </c>
      <c r="E51" s="233">
        <f>SUM(E52:E54)</f>
        <v>0</v>
      </c>
      <c r="F51" s="233">
        <f t="shared" ref="F51:G51" si="48">SUM(F52:F54)</f>
        <v>0</v>
      </c>
      <c r="G51" s="233">
        <f t="shared" si="48"/>
        <v>0</v>
      </c>
      <c r="H51" s="232">
        <f t="shared" si="1"/>
        <v>0</v>
      </c>
      <c r="I51" s="233">
        <v>0</v>
      </c>
      <c r="J51" s="233">
        <f>SUM(J52:J54)</f>
        <v>0</v>
      </c>
      <c r="K51" s="233">
        <f t="shared" ref="K51:L51" si="49">SUM(K52:K54)</f>
        <v>0</v>
      </c>
      <c r="L51" s="233">
        <f t="shared" si="49"/>
        <v>0</v>
      </c>
      <c r="M51" s="232">
        <f t="shared" si="3"/>
        <v>0</v>
      </c>
      <c r="N51" s="233">
        <v>0</v>
      </c>
      <c r="O51" s="233">
        <f>SUM(O52:O54)</f>
        <v>0</v>
      </c>
      <c r="P51" s="233">
        <f t="shared" ref="P51:Q51" si="50">SUM(P52:P54)</f>
        <v>0</v>
      </c>
      <c r="Q51" s="233">
        <f t="shared" si="50"/>
        <v>0</v>
      </c>
      <c r="R51" s="232">
        <f t="shared" si="5"/>
        <v>0</v>
      </c>
    </row>
    <row r="52" spans="1:18" s="6" customFormat="1" ht="36" hidden="1" customHeight="1">
      <c r="A52" s="134">
        <v>7131</v>
      </c>
      <c r="B52" s="179" t="s">
        <v>120</v>
      </c>
      <c r="C52" s="170"/>
      <c r="D52" s="170">
        <v>0</v>
      </c>
      <c r="E52" s="233"/>
      <c r="F52" s="233"/>
      <c r="G52" s="233"/>
      <c r="H52" s="232">
        <f t="shared" si="1"/>
        <v>0</v>
      </c>
      <c r="I52" s="233">
        <v>0</v>
      </c>
      <c r="J52" s="233"/>
      <c r="K52" s="233"/>
      <c r="L52" s="233"/>
      <c r="M52" s="232">
        <f t="shared" si="3"/>
        <v>0</v>
      </c>
      <c r="N52" s="233">
        <v>0</v>
      </c>
      <c r="O52" s="233"/>
      <c r="P52" s="233"/>
      <c r="Q52" s="233"/>
      <c r="R52" s="232">
        <f t="shared" si="5"/>
        <v>0</v>
      </c>
    </row>
    <row r="53" spans="1:18" s="6" customFormat="1" ht="36" hidden="1" customHeight="1">
      <c r="A53" s="134">
        <v>7132</v>
      </c>
      <c r="B53" s="179" t="s">
        <v>121</v>
      </c>
      <c r="C53" s="170"/>
      <c r="D53" s="170">
        <v>0</v>
      </c>
      <c r="E53" s="233"/>
      <c r="F53" s="233"/>
      <c r="G53" s="233"/>
      <c r="H53" s="232">
        <f t="shared" si="1"/>
        <v>0</v>
      </c>
      <c r="I53" s="233">
        <v>0</v>
      </c>
      <c r="J53" s="233"/>
      <c r="K53" s="233"/>
      <c r="L53" s="233"/>
      <c r="M53" s="232">
        <f t="shared" si="3"/>
        <v>0</v>
      </c>
      <c r="N53" s="233">
        <v>0</v>
      </c>
      <c r="O53" s="233"/>
      <c r="P53" s="233"/>
      <c r="Q53" s="233"/>
      <c r="R53" s="232">
        <f t="shared" si="5"/>
        <v>0</v>
      </c>
    </row>
    <row r="54" spans="1:18" s="6" customFormat="1" ht="24" hidden="1" customHeight="1">
      <c r="A54" s="134" t="s">
        <v>186</v>
      </c>
      <c r="B54" s="179" t="s">
        <v>187</v>
      </c>
      <c r="C54" s="170"/>
      <c r="D54" s="170">
        <v>0</v>
      </c>
      <c r="E54" s="233"/>
      <c r="F54" s="233"/>
      <c r="G54" s="233"/>
      <c r="H54" s="232">
        <f t="shared" si="1"/>
        <v>0</v>
      </c>
      <c r="I54" s="233">
        <v>0</v>
      </c>
      <c r="J54" s="233"/>
      <c r="K54" s="233"/>
      <c r="L54" s="233"/>
      <c r="M54" s="232">
        <f t="shared" si="3"/>
        <v>0</v>
      </c>
      <c r="N54" s="233">
        <v>0</v>
      </c>
      <c r="O54" s="233"/>
      <c r="P54" s="233"/>
      <c r="Q54" s="233"/>
      <c r="R54" s="232">
        <f t="shared" si="5"/>
        <v>0</v>
      </c>
    </row>
    <row r="55" spans="1:18" s="6" customFormat="1" ht="24" hidden="1" customHeight="1">
      <c r="A55" s="132">
        <v>7300</v>
      </c>
      <c r="B55" s="172" t="s">
        <v>155</v>
      </c>
      <c r="C55" s="170">
        <v>0</v>
      </c>
      <c r="D55" s="170">
        <v>0</v>
      </c>
      <c r="E55" s="233">
        <f>SUM(E56:E58)</f>
        <v>0</v>
      </c>
      <c r="F55" s="233">
        <f t="shared" ref="F55:G55" si="51">SUM(F56:F58)</f>
        <v>0</v>
      </c>
      <c r="G55" s="233">
        <f t="shared" si="51"/>
        <v>0</v>
      </c>
      <c r="H55" s="232">
        <f t="shared" si="1"/>
        <v>0</v>
      </c>
      <c r="I55" s="233">
        <v>0</v>
      </c>
      <c r="J55" s="233">
        <f>SUM(J56:J58)</f>
        <v>0</v>
      </c>
      <c r="K55" s="233">
        <f t="shared" ref="K55:L55" si="52">SUM(K56:K58)</f>
        <v>0</v>
      </c>
      <c r="L55" s="233">
        <f t="shared" si="52"/>
        <v>0</v>
      </c>
      <c r="M55" s="232">
        <f t="shared" si="3"/>
        <v>0</v>
      </c>
      <c r="N55" s="233">
        <v>0</v>
      </c>
      <c r="O55" s="233">
        <f>SUM(O56:O58)</f>
        <v>0</v>
      </c>
      <c r="P55" s="233">
        <f t="shared" ref="P55:Q55" si="53">SUM(P56:P58)</f>
        <v>0</v>
      </c>
      <c r="Q55" s="233">
        <f t="shared" si="53"/>
        <v>0</v>
      </c>
      <c r="R55" s="232">
        <f t="shared" si="5"/>
        <v>0</v>
      </c>
    </row>
    <row r="56" spans="1:18" s="6" customFormat="1" ht="24" hidden="1" customHeight="1">
      <c r="A56" s="133" t="s">
        <v>188</v>
      </c>
      <c r="B56" s="179" t="s">
        <v>170</v>
      </c>
      <c r="C56" s="204"/>
      <c r="D56" s="204">
        <v>0</v>
      </c>
      <c r="E56" s="252"/>
      <c r="F56" s="252"/>
      <c r="G56" s="252"/>
      <c r="H56" s="232">
        <f t="shared" si="1"/>
        <v>0</v>
      </c>
      <c r="I56" s="252">
        <v>0</v>
      </c>
      <c r="J56" s="252"/>
      <c r="K56" s="252"/>
      <c r="L56" s="252"/>
      <c r="M56" s="232">
        <f t="shared" si="3"/>
        <v>0</v>
      </c>
      <c r="N56" s="252">
        <v>0</v>
      </c>
      <c r="O56" s="252"/>
      <c r="P56" s="252"/>
      <c r="Q56" s="252"/>
      <c r="R56" s="232">
        <f t="shared" si="5"/>
        <v>0</v>
      </c>
    </row>
    <row r="57" spans="1:18" s="29" customFormat="1" ht="48" hidden="1" customHeight="1">
      <c r="A57" s="133" t="s">
        <v>189</v>
      </c>
      <c r="B57" s="179" t="s">
        <v>156</v>
      </c>
      <c r="C57" s="204"/>
      <c r="D57" s="204">
        <v>0</v>
      </c>
      <c r="E57" s="252"/>
      <c r="F57" s="252"/>
      <c r="G57" s="252"/>
      <c r="H57" s="232">
        <f t="shared" si="1"/>
        <v>0</v>
      </c>
      <c r="I57" s="252">
        <v>0</v>
      </c>
      <c r="J57" s="252"/>
      <c r="K57" s="252"/>
      <c r="L57" s="252"/>
      <c r="M57" s="232">
        <f t="shared" si="3"/>
        <v>0</v>
      </c>
      <c r="N57" s="252">
        <v>0</v>
      </c>
      <c r="O57" s="252"/>
      <c r="P57" s="252"/>
      <c r="Q57" s="252"/>
      <c r="R57" s="232">
        <f t="shared" si="5"/>
        <v>0</v>
      </c>
    </row>
    <row r="58" spans="1:18" s="89" customFormat="1" ht="36" hidden="1" customHeight="1">
      <c r="A58" s="133">
        <v>7350</v>
      </c>
      <c r="B58" s="179" t="s">
        <v>163</v>
      </c>
      <c r="C58" s="204"/>
      <c r="D58" s="204">
        <v>0</v>
      </c>
      <c r="E58" s="252"/>
      <c r="F58" s="252"/>
      <c r="G58" s="252"/>
      <c r="H58" s="232">
        <f t="shared" si="1"/>
        <v>0</v>
      </c>
      <c r="I58" s="252">
        <v>0</v>
      </c>
      <c r="J58" s="252"/>
      <c r="K58" s="252"/>
      <c r="L58" s="252"/>
      <c r="M58" s="232">
        <f t="shared" si="3"/>
        <v>0</v>
      </c>
      <c r="N58" s="252">
        <v>0</v>
      </c>
      <c r="O58" s="252"/>
      <c r="P58" s="252"/>
      <c r="Q58" s="252"/>
      <c r="R58" s="232">
        <f t="shared" si="5"/>
        <v>0</v>
      </c>
    </row>
    <row r="59" spans="1:18" s="89" customFormat="1" ht="24" hidden="1" customHeight="1">
      <c r="A59" s="132">
        <v>7400</v>
      </c>
      <c r="B59" s="172" t="s">
        <v>161</v>
      </c>
      <c r="C59" s="170">
        <v>0</v>
      </c>
      <c r="D59" s="170">
        <v>0</v>
      </c>
      <c r="E59" s="233">
        <f>SUM(E60:E61)</f>
        <v>0</v>
      </c>
      <c r="F59" s="233">
        <f t="shared" ref="F59:G59" si="54">SUM(F60:F61)</f>
        <v>0</v>
      </c>
      <c r="G59" s="233">
        <f t="shared" si="54"/>
        <v>0</v>
      </c>
      <c r="H59" s="232">
        <f t="shared" si="1"/>
        <v>0</v>
      </c>
      <c r="I59" s="233">
        <v>0</v>
      </c>
      <c r="J59" s="233">
        <f>SUM(J60:J61)</f>
        <v>0</v>
      </c>
      <c r="K59" s="233">
        <f t="shared" ref="K59:L59" si="55">SUM(K60:K61)</f>
        <v>0</v>
      </c>
      <c r="L59" s="233">
        <f t="shared" si="55"/>
        <v>0</v>
      </c>
      <c r="M59" s="232">
        <f t="shared" si="3"/>
        <v>0</v>
      </c>
      <c r="N59" s="233">
        <v>0</v>
      </c>
      <c r="O59" s="233">
        <f>SUM(O60:O61)</f>
        <v>0</v>
      </c>
      <c r="P59" s="233">
        <f t="shared" ref="P59:Q59" si="56">SUM(P60:P61)</f>
        <v>0</v>
      </c>
      <c r="Q59" s="233">
        <f t="shared" si="56"/>
        <v>0</v>
      </c>
      <c r="R59" s="232">
        <f t="shared" si="5"/>
        <v>0</v>
      </c>
    </row>
    <row r="60" spans="1:18" s="89" customFormat="1" ht="24" hidden="1" customHeight="1">
      <c r="A60" s="133">
        <v>7460</v>
      </c>
      <c r="B60" s="172" t="s">
        <v>162</v>
      </c>
      <c r="C60" s="204"/>
      <c r="D60" s="204">
        <v>0</v>
      </c>
      <c r="E60" s="252"/>
      <c r="F60" s="252"/>
      <c r="G60" s="252"/>
      <c r="H60" s="232">
        <f t="shared" si="1"/>
        <v>0</v>
      </c>
      <c r="I60" s="252">
        <v>0</v>
      </c>
      <c r="J60" s="252"/>
      <c r="K60" s="252"/>
      <c r="L60" s="252"/>
      <c r="M60" s="232">
        <f t="shared" si="3"/>
        <v>0</v>
      </c>
      <c r="N60" s="252">
        <v>0</v>
      </c>
      <c r="O60" s="252"/>
      <c r="P60" s="252"/>
      <c r="Q60" s="252"/>
      <c r="R60" s="232">
        <f t="shared" si="5"/>
        <v>0</v>
      </c>
    </row>
    <row r="61" spans="1:18" s="89" customFormat="1" ht="36" hidden="1" customHeight="1">
      <c r="A61" s="133">
        <v>7470</v>
      </c>
      <c r="B61" s="179" t="s">
        <v>167</v>
      </c>
      <c r="C61" s="204"/>
      <c r="D61" s="204">
        <v>0</v>
      </c>
      <c r="E61" s="252"/>
      <c r="F61" s="252"/>
      <c r="G61" s="252"/>
      <c r="H61" s="232">
        <f t="shared" si="1"/>
        <v>0</v>
      </c>
      <c r="I61" s="252">
        <v>0</v>
      </c>
      <c r="J61" s="252"/>
      <c r="K61" s="252"/>
      <c r="L61" s="252"/>
      <c r="M61" s="232">
        <f t="shared" si="3"/>
        <v>0</v>
      </c>
      <c r="N61" s="252">
        <v>0</v>
      </c>
      <c r="O61" s="252"/>
      <c r="P61" s="252"/>
      <c r="Q61" s="252"/>
      <c r="R61" s="232">
        <f t="shared" si="5"/>
        <v>0</v>
      </c>
    </row>
    <row r="62" spans="1:18" s="89" customFormat="1" ht="24" hidden="1" customHeight="1">
      <c r="A62" s="132">
        <v>7500</v>
      </c>
      <c r="B62" s="179" t="s">
        <v>157</v>
      </c>
      <c r="C62" s="170"/>
      <c r="D62" s="170">
        <v>0</v>
      </c>
      <c r="E62" s="233"/>
      <c r="F62" s="233"/>
      <c r="G62" s="233"/>
      <c r="H62" s="232">
        <f t="shared" si="1"/>
        <v>0</v>
      </c>
      <c r="I62" s="233">
        <v>0</v>
      </c>
      <c r="J62" s="233"/>
      <c r="K62" s="233"/>
      <c r="L62" s="233"/>
      <c r="M62" s="232">
        <f t="shared" si="3"/>
        <v>0</v>
      </c>
      <c r="N62" s="233">
        <v>0</v>
      </c>
      <c r="O62" s="233"/>
      <c r="P62" s="233"/>
      <c r="Q62" s="233"/>
      <c r="R62" s="232">
        <f t="shared" si="5"/>
        <v>0</v>
      </c>
    </row>
    <row r="63" spans="1:18" s="89" customFormat="1" ht="12" hidden="1" customHeight="1">
      <c r="A63" s="140" t="s">
        <v>133</v>
      </c>
      <c r="B63" s="124" t="s">
        <v>122</v>
      </c>
      <c r="C63" s="205">
        <v>0</v>
      </c>
      <c r="D63" s="205">
        <v>0</v>
      </c>
      <c r="E63" s="254">
        <f>E64+E65</f>
        <v>0</v>
      </c>
      <c r="F63" s="254">
        <f t="shared" ref="F63:G63" si="57">F64+F65</f>
        <v>0</v>
      </c>
      <c r="G63" s="254">
        <f t="shared" si="57"/>
        <v>0</v>
      </c>
      <c r="H63" s="232">
        <f t="shared" si="1"/>
        <v>0</v>
      </c>
      <c r="I63" s="254">
        <v>0</v>
      </c>
      <c r="J63" s="254">
        <f>J64+J65</f>
        <v>0</v>
      </c>
      <c r="K63" s="254">
        <f t="shared" ref="K63:L63" si="58">K64+K65</f>
        <v>0</v>
      </c>
      <c r="L63" s="254">
        <f t="shared" si="58"/>
        <v>0</v>
      </c>
      <c r="M63" s="232">
        <f t="shared" si="3"/>
        <v>0</v>
      </c>
      <c r="N63" s="254">
        <v>0</v>
      </c>
      <c r="O63" s="254">
        <f>O64+O65</f>
        <v>0</v>
      </c>
      <c r="P63" s="254">
        <f t="shared" ref="P63:Q63" si="59">P64+P65</f>
        <v>0</v>
      </c>
      <c r="Q63" s="254">
        <f t="shared" si="59"/>
        <v>0</v>
      </c>
      <c r="R63" s="232">
        <f t="shared" si="5"/>
        <v>0</v>
      </c>
    </row>
    <row r="64" spans="1:18" s="89" customFormat="1" ht="12" hidden="1" customHeight="1">
      <c r="A64" s="140">
        <v>5000</v>
      </c>
      <c r="B64" s="124" t="s">
        <v>123</v>
      </c>
      <c r="C64" s="170"/>
      <c r="D64" s="170">
        <v>0</v>
      </c>
      <c r="E64" s="244"/>
      <c r="F64" s="244"/>
      <c r="G64" s="244"/>
      <c r="H64" s="232">
        <f t="shared" si="1"/>
        <v>0</v>
      </c>
      <c r="I64" s="233">
        <v>0</v>
      </c>
      <c r="J64" s="244"/>
      <c r="K64" s="244"/>
      <c r="L64" s="244"/>
      <c r="M64" s="232">
        <f t="shared" si="3"/>
        <v>0</v>
      </c>
      <c r="N64" s="233">
        <v>0</v>
      </c>
      <c r="O64" s="244"/>
      <c r="P64" s="244"/>
      <c r="Q64" s="244"/>
      <c r="R64" s="232">
        <f t="shared" si="5"/>
        <v>0</v>
      </c>
    </row>
    <row r="65" spans="1:18" s="89" customFormat="1" ht="12" hidden="1" customHeight="1">
      <c r="A65" s="140">
        <v>9000</v>
      </c>
      <c r="B65" s="182" t="s">
        <v>164</v>
      </c>
      <c r="C65" s="170">
        <v>0</v>
      </c>
      <c r="D65" s="170">
        <v>0</v>
      </c>
      <c r="E65" s="233">
        <f t="shared" ref="E65:G65" si="60">E66+E72+E76+E79</f>
        <v>0</v>
      </c>
      <c r="F65" s="233">
        <f t="shared" si="60"/>
        <v>0</v>
      </c>
      <c r="G65" s="233">
        <f t="shared" si="60"/>
        <v>0</v>
      </c>
      <c r="H65" s="232">
        <f t="shared" si="1"/>
        <v>0</v>
      </c>
      <c r="I65" s="233">
        <v>0</v>
      </c>
      <c r="J65" s="233">
        <f t="shared" ref="J65:L65" si="61">J66+J72+J76+J79</f>
        <v>0</v>
      </c>
      <c r="K65" s="233">
        <f t="shared" si="61"/>
        <v>0</v>
      </c>
      <c r="L65" s="233">
        <f t="shared" si="61"/>
        <v>0</v>
      </c>
      <c r="M65" s="232">
        <f t="shared" si="3"/>
        <v>0</v>
      </c>
      <c r="N65" s="233">
        <v>0</v>
      </c>
      <c r="O65" s="233">
        <f t="shared" ref="O65:Q65" si="62">O66+O72+O76+O79</f>
        <v>0</v>
      </c>
      <c r="P65" s="233">
        <f t="shared" si="62"/>
        <v>0</v>
      </c>
      <c r="Q65" s="233">
        <f t="shared" si="62"/>
        <v>0</v>
      </c>
      <c r="R65" s="232">
        <f t="shared" si="5"/>
        <v>0</v>
      </c>
    </row>
    <row r="66" spans="1:18" s="89" customFormat="1" ht="12" hidden="1" customHeight="1">
      <c r="A66" s="141">
        <v>9100</v>
      </c>
      <c r="B66" s="179" t="s">
        <v>124</v>
      </c>
      <c r="C66" s="170">
        <v>0</v>
      </c>
      <c r="D66" s="170">
        <v>0</v>
      </c>
      <c r="E66" s="233">
        <f t="shared" ref="E66:G66" si="63">SUM(E67:E68)</f>
        <v>0</v>
      </c>
      <c r="F66" s="233">
        <f t="shared" ref="F66" si="64">SUM(F67:F68)</f>
        <v>0</v>
      </c>
      <c r="G66" s="233">
        <f t="shared" si="63"/>
        <v>0</v>
      </c>
      <c r="H66" s="232">
        <f t="shared" si="1"/>
        <v>0</v>
      </c>
      <c r="I66" s="233">
        <v>0</v>
      </c>
      <c r="J66" s="233">
        <f t="shared" ref="J66:L66" si="65">SUM(J67:J68)</f>
        <v>0</v>
      </c>
      <c r="K66" s="233">
        <f t="shared" si="65"/>
        <v>0</v>
      </c>
      <c r="L66" s="233">
        <f t="shared" si="65"/>
        <v>0</v>
      </c>
      <c r="M66" s="232">
        <f t="shared" si="3"/>
        <v>0</v>
      </c>
      <c r="N66" s="233">
        <v>0</v>
      </c>
      <c r="O66" s="233">
        <f t="shared" ref="O66:Q66" si="66">SUM(O67:O68)</f>
        <v>0</v>
      </c>
      <c r="P66" s="233">
        <f t="shared" si="66"/>
        <v>0</v>
      </c>
      <c r="Q66" s="233">
        <f t="shared" si="66"/>
        <v>0</v>
      </c>
      <c r="R66" s="232">
        <f t="shared" si="5"/>
        <v>0</v>
      </c>
    </row>
    <row r="67" spans="1:18" s="89" customFormat="1" ht="24" hidden="1" customHeight="1">
      <c r="A67" s="133" t="s">
        <v>125</v>
      </c>
      <c r="B67" s="179" t="s">
        <v>214</v>
      </c>
      <c r="C67" s="170"/>
      <c r="D67" s="170">
        <v>0</v>
      </c>
      <c r="E67" s="233"/>
      <c r="F67" s="233"/>
      <c r="G67" s="233"/>
      <c r="H67" s="232">
        <f t="shared" si="1"/>
        <v>0</v>
      </c>
      <c r="I67" s="233">
        <v>0</v>
      </c>
      <c r="J67" s="233"/>
      <c r="K67" s="233"/>
      <c r="L67" s="233"/>
      <c r="M67" s="232">
        <f t="shared" si="3"/>
        <v>0</v>
      </c>
      <c r="N67" s="233">
        <v>0</v>
      </c>
      <c r="O67" s="233"/>
      <c r="P67" s="233"/>
      <c r="Q67" s="233"/>
      <c r="R67" s="232">
        <f t="shared" si="5"/>
        <v>0</v>
      </c>
    </row>
    <row r="68" spans="1:18" s="89" customFormat="1" ht="24" hidden="1" customHeight="1">
      <c r="A68" s="133">
        <v>9140</v>
      </c>
      <c r="B68" s="179" t="s">
        <v>215</v>
      </c>
      <c r="C68" s="170">
        <v>0</v>
      </c>
      <c r="D68" s="170">
        <v>0</v>
      </c>
      <c r="E68" s="233">
        <f>SUM(E69:E71)</f>
        <v>0</v>
      </c>
      <c r="F68" s="233">
        <f t="shared" ref="F68:G68" si="67">SUM(F69:F71)</f>
        <v>0</v>
      </c>
      <c r="G68" s="233">
        <f t="shared" si="67"/>
        <v>0</v>
      </c>
      <c r="H68" s="232">
        <f t="shared" si="1"/>
        <v>0</v>
      </c>
      <c r="I68" s="233">
        <v>0</v>
      </c>
      <c r="J68" s="233">
        <f>SUM(J69:J71)</f>
        <v>0</v>
      </c>
      <c r="K68" s="233">
        <f t="shared" ref="K68:L68" si="68">SUM(K69:K71)</f>
        <v>0</v>
      </c>
      <c r="L68" s="233">
        <f t="shared" si="68"/>
        <v>0</v>
      </c>
      <c r="M68" s="232">
        <f t="shared" si="3"/>
        <v>0</v>
      </c>
      <c r="N68" s="233">
        <v>0</v>
      </c>
      <c r="O68" s="233">
        <f>SUM(O69:O71)</f>
        <v>0</v>
      </c>
      <c r="P68" s="233">
        <f t="shared" ref="P68:Q68" si="69">SUM(P69:P71)</f>
        <v>0</v>
      </c>
      <c r="Q68" s="233">
        <f t="shared" si="69"/>
        <v>0</v>
      </c>
      <c r="R68" s="232">
        <f t="shared" si="5"/>
        <v>0</v>
      </c>
    </row>
    <row r="69" spans="1:18" s="89" customFormat="1" ht="36" hidden="1" customHeight="1">
      <c r="A69" s="134">
        <v>9141</v>
      </c>
      <c r="B69" s="172" t="s">
        <v>190</v>
      </c>
      <c r="C69" s="204"/>
      <c r="D69" s="204">
        <v>0</v>
      </c>
      <c r="E69" s="252"/>
      <c r="F69" s="252"/>
      <c r="G69" s="252"/>
      <c r="H69" s="232">
        <f t="shared" si="1"/>
        <v>0</v>
      </c>
      <c r="I69" s="252">
        <v>0</v>
      </c>
      <c r="J69" s="252"/>
      <c r="K69" s="252"/>
      <c r="L69" s="252"/>
      <c r="M69" s="232">
        <f t="shared" si="3"/>
        <v>0</v>
      </c>
      <c r="N69" s="252">
        <v>0</v>
      </c>
      <c r="O69" s="252"/>
      <c r="P69" s="252"/>
      <c r="Q69" s="252"/>
      <c r="R69" s="232">
        <f t="shared" si="5"/>
        <v>0</v>
      </c>
    </row>
    <row r="70" spans="1:18" s="89" customFormat="1" ht="36" hidden="1" customHeight="1">
      <c r="A70" s="134">
        <v>9142</v>
      </c>
      <c r="B70" s="172" t="s">
        <v>191</v>
      </c>
      <c r="C70" s="204"/>
      <c r="D70" s="204">
        <v>0</v>
      </c>
      <c r="E70" s="252"/>
      <c r="F70" s="252"/>
      <c r="G70" s="252"/>
      <c r="H70" s="232">
        <f t="shared" si="1"/>
        <v>0</v>
      </c>
      <c r="I70" s="252">
        <v>0</v>
      </c>
      <c r="J70" s="252"/>
      <c r="K70" s="252"/>
      <c r="L70" s="252"/>
      <c r="M70" s="232">
        <f t="shared" si="3"/>
        <v>0</v>
      </c>
      <c r="N70" s="252">
        <v>0</v>
      </c>
      <c r="O70" s="252"/>
      <c r="P70" s="252"/>
      <c r="Q70" s="252"/>
      <c r="R70" s="232">
        <f t="shared" si="5"/>
        <v>0</v>
      </c>
    </row>
    <row r="71" spans="1:18" s="89" customFormat="1" ht="24" hidden="1" customHeight="1">
      <c r="A71" s="134">
        <v>9149</v>
      </c>
      <c r="B71" s="172" t="s">
        <v>192</v>
      </c>
      <c r="C71" s="204"/>
      <c r="D71" s="204">
        <v>0</v>
      </c>
      <c r="E71" s="252"/>
      <c r="F71" s="252"/>
      <c r="G71" s="252"/>
      <c r="H71" s="232">
        <f t="shared" si="1"/>
        <v>0</v>
      </c>
      <c r="I71" s="252">
        <v>0</v>
      </c>
      <c r="J71" s="252"/>
      <c r="K71" s="252"/>
      <c r="L71" s="252"/>
      <c r="M71" s="232">
        <f t="shared" si="3"/>
        <v>0</v>
      </c>
      <c r="N71" s="252">
        <v>0</v>
      </c>
      <c r="O71" s="252"/>
      <c r="P71" s="252"/>
      <c r="Q71" s="252"/>
      <c r="R71" s="232">
        <f t="shared" si="5"/>
        <v>0</v>
      </c>
    </row>
    <row r="72" spans="1:18" s="29" customFormat="1" ht="24" hidden="1" customHeight="1">
      <c r="A72" s="141">
        <v>9500</v>
      </c>
      <c r="B72" s="172" t="s">
        <v>165</v>
      </c>
      <c r="C72" s="170">
        <v>0</v>
      </c>
      <c r="D72" s="170">
        <v>0</v>
      </c>
      <c r="E72" s="233">
        <f>SUM(E73:E75)</f>
        <v>0</v>
      </c>
      <c r="F72" s="233">
        <f t="shared" ref="F72:G72" si="70">SUM(F73:F75)</f>
        <v>0</v>
      </c>
      <c r="G72" s="233">
        <f t="shared" si="70"/>
        <v>0</v>
      </c>
      <c r="H72" s="232">
        <f t="shared" si="1"/>
        <v>0</v>
      </c>
      <c r="I72" s="233">
        <v>0</v>
      </c>
      <c r="J72" s="233">
        <f>SUM(J73:J75)</f>
        <v>0</v>
      </c>
      <c r="K72" s="233">
        <f t="shared" ref="K72:L72" si="71">SUM(K73:K75)</f>
        <v>0</v>
      </c>
      <c r="L72" s="233">
        <f t="shared" si="71"/>
        <v>0</v>
      </c>
      <c r="M72" s="232">
        <f t="shared" si="3"/>
        <v>0</v>
      </c>
      <c r="N72" s="233">
        <v>0</v>
      </c>
      <c r="O72" s="233">
        <f>SUM(O73:O75)</f>
        <v>0</v>
      </c>
      <c r="P72" s="233">
        <f t="shared" ref="P72:Q72" si="72">SUM(P73:P75)</f>
        <v>0</v>
      </c>
      <c r="Q72" s="233">
        <f t="shared" si="72"/>
        <v>0</v>
      </c>
      <c r="R72" s="232">
        <f t="shared" si="5"/>
        <v>0</v>
      </c>
    </row>
    <row r="73" spans="1:18" s="29" customFormat="1" ht="24" hidden="1" customHeight="1">
      <c r="A73" s="133" t="s">
        <v>193</v>
      </c>
      <c r="B73" s="172" t="s">
        <v>171</v>
      </c>
      <c r="C73" s="170"/>
      <c r="D73" s="170">
        <v>0</v>
      </c>
      <c r="E73" s="233"/>
      <c r="F73" s="233"/>
      <c r="G73" s="233"/>
      <c r="H73" s="232">
        <f t="shared" si="1"/>
        <v>0</v>
      </c>
      <c r="I73" s="233">
        <v>0</v>
      </c>
      <c r="J73" s="233"/>
      <c r="K73" s="233"/>
      <c r="L73" s="233"/>
      <c r="M73" s="232">
        <f t="shared" si="3"/>
        <v>0</v>
      </c>
      <c r="N73" s="233">
        <v>0</v>
      </c>
      <c r="O73" s="233"/>
      <c r="P73" s="233"/>
      <c r="Q73" s="233"/>
      <c r="R73" s="232">
        <f t="shared" si="5"/>
        <v>0</v>
      </c>
    </row>
    <row r="74" spans="1:18" s="28" customFormat="1" ht="48" hidden="1" customHeight="1">
      <c r="A74" s="133">
        <v>9580</v>
      </c>
      <c r="B74" s="172" t="s">
        <v>166</v>
      </c>
      <c r="C74" s="204"/>
      <c r="D74" s="204">
        <v>0</v>
      </c>
      <c r="E74" s="252"/>
      <c r="F74" s="252"/>
      <c r="G74" s="252"/>
      <c r="H74" s="232">
        <f t="shared" ref="H74:H137" si="73">SUM(D74:G74)</f>
        <v>0</v>
      </c>
      <c r="I74" s="252">
        <v>0</v>
      </c>
      <c r="J74" s="252"/>
      <c r="K74" s="252"/>
      <c r="L74" s="252"/>
      <c r="M74" s="232">
        <f t="shared" ref="M74:M137" si="74">SUM(I74:L74)</f>
        <v>0</v>
      </c>
      <c r="N74" s="252">
        <v>0</v>
      </c>
      <c r="O74" s="252"/>
      <c r="P74" s="252"/>
      <c r="Q74" s="252"/>
      <c r="R74" s="232">
        <f t="shared" ref="R74:R137" si="75">SUM(N74:Q74)</f>
        <v>0</v>
      </c>
    </row>
    <row r="75" spans="1:18" s="4" customFormat="1" ht="36" hidden="1" customHeight="1">
      <c r="A75" s="133">
        <v>9590</v>
      </c>
      <c r="B75" s="179" t="s">
        <v>172</v>
      </c>
      <c r="C75" s="204"/>
      <c r="D75" s="204">
        <v>0</v>
      </c>
      <c r="E75" s="252"/>
      <c r="F75" s="252"/>
      <c r="G75" s="252"/>
      <c r="H75" s="232">
        <f t="shared" si="73"/>
        <v>0</v>
      </c>
      <c r="I75" s="252">
        <v>0</v>
      </c>
      <c r="J75" s="252"/>
      <c r="K75" s="252"/>
      <c r="L75" s="252"/>
      <c r="M75" s="232">
        <f t="shared" si="74"/>
        <v>0</v>
      </c>
      <c r="N75" s="252">
        <v>0</v>
      </c>
      <c r="O75" s="252"/>
      <c r="P75" s="252"/>
      <c r="Q75" s="252"/>
      <c r="R75" s="232">
        <f t="shared" si="75"/>
        <v>0</v>
      </c>
    </row>
    <row r="76" spans="1:18" ht="24" hidden="1" customHeight="1">
      <c r="A76" s="141">
        <v>9700</v>
      </c>
      <c r="B76" s="183" t="s">
        <v>194</v>
      </c>
      <c r="C76" s="170">
        <v>0</v>
      </c>
      <c r="D76" s="170">
        <v>0</v>
      </c>
      <c r="E76" s="233">
        <f>SUM(E77:E78)</f>
        <v>0</v>
      </c>
      <c r="F76" s="233">
        <f t="shared" ref="F76:G76" si="76">SUM(F77:F78)</f>
        <v>0</v>
      </c>
      <c r="G76" s="233">
        <f t="shared" si="76"/>
        <v>0</v>
      </c>
      <c r="H76" s="232">
        <f t="shared" si="73"/>
        <v>0</v>
      </c>
      <c r="I76" s="233">
        <v>0</v>
      </c>
      <c r="J76" s="233">
        <f>SUM(J77:J78)</f>
        <v>0</v>
      </c>
      <c r="K76" s="233">
        <f t="shared" ref="K76:L76" si="77">SUM(K77:K78)</f>
        <v>0</v>
      </c>
      <c r="L76" s="233">
        <f t="shared" si="77"/>
        <v>0</v>
      </c>
      <c r="M76" s="232">
        <f t="shared" si="74"/>
        <v>0</v>
      </c>
      <c r="N76" s="233">
        <v>0</v>
      </c>
      <c r="O76" s="233">
        <f>SUM(O77:O78)</f>
        <v>0</v>
      </c>
      <c r="P76" s="233">
        <f t="shared" ref="P76:Q76" si="78">SUM(P77:P78)</f>
        <v>0</v>
      </c>
      <c r="Q76" s="233">
        <f t="shared" si="78"/>
        <v>0</v>
      </c>
      <c r="R76" s="232">
        <f t="shared" si="75"/>
        <v>0</v>
      </c>
    </row>
    <row r="77" spans="1:18" ht="24" hidden="1" customHeight="1">
      <c r="A77" s="133">
        <v>9710</v>
      </c>
      <c r="B77" s="184" t="s">
        <v>195</v>
      </c>
      <c r="C77" s="204"/>
      <c r="D77" s="204">
        <v>0</v>
      </c>
      <c r="E77" s="252"/>
      <c r="F77" s="252"/>
      <c r="G77" s="252"/>
      <c r="H77" s="232">
        <f t="shared" si="73"/>
        <v>0</v>
      </c>
      <c r="I77" s="252">
        <v>0</v>
      </c>
      <c r="J77" s="252"/>
      <c r="K77" s="252"/>
      <c r="L77" s="252"/>
      <c r="M77" s="232">
        <f t="shared" si="74"/>
        <v>0</v>
      </c>
      <c r="N77" s="252">
        <v>0</v>
      </c>
      <c r="O77" s="252"/>
      <c r="P77" s="252"/>
      <c r="Q77" s="252"/>
      <c r="R77" s="232">
        <f t="shared" si="75"/>
        <v>0</v>
      </c>
    </row>
    <row r="78" spans="1:18" ht="36" hidden="1" customHeight="1">
      <c r="A78" s="142">
        <v>9720</v>
      </c>
      <c r="B78" s="183" t="s">
        <v>196</v>
      </c>
      <c r="C78" s="204"/>
      <c r="D78" s="204">
        <v>0</v>
      </c>
      <c r="E78" s="252"/>
      <c r="F78" s="252"/>
      <c r="G78" s="252"/>
      <c r="H78" s="232">
        <f t="shared" si="73"/>
        <v>0</v>
      </c>
      <c r="I78" s="252">
        <v>0</v>
      </c>
      <c r="J78" s="252"/>
      <c r="K78" s="252"/>
      <c r="L78" s="252"/>
      <c r="M78" s="232">
        <f t="shared" si="74"/>
        <v>0</v>
      </c>
      <c r="N78" s="252">
        <v>0</v>
      </c>
      <c r="O78" s="252"/>
      <c r="P78" s="252"/>
      <c r="Q78" s="252"/>
      <c r="R78" s="232">
        <f t="shared" si="75"/>
        <v>0</v>
      </c>
    </row>
    <row r="79" spans="1:18" ht="24" hidden="1" customHeight="1">
      <c r="A79" s="141">
        <v>9600</v>
      </c>
      <c r="B79" s="179" t="s">
        <v>134</v>
      </c>
      <c r="C79" s="204"/>
      <c r="D79" s="204">
        <v>0</v>
      </c>
      <c r="E79" s="252"/>
      <c r="F79" s="252"/>
      <c r="G79" s="252"/>
      <c r="H79" s="232">
        <f t="shared" si="73"/>
        <v>0</v>
      </c>
      <c r="I79" s="252">
        <v>0</v>
      </c>
      <c r="J79" s="252"/>
      <c r="K79" s="252"/>
      <c r="L79" s="252"/>
      <c r="M79" s="232">
        <f t="shared" si="74"/>
        <v>0</v>
      </c>
      <c r="N79" s="252">
        <v>0</v>
      </c>
      <c r="O79" s="252"/>
      <c r="P79" s="252"/>
      <c r="Q79" s="252"/>
      <c r="R79" s="232">
        <f t="shared" si="75"/>
        <v>0</v>
      </c>
    </row>
    <row r="80" spans="1:18" ht="52.5" hidden="1" customHeight="1">
      <c r="A80" s="130" t="s">
        <v>197</v>
      </c>
      <c r="B80" s="185" t="s">
        <v>47</v>
      </c>
      <c r="C80" s="206"/>
      <c r="D80" s="206">
        <v>0</v>
      </c>
      <c r="E80" s="262">
        <f>E10-E35</f>
        <v>0</v>
      </c>
      <c r="F80" s="262">
        <f t="shared" ref="F80:G80" si="79">F10-F35</f>
        <v>0</v>
      </c>
      <c r="G80" s="262">
        <f t="shared" si="79"/>
        <v>0</v>
      </c>
      <c r="H80" s="232">
        <f t="shared" si="73"/>
        <v>0</v>
      </c>
      <c r="I80" s="262">
        <v>0</v>
      </c>
      <c r="J80" s="262">
        <f>J10-J35</f>
        <v>0</v>
      </c>
      <c r="K80" s="262">
        <f t="shared" ref="K80:L80" si="80">K10-K35</f>
        <v>0</v>
      </c>
      <c r="L80" s="262">
        <f t="shared" si="80"/>
        <v>0</v>
      </c>
      <c r="M80" s="232">
        <f t="shared" si="74"/>
        <v>0</v>
      </c>
      <c r="N80" s="262">
        <v>0</v>
      </c>
      <c r="O80" s="262">
        <f>O10-O35</f>
        <v>0</v>
      </c>
      <c r="P80" s="262">
        <f t="shared" ref="P80:Q80" si="81">P10-P35</f>
        <v>0</v>
      </c>
      <c r="Q80" s="262">
        <f t="shared" si="81"/>
        <v>0</v>
      </c>
      <c r="R80" s="232">
        <f t="shared" si="75"/>
        <v>0</v>
      </c>
    </row>
    <row r="81" spans="1:18" ht="12" hidden="1" customHeight="1">
      <c r="A81" s="143" t="s">
        <v>48</v>
      </c>
      <c r="B81" s="185" t="s">
        <v>49</v>
      </c>
      <c r="C81" s="206">
        <v>0</v>
      </c>
      <c r="D81" s="206">
        <v>0</v>
      </c>
      <c r="E81" s="262">
        <f>E82+E85+E89+E88</f>
        <v>0</v>
      </c>
      <c r="F81" s="262">
        <f t="shared" ref="F81:G81" si="82">F82+F85+F89+F88</f>
        <v>0</v>
      </c>
      <c r="G81" s="262">
        <f t="shared" si="82"/>
        <v>0</v>
      </c>
      <c r="H81" s="232">
        <f t="shared" si="73"/>
        <v>0</v>
      </c>
      <c r="I81" s="262">
        <v>0</v>
      </c>
      <c r="J81" s="262">
        <f>J82+J85+J89+J88</f>
        <v>0</v>
      </c>
      <c r="K81" s="262">
        <f t="shared" ref="K81:L81" si="83">K82+K85+K89+K88</f>
        <v>0</v>
      </c>
      <c r="L81" s="262">
        <f t="shared" si="83"/>
        <v>0</v>
      </c>
      <c r="M81" s="232">
        <f t="shared" si="74"/>
        <v>0</v>
      </c>
      <c r="N81" s="262">
        <v>0</v>
      </c>
      <c r="O81" s="262">
        <f>O82+O85+O89+O88</f>
        <v>0</v>
      </c>
      <c r="P81" s="262">
        <f t="shared" ref="P81:Q81" si="84">P82+P85+P89+P88</f>
        <v>0</v>
      </c>
      <c r="Q81" s="262">
        <f t="shared" si="84"/>
        <v>0</v>
      </c>
      <c r="R81" s="232">
        <f t="shared" si="75"/>
        <v>0</v>
      </c>
    </row>
    <row r="82" spans="1:18" s="4" customFormat="1" ht="12" hidden="1" customHeight="1">
      <c r="A82" s="141" t="s">
        <v>50</v>
      </c>
      <c r="B82" s="179" t="s">
        <v>51</v>
      </c>
      <c r="C82" s="98">
        <v>0</v>
      </c>
      <c r="D82" s="98">
        <v>0</v>
      </c>
      <c r="E82" s="231">
        <f>E83+E84</f>
        <v>0</v>
      </c>
      <c r="F82" s="231">
        <f t="shared" ref="F82:G82" si="85">F83+F84</f>
        <v>0</v>
      </c>
      <c r="G82" s="231">
        <f t="shared" si="85"/>
        <v>0</v>
      </c>
      <c r="H82" s="232">
        <f t="shared" si="73"/>
        <v>0</v>
      </c>
      <c r="I82" s="231">
        <v>0</v>
      </c>
      <c r="J82" s="231">
        <f>J83+J84</f>
        <v>0</v>
      </c>
      <c r="K82" s="231">
        <f t="shared" ref="K82:L82" si="86">K83+K84</f>
        <v>0</v>
      </c>
      <c r="L82" s="231">
        <f t="shared" si="86"/>
        <v>0</v>
      </c>
      <c r="M82" s="232">
        <f t="shared" si="74"/>
        <v>0</v>
      </c>
      <c r="N82" s="231">
        <v>0</v>
      </c>
      <c r="O82" s="231">
        <f>O83+O84</f>
        <v>0</v>
      </c>
      <c r="P82" s="231">
        <f t="shared" ref="P82:Q82" si="87">P83+P84</f>
        <v>0</v>
      </c>
      <c r="Q82" s="231">
        <f t="shared" si="87"/>
        <v>0</v>
      </c>
      <c r="R82" s="232">
        <f t="shared" si="75"/>
        <v>0</v>
      </c>
    </row>
    <row r="83" spans="1:18" s="6" customFormat="1" ht="12" hidden="1" customHeight="1">
      <c r="A83" s="141" t="s">
        <v>52</v>
      </c>
      <c r="B83" s="179" t="s">
        <v>53</v>
      </c>
      <c r="C83" s="98"/>
      <c r="D83" s="98">
        <v>0</v>
      </c>
      <c r="E83" s="231"/>
      <c r="F83" s="231"/>
      <c r="G83" s="231"/>
      <c r="H83" s="232">
        <f t="shared" si="73"/>
        <v>0</v>
      </c>
      <c r="I83" s="231">
        <v>0</v>
      </c>
      <c r="J83" s="231"/>
      <c r="K83" s="231"/>
      <c r="L83" s="231"/>
      <c r="M83" s="232">
        <f t="shared" si="74"/>
        <v>0</v>
      </c>
      <c r="N83" s="231">
        <v>0</v>
      </c>
      <c r="O83" s="231"/>
      <c r="P83" s="231"/>
      <c r="Q83" s="231"/>
      <c r="R83" s="232">
        <f t="shared" si="75"/>
        <v>0</v>
      </c>
    </row>
    <row r="84" spans="1:18" s="6" customFormat="1" ht="12" hidden="1" customHeight="1">
      <c r="A84" s="141" t="s">
        <v>54</v>
      </c>
      <c r="B84" s="179" t="s">
        <v>55</v>
      </c>
      <c r="C84" s="98"/>
      <c r="D84" s="98">
        <v>0</v>
      </c>
      <c r="E84" s="231"/>
      <c r="F84" s="231"/>
      <c r="G84" s="231"/>
      <c r="H84" s="232">
        <f t="shared" si="73"/>
        <v>0</v>
      </c>
      <c r="I84" s="231">
        <v>0</v>
      </c>
      <c r="J84" s="231"/>
      <c r="K84" s="231"/>
      <c r="L84" s="231"/>
      <c r="M84" s="232">
        <f t="shared" si="74"/>
        <v>0</v>
      </c>
      <c r="N84" s="231">
        <v>0</v>
      </c>
      <c r="O84" s="231"/>
      <c r="P84" s="231"/>
      <c r="Q84" s="231"/>
      <c r="R84" s="232">
        <f t="shared" si="75"/>
        <v>0</v>
      </c>
    </row>
    <row r="85" spans="1:18" s="6" customFormat="1" ht="12" hidden="1" customHeight="1">
      <c r="A85" s="141" t="s">
        <v>56</v>
      </c>
      <c r="B85" s="179" t="s">
        <v>57</v>
      </c>
      <c r="C85" s="98">
        <v>0</v>
      </c>
      <c r="D85" s="98">
        <v>0</v>
      </c>
      <c r="E85" s="231">
        <f>E86+E87</f>
        <v>0</v>
      </c>
      <c r="F85" s="231">
        <f t="shared" ref="F85:G85" si="88">F86+F87</f>
        <v>0</v>
      </c>
      <c r="G85" s="231">
        <f t="shared" si="88"/>
        <v>0</v>
      </c>
      <c r="H85" s="232">
        <f t="shared" si="73"/>
        <v>0</v>
      </c>
      <c r="I85" s="231">
        <v>0</v>
      </c>
      <c r="J85" s="231">
        <f>J86+J87</f>
        <v>0</v>
      </c>
      <c r="K85" s="231">
        <f t="shared" ref="K85:L85" si="89">K86+K87</f>
        <v>0</v>
      </c>
      <c r="L85" s="231">
        <f t="shared" si="89"/>
        <v>0</v>
      </c>
      <c r="M85" s="232">
        <f t="shared" si="74"/>
        <v>0</v>
      </c>
      <c r="N85" s="231">
        <v>0</v>
      </c>
      <c r="O85" s="231">
        <f>O86+O87</f>
        <v>0</v>
      </c>
      <c r="P85" s="231">
        <f t="shared" ref="P85:Q85" si="90">P86+P87</f>
        <v>0</v>
      </c>
      <c r="Q85" s="231">
        <f t="shared" si="90"/>
        <v>0</v>
      </c>
      <c r="R85" s="232">
        <f t="shared" si="75"/>
        <v>0</v>
      </c>
    </row>
    <row r="86" spans="1:18" s="6" customFormat="1" ht="12" hidden="1" customHeight="1">
      <c r="A86" s="141" t="s">
        <v>58</v>
      </c>
      <c r="B86" s="179" t="s">
        <v>59</v>
      </c>
      <c r="C86" s="98"/>
      <c r="D86" s="98">
        <v>0</v>
      </c>
      <c r="E86" s="231"/>
      <c r="F86" s="231"/>
      <c r="G86" s="231"/>
      <c r="H86" s="232">
        <f t="shared" si="73"/>
        <v>0</v>
      </c>
      <c r="I86" s="231">
        <v>0</v>
      </c>
      <c r="J86" s="231"/>
      <c r="K86" s="231"/>
      <c r="L86" s="231"/>
      <c r="M86" s="232">
        <f t="shared" si="74"/>
        <v>0</v>
      </c>
      <c r="N86" s="231">
        <v>0</v>
      </c>
      <c r="O86" s="231"/>
      <c r="P86" s="231"/>
      <c r="Q86" s="231"/>
      <c r="R86" s="232">
        <f t="shared" si="75"/>
        <v>0</v>
      </c>
    </row>
    <row r="87" spans="1:18" s="6" customFormat="1" ht="12" hidden="1" customHeight="1">
      <c r="A87" s="141" t="s">
        <v>60</v>
      </c>
      <c r="B87" s="179" t="s">
        <v>61</v>
      </c>
      <c r="C87" s="98"/>
      <c r="D87" s="98">
        <v>0</v>
      </c>
      <c r="E87" s="231"/>
      <c r="F87" s="231"/>
      <c r="G87" s="231"/>
      <c r="H87" s="232">
        <f t="shared" si="73"/>
        <v>0</v>
      </c>
      <c r="I87" s="231">
        <v>0</v>
      </c>
      <c r="J87" s="231"/>
      <c r="K87" s="231"/>
      <c r="L87" s="231"/>
      <c r="M87" s="232">
        <f t="shared" si="74"/>
        <v>0</v>
      </c>
      <c r="N87" s="231">
        <v>0</v>
      </c>
      <c r="O87" s="231"/>
      <c r="P87" s="231"/>
      <c r="Q87" s="231"/>
      <c r="R87" s="232">
        <f t="shared" si="75"/>
        <v>0</v>
      </c>
    </row>
    <row r="88" spans="1:18" s="6" customFormat="1" ht="12" hidden="1" customHeight="1">
      <c r="A88" s="141" t="s">
        <v>198</v>
      </c>
      <c r="B88" s="187" t="s">
        <v>168</v>
      </c>
      <c r="C88" s="98"/>
      <c r="D88" s="98">
        <v>0</v>
      </c>
      <c r="E88" s="231"/>
      <c r="F88" s="231"/>
      <c r="G88" s="231"/>
      <c r="H88" s="232">
        <f t="shared" si="73"/>
        <v>0</v>
      </c>
      <c r="I88" s="231">
        <v>0</v>
      </c>
      <c r="J88" s="231"/>
      <c r="K88" s="231"/>
      <c r="L88" s="231"/>
      <c r="M88" s="232">
        <f t="shared" si="74"/>
        <v>0</v>
      </c>
      <c r="N88" s="231">
        <v>0</v>
      </c>
      <c r="O88" s="231"/>
      <c r="P88" s="231"/>
      <c r="Q88" s="231"/>
      <c r="R88" s="232">
        <f t="shared" si="75"/>
        <v>0</v>
      </c>
    </row>
    <row r="89" spans="1:18" s="6" customFormat="1" ht="12" hidden="1" customHeight="1">
      <c r="A89" s="144" t="s">
        <v>62</v>
      </c>
      <c r="B89" s="125" t="s">
        <v>63</v>
      </c>
      <c r="C89" s="170">
        <v>0</v>
      </c>
      <c r="D89" s="170">
        <v>0</v>
      </c>
      <c r="E89" s="233">
        <f t="shared" ref="E89:G89" si="91">E90+E91+E92</f>
        <v>0</v>
      </c>
      <c r="F89" s="233">
        <f t="shared" si="91"/>
        <v>0</v>
      </c>
      <c r="G89" s="233">
        <f t="shared" si="91"/>
        <v>0</v>
      </c>
      <c r="H89" s="232">
        <f t="shared" si="73"/>
        <v>0</v>
      </c>
      <c r="I89" s="233">
        <v>0</v>
      </c>
      <c r="J89" s="233">
        <f t="shared" ref="J89:L89" si="92">J90+J91+J92</f>
        <v>0</v>
      </c>
      <c r="K89" s="233">
        <f t="shared" si="92"/>
        <v>0</v>
      </c>
      <c r="L89" s="233">
        <f t="shared" si="92"/>
        <v>0</v>
      </c>
      <c r="M89" s="232">
        <f t="shared" si="74"/>
        <v>0</v>
      </c>
      <c r="N89" s="233">
        <v>0</v>
      </c>
      <c r="O89" s="233">
        <f t="shared" ref="O89:Q89" si="93">O90+O91+O92</f>
        <v>0</v>
      </c>
      <c r="P89" s="233">
        <f t="shared" si="93"/>
        <v>0</v>
      </c>
      <c r="Q89" s="233">
        <f t="shared" si="93"/>
        <v>0</v>
      </c>
      <c r="R89" s="232">
        <f t="shared" si="75"/>
        <v>0</v>
      </c>
    </row>
    <row r="90" spans="1:18" s="6" customFormat="1" ht="36" hidden="1" customHeight="1">
      <c r="A90" s="144" t="s">
        <v>64</v>
      </c>
      <c r="B90" s="179" t="s">
        <v>65</v>
      </c>
      <c r="C90" s="98"/>
      <c r="D90" s="98">
        <v>0</v>
      </c>
      <c r="E90" s="231"/>
      <c r="F90" s="231"/>
      <c r="G90" s="231"/>
      <c r="H90" s="232">
        <f t="shared" si="73"/>
        <v>0</v>
      </c>
      <c r="I90" s="231">
        <v>0</v>
      </c>
      <c r="J90" s="231"/>
      <c r="K90" s="231"/>
      <c r="L90" s="231"/>
      <c r="M90" s="232">
        <f t="shared" si="74"/>
        <v>0</v>
      </c>
      <c r="N90" s="231">
        <v>0</v>
      </c>
      <c r="O90" s="231"/>
      <c r="P90" s="231"/>
      <c r="Q90" s="231"/>
      <c r="R90" s="232">
        <f t="shared" si="75"/>
        <v>0</v>
      </c>
    </row>
    <row r="91" spans="1:18" s="6" customFormat="1" ht="24" hidden="1" customHeight="1">
      <c r="A91" s="144" t="s">
        <v>66</v>
      </c>
      <c r="B91" s="179" t="s">
        <v>67</v>
      </c>
      <c r="C91" s="98"/>
      <c r="D91" s="98">
        <v>0</v>
      </c>
      <c r="E91" s="231"/>
      <c r="F91" s="231"/>
      <c r="G91" s="231"/>
      <c r="H91" s="232">
        <f t="shared" si="73"/>
        <v>0</v>
      </c>
      <c r="I91" s="231">
        <v>0</v>
      </c>
      <c r="J91" s="231"/>
      <c r="K91" s="231"/>
      <c r="L91" s="231"/>
      <c r="M91" s="232">
        <f t="shared" si="74"/>
        <v>0</v>
      </c>
      <c r="N91" s="231">
        <v>0</v>
      </c>
      <c r="O91" s="231"/>
      <c r="P91" s="231"/>
      <c r="Q91" s="231"/>
      <c r="R91" s="232">
        <f t="shared" si="75"/>
        <v>0</v>
      </c>
    </row>
    <row r="92" spans="1:18" s="6" customFormat="1" ht="24" hidden="1" customHeight="1">
      <c r="A92" s="144" t="s">
        <v>68</v>
      </c>
      <c r="B92" s="125" t="s">
        <v>69</v>
      </c>
      <c r="C92" s="98"/>
      <c r="D92" s="98">
        <v>0</v>
      </c>
      <c r="E92" s="231"/>
      <c r="F92" s="231"/>
      <c r="G92" s="231"/>
      <c r="H92" s="232">
        <f t="shared" si="73"/>
        <v>0</v>
      </c>
      <c r="I92" s="231">
        <v>0</v>
      </c>
      <c r="J92" s="231"/>
      <c r="K92" s="231"/>
      <c r="L92" s="231"/>
      <c r="M92" s="232">
        <f t="shared" si="74"/>
        <v>0</v>
      </c>
      <c r="N92" s="231">
        <v>0</v>
      </c>
      <c r="O92" s="231"/>
      <c r="P92" s="231"/>
      <c r="Q92" s="231"/>
      <c r="R92" s="232">
        <f t="shared" si="75"/>
        <v>0</v>
      </c>
    </row>
    <row r="93" spans="1:18" s="6" customFormat="1" ht="12">
      <c r="A93" s="145"/>
      <c r="B93" s="188" t="s">
        <v>199</v>
      </c>
      <c r="C93" s="207"/>
      <c r="D93" s="190">
        <v>0</v>
      </c>
      <c r="E93" s="268"/>
      <c r="F93" s="268"/>
      <c r="G93" s="268"/>
      <c r="H93" s="269">
        <f t="shared" si="73"/>
        <v>0</v>
      </c>
      <c r="I93" s="347">
        <v>0</v>
      </c>
      <c r="J93" s="268"/>
      <c r="K93" s="268"/>
      <c r="L93" s="268"/>
      <c r="M93" s="269">
        <f t="shared" si="74"/>
        <v>0</v>
      </c>
      <c r="N93" s="347">
        <v>0</v>
      </c>
      <c r="O93" s="268"/>
      <c r="P93" s="268"/>
      <c r="Q93" s="268"/>
      <c r="R93" s="269">
        <f t="shared" si="75"/>
        <v>0</v>
      </c>
    </row>
    <row r="94" spans="1:18" s="6" customFormat="1" ht="20.399999999999999">
      <c r="A94" s="129" t="s">
        <v>201</v>
      </c>
      <c r="B94" s="123" t="s">
        <v>88</v>
      </c>
      <c r="C94" s="200">
        <v>71265</v>
      </c>
      <c r="D94" s="200">
        <v>71265</v>
      </c>
      <c r="E94" s="228">
        <f t="shared" ref="E94:G94" si="94">E95+E96+E98+E116</f>
        <v>0</v>
      </c>
      <c r="F94" s="228">
        <f t="shared" si="94"/>
        <v>0</v>
      </c>
      <c r="G94" s="228">
        <f t="shared" si="94"/>
        <v>0</v>
      </c>
      <c r="H94" s="229">
        <f t="shared" si="73"/>
        <v>71265</v>
      </c>
      <c r="I94" s="228">
        <v>71265</v>
      </c>
      <c r="J94" s="228">
        <f t="shared" ref="J94:L94" si="95">J95+J96+J98+J116</f>
        <v>0</v>
      </c>
      <c r="K94" s="228">
        <f t="shared" si="95"/>
        <v>0</v>
      </c>
      <c r="L94" s="228">
        <f t="shared" si="95"/>
        <v>0</v>
      </c>
      <c r="M94" s="229">
        <f t="shared" si="74"/>
        <v>71265</v>
      </c>
      <c r="N94" s="228">
        <v>71265</v>
      </c>
      <c r="O94" s="228">
        <f t="shared" ref="O94:Q94" si="96">O95+O96+O98+O116</f>
        <v>0</v>
      </c>
      <c r="P94" s="228">
        <f t="shared" si="96"/>
        <v>0</v>
      </c>
      <c r="Q94" s="228">
        <f t="shared" si="96"/>
        <v>0</v>
      </c>
      <c r="R94" s="229">
        <f t="shared" si="75"/>
        <v>71265</v>
      </c>
    </row>
    <row r="95" spans="1:18" s="6" customFormat="1" ht="24" hidden="1" customHeight="1">
      <c r="A95" s="130" t="s">
        <v>177</v>
      </c>
      <c r="B95" s="124" t="s">
        <v>90</v>
      </c>
      <c r="C95" s="98"/>
      <c r="D95" s="98">
        <v>0</v>
      </c>
      <c r="E95" s="231"/>
      <c r="F95" s="231"/>
      <c r="G95" s="231"/>
      <c r="H95" s="232">
        <f t="shared" si="73"/>
        <v>0</v>
      </c>
      <c r="I95" s="231">
        <v>0</v>
      </c>
      <c r="J95" s="231"/>
      <c r="K95" s="231"/>
      <c r="L95" s="231"/>
      <c r="M95" s="232">
        <f t="shared" si="74"/>
        <v>0</v>
      </c>
      <c r="N95" s="231">
        <v>0</v>
      </c>
      <c r="O95" s="231"/>
      <c r="P95" s="231"/>
      <c r="Q95" s="231"/>
      <c r="R95" s="232">
        <f t="shared" si="75"/>
        <v>0</v>
      </c>
    </row>
    <row r="96" spans="1:18" s="6" customFormat="1" ht="12" hidden="1" customHeight="1">
      <c r="A96" s="130" t="s">
        <v>91</v>
      </c>
      <c r="B96" s="124" t="s">
        <v>92</v>
      </c>
      <c r="C96" s="98"/>
      <c r="D96" s="98">
        <v>0</v>
      </c>
      <c r="E96" s="231"/>
      <c r="F96" s="231"/>
      <c r="G96" s="231"/>
      <c r="H96" s="232">
        <f t="shared" si="73"/>
        <v>0</v>
      </c>
      <c r="I96" s="231">
        <v>0</v>
      </c>
      <c r="J96" s="231"/>
      <c r="K96" s="231"/>
      <c r="L96" s="231"/>
      <c r="M96" s="232">
        <f t="shared" si="74"/>
        <v>0</v>
      </c>
      <c r="N96" s="231">
        <v>0</v>
      </c>
      <c r="O96" s="231"/>
      <c r="P96" s="231"/>
      <c r="Q96" s="231"/>
      <c r="R96" s="232">
        <f t="shared" si="75"/>
        <v>0</v>
      </c>
    </row>
    <row r="97" spans="1:18" s="6" customFormat="1" ht="12" hidden="1" customHeight="1">
      <c r="A97" s="131">
        <v>21210</v>
      </c>
      <c r="B97" s="125" t="s">
        <v>93</v>
      </c>
      <c r="C97" s="98"/>
      <c r="D97" s="98">
        <v>0</v>
      </c>
      <c r="E97" s="231"/>
      <c r="F97" s="231"/>
      <c r="G97" s="231"/>
      <c r="H97" s="232">
        <f t="shared" si="73"/>
        <v>0</v>
      </c>
      <c r="I97" s="231">
        <v>0</v>
      </c>
      <c r="J97" s="231"/>
      <c r="K97" s="231"/>
      <c r="L97" s="231"/>
      <c r="M97" s="232">
        <f t="shared" si="74"/>
        <v>0</v>
      </c>
      <c r="N97" s="231">
        <v>0</v>
      </c>
      <c r="O97" s="231"/>
      <c r="P97" s="231"/>
      <c r="Q97" s="231"/>
      <c r="R97" s="232">
        <f t="shared" si="75"/>
        <v>0</v>
      </c>
    </row>
    <row r="98" spans="1:18" s="6" customFormat="1" ht="21" hidden="1" customHeight="1">
      <c r="A98" s="130" t="s">
        <v>178</v>
      </c>
      <c r="B98" s="124" t="s">
        <v>94</v>
      </c>
      <c r="C98" s="170">
        <v>0</v>
      </c>
      <c r="D98" s="170">
        <v>0</v>
      </c>
      <c r="E98" s="233">
        <f t="shared" ref="E98:G98" si="97">E99+E105</f>
        <v>0</v>
      </c>
      <c r="F98" s="233">
        <f t="shared" si="97"/>
        <v>0</v>
      </c>
      <c r="G98" s="233">
        <f t="shared" si="97"/>
        <v>0</v>
      </c>
      <c r="H98" s="232">
        <f t="shared" si="73"/>
        <v>0</v>
      </c>
      <c r="I98" s="233">
        <v>0</v>
      </c>
      <c r="J98" s="233">
        <f t="shared" ref="J98:L98" si="98">J99+J105</f>
        <v>0</v>
      </c>
      <c r="K98" s="233">
        <f t="shared" si="98"/>
        <v>0</v>
      </c>
      <c r="L98" s="233">
        <f t="shared" si="98"/>
        <v>0</v>
      </c>
      <c r="M98" s="232">
        <f t="shared" si="74"/>
        <v>0</v>
      </c>
      <c r="N98" s="233">
        <v>0</v>
      </c>
      <c r="O98" s="233">
        <f t="shared" ref="O98:Q98" si="99">O99+O105</f>
        <v>0</v>
      </c>
      <c r="P98" s="233">
        <f t="shared" si="99"/>
        <v>0</v>
      </c>
      <c r="Q98" s="233">
        <f t="shared" si="99"/>
        <v>0</v>
      </c>
      <c r="R98" s="232">
        <f t="shared" si="75"/>
        <v>0</v>
      </c>
    </row>
    <row r="99" spans="1:18" s="6" customFormat="1" ht="12" hidden="1" customHeight="1">
      <c r="A99" s="132">
        <v>18000</v>
      </c>
      <c r="B99" s="125" t="s">
        <v>95</v>
      </c>
      <c r="C99" s="170">
        <v>0</v>
      </c>
      <c r="D99" s="170">
        <v>0</v>
      </c>
      <c r="E99" s="233">
        <f t="shared" ref="E99:L100" si="100">E100</f>
        <v>0</v>
      </c>
      <c r="F99" s="233">
        <f t="shared" si="100"/>
        <v>0</v>
      </c>
      <c r="G99" s="233">
        <f t="shared" si="100"/>
        <v>0</v>
      </c>
      <c r="H99" s="232">
        <f t="shared" si="73"/>
        <v>0</v>
      </c>
      <c r="I99" s="233">
        <v>0</v>
      </c>
      <c r="J99" s="233">
        <f t="shared" si="100"/>
        <v>0</v>
      </c>
      <c r="K99" s="233">
        <f t="shared" si="100"/>
        <v>0</v>
      </c>
      <c r="L99" s="233">
        <f t="shared" si="100"/>
        <v>0</v>
      </c>
      <c r="M99" s="232">
        <f t="shared" si="74"/>
        <v>0</v>
      </c>
      <c r="N99" s="233">
        <v>0</v>
      </c>
      <c r="O99" s="233">
        <f t="shared" ref="O99:Q100" si="101">O100</f>
        <v>0</v>
      </c>
      <c r="P99" s="233">
        <f t="shared" si="101"/>
        <v>0</v>
      </c>
      <c r="Q99" s="233">
        <f t="shared" si="101"/>
        <v>0</v>
      </c>
      <c r="R99" s="232">
        <f t="shared" si="75"/>
        <v>0</v>
      </c>
    </row>
    <row r="100" spans="1:18" s="6" customFormat="1" ht="12" hidden="1" customHeight="1">
      <c r="A100" s="132">
        <v>18100</v>
      </c>
      <c r="B100" s="125" t="s">
        <v>96</v>
      </c>
      <c r="C100" s="170">
        <v>0</v>
      </c>
      <c r="D100" s="170">
        <v>0</v>
      </c>
      <c r="E100" s="233">
        <f t="shared" si="100"/>
        <v>0</v>
      </c>
      <c r="F100" s="233">
        <f t="shared" si="100"/>
        <v>0</v>
      </c>
      <c r="G100" s="233">
        <f t="shared" si="100"/>
        <v>0</v>
      </c>
      <c r="H100" s="232">
        <f t="shared" si="73"/>
        <v>0</v>
      </c>
      <c r="I100" s="233">
        <v>0</v>
      </c>
      <c r="J100" s="233">
        <f t="shared" si="100"/>
        <v>0</v>
      </c>
      <c r="K100" s="233">
        <f t="shared" si="100"/>
        <v>0</v>
      </c>
      <c r="L100" s="233">
        <f t="shared" si="100"/>
        <v>0</v>
      </c>
      <c r="M100" s="232">
        <f t="shared" si="74"/>
        <v>0</v>
      </c>
      <c r="N100" s="233">
        <v>0</v>
      </c>
      <c r="O100" s="233">
        <f t="shared" si="101"/>
        <v>0</v>
      </c>
      <c r="P100" s="233">
        <f t="shared" si="101"/>
        <v>0</v>
      </c>
      <c r="Q100" s="233">
        <f t="shared" si="101"/>
        <v>0</v>
      </c>
      <c r="R100" s="232">
        <f t="shared" si="75"/>
        <v>0</v>
      </c>
    </row>
    <row r="101" spans="1:18" s="6" customFormat="1" ht="24" hidden="1" customHeight="1">
      <c r="A101" s="133">
        <v>18130</v>
      </c>
      <c r="B101" s="172" t="s">
        <v>159</v>
      </c>
      <c r="C101" s="170">
        <v>0</v>
      </c>
      <c r="D101" s="170">
        <v>0</v>
      </c>
      <c r="E101" s="233">
        <f t="shared" ref="E101:G101" si="102">SUM(E102:E104)</f>
        <v>0</v>
      </c>
      <c r="F101" s="233">
        <f t="shared" ref="F101" si="103">SUM(F102:F104)</f>
        <v>0</v>
      </c>
      <c r="G101" s="233">
        <f t="shared" si="102"/>
        <v>0</v>
      </c>
      <c r="H101" s="232">
        <f t="shared" si="73"/>
        <v>0</v>
      </c>
      <c r="I101" s="233">
        <v>0</v>
      </c>
      <c r="J101" s="233">
        <f t="shared" ref="J101:L101" si="104">SUM(J102:J104)</f>
        <v>0</v>
      </c>
      <c r="K101" s="233">
        <f t="shared" si="104"/>
        <v>0</v>
      </c>
      <c r="L101" s="233">
        <f t="shared" si="104"/>
        <v>0</v>
      </c>
      <c r="M101" s="232">
        <f t="shared" si="74"/>
        <v>0</v>
      </c>
      <c r="N101" s="233">
        <v>0</v>
      </c>
      <c r="O101" s="233">
        <f t="shared" ref="O101:Q101" si="105">SUM(O102:O104)</f>
        <v>0</v>
      </c>
      <c r="P101" s="233">
        <f t="shared" si="105"/>
        <v>0</v>
      </c>
      <c r="Q101" s="233">
        <f t="shared" si="105"/>
        <v>0</v>
      </c>
      <c r="R101" s="232">
        <f t="shared" si="75"/>
        <v>0</v>
      </c>
    </row>
    <row r="102" spans="1:18" s="6" customFormat="1" ht="24" hidden="1" customHeight="1">
      <c r="A102" s="134">
        <v>18131</v>
      </c>
      <c r="B102" s="172" t="s">
        <v>160</v>
      </c>
      <c r="C102" s="170"/>
      <c r="D102" s="170">
        <v>0</v>
      </c>
      <c r="E102" s="233"/>
      <c r="F102" s="233"/>
      <c r="G102" s="233"/>
      <c r="H102" s="232">
        <f t="shared" si="73"/>
        <v>0</v>
      </c>
      <c r="I102" s="233">
        <v>0</v>
      </c>
      <c r="J102" s="233"/>
      <c r="K102" s="233"/>
      <c r="L102" s="233"/>
      <c r="M102" s="232">
        <f t="shared" si="74"/>
        <v>0</v>
      </c>
      <c r="N102" s="233">
        <v>0</v>
      </c>
      <c r="O102" s="233"/>
      <c r="P102" s="233"/>
      <c r="Q102" s="233"/>
      <c r="R102" s="232">
        <f t="shared" si="75"/>
        <v>0</v>
      </c>
    </row>
    <row r="103" spans="1:18" s="6" customFormat="1" ht="24" hidden="1" customHeight="1">
      <c r="A103" s="134">
        <v>18132</v>
      </c>
      <c r="B103" s="172" t="s">
        <v>169</v>
      </c>
      <c r="C103" s="170"/>
      <c r="D103" s="170">
        <v>0</v>
      </c>
      <c r="E103" s="233"/>
      <c r="F103" s="233"/>
      <c r="G103" s="233"/>
      <c r="H103" s="232">
        <f t="shared" si="73"/>
        <v>0</v>
      </c>
      <c r="I103" s="233">
        <v>0</v>
      </c>
      <c r="J103" s="233"/>
      <c r="K103" s="233"/>
      <c r="L103" s="233"/>
      <c r="M103" s="232">
        <f t="shared" si="74"/>
        <v>0</v>
      </c>
      <c r="N103" s="233">
        <v>0</v>
      </c>
      <c r="O103" s="233"/>
      <c r="P103" s="233"/>
      <c r="Q103" s="233"/>
      <c r="R103" s="232">
        <f t="shared" si="75"/>
        <v>0</v>
      </c>
    </row>
    <row r="104" spans="1:18" s="6" customFormat="1" ht="24" hidden="1" customHeight="1">
      <c r="A104" s="134">
        <v>18139</v>
      </c>
      <c r="B104" s="172" t="s">
        <v>179</v>
      </c>
      <c r="C104" s="170"/>
      <c r="D104" s="170">
        <v>0</v>
      </c>
      <c r="E104" s="233"/>
      <c r="F104" s="233"/>
      <c r="G104" s="233"/>
      <c r="H104" s="232">
        <f t="shared" si="73"/>
        <v>0</v>
      </c>
      <c r="I104" s="233">
        <v>0</v>
      </c>
      <c r="J104" s="233"/>
      <c r="K104" s="233"/>
      <c r="L104" s="233"/>
      <c r="M104" s="232">
        <f t="shared" si="74"/>
        <v>0</v>
      </c>
      <c r="N104" s="233">
        <v>0</v>
      </c>
      <c r="O104" s="233"/>
      <c r="P104" s="233"/>
      <c r="Q104" s="233"/>
      <c r="R104" s="232">
        <f t="shared" si="75"/>
        <v>0</v>
      </c>
    </row>
    <row r="105" spans="1:18" s="6" customFormat="1" ht="12" hidden="1" customHeight="1">
      <c r="A105" s="135" t="s">
        <v>180</v>
      </c>
      <c r="B105" s="173" t="s">
        <v>173</v>
      </c>
      <c r="C105" s="201">
        <v>0</v>
      </c>
      <c r="D105" s="201">
        <v>0</v>
      </c>
      <c r="E105" s="238">
        <f t="shared" ref="E105:L105" si="106">E106</f>
        <v>0</v>
      </c>
      <c r="F105" s="238">
        <f t="shared" si="106"/>
        <v>0</v>
      </c>
      <c r="G105" s="238">
        <f t="shared" si="106"/>
        <v>0</v>
      </c>
      <c r="H105" s="232">
        <f t="shared" si="73"/>
        <v>0</v>
      </c>
      <c r="I105" s="238">
        <v>0</v>
      </c>
      <c r="J105" s="238">
        <f t="shared" si="106"/>
        <v>0</v>
      </c>
      <c r="K105" s="238">
        <f t="shared" si="106"/>
        <v>0</v>
      </c>
      <c r="L105" s="238">
        <f t="shared" si="106"/>
        <v>0</v>
      </c>
      <c r="M105" s="232">
        <f t="shared" si="74"/>
        <v>0</v>
      </c>
      <c r="N105" s="238">
        <v>0</v>
      </c>
      <c r="O105" s="238">
        <f t="shared" ref="O105:Q105" si="107">O106</f>
        <v>0</v>
      </c>
      <c r="P105" s="238">
        <f t="shared" si="107"/>
        <v>0</v>
      </c>
      <c r="Q105" s="238">
        <f t="shared" si="107"/>
        <v>0</v>
      </c>
      <c r="R105" s="232">
        <f t="shared" si="75"/>
        <v>0</v>
      </c>
    </row>
    <row r="106" spans="1:18" s="6" customFormat="1" ht="12" hidden="1" customHeight="1">
      <c r="A106" s="135">
        <v>19500</v>
      </c>
      <c r="B106" s="172" t="s">
        <v>174</v>
      </c>
      <c r="C106" s="170">
        <v>0</v>
      </c>
      <c r="D106" s="170">
        <v>0</v>
      </c>
      <c r="E106" s="233">
        <f t="shared" ref="E106:G106" si="108">SUM(E107:E109)</f>
        <v>0</v>
      </c>
      <c r="F106" s="233">
        <f t="shared" si="108"/>
        <v>0</v>
      </c>
      <c r="G106" s="233">
        <f t="shared" si="108"/>
        <v>0</v>
      </c>
      <c r="H106" s="232">
        <f t="shared" si="73"/>
        <v>0</v>
      </c>
      <c r="I106" s="233">
        <v>0</v>
      </c>
      <c r="J106" s="233">
        <f t="shared" ref="J106:L106" si="109">SUM(J107:J109)</f>
        <v>0</v>
      </c>
      <c r="K106" s="233">
        <f t="shared" si="109"/>
        <v>0</v>
      </c>
      <c r="L106" s="233">
        <f t="shared" si="109"/>
        <v>0</v>
      </c>
      <c r="M106" s="232">
        <f t="shared" si="74"/>
        <v>0</v>
      </c>
      <c r="N106" s="233">
        <v>0</v>
      </c>
      <c r="O106" s="233">
        <f t="shared" ref="O106:Q106" si="110">SUM(O107:O109)</f>
        <v>0</v>
      </c>
      <c r="P106" s="233">
        <f t="shared" si="110"/>
        <v>0</v>
      </c>
      <c r="Q106" s="233">
        <f t="shared" si="110"/>
        <v>0</v>
      </c>
      <c r="R106" s="232">
        <f t="shared" si="75"/>
        <v>0</v>
      </c>
    </row>
    <row r="107" spans="1:18" s="6" customFormat="1" ht="24" hidden="1" customHeight="1">
      <c r="A107" s="136">
        <v>19550</v>
      </c>
      <c r="B107" s="172" t="s">
        <v>175</v>
      </c>
      <c r="C107" s="170"/>
      <c r="D107" s="170">
        <v>0</v>
      </c>
      <c r="E107" s="233"/>
      <c r="F107" s="233"/>
      <c r="G107" s="233"/>
      <c r="H107" s="232">
        <f t="shared" si="73"/>
        <v>0</v>
      </c>
      <c r="I107" s="233">
        <v>0</v>
      </c>
      <c r="J107" s="233"/>
      <c r="K107" s="233"/>
      <c r="L107" s="233"/>
      <c r="M107" s="232">
        <f t="shared" si="74"/>
        <v>0</v>
      </c>
      <c r="N107" s="233">
        <v>0</v>
      </c>
      <c r="O107" s="233"/>
      <c r="P107" s="233"/>
      <c r="Q107" s="233"/>
      <c r="R107" s="232">
        <f t="shared" si="75"/>
        <v>0</v>
      </c>
    </row>
    <row r="108" spans="1:18" s="6" customFormat="1" ht="36" hidden="1" customHeight="1">
      <c r="A108" s="136">
        <v>19560</v>
      </c>
      <c r="B108" s="172" t="s">
        <v>181</v>
      </c>
      <c r="C108" s="170"/>
      <c r="D108" s="170">
        <v>0</v>
      </c>
      <c r="E108" s="233"/>
      <c r="F108" s="233"/>
      <c r="G108" s="233"/>
      <c r="H108" s="232">
        <f t="shared" si="73"/>
        <v>0</v>
      </c>
      <c r="I108" s="233">
        <v>0</v>
      </c>
      <c r="J108" s="233"/>
      <c r="K108" s="233"/>
      <c r="L108" s="233"/>
      <c r="M108" s="232">
        <f t="shared" si="74"/>
        <v>0</v>
      </c>
      <c r="N108" s="233">
        <v>0</v>
      </c>
      <c r="O108" s="233"/>
      <c r="P108" s="233"/>
      <c r="Q108" s="233"/>
      <c r="R108" s="232">
        <f t="shared" si="75"/>
        <v>0</v>
      </c>
    </row>
    <row r="109" spans="1:18" s="6" customFormat="1" ht="60" hidden="1" customHeight="1">
      <c r="A109" s="136">
        <v>19570</v>
      </c>
      <c r="B109" s="172" t="s">
        <v>182</v>
      </c>
      <c r="C109" s="170"/>
      <c r="D109" s="170">
        <v>0</v>
      </c>
      <c r="E109" s="233"/>
      <c r="F109" s="233"/>
      <c r="G109" s="233"/>
      <c r="H109" s="232">
        <f t="shared" si="73"/>
        <v>0</v>
      </c>
      <c r="I109" s="233">
        <v>0</v>
      </c>
      <c r="J109" s="233"/>
      <c r="K109" s="233"/>
      <c r="L109" s="233"/>
      <c r="M109" s="232">
        <f t="shared" si="74"/>
        <v>0</v>
      </c>
      <c r="N109" s="233">
        <v>0</v>
      </c>
      <c r="O109" s="233"/>
      <c r="P109" s="233"/>
      <c r="Q109" s="233"/>
      <c r="R109" s="232">
        <f t="shared" si="75"/>
        <v>0</v>
      </c>
    </row>
    <row r="110" spans="1:18" s="6" customFormat="1" ht="24" hidden="1" customHeight="1">
      <c r="A110" s="209" t="s">
        <v>222</v>
      </c>
      <c r="B110" s="208" t="s">
        <v>216</v>
      </c>
      <c r="C110" s="106">
        <v>0</v>
      </c>
      <c r="D110" s="106">
        <v>0</v>
      </c>
      <c r="E110" s="232">
        <f t="shared" ref="E110:L110" si="111">E111</f>
        <v>0</v>
      </c>
      <c r="F110" s="232">
        <f t="shared" si="111"/>
        <v>0</v>
      </c>
      <c r="G110" s="232">
        <f t="shared" si="111"/>
        <v>0</v>
      </c>
      <c r="H110" s="232">
        <f t="shared" si="73"/>
        <v>0</v>
      </c>
      <c r="I110" s="233">
        <v>0</v>
      </c>
      <c r="J110" s="232">
        <f t="shared" si="111"/>
        <v>0</v>
      </c>
      <c r="K110" s="232">
        <f t="shared" si="111"/>
        <v>0</v>
      </c>
      <c r="L110" s="232">
        <f t="shared" si="111"/>
        <v>0</v>
      </c>
      <c r="M110" s="232">
        <f t="shared" si="74"/>
        <v>0</v>
      </c>
      <c r="N110" s="233">
        <v>0</v>
      </c>
      <c r="O110" s="232">
        <f t="shared" ref="O110:Q110" si="112">O111</f>
        <v>0</v>
      </c>
      <c r="P110" s="232">
        <f t="shared" si="112"/>
        <v>0</v>
      </c>
      <c r="Q110" s="232">
        <f t="shared" si="112"/>
        <v>0</v>
      </c>
      <c r="R110" s="232">
        <f t="shared" si="75"/>
        <v>0</v>
      </c>
    </row>
    <row r="111" spans="1:18" s="6" customFormat="1" ht="36" hidden="1" customHeight="1">
      <c r="A111" s="209">
        <v>17100</v>
      </c>
      <c r="B111" s="208" t="s">
        <v>217</v>
      </c>
      <c r="C111" s="106">
        <v>0</v>
      </c>
      <c r="D111" s="106">
        <v>0</v>
      </c>
      <c r="E111" s="232">
        <f t="shared" ref="E111:G111" si="113">SUM(E112:E115)</f>
        <v>0</v>
      </c>
      <c r="F111" s="232">
        <f t="shared" si="113"/>
        <v>0</v>
      </c>
      <c r="G111" s="232">
        <f t="shared" si="113"/>
        <v>0</v>
      </c>
      <c r="H111" s="232">
        <f t="shared" si="73"/>
        <v>0</v>
      </c>
      <c r="I111" s="233">
        <v>0</v>
      </c>
      <c r="J111" s="232">
        <f t="shared" ref="J111:L111" si="114">SUM(J112:J115)</f>
        <v>0</v>
      </c>
      <c r="K111" s="232">
        <f t="shared" si="114"/>
        <v>0</v>
      </c>
      <c r="L111" s="232">
        <f t="shared" si="114"/>
        <v>0</v>
      </c>
      <c r="M111" s="232">
        <f t="shared" si="74"/>
        <v>0</v>
      </c>
      <c r="N111" s="233">
        <v>0</v>
      </c>
      <c r="O111" s="232">
        <f t="shared" ref="O111:Q111" si="115">SUM(O112:O115)</f>
        <v>0</v>
      </c>
      <c r="P111" s="232">
        <f t="shared" si="115"/>
        <v>0</v>
      </c>
      <c r="Q111" s="232">
        <f t="shared" si="115"/>
        <v>0</v>
      </c>
      <c r="R111" s="232">
        <f t="shared" si="75"/>
        <v>0</v>
      </c>
    </row>
    <row r="112" spans="1:18" s="6" customFormat="1" ht="48" hidden="1" customHeight="1">
      <c r="A112" s="149">
        <v>17110</v>
      </c>
      <c r="B112" s="208" t="s">
        <v>218</v>
      </c>
      <c r="C112" s="106"/>
      <c r="D112" s="106">
        <v>0</v>
      </c>
      <c r="E112" s="233"/>
      <c r="F112" s="233"/>
      <c r="G112" s="233"/>
      <c r="H112" s="232">
        <f t="shared" si="73"/>
        <v>0</v>
      </c>
      <c r="I112" s="233">
        <v>0</v>
      </c>
      <c r="J112" s="233"/>
      <c r="K112" s="233"/>
      <c r="L112" s="233"/>
      <c r="M112" s="232">
        <f t="shared" si="74"/>
        <v>0</v>
      </c>
      <c r="N112" s="233">
        <v>0</v>
      </c>
      <c r="O112" s="233"/>
      <c r="P112" s="233"/>
      <c r="Q112" s="233"/>
      <c r="R112" s="232">
        <f t="shared" si="75"/>
        <v>0</v>
      </c>
    </row>
    <row r="113" spans="1:18" s="6" customFormat="1" ht="48" hidden="1" customHeight="1">
      <c r="A113" s="149">
        <v>17120</v>
      </c>
      <c r="B113" s="208" t="s">
        <v>219</v>
      </c>
      <c r="C113" s="106"/>
      <c r="D113" s="106">
        <v>0</v>
      </c>
      <c r="E113" s="233"/>
      <c r="F113" s="233"/>
      <c r="G113" s="233"/>
      <c r="H113" s="232">
        <f t="shared" si="73"/>
        <v>0</v>
      </c>
      <c r="I113" s="233">
        <v>0</v>
      </c>
      <c r="J113" s="233"/>
      <c r="K113" s="233"/>
      <c r="L113" s="233"/>
      <c r="M113" s="232">
        <f t="shared" si="74"/>
        <v>0</v>
      </c>
      <c r="N113" s="233">
        <v>0</v>
      </c>
      <c r="O113" s="233"/>
      <c r="P113" s="233"/>
      <c r="Q113" s="233"/>
      <c r="R113" s="232">
        <f t="shared" si="75"/>
        <v>0</v>
      </c>
    </row>
    <row r="114" spans="1:18" s="6" customFormat="1" ht="96" hidden="1" customHeight="1">
      <c r="A114" s="149">
        <v>17130</v>
      </c>
      <c r="B114" s="208" t="s">
        <v>220</v>
      </c>
      <c r="C114" s="106"/>
      <c r="D114" s="106">
        <v>0</v>
      </c>
      <c r="E114" s="233"/>
      <c r="F114" s="233"/>
      <c r="G114" s="233"/>
      <c r="H114" s="232">
        <f t="shared" si="73"/>
        <v>0</v>
      </c>
      <c r="I114" s="233">
        <v>0</v>
      </c>
      <c r="J114" s="233"/>
      <c r="K114" s="233"/>
      <c r="L114" s="233"/>
      <c r="M114" s="232">
        <f t="shared" si="74"/>
        <v>0</v>
      </c>
      <c r="N114" s="233">
        <v>0</v>
      </c>
      <c r="O114" s="233"/>
      <c r="P114" s="233"/>
      <c r="Q114" s="233"/>
      <c r="R114" s="232">
        <f t="shared" si="75"/>
        <v>0</v>
      </c>
    </row>
    <row r="115" spans="1:18" s="6" customFormat="1" ht="96" hidden="1" customHeight="1">
      <c r="A115" s="149">
        <v>17140</v>
      </c>
      <c r="B115" s="208" t="s">
        <v>221</v>
      </c>
      <c r="C115" s="106"/>
      <c r="D115" s="106">
        <v>0</v>
      </c>
      <c r="E115" s="233"/>
      <c r="F115" s="233"/>
      <c r="G115" s="233"/>
      <c r="H115" s="232">
        <f t="shared" si="73"/>
        <v>0</v>
      </c>
      <c r="I115" s="233">
        <v>0</v>
      </c>
      <c r="J115" s="233"/>
      <c r="K115" s="233"/>
      <c r="L115" s="233"/>
      <c r="M115" s="232">
        <f t="shared" si="74"/>
        <v>0</v>
      </c>
      <c r="N115" s="233">
        <v>0</v>
      </c>
      <c r="O115" s="233"/>
      <c r="P115" s="233"/>
      <c r="Q115" s="233"/>
      <c r="R115" s="232">
        <f t="shared" si="75"/>
        <v>0</v>
      </c>
    </row>
    <row r="116" spans="1:18" s="6" customFormat="1" ht="12">
      <c r="A116" s="137">
        <v>21700</v>
      </c>
      <c r="B116" s="124" t="s">
        <v>97</v>
      </c>
      <c r="C116" s="170">
        <v>71265</v>
      </c>
      <c r="D116" s="170">
        <v>71265</v>
      </c>
      <c r="E116" s="233">
        <f t="shared" ref="E116:G116" si="116">E117+E118</f>
        <v>0</v>
      </c>
      <c r="F116" s="233">
        <f t="shared" si="116"/>
        <v>0</v>
      </c>
      <c r="G116" s="233">
        <f t="shared" si="116"/>
        <v>0</v>
      </c>
      <c r="H116" s="232">
        <f t="shared" si="73"/>
        <v>71265</v>
      </c>
      <c r="I116" s="233">
        <v>71265</v>
      </c>
      <c r="J116" s="233">
        <f t="shared" ref="J116:L116" si="117">J117+J118</f>
        <v>0</v>
      </c>
      <c r="K116" s="233">
        <f t="shared" si="117"/>
        <v>0</v>
      </c>
      <c r="L116" s="233">
        <f t="shared" si="117"/>
        <v>0</v>
      </c>
      <c r="M116" s="232">
        <f t="shared" si="74"/>
        <v>71265</v>
      </c>
      <c r="N116" s="233">
        <v>71265</v>
      </c>
      <c r="O116" s="233">
        <f t="shared" ref="O116:Q116" si="118">O117+O118</f>
        <v>0</v>
      </c>
      <c r="P116" s="233">
        <f t="shared" si="118"/>
        <v>0</v>
      </c>
      <c r="Q116" s="233">
        <f t="shared" si="118"/>
        <v>0</v>
      </c>
      <c r="R116" s="232">
        <f t="shared" si="75"/>
        <v>71265</v>
      </c>
    </row>
    <row r="117" spans="1:18" s="6" customFormat="1" ht="12">
      <c r="A117" s="138">
        <v>21710</v>
      </c>
      <c r="B117" s="125" t="s">
        <v>98</v>
      </c>
      <c r="C117" s="170">
        <v>71265</v>
      </c>
      <c r="D117" s="170">
        <v>71265</v>
      </c>
      <c r="E117" s="233"/>
      <c r="F117" s="233"/>
      <c r="G117" s="233"/>
      <c r="H117" s="232">
        <f t="shared" si="73"/>
        <v>71265</v>
      </c>
      <c r="I117" s="233">
        <v>71265</v>
      </c>
      <c r="J117" s="233"/>
      <c r="K117" s="233"/>
      <c r="L117" s="233"/>
      <c r="M117" s="232">
        <f t="shared" si="74"/>
        <v>71265</v>
      </c>
      <c r="N117" s="233">
        <v>71265</v>
      </c>
      <c r="O117" s="233"/>
      <c r="P117" s="233"/>
      <c r="Q117" s="233"/>
      <c r="R117" s="232">
        <f t="shared" si="75"/>
        <v>71265</v>
      </c>
    </row>
    <row r="118" spans="1:18" s="6" customFormat="1" ht="24" hidden="1" customHeight="1">
      <c r="A118" s="138">
        <v>21720</v>
      </c>
      <c r="B118" s="125" t="s">
        <v>99</v>
      </c>
      <c r="C118" s="170"/>
      <c r="D118" s="170">
        <v>0</v>
      </c>
      <c r="E118" s="233"/>
      <c r="F118" s="233"/>
      <c r="G118" s="233"/>
      <c r="H118" s="232">
        <f t="shared" si="73"/>
        <v>0</v>
      </c>
      <c r="I118" s="233">
        <v>0</v>
      </c>
      <c r="J118" s="233"/>
      <c r="K118" s="233"/>
      <c r="L118" s="233"/>
      <c r="M118" s="232">
        <f t="shared" si="74"/>
        <v>0</v>
      </c>
      <c r="N118" s="233">
        <v>0</v>
      </c>
      <c r="O118" s="233"/>
      <c r="P118" s="233"/>
      <c r="Q118" s="233"/>
      <c r="R118" s="232">
        <f t="shared" si="75"/>
        <v>0</v>
      </c>
    </row>
    <row r="119" spans="1:18" s="6" customFormat="1" ht="11.4">
      <c r="A119" s="129" t="s">
        <v>100</v>
      </c>
      <c r="B119" s="123" t="s">
        <v>101</v>
      </c>
      <c r="C119" s="168">
        <v>71265</v>
      </c>
      <c r="D119" s="168">
        <v>71265</v>
      </c>
      <c r="E119" s="243">
        <f t="shared" ref="E119:G119" si="119">E120+E147</f>
        <v>0</v>
      </c>
      <c r="F119" s="243">
        <f t="shared" si="119"/>
        <v>0</v>
      </c>
      <c r="G119" s="243">
        <f t="shared" si="119"/>
        <v>0</v>
      </c>
      <c r="H119" s="229">
        <f t="shared" si="73"/>
        <v>71265</v>
      </c>
      <c r="I119" s="243">
        <v>71265</v>
      </c>
      <c r="J119" s="243">
        <f t="shared" ref="J119:L119" si="120">J120+J147</f>
        <v>0</v>
      </c>
      <c r="K119" s="243">
        <f t="shared" si="120"/>
        <v>0</v>
      </c>
      <c r="L119" s="243">
        <f t="shared" si="120"/>
        <v>0</v>
      </c>
      <c r="M119" s="229">
        <f t="shared" si="74"/>
        <v>71265</v>
      </c>
      <c r="N119" s="243">
        <v>71265</v>
      </c>
      <c r="O119" s="243">
        <f t="shared" ref="O119:Q119" si="121">O120+O147</f>
        <v>0</v>
      </c>
      <c r="P119" s="243">
        <f t="shared" si="121"/>
        <v>0</v>
      </c>
      <c r="Q119" s="243">
        <f t="shared" si="121"/>
        <v>0</v>
      </c>
      <c r="R119" s="229">
        <f t="shared" si="75"/>
        <v>71265</v>
      </c>
    </row>
    <row r="120" spans="1:18" s="6" customFormat="1" ht="20.399999999999999">
      <c r="A120" s="130" t="s">
        <v>102</v>
      </c>
      <c r="B120" s="124" t="s">
        <v>103</v>
      </c>
      <c r="C120" s="170">
        <v>71265</v>
      </c>
      <c r="D120" s="170">
        <v>71265</v>
      </c>
      <c r="E120" s="233">
        <f t="shared" ref="E120:G120" si="122">E121+E125+E126+E129+E132</f>
        <v>0</v>
      </c>
      <c r="F120" s="233">
        <f t="shared" si="122"/>
        <v>0</v>
      </c>
      <c r="G120" s="233">
        <f t="shared" si="122"/>
        <v>0</v>
      </c>
      <c r="H120" s="232">
        <f t="shared" si="73"/>
        <v>71265</v>
      </c>
      <c r="I120" s="233">
        <v>71265</v>
      </c>
      <c r="J120" s="233">
        <f t="shared" ref="J120:L120" si="123">J121+J125+J126+J129+J132</f>
        <v>0</v>
      </c>
      <c r="K120" s="233">
        <f t="shared" si="123"/>
        <v>0</v>
      </c>
      <c r="L120" s="233">
        <f t="shared" si="123"/>
        <v>0</v>
      </c>
      <c r="M120" s="232">
        <f t="shared" si="74"/>
        <v>71265</v>
      </c>
      <c r="N120" s="233">
        <v>71265</v>
      </c>
      <c r="O120" s="233">
        <f t="shared" ref="O120:Q120" si="124">O121+O125+O126+O129+O132</f>
        <v>0</v>
      </c>
      <c r="P120" s="233">
        <f t="shared" si="124"/>
        <v>0</v>
      </c>
      <c r="Q120" s="233">
        <f t="shared" si="124"/>
        <v>0</v>
      </c>
      <c r="R120" s="232">
        <f t="shared" si="75"/>
        <v>71265</v>
      </c>
    </row>
    <row r="121" spans="1:18" s="6" customFormat="1" ht="12">
      <c r="A121" s="130" t="s">
        <v>104</v>
      </c>
      <c r="B121" s="124" t="s">
        <v>105</v>
      </c>
      <c r="C121" s="170">
        <v>71265</v>
      </c>
      <c r="D121" s="170">
        <v>71265</v>
      </c>
      <c r="E121" s="233">
        <f t="shared" ref="E121:G121" si="125">E122+E124</f>
        <v>0</v>
      </c>
      <c r="F121" s="233">
        <f t="shared" si="125"/>
        <v>0</v>
      </c>
      <c r="G121" s="233">
        <f t="shared" si="125"/>
        <v>0</v>
      </c>
      <c r="H121" s="232">
        <f t="shared" si="73"/>
        <v>71265</v>
      </c>
      <c r="I121" s="233">
        <v>71265</v>
      </c>
      <c r="J121" s="233">
        <f t="shared" ref="J121:L121" si="126">J122+J124</f>
        <v>0</v>
      </c>
      <c r="K121" s="233">
        <f t="shared" si="126"/>
        <v>0</v>
      </c>
      <c r="L121" s="233">
        <f t="shared" si="126"/>
        <v>0</v>
      </c>
      <c r="M121" s="232">
        <f t="shared" si="74"/>
        <v>71265</v>
      </c>
      <c r="N121" s="233">
        <v>71265</v>
      </c>
      <c r="O121" s="233">
        <f t="shared" ref="O121:Q121" si="127">O122+O124</f>
        <v>0</v>
      </c>
      <c r="P121" s="233">
        <f t="shared" si="127"/>
        <v>0</v>
      </c>
      <c r="Q121" s="233">
        <f t="shared" si="127"/>
        <v>0</v>
      </c>
      <c r="R121" s="232">
        <f t="shared" si="75"/>
        <v>71265</v>
      </c>
    </row>
    <row r="122" spans="1:18" s="29" customFormat="1" ht="12">
      <c r="A122" s="132">
        <v>1000</v>
      </c>
      <c r="B122" s="125" t="s">
        <v>106</v>
      </c>
      <c r="C122" s="170">
        <v>55167</v>
      </c>
      <c r="D122" s="170">
        <v>55167</v>
      </c>
      <c r="E122" s="244"/>
      <c r="F122" s="244"/>
      <c r="G122" s="244"/>
      <c r="H122" s="232">
        <f t="shared" si="73"/>
        <v>55167</v>
      </c>
      <c r="I122" s="233">
        <v>55167</v>
      </c>
      <c r="J122" s="244"/>
      <c r="K122" s="244"/>
      <c r="L122" s="244"/>
      <c r="M122" s="232">
        <f t="shared" si="74"/>
        <v>55167</v>
      </c>
      <c r="N122" s="233">
        <v>55167</v>
      </c>
      <c r="O122" s="244"/>
      <c r="P122" s="244"/>
      <c r="Q122" s="244"/>
      <c r="R122" s="232">
        <f t="shared" si="75"/>
        <v>55167</v>
      </c>
    </row>
    <row r="123" spans="1:18" s="89" customFormat="1" ht="12">
      <c r="A123" s="139">
        <v>1100</v>
      </c>
      <c r="B123" s="125" t="s">
        <v>107</v>
      </c>
      <c r="C123" s="170">
        <v>44964</v>
      </c>
      <c r="D123" s="170">
        <v>44964</v>
      </c>
      <c r="E123" s="244"/>
      <c r="F123" s="244"/>
      <c r="G123" s="244"/>
      <c r="H123" s="232">
        <f t="shared" si="73"/>
        <v>44964</v>
      </c>
      <c r="I123" s="233">
        <v>44964</v>
      </c>
      <c r="J123" s="244"/>
      <c r="K123" s="244"/>
      <c r="L123" s="244"/>
      <c r="M123" s="232">
        <f t="shared" si="74"/>
        <v>44964</v>
      </c>
      <c r="N123" s="233">
        <v>44964</v>
      </c>
      <c r="O123" s="244"/>
      <c r="P123" s="244"/>
      <c r="Q123" s="244"/>
      <c r="R123" s="232">
        <f t="shared" si="75"/>
        <v>44964</v>
      </c>
    </row>
    <row r="124" spans="1:18" s="89" customFormat="1" ht="12">
      <c r="A124" s="132">
        <v>2000</v>
      </c>
      <c r="B124" s="125" t="s">
        <v>108</v>
      </c>
      <c r="C124" s="170">
        <v>16098</v>
      </c>
      <c r="D124" s="170">
        <v>16098</v>
      </c>
      <c r="E124" s="244"/>
      <c r="F124" s="244"/>
      <c r="G124" s="244"/>
      <c r="H124" s="232">
        <f t="shared" si="73"/>
        <v>16098</v>
      </c>
      <c r="I124" s="233">
        <v>16098</v>
      </c>
      <c r="J124" s="244"/>
      <c r="K124" s="244"/>
      <c r="L124" s="244"/>
      <c r="M124" s="232">
        <f t="shared" si="74"/>
        <v>16098</v>
      </c>
      <c r="N124" s="233">
        <v>16098</v>
      </c>
      <c r="O124" s="244"/>
      <c r="P124" s="244"/>
      <c r="Q124" s="244"/>
      <c r="R124" s="232">
        <f t="shared" si="75"/>
        <v>16098</v>
      </c>
    </row>
    <row r="125" spans="1:18" s="89" customFormat="1" ht="12" hidden="1" customHeight="1">
      <c r="A125" s="140">
        <v>4000</v>
      </c>
      <c r="B125" s="124" t="s">
        <v>132</v>
      </c>
      <c r="C125" s="170"/>
      <c r="D125" s="170">
        <v>0</v>
      </c>
      <c r="E125" s="244"/>
      <c r="F125" s="244"/>
      <c r="G125" s="244"/>
      <c r="H125" s="232">
        <f t="shared" si="73"/>
        <v>0</v>
      </c>
      <c r="I125" s="233">
        <v>0</v>
      </c>
      <c r="J125" s="244"/>
      <c r="K125" s="244"/>
      <c r="L125" s="244"/>
      <c r="M125" s="232">
        <f t="shared" si="74"/>
        <v>0</v>
      </c>
      <c r="N125" s="233">
        <v>0</v>
      </c>
      <c r="O125" s="244"/>
      <c r="P125" s="244"/>
      <c r="Q125" s="244"/>
      <c r="R125" s="232">
        <f t="shared" si="75"/>
        <v>0</v>
      </c>
    </row>
    <row r="126" spans="1:18" s="89" customFormat="1" ht="12" hidden="1" customHeight="1">
      <c r="A126" s="140" t="s">
        <v>109</v>
      </c>
      <c r="B126" s="124" t="s">
        <v>110</v>
      </c>
      <c r="C126" s="170">
        <v>0</v>
      </c>
      <c r="D126" s="170">
        <v>0</v>
      </c>
      <c r="E126" s="233">
        <f t="shared" ref="E126:G126" si="128">E127+E128</f>
        <v>0</v>
      </c>
      <c r="F126" s="233">
        <f t="shared" si="128"/>
        <v>0</v>
      </c>
      <c r="G126" s="233">
        <f t="shared" si="128"/>
        <v>0</v>
      </c>
      <c r="H126" s="232">
        <f t="shared" si="73"/>
        <v>0</v>
      </c>
      <c r="I126" s="233">
        <v>0</v>
      </c>
      <c r="J126" s="233">
        <f t="shared" ref="J126:L126" si="129">J127+J128</f>
        <v>0</v>
      </c>
      <c r="K126" s="233">
        <f t="shared" si="129"/>
        <v>0</v>
      </c>
      <c r="L126" s="233">
        <f t="shared" si="129"/>
        <v>0</v>
      </c>
      <c r="M126" s="232">
        <f t="shared" si="74"/>
        <v>0</v>
      </c>
      <c r="N126" s="233">
        <v>0</v>
      </c>
      <c r="O126" s="233">
        <f t="shared" ref="O126:Q126" si="130">O127+O128</f>
        <v>0</v>
      </c>
      <c r="P126" s="233">
        <f t="shared" si="130"/>
        <v>0</v>
      </c>
      <c r="Q126" s="233">
        <f t="shared" si="130"/>
        <v>0</v>
      </c>
      <c r="R126" s="232">
        <f t="shared" si="75"/>
        <v>0</v>
      </c>
    </row>
    <row r="127" spans="1:18" s="89" customFormat="1" ht="12" hidden="1" customHeight="1">
      <c r="A127" s="132">
        <v>3000</v>
      </c>
      <c r="B127" s="125" t="s">
        <v>111</v>
      </c>
      <c r="C127" s="202"/>
      <c r="D127" s="202">
        <v>0</v>
      </c>
      <c r="E127" s="246"/>
      <c r="F127" s="246"/>
      <c r="G127" s="246"/>
      <c r="H127" s="232">
        <f t="shared" si="73"/>
        <v>0</v>
      </c>
      <c r="I127" s="345">
        <v>0</v>
      </c>
      <c r="J127" s="246"/>
      <c r="K127" s="246"/>
      <c r="L127" s="246"/>
      <c r="M127" s="232">
        <f t="shared" si="74"/>
        <v>0</v>
      </c>
      <c r="N127" s="345">
        <v>0</v>
      </c>
      <c r="O127" s="246"/>
      <c r="P127" s="246"/>
      <c r="Q127" s="246"/>
      <c r="R127" s="232">
        <f t="shared" si="75"/>
        <v>0</v>
      </c>
    </row>
    <row r="128" spans="1:18" s="89" customFormat="1" ht="12" hidden="1" customHeight="1">
      <c r="A128" s="132">
        <v>6000</v>
      </c>
      <c r="B128" s="125" t="s">
        <v>112</v>
      </c>
      <c r="C128" s="203"/>
      <c r="D128" s="203">
        <v>0</v>
      </c>
      <c r="E128" s="248"/>
      <c r="F128" s="248"/>
      <c r="G128" s="248"/>
      <c r="H128" s="232">
        <f t="shared" si="73"/>
        <v>0</v>
      </c>
      <c r="I128" s="346">
        <v>0</v>
      </c>
      <c r="J128" s="248"/>
      <c r="K128" s="248"/>
      <c r="L128" s="248"/>
      <c r="M128" s="232">
        <f t="shared" si="74"/>
        <v>0</v>
      </c>
      <c r="N128" s="346">
        <v>0</v>
      </c>
      <c r="O128" s="248"/>
      <c r="P128" s="248"/>
      <c r="Q128" s="248"/>
      <c r="R128" s="232">
        <f t="shared" si="75"/>
        <v>0</v>
      </c>
    </row>
    <row r="129" spans="1:18" s="89" customFormat="1" ht="24" hidden="1" customHeight="1">
      <c r="A129" s="140" t="s">
        <v>113</v>
      </c>
      <c r="B129" s="124" t="s">
        <v>183</v>
      </c>
      <c r="C129" s="170">
        <v>0</v>
      </c>
      <c r="D129" s="170">
        <v>0</v>
      </c>
      <c r="E129" s="233">
        <f t="shared" ref="E129:G129" si="131">E130+E131</f>
        <v>0</v>
      </c>
      <c r="F129" s="233">
        <f t="shared" si="131"/>
        <v>0</v>
      </c>
      <c r="G129" s="233">
        <f t="shared" si="131"/>
        <v>0</v>
      </c>
      <c r="H129" s="232">
        <f t="shared" si="73"/>
        <v>0</v>
      </c>
      <c r="I129" s="233">
        <v>0</v>
      </c>
      <c r="J129" s="233">
        <f t="shared" ref="J129:L129" si="132">J130+J131</f>
        <v>0</v>
      </c>
      <c r="K129" s="233">
        <f t="shared" si="132"/>
        <v>0</v>
      </c>
      <c r="L129" s="233">
        <f t="shared" si="132"/>
        <v>0</v>
      </c>
      <c r="M129" s="232">
        <f t="shared" si="74"/>
        <v>0</v>
      </c>
      <c r="N129" s="233">
        <v>0</v>
      </c>
      <c r="O129" s="233">
        <f t="shared" ref="O129:Q129" si="133">O130+O131</f>
        <v>0</v>
      </c>
      <c r="P129" s="233">
        <f t="shared" si="133"/>
        <v>0</v>
      </c>
      <c r="Q129" s="233">
        <f t="shared" si="133"/>
        <v>0</v>
      </c>
      <c r="R129" s="232">
        <f t="shared" si="75"/>
        <v>0</v>
      </c>
    </row>
    <row r="130" spans="1:18" s="89" customFormat="1" ht="12" hidden="1" customHeight="1">
      <c r="A130" s="132">
        <v>7600</v>
      </c>
      <c r="B130" s="179" t="s">
        <v>184</v>
      </c>
      <c r="C130" s="170"/>
      <c r="D130" s="170">
        <v>0</v>
      </c>
      <c r="E130" s="244"/>
      <c r="F130" s="244"/>
      <c r="G130" s="244"/>
      <c r="H130" s="232">
        <f t="shared" si="73"/>
        <v>0</v>
      </c>
      <c r="I130" s="233">
        <v>0</v>
      </c>
      <c r="J130" s="244"/>
      <c r="K130" s="244"/>
      <c r="L130" s="244"/>
      <c r="M130" s="232">
        <f t="shared" si="74"/>
        <v>0</v>
      </c>
      <c r="N130" s="233">
        <v>0</v>
      </c>
      <c r="O130" s="244"/>
      <c r="P130" s="244"/>
      <c r="Q130" s="244"/>
      <c r="R130" s="232">
        <f t="shared" si="75"/>
        <v>0</v>
      </c>
    </row>
    <row r="131" spans="1:18" s="89" customFormat="1" ht="12" hidden="1" customHeight="1">
      <c r="A131" s="132">
        <v>7700</v>
      </c>
      <c r="B131" s="126" t="s">
        <v>114</v>
      </c>
      <c r="C131" s="170"/>
      <c r="D131" s="170">
        <v>0</v>
      </c>
      <c r="E131" s="244"/>
      <c r="F131" s="244"/>
      <c r="G131" s="244"/>
      <c r="H131" s="232">
        <f t="shared" si="73"/>
        <v>0</v>
      </c>
      <c r="I131" s="233">
        <v>0</v>
      </c>
      <c r="J131" s="244"/>
      <c r="K131" s="244"/>
      <c r="L131" s="244"/>
      <c r="M131" s="232">
        <f t="shared" si="74"/>
        <v>0</v>
      </c>
      <c r="N131" s="233">
        <v>0</v>
      </c>
      <c r="O131" s="244"/>
      <c r="P131" s="244"/>
      <c r="Q131" s="244"/>
      <c r="R131" s="232">
        <f t="shared" si="75"/>
        <v>0</v>
      </c>
    </row>
    <row r="132" spans="1:18" s="89" customFormat="1" ht="21" hidden="1" customHeight="1">
      <c r="A132" s="140" t="s">
        <v>185</v>
      </c>
      <c r="B132" s="124" t="s">
        <v>115</v>
      </c>
      <c r="C132" s="170">
        <v>0</v>
      </c>
      <c r="D132" s="170">
        <v>0</v>
      </c>
      <c r="E132" s="233">
        <f t="shared" ref="E132:G132" si="134">E133+E139+E143+E146</f>
        <v>0</v>
      </c>
      <c r="F132" s="233">
        <f t="shared" si="134"/>
        <v>0</v>
      </c>
      <c r="G132" s="233">
        <f t="shared" si="134"/>
        <v>0</v>
      </c>
      <c r="H132" s="232">
        <f t="shared" si="73"/>
        <v>0</v>
      </c>
      <c r="I132" s="233">
        <v>0</v>
      </c>
      <c r="J132" s="233">
        <f t="shared" ref="J132:L132" si="135">J133+J139+J143+J146</f>
        <v>0</v>
      </c>
      <c r="K132" s="233">
        <f t="shared" si="135"/>
        <v>0</v>
      </c>
      <c r="L132" s="233">
        <f t="shared" si="135"/>
        <v>0</v>
      </c>
      <c r="M132" s="232">
        <f t="shared" si="74"/>
        <v>0</v>
      </c>
      <c r="N132" s="233">
        <v>0</v>
      </c>
      <c r="O132" s="233">
        <f t="shared" ref="O132:Q132" si="136">O133+O139+O143+O146</f>
        <v>0</v>
      </c>
      <c r="P132" s="233">
        <f t="shared" si="136"/>
        <v>0</v>
      </c>
      <c r="Q132" s="233">
        <f t="shared" si="136"/>
        <v>0</v>
      </c>
      <c r="R132" s="232">
        <f t="shared" si="75"/>
        <v>0</v>
      </c>
    </row>
    <row r="133" spans="1:18" s="89" customFormat="1" ht="12" hidden="1" customHeight="1">
      <c r="A133" s="132">
        <v>7100</v>
      </c>
      <c r="B133" s="179" t="s">
        <v>116</v>
      </c>
      <c r="C133" s="170">
        <v>0</v>
      </c>
      <c r="D133" s="170">
        <v>0</v>
      </c>
      <c r="E133" s="233">
        <f t="shared" ref="E133:G133" si="137">E134+E135</f>
        <v>0</v>
      </c>
      <c r="F133" s="233">
        <f t="shared" si="137"/>
        <v>0</v>
      </c>
      <c r="G133" s="233">
        <f t="shared" si="137"/>
        <v>0</v>
      </c>
      <c r="H133" s="232">
        <f t="shared" si="73"/>
        <v>0</v>
      </c>
      <c r="I133" s="233">
        <v>0</v>
      </c>
      <c r="J133" s="233">
        <f t="shared" ref="J133:L133" si="138">J134+J135</f>
        <v>0</v>
      </c>
      <c r="K133" s="233">
        <f t="shared" si="138"/>
        <v>0</v>
      </c>
      <c r="L133" s="233">
        <f t="shared" si="138"/>
        <v>0</v>
      </c>
      <c r="M133" s="232">
        <f t="shared" si="74"/>
        <v>0</v>
      </c>
      <c r="N133" s="233">
        <v>0</v>
      </c>
      <c r="O133" s="233">
        <f t="shared" ref="O133:Q133" si="139">O134+O135</f>
        <v>0</v>
      </c>
      <c r="P133" s="233">
        <f t="shared" si="139"/>
        <v>0</v>
      </c>
      <c r="Q133" s="233">
        <f t="shared" si="139"/>
        <v>0</v>
      </c>
      <c r="R133" s="232">
        <f t="shared" si="75"/>
        <v>0</v>
      </c>
    </row>
    <row r="134" spans="1:18" s="89" customFormat="1" ht="24" hidden="1" customHeight="1">
      <c r="A134" s="133" t="s">
        <v>117</v>
      </c>
      <c r="B134" s="179" t="s">
        <v>118</v>
      </c>
      <c r="C134" s="170"/>
      <c r="D134" s="170">
        <v>0</v>
      </c>
      <c r="E134" s="233"/>
      <c r="F134" s="233"/>
      <c r="G134" s="233"/>
      <c r="H134" s="232">
        <f t="shared" si="73"/>
        <v>0</v>
      </c>
      <c r="I134" s="233">
        <v>0</v>
      </c>
      <c r="J134" s="233"/>
      <c r="K134" s="233"/>
      <c r="L134" s="233"/>
      <c r="M134" s="232">
        <f t="shared" si="74"/>
        <v>0</v>
      </c>
      <c r="N134" s="233">
        <v>0</v>
      </c>
      <c r="O134" s="233"/>
      <c r="P134" s="233"/>
      <c r="Q134" s="233"/>
      <c r="R134" s="232">
        <f t="shared" si="75"/>
        <v>0</v>
      </c>
    </row>
    <row r="135" spans="1:18" s="89" customFormat="1" ht="24" hidden="1" customHeight="1">
      <c r="A135" s="133">
        <v>7130</v>
      </c>
      <c r="B135" s="179" t="s">
        <v>119</v>
      </c>
      <c r="C135" s="170">
        <v>0</v>
      </c>
      <c r="D135" s="170">
        <v>0</v>
      </c>
      <c r="E135" s="233">
        <f t="shared" ref="E135:G135" si="140">SUM(E136:E138)</f>
        <v>0</v>
      </c>
      <c r="F135" s="233">
        <f t="shared" ref="F135" si="141">SUM(F136:F138)</f>
        <v>0</v>
      </c>
      <c r="G135" s="233">
        <f t="shared" si="140"/>
        <v>0</v>
      </c>
      <c r="H135" s="232">
        <f t="shared" si="73"/>
        <v>0</v>
      </c>
      <c r="I135" s="233">
        <v>0</v>
      </c>
      <c r="J135" s="233">
        <f t="shared" ref="J135:L135" si="142">SUM(J136:J138)</f>
        <v>0</v>
      </c>
      <c r="K135" s="233">
        <f t="shared" si="142"/>
        <v>0</v>
      </c>
      <c r="L135" s="233">
        <f t="shared" si="142"/>
        <v>0</v>
      </c>
      <c r="M135" s="232">
        <f t="shared" si="74"/>
        <v>0</v>
      </c>
      <c r="N135" s="233">
        <v>0</v>
      </c>
      <c r="O135" s="233">
        <f t="shared" ref="O135:Q135" si="143">SUM(O136:O138)</f>
        <v>0</v>
      </c>
      <c r="P135" s="233">
        <f t="shared" si="143"/>
        <v>0</v>
      </c>
      <c r="Q135" s="233">
        <f t="shared" si="143"/>
        <v>0</v>
      </c>
      <c r="R135" s="232">
        <f t="shared" si="75"/>
        <v>0</v>
      </c>
    </row>
    <row r="136" spans="1:18" s="89" customFormat="1" ht="36" hidden="1" customHeight="1">
      <c r="A136" s="134">
        <v>7131</v>
      </c>
      <c r="B136" s="179" t="s">
        <v>120</v>
      </c>
      <c r="C136" s="170"/>
      <c r="D136" s="170">
        <v>0</v>
      </c>
      <c r="E136" s="233"/>
      <c r="F136" s="233"/>
      <c r="G136" s="233"/>
      <c r="H136" s="232">
        <f t="shared" si="73"/>
        <v>0</v>
      </c>
      <c r="I136" s="233">
        <v>0</v>
      </c>
      <c r="J136" s="233"/>
      <c r="K136" s="233"/>
      <c r="L136" s="233"/>
      <c r="M136" s="232">
        <f t="shared" si="74"/>
        <v>0</v>
      </c>
      <c r="N136" s="233">
        <v>0</v>
      </c>
      <c r="O136" s="233"/>
      <c r="P136" s="233"/>
      <c r="Q136" s="233"/>
      <c r="R136" s="232">
        <f t="shared" si="75"/>
        <v>0</v>
      </c>
    </row>
    <row r="137" spans="1:18" s="29" customFormat="1" ht="36" hidden="1" customHeight="1">
      <c r="A137" s="134">
        <v>7132</v>
      </c>
      <c r="B137" s="179" t="s">
        <v>121</v>
      </c>
      <c r="C137" s="170"/>
      <c r="D137" s="170">
        <v>0</v>
      </c>
      <c r="E137" s="233"/>
      <c r="F137" s="233"/>
      <c r="G137" s="233"/>
      <c r="H137" s="232">
        <f t="shared" si="73"/>
        <v>0</v>
      </c>
      <c r="I137" s="233">
        <v>0</v>
      </c>
      <c r="J137" s="233"/>
      <c r="K137" s="233"/>
      <c r="L137" s="233"/>
      <c r="M137" s="232">
        <f t="shared" si="74"/>
        <v>0</v>
      </c>
      <c r="N137" s="233">
        <v>0</v>
      </c>
      <c r="O137" s="233"/>
      <c r="P137" s="233"/>
      <c r="Q137" s="233"/>
      <c r="R137" s="232">
        <f t="shared" si="75"/>
        <v>0</v>
      </c>
    </row>
    <row r="138" spans="1:18" s="29" customFormat="1" ht="24" hidden="1" customHeight="1">
      <c r="A138" s="134" t="s">
        <v>186</v>
      </c>
      <c r="B138" s="179" t="s">
        <v>187</v>
      </c>
      <c r="C138" s="170"/>
      <c r="D138" s="170">
        <v>0</v>
      </c>
      <c r="E138" s="233"/>
      <c r="F138" s="233"/>
      <c r="G138" s="233"/>
      <c r="H138" s="232">
        <f t="shared" ref="H138:H201" si="144">SUM(D138:G138)</f>
        <v>0</v>
      </c>
      <c r="I138" s="233">
        <v>0</v>
      </c>
      <c r="J138" s="233"/>
      <c r="K138" s="233"/>
      <c r="L138" s="233"/>
      <c r="M138" s="232">
        <f t="shared" ref="M138:M201" si="145">SUM(I138:L138)</f>
        <v>0</v>
      </c>
      <c r="N138" s="233">
        <v>0</v>
      </c>
      <c r="O138" s="233"/>
      <c r="P138" s="233"/>
      <c r="Q138" s="233"/>
      <c r="R138" s="232">
        <f t="shared" ref="R138:R201" si="146">SUM(N138:Q138)</f>
        <v>0</v>
      </c>
    </row>
    <row r="139" spans="1:18" s="29" customFormat="1" ht="24" hidden="1" customHeight="1">
      <c r="A139" s="132">
        <v>7300</v>
      </c>
      <c r="B139" s="172" t="s">
        <v>155</v>
      </c>
      <c r="C139" s="170">
        <v>0</v>
      </c>
      <c r="D139" s="170">
        <v>0</v>
      </c>
      <c r="E139" s="233">
        <f t="shared" ref="E139:G139" si="147">SUM(E140:E142)</f>
        <v>0</v>
      </c>
      <c r="F139" s="233">
        <f t="shared" si="147"/>
        <v>0</v>
      </c>
      <c r="G139" s="233">
        <f t="shared" si="147"/>
        <v>0</v>
      </c>
      <c r="H139" s="232">
        <f t="shared" si="144"/>
        <v>0</v>
      </c>
      <c r="I139" s="233">
        <v>0</v>
      </c>
      <c r="J139" s="233">
        <f t="shared" ref="J139:L139" si="148">SUM(J140:J142)</f>
        <v>0</v>
      </c>
      <c r="K139" s="233">
        <f t="shared" si="148"/>
        <v>0</v>
      </c>
      <c r="L139" s="233">
        <f t="shared" si="148"/>
        <v>0</v>
      </c>
      <c r="M139" s="232">
        <f t="shared" si="145"/>
        <v>0</v>
      </c>
      <c r="N139" s="233">
        <v>0</v>
      </c>
      <c r="O139" s="233">
        <f t="shared" ref="O139:Q139" si="149">SUM(O140:O142)</f>
        <v>0</v>
      </c>
      <c r="P139" s="233">
        <f t="shared" si="149"/>
        <v>0</v>
      </c>
      <c r="Q139" s="233">
        <f t="shared" si="149"/>
        <v>0</v>
      </c>
      <c r="R139" s="232">
        <f t="shared" si="146"/>
        <v>0</v>
      </c>
    </row>
    <row r="140" spans="1:18" s="4" customFormat="1" ht="24" hidden="1" customHeight="1">
      <c r="A140" s="133" t="s">
        <v>188</v>
      </c>
      <c r="B140" s="179" t="s">
        <v>170</v>
      </c>
      <c r="C140" s="204"/>
      <c r="D140" s="204">
        <v>0</v>
      </c>
      <c r="E140" s="252"/>
      <c r="F140" s="252"/>
      <c r="G140" s="252"/>
      <c r="H140" s="232">
        <f t="shared" si="144"/>
        <v>0</v>
      </c>
      <c r="I140" s="252">
        <v>0</v>
      </c>
      <c r="J140" s="252"/>
      <c r="K140" s="252"/>
      <c r="L140" s="252"/>
      <c r="M140" s="232">
        <f t="shared" si="145"/>
        <v>0</v>
      </c>
      <c r="N140" s="252">
        <v>0</v>
      </c>
      <c r="O140" s="252"/>
      <c r="P140" s="252"/>
      <c r="Q140" s="252"/>
      <c r="R140" s="232">
        <f t="shared" si="146"/>
        <v>0</v>
      </c>
    </row>
    <row r="141" spans="1:18" ht="48" hidden="1" customHeight="1">
      <c r="A141" s="133" t="s">
        <v>189</v>
      </c>
      <c r="B141" s="179" t="s">
        <v>156</v>
      </c>
      <c r="C141" s="204"/>
      <c r="D141" s="204">
        <v>0</v>
      </c>
      <c r="E141" s="252"/>
      <c r="F141" s="252"/>
      <c r="G141" s="252"/>
      <c r="H141" s="232">
        <f t="shared" si="144"/>
        <v>0</v>
      </c>
      <c r="I141" s="252">
        <v>0</v>
      </c>
      <c r="J141" s="252"/>
      <c r="K141" s="252"/>
      <c r="L141" s="252"/>
      <c r="M141" s="232">
        <f t="shared" si="145"/>
        <v>0</v>
      </c>
      <c r="N141" s="252">
        <v>0</v>
      </c>
      <c r="O141" s="252"/>
      <c r="P141" s="252"/>
      <c r="Q141" s="252"/>
      <c r="R141" s="232">
        <f t="shared" si="146"/>
        <v>0</v>
      </c>
    </row>
    <row r="142" spans="1:18" ht="36" hidden="1" customHeight="1">
      <c r="A142" s="133">
        <v>7350</v>
      </c>
      <c r="B142" s="179" t="s">
        <v>163</v>
      </c>
      <c r="C142" s="204"/>
      <c r="D142" s="204">
        <v>0</v>
      </c>
      <c r="E142" s="252"/>
      <c r="F142" s="252"/>
      <c r="G142" s="252"/>
      <c r="H142" s="232">
        <f t="shared" si="144"/>
        <v>0</v>
      </c>
      <c r="I142" s="252">
        <v>0</v>
      </c>
      <c r="J142" s="252"/>
      <c r="K142" s="252"/>
      <c r="L142" s="252"/>
      <c r="M142" s="232">
        <f t="shared" si="145"/>
        <v>0</v>
      </c>
      <c r="N142" s="252">
        <v>0</v>
      </c>
      <c r="O142" s="252"/>
      <c r="P142" s="252"/>
      <c r="Q142" s="252"/>
      <c r="R142" s="232">
        <f t="shared" si="146"/>
        <v>0</v>
      </c>
    </row>
    <row r="143" spans="1:18" ht="24" hidden="1" customHeight="1">
      <c r="A143" s="132">
        <v>7400</v>
      </c>
      <c r="B143" s="172" t="s">
        <v>161</v>
      </c>
      <c r="C143" s="170">
        <v>0</v>
      </c>
      <c r="D143" s="170">
        <v>0</v>
      </c>
      <c r="E143" s="233">
        <f t="shared" ref="E143:G143" si="150">SUM(E144:E145)</f>
        <v>0</v>
      </c>
      <c r="F143" s="233">
        <f t="shared" si="150"/>
        <v>0</v>
      </c>
      <c r="G143" s="233">
        <f t="shared" si="150"/>
        <v>0</v>
      </c>
      <c r="H143" s="232">
        <f t="shared" si="144"/>
        <v>0</v>
      </c>
      <c r="I143" s="233">
        <v>0</v>
      </c>
      <c r="J143" s="233">
        <f t="shared" ref="J143:L143" si="151">SUM(J144:J145)</f>
        <v>0</v>
      </c>
      <c r="K143" s="233">
        <f t="shared" si="151"/>
        <v>0</v>
      </c>
      <c r="L143" s="233">
        <f t="shared" si="151"/>
        <v>0</v>
      </c>
      <c r="M143" s="232">
        <f t="shared" si="145"/>
        <v>0</v>
      </c>
      <c r="N143" s="233">
        <v>0</v>
      </c>
      <c r="O143" s="233">
        <f t="shared" ref="O143:Q143" si="152">SUM(O144:O145)</f>
        <v>0</v>
      </c>
      <c r="P143" s="233">
        <f t="shared" si="152"/>
        <v>0</v>
      </c>
      <c r="Q143" s="233">
        <f t="shared" si="152"/>
        <v>0</v>
      </c>
      <c r="R143" s="232">
        <f t="shared" si="146"/>
        <v>0</v>
      </c>
    </row>
    <row r="144" spans="1:18" ht="24" hidden="1" customHeight="1">
      <c r="A144" s="133">
        <v>7460</v>
      </c>
      <c r="B144" s="172" t="s">
        <v>162</v>
      </c>
      <c r="C144" s="204"/>
      <c r="D144" s="204">
        <v>0</v>
      </c>
      <c r="E144" s="252"/>
      <c r="F144" s="252"/>
      <c r="G144" s="252"/>
      <c r="H144" s="232">
        <f t="shared" si="144"/>
        <v>0</v>
      </c>
      <c r="I144" s="252">
        <v>0</v>
      </c>
      <c r="J144" s="252"/>
      <c r="K144" s="252"/>
      <c r="L144" s="252"/>
      <c r="M144" s="232">
        <f t="shared" si="145"/>
        <v>0</v>
      </c>
      <c r="N144" s="252">
        <v>0</v>
      </c>
      <c r="O144" s="252"/>
      <c r="P144" s="252"/>
      <c r="Q144" s="252"/>
      <c r="R144" s="232">
        <f t="shared" si="146"/>
        <v>0</v>
      </c>
    </row>
    <row r="145" spans="1:18" ht="36" hidden="1" customHeight="1">
      <c r="A145" s="133">
        <v>7470</v>
      </c>
      <c r="B145" s="179" t="s">
        <v>167</v>
      </c>
      <c r="C145" s="204"/>
      <c r="D145" s="204">
        <v>0</v>
      </c>
      <c r="E145" s="252"/>
      <c r="F145" s="252"/>
      <c r="G145" s="252"/>
      <c r="H145" s="232">
        <f t="shared" si="144"/>
        <v>0</v>
      </c>
      <c r="I145" s="252">
        <v>0</v>
      </c>
      <c r="J145" s="252"/>
      <c r="K145" s="252"/>
      <c r="L145" s="252"/>
      <c r="M145" s="232">
        <f t="shared" si="145"/>
        <v>0</v>
      </c>
      <c r="N145" s="252">
        <v>0</v>
      </c>
      <c r="O145" s="252"/>
      <c r="P145" s="252"/>
      <c r="Q145" s="252"/>
      <c r="R145" s="232">
        <f t="shared" si="146"/>
        <v>0</v>
      </c>
    </row>
    <row r="146" spans="1:18" ht="24" hidden="1" customHeight="1">
      <c r="A146" s="132">
        <v>7500</v>
      </c>
      <c r="B146" s="179" t="s">
        <v>157</v>
      </c>
      <c r="C146" s="170"/>
      <c r="D146" s="170">
        <v>0</v>
      </c>
      <c r="E146" s="233"/>
      <c r="F146" s="233"/>
      <c r="G146" s="233"/>
      <c r="H146" s="232">
        <f t="shared" si="144"/>
        <v>0</v>
      </c>
      <c r="I146" s="233">
        <v>0</v>
      </c>
      <c r="J146" s="233"/>
      <c r="K146" s="233"/>
      <c r="L146" s="233"/>
      <c r="M146" s="232">
        <f t="shared" si="145"/>
        <v>0</v>
      </c>
      <c r="N146" s="233">
        <v>0</v>
      </c>
      <c r="O146" s="233"/>
      <c r="P146" s="233"/>
      <c r="Q146" s="233"/>
      <c r="R146" s="232">
        <f t="shared" si="146"/>
        <v>0</v>
      </c>
    </row>
    <row r="147" spans="1:18" s="4" customFormat="1" ht="12" hidden="1" customHeight="1">
      <c r="A147" s="140" t="s">
        <v>133</v>
      </c>
      <c r="B147" s="124" t="s">
        <v>122</v>
      </c>
      <c r="C147" s="205">
        <v>0</v>
      </c>
      <c r="D147" s="205">
        <v>0</v>
      </c>
      <c r="E147" s="254">
        <f t="shared" ref="E147:G147" si="153">E148+E149</f>
        <v>0</v>
      </c>
      <c r="F147" s="254">
        <f t="shared" si="153"/>
        <v>0</v>
      </c>
      <c r="G147" s="254">
        <f t="shared" si="153"/>
        <v>0</v>
      </c>
      <c r="H147" s="232">
        <f t="shared" si="144"/>
        <v>0</v>
      </c>
      <c r="I147" s="254">
        <v>0</v>
      </c>
      <c r="J147" s="254">
        <f t="shared" ref="J147:L147" si="154">J148+J149</f>
        <v>0</v>
      </c>
      <c r="K147" s="254">
        <f t="shared" si="154"/>
        <v>0</v>
      </c>
      <c r="L147" s="254">
        <f t="shared" si="154"/>
        <v>0</v>
      </c>
      <c r="M147" s="232">
        <f t="shared" si="145"/>
        <v>0</v>
      </c>
      <c r="N147" s="254">
        <v>0</v>
      </c>
      <c r="O147" s="254">
        <f t="shared" ref="O147:Q147" si="155">O148+O149</f>
        <v>0</v>
      </c>
      <c r="P147" s="254">
        <f t="shared" si="155"/>
        <v>0</v>
      </c>
      <c r="Q147" s="254">
        <f t="shared" si="155"/>
        <v>0</v>
      </c>
      <c r="R147" s="232">
        <f t="shared" si="146"/>
        <v>0</v>
      </c>
    </row>
    <row r="148" spans="1:18" s="6" customFormat="1" ht="12" hidden="1" customHeight="1">
      <c r="A148" s="140">
        <v>5000</v>
      </c>
      <c r="B148" s="124" t="s">
        <v>123</v>
      </c>
      <c r="C148" s="170"/>
      <c r="D148" s="170">
        <v>0</v>
      </c>
      <c r="E148" s="244"/>
      <c r="F148" s="244"/>
      <c r="G148" s="244"/>
      <c r="H148" s="232">
        <f t="shared" si="144"/>
        <v>0</v>
      </c>
      <c r="I148" s="233">
        <v>0</v>
      </c>
      <c r="J148" s="244"/>
      <c r="K148" s="244"/>
      <c r="L148" s="244"/>
      <c r="M148" s="232">
        <f t="shared" si="145"/>
        <v>0</v>
      </c>
      <c r="N148" s="233">
        <v>0</v>
      </c>
      <c r="O148" s="244"/>
      <c r="P148" s="244"/>
      <c r="Q148" s="244"/>
      <c r="R148" s="232">
        <f t="shared" si="146"/>
        <v>0</v>
      </c>
    </row>
    <row r="149" spans="1:18" s="6" customFormat="1" ht="12" hidden="1" customHeight="1">
      <c r="A149" s="140">
        <v>9000</v>
      </c>
      <c r="B149" s="182" t="s">
        <v>164</v>
      </c>
      <c r="C149" s="170">
        <v>0</v>
      </c>
      <c r="D149" s="170">
        <v>0</v>
      </c>
      <c r="E149" s="233">
        <f t="shared" ref="E149:G149" si="156">E150+E156+E160+E163</f>
        <v>0</v>
      </c>
      <c r="F149" s="233">
        <f t="shared" si="156"/>
        <v>0</v>
      </c>
      <c r="G149" s="233">
        <f t="shared" si="156"/>
        <v>0</v>
      </c>
      <c r="H149" s="232">
        <f t="shared" si="144"/>
        <v>0</v>
      </c>
      <c r="I149" s="233">
        <v>0</v>
      </c>
      <c r="J149" s="233">
        <f t="shared" ref="J149:L149" si="157">J150+J156+J160+J163</f>
        <v>0</v>
      </c>
      <c r="K149" s="233">
        <f t="shared" si="157"/>
        <v>0</v>
      </c>
      <c r="L149" s="233">
        <f t="shared" si="157"/>
        <v>0</v>
      </c>
      <c r="M149" s="232">
        <f t="shared" si="145"/>
        <v>0</v>
      </c>
      <c r="N149" s="233">
        <v>0</v>
      </c>
      <c r="O149" s="233">
        <f t="shared" ref="O149:Q149" si="158">O150+O156+O160+O163</f>
        <v>0</v>
      </c>
      <c r="P149" s="233">
        <f t="shared" si="158"/>
        <v>0</v>
      </c>
      <c r="Q149" s="233">
        <f t="shared" si="158"/>
        <v>0</v>
      </c>
      <c r="R149" s="232">
        <f t="shared" si="146"/>
        <v>0</v>
      </c>
    </row>
    <row r="150" spans="1:18" s="6" customFormat="1" ht="12" hidden="1" customHeight="1">
      <c r="A150" s="141">
        <v>9100</v>
      </c>
      <c r="B150" s="179" t="s">
        <v>124</v>
      </c>
      <c r="C150" s="170">
        <v>0</v>
      </c>
      <c r="D150" s="170">
        <v>0</v>
      </c>
      <c r="E150" s="233">
        <f t="shared" ref="E150:G150" si="159">SUM(E151:E152)</f>
        <v>0</v>
      </c>
      <c r="F150" s="233">
        <f t="shared" ref="F150" si="160">SUM(F151:F152)</f>
        <v>0</v>
      </c>
      <c r="G150" s="233">
        <f t="shared" si="159"/>
        <v>0</v>
      </c>
      <c r="H150" s="232">
        <f t="shared" si="144"/>
        <v>0</v>
      </c>
      <c r="I150" s="233">
        <v>0</v>
      </c>
      <c r="J150" s="233">
        <f t="shared" ref="J150:L150" si="161">SUM(J151:J152)</f>
        <v>0</v>
      </c>
      <c r="K150" s="233">
        <f t="shared" si="161"/>
        <v>0</v>
      </c>
      <c r="L150" s="233">
        <f t="shared" si="161"/>
        <v>0</v>
      </c>
      <c r="M150" s="232">
        <f t="shared" si="145"/>
        <v>0</v>
      </c>
      <c r="N150" s="233">
        <v>0</v>
      </c>
      <c r="O150" s="233">
        <f t="shared" ref="O150:Q150" si="162">SUM(O151:O152)</f>
        <v>0</v>
      </c>
      <c r="P150" s="233">
        <f t="shared" si="162"/>
        <v>0</v>
      </c>
      <c r="Q150" s="233">
        <f t="shared" si="162"/>
        <v>0</v>
      </c>
      <c r="R150" s="232">
        <f t="shared" si="146"/>
        <v>0</v>
      </c>
    </row>
    <row r="151" spans="1:18" s="6" customFormat="1" ht="24" hidden="1" customHeight="1">
      <c r="A151" s="133" t="s">
        <v>125</v>
      </c>
      <c r="B151" s="179" t="s">
        <v>214</v>
      </c>
      <c r="C151" s="170"/>
      <c r="D151" s="170">
        <v>0</v>
      </c>
      <c r="E151" s="233"/>
      <c r="F151" s="233"/>
      <c r="G151" s="233"/>
      <c r="H151" s="232">
        <f t="shared" si="144"/>
        <v>0</v>
      </c>
      <c r="I151" s="233">
        <v>0</v>
      </c>
      <c r="J151" s="233"/>
      <c r="K151" s="233"/>
      <c r="L151" s="233"/>
      <c r="M151" s="232">
        <f t="shared" si="145"/>
        <v>0</v>
      </c>
      <c r="N151" s="233">
        <v>0</v>
      </c>
      <c r="O151" s="233"/>
      <c r="P151" s="233"/>
      <c r="Q151" s="233"/>
      <c r="R151" s="232">
        <f t="shared" si="146"/>
        <v>0</v>
      </c>
    </row>
    <row r="152" spans="1:18" s="6" customFormat="1" ht="24" hidden="1" customHeight="1">
      <c r="A152" s="133">
        <v>9140</v>
      </c>
      <c r="B152" s="179" t="s">
        <v>215</v>
      </c>
      <c r="C152" s="170">
        <v>0</v>
      </c>
      <c r="D152" s="170">
        <v>0</v>
      </c>
      <c r="E152" s="233">
        <f t="shared" ref="E152:G152" si="163">SUM(E153:E155)</f>
        <v>0</v>
      </c>
      <c r="F152" s="233">
        <f t="shared" si="163"/>
        <v>0</v>
      </c>
      <c r="G152" s="233">
        <f t="shared" si="163"/>
        <v>0</v>
      </c>
      <c r="H152" s="232">
        <f t="shared" si="144"/>
        <v>0</v>
      </c>
      <c r="I152" s="233">
        <v>0</v>
      </c>
      <c r="J152" s="233">
        <f t="shared" ref="J152:L152" si="164">SUM(J153:J155)</f>
        <v>0</v>
      </c>
      <c r="K152" s="233">
        <f t="shared" si="164"/>
        <v>0</v>
      </c>
      <c r="L152" s="233">
        <f t="shared" si="164"/>
        <v>0</v>
      </c>
      <c r="M152" s="232">
        <f t="shared" si="145"/>
        <v>0</v>
      </c>
      <c r="N152" s="233">
        <v>0</v>
      </c>
      <c r="O152" s="233">
        <f t="shared" ref="O152:Q152" si="165">SUM(O153:O155)</f>
        <v>0</v>
      </c>
      <c r="P152" s="233">
        <f t="shared" si="165"/>
        <v>0</v>
      </c>
      <c r="Q152" s="233">
        <f t="shared" si="165"/>
        <v>0</v>
      </c>
      <c r="R152" s="232">
        <f t="shared" si="146"/>
        <v>0</v>
      </c>
    </row>
    <row r="153" spans="1:18" s="6" customFormat="1" ht="36" hidden="1" customHeight="1">
      <c r="A153" s="134">
        <v>9141</v>
      </c>
      <c r="B153" s="172" t="s">
        <v>190</v>
      </c>
      <c r="C153" s="204"/>
      <c r="D153" s="204">
        <v>0</v>
      </c>
      <c r="E153" s="252"/>
      <c r="F153" s="252"/>
      <c r="G153" s="252"/>
      <c r="H153" s="232">
        <f t="shared" si="144"/>
        <v>0</v>
      </c>
      <c r="I153" s="252">
        <v>0</v>
      </c>
      <c r="J153" s="252"/>
      <c r="K153" s="252"/>
      <c r="L153" s="252"/>
      <c r="M153" s="232">
        <f t="shared" si="145"/>
        <v>0</v>
      </c>
      <c r="N153" s="252">
        <v>0</v>
      </c>
      <c r="O153" s="252"/>
      <c r="P153" s="252"/>
      <c r="Q153" s="252"/>
      <c r="R153" s="232">
        <f t="shared" si="146"/>
        <v>0</v>
      </c>
    </row>
    <row r="154" spans="1:18" s="6" customFormat="1" ht="36" hidden="1" customHeight="1">
      <c r="A154" s="134">
        <v>9142</v>
      </c>
      <c r="B154" s="172" t="s">
        <v>191</v>
      </c>
      <c r="C154" s="204"/>
      <c r="D154" s="204">
        <v>0</v>
      </c>
      <c r="E154" s="252"/>
      <c r="F154" s="252"/>
      <c r="G154" s="252"/>
      <c r="H154" s="232">
        <f t="shared" si="144"/>
        <v>0</v>
      </c>
      <c r="I154" s="252">
        <v>0</v>
      </c>
      <c r="J154" s="252"/>
      <c r="K154" s="252"/>
      <c r="L154" s="252"/>
      <c r="M154" s="232">
        <f t="shared" si="145"/>
        <v>0</v>
      </c>
      <c r="N154" s="252">
        <v>0</v>
      </c>
      <c r="O154" s="252"/>
      <c r="P154" s="252"/>
      <c r="Q154" s="252"/>
      <c r="R154" s="232">
        <f t="shared" si="146"/>
        <v>0</v>
      </c>
    </row>
    <row r="155" spans="1:18" s="6" customFormat="1" ht="24" hidden="1" customHeight="1">
      <c r="A155" s="134">
        <v>9149</v>
      </c>
      <c r="B155" s="172" t="s">
        <v>192</v>
      </c>
      <c r="C155" s="204"/>
      <c r="D155" s="204">
        <v>0</v>
      </c>
      <c r="E155" s="252"/>
      <c r="F155" s="252"/>
      <c r="G155" s="252"/>
      <c r="H155" s="232">
        <f t="shared" si="144"/>
        <v>0</v>
      </c>
      <c r="I155" s="252">
        <v>0</v>
      </c>
      <c r="J155" s="252"/>
      <c r="K155" s="252"/>
      <c r="L155" s="252"/>
      <c r="M155" s="232">
        <f t="shared" si="145"/>
        <v>0</v>
      </c>
      <c r="N155" s="252">
        <v>0</v>
      </c>
      <c r="O155" s="252"/>
      <c r="P155" s="252"/>
      <c r="Q155" s="252"/>
      <c r="R155" s="232">
        <f t="shared" si="146"/>
        <v>0</v>
      </c>
    </row>
    <row r="156" spans="1:18" s="6" customFormat="1" ht="24" hidden="1" customHeight="1">
      <c r="A156" s="141">
        <v>9500</v>
      </c>
      <c r="B156" s="172" t="s">
        <v>165</v>
      </c>
      <c r="C156" s="170">
        <v>0</v>
      </c>
      <c r="D156" s="170">
        <v>0</v>
      </c>
      <c r="E156" s="233">
        <f t="shared" ref="E156:G156" si="166">SUM(E157:E159)</f>
        <v>0</v>
      </c>
      <c r="F156" s="233">
        <f t="shared" si="166"/>
        <v>0</v>
      </c>
      <c r="G156" s="233">
        <f t="shared" si="166"/>
        <v>0</v>
      </c>
      <c r="H156" s="232">
        <f t="shared" si="144"/>
        <v>0</v>
      </c>
      <c r="I156" s="233">
        <v>0</v>
      </c>
      <c r="J156" s="233">
        <f t="shared" ref="J156:L156" si="167">SUM(J157:J159)</f>
        <v>0</v>
      </c>
      <c r="K156" s="233">
        <f t="shared" si="167"/>
        <v>0</v>
      </c>
      <c r="L156" s="233">
        <f t="shared" si="167"/>
        <v>0</v>
      </c>
      <c r="M156" s="232">
        <f t="shared" si="145"/>
        <v>0</v>
      </c>
      <c r="N156" s="233">
        <v>0</v>
      </c>
      <c r="O156" s="233">
        <f t="shared" ref="O156:Q156" si="168">SUM(O157:O159)</f>
        <v>0</v>
      </c>
      <c r="P156" s="233">
        <f t="shared" si="168"/>
        <v>0</v>
      </c>
      <c r="Q156" s="233">
        <f t="shared" si="168"/>
        <v>0</v>
      </c>
      <c r="R156" s="232">
        <f t="shared" si="146"/>
        <v>0</v>
      </c>
    </row>
    <row r="157" spans="1:18" s="6" customFormat="1" ht="24" hidden="1" customHeight="1">
      <c r="A157" s="133" t="s">
        <v>193</v>
      </c>
      <c r="B157" s="172" t="s">
        <v>171</v>
      </c>
      <c r="C157" s="170"/>
      <c r="D157" s="170">
        <v>0</v>
      </c>
      <c r="E157" s="233"/>
      <c r="F157" s="233"/>
      <c r="G157" s="233"/>
      <c r="H157" s="232">
        <f t="shared" si="144"/>
        <v>0</v>
      </c>
      <c r="I157" s="233">
        <v>0</v>
      </c>
      <c r="J157" s="233"/>
      <c r="K157" s="233"/>
      <c r="L157" s="233"/>
      <c r="M157" s="232">
        <f t="shared" si="145"/>
        <v>0</v>
      </c>
      <c r="N157" s="233">
        <v>0</v>
      </c>
      <c r="O157" s="233"/>
      <c r="P157" s="233"/>
      <c r="Q157" s="233"/>
      <c r="R157" s="232">
        <f t="shared" si="146"/>
        <v>0</v>
      </c>
    </row>
    <row r="158" spans="1:18" s="6" customFormat="1" ht="48" hidden="1" customHeight="1">
      <c r="A158" s="133">
        <v>9580</v>
      </c>
      <c r="B158" s="172" t="s">
        <v>166</v>
      </c>
      <c r="C158" s="204"/>
      <c r="D158" s="204">
        <v>0</v>
      </c>
      <c r="E158" s="252"/>
      <c r="F158" s="252"/>
      <c r="G158" s="252"/>
      <c r="H158" s="232">
        <f t="shared" si="144"/>
        <v>0</v>
      </c>
      <c r="I158" s="252">
        <v>0</v>
      </c>
      <c r="J158" s="252"/>
      <c r="K158" s="252"/>
      <c r="L158" s="252"/>
      <c r="M158" s="232">
        <f t="shared" si="145"/>
        <v>0</v>
      </c>
      <c r="N158" s="252">
        <v>0</v>
      </c>
      <c r="O158" s="252"/>
      <c r="P158" s="252"/>
      <c r="Q158" s="252"/>
      <c r="R158" s="232">
        <f t="shared" si="146"/>
        <v>0</v>
      </c>
    </row>
    <row r="159" spans="1:18" s="6" customFormat="1" ht="36" hidden="1" customHeight="1">
      <c r="A159" s="133">
        <v>9590</v>
      </c>
      <c r="B159" s="179" t="s">
        <v>172</v>
      </c>
      <c r="C159" s="204"/>
      <c r="D159" s="204">
        <v>0</v>
      </c>
      <c r="E159" s="252"/>
      <c r="F159" s="252"/>
      <c r="G159" s="252"/>
      <c r="H159" s="232">
        <f t="shared" si="144"/>
        <v>0</v>
      </c>
      <c r="I159" s="252">
        <v>0</v>
      </c>
      <c r="J159" s="252"/>
      <c r="K159" s="252"/>
      <c r="L159" s="252"/>
      <c r="M159" s="232">
        <f t="shared" si="145"/>
        <v>0</v>
      </c>
      <c r="N159" s="252">
        <v>0</v>
      </c>
      <c r="O159" s="252"/>
      <c r="P159" s="252"/>
      <c r="Q159" s="252"/>
      <c r="R159" s="232">
        <f t="shared" si="146"/>
        <v>0</v>
      </c>
    </row>
    <row r="160" spans="1:18" s="6" customFormat="1" ht="24" hidden="1" customHeight="1">
      <c r="A160" s="141">
        <v>9700</v>
      </c>
      <c r="B160" s="183" t="s">
        <v>194</v>
      </c>
      <c r="C160" s="170">
        <v>0</v>
      </c>
      <c r="D160" s="170">
        <v>0</v>
      </c>
      <c r="E160" s="233">
        <f t="shared" ref="E160:G160" si="169">SUM(E161:E162)</f>
        <v>0</v>
      </c>
      <c r="F160" s="233">
        <f t="shared" si="169"/>
        <v>0</v>
      </c>
      <c r="G160" s="233">
        <f t="shared" si="169"/>
        <v>0</v>
      </c>
      <c r="H160" s="232">
        <f t="shared" si="144"/>
        <v>0</v>
      </c>
      <c r="I160" s="233">
        <v>0</v>
      </c>
      <c r="J160" s="233">
        <f t="shared" ref="J160:L160" si="170">SUM(J161:J162)</f>
        <v>0</v>
      </c>
      <c r="K160" s="233">
        <f t="shared" si="170"/>
        <v>0</v>
      </c>
      <c r="L160" s="233">
        <f t="shared" si="170"/>
        <v>0</v>
      </c>
      <c r="M160" s="232">
        <f t="shared" si="145"/>
        <v>0</v>
      </c>
      <c r="N160" s="233">
        <v>0</v>
      </c>
      <c r="O160" s="233">
        <f t="shared" ref="O160:Q160" si="171">SUM(O161:O162)</f>
        <v>0</v>
      </c>
      <c r="P160" s="233">
        <f t="shared" si="171"/>
        <v>0</v>
      </c>
      <c r="Q160" s="233">
        <f t="shared" si="171"/>
        <v>0</v>
      </c>
      <c r="R160" s="232">
        <f t="shared" si="146"/>
        <v>0</v>
      </c>
    </row>
    <row r="161" spans="1:18" s="6" customFormat="1" ht="24" hidden="1" customHeight="1">
      <c r="A161" s="133">
        <v>9710</v>
      </c>
      <c r="B161" s="184" t="s">
        <v>195</v>
      </c>
      <c r="C161" s="204"/>
      <c r="D161" s="204">
        <v>0</v>
      </c>
      <c r="E161" s="252"/>
      <c r="F161" s="252"/>
      <c r="G161" s="252"/>
      <c r="H161" s="232">
        <f t="shared" si="144"/>
        <v>0</v>
      </c>
      <c r="I161" s="252">
        <v>0</v>
      </c>
      <c r="J161" s="252"/>
      <c r="K161" s="252"/>
      <c r="L161" s="252"/>
      <c r="M161" s="232">
        <f t="shared" si="145"/>
        <v>0</v>
      </c>
      <c r="N161" s="252">
        <v>0</v>
      </c>
      <c r="O161" s="252"/>
      <c r="P161" s="252"/>
      <c r="Q161" s="252"/>
      <c r="R161" s="232">
        <f t="shared" si="146"/>
        <v>0</v>
      </c>
    </row>
    <row r="162" spans="1:18" s="6" customFormat="1" ht="36" hidden="1" customHeight="1">
      <c r="A162" s="142">
        <v>9720</v>
      </c>
      <c r="B162" s="183" t="s">
        <v>196</v>
      </c>
      <c r="C162" s="204"/>
      <c r="D162" s="204">
        <v>0</v>
      </c>
      <c r="E162" s="252"/>
      <c r="F162" s="252"/>
      <c r="G162" s="252"/>
      <c r="H162" s="232">
        <f t="shared" si="144"/>
        <v>0</v>
      </c>
      <c r="I162" s="252">
        <v>0</v>
      </c>
      <c r="J162" s="252"/>
      <c r="K162" s="252"/>
      <c r="L162" s="252"/>
      <c r="M162" s="232">
        <f t="shared" si="145"/>
        <v>0</v>
      </c>
      <c r="N162" s="252">
        <v>0</v>
      </c>
      <c r="O162" s="252"/>
      <c r="P162" s="252"/>
      <c r="Q162" s="252"/>
      <c r="R162" s="232">
        <f t="shared" si="146"/>
        <v>0</v>
      </c>
    </row>
    <row r="163" spans="1:18" s="6" customFormat="1" ht="24" hidden="1" customHeight="1">
      <c r="A163" s="141">
        <v>9600</v>
      </c>
      <c r="B163" s="179" t="s">
        <v>134</v>
      </c>
      <c r="C163" s="204"/>
      <c r="D163" s="204">
        <v>0</v>
      </c>
      <c r="E163" s="252"/>
      <c r="F163" s="252"/>
      <c r="G163" s="252"/>
      <c r="H163" s="232">
        <f t="shared" si="144"/>
        <v>0</v>
      </c>
      <c r="I163" s="252">
        <v>0</v>
      </c>
      <c r="J163" s="252"/>
      <c r="K163" s="252"/>
      <c r="L163" s="252"/>
      <c r="M163" s="232">
        <f t="shared" si="145"/>
        <v>0</v>
      </c>
      <c r="N163" s="252">
        <v>0</v>
      </c>
      <c r="O163" s="252"/>
      <c r="P163" s="252"/>
      <c r="Q163" s="252"/>
      <c r="R163" s="232">
        <f t="shared" si="146"/>
        <v>0</v>
      </c>
    </row>
    <row r="164" spans="1:18" s="6" customFormat="1" ht="52.5" hidden="1" customHeight="1">
      <c r="A164" s="130" t="s">
        <v>197</v>
      </c>
      <c r="B164" s="185" t="s">
        <v>47</v>
      </c>
      <c r="C164" s="206"/>
      <c r="D164" s="206">
        <v>0</v>
      </c>
      <c r="E164" s="262">
        <f t="shared" ref="E164:G164" si="172">E94-E119</f>
        <v>0</v>
      </c>
      <c r="F164" s="262">
        <f t="shared" si="172"/>
        <v>0</v>
      </c>
      <c r="G164" s="262">
        <f t="shared" si="172"/>
        <v>0</v>
      </c>
      <c r="H164" s="232">
        <f t="shared" si="144"/>
        <v>0</v>
      </c>
      <c r="I164" s="262">
        <v>0</v>
      </c>
      <c r="J164" s="262">
        <f t="shared" ref="J164:L164" si="173">J94-J119</f>
        <v>0</v>
      </c>
      <c r="K164" s="262">
        <f t="shared" si="173"/>
        <v>0</v>
      </c>
      <c r="L164" s="262">
        <f t="shared" si="173"/>
        <v>0</v>
      </c>
      <c r="M164" s="232">
        <f t="shared" si="145"/>
        <v>0</v>
      </c>
      <c r="N164" s="262">
        <v>0</v>
      </c>
      <c r="O164" s="262">
        <f t="shared" ref="O164:Q164" si="174">O94-O119</f>
        <v>0</v>
      </c>
      <c r="P164" s="262">
        <f t="shared" si="174"/>
        <v>0</v>
      </c>
      <c r="Q164" s="262">
        <f t="shared" si="174"/>
        <v>0</v>
      </c>
      <c r="R164" s="232">
        <f t="shared" si="146"/>
        <v>0</v>
      </c>
    </row>
    <row r="165" spans="1:18" s="6" customFormat="1" ht="12" hidden="1" customHeight="1">
      <c r="A165" s="143" t="s">
        <v>48</v>
      </c>
      <c r="B165" s="185" t="s">
        <v>49</v>
      </c>
      <c r="C165" s="206">
        <v>0</v>
      </c>
      <c r="D165" s="206">
        <v>0</v>
      </c>
      <c r="E165" s="262">
        <f t="shared" ref="E165:G165" si="175">E166+E169+E173+E172</f>
        <v>0</v>
      </c>
      <c r="F165" s="262">
        <f t="shared" si="175"/>
        <v>0</v>
      </c>
      <c r="G165" s="262">
        <f t="shared" si="175"/>
        <v>0</v>
      </c>
      <c r="H165" s="232">
        <f t="shared" si="144"/>
        <v>0</v>
      </c>
      <c r="I165" s="262">
        <v>0</v>
      </c>
      <c r="J165" s="262">
        <f t="shared" ref="J165:L165" si="176">J166+J169+J173+J172</f>
        <v>0</v>
      </c>
      <c r="K165" s="262">
        <f t="shared" si="176"/>
        <v>0</v>
      </c>
      <c r="L165" s="262">
        <f t="shared" si="176"/>
        <v>0</v>
      </c>
      <c r="M165" s="232">
        <f t="shared" si="145"/>
        <v>0</v>
      </c>
      <c r="N165" s="262">
        <v>0</v>
      </c>
      <c r="O165" s="262">
        <f t="shared" ref="O165:Q165" si="177">O166+O169+O173+O172</f>
        <v>0</v>
      </c>
      <c r="P165" s="262">
        <f t="shared" si="177"/>
        <v>0</v>
      </c>
      <c r="Q165" s="262">
        <f t="shared" si="177"/>
        <v>0</v>
      </c>
      <c r="R165" s="232">
        <f t="shared" si="146"/>
        <v>0</v>
      </c>
    </row>
    <row r="166" spans="1:18" s="6" customFormat="1" ht="12" hidden="1" customHeight="1">
      <c r="A166" s="141" t="s">
        <v>50</v>
      </c>
      <c r="B166" s="179" t="s">
        <v>51</v>
      </c>
      <c r="C166" s="98">
        <v>0</v>
      </c>
      <c r="D166" s="98">
        <v>0</v>
      </c>
      <c r="E166" s="231">
        <f t="shared" ref="E166:G166" si="178">E167+E168</f>
        <v>0</v>
      </c>
      <c r="F166" s="231">
        <f t="shared" si="178"/>
        <v>0</v>
      </c>
      <c r="G166" s="231">
        <f t="shared" si="178"/>
        <v>0</v>
      </c>
      <c r="H166" s="232">
        <f t="shared" si="144"/>
        <v>0</v>
      </c>
      <c r="I166" s="231">
        <v>0</v>
      </c>
      <c r="J166" s="231">
        <f t="shared" ref="J166:L166" si="179">J167+J168</f>
        <v>0</v>
      </c>
      <c r="K166" s="231">
        <f t="shared" si="179"/>
        <v>0</v>
      </c>
      <c r="L166" s="231">
        <f t="shared" si="179"/>
        <v>0</v>
      </c>
      <c r="M166" s="232">
        <f t="shared" si="145"/>
        <v>0</v>
      </c>
      <c r="N166" s="231">
        <v>0</v>
      </c>
      <c r="O166" s="231">
        <f t="shared" ref="O166:Q166" si="180">O167+O168</f>
        <v>0</v>
      </c>
      <c r="P166" s="231">
        <f t="shared" si="180"/>
        <v>0</v>
      </c>
      <c r="Q166" s="231">
        <f t="shared" si="180"/>
        <v>0</v>
      </c>
      <c r="R166" s="232">
        <f t="shared" si="146"/>
        <v>0</v>
      </c>
    </row>
    <row r="167" spans="1:18" s="6" customFormat="1" ht="12" hidden="1" customHeight="1">
      <c r="A167" s="141" t="s">
        <v>52</v>
      </c>
      <c r="B167" s="179" t="s">
        <v>53</v>
      </c>
      <c r="C167" s="98"/>
      <c r="D167" s="98">
        <v>0</v>
      </c>
      <c r="E167" s="231"/>
      <c r="F167" s="231"/>
      <c r="G167" s="231"/>
      <c r="H167" s="232">
        <f t="shared" si="144"/>
        <v>0</v>
      </c>
      <c r="I167" s="231">
        <v>0</v>
      </c>
      <c r="J167" s="231"/>
      <c r="K167" s="231"/>
      <c r="L167" s="231"/>
      <c r="M167" s="232">
        <f t="shared" si="145"/>
        <v>0</v>
      </c>
      <c r="N167" s="231">
        <v>0</v>
      </c>
      <c r="O167" s="231"/>
      <c r="P167" s="231"/>
      <c r="Q167" s="231"/>
      <c r="R167" s="232">
        <f t="shared" si="146"/>
        <v>0</v>
      </c>
    </row>
    <row r="168" spans="1:18" s="6" customFormat="1" ht="12" hidden="1" customHeight="1">
      <c r="A168" s="141" t="s">
        <v>54</v>
      </c>
      <c r="B168" s="179" t="s">
        <v>55</v>
      </c>
      <c r="C168" s="98"/>
      <c r="D168" s="98">
        <v>0</v>
      </c>
      <c r="E168" s="231"/>
      <c r="F168" s="231"/>
      <c r="G168" s="231"/>
      <c r="H168" s="232">
        <f t="shared" si="144"/>
        <v>0</v>
      </c>
      <c r="I168" s="231">
        <v>0</v>
      </c>
      <c r="J168" s="231"/>
      <c r="K168" s="231"/>
      <c r="L168" s="231"/>
      <c r="M168" s="232">
        <f t="shared" si="145"/>
        <v>0</v>
      </c>
      <c r="N168" s="231">
        <v>0</v>
      </c>
      <c r="O168" s="231"/>
      <c r="P168" s="231"/>
      <c r="Q168" s="231"/>
      <c r="R168" s="232">
        <f t="shared" si="146"/>
        <v>0</v>
      </c>
    </row>
    <row r="169" spans="1:18" s="6" customFormat="1" ht="12" hidden="1" customHeight="1">
      <c r="A169" s="141" t="s">
        <v>56</v>
      </c>
      <c r="B169" s="179" t="s">
        <v>57</v>
      </c>
      <c r="C169" s="98">
        <v>0</v>
      </c>
      <c r="D169" s="98">
        <v>0</v>
      </c>
      <c r="E169" s="231">
        <f t="shared" ref="E169:G169" si="181">E170+E171</f>
        <v>0</v>
      </c>
      <c r="F169" s="231">
        <f t="shared" si="181"/>
        <v>0</v>
      </c>
      <c r="G169" s="231">
        <f t="shared" si="181"/>
        <v>0</v>
      </c>
      <c r="H169" s="232">
        <f t="shared" si="144"/>
        <v>0</v>
      </c>
      <c r="I169" s="231">
        <v>0</v>
      </c>
      <c r="J169" s="231">
        <f t="shared" ref="J169:L169" si="182">J170+J171</f>
        <v>0</v>
      </c>
      <c r="K169" s="231">
        <f t="shared" si="182"/>
        <v>0</v>
      </c>
      <c r="L169" s="231">
        <f t="shared" si="182"/>
        <v>0</v>
      </c>
      <c r="M169" s="232">
        <f t="shared" si="145"/>
        <v>0</v>
      </c>
      <c r="N169" s="231">
        <v>0</v>
      </c>
      <c r="O169" s="231">
        <f t="shared" ref="O169:Q169" si="183">O170+O171</f>
        <v>0</v>
      </c>
      <c r="P169" s="231">
        <f t="shared" si="183"/>
        <v>0</v>
      </c>
      <c r="Q169" s="231">
        <f t="shared" si="183"/>
        <v>0</v>
      </c>
      <c r="R169" s="232">
        <f t="shared" si="146"/>
        <v>0</v>
      </c>
    </row>
    <row r="170" spans="1:18" s="6" customFormat="1" ht="12" hidden="1" customHeight="1">
      <c r="A170" s="141" t="s">
        <v>58</v>
      </c>
      <c r="B170" s="179" t="s">
        <v>59</v>
      </c>
      <c r="C170" s="98"/>
      <c r="D170" s="98">
        <v>0</v>
      </c>
      <c r="E170" s="231"/>
      <c r="F170" s="231"/>
      <c r="G170" s="231"/>
      <c r="H170" s="232">
        <f t="shared" si="144"/>
        <v>0</v>
      </c>
      <c r="I170" s="231">
        <v>0</v>
      </c>
      <c r="J170" s="231"/>
      <c r="K170" s="231"/>
      <c r="L170" s="231"/>
      <c r="M170" s="232">
        <f t="shared" si="145"/>
        <v>0</v>
      </c>
      <c r="N170" s="231">
        <v>0</v>
      </c>
      <c r="O170" s="231"/>
      <c r="P170" s="231"/>
      <c r="Q170" s="231"/>
      <c r="R170" s="232">
        <f t="shared" si="146"/>
        <v>0</v>
      </c>
    </row>
    <row r="171" spans="1:18" s="6" customFormat="1" ht="12" hidden="1" customHeight="1">
      <c r="A171" s="141" t="s">
        <v>60</v>
      </c>
      <c r="B171" s="179" t="s">
        <v>61</v>
      </c>
      <c r="C171" s="98"/>
      <c r="D171" s="98">
        <v>0</v>
      </c>
      <c r="E171" s="231"/>
      <c r="F171" s="231"/>
      <c r="G171" s="231"/>
      <c r="H171" s="232">
        <f t="shared" si="144"/>
        <v>0</v>
      </c>
      <c r="I171" s="231">
        <v>0</v>
      </c>
      <c r="J171" s="231"/>
      <c r="K171" s="231"/>
      <c r="L171" s="231"/>
      <c r="M171" s="232">
        <f t="shared" si="145"/>
        <v>0</v>
      </c>
      <c r="N171" s="231">
        <v>0</v>
      </c>
      <c r="O171" s="231"/>
      <c r="P171" s="231"/>
      <c r="Q171" s="231"/>
      <c r="R171" s="232">
        <f t="shared" si="146"/>
        <v>0</v>
      </c>
    </row>
    <row r="172" spans="1:18" s="6" customFormat="1" ht="12" hidden="1" customHeight="1">
      <c r="A172" s="141" t="s">
        <v>198</v>
      </c>
      <c r="B172" s="187" t="s">
        <v>168</v>
      </c>
      <c r="C172" s="98"/>
      <c r="D172" s="98">
        <v>0</v>
      </c>
      <c r="E172" s="231"/>
      <c r="F172" s="231"/>
      <c r="G172" s="231"/>
      <c r="H172" s="232">
        <f t="shared" si="144"/>
        <v>0</v>
      </c>
      <c r="I172" s="231">
        <v>0</v>
      </c>
      <c r="J172" s="231"/>
      <c r="K172" s="231"/>
      <c r="L172" s="231"/>
      <c r="M172" s="232">
        <f t="shared" si="145"/>
        <v>0</v>
      </c>
      <c r="N172" s="231">
        <v>0</v>
      </c>
      <c r="O172" s="231"/>
      <c r="P172" s="231"/>
      <c r="Q172" s="231"/>
      <c r="R172" s="232">
        <f t="shared" si="146"/>
        <v>0</v>
      </c>
    </row>
    <row r="173" spans="1:18" s="6" customFormat="1" ht="12" hidden="1" customHeight="1">
      <c r="A173" s="144" t="s">
        <v>62</v>
      </c>
      <c r="B173" s="125" t="s">
        <v>63</v>
      </c>
      <c r="C173" s="170">
        <v>0</v>
      </c>
      <c r="D173" s="170">
        <v>0</v>
      </c>
      <c r="E173" s="233">
        <f t="shared" ref="E173:G173" si="184">E174+E175+E176</f>
        <v>0</v>
      </c>
      <c r="F173" s="233">
        <f t="shared" si="184"/>
        <v>0</v>
      </c>
      <c r="G173" s="233">
        <f t="shared" si="184"/>
        <v>0</v>
      </c>
      <c r="H173" s="232">
        <f t="shared" si="144"/>
        <v>0</v>
      </c>
      <c r="I173" s="233">
        <v>0</v>
      </c>
      <c r="J173" s="233">
        <f t="shared" ref="J173:L173" si="185">J174+J175+J176</f>
        <v>0</v>
      </c>
      <c r="K173" s="233">
        <f t="shared" si="185"/>
        <v>0</v>
      </c>
      <c r="L173" s="233">
        <f t="shared" si="185"/>
        <v>0</v>
      </c>
      <c r="M173" s="232">
        <f t="shared" si="145"/>
        <v>0</v>
      </c>
      <c r="N173" s="233">
        <v>0</v>
      </c>
      <c r="O173" s="233">
        <f t="shared" ref="O173:Q173" si="186">O174+O175+O176</f>
        <v>0</v>
      </c>
      <c r="P173" s="233">
        <f t="shared" si="186"/>
        <v>0</v>
      </c>
      <c r="Q173" s="233">
        <f t="shared" si="186"/>
        <v>0</v>
      </c>
      <c r="R173" s="232">
        <f t="shared" si="146"/>
        <v>0</v>
      </c>
    </row>
    <row r="174" spans="1:18" s="6" customFormat="1" ht="36" hidden="1" customHeight="1">
      <c r="A174" s="144" t="s">
        <v>64</v>
      </c>
      <c r="B174" s="179" t="s">
        <v>65</v>
      </c>
      <c r="C174" s="98"/>
      <c r="D174" s="98">
        <v>0</v>
      </c>
      <c r="E174" s="231"/>
      <c r="F174" s="231"/>
      <c r="G174" s="231"/>
      <c r="H174" s="232">
        <f t="shared" si="144"/>
        <v>0</v>
      </c>
      <c r="I174" s="231">
        <v>0</v>
      </c>
      <c r="J174" s="231"/>
      <c r="K174" s="231"/>
      <c r="L174" s="231"/>
      <c r="M174" s="232">
        <f t="shared" si="145"/>
        <v>0</v>
      </c>
      <c r="N174" s="231">
        <v>0</v>
      </c>
      <c r="O174" s="231"/>
      <c r="P174" s="231"/>
      <c r="Q174" s="231"/>
      <c r="R174" s="232">
        <f t="shared" si="146"/>
        <v>0</v>
      </c>
    </row>
    <row r="175" spans="1:18" s="6" customFormat="1" ht="24" hidden="1" customHeight="1">
      <c r="A175" s="144" t="s">
        <v>66</v>
      </c>
      <c r="B175" s="179" t="s">
        <v>67</v>
      </c>
      <c r="C175" s="98"/>
      <c r="D175" s="98">
        <v>0</v>
      </c>
      <c r="E175" s="231"/>
      <c r="F175" s="231"/>
      <c r="G175" s="231"/>
      <c r="H175" s="232">
        <f t="shared" si="144"/>
        <v>0</v>
      </c>
      <c r="I175" s="231">
        <v>0</v>
      </c>
      <c r="J175" s="231"/>
      <c r="K175" s="231"/>
      <c r="L175" s="231"/>
      <c r="M175" s="232">
        <f t="shared" si="145"/>
        <v>0</v>
      </c>
      <c r="N175" s="231">
        <v>0</v>
      </c>
      <c r="O175" s="231"/>
      <c r="P175" s="231"/>
      <c r="Q175" s="231"/>
      <c r="R175" s="232">
        <f t="shared" si="146"/>
        <v>0</v>
      </c>
    </row>
    <row r="176" spans="1:18" s="6" customFormat="1" ht="24" hidden="1" customHeight="1">
      <c r="A176" s="144" t="s">
        <v>68</v>
      </c>
      <c r="B176" s="125" t="s">
        <v>69</v>
      </c>
      <c r="C176" s="98"/>
      <c r="D176" s="98">
        <v>0</v>
      </c>
      <c r="E176" s="231"/>
      <c r="F176" s="231"/>
      <c r="G176" s="231"/>
      <c r="H176" s="232">
        <f t="shared" si="144"/>
        <v>0</v>
      </c>
      <c r="I176" s="231">
        <v>0</v>
      </c>
      <c r="J176" s="231"/>
      <c r="K176" s="231"/>
      <c r="L176" s="231"/>
      <c r="M176" s="232">
        <f t="shared" si="145"/>
        <v>0</v>
      </c>
      <c r="N176" s="231">
        <v>0</v>
      </c>
      <c r="O176" s="231"/>
      <c r="P176" s="231"/>
      <c r="Q176" s="231"/>
      <c r="R176" s="232">
        <f t="shared" si="146"/>
        <v>0</v>
      </c>
    </row>
    <row r="177" spans="1:18" s="6" customFormat="1" ht="22.8">
      <c r="A177" s="145"/>
      <c r="B177" s="188" t="s">
        <v>200</v>
      </c>
      <c r="C177" s="207"/>
      <c r="D177" s="190">
        <v>0</v>
      </c>
      <c r="E177" s="268"/>
      <c r="F177" s="268"/>
      <c r="G177" s="268"/>
      <c r="H177" s="269">
        <f t="shared" si="144"/>
        <v>0</v>
      </c>
      <c r="I177" s="347">
        <v>0</v>
      </c>
      <c r="J177" s="268"/>
      <c r="K177" s="268"/>
      <c r="L177" s="268"/>
      <c r="M177" s="269">
        <f t="shared" si="145"/>
        <v>0</v>
      </c>
      <c r="N177" s="347">
        <v>0</v>
      </c>
      <c r="O177" s="268"/>
      <c r="P177" s="268"/>
      <c r="Q177" s="268"/>
      <c r="R177" s="269">
        <f t="shared" si="146"/>
        <v>0</v>
      </c>
    </row>
    <row r="178" spans="1:18" s="6" customFormat="1" ht="21" hidden="1" customHeight="1">
      <c r="A178" s="129" t="s">
        <v>201</v>
      </c>
      <c r="B178" s="123" t="s">
        <v>88</v>
      </c>
      <c r="C178" s="200">
        <v>0</v>
      </c>
      <c r="D178" s="200">
        <v>0</v>
      </c>
      <c r="E178" s="228">
        <f t="shared" ref="E178:G178" si="187">E179+E180+E182+E200</f>
        <v>0</v>
      </c>
      <c r="F178" s="228">
        <f t="shared" si="187"/>
        <v>0</v>
      </c>
      <c r="G178" s="228">
        <f t="shared" si="187"/>
        <v>0</v>
      </c>
      <c r="H178" s="229">
        <f t="shared" si="144"/>
        <v>0</v>
      </c>
      <c r="I178" s="228">
        <v>0</v>
      </c>
      <c r="J178" s="228">
        <f t="shared" ref="J178:L178" si="188">J179+J180+J182+J200</f>
        <v>0</v>
      </c>
      <c r="K178" s="228">
        <f t="shared" si="188"/>
        <v>0</v>
      </c>
      <c r="L178" s="228">
        <f t="shared" si="188"/>
        <v>0</v>
      </c>
      <c r="M178" s="229">
        <f t="shared" si="145"/>
        <v>0</v>
      </c>
      <c r="N178" s="228">
        <v>0</v>
      </c>
      <c r="O178" s="228">
        <f t="shared" ref="O178:Q178" si="189">O179+O180+O182+O200</f>
        <v>0</v>
      </c>
      <c r="P178" s="228">
        <f t="shared" si="189"/>
        <v>0</v>
      </c>
      <c r="Q178" s="228">
        <f t="shared" si="189"/>
        <v>0</v>
      </c>
      <c r="R178" s="229">
        <f t="shared" si="146"/>
        <v>0</v>
      </c>
    </row>
    <row r="179" spans="1:18" s="6" customFormat="1" ht="24" hidden="1" customHeight="1">
      <c r="A179" s="130" t="s">
        <v>177</v>
      </c>
      <c r="B179" s="124" t="s">
        <v>90</v>
      </c>
      <c r="C179" s="98"/>
      <c r="D179" s="98">
        <v>0</v>
      </c>
      <c r="E179" s="231"/>
      <c r="F179" s="231"/>
      <c r="G179" s="231"/>
      <c r="H179" s="232">
        <f t="shared" si="144"/>
        <v>0</v>
      </c>
      <c r="I179" s="231">
        <v>0</v>
      </c>
      <c r="J179" s="231"/>
      <c r="K179" s="231"/>
      <c r="L179" s="231"/>
      <c r="M179" s="232">
        <f t="shared" si="145"/>
        <v>0</v>
      </c>
      <c r="N179" s="231">
        <v>0</v>
      </c>
      <c r="O179" s="231"/>
      <c r="P179" s="231"/>
      <c r="Q179" s="231"/>
      <c r="R179" s="232">
        <f t="shared" si="146"/>
        <v>0</v>
      </c>
    </row>
    <row r="180" spans="1:18" s="6" customFormat="1" ht="12" hidden="1" customHeight="1">
      <c r="A180" s="130" t="s">
        <v>91</v>
      </c>
      <c r="B180" s="124" t="s">
        <v>92</v>
      </c>
      <c r="C180" s="98"/>
      <c r="D180" s="98">
        <v>0</v>
      </c>
      <c r="E180" s="231"/>
      <c r="F180" s="231"/>
      <c r="G180" s="231"/>
      <c r="H180" s="232">
        <f t="shared" si="144"/>
        <v>0</v>
      </c>
      <c r="I180" s="231">
        <v>0</v>
      </c>
      <c r="J180" s="231"/>
      <c r="K180" s="231"/>
      <c r="L180" s="231"/>
      <c r="M180" s="232">
        <f t="shared" si="145"/>
        <v>0</v>
      </c>
      <c r="N180" s="231">
        <v>0</v>
      </c>
      <c r="O180" s="231"/>
      <c r="P180" s="231"/>
      <c r="Q180" s="231"/>
      <c r="R180" s="232">
        <f t="shared" si="146"/>
        <v>0</v>
      </c>
    </row>
    <row r="181" spans="1:18" s="29" customFormat="1" ht="12" hidden="1" customHeight="1">
      <c r="A181" s="131">
        <v>21210</v>
      </c>
      <c r="B181" s="125" t="s">
        <v>93</v>
      </c>
      <c r="C181" s="98"/>
      <c r="D181" s="98">
        <v>0</v>
      </c>
      <c r="E181" s="231"/>
      <c r="F181" s="231"/>
      <c r="G181" s="231"/>
      <c r="H181" s="232">
        <f t="shared" si="144"/>
        <v>0</v>
      </c>
      <c r="I181" s="231">
        <v>0</v>
      </c>
      <c r="J181" s="231"/>
      <c r="K181" s="231"/>
      <c r="L181" s="231"/>
      <c r="M181" s="232">
        <f t="shared" si="145"/>
        <v>0</v>
      </c>
      <c r="N181" s="231">
        <v>0</v>
      </c>
      <c r="O181" s="231"/>
      <c r="P181" s="231"/>
      <c r="Q181" s="231"/>
      <c r="R181" s="232">
        <f t="shared" si="146"/>
        <v>0</v>
      </c>
    </row>
    <row r="182" spans="1:18" s="89" customFormat="1" ht="21" hidden="1" customHeight="1">
      <c r="A182" s="130" t="s">
        <v>178</v>
      </c>
      <c r="B182" s="124" t="s">
        <v>94</v>
      </c>
      <c r="C182" s="170">
        <v>0</v>
      </c>
      <c r="D182" s="170">
        <v>0</v>
      </c>
      <c r="E182" s="233">
        <f t="shared" ref="E182:G182" si="190">E183+E189</f>
        <v>0</v>
      </c>
      <c r="F182" s="233">
        <f t="shared" si="190"/>
        <v>0</v>
      </c>
      <c r="G182" s="233">
        <f t="shared" si="190"/>
        <v>0</v>
      </c>
      <c r="H182" s="232">
        <f t="shared" si="144"/>
        <v>0</v>
      </c>
      <c r="I182" s="233">
        <v>0</v>
      </c>
      <c r="J182" s="233">
        <f t="shared" ref="J182:L182" si="191">J183+J189</f>
        <v>0</v>
      </c>
      <c r="K182" s="233">
        <f t="shared" si="191"/>
        <v>0</v>
      </c>
      <c r="L182" s="233">
        <f t="shared" si="191"/>
        <v>0</v>
      </c>
      <c r="M182" s="232">
        <f t="shared" si="145"/>
        <v>0</v>
      </c>
      <c r="N182" s="233">
        <v>0</v>
      </c>
      <c r="O182" s="233">
        <f t="shared" ref="O182:Q182" si="192">O183+O189</f>
        <v>0</v>
      </c>
      <c r="P182" s="233">
        <f t="shared" si="192"/>
        <v>0</v>
      </c>
      <c r="Q182" s="233">
        <f t="shared" si="192"/>
        <v>0</v>
      </c>
      <c r="R182" s="232">
        <f t="shared" si="146"/>
        <v>0</v>
      </c>
    </row>
    <row r="183" spans="1:18" s="89" customFormat="1" ht="12" hidden="1" customHeight="1">
      <c r="A183" s="132">
        <v>18000</v>
      </c>
      <c r="B183" s="125" t="s">
        <v>95</v>
      </c>
      <c r="C183" s="170">
        <v>0</v>
      </c>
      <c r="D183" s="170">
        <v>0</v>
      </c>
      <c r="E183" s="233">
        <f t="shared" ref="E183:L184" si="193">E184</f>
        <v>0</v>
      </c>
      <c r="F183" s="233">
        <f t="shared" si="193"/>
        <v>0</v>
      </c>
      <c r="G183" s="233">
        <f t="shared" si="193"/>
        <v>0</v>
      </c>
      <c r="H183" s="232">
        <f t="shared" si="144"/>
        <v>0</v>
      </c>
      <c r="I183" s="233">
        <v>0</v>
      </c>
      <c r="J183" s="233">
        <f t="shared" si="193"/>
        <v>0</v>
      </c>
      <c r="K183" s="233">
        <f t="shared" si="193"/>
        <v>0</v>
      </c>
      <c r="L183" s="233">
        <f t="shared" si="193"/>
        <v>0</v>
      </c>
      <c r="M183" s="232">
        <f t="shared" si="145"/>
        <v>0</v>
      </c>
      <c r="N183" s="233">
        <v>0</v>
      </c>
      <c r="O183" s="233">
        <f t="shared" ref="O183:Q184" si="194">O184</f>
        <v>0</v>
      </c>
      <c r="P183" s="233">
        <f t="shared" si="194"/>
        <v>0</v>
      </c>
      <c r="Q183" s="233">
        <f t="shared" si="194"/>
        <v>0</v>
      </c>
      <c r="R183" s="232">
        <f t="shared" si="146"/>
        <v>0</v>
      </c>
    </row>
    <row r="184" spans="1:18" s="89" customFormat="1" ht="12" hidden="1" customHeight="1">
      <c r="A184" s="132">
        <v>18100</v>
      </c>
      <c r="B184" s="125" t="s">
        <v>96</v>
      </c>
      <c r="C184" s="170">
        <v>0</v>
      </c>
      <c r="D184" s="170">
        <v>0</v>
      </c>
      <c r="E184" s="233">
        <f t="shared" si="193"/>
        <v>0</v>
      </c>
      <c r="F184" s="233">
        <f t="shared" si="193"/>
        <v>0</v>
      </c>
      <c r="G184" s="233">
        <f t="shared" si="193"/>
        <v>0</v>
      </c>
      <c r="H184" s="232">
        <f t="shared" si="144"/>
        <v>0</v>
      </c>
      <c r="I184" s="233">
        <v>0</v>
      </c>
      <c r="J184" s="233">
        <f t="shared" si="193"/>
        <v>0</v>
      </c>
      <c r="K184" s="233">
        <f t="shared" si="193"/>
        <v>0</v>
      </c>
      <c r="L184" s="233">
        <f t="shared" si="193"/>
        <v>0</v>
      </c>
      <c r="M184" s="232">
        <f t="shared" si="145"/>
        <v>0</v>
      </c>
      <c r="N184" s="233">
        <v>0</v>
      </c>
      <c r="O184" s="233">
        <f t="shared" si="194"/>
        <v>0</v>
      </c>
      <c r="P184" s="233">
        <f t="shared" si="194"/>
        <v>0</v>
      </c>
      <c r="Q184" s="233">
        <f t="shared" si="194"/>
        <v>0</v>
      </c>
      <c r="R184" s="232">
        <f t="shared" si="146"/>
        <v>0</v>
      </c>
    </row>
    <row r="185" spans="1:18" s="89" customFormat="1" ht="24" hidden="1" customHeight="1">
      <c r="A185" s="133">
        <v>18130</v>
      </c>
      <c r="B185" s="172" t="s">
        <v>159</v>
      </c>
      <c r="C185" s="170">
        <v>0</v>
      </c>
      <c r="D185" s="170">
        <v>0</v>
      </c>
      <c r="E185" s="233">
        <f t="shared" ref="E185:G185" si="195">SUM(E186:E188)</f>
        <v>0</v>
      </c>
      <c r="F185" s="233">
        <f t="shared" ref="F185" si="196">SUM(F186:F188)</f>
        <v>0</v>
      </c>
      <c r="G185" s="233">
        <f t="shared" si="195"/>
        <v>0</v>
      </c>
      <c r="H185" s="232">
        <f t="shared" si="144"/>
        <v>0</v>
      </c>
      <c r="I185" s="233">
        <v>0</v>
      </c>
      <c r="J185" s="233">
        <f t="shared" ref="J185:L185" si="197">SUM(J186:J188)</f>
        <v>0</v>
      </c>
      <c r="K185" s="233">
        <f t="shared" si="197"/>
        <v>0</v>
      </c>
      <c r="L185" s="233">
        <f t="shared" si="197"/>
        <v>0</v>
      </c>
      <c r="M185" s="232">
        <f t="shared" si="145"/>
        <v>0</v>
      </c>
      <c r="N185" s="233">
        <v>0</v>
      </c>
      <c r="O185" s="233">
        <f t="shared" ref="O185:Q185" si="198">SUM(O186:O188)</f>
        <v>0</v>
      </c>
      <c r="P185" s="233">
        <f t="shared" si="198"/>
        <v>0</v>
      </c>
      <c r="Q185" s="233">
        <f t="shared" si="198"/>
        <v>0</v>
      </c>
      <c r="R185" s="232">
        <f t="shared" si="146"/>
        <v>0</v>
      </c>
    </row>
    <row r="186" spans="1:18" s="89" customFormat="1" ht="24" hidden="1" customHeight="1">
      <c r="A186" s="134">
        <v>18131</v>
      </c>
      <c r="B186" s="172" t="s">
        <v>160</v>
      </c>
      <c r="C186" s="170"/>
      <c r="D186" s="170">
        <v>0</v>
      </c>
      <c r="E186" s="233"/>
      <c r="F186" s="233"/>
      <c r="G186" s="233"/>
      <c r="H186" s="232">
        <f t="shared" si="144"/>
        <v>0</v>
      </c>
      <c r="I186" s="233">
        <v>0</v>
      </c>
      <c r="J186" s="233"/>
      <c r="K186" s="233"/>
      <c r="L186" s="233"/>
      <c r="M186" s="232">
        <f t="shared" si="145"/>
        <v>0</v>
      </c>
      <c r="N186" s="233">
        <v>0</v>
      </c>
      <c r="O186" s="233"/>
      <c r="P186" s="233"/>
      <c r="Q186" s="233"/>
      <c r="R186" s="232">
        <f t="shared" si="146"/>
        <v>0</v>
      </c>
    </row>
    <row r="187" spans="1:18" s="89" customFormat="1" ht="24" hidden="1" customHeight="1">
      <c r="A187" s="134">
        <v>18132</v>
      </c>
      <c r="B187" s="172" t="s">
        <v>169</v>
      </c>
      <c r="C187" s="170"/>
      <c r="D187" s="170">
        <v>0</v>
      </c>
      <c r="E187" s="233"/>
      <c r="F187" s="233"/>
      <c r="G187" s="233"/>
      <c r="H187" s="232">
        <f t="shared" si="144"/>
        <v>0</v>
      </c>
      <c r="I187" s="233">
        <v>0</v>
      </c>
      <c r="J187" s="233"/>
      <c r="K187" s="233"/>
      <c r="L187" s="233"/>
      <c r="M187" s="232">
        <f t="shared" si="145"/>
        <v>0</v>
      </c>
      <c r="N187" s="233">
        <v>0</v>
      </c>
      <c r="O187" s="233"/>
      <c r="P187" s="233"/>
      <c r="Q187" s="233"/>
      <c r="R187" s="232">
        <f t="shared" si="146"/>
        <v>0</v>
      </c>
    </row>
    <row r="188" spans="1:18" s="89" customFormat="1" ht="24" hidden="1" customHeight="1">
      <c r="A188" s="134">
        <v>18139</v>
      </c>
      <c r="B188" s="172" t="s">
        <v>179</v>
      </c>
      <c r="C188" s="170"/>
      <c r="D188" s="170">
        <v>0</v>
      </c>
      <c r="E188" s="233"/>
      <c r="F188" s="233"/>
      <c r="G188" s="233"/>
      <c r="H188" s="232">
        <f t="shared" si="144"/>
        <v>0</v>
      </c>
      <c r="I188" s="233">
        <v>0</v>
      </c>
      <c r="J188" s="233"/>
      <c r="K188" s="233"/>
      <c r="L188" s="233"/>
      <c r="M188" s="232">
        <f t="shared" si="145"/>
        <v>0</v>
      </c>
      <c r="N188" s="233">
        <v>0</v>
      </c>
      <c r="O188" s="233"/>
      <c r="P188" s="233"/>
      <c r="Q188" s="233"/>
      <c r="R188" s="232">
        <f t="shared" si="146"/>
        <v>0</v>
      </c>
    </row>
    <row r="189" spans="1:18" s="89" customFormat="1" ht="12" hidden="1" customHeight="1">
      <c r="A189" s="135" t="s">
        <v>180</v>
      </c>
      <c r="B189" s="173" t="s">
        <v>173</v>
      </c>
      <c r="C189" s="201">
        <v>0</v>
      </c>
      <c r="D189" s="201">
        <v>0</v>
      </c>
      <c r="E189" s="238">
        <f t="shared" ref="E189:L189" si="199">E190</f>
        <v>0</v>
      </c>
      <c r="F189" s="238">
        <f t="shared" si="199"/>
        <v>0</v>
      </c>
      <c r="G189" s="238">
        <f t="shared" si="199"/>
        <v>0</v>
      </c>
      <c r="H189" s="232">
        <f t="shared" si="144"/>
        <v>0</v>
      </c>
      <c r="I189" s="238">
        <v>0</v>
      </c>
      <c r="J189" s="238">
        <f t="shared" si="199"/>
        <v>0</v>
      </c>
      <c r="K189" s="238">
        <f t="shared" si="199"/>
        <v>0</v>
      </c>
      <c r="L189" s="238">
        <f t="shared" si="199"/>
        <v>0</v>
      </c>
      <c r="M189" s="232">
        <f t="shared" si="145"/>
        <v>0</v>
      </c>
      <c r="N189" s="238">
        <v>0</v>
      </c>
      <c r="O189" s="238">
        <f t="shared" ref="O189:Q189" si="200">O190</f>
        <v>0</v>
      </c>
      <c r="P189" s="238">
        <f t="shared" si="200"/>
        <v>0</v>
      </c>
      <c r="Q189" s="238">
        <f t="shared" si="200"/>
        <v>0</v>
      </c>
      <c r="R189" s="232">
        <f t="shared" si="146"/>
        <v>0</v>
      </c>
    </row>
    <row r="190" spans="1:18" s="89" customFormat="1" ht="12" hidden="1" customHeight="1">
      <c r="A190" s="135">
        <v>19500</v>
      </c>
      <c r="B190" s="172" t="s">
        <v>174</v>
      </c>
      <c r="C190" s="170">
        <v>0</v>
      </c>
      <c r="D190" s="170">
        <v>0</v>
      </c>
      <c r="E190" s="233">
        <f t="shared" ref="E190:G190" si="201">SUM(E191:E193)</f>
        <v>0</v>
      </c>
      <c r="F190" s="233">
        <f t="shared" si="201"/>
        <v>0</v>
      </c>
      <c r="G190" s="233">
        <f t="shared" si="201"/>
        <v>0</v>
      </c>
      <c r="H190" s="232">
        <f t="shared" si="144"/>
        <v>0</v>
      </c>
      <c r="I190" s="233">
        <v>0</v>
      </c>
      <c r="J190" s="233">
        <f t="shared" ref="J190:L190" si="202">SUM(J191:J193)</f>
        <v>0</v>
      </c>
      <c r="K190" s="233">
        <f t="shared" si="202"/>
        <v>0</v>
      </c>
      <c r="L190" s="233">
        <f t="shared" si="202"/>
        <v>0</v>
      </c>
      <c r="M190" s="232">
        <f t="shared" si="145"/>
        <v>0</v>
      </c>
      <c r="N190" s="233">
        <v>0</v>
      </c>
      <c r="O190" s="233">
        <f t="shared" ref="O190:Q190" si="203">SUM(O191:O193)</f>
        <v>0</v>
      </c>
      <c r="P190" s="233">
        <f t="shared" si="203"/>
        <v>0</v>
      </c>
      <c r="Q190" s="233">
        <f t="shared" si="203"/>
        <v>0</v>
      </c>
      <c r="R190" s="232">
        <f t="shared" si="146"/>
        <v>0</v>
      </c>
    </row>
    <row r="191" spans="1:18" s="89" customFormat="1" ht="24" hidden="1" customHeight="1">
      <c r="A191" s="136">
        <v>19550</v>
      </c>
      <c r="B191" s="172" t="s">
        <v>175</v>
      </c>
      <c r="C191" s="170"/>
      <c r="D191" s="170">
        <v>0</v>
      </c>
      <c r="E191" s="233"/>
      <c r="F191" s="233"/>
      <c r="G191" s="233"/>
      <c r="H191" s="232">
        <f t="shared" si="144"/>
        <v>0</v>
      </c>
      <c r="I191" s="233">
        <v>0</v>
      </c>
      <c r="J191" s="233"/>
      <c r="K191" s="233"/>
      <c r="L191" s="233"/>
      <c r="M191" s="232">
        <f t="shared" si="145"/>
        <v>0</v>
      </c>
      <c r="N191" s="233">
        <v>0</v>
      </c>
      <c r="O191" s="233"/>
      <c r="P191" s="233"/>
      <c r="Q191" s="233"/>
      <c r="R191" s="232">
        <f t="shared" si="146"/>
        <v>0</v>
      </c>
    </row>
    <row r="192" spans="1:18" s="89" customFormat="1" ht="36" hidden="1" customHeight="1">
      <c r="A192" s="136">
        <v>19560</v>
      </c>
      <c r="B192" s="172" t="s">
        <v>181</v>
      </c>
      <c r="C192" s="170"/>
      <c r="D192" s="170">
        <v>0</v>
      </c>
      <c r="E192" s="233"/>
      <c r="F192" s="233"/>
      <c r="G192" s="233"/>
      <c r="H192" s="232">
        <f t="shared" si="144"/>
        <v>0</v>
      </c>
      <c r="I192" s="233">
        <v>0</v>
      </c>
      <c r="J192" s="233"/>
      <c r="K192" s="233"/>
      <c r="L192" s="233"/>
      <c r="M192" s="232">
        <f t="shared" si="145"/>
        <v>0</v>
      </c>
      <c r="N192" s="233">
        <v>0</v>
      </c>
      <c r="O192" s="233"/>
      <c r="P192" s="233"/>
      <c r="Q192" s="233"/>
      <c r="R192" s="232">
        <f t="shared" si="146"/>
        <v>0</v>
      </c>
    </row>
    <row r="193" spans="1:18" s="89" customFormat="1" ht="60" hidden="1" customHeight="1">
      <c r="A193" s="136">
        <v>19570</v>
      </c>
      <c r="B193" s="172" t="s">
        <v>182</v>
      </c>
      <c r="C193" s="170"/>
      <c r="D193" s="170">
        <v>0</v>
      </c>
      <c r="E193" s="233"/>
      <c r="F193" s="233"/>
      <c r="G193" s="233"/>
      <c r="H193" s="232">
        <f t="shared" si="144"/>
        <v>0</v>
      </c>
      <c r="I193" s="233">
        <v>0</v>
      </c>
      <c r="J193" s="233"/>
      <c r="K193" s="233"/>
      <c r="L193" s="233"/>
      <c r="M193" s="232">
        <f t="shared" si="145"/>
        <v>0</v>
      </c>
      <c r="N193" s="233">
        <v>0</v>
      </c>
      <c r="O193" s="233"/>
      <c r="P193" s="233"/>
      <c r="Q193" s="233"/>
      <c r="R193" s="232">
        <f t="shared" si="146"/>
        <v>0</v>
      </c>
    </row>
    <row r="194" spans="1:18" s="6" customFormat="1" ht="24" hidden="1" customHeight="1">
      <c r="A194" s="209" t="s">
        <v>222</v>
      </c>
      <c r="B194" s="208" t="s">
        <v>216</v>
      </c>
      <c r="C194" s="106">
        <v>0</v>
      </c>
      <c r="D194" s="106">
        <v>0</v>
      </c>
      <c r="E194" s="232">
        <f t="shared" ref="E194:L194" si="204">E195</f>
        <v>0</v>
      </c>
      <c r="F194" s="232">
        <f t="shared" si="204"/>
        <v>0</v>
      </c>
      <c r="G194" s="232">
        <f t="shared" si="204"/>
        <v>0</v>
      </c>
      <c r="H194" s="232">
        <f t="shared" si="144"/>
        <v>0</v>
      </c>
      <c r="I194" s="233">
        <v>0</v>
      </c>
      <c r="J194" s="232">
        <f t="shared" si="204"/>
        <v>0</v>
      </c>
      <c r="K194" s="232">
        <f t="shared" si="204"/>
        <v>0</v>
      </c>
      <c r="L194" s="232">
        <f t="shared" si="204"/>
        <v>0</v>
      </c>
      <c r="M194" s="232">
        <f t="shared" si="145"/>
        <v>0</v>
      </c>
      <c r="N194" s="233">
        <v>0</v>
      </c>
      <c r="O194" s="232">
        <f t="shared" ref="O194:Q194" si="205">O195</f>
        <v>0</v>
      </c>
      <c r="P194" s="232">
        <f t="shared" si="205"/>
        <v>0</v>
      </c>
      <c r="Q194" s="232">
        <f t="shared" si="205"/>
        <v>0</v>
      </c>
      <c r="R194" s="232">
        <f t="shared" si="146"/>
        <v>0</v>
      </c>
    </row>
    <row r="195" spans="1:18" s="6" customFormat="1" ht="36" hidden="1" customHeight="1">
      <c r="A195" s="209">
        <v>17100</v>
      </c>
      <c r="B195" s="208" t="s">
        <v>217</v>
      </c>
      <c r="C195" s="106">
        <v>0</v>
      </c>
      <c r="D195" s="106">
        <v>0</v>
      </c>
      <c r="E195" s="232">
        <f t="shared" ref="E195:G195" si="206">SUM(E196:E199)</f>
        <v>0</v>
      </c>
      <c r="F195" s="232">
        <f t="shared" si="206"/>
        <v>0</v>
      </c>
      <c r="G195" s="232">
        <f t="shared" si="206"/>
        <v>0</v>
      </c>
      <c r="H195" s="232">
        <f t="shared" si="144"/>
        <v>0</v>
      </c>
      <c r="I195" s="233">
        <v>0</v>
      </c>
      <c r="J195" s="232">
        <f t="shared" ref="J195:L195" si="207">SUM(J196:J199)</f>
        <v>0</v>
      </c>
      <c r="K195" s="232">
        <f t="shared" si="207"/>
        <v>0</v>
      </c>
      <c r="L195" s="232">
        <f t="shared" si="207"/>
        <v>0</v>
      </c>
      <c r="M195" s="232">
        <f t="shared" si="145"/>
        <v>0</v>
      </c>
      <c r="N195" s="233">
        <v>0</v>
      </c>
      <c r="O195" s="232">
        <f t="shared" ref="O195:Q195" si="208">SUM(O196:O199)</f>
        <v>0</v>
      </c>
      <c r="P195" s="232">
        <f t="shared" si="208"/>
        <v>0</v>
      </c>
      <c r="Q195" s="232">
        <f t="shared" si="208"/>
        <v>0</v>
      </c>
      <c r="R195" s="232">
        <f t="shared" si="146"/>
        <v>0</v>
      </c>
    </row>
    <row r="196" spans="1:18" s="6" customFormat="1" ht="48" hidden="1" customHeight="1">
      <c r="A196" s="149">
        <v>17110</v>
      </c>
      <c r="B196" s="208" t="s">
        <v>218</v>
      </c>
      <c r="C196" s="106"/>
      <c r="D196" s="106">
        <v>0</v>
      </c>
      <c r="E196" s="233"/>
      <c r="F196" s="233"/>
      <c r="G196" s="233"/>
      <c r="H196" s="232">
        <f t="shared" si="144"/>
        <v>0</v>
      </c>
      <c r="I196" s="233">
        <v>0</v>
      </c>
      <c r="J196" s="233"/>
      <c r="K196" s="233"/>
      <c r="L196" s="233"/>
      <c r="M196" s="232">
        <f t="shared" si="145"/>
        <v>0</v>
      </c>
      <c r="N196" s="233">
        <v>0</v>
      </c>
      <c r="O196" s="233"/>
      <c r="P196" s="233"/>
      <c r="Q196" s="233"/>
      <c r="R196" s="232">
        <f t="shared" si="146"/>
        <v>0</v>
      </c>
    </row>
    <row r="197" spans="1:18" s="6" customFormat="1" ht="48" hidden="1" customHeight="1">
      <c r="A197" s="149">
        <v>17120</v>
      </c>
      <c r="B197" s="208" t="s">
        <v>219</v>
      </c>
      <c r="C197" s="106"/>
      <c r="D197" s="106">
        <v>0</v>
      </c>
      <c r="E197" s="233"/>
      <c r="F197" s="233"/>
      <c r="G197" s="233"/>
      <c r="H197" s="232">
        <f t="shared" si="144"/>
        <v>0</v>
      </c>
      <c r="I197" s="233">
        <v>0</v>
      </c>
      <c r="J197" s="233"/>
      <c r="K197" s="233"/>
      <c r="L197" s="233"/>
      <c r="M197" s="232">
        <f t="shared" si="145"/>
        <v>0</v>
      </c>
      <c r="N197" s="233">
        <v>0</v>
      </c>
      <c r="O197" s="233"/>
      <c r="P197" s="233"/>
      <c r="Q197" s="233"/>
      <c r="R197" s="232">
        <f t="shared" si="146"/>
        <v>0</v>
      </c>
    </row>
    <row r="198" spans="1:18" s="6" customFormat="1" ht="96" hidden="1" customHeight="1">
      <c r="A198" s="149">
        <v>17130</v>
      </c>
      <c r="B198" s="208" t="s">
        <v>220</v>
      </c>
      <c r="C198" s="106"/>
      <c r="D198" s="106">
        <v>0</v>
      </c>
      <c r="E198" s="233"/>
      <c r="F198" s="233"/>
      <c r="G198" s="233"/>
      <c r="H198" s="232">
        <f t="shared" si="144"/>
        <v>0</v>
      </c>
      <c r="I198" s="233">
        <v>0</v>
      </c>
      <c r="J198" s="233"/>
      <c r="K198" s="233"/>
      <c r="L198" s="233"/>
      <c r="M198" s="232">
        <f t="shared" si="145"/>
        <v>0</v>
      </c>
      <c r="N198" s="233">
        <v>0</v>
      </c>
      <c r="O198" s="233"/>
      <c r="P198" s="233"/>
      <c r="Q198" s="233"/>
      <c r="R198" s="232">
        <f t="shared" si="146"/>
        <v>0</v>
      </c>
    </row>
    <row r="199" spans="1:18" s="6" customFormat="1" ht="96" hidden="1" customHeight="1">
      <c r="A199" s="149">
        <v>17140</v>
      </c>
      <c r="B199" s="208" t="s">
        <v>221</v>
      </c>
      <c r="C199" s="106"/>
      <c r="D199" s="106">
        <v>0</v>
      </c>
      <c r="E199" s="233"/>
      <c r="F199" s="233"/>
      <c r="G199" s="233"/>
      <c r="H199" s="232">
        <f t="shared" si="144"/>
        <v>0</v>
      </c>
      <c r="I199" s="233">
        <v>0</v>
      </c>
      <c r="J199" s="233"/>
      <c r="K199" s="233"/>
      <c r="L199" s="233"/>
      <c r="M199" s="232">
        <f t="shared" si="145"/>
        <v>0</v>
      </c>
      <c r="N199" s="233">
        <v>0</v>
      </c>
      <c r="O199" s="233"/>
      <c r="P199" s="233"/>
      <c r="Q199" s="233"/>
      <c r="R199" s="232">
        <f t="shared" si="146"/>
        <v>0</v>
      </c>
    </row>
    <row r="200" spans="1:18" s="89" customFormat="1" ht="12" hidden="1" customHeight="1">
      <c r="A200" s="137">
        <v>21700</v>
      </c>
      <c r="B200" s="124" t="s">
        <v>97</v>
      </c>
      <c r="C200" s="170">
        <v>0</v>
      </c>
      <c r="D200" s="170">
        <v>0</v>
      </c>
      <c r="E200" s="233">
        <f t="shared" ref="E200:G200" si="209">E201+E202</f>
        <v>0</v>
      </c>
      <c r="F200" s="233">
        <f t="shared" si="209"/>
        <v>0</v>
      </c>
      <c r="G200" s="233">
        <f t="shared" si="209"/>
        <v>0</v>
      </c>
      <c r="H200" s="232">
        <f t="shared" si="144"/>
        <v>0</v>
      </c>
      <c r="I200" s="233">
        <v>0</v>
      </c>
      <c r="J200" s="233">
        <f t="shared" ref="J200:L200" si="210">J201+J202</f>
        <v>0</v>
      </c>
      <c r="K200" s="233">
        <f t="shared" si="210"/>
        <v>0</v>
      </c>
      <c r="L200" s="233">
        <f t="shared" si="210"/>
        <v>0</v>
      </c>
      <c r="M200" s="232">
        <f t="shared" si="145"/>
        <v>0</v>
      </c>
      <c r="N200" s="233">
        <v>0</v>
      </c>
      <c r="O200" s="233">
        <f t="shared" ref="O200:Q200" si="211">O201+O202</f>
        <v>0</v>
      </c>
      <c r="P200" s="233">
        <f t="shared" si="211"/>
        <v>0</v>
      </c>
      <c r="Q200" s="233">
        <f t="shared" si="211"/>
        <v>0</v>
      </c>
      <c r="R200" s="232">
        <f t="shared" si="146"/>
        <v>0</v>
      </c>
    </row>
    <row r="201" spans="1:18" s="89" customFormat="1" ht="24" hidden="1" customHeight="1">
      <c r="A201" s="138">
        <v>21710</v>
      </c>
      <c r="B201" s="125" t="s">
        <v>98</v>
      </c>
      <c r="C201" s="170"/>
      <c r="D201" s="170">
        <v>0</v>
      </c>
      <c r="E201" s="233"/>
      <c r="F201" s="233"/>
      <c r="G201" s="233"/>
      <c r="H201" s="232">
        <f t="shared" si="144"/>
        <v>0</v>
      </c>
      <c r="I201" s="233">
        <v>0</v>
      </c>
      <c r="J201" s="233"/>
      <c r="K201" s="233"/>
      <c r="L201" s="233"/>
      <c r="M201" s="232">
        <f t="shared" si="145"/>
        <v>0</v>
      </c>
      <c r="N201" s="233">
        <v>0</v>
      </c>
      <c r="O201" s="233"/>
      <c r="P201" s="233"/>
      <c r="Q201" s="233"/>
      <c r="R201" s="232">
        <f t="shared" si="146"/>
        <v>0</v>
      </c>
    </row>
    <row r="202" spans="1:18" s="29" customFormat="1" ht="24" hidden="1" customHeight="1">
      <c r="A202" s="138">
        <v>21720</v>
      </c>
      <c r="B202" s="125" t="s">
        <v>99</v>
      </c>
      <c r="C202" s="170"/>
      <c r="D202" s="170">
        <v>0</v>
      </c>
      <c r="E202" s="233"/>
      <c r="F202" s="233"/>
      <c r="G202" s="233"/>
      <c r="H202" s="232">
        <f t="shared" ref="H202:H260" si="212">SUM(D202:G202)</f>
        <v>0</v>
      </c>
      <c r="I202" s="233">
        <v>0</v>
      </c>
      <c r="J202" s="233"/>
      <c r="K202" s="233"/>
      <c r="L202" s="233"/>
      <c r="M202" s="232">
        <f t="shared" ref="M202:M260" si="213">SUM(I202:L202)</f>
        <v>0</v>
      </c>
      <c r="N202" s="233">
        <v>0</v>
      </c>
      <c r="O202" s="233"/>
      <c r="P202" s="233"/>
      <c r="Q202" s="233"/>
      <c r="R202" s="232">
        <f t="shared" ref="R202:R260" si="214">SUM(N202:Q202)</f>
        <v>0</v>
      </c>
    </row>
    <row r="203" spans="1:18" s="29" customFormat="1" ht="12" hidden="1" customHeight="1">
      <c r="A203" s="129" t="s">
        <v>100</v>
      </c>
      <c r="B203" s="123" t="s">
        <v>101</v>
      </c>
      <c r="C203" s="168">
        <v>0</v>
      </c>
      <c r="D203" s="168">
        <v>0</v>
      </c>
      <c r="E203" s="243">
        <f t="shared" ref="E203:G203" si="215">E204+E231</f>
        <v>0</v>
      </c>
      <c r="F203" s="243">
        <f t="shared" si="215"/>
        <v>0</v>
      </c>
      <c r="G203" s="243">
        <f t="shared" si="215"/>
        <v>0</v>
      </c>
      <c r="H203" s="270">
        <f t="shared" si="212"/>
        <v>0</v>
      </c>
      <c r="I203" s="243">
        <v>0</v>
      </c>
      <c r="J203" s="243">
        <f t="shared" ref="J203:L203" si="216">J204+J231</f>
        <v>0</v>
      </c>
      <c r="K203" s="243">
        <f t="shared" si="216"/>
        <v>0</v>
      </c>
      <c r="L203" s="243">
        <f t="shared" si="216"/>
        <v>0</v>
      </c>
      <c r="M203" s="270">
        <f t="shared" si="213"/>
        <v>0</v>
      </c>
      <c r="N203" s="243">
        <v>0</v>
      </c>
      <c r="O203" s="243">
        <f t="shared" ref="O203:Q203" si="217">O204+O231</f>
        <v>0</v>
      </c>
      <c r="P203" s="243">
        <f t="shared" si="217"/>
        <v>0</v>
      </c>
      <c r="Q203" s="243">
        <f t="shared" si="217"/>
        <v>0</v>
      </c>
      <c r="R203" s="270">
        <f t="shared" si="214"/>
        <v>0</v>
      </c>
    </row>
    <row r="204" spans="1:18" s="29" customFormat="1" ht="21" hidden="1" customHeight="1">
      <c r="A204" s="130" t="s">
        <v>102</v>
      </c>
      <c r="B204" s="124" t="s">
        <v>103</v>
      </c>
      <c r="C204" s="170">
        <v>0</v>
      </c>
      <c r="D204" s="170">
        <v>0</v>
      </c>
      <c r="E204" s="233">
        <f t="shared" ref="E204:G204" si="218">E205+E209+E210+E213+E216</f>
        <v>0</v>
      </c>
      <c r="F204" s="233">
        <f t="shared" si="218"/>
        <v>0</v>
      </c>
      <c r="G204" s="233">
        <f t="shared" si="218"/>
        <v>0</v>
      </c>
      <c r="H204" s="232">
        <f t="shared" si="212"/>
        <v>0</v>
      </c>
      <c r="I204" s="233">
        <v>0</v>
      </c>
      <c r="J204" s="233">
        <f t="shared" ref="J204:L204" si="219">J205+J209+J210+J213+J216</f>
        <v>0</v>
      </c>
      <c r="K204" s="233">
        <f t="shared" si="219"/>
        <v>0</v>
      </c>
      <c r="L204" s="233">
        <f t="shared" si="219"/>
        <v>0</v>
      </c>
      <c r="M204" s="232">
        <f t="shared" si="213"/>
        <v>0</v>
      </c>
      <c r="N204" s="233">
        <v>0</v>
      </c>
      <c r="O204" s="233">
        <f t="shared" ref="O204:Q204" si="220">O205+O209+O210+O213+O216</f>
        <v>0</v>
      </c>
      <c r="P204" s="233">
        <f t="shared" si="220"/>
        <v>0</v>
      </c>
      <c r="Q204" s="233">
        <f t="shared" si="220"/>
        <v>0</v>
      </c>
      <c r="R204" s="232">
        <f t="shared" si="214"/>
        <v>0</v>
      </c>
    </row>
    <row r="205" spans="1:18" s="29" customFormat="1" ht="12" hidden="1" customHeight="1">
      <c r="A205" s="130" t="s">
        <v>104</v>
      </c>
      <c r="B205" s="124" t="s">
        <v>105</v>
      </c>
      <c r="C205" s="170">
        <v>0</v>
      </c>
      <c r="D205" s="170">
        <v>0</v>
      </c>
      <c r="E205" s="233">
        <f t="shared" ref="E205:G205" si="221">E206+E208</f>
        <v>0</v>
      </c>
      <c r="F205" s="233">
        <f t="shared" si="221"/>
        <v>0</v>
      </c>
      <c r="G205" s="233">
        <f t="shared" si="221"/>
        <v>0</v>
      </c>
      <c r="H205" s="232">
        <f t="shared" si="212"/>
        <v>0</v>
      </c>
      <c r="I205" s="233">
        <v>0</v>
      </c>
      <c r="J205" s="233">
        <f t="shared" ref="J205:L205" si="222">J206+J208</f>
        <v>0</v>
      </c>
      <c r="K205" s="233">
        <f t="shared" si="222"/>
        <v>0</v>
      </c>
      <c r="L205" s="233">
        <f t="shared" si="222"/>
        <v>0</v>
      </c>
      <c r="M205" s="232">
        <f t="shared" si="213"/>
        <v>0</v>
      </c>
      <c r="N205" s="233">
        <v>0</v>
      </c>
      <c r="O205" s="233">
        <f t="shared" ref="O205:Q205" si="223">O206+O208</f>
        <v>0</v>
      </c>
      <c r="P205" s="233">
        <f t="shared" si="223"/>
        <v>0</v>
      </c>
      <c r="Q205" s="233">
        <f t="shared" si="223"/>
        <v>0</v>
      </c>
      <c r="R205" s="232">
        <f t="shared" si="214"/>
        <v>0</v>
      </c>
    </row>
    <row r="206" spans="1:18" s="29" customFormat="1" ht="12" hidden="1" customHeight="1">
      <c r="A206" s="132">
        <v>1000</v>
      </c>
      <c r="B206" s="125" t="s">
        <v>106</v>
      </c>
      <c r="C206" s="170"/>
      <c r="D206" s="170">
        <v>0</v>
      </c>
      <c r="E206" s="244"/>
      <c r="F206" s="244"/>
      <c r="G206" s="244"/>
      <c r="H206" s="232">
        <f t="shared" si="212"/>
        <v>0</v>
      </c>
      <c r="I206" s="233">
        <v>0</v>
      </c>
      <c r="J206" s="244"/>
      <c r="K206" s="244"/>
      <c r="L206" s="244"/>
      <c r="M206" s="232">
        <f t="shared" si="213"/>
        <v>0</v>
      </c>
      <c r="N206" s="233">
        <v>0</v>
      </c>
      <c r="O206" s="244"/>
      <c r="P206" s="244"/>
      <c r="Q206" s="244"/>
      <c r="R206" s="232">
        <f t="shared" si="214"/>
        <v>0</v>
      </c>
    </row>
    <row r="207" spans="1:18" s="29" customFormat="1" ht="12" hidden="1" customHeight="1">
      <c r="A207" s="139">
        <v>1100</v>
      </c>
      <c r="B207" s="125" t="s">
        <v>107</v>
      </c>
      <c r="C207" s="170"/>
      <c r="D207" s="170">
        <v>0</v>
      </c>
      <c r="E207" s="244"/>
      <c r="F207" s="244"/>
      <c r="G207" s="244"/>
      <c r="H207" s="232">
        <f t="shared" si="212"/>
        <v>0</v>
      </c>
      <c r="I207" s="233">
        <v>0</v>
      </c>
      <c r="J207" s="244"/>
      <c r="K207" s="244"/>
      <c r="L207" s="244"/>
      <c r="M207" s="232">
        <f t="shared" si="213"/>
        <v>0</v>
      </c>
      <c r="N207" s="233">
        <v>0</v>
      </c>
      <c r="O207" s="244"/>
      <c r="P207" s="244"/>
      <c r="Q207" s="244"/>
      <c r="R207" s="232">
        <f t="shared" si="214"/>
        <v>0</v>
      </c>
    </row>
    <row r="208" spans="1:18" s="29" customFormat="1" ht="12" hidden="1" customHeight="1">
      <c r="A208" s="132">
        <v>2000</v>
      </c>
      <c r="B208" s="125" t="s">
        <v>108</v>
      </c>
      <c r="C208" s="170"/>
      <c r="D208" s="170">
        <v>0</v>
      </c>
      <c r="E208" s="244"/>
      <c r="F208" s="244"/>
      <c r="G208" s="244"/>
      <c r="H208" s="232">
        <f t="shared" si="212"/>
        <v>0</v>
      </c>
      <c r="I208" s="233">
        <v>0</v>
      </c>
      <c r="J208" s="244"/>
      <c r="K208" s="244"/>
      <c r="L208" s="244"/>
      <c r="M208" s="232">
        <f t="shared" si="213"/>
        <v>0</v>
      </c>
      <c r="N208" s="233">
        <v>0</v>
      </c>
      <c r="O208" s="244"/>
      <c r="P208" s="244"/>
      <c r="Q208" s="244"/>
      <c r="R208" s="232">
        <f t="shared" si="214"/>
        <v>0</v>
      </c>
    </row>
    <row r="209" spans="1:18" s="29" customFormat="1" ht="12" hidden="1" customHeight="1">
      <c r="A209" s="140">
        <v>4000</v>
      </c>
      <c r="B209" s="124" t="s">
        <v>132</v>
      </c>
      <c r="C209" s="170"/>
      <c r="D209" s="170">
        <v>0</v>
      </c>
      <c r="E209" s="244"/>
      <c r="F209" s="244"/>
      <c r="G209" s="244"/>
      <c r="H209" s="232">
        <f t="shared" si="212"/>
        <v>0</v>
      </c>
      <c r="I209" s="233">
        <v>0</v>
      </c>
      <c r="J209" s="244"/>
      <c r="K209" s="244"/>
      <c r="L209" s="244"/>
      <c r="M209" s="232">
        <f t="shared" si="213"/>
        <v>0</v>
      </c>
      <c r="N209" s="233">
        <v>0</v>
      </c>
      <c r="O209" s="244"/>
      <c r="P209" s="244"/>
      <c r="Q209" s="244"/>
      <c r="R209" s="232">
        <f t="shared" si="214"/>
        <v>0</v>
      </c>
    </row>
    <row r="210" spans="1:18" s="29" customFormat="1" ht="12" hidden="1" customHeight="1">
      <c r="A210" s="140" t="s">
        <v>109</v>
      </c>
      <c r="B210" s="124" t="s">
        <v>110</v>
      </c>
      <c r="C210" s="170">
        <v>0</v>
      </c>
      <c r="D210" s="170">
        <v>0</v>
      </c>
      <c r="E210" s="233">
        <f t="shared" ref="E210:G210" si="224">E211+E212</f>
        <v>0</v>
      </c>
      <c r="F210" s="233">
        <f t="shared" si="224"/>
        <v>0</v>
      </c>
      <c r="G210" s="233">
        <f t="shared" si="224"/>
        <v>0</v>
      </c>
      <c r="H210" s="232">
        <f t="shared" si="212"/>
        <v>0</v>
      </c>
      <c r="I210" s="233">
        <v>0</v>
      </c>
      <c r="J210" s="233">
        <f t="shared" ref="J210:L210" si="225">J211+J212</f>
        <v>0</v>
      </c>
      <c r="K210" s="233">
        <f t="shared" si="225"/>
        <v>0</v>
      </c>
      <c r="L210" s="233">
        <f t="shared" si="225"/>
        <v>0</v>
      </c>
      <c r="M210" s="232">
        <f t="shared" si="213"/>
        <v>0</v>
      </c>
      <c r="N210" s="233">
        <v>0</v>
      </c>
      <c r="O210" s="233">
        <f t="shared" ref="O210:Q210" si="226">O211+O212</f>
        <v>0</v>
      </c>
      <c r="P210" s="233">
        <f t="shared" si="226"/>
        <v>0</v>
      </c>
      <c r="Q210" s="233">
        <f t="shared" si="226"/>
        <v>0</v>
      </c>
      <c r="R210" s="232">
        <f t="shared" si="214"/>
        <v>0</v>
      </c>
    </row>
    <row r="211" spans="1:18" s="29" customFormat="1" ht="12" hidden="1" customHeight="1">
      <c r="A211" s="132">
        <v>3000</v>
      </c>
      <c r="B211" s="125" t="s">
        <v>111</v>
      </c>
      <c r="C211" s="202"/>
      <c r="D211" s="202">
        <v>0</v>
      </c>
      <c r="E211" s="246"/>
      <c r="F211" s="246"/>
      <c r="G211" s="246"/>
      <c r="H211" s="232">
        <f t="shared" si="212"/>
        <v>0</v>
      </c>
      <c r="I211" s="345">
        <v>0</v>
      </c>
      <c r="J211" s="246"/>
      <c r="K211" s="246"/>
      <c r="L211" s="246"/>
      <c r="M211" s="232">
        <f t="shared" si="213"/>
        <v>0</v>
      </c>
      <c r="N211" s="345">
        <v>0</v>
      </c>
      <c r="O211" s="246"/>
      <c r="P211" s="246"/>
      <c r="Q211" s="246"/>
      <c r="R211" s="232">
        <f t="shared" si="214"/>
        <v>0</v>
      </c>
    </row>
    <row r="212" spans="1:18" s="29" customFormat="1" ht="12" hidden="1" customHeight="1">
      <c r="A212" s="132">
        <v>6000</v>
      </c>
      <c r="B212" s="125" t="s">
        <v>112</v>
      </c>
      <c r="C212" s="203"/>
      <c r="D212" s="203">
        <v>0</v>
      </c>
      <c r="E212" s="248"/>
      <c r="F212" s="248"/>
      <c r="G212" s="248"/>
      <c r="H212" s="232">
        <f t="shared" si="212"/>
        <v>0</v>
      </c>
      <c r="I212" s="346">
        <v>0</v>
      </c>
      <c r="J212" s="248"/>
      <c r="K212" s="248"/>
      <c r="L212" s="248"/>
      <c r="M212" s="232">
        <f t="shared" si="213"/>
        <v>0</v>
      </c>
      <c r="N212" s="346">
        <v>0</v>
      </c>
      <c r="O212" s="248"/>
      <c r="P212" s="248"/>
      <c r="Q212" s="248"/>
      <c r="R212" s="232">
        <f t="shared" si="214"/>
        <v>0</v>
      </c>
    </row>
    <row r="213" spans="1:18" s="29" customFormat="1" ht="24" hidden="1" customHeight="1">
      <c r="A213" s="140" t="s">
        <v>113</v>
      </c>
      <c r="B213" s="124" t="s">
        <v>183</v>
      </c>
      <c r="C213" s="170">
        <v>0</v>
      </c>
      <c r="D213" s="170">
        <v>0</v>
      </c>
      <c r="E213" s="233">
        <f t="shared" ref="E213:G213" si="227">E214+E215</f>
        <v>0</v>
      </c>
      <c r="F213" s="233">
        <f t="shared" si="227"/>
        <v>0</v>
      </c>
      <c r="G213" s="233">
        <f t="shared" si="227"/>
        <v>0</v>
      </c>
      <c r="H213" s="232">
        <f t="shared" si="212"/>
        <v>0</v>
      </c>
      <c r="I213" s="233">
        <v>0</v>
      </c>
      <c r="J213" s="233">
        <f t="shared" ref="J213:L213" si="228">J214+J215</f>
        <v>0</v>
      </c>
      <c r="K213" s="233">
        <f t="shared" si="228"/>
        <v>0</v>
      </c>
      <c r="L213" s="233">
        <f t="shared" si="228"/>
        <v>0</v>
      </c>
      <c r="M213" s="232">
        <f t="shared" si="213"/>
        <v>0</v>
      </c>
      <c r="N213" s="233">
        <v>0</v>
      </c>
      <c r="O213" s="233">
        <f t="shared" ref="O213:Q213" si="229">O214+O215</f>
        <v>0</v>
      </c>
      <c r="P213" s="233">
        <f t="shared" si="229"/>
        <v>0</v>
      </c>
      <c r="Q213" s="233">
        <f t="shared" si="229"/>
        <v>0</v>
      </c>
      <c r="R213" s="232">
        <f t="shared" si="214"/>
        <v>0</v>
      </c>
    </row>
    <row r="214" spans="1:18" s="29" customFormat="1" ht="12" hidden="1" customHeight="1">
      <c r="A214" s="132">
        <v>7600</v>
      </c>
      <c r="B214" s="179" t="s">
        <v>184</v>
      </c>
      <c r="C214" s="170"/>
      <c r="D214" s="170">
        <v>0</v>
      </c>
      <c r="E214" s="244"/>
      <c r="F214" s="244"/>
      <c r="G214" s="244"/>
      <c r="H214" s="232">
        <f t="shared" si="212"/>
        <v>0</v>
      </c>
      <c r="I214" s="233">
        <v>0</v>
      </c>
      <c r="J214" s="244"/>
      <c r="K214" s="244"/>
      <c r="L214" s="244"/>
      <c r="M214" s="232">
        <f t="shared" si="213"/>
        <v>0</v>
      </c>
      <c r="N214" s="233">
        <v>0</v>
      </c>
      <c r="O214" s="244"/>
      <c r="P214" s="244"/>
      <c r="Q214" s="244"/>
      <c r="R214" s="232">
        <f t="shared" si="214"/>
        <v>0</v>
      </c>
    </row>
    <row r="215" spans="1:18" s="29" customFormat="1" ht="12" hidden="1" customHeight="1">
      <c r="A215" s="132">
        <v>7700</v>
      </c>
      <c r="B215" s="126" t="s">
        <v>114</v>
      </c>
      <c r="C215" s="170"/>
      <c r="D215" s="170">
        <v>0</v>
      </c>
      <c r="E215" s="244"/>
      <c r="F215" s="244"/>
      <c r="G215" s="244"/>
      <c r="H215" s="232">
        <f t="shared" si="212"/>
        <v>0</v>
      </c>
      <c r="I215" s="233">
        <v>0</v>
      </c>
      <c r="J215" s="244"/>
      <c r="K215" s="244"/>
      <c r="L215" s="244"/>
      <c r="M215" s="232">
        <f t="shared" si="213"/>
        <v>0</v>
      </c>
      <c r="N215" s="233">
        <v>0</v>
      </c>
      <c r="O215" s="244"/>
      <c r="P215" s="244"/>
      <c r="Q215" s="244"/>
      <c r="R215" s="232">
        <f t="shared" si="214"/>
        <v>0</v>
      </c>
    </row>
    <row r="216" spans="1:18" s="29" customFormat="1" ht="21" hidden="1" customHeight="1">
      <c r="A216" s="140" t="s">
        <v>185</v>
      </c>
      <c r="B216" s="124" t="s">
        <v>115</v>
      </c>
      <c r="C216" s="170">
        <v>0</v>
      </c>
      <c r="D216" s="170">
        <v>0</v>
      </c>
      <c r="E216" s="233">
        <f t="shared" ref="E216:G216" si="230">E217+E223+E227+E230</f>
        <v>0</v>
      </c>
      <c r="F216" s="233">
        <f t="shared" si="230"/>
        <v>0</v>
      </c>
      <c r="G216" s="233">
        <f t="shared" si="230"/>
        <v>0</v>
      </c>
      <c r="H216" s="232">
        <f t="shared" si="212"/>
        <v>0</v>
      </c>
      <c r="I216" s="233">
        <v>0</v>
      </c>
      <c r="J216" s="233">
        <f t="shared" ref="J216:L216" si="231">J217+J223+J227+J230</f>
        <v>0</v>
      </c>
      <c r="K216" s="233">
        <f t="shared" si="231"/>
        <v>0</v>
      </c>
      <c r="L216" s="233">
        <f t="shared" si="231"/>
        <v>0</v>
      </c>
      <c r="M216" s="232">
        <f t="shared" si="213"/>
        <v>0</v>
      </c>
      <c r="N216" s="233">
        <v>0</v>
      </c>
      <c r="O216" s="233">
        <f t="shared" ref="O216:Q216" si="232">O217+O223+O227+O230</f>
        <v>0</v>
      </c>
      <c r="P216" s="233">
        <f t="shared" si="232"/>
        <v>0</v>
      </c>
      <c r="Q216" s="233">
        <f t="shared" si="232"/>
        <v>0</v>
      </c>
      <c r="R216" s="232">
        <f t="shared" si="214"/>
        <v>0</v>
      </c>
    </row>
    <row r="217" spans="1:18" s="29" customFormat="1" ht="12" hidden="1" customHeight="1">
      <c r="A217" s="132">
        <v>7100</v>
      </c>
      <c r="B217" s="179" t="s">
        <v>116</v>
      </c>
      <c r="C217" s="170">
        <v>0</v>
      </c>
      <c r="D217" s="170">
        <v>0</v>
      </c>
      <c r="E217" s="233">
        <f t="shared" ref="E217:G217" si="233">E218+E219</f>
        <v>0</v>
      </c>
      <c r="F217" s="233">
        <f t="shared" si="233"/>
        <v>0</v>
      </c>
      <c r="G217" s="233">
        <f t="shared" si="233"/>
        <v>0</v>
      </c>
      <c r="H217" s="232">
        <f t="shared" si="212"/>
        <v>0</v>
      </c>
      <c r="I217" s="233">
        <v>0</v>
      </c>
      <c r="J217" s="233">
        <f t="shared" ref="J217:L217" si="234">J218+J219</f>
        <v>0</v>
      </c>
      <c r="K217" s="233">
        <f t="shared" si="234"/>
        <v>0</v>
      </c>
      <c r="L217" s="233">
        <f t="shared" si="234"/>
        <v>0</v>
      </c>
      <c r="M217" s="232">
        <f t="shared" si="213"/>
        <v>0</v>
      </c>
      <c r="N217" s="233">
        <v>0</v>
      </c>
      <c r="O217" s="233">
        <f t="shared" ref="O217:Q217" si="235">O218+O219</f>
        <v>0</v>
      </c>
      <c r="P217" s="233">
        <f t="shared" si="235"/>
        <v>0</v>
      </c>
      <c r="Q217" s="233">
        <f t="shared" si="235"/>
        <v>0</v>
      </c>
      <c r="R217" s="232">
        <f t="shared" si="214"/>
        <v>0</v>
      </c>
    </row>
    <row r="218" spans="1:18" s="29" customFormat="1" ht="24" hidden="1" customHeight="1">
      <c r="A218" s="133" t="s">
        <v>117</v>
      </c>
      <c r="B218" s="179" t="s">
        <v>118</v>
      </c>
      <c r="C218" s="170"/>
      <c r="D218" s="170">
        <v>0</v>
      </c>
      <c r="E218" s="233"/>
      <c r="F218" s="233"/>
      <c r="G218" s="233"/>
      <c r="H218" s="232">
        <f t="shared" si="212"/>
        <v>0</v>
      </c>
      <c r="I218" s="233">
        <v>0</v>
      </c>
      <c r="J218" s="233"/>
      <c r="K218" s="233"/>
      <c r="L218" s="233"/>
      <c r="M218" s="232">
        <f t="shared" si="213"/>
        <v>0</v>
      </c>
      <c r="N218" s="233">
        <v>0</v>
      </c>
      <c r="O218" s="233"/>
      <c r="P218" s="233"/>
      <c r="Q218" s="233"/>
      <c r="R218" s="232">
        <f t="shared" si="214"/>
        <v>0</v>
      </c>
    </row>
    <row r="219" spans="1:18" s="29" customFormat="1" ht="24" hidden="1" customHeight="1">
      <c r="A219" s="133">
        <v>7130</v>
      </c>
      <c r="B219" s="179" t="s">
        <v>119</v>
      </c>
      <c r="C219" s="170">
        <v>0</v>
      </c>
      <c r="D219" s="170">
        <v>0</v>
      </c>
      <c r="E219" s="233">
        <f t="shared" ref="E219:G219" si="236">SUM(E220:E222)</f>
        <v>0</v>
      </c>
      <c r="F219" s="233">
        <f t="shared" ref="F219" si="237">SUM(F220:F222)</f>
        <v>0</v>
      </c>
      <c r="G219" s="233">
        <f t="shared" si="236"/>
        <v>0</v>
      </c>
      <c r="H219" s="232">
        <f t="shared" si="212"/>
        <v>0</v>
      </c>
      <c r="I219" s="233">
        <v>0</v>
      </c>
      <c r="J219" s="233">
        <f t="shared" ref="J219:L219" si="238">SUM(J220:J222)</f>
        <v>0</v>
      </c>
      <c r="K219" s="233">
        <f t="shared" si="238"/>
        <v>0</v>
      </c>
      <c r="L219" s="233">
        <f t="shared" si="238"/>
        <v>0</v>
      </c>
      <c r="M219" s="232">
        <f t="shared" si="213"/>
        <v>0</v>
      </c>
      <c r="N219" s="233">
        <v>0</v>
      </c>
      <c r="O219" s="233">
        <f t="shared" ref="O219:Q219" si="239">SUM(O220:O222)</f>
        <v>0</v>
      </c>
      <c r="P219" s="233">
        <f t="shared" si="239"/>
        <v>0</v>
      </c>
      <c r="Q219" s="233">
        <f t="shared" si="239"/>
        <v>0</v>
      </c>
      <c r="R219" s="232">
        <f t="shared" si="214"/>
        <v>0</v>
      </c>
    </row>
    <row r="220" spans="1:18" s="29" customFormat="1" ht="36" hidden="1" customHeight="1">
      <c r="A220" s="134">
        <v>7131</v>
      </c>
      <c r="B220" s="179" t="s">
        <v>120</v>
      </c>
      <c r="C220" s="170"/>
      <c r="D220" s="170">
        <v>0</v>
      </c>
      <c r="E220" s="233"/>
      <c r="F220" s="233"/>
      <c r="G220" s="233"/>
      <c r="H220" s="232">
        <f t="shared" si="212"/>
        <v>0</v>
      </c>
      <c r="I220" s="233">
        <v>0</v>
      </c>
      <c r="J220" s="233"/>
      <c r="K220" s="233"/>
      <c r="L220" s="233"/>
      <c r="M220" s="232">
        <f t="shared" si="213"/>
        <v>0</v>
      </c>
      <c r="N220" s="233">
        <v>0</v>
      </c>
      <c r="O220" s="233"/>
      <c r="P220" s="233"/>
      <c r="Q220" s="233"/>
      <c r="R220" s="232">
        <f t="shared" si="214"/>
        <v>0</v>
      </c>
    </row>
    <row r="221" spans="1:18" s="29" customFormat="1" ht="36" hidden="1" customHeight="1">
      <c r="A221" s="134">
        <v>7132</v>
      </c>
      <c r="B221" s="179" t="s">
        <v>121</v>
      </c>
      <c r="C221" s="170"/>
      <c r="D221" s="170">
        <v>0</v>
      </c>
      <c r="E221" s="233"/>
      <c r="F221" s="233"/>
      <c r="G221" s="233"/>
      <c r="H221" s="232">
        <f t="shared" si="212"/>
        <v>0</v>
      </c>
      <c r="I221" s="233">
        <v>0</v>
      </c>
      <c r="J221" s="233"/>
      <c r="K221" s="233"/>
      <c r="L221" s="233"/>
      <c r="M221" s="232">
        <f t="shared" si="213"/>
        <v>0</v>
      </c>
      <c r="N221" s="233">
        <v>0</v>
      </c>
      <c r="O221" s="233"/>
      <c r="P221" s="233"/>
      <c r="Q221" s="233"/>
      <c r="R221" s="232">
        <f t="shared" si="214"/>
        <v>0</v>
      </c>
    </row>
    <row r="222" spans="1:18" s="29" customFormat="1" ht="24" hidden="1" customHeight="1">
      <c r="A222" s="134" t="s">
        <v>186</v>
      </c>
      <c r="B222" s="179" t="s">
        <v>187</v>
      </c>
      <c r="C222" s="170"/>
      <c r="D222" s="170">
        <v>0</v>
      </c>
      <c r="E222" s="233"/>
      <c r="F222" s="233"/>
      <c r="G222" s="233"/>
      <c r="H222" s="232">
        <f t="shared" si="212"/>
        <v>0</v>
      </c>
      <c r="I222" s="233">
        <v>0</v>
      </c>
      <c r="J222" s="233"/>
      <c r="K222" s="233"/>
      <c r="L222" s="233"/>
      <c r="M222" s="232">
        <f t="shared" si="213"/>
        <v>0</v>
      </c>
      <c r="N222" s="233">
        <v>0</v>
      </c>
      <c r="O222" s="233"/>
      <c r="P222" s="233"/>
      <c r="Q222" s="233"/>
      <c r="R222" s="232">
        <f t="shared" si="214"/>
        <v>0</v>
      </c>
    </row>
    <row r="223" spans="1:18" s="29" customFormat="1" ht="24" hidden="1" customHeight="1">
      <c r="A223" s="132">
        <v>7300</v>
      </c>
      <c r="B223" s="172" t="s">
        <v>155</v>
      </c>
      <c r="C223" s="170">
        <v>0</v>
      </c>
      <c r="D223" s="170">
        <v>0</v>
      </c>
      <c r="E223" s="233">
        <f t="shared" ref="E223:G223" si="240">SUM(E224:E226)</f>
        <v>0</v>
      </c>
      <c r="F223" s="233">
        <f t="shared" si="240"/>
        <v>0</v>
      </c>
      <c r="G223" s="233">
        <f t="shared" si="240"/>
        <v>0</v>
      </c>
      <c r="H223" s="232">
        <f t="shared" si="212"/>
        <v>0</v>
      </c>
      <c r="I223" s="233">
        <v>0</v>
      </c>
      <c r="J223" s="233">
        <f t="shared" ref="J223:L223" si="241">SUM(J224:J226)</f>
        <v>0</v>
      </c>
      <c r="K223" s="233">
        <f t="shared" si="241"/>
        <v>0</v>
      </c>
      <c r="L223" s="233">
        <f t="shared" si="241"/>
        <v>0</v>
      </c>
      <c r="M223" s="232">
        <f t="shared" si="213"/>
        <v>0</v>
      </c>
      <c r="N223" s="233">
        <v>0</v>
      </c>
      <c r="O223" s="233">
        <f t="shared" ref="O223:Q223" si="242">SUM(O224:O226)</f>
        <v>0</v>
      </c>
      <c r="P223" s="233">
        <f t="shared" si="242"/>
        <v>0</v>
      </c>
      <c r="Q223" s="233">
        <f t="shared" si="242"/>
        <v>0</v>
      </c>
      <c r="R223" s="232">
        <f t="shared" si="214"/>
        <v>0</v>
      </c>
    </row>
    <row r="224" spans="1:18" s="29" customFormat="1" ht="24" hidden="1" customHeight="1">
      <c r="A224" s="133" t="s">
        <v>188</v>
      </c>
      <c r="B224" s="179" t="s">
        <v>170</v>
      </c>
      <c r="C224" s="204"/>
      <c r="D224" s="204">
        <v>0</v>
      </c>
      <c r="E224" s="252"/>
      <c r="F224" s="252"/>
      <c r="G224" s="252"/>
      <c r="H224" s="232">
        <f t="shared" si="212"/>
        <v>0</v>
      </c>
      <c r="I224" s="252">
        <v>0</v>
      </c>
      <c r="J224" s="252"/>
      <c r="K224" s="252"/>
      <c r="L224" s="252"/>
      <c r="M224" s="232">
        <f t="shared" si="213"/>
        <v>0</v>
      </c>
      <c r="N224" s="252">
        <v>0</v>
      </c>
      <c r="O224" s="252"/>
      <c r="P224" s="252"/>
      <c r="Q224" s="252"/>
      <c r="R224" s="232">
        <f t="shared" si="214"/>
        <v>0</v>
      </c>
    </row>
    <row r="225" spans="1:18" s="29" customFormat="1" ht="48" hidden="1" customHeight="1">
      <c r="A225" s="133" t="s">
        <v>189</v>
      </c>
      <c r="B225" s="179" t="s">
        <v>156</v>
      </c>
      <c r="C225" s="204"/>
      <c r="D225" s="204">
        <v>0</v>
      </c>
      <c r="E225" s="252"/>
      <c r="F225" s="252"/>
      <c r="G225" s="252"/>
      <c r="H225" s="232">
        <f t="shared" si="212"/>
        <v>0</v>
      </c>
      <c r="I225" s="252">
        <v>0</v>
      </c>
      <c r="J225" s="252"/>
      <c r="K225" s="252"/>
      <c r="L225" s="252"/>
      <c r="M225" s="232">
        <f t="shared" si="213"/>
        <v>0</v>
      </c>
      <c r="N225" s="252">
        <v>0</v>
      </c>
      <c r="O225" s="252"/>
      <c r="P225" s="252"/>
      <c r="Q225" s="252"/>
      <c r="R225" s="232">
        <f t="shared" si="214"/>
        <v>0</v>
      </c>
    </row>
    <row r="226" spans="1:18" s="29" customFormat="1" ht="36" hidden="1" customHeight="1">
      <c r="A226" s="133">
        <v>7350</v>
      </c>
      <c r="B226" s="179" t="s">
        <v>163</v>
      </c>
      <c r="C226" s="204"/>
      <c r="D226" s="204">
        <v>0</v>
      </c>
      <c r="E226" s="252"/>
      <c r="F226" s="252"/>
      <c r="G226" s="252"/>
      <c r="H226" s="232">
        <f t="shared" si="212"/>
        <v>0</v>
      </c>
      <c r="I226" s="252">
        <v>0</v>
      </c>
      <c r="J226" s="252"/>
      <c r="K226" s="252"/>
      <c r="L226" s="252"/>
      <c r="M226" s="232">
        <f t="shared" si="213"/>
        <v>0</v>
      </c>
      <c r="N226" s="252">
        <v>0</v>
      </c>
      <c r="O226" s="252"/>
      <c r="P226" s="252"/>
      <c r="Q226" s="252"/>
      <c r="R226" s="232">
        <f t="shared" si="214"/>
        <v>0</v>
      </c>
    </row>
    <row r="227" spans="1:18" s="29" customFormat="1" ht="24" hidden="1" customHeight="1">
      <c r="A227" s="132">
        <v>7400</v>
      </c>
      <c r="B227" s="172" t="s">
        <v>161</v>
      </c>
      <c r="C227" s="170">
        <v>0</v>
      </c>
      <c r="D227" s="170">
        <v>0</v>
      </c>
      <c r="E227" s="233">
        <f t="shared" ref="E227:G227" si="243">SUM(E228:E229)</f>
        <v>0</v>
      </c>
      <c r="F227" s="233">
        <f t="shared" si="243"/>
        <v>0</v>
      </c>
      <c r="G227" s="233">
        <f t="shared" si="243"/>
        <v>0</v>
      </c>
      <c r="H227" s="232">
        <f t="shared" si="212"/>
        <v>0</v>
      </c>
      <c r="I227" s="233">
        <v>0</v>
      </c>
      <c r="J227" s="233">
        <f t="shared" ref="J227:L227" si="244">SUM(J228:J229)</f>
        <v>0</v>
      </c>
      <c r="K227" s="233">
        <f t="shared" si="244"/>
        <v>0</v>
      </c>
      <c r="L227" s="233">
        <f t="shared" si="244"/>
        <v>0</v>
      </c>
      <c r="M227" s="232">
        <f t="shared" si="213"/>
        <v>0</v>
      </c>
      <c r="N227" s="233">
        <v>0</v>
      </c>
      <c r="O227" s="233">
        <f t="shared" ref="O227:Q227" si="245">SUM(O228:O229)</f>
        <v>0</v>
      </c>
      <c r="P227" s="233">
        <f t="shared" si="245"/>
        <v>0</v>
      </c>
      <c r="Q227" s="233">
        <f t="shared" si="245"/>
        <v>0</v>
      </c>
      <c r="R227" s="232">
        <f t="shared" si="214"/>
        <v>0</v>
      </c>
    </row>
    <row r="228" spans="1:18" s="29" customFormat="1" ht="24" hidden="1" customHeight="1">
      <c r="A228" s="133">
        <v>7460</v>
      </c>
      <c r="B228" s="172" t="s">
        <v>162</v>
      </c>
      <c r="C228" s="204"/>
      <c r="D228" s="204">
        <v>0</v>
      </c>
      <c r="E228" s="252"/>
      <c r="F228" s="252"/>
      <c r="G228" s="252"/>
      <c r="H228" s="232">
        <f t="shared" si="212"/>
        <v>0</v>
      </c>
      <c r="I228" s="252">
        <v>0</v>
      </c>
      <c r="J228" s="252"/>
      <c r="K228" s="252"/>
      <c r="L228" s="252"/>
      <c r="M228" s="232">
        <f t="shared" si="213"/>
        <v>0</v>
      </c>
      <c r="N228" s="252">
        <v>0</v>
      </c>
      <c r="O228" s="252"/>
      <c r="P228" s="252"/>
      <c r="Q228" s="252"/>
      <c r="R228" s="232">
        <f t="shared" si="214"/>
        <v>0</v>
      </c>
    </row>
    <row r="229" spans="1:18" s="29" customFormat="1" ht="36" hidden="1" customHeight="1">
      <c r="A229" s="133">
        <v>7470</v>
      </c>
      <c r="B229" s="179" t="s">
        <v>167</v>
      </c>
      <c r="C229" s="204"/>
      <c r="D229" s="204">
        <v>0</v>
      </c>
      <c r="E229" s="252"/>
      <c r="F229" s="252"/>
      <c r="G229" s="252"/>
      <c r="H229" s="232">
        <f t="shared" si="212"/>
        <v>0</v>
      </c>
      <c r="I229" s="252">
        <v>0</v>
      </c>
      <c r="J229" s="252"/>
      <c r="K229" s="252"/>
      <c r="L229" s="252"/>
      <c r="M229" s="232">
        <f t="shared" si="213"/>
        <v>0</v>
      </c>
      <c r="N229" s="252">
        <v>0</v>
      </c>
      <c r="O229" s="252"/>
      <c r="P229" s="252"/>
      <c r="Q229" s="252"/>
      <c r="R229" s="232">
        <f t="shared" si="214"/>
        <v>0</v>
      </c>
    </row>
    <row r="230" spans="1:18" s="29" customFormat="1" ht="24" hidden="1" customHeight="1">
      <c r="A230" s="132">
        <v>7500</v>
      </c>
      <c r="B230" s="179" t="s">
        <v>157</v>
      </c>
      <c r="C230" s="170"/>
      <c r="D230" s="170">
        <v>0</v>
      </c>
      <c r="E230" s="233"/>
      <c r="F230" s="233"/>
      <c r="G230" s="233"/>
      <c r="H230" s="232">
        <f t="shared" si="212"/>
        <v>0</v>
      </c>
      <c r="I230" s="233">
        <v>0</v>
      </c>
      <c r="J230" s="233"/>
      <c r="K230" s="233"/>
      <c r="L230" s="233"/>
      <c r="M230" s="232">
        <f t="shared" si="213"/>
        <v>0</v>
      </c>
      <c r="N230" s="233">
        <v>0</v>
      </c>
      <c r="O230" s="233"/>
      <c r="P230" s="233"/>
      <c r="Q230" s="233"/>
      <c r="R230" s="232">
        <f t="shared" si="214"/>
        <v>0</v>
      </c>
    </row>
    <row r="231" spans="1:18" s="29" customFormat="1" ht="12" hidden="1" customHeight="1">
      <c r="A231" s="140" t="s">
        <v>133</v>
      </c>
      <c r="B231" s="124" t="s">
        <v>122</v>
      </c>
      <c r="C231" s="205">
        <v>0</v>
      </c>
      <c r="D231" s="205">
        <v>0</v>
      </c>
      <c r="E231" s="254">
        <f t="shared" ref="E231:G231" si="246">E232+E233</f>
        <v>0</v>
      </c>
      <c r="F231" s="254">
        <f t="shared" si="246"/>
        <v>0</v>
      </c>
      <c r="G231" s="254">
        <f t="shared" si="246"/>
        <v>0</v>
      </c>
      <c r="H231" s="232">
        <f t="shared" si="212"/>
        <v>0</v>
      </c>
      <c r="I231" s="254">
        <v>0</v>
      </c>
      <c r="J231" s="254">
        <f t="shared" ref="J231:L231" si="247">J232+J233</f>
        <v>0</v>
      </c>
      <c r="K231" s="254">
        <f t="shared" si="247"/>
        <v>0</v>
      </c>
      <c r="L231" s="254">
        <f t="shared" si="247"/>
        <v>0</v>
      </c>
      <c r="M231" s="232">
        <f t="shared" si="213"/>
        <v>0</v>
      </c>
      <c r="N231" s="254">
        <v>0</v>
      </c>
      <c r="O231" s="254">
        <f t="shared" ref="O231:Q231" si="248">O232+O233</f>
        <v>0</v>
      </c>
      <c r="P231" s="254">
        <f t="shared" si="248"/>
        <v>0</v>
      </c>
      <c r="Q231" s="254">
        <f t="shared" si="248"/>
        <v>0</v>
      </c>
      <c r="R231" s="232">
        <f t="shared" si="214"/>
        <v>0</v>
      </c>
    </row>
    <row r="232" spans="1:18" s="29" customFormat="1" ht="12" hidden="1" customHeight="1">
      <c r="A232" s="140">
        <v>5000</v>
      </c>
      <c r="B232" s="124" t="s">
        <v>123</v>
      </c>
      <c r="C232" s="170"/>
      <c r="D232" s="170">
        <v>0</v>
      </c>
      <c r="E232" s="244"/>
      <c r="F232" s="244"/>
      <c r="G232" s="244"/>
      <c r="H232" s="232">
        <f t="shared" si="212"/>
        <v>0</v>
      </c>
      <c r="I232" s="233">
        <v>0</v>
      </c>
      <c r="J232" s="244"/>
      <c r="K232" s="244"/>
      <c r="L232" s="244"/>
      <c r="M232" s="232">
        <f t="shared" si="213"/>
        <v>0</v>
      </c>
      <c r="N232" s="233">
        <v>0</v>
      </c>
      <c r="O232" s="244"/>
      <c r="P232" s="244"/>
      <c r="Q232" s="244"/>
      <c r="R232" s="232">
        <f t="shared" si="214"/>
        <v>0</v>
      </c>
    </row>
    <row r="233" spans="1:18" s="29" customFormat="1" ht="12" hidden="1" customHeight="1">
      <c r="A233" s="140">
        <v>9000</v>
      </c>
      <c r="B233" s="182" t="s">
        <v>164</v>
      </c>
      <c r="C233" s="170">
        <v>0</v>
      </c>
      <c r="D233" s="170">
        <v>0</v>
      </c>
      <c r="E233" s="233">
        <f t="shared" ref="E233:G233" si="249">E234+E240+E244+E247</f>
        <v>0</v>
      </c>
      <c r="F233" s="233">
        <f t="shared" si="249"/>
        <v>0</v>
      </c>
      <c r="G233" s="233">
        <f t="shared" si="249"/>
        <v>0</v>
      </c>
      <c r="H233" s="232">
        <f t="shared" si="212"/>
        <v>0</v>
      </c>
      <c r="I233" s="233">
        <v>0</v>
      </c>
      <c r="J233" s="233">
        <f t="shared" ref="J233:L233" si="250">J234+J240+J244+J247</f>
        <v>0</v>
      </c>
      <c r="K233" s="233">
        <f t="shared" si="250"/>
        <v>0</v>
      </c>
      <c r="L233" s="233">
        <f t="shared" si="250"/>
        <v>0</v>
      </c>
      <c r="M233" s="232">
        <f t="shared" si="213"/>
        <v>0</v>
      </c>
      <c r="N233" s="233">
        <v>0</v>
      </c>
      <c r="O233" s="233">
        <f t="shared" ref="O233:Q233" si="251">O234+O240+O244+O247</f>
        <v>0</v>
      </c>
      <c r="P233" s="233">
        <f t="shared" si="251"/>
        <v>0</v>
      </c>
      <c r="Q233" s="233">
        <f t="shared" si="251"/>
        <v>0</v>
      </c>
      <c r="R233" s="232">
        <f t="shared" si="214"/>
        <v>0</v>
      </c>
    </row>
    <row r="234" spans="1:18" s="29" customFormat="1" ht="12" hidden="1" customHeight="1">
      <c r="A234" s="141">
        <v>9100</v>
      </c>
      <c r="B234" s="179" t="s">
        <v>124</v>
      </c>
      <c r="C234" s="170">
        <v>0</v>
      </c>
      <c r="D234" s="170">
        <v>0</v>
      </c>
      <c r="E234" s="233">
        <f t="shared" ref="E234:G234" si="252">SUM(E235:E236)</f>
        <v>0</v>
      </c>
      <c r="F234" s="233">
        <f t="shared" ref="F234" si="253">SUM(F235:F236)</f>
        <v>0</v>
      </c>
      <c r="G234" s="233">
        <f t="shared" si="252"/>
        <v>0</v>
      </c>
      <c r="H234" s="232">
        <f t="shared" si="212"/>
        <v>0</v>
      </c>
      <c r="I234" s="233">
        <v>0</v>
      </c>
      <c r="J234" s="233">
        <f t="shared" ref="J234:L234" si="254">SUM(J235:J236)</f>
        <v>0</v>
      </c>
      <c r="K234" s="233">
        <f t="shared" si="254"/>
        <v>0</v>
      </c>
      <c r="L234" s="233">
        <f t="shared" si="254"/>
        <v>0</v>
      </c>
      <c r="M234" s="232">
        <f t="shared" si="213"/>
        <v>0</v>
      </c>
      <c r="N234" s="233">
        <v>0</v>
      </c>
      <c r="O234" s="233">
        <f t="shared" ref="O234:Q234" si="255">SUM(O235:O236)</f>
        <v>0</v>
      </c>
      <c r="P234" s="233">
        <f t="shared" si="255"/>
        <v>0</v>
      </c>
      <c r="Q234" s="233">
        <f t="shared" si="255"/>
        <v>0</v>
      </c>
      <c r="R234" s="232">
        <f t="shared" si="214"/>
        <v>0</v>
      </c>
    </row>
    <row r="235" spans="1:18" s="29" customFormat="1" ht="24" hidden="1" customHeight="1">
      <c r="A235" s="133" t="s">
        <v>125</v>
      </c>
      <c r="B235" s="179" t="s">
        <v>214</v>
      </c>
      <c r="C235" s="170"/>
      <c r="D235" s="170">
        <v>0</v>
      </c>
      <c r="E235" s="233"/>
      <c r="F235" s="233"/>
      <c r="G235" s="233"/>
      <c r="H235" s="232">
        <f t="shared" si="212"/>
        <v>0</v>
      </c>
      <c r="I235" s="233">
        <v>0</v>
      </c>
      <c r="J235" s="233"/>
      <c r="K235" s="233"/>
      <c r="L235" s="233"/>
      <c r="M235" s="232">
        <f t="shared" si="213"/>
        <v>0</v>
      </c>
      <c r="N235" s="233">
        <v>0</v>
      </c>
      <c r="O235" s="233"/>
      <c r="P235" s="233"/>
      <c r="Q235" s="233"/>
      <c r="R235" s="232">
        <f t="shared" si="214"/>
        <v>0</v>
      </c>
    </row>
    <row r="236" spans="1:18" s="29" customFormat="1" ht="24" hidden="1" customHeight="1">
      <c r="A236" s="133">
        <v>9140</v>
      </c>
      <c r="B236" s="179" t="s">
        <v>215</v>
      </c>
      <c r="C236" s="170">
        <v>0</v>
      </c>
      <c r="D236" s="170">
        <v>0</v>
      </c>
      <c r="E236" s="233">
        <f t="shared" ref="E236:G236" si="256">SUM(E237:E239)</f>
        <v>0</v>
      </c>
      <c r="F236" s="233">
        <f t="shared" si="256"/>
        <v>0</v>
      </c>
      <c r="G236" s="233">
        <f t="shared" si="256"/>
        <v>0</v>
      </c>
      <c r="H236" s="232">
        <f t="shared" si="212"/>
        <v>0</v>
      </c>
      <c r="I236" s="233">
        <v>0</v>
      </c>
      <c r="J236" s="233">
        <f t="shared" ref="J236:L236" si="257">SUM(J237:J239)</f>
        <v>0</v>
      </c>
      <c r="K236" s="233">
        <f t="shared" si="257"/>
        <v>0</v>
      </c>
      <c r="L236" s="233">
        <f t="shared" si="257"/>
        <v>0</v>
      </c>
      <c r="M236" s="232">
        <f t="shared" si="213"/>
        <v>0</v>
      </c>
      <c r="N236" s="233">
        <v>0</v>
      </c>
      <c r="O236" s="233">
        <f t="shared" ref="O236:Q236" si="258">SUM(O237:O239)</f>
        <v>0</v>
      </c>
      <c r="P236" s="233">
        <f t="shared" si="258"/>
        <v>0</v>
      </c>
      <c r="Q236" s="233">
        <f t="shared" si="258"/>
        <v>0</v>
      </c>
      <c r="R236" s="232">
        <f t="shared" si="214"/>
        <v>0</v>
      </c>
    </row>
    <row r="237" spans="1:18" s="29" customFormat="1" ht="36" hidden="1" customHeight="1">
      <c r="A237" s="134">
        <v>9141</v>
      </c>
      <c r="B237" s="172" t="s">
        <v>190</v>
      </c>
      <c r="C237" s="204"/>
      <c r="D237" s="204">
        <v>0</v>
      </c>
      <c r="E237" s="252"/>
      <c r="F237" s="252"/>
      <c r="G237" s="252"/>
      <c r="H237" s="232">
        <f t="shared" si="212"/>
        <v>0</v>
      </c>
      <c r="I237" s="252">
        <v>0</v>
      </c>
      <c r="J237" s="252"/>
      <c r="K237" s="252"/>
      <c r="L237" s="252"/>
      <c r="M237" s="232">
        <f t="shared" si="213"/>
        <v>0</v>
      </c>
      <c r="N237" s="252">
        <v>0</v>
      </c>
      <c r="O237" s="252"/>
      <c r="P237" s="252"/>
      <c r="Q237" s="252"/>
      <c r="R237" s="232">
        <f t="shared" si="214"/>
        <v>0</v>
      </c>
    </row>
    <row r="238" spans="1:18" s="29" customFormat="1" ht="36" hidden="1" customHeight="1">
      <c r="A238" s="134">
        <v>9142</v>
      </c>
      <c r="B238" s="172" t="s">
        <v>191</v>
      </c>
      <c r="C238" s="204"/>
      <c r="D238" s="204">
        <v>0</v>
      </c>
      <c r="E238" s="252"/>
      <c r="F238" s="252"/>
      <c r="G238" s="252"/>
      <c r="H238" s="232">
        <f t="shared" si="212"/>
        <v>0</v>
      </c>
      <c r="I238" s="252">
        <v>0</v>
      </c>
      <c r="J238" s="252"/>
      <c r="K238" s="252"/>
      <c r="L238" s="252"/>
      <c r="M238" s="232">
        <f t="shared" si="213"/>
        <v>0</v>
      </c>
      <c r="N238" s="252">
        <v>0</v>
      </c>
      <c r="O238" s="252"/>
      <c r="P238" s="252"/>
      <c r="Q238" s="252"/>
      <c r="R238" s="232">
        <f t="shared" si="214"/>
        <v>0</v>
      </c>
    </row>
    <row r="239" spans="1:18" s="29" customFormat="1" ht="24" hidden="1" customHeight="1">
      <c r="A239" s="134">
        <v>9149</v>
      </c>
      <c r="B239" s="172" t="s">
        <v>192</v>
      </c>
      <c r="C239" s="204"/>
      <c r="D239" s="204">
        <v>0</v>
      </c>
      <c r="E239" s="252"/>
      <c r="F239" s="252"/>
      <c r="G239" s="252"/>
      <c r="H239" s="232">
        <f t="shared" si="212"/>
        <v>0</v>
      </c>
      <c r="I239" s="252">
        <v>0</v>
      </c>
      <c r="J239" s="252"/>
      <c r="K239" s="252"/>
      <c r="L239" s="252"/>
      <c r="M239" s="232">
        <f t="shared" si="213"/>
        <v>0</v>
      </c>
      <c r="N239" s="252">
        <v>0</v>
      </c>
      <c r="O239" s="252"/>
      <c r="P239" s="252"/>
      <c r="Q239" s="252"/>
      <c r="R239" s="232">
        <f t="shared" si="214"/>
        <v>0</v>
      </c>
    </row>
    <row r="240" spans="1:18" s="29" customFormat="1" ht="24" hidden="1" customHeight="1">
      <c r="A240" s="141">
        <v>9500</v>
      </c>
      <c r="B240" s="172" t="s">
        <v>165</v>
      </c>
      <c r="C240" s="170">
        <v>0</v>
      </c>
      <c r="D240" s="170">
        <v>0</v>
      </c>
      <c r="E240" s="233">
        <f t="shared" ref="E240:G240" si="259">SUM(E241:E243)</f>
        <v>0</v>
      </c>
      <c r="F240" s="233">
        <f t="shared" si="259"/>
        <v>0</v>
      </c>
      <c r="G240" s="233">
        <f t="shared" si="259"/>
        <v>0</v>
      </c>
      <c r="H240" s="232">
        <f t="shared" si="212"/>
        <v>0</v>
      </c>
      <c r="I240" s="233">
        <v>0</v>
      </c>
      <c r="J240" s="233">
        <f t="shared" ref="J240:L240" si="260">SUM(J241:J243)</f>
        <v>0</v>
      </c>
      <c r="K240" s="233">
        <f t="shared" si="260"/>
        <v>0</v>
      </c>
      <c r="L240" s="233">
        <f t="shared" si="260"/>
        <v>0</v>
      </c>
      <c r="M240" s="232">
        <f t="shared" si="213"/>
        <v>0</v>
      </c>
      <c r="N240" s="233">
        <v>0</v>
      </c>
      <c r="O240" s="233">
        <f t="shared" ref="O240:Q240" si="261">SUM(O241:O243)</f>
        <v>0</v>
      </c>
      <c r="P240" s="233">
        <f t="shared" si="261"/>
        <v>0</v>
      </c>
      <c r="Q240" s="233">
        <f t="shared" si="261"/>
        <v>0</v>
      </c>
      <c r="R240" s="232">
        <f t="shared" si="214"/>
        <v>0</v>
      </c>
    </row>
    <row r="241" spans="1:18" s="29" customFormat="1" ht="24" hidden="1" customHeight="1">
      <c r="A241" s="133" t="s">
        <v>193</v>
      </c>
      <c r="B241" s="172" t="s">
        <v>171</v>
      </c>
      <c r="C241" s="170"/>
      <c r="D241" s="170">
        <v>0</v>
      </c>
      <c r="E241" s="233"/>
      <c r="F241" s="233"/>
      <c r="G241" s="233"/>
      <c r="H241" s="232">
        <f t="shared" si="212"/>
        <v>0</v>
      </c>
      <c r="I241" s="233">
        <v>0</v>
      </c>
      <c r="J241" s="233"/>
      <c r="K241" s="233"/>
      <c r="L241" s="233"/>
      <c r="M241" s="232">
        <f t="shared" si="213"/>
        <v>0</v>
      </c>
      <c r="N241" s="233">
        <v>0</v>
      </c>
      <c r="O241" s="233"/>
      <c r="P241" s="233"/>
      <c r="Q241" s="233"/>
      <c r="R241" s="232">
        <f t="shared" si="214"/>
        <v>0</v>
      </c>
    </row>
    <row r="242" spans="1:18" s="29" customFormat="1" ht="48" hidden="1" customHeight="1">
      <c r="A242" s="133">
        <v>9580</v>
      </c>
      <c r="B242" s="172" t="s">
        <v>166</v>
      </c>
      <c r="C242" s="204"/>
      <c r="D242" s="204">
        <v>0</v>
      </c>
      <c r="E242" s="252"/>
      <c r="F242" s="252"/>
      <c r="G242" s="252"/>
      <c r="H242" s="232">
        <f t="shared" si="212"/>
        <v>0</v>
      </c>
      <c r="I242" s="252">
        <v>0</v>
      </c>
      <c r="J242" s="252"/>
      <c r="K242" s="252"/>
      <c r="L242" s="252"/>
      <c r="M242" s="232">
        <f t="shared" si="213"/>
        <v>0</v>
      </c>
      <c r="N242" s="252">
        <v>0</v>
      </c>
      <c r="O242" s="252"/>
      <c r="P242" s="252"/>
      <c r="Q242" s="252"/>
      <c r="R242" s="232">
        <f t="shared" si="214"/>
        <v>0</v>
      </c>
    </row>
    <row r="243" spans="1:18" s="29" customFormat="1" ht="36" hidden="1" customHeight="1">
      <c r="A243" s="133">
        <v>9590</v>
      </c>
      <c r="B243" s="179" t="s">
        <v>172</v>
      </c>
      <c r="C243" s="204"/>
      <c r="D243" s="204">
        <v>0</v>
      </c>
      <c r="E243" s="252"/>
      <c r="F243" s="252"/>
      <c r="G243" s="252"/>
      <c r="H243" s="232">
        <f t="shared" si="212"/>
        <v>0</v>
      </c>
      <c r="I243" s="252">
        <v>0</v>
      </c>
      <c r="J243" s="252"/>
      <c r="K243" s="252"/>
      <c r="L243" s="252"/>
      <c r="M243" s="232">
        <f t="shared" si="213"/>
        <v>0</v>
      </c>
      <c r="N243" s="252">
        <v>0</v>
      </c>
      <c r="O243" s="252"/>
      <c r="P243" s="252"/>
      <c r="Q243" s="252"/>
      <c r="R243" s="232">
        <f t="shared" si="214"/>
        <v>0</v>
      </c>
    </row>
    <row r="244" spans="1:18" s="29" customFormat="1" ht="24" hidden="1" customHeight="1">
      <c r="A244" s="141">
        <v>9700</v>
      </c>
      <c r="B244" s="183" t="s">
        <v>194</v>
      </c>
      <c r="C244" s="170">
        <v>0</v>
      </c>
      <c r="D244" s="170">
        <v>0</v>
      </c>
      <c r="E244" s="233">
        <f t="shared" ref="E244:G244" si="262">SUM(E245:E246)</f>
        <v>0</v>
      </c>
      <c r="F244" s="233">
        <f t="shared" si="262"/>
        <v>0</v>
      </c>
      <c r="G244" s="233">
        <f t="shared" si="262"/>
        <v>0</v>
      </c>
      <c r="H244" s="232">
        <f t="shared" si="212"/>
        <v>0</v>
      </c>
      <c r="I244" s="233">
        <v>0</v>
      </c>
      <c r="J244" s="233">
        <f t="shared" ref="J244:L244" si="263">SUM(J245:J246)</f>
        <v>0</v>
      </c>
      <c r="K244" s="233">
        <f t="shared" si="263"/>
        <v>0</v>
      </c>
      <c r="L244" s="233">
        <f t="shared" si="263"/>
        <v>0</v>
      </c>
      <c r="M244" s="232">
        <f t="shared" si="213"/>
        <v>0</v>
      </c>
      <c r="N244" s="233">
        <v>0</v>
      </c>
      <c r="O244" s="233">
        <f t="shared" ref="O244:Q244" si="264">SUM(O245:O246)</f>
        <v>0</v>
      </c>
      <c r="P244" s="233">
        <f t="shared" si="264"/>
        <v>0</v>
      </c>
      <c r="Q244" s="233">
        <f t="shared" si="264"/>
        <v>0</v>
      </c>
      <c r="R244" s="232">
        <f t="shared" si="214"/>
        <v>0</v>
      </c>
    </row>
    <row r="245" spans="1:18" s="29" customFormat="1" ht="24" hidden="1" customHeight="1">
      <c r="A245" s="133">
        <v>9710</v>
      </c>
      <c r="B245" s="184" t="s">
        <v>195</v>
      </c>
      <c r="C245" s="204"/>
      <c r="D245" s="204">
        <v>0</v>
      </c>
      <c r="E245" s="252"/>
      <c r="F245" s="252"/>
      <c r="G245" s="252"/>
      <c r="H245" s="232">
        <f t="shared" si="212"/>
        <v>0</v>
      </c>
      <c r="I245" s="252">
        <v>0</v>
      </c>
      <c r="J245" s="252"/>
      <c r="K245" s="252"/>
      <c r="L245" s="252"/>
      <c r="M245" s="232">
        <f t="shared" si="213"/>
        <v>0</v>
      </c>
      <c r="N245" s="252">
        <v>0</v>
      </c>
      <c r="O245" s="252"/>
      <c r="P245" s="252"/>
      <c r="Q245" s="252"/>
      <c r="R245" s="232">
        <f t="shared" si="214"/>
        <v>0</v>
      </c>
    </row>
    <row r="246" spans="1:18" s="29" customFormat="1" ht="36" hidden="1" customHeight="1">
      <c r="A246" s="142">
        <v>9720</v>
      </c>
      <c r="B246" s="183" t="s">
        <v>196</v>
      </c>
      <c r="C246" s="204"/>
      <c r="D246" s="204">
        <v>0</v>
      </c>
      <c r="E246" s="252"/>
      <c r="F246" s="252"/>
      <c r="G246" s="252"/>
      <c r="H246" s="232">
        <f t="shared" si="212"/>
        <v>0</v>
      </c>
      <c r="I246" s="252">
        <v>0</v>
      </c>
      <c r="J246" s="252"/>
      <c r="K246" s="252"/>
      <c r="L246" s="252"/>
      <c r="M246" s="232">
        <f t="shared" si="213"/>
        <v>0</v>
      </c>
      <c r="N246" s="252">
        <v>0</v>
      </c>
      <c r="O246" s="252"/>
      <c r="P246" s="252"/>
      <c r="Q246" s="252"/>
      <c r="R246" s="232">
        <f t="shared" si="214"/>
        <v>0</v>
      </c>
    </row>
    <row r="247" spans="1:18" s="29" customFormat="1" ht="24" hidden="1" customHeight="1">
      <c r="A247" s="141">
        <v>9600</v>
      </c>
      <c r="B247" s="179" t="s">
        <v>134</v>
      </c>
      <c r="C247" s="204"/>
      <c r="D247" s="204">
        <v>0</v>
      </c>
      <c r="E247" s="252"/>
      <c r="F247" s="252"/>
      <c r="G247" s="252"/>
      <c r="H247" s="232">
        <f t="shared" si="212"/>
        <v>0</v>
      </c>
      <c r="I247" s="252">
        <v>0</v>
      </c>
      <c r="J247" s="252"/>
      <c r="K247" s="252"/>
      <c r="L247" s="252"/>
      <c r="M247" s="232">
        <f t="shared" si="213"/>
        <v>0</v>
      </c>
      <c r="N247" s="252">
        <v>0</v>
      </c>
      <c r="O247" s="252"/>
      <c r="P247" s="252"/>
      <c r="Q247" s="252"/>
      <c r="R247" s="232">
        <f t="shared" si="214"/>
        <v>0</v>
      </c>
    </row>
    <row r="248" spans="1:18" s="29" customFormat="1" ht="52.5" hidden="1" customHeight="1">
      <c r="A248" s="130" t="s">
        <v>197</v>
      </c>
      <c r="B248" s="185" t="s">
        <v>47</v>
      </c>
      <c r="C248" s="206"/>
      <c r="D248" s="206">
        <v>0</v>
      </c>
      <c r="E248" s="262">
        <f t="shared" ref="E248:G248" si="265">E178-E203</f>
        <v>0</v>
      </c>
      <c r="F248" s="262">
        <f t="shared" si="265"/>
        <v>0</v>
      </c>
      <c r="G248" s="262">
        <f t="shared" si="265"/>
        <v>0</v>
      </c>
      <c r="H248" s="232">
        <f t="shared" si="212"/>
        <v>0</v>
      </c>
      <c r="I248" s="262">
        <v>0</v>
      </c>
      <c r="J248" s="262">
        <f t="shared" ref="J248:L248" si="266">J178-J203</f>
        <v>0</v>
      </c>
      <c r="K248" s="262">
        <f t="shared" si="266"/>
        <v>0</v>
      </c>
      <c r="L248" s="262">
        <f t="shared" si="266"/>
        <v>0</v>
      </c>
      <c r="M248" s="232">
        <f t="shared" si="213"/>
        <v>0</v>
      </c>
      <c r="N248" s="262">
        <v>0</v>
      </c>
      <c r="O248" s="262">
        <f t="shared" ref="O248:Q248" si="267">O178-O203</f>
        <v>0</v>
      </c>
      <c r="P248" s="262">
        <f t="shared" si="267"/>
        <v>0</v>
      </c>
      <c r="Q248" s="262">
        <f t="shared" si="267"/>
        <v>0</v>
      </c>
      <c r="R248" s="232">
        <f t="shared" si="214"/>
        <v>0</v>
      </c>
    </row>
    <row r="249" spans="1:18" s="29" customFormat="1" ht="12" hidden="1" customHeight="1">
      <c r="A249" s="143" t="s">
        <v>48</v>
      </c>
      <c r="B249" s="185" t="s">
        <v>49</v>
      </c>
      <c r="C249" s="206">
        <v>0</v>
      </c>
      <c r="D249" s="206">
        <v>0</v>
      </c>
      <c r="E249" s="262">
        <f t="shared" ref="E249:G249" si="268">E250+E253+E257+E256</f>
        <v>0</v>
      </c>
      <c r="F249" s="262">
        <f t="shared" si="268"/>
        <v>0</v>
      </c>
      <c r="G249" s="262">
        <f t="shared" si="268"/>
        <v>0</v>
      </c>
      <c r="H249" s="232">
        <f t="shared" si="212"/>
        <v>0</v>
      </c>
      <c r="I249" s="262">
        <v>0</v>
      </c>
      <c r="J249" s="262">
        <f t="shared" ref="J249:L249" si="269">J250+J253+J257+J256</f>
        <v>0</v>
      </c>
      <c r="K249" s="262">
        <f t="shared" si="269"/>
        <v>0</v>
      </c>
      <c r="L249" s="262">
        <f t="shared" si="269"/>
        <v>0</v>
      </c>
      <c r="M249" s="232">
        <f t="shared" si="213"/>
        <v>0</v>
      </c>
      <c r="N249" s="262">
        <v>0</v>
      </c>
      <c r="O249" s="262">
        <f t="shared" ref="O249:Q249" si="270">O250+O253+O257+O256</f>
        <v>0</v>
      </c>
      <c r="P249" s="262">
        <f t="shared" si="270"/>
        <v>0</v>
      </c>
      <c r="Q249" s="262">
        <f t="shared" si="270"/>
        <v>0</v>
      </c>
      <c r="R249" s="232">
        <f t="shared" si="214"/>
        <v>0</v>
      </c>
    </row>
    <row r="250" spans="1:18" s="29" customFormat="1" ht="12" hidden="1" customHeight="1">
      <c r="A250" s="141" t="s">
        <v>50</v>
      </c>
      <c r="B250" s="179" t="s">
        <v>51</v>
      </c>
      <c r="C250" s="98">
        <v>0</v>
      </c>
      <c r="D250" s="98">
        <v>0</v>
      </c>
      <c r="E250" s="231">
        <f t="shared" ref="E250:G250" si="271">E251+E252</f>
        <v>0</v>
      </c>
      <c r="F250" s="231">
        <f t="shared" si="271"/>
        <v>0</v>
      </c>
      <c r="G250" s="231">
        <f t="shared" si="271"/>
        <v>0</v>
      </c>
      <c r="H250" s="232">
        <f t="shared" si="212"/>
        <v>0</v>
      </c>
      <c r="I250" s="231">
        <v>0</v>
      </c>
      <c r="J250" s="231">
        <f t="shared" ref="J250:L250" si="272">J251+J252</f>
        <v>0</v>
      </c>
      <c r="K250" s="231">
        <f t="shared" si="272"/>
        <v>0</v>
      </c>
      <c r="L250" s="231">
        <f t="shared" si="272"/>
        <v>0</v>
      </c>
      <c r="M250" s="232">
        <f t="shared" si="213"/>
        <v>0</v>
      </c>
      <c r="N250" s="231">
        <v>0</v>
      </c>
      <c r="O250" s="231">
        <f t="shared" ref="O250:Q250" si="273">O251+O252</f>
        <v>0</v>
      </c>
      <c r="P250" s="231">
        <f t="shared" si="273"/>
        <v>0</v>
      </c>
      <c r="Q250" s="231">
        <f t="shared" si="273"/>
        <v>0</v>
      </c>
      <c r="R250" s="232">
        <f t="shared" si="214"/>
        <v>0</v>
      </c>
    </row>
    <row r="251" spans="1:18" s="29" customFormat="1" ht="12" hidden="1" customHeight="1">
      <c r="A251" s="141" t="s">
        <v>52</v>
      </c>
      <c r="B251" s="179" t="s">
        <v>53</v>
      </c>
      <c r="C251" s="98"/>
      <c r="D251" s="98">
        <v>0</v>
      </c>
      <c r="E251" s="231"/>
      <c r="F251" s="231"/>
      <c r="G251" s="231"/>
      <c r="H251" s="232">
        <f t="shared" si="212"/>
        <v>0</v>
      </c>
      <c r="I251" s="231">
        <v>0</v>
      </c>
      <c r="J251" s="231"/>
      <c r="K251" s="231"/>
      <c r="L251" s="231"/>
      <c r="M251" s="232">
        <f t="shared" si="213"/>
        <v>0</v>
      </c>
      <c r="N251" s="231">
        <v>0</v>
      </c>
      <c r="O251" s="231"/>
      <c r="P251" s="231"/>
      <c r="Q251" s="231"/>
      <c r="R251" s="232">
        <f t="shared" si="214"/>
        <v>0</v>
      </c>
    </row>
    <row r="252" spans="1:18" s="29" customFormat="1" ht="12" hidden="1" customHeight="1">
      <c r="A252" s="141" t="s">
        <v>54</v>
      </c>
      <c r="B252" s="179" t="s">
        <v>55</v>
      </c>
      <c r="C252" s="98"/>
      <c r="D252" s="98">
        <v>0</v>
      </c>
      <c r="E252" s="231"/>
      <c r="F252" s="231"/>
      <c r="G252" s="231"/>
      <c r="H252" s="232">
        <f t="shared" si="212"/>
        <v>0</v>
      </c>
      <c r="I252" s="231">
        <v>0</v>
      </c>
      <c r="J252" s="231"/>
      <c r="K252" s="231"/>
      <c r="L252" s="231"/>
      <c r="M252" s="232">
        <f t="shared" si="213"/>
        <v>0</v>
      </c>
      <c r="N252" s="231">
        <v>0</v>
      </c>
      <c r="O252" s="231"/>
      <c r="P252" s="231"/>
      <c r="Q252" s="231"/>
      <c r="R252" s="232">
        <f t="shared" si="214"/>
        <v>0</v>
      </c>
    </row>
    <row r="253" spans="1:18" s="29" customFormat="1" ht="12" hidden="1" customHeight="1">
      <c r="A253" s="141" t="s">
        <v>56</v>
      </c>
      <c r="B253" s="179" t="s">
        <v>57</v>
      </c>
      <c r="C253" s="98">
        <v>0</v>
      </c>
      <c r="D253" s="98">
        <v>0</v>
      </c>
      <c r="E253" s="231">
        <f t="shared" ref="E253:G253" si="274">E254+E255</f>
        <v>0</v>
      </c>
      <c r="F253" s="231">
        <f t="shared" si="274"/>
        <v>0</v>
      </c>
      <c r="G253" s="231">
        <f t="shared" si="274"/>
        <v>0</v>
      </c>
      <c r="H253" s="232">
        <f t="shared" si="212"/>
        <v>0</v>
      </c>
      <c r="I253" s="231">
        <v>0</v>
      </c>
      <c r="J253" s="231">
        <f t="shared" ref="J253:L253" si="275">J254+J255</f>
        <v>0</v>
      </c>
      <c r="K253" s="231">
        <f t="shared" si="275"/>
        <v>0</v>
      </c>
      <c r="L253" s="231">
        <f t="shared" si="275"/>
        <v>0</v>
      </c>
      <c r="M253" s="232">
        <f t="shared" si="213"/>
        <v>0</v>
      </c>
      <c r="N253" s="231">
        <v>0</v>
      </c>
      <c r="O253" s="231">
        <f t="shared" ref="O253:Q253" si="276">O254+O255</f>
        <v>0</v>
      </c>
      <c r="P253" s="231">
        <f t="shared" si="276"/>
        <v>0</v>
      </c>
      <c r="Q253" s="231">
        <f t="shared" si="276"/>
        <v>0</v>
      </c>
      <c r="R253" s="232">
        <f t="shared" si="214"/>
        <v>0</v>
      </c>
    </row>
    <row r="254" spans="1:18" s="29" customFormat="1" ht="12" hidden="1" customHeight="1">
      <c r="A254" s="141" t="s">
        <v>58</v>
      </c>
      <c r="B254" s="179" t="s">
        <v>59</v>
      </c>
      <c r="C254" s="98"/>
      <c r="D254" s="98">
        <v>0</v>
      </c>
      <c r="E254" s="231"/>
      <c r="F254" s="231"/>
      <c r="G254" s="231"/>
      <c r="H254" s="232">
        <f t="shared" si="212"/>
        <v>0</v>
      </c>
      <c r="I254" s="231">
        <v>0</v>
      </c>
      <c r="J254" s="231"/>
      <c r="K254" s="231"/>
      <c r="L254" s="231"/>
      <c r="M254" s="232">
        <f t="shared" si="213"/>
        <v>0</v>
      </c>
      <c r="N254" s="231">
        <v>0</v>
      </c>
      <c r="O254" s="231"/>
      <c r="P254" s="231"/>
      <c r="Q254" s="231"/>
      <c r="R254" s="232">
        <f t="shared" si="214"/>
        <v>0</v>
      </c>
    </row>
    <row r="255" spans="1:18" s="29" customFormat="1" ht="12" hidden="1" customHeight="1">
      <c r="A255" s="141" t="s">
        <v>60</v>
      </c>
      <c r="B255" s="179" t="s">
        <v>61</v>
      </c>
      <c r="C255" s="98"/>
      <c r="D255" s="98">
        <v>0</v>
      </c>
      <c r="E255" s="231"/>
      <c r="F255" s="231"/>
      <c r="G255" s="231"/>
      <c r="H255" s="232">
        <f t="shared" si="212"/>
        <v>0</v>
      </c>
      <c r="I255" s="231">
        <v>0</v>
      </c>
      <c r="J255" s="231"/>
      <c r="K255" s="231"/>
      <c r="L255" s="231"/>
      <c r="M255" s="232">
        <f t="shared" si="213"/>
        <v>0</v>
      </c>
      <c r="N255" s="231">
        <v>0</v>
      </c>
      <c r="O255" s="231"/>
      <c r="P255" s="231"/>
      <c r="Q255" s="231"/>
      <c r="R255" s="232">
        <f t="shared" si="214"/>
        <v>0</v>
      </c>
    </row>
    <row r="256" spans="1:18" s="29" customFormat="1" ht="12" hidden="1" customHeight="1">
      <c r="A256" s="141" t="s">
        <v>198</v>
      </c>
      <c r="B256" s="187" t="s">
        <v>168</v>
      </c>
      <c r="C256" s="98"/>
      <c r="D256" s="98">
        <v>0</v>
      </c>
      <c r="E256" s="231"/>
      <c r="F256" s="231"/>
      <c r="G256" s="231"/>
      <c r="H256" s="232">
        <f t="shared" si="212"/>
        <v>0</v>
      </c>
      <c r="I256" s="231">
        <v>0</v>
      </c>
      <c r="J256" s="231"/>
      <c r="K256" s="231"/>
      <c r="L256" s="231"/>
      <c r="M256" s="232">
        <f t="shared" si="213"/>
        <v>0</v>
      </c>
      <c r="N256" s="231">
        <v>0</v>
      </c>
      <c r="O256" s="231"/>
      <c r="P256" s="231"/>
      <c r="Q256" s="231"/>
      <c r="R256" s="232">
        <f t="shared" si="214"/>
        <v>0</v>
      </c>
    </row>
    <row r="257" spans="1:18" s="29" customFormat="1" ht="12" hidden="1" customHeight="1">
      <c r="A257" s="144" t="s">
        <v>62</v>
      </c>
      <c r="B257" s="125" t="s">
        <v>63</v>
      </c>
      <c r="C257" s="170">
        <v>0</v>
      </c>
      <c r="D257" s="170">
        <v>0</v>
      </c>
      <c r="E257" s="233">
        <f t="shared" ref="E257:G257" si="277">E258+E259+E260</f>
        <v>0</v>
      </c>
      <c r="F257" s="233">
        <f t="shared" si="277"/>
        <v>0</v>
      </c>
      <c r="G257" s="233">
        <f t="shared" si="277"/>
        <v>0</v>
      </c>
      <c r="H257" s="232">
        <f t="shared" si="212"/>
        <v>0</v>
      </c>
      <c r="I257" s="233">
        <v>0</v>
      </c>
      <c r="J257" s="233">
        <f t="shared" ref="J257:L257" si="278">J258+J259+J260</f>
        <v>0</v>
      </c>
      <c r="K257" s="233">
        <f t="shared" si="278"/>
        <v>0</v>
      </c>
      <c r="L257" s="233">
        <f t="shared" si="278"/>
        <v>0</v>
      </c>
      <c r="M257" s="232">
        <f t="shared" si="213"/>
        <v>0</v>
      </c>
      <c r="N257" s="233">
        <v>0</v>
      </c>
      <c r="O257" s="233">
        <f t="shared" ref="O257:Q257" si="279">O258+O259+O260</f>
        <v>0</v>
      </c>
      <c r="P257" s="233">
        <f t="shared" si="279"/>
        <v>0</v>
      </c>
      <c r="Q257" s="233">
        <f t="shared" si="279"/>
        <v>0</v>
      </c>
      <c r="R257" s="232">
        <f t="shared" si="214"/>
        <v>0</v>
      </c>
    </row>
    <row r="258" spans="1:18" s="29" customFormat="1" ht="36" hidden="1" customHeight="1">
      <c r="A258" s="144" t="s">
        <v>64</v>
      </c>
      <c r="B258" s="179" t="s">
        <v>65</v>
      </c>
      <c r="C258" s="98"/>
      <c r="D258" s="98">
        <v>0</v>
      </c>
      <c r="E258" s="231"/>
      <c r="F258" s="231"/>
      <c r="G258" s="231"/>
      <c r="H258" s="232">
        <f t="shared" si="212"/>
        <v>0</v>
      </c>
      <c r="I258" s="231">
        <v>0</v>
      </c>
      <c r="J258" s="231"/>
      <c r="K258" s="231"/>
      <c r="L258" s="231"/>
      <c r="M258" s="232">
        <f t="shared" si="213"/>
        <v>0</v>
      </c>
      <c r="N258" s="231">
        <v>0</v>
      </c>
      <c r="O258" s="231"/>
      <c r="P258" s="231"/>
      <c r="Q258" s="231"/>
      <c r="R258" s="232">
        <f t="shared" si="214"/>
        <v>0</v>
      </c>
    </row>
    <row r="259" spans="1:18" s="29" customFormat="1" ht="24" hidden="1" customHeight="1">
      <c r="A259" s="144" t="s">
        <v>66</v>
      </c>
      <c r="B259" s="179" t="s">
        <v>67</v>
      </c>
      <c r="C259" s="98"/>
      <c r="D259" s="98">
        <v>0</v>
      </c>
      <c r="E259" s="231"/>
      <c r="F259" s="231"/>
      <c r="G259" s="231"/>
      <c r="H259" s="232">
        <f t="shared" si="212"/>
        <v>0</v>
      </c>
      <c r="I259" s="231">
        <v>0</v>
      </c>
      <c r="J259" s="231"/>
      <c r="K259" s="231"/>
      <c r="L259" s="231"/>
      <c r="M259" s="232">
        <f t="shared" si="213"/>
        <v>0</v>
      </c>
      <c r="N259" s="231">
        <v>0</v>
      </c>
      <c r="O259" s="231"/>
      <c r="P259" s="231"/>
      <c r="Q259" s="231"/>
      <c r="R259" s="232">
        <f t="shared" si="214"/>
        <v>0</v>
      </c>
    </row>
    <row r="260" spans="1:18" s="29" customFormat="1" ht="24" hidden="1" customHeight="1">
      <c r="A260" s="144" t="s">
        <v>68</v>
      </c>
      <c r="B260" s="125" t="s">
        <v>69</v>
      </c>
      <c r="C260" s="98"/>
      <c r="D260" s="98">
        <v>0</v>
      </c>
      <c r="E260" s="231"/>
      <c r="F260" s="231"/>
      <c r="G260" s="231"/>
      <c r="H260" s="232">
        <f t="shared" si="212"/>
        <v>0</v>
      </c>
      <c r="I260" s="231">
        <v>0</v>
      </c>
      <c r="J260" s="231"/>
      <c r="K260" s="231"/>
      <c r="L260" s="231"/>
      <c r="M260" s="232">
        <f t="shared" si="213"/>
        <v>0</v>
      </c>
      <c r="N260" s="231">
        <v>0</v>
      </c>
      <c r="O260" s="231"/>
      <c r="P260" s="231"/>
      <c r="Q260" s="231"/>
      <c r="R260" s="232">
        <f t="shared" si="214"/>
        <v>0</v>
      </c>
    </row>
    <row r="261" spans="1:18" s="29" customFormat="1" ht="12">
      <c r="A261" s="271"/>
      <c r="B261" s="272"/>
      <c r="C261" s="253"/>
      <c r="D261" s="254"/>
      <c r="E261" s="253"/>
      <c r="F261" s="253"/>
      <c r="G261" s="253"/>
      <c r="H261" s="232"/>
      <c r="I261" s="254"/>
      <c r="J261" s="253"/>
      <c r="K261" s="253"/>
      <c r="L261" s="253"/>
      <c r="M261" s="232"/>
      <c r="N261" s="254"/>
      <c r="O261" s="253"/>
      <c r="P261" s="253"/>
      <c r="Q261" s="253"/>
      <c r="R261" s="232"/>
    </row>
    <row r="262" spans="1:18" ht="12">
      <c r="A262" s="33"/>
      <c r="B262" s="164"/>
      <c r="C262" s="165"/>
      <c r="D262" s="163"/>
      <c r="E262" s="165"/>
      <c r="F262" s="163"/>
      <c r="G262" s="163"/>
      <c r="H262" s="163"/>
      <c r="I262" s="163"/>
      <c r="J262" s="165"/>
      <c r="K262" s="163"/>
      <c r="L262" s="163"/>
      <c r="M262" s="163"/>
      <c r="N262" s="163"/>
      <c r="O262" s="165"/>
      <c r="P262" s="163"/>
      <c r="Q262" s="163"/>
      <c r="R262" s="163"/>
    </row>
    <row r="263" spans="1:18" ht="12">
      <c r="A263" s="33"/>
      <c r="C263" s="163"/>
      <c r="D263" s="163"/>
      <c r="E263" s="165"/>
      <c r="F263" s="163"/>
      <c r="G263" s="163"/>
      <c r="H263" s="163"/>
      <c r="I263" s="163"/>
      <c r="J263" s="165"/>
      <c r="K263" s="163"/>
      <c r="L263" s="163"/>
      <c r="M263" s="163"/>
      <c r="N263" s="163"/>
      <c r="O263" s="165"/>
      <c r="P263" s="163"/>
      <c r="Q263" s="163"/>
      <c r="R263" s="163"/>
    </row>
    <row r="264" spans="1:18" ht="13.2">
      <c r="A264" s="369" t="s">
        <v>236</v>
      </c>
      <c r="B264" s="370" t="s">
        <v>237</v>
      </c>
      <c r="C264" s="165"/>
      <c r="D264" s="163"/>
      <c r="E264" s="165"/>
      <c r="F264" s="163"/>
      <c r="G264" s="163"/>
      <c r="H264" s="163"/>
      <c r="I264" s="163"/>
      <c r="J264" s="165"/>
      <c r="K264" s="163"/>
      <c r="L264" s="163"/>
      <c r="M264" s="163"/>
      <c r="N264" s="163"/>
      <c r="O264" s="165"/>
      <c r="P264" s="163"/>
      <c r="Q264" s="163"/>
      <c r="R264" s="163"/>
    </row>
    <row r="265" spans="1:18" ht="13.2">
      <c r="A265" s="371"/>
      <c r="B265" s="372" t="s">
        <v>238</v>
      </c>
      <c r="C265" s="165"/>
      <c r="D265" s="163"/>
      <c r="E265" s="165"/>
      <c r="F265" s="163"/>
      <c r="G265" s="163"/>
      <c r="H265" s="163"/>
      <c r="I265" s="163"/>
      <c r="J265" s="165"/>
      <c r="K265" s="163"/>
      <c r="L265" s="163"/>
      <c r="M265" s="163"/>
      <c r="N265" s="163"/>
      <c r="O265" s="165"/>
      <c r="P265" s="163"/>
      <c r="Q265" s="163"/>
      <c r="R265" s="163"/>
    </row>
    <row r="266" spans="1:18" ht="13.2">
      <c r="A266" s="373" t="s">
        <v>223</v>
      </c>
      <c r="B266" s="374" t="s">
        <v>434</v>
      </c>
      <c r="C266" s="165"/>
      <c r="D266" s="163"/>
      <c r="E266" s="165"/>
      <c r="F266" s="163"/>
      <c r="G266" s="163"/>
      <c r="H266" s="163"/>
      <c r="I266" s="163"/>
      <c r="J266" s="165"/>
      <c r="K266" s="163"/>
      <c r="L266" s="163"/>
      <c r="M266" s="163"/>
      <c r="N266" s="163"/>
      <c r="O266" s="165"/>
      <c r="P266" s="163"/>
      <c r="Q266" s="163"/>
      <c r="R266" s="163"/>
    </row>
    <row r="267" spans="1:18" ht="13.2">
      <c r="A267" s="375" t="s">
        <v>240</v>
      </c>
      <c r="B267" s="376" t="s">
        <v>241</v>
      </c>
      <c r="C267" s="32"/>
      <c r="D267" s="30"/>
      <c r="E267" s="165"/>
      <c r="F267" s="163"/>
      <c r="G267" s="163"/>
      <c r="H267" s="163"/>
      <c r="I267" s="163"/>
      <c r="J267" s="165"/>
      <c r="K267" s="163"/>
      <c r="L267" s="163"/>
      <c r="M267" s="163"/>
      <c r="N267" s="163"/>
      <c r="O267" s="165"/>
      <c r="P267" s="163"/>
      <c r="Q267" s="163"/>
      <c r="R267" s="163"/>
    </row>
    <row r="268" spans="1:18" ht="13.2">
      <c r="A268" s="377"/>
      <c r="B268" s="376"/>
      <c r="C268" s="32"/>
      <c r="D268" s="30"/>
      <c r="E268" s="165"/>
      <c r="F268" s="163"/>
      <c r="G268" s="163"/>
      <c r="H268" s="163"/>
      <c r="I268" s="163"/>
      <c r="J268" s="165"/>
      <c r="K268" s="163"/>
      <c r="L268" s="163"/>
      <c r="M268" s="163"/>
      <c r="N268" s="163"/>
      <c r="O268" s="165"/>
      <c r="P268" s="163"/>
      <c r="Q268" s="163"/>
      <c r="R268" s="163"/>
    </row>
    <row r="269" spans="1:18" ht="13.2">
      <c r="A269" s="378" t="s">
        <v>224</v>
      </c>
      <c r="B269" s="374" t="s">
        <v>242</v>
      </c>
      <c r="C269" s="32"/>
      <c r="D269" s="30"/>
      <c r="E269" s="165"/>
      <c r="F269" s="163"/>
      <c r="G269" s="163"/>
      <c r="H269" s="163"/>
      <c r="I269" s="163"/>
      <c r="J269" s="165"/>
      <c r="K269" s="163"/>
      <c r="L269" s="163"/>
      <c r="M269" s="163"/>
      <c r="N269" s="163"/>
      <c r="O269" s="165"/>
      <c r="P269" s="163"/>
      <c r="Q269" s="163"/>
      <c r="R269" s="163"/>
    </row>
    <row r="270" spans="1:18" ht="13.2">
      <c r="A270" s="375" t="s">
        <v>243</v>
      </c>
      <c r="B270" s="376" t="s">
        <v>244</v>
      </c>
      <c r="C270" s="32"/>
      <c r="D270" s="30"/>
      <c r="E270" s="165"/>
      <c r="F270" s="163"/>
      <c r="G270" s="163"/>
      <c r="H270" s="163"/>
      <c r="I270" s="163"/>
      <c r="J270" s="165"/>
      <c r="K270" s="163"/>
      <c r="L270" s="163"/>
      <c r="M270" s="163"/>
      <c r="N270" s="163"/>
      <c r="O270" s="165"/>
      <c r="P270" s="163"/>
      <c r="Q270" s="163"/>
      <c r="R270" s="163"/>
    </row>
    <row r="271" spans="1:18" ht="13.2">
      <c r="A271" s="377"/>
      <c r="B271" s="376"/>
      <c r="C271" s="32"/>
      <c r="D271" s="30"/>
      <c r="E271" s="165"/>
      <c r="F271" s="163"/>
      <c r="G271" s="163"/>
      <c r="H271" s="163"/>
      <c r="I271" s="163"/>
      <c r="J271" s="165"/>
      <c r="K271" s="163"/>
      <c r="L271" s="163"/>
      <c r="M271" s="163"/>
      <c r="N271" s="163"/>
      <c r="O271" s="165"/>
      <c r="P271" s="163"/>
      <c r="Q271" s="163"/>
      <c r="R271" s="163"/>
    </row>
    <row r="272" spans="1:18" ht="13.2">
      <c r="A272" s="369" t="s">
        <v>245</v>
      </c>
      <c r="B272" s="370" t="s">
        <v>140</v>
      </c>
      <c r="C272" s="32"/>
      <c r="D272" s="30"/>
      <c r="E272" s="165"/>
      <c r="F272" s="163"/>
      <c r="G272" s="163"/>
      <c r="H272" s="163"/>
      <c r="I272" s="163"/>
      <c r="J272" s="165"/>
      <c r="K272" s="163"/>
      <c r="L272" s="163"/>
      <c r="M272" s="163"/>
      <c r="N272" s="163"/>
      <c r="O272" s="165"/>
      <c r="P272" s="163"/>
      <c r="Q272" s="163"/>
      <c r="R272" s="163"/>
    </row>
    <row r="273" spans="1:18" ht="13.2">
      <c r="A273" s="371"/>
      <c r="B273" s="372" t="s">
        <v>238</v>
      </c>
      <c r="C273" s="32"/>
      <c r="D273" s="30"/>
      <c r="E273" s="165"/>
      <c r="F273" s="163"/>
      <c r="G273" s="163"/>
      <c r="H273" s="163"/>
      <c r="I273" s="163"/>
      <c r="J273" s="165"/>
      <c r="K273" s="163"/>
      <c r="L273" s="163"/>
      <c r="M273" s="163"/>
      <c r="N273" s="163"/>
      <c r="O273" s="165"/>
      <c r="P273" s="163"/>
      <c r="Q273" s="163"/>
      <c r="R273" s="163"/>
    </row>
    <row r="274" spans="1:18" ht="13.2">
      <c r="A274" s="373" t="s">
        <v>223</v>
      </c>
      <c r="B274" s="374" t="s">
        <v>434</v>
      </c>
      <c r="C274" s="32"/>
      <c r="D274" s="30"/>
      <c r="E274" s="165"/>
      <c r="F274" s="163"/>
      <c r="G274" s="163"/>
      <c r="H274" s="163"/>
      <c r="I274" s="163"/>
      <c r="J274" s="165"/>
      <c r="K274" s="163"/>
      <c r="L274" s="163"/>
      <c r="M274" s="163"/>
      <c r="N274" s="163"/>
      <c r="O274" s="165"/>
      <c r="P274" s="163"/>
      <c r="Q274" s="163"/>
      <c r="R274" s="163"/>
    </row>
    <row r="275" spans="1:18" ht="13.2">
      <c r="A275" s="375" t="s">
        <v>240</v>
      </c>
      <c r="B275" s="376" t="s">
        <v>241</v>
      </c>
      <c r="C275" s="32"/>
      <c r="D275" s="30"/>
      <c r="E275" s="165"/>
      <c r="F275" s="163"/>
      <c r="G275" s="163"/>
      <c r="H275" s="163"/>
      <c r="I275" s="163"/>
      <c r="J275" s="165"/>
      <c r="K275" s="163"/>
      <c r="L275" s="163"/>
      <c r="M275" s="163"/>
      <c r="N275" s="163"/>
      <c r="O275" s="165"/>
      <c r="P275" s="163"/>
      <c r="Q275" s="163"/>
      <c r="R275" s="163"/>
    </row>
    <row r="276" spans="1:18" ht="13.2">
      <c r="A276" s="377"/>
      <c r="B276" s="376"/>
      <c r="C276" s="32"/>
      <c r="D276" s="30"/>
      <c r="E276" s="165"/>
      <c r="F276" s="163"/>
      <c r="G276" s="163"/>
      <c r="H276" s="163"/>
      <c r="I276" s="163"/>
      <c r="J276" s="165"/>
      <c r="K276" s="163"/>
      <c r="L276" s="163"/>
      <c r="M276" s="163"/>
      <c r="N276" s="163"/>
      <c r="O276" s="165"/>
      <c r="P276" s="163"/>
      <c r="Q276" s="163"/>
      <c r="R276" s="163"/>
    </row>
    <row r="277" spans="1:18" ht="13.2">
      <c r="A277" s="378" t="s">
        <v>224</v>
      </c>
      <c r="B277" s="374" t="s">
        <v>242</v>
      </c>
      <c r="C277" s="32"/>
      <c r="D277" s="30"/>
      <c r="E277" s="165"/>
      <c r="F277" s="163"/>
      <c r="G277" s="163"/>
      <c r="H277" s="163"/>
      <c r="I277" s="163"/>
      <c r="J277" s="165"/>
      <c r="K277" s="163"/>
      <c r="L277" s="163"/>
      <c r="M277" s="163"/>
      <c r="N277" s="163"/>
      <c r="O277" s="165"/>
      <c r="P277" s="163"/>
      <c r="Q277" s="163"/>
      <c r="R277" s="163"/>
    </row>
    <row r="278" spans="1:18" ht="13.2">
      <c r="A278" s="375" t="s">
        <v>243</v>
      </c>
      <c r="B278" s="376" t="s">
        <v>244</v>
      </c>
      <c r="C278" s="32"/>
      <c r="D278" s="30"/>
      <c r="E278" s="165"/>
      <c r="F278" s="163"/>
      <c r="G278" s="163"/>
      <c r="H278" s="163"/>
      <c r="I278" s="163"/>
      <c r="J278" s="165"/>
      <c r="K278" s="163"/>
      <c r="L278" s="163"/>
      <c r="M278" s="163"/>
      <c r="N278" s="163"/>
      <c r="O278" s="165"/>
      <c r="P278" s="163"/>
      <c r="Q278" s="163"/>
      <c r="R278" s="163"/>
    </row>
    <row r="279" spans="1:18" ht="12">
      <c r="A279" s="30"/>
      <c r="B279" s="31"/>
      <c r="C279" s="32"/>
      <c r="D279" s="30"/>
      <c r="E279" s="165"/>
      <c r="F279" s="163"/>
      <c r="G279" s="163"/>
      <c r="H279" s="163"/>
      <c r="I279" s="163"/>
      <c r="J279" s="165"/>
      <c r="K279" s="163"/>
      <c r="L279" s="163"/>
      <c r="M279" s="163"/>
      <c r="N279" s="163"/>
      <c r="O279" s="165"/>
      <c r="P279" s="163"/>
      <c r="Q279" s="163"/>
      <c r="R279" s="163"/>
    </row>
    <row r="280" spans="1:18" ht="12">
      <c r="A280" s="30"/>
      <c r="B280" s="31"/>
      <c r="C280" s="32"/>
      <c r="D280" s="30"/>
      <c r="E280" s="165"/>
      <c r="F280" s="163"/>
      <c r="G280" s="163"/>
      <c r="H280" s="163"/>
      <c r="I280" s="163"/>
      <c r="J280" s="165"/>
      <c r="K280" s="163"/>
      <c r="L280" s="163"/>
      <c r="M280" s="163"/>
      <c r="N280" s="163"/>
      <c r="O280" s="165"/>
      <c r="P280" s="163"/>
      <c r="Q280" s="163"/>
      <c r="R280" s="163"/>
    </row>
    <row r="281" spans="1:18" ht="12">
      <c r="A281" s="30"/>
      <c r="B281" s="31"/>
      <c r="C281" s="32"/>
      <c r="D281" s="30"/>
      <c r="E281" s="165"/>
      <c r="F281" s="163"/>
      <c r="G281" s="163"/>
      <c r="H281" s="163"/>
      <c r="I281" s="163"/>
      <c r="J281" s="165"/>
      <c r="K281" s="163"/>
      <c r="L281" s="163"/>
      <c r="M281" s="163"/>
      <c r="N281" s="163"/>
      <c r="O281" s="165"/>
      <c r="P281" s="163"/>
      <c r="Q281" s="163"/>
      <c r="R281" s="163"/>
    </row>
    <row r="282" spans="1:18" s="11" customFormat="1" ht="12">
      <c r="A282" s="30"/>
      <c r="B282" s="31"/>
      <c r="C282" s="32"/>
      <c r="D282" s="30"/>
      <c r="E282" s="165"/>
      <c r="F282" s="163"/>
      <c r="G282" s="163"/>
      <c r="H282" s="163"/>
      <c r="I282" s="163"/>
      <c r="J282" s="165"/>
      <c r="K282" s="163"/>
      <c r="L282" s="163"/>
      <c r="M282" s="163"/>
      <c r="N282" s="163"/>
      <c r="O282" s="165"/>
      <c r="P282" s="163"/>
      <c r="Q282" s="163"/>
      <c r="R282" s="163"/>
    </row>
    <row r="283" spans="1:18" s="11" customFormat="1" ht="12">
      <c r="A283" s="30"/>
      <c r="B283" s="31"/>
      <c r="C283" s="32"/>
      <c r="D283" s="30"/>
      <c r="E283" s="165"/>
      <c r="F283" s="163"/>
      <c r="G283" s="163"/>
      <c r="H283" s="163"/>
      <c r="I283" s="163"/>
      <c r="J283" s="165"/>
      <c r="K283" s="163"/>
      <c r="L283" s="163"/>
      <c r="M283" s="163"/>
      <c r="N283" s="163"/>
      <c r="O283" s="165"/>
      <c r="P283" s="163"/>
      <c r="Q283" s="163"/>
      <c r="R283" s="163"/>
    </row>
    <row r="284" spans="1:18" s="11" customFormat="1" ht="12">
      <c r="A284" s="30"/>
      <c r="B284" s="31"/>
      <c r="C284" s="32"/>
      <c r="D284" s="30"/>
      <c r="E284" s="165"/>
      <c r="F284" s="163"/>
      <c r="G284" s="163"/>
      <c r="H284" s="163"/>
      <c r="I284" s="163"/>
      <c r="J284" s="165"/>
      <c r="K284" s="163"/>
      <c r="L284" s="163"/>
      <c r="M284" s="163"/>
      <c r="N284" s="163"/>
      <c r="O284" s="165"/>
      <c r="P284" s="163"/>
      <c r="Q284" s="163"/>
      <c r="R284" s="163"/>
    </row>
    <row r="285" spans="1:18" s="11" customFormat="1" ht="12">
      <c r="A285" s="30"/>
      <c r="B285" s="31"/>
      <c r="C285" s="32"/>
      <c r="D285" s="30"/>
      <c r="E285" s="165"/>
      <c r="F285" s="163"/>
      <c r="G285" s="163"/>
      <c r="H285" s="163"/>
      <c r="I285" s="163"/>
      <c r="J285" s="165"/>
      <c r="K285" s="163"/>
      <c r="L285" s="163"/>
      <c r="M285" s="163"/>
      <c r="N285" s="163"/>
      <c r="O285" s="165"/>
      <c r="P285" s="163"/>
      <c r="Q285" s="163"/>
      <c r="R285" s="163"/>
    </row>
    <row r="286" spans="1:18" s="11" customFormat="1" ht="12">
      <c r="A286" s="30"/>
      <c r="B286" s="31"/>
      <c r="C286" s="32"/>
      <c r="D286" s="30"/>
      <c r="E286" s="165"/>
      <c r="F286" s="163"/>
      <c r="G286" s="163"/>
      <c r="H286" s="163"/>
      <c r="I286" s="163"/>
      <c r="J286" s="165"/>
      <c r="K286" s="163"/>
      <c r="L286" s="163"/>
      <c r="M286" s="163"/>
      <c r="N286" s="163"/>
      <c r="O286" s="165"/>
      <c r="P286" s="163"/>
      <c r="Q286" s="163"/>
      <c r="R286" s="163"/>
    </row>
    <row r="287" spans="1:18" s="11" customFormat="1" ht="12">
      <c r="A287" s="30"/>
      <c r="B287" s="31"/>
      <c r="C287" s="32"/>
      <c r="D287" s="30"/>
      <c r="E287" s="165"/>
      <c r="F287" s="163"/>
      <c r="G287" s="163"/>
      <c r="H287" s="163"/>
      <c r="I287" s="163"/>
      <c r="J287" s="165"/>
      <c r="K287" s="163"/>
      <c r="L287" s="163"/>
      <c r="M287" s="163"/>
      <c r="N287" s="163"/>
      <c r="O287" s="165"/>
      <c r="P287" s="163"/>
      <c r="Q287" s="163"/>
      <c r="R287" s="163"/>
    </row>
    <row r="288" spans="1:18" s="11" customFormat="1" ht="12">
      <c r="A288" s="30"/>
      <c r="B288" s="31"/>
      <c r="C288" s="32"/>
      <c r="D288" s="30"/>
      <c r="E288" s="165"/>
      <c r="F288" s="163"/>
      <c r="G288" s="163"/>
      <c r="H288" s="163"/>
      <c r="I288" s="163"/>
      <c r="J288" s="165"/>
      <c r="K288" s="163"/>
      <c r="L288" s="163"/>
      <c r="M288" s="163"/>
      <c r="N288" s="163"/>
      <c r="O288" s="165"/>
      <c r="P288" s="163"/>
      <c r="Q288" s="163"/>
      <c r="R288" s="163"/>
    </row>
    <row r="289" spans="1:18" s="11" customFormat="1" ht="12">
      <c r="A289" s="30"/>
      <c r="B289" s="31"/>
      <c r="C289" s="32"/>
      <c r="D289" s="30"/>
      <c r="E289" s="165"/>
      <c r="F289" s="163"/>
      <c r="G289" s="163"/>
      <c r="H289" s="163"/>
      <c r="I289" s="163"/>
      <c r="J289" s="165"/>
      <c r="K289" s="163"/>
      <c r="L289" s="163"/>
      <c r="M289" s="163"/>
      <c r="N289" s="163"/>
      <c r="O289" s="165"/>
      <c r="P289" s="163"/>
      <c r="Q289" s="163"/>
      <c r="R289" s="163"/>
    </row>
    <row r="290" spans="1:18" s="11" customFormat="1" ht="12">
      <c r="A290" s="30"/>
      <c r="B290" s="31"/>
      <c r="C290" s="32"/>
      <c r="D290" s="30"/>
      <c r="E290" s="165"/>
      <c r="F290" s="163"/>
      <c r="G290" s="163"/>
      <c r="H290" s="163"/>
      <c r="I290" s="163"/>
      <c r="J290" s="165"/>
      <c r="K290" s="163"/>
      <c r="L290" s="163"/>
      <c r="M290" s="163"/>
      <c r="N290" s="163"/>
      <c r="O290" s="165"/>
      <c r="P290" s="163"/>
      <c r="Q290" s="163"/>
      <c r="R290" s="163"/>
    </row>
    <row r="291" spans="1:18" s="11" customFormat="1" ht="12">
      <c r="A291" s="30"/>
      <c r="B291" s="31"/>
      <c r="C291" s="32"/>
      <c r="D291" s="30"/>
      <c r="E291" s="165"/>
      <c r="F291" s="163"/>
      <c r="G291" s="163"/>
      <c r="H291" s="163"/>
      <c r="I291" s="163"/>
      <c r="J291" s="165"/>
      <c r="K291" s="163"/>
      <c r="L291" s="163"/>
      <c r="M291" s="163"/>
      <c r="N291" s="163"/>
      <c r="O291" s="165"/>
      <c r="P291" s="163"/>
      <c r="Q291" s="163"/>
      <c r="R291" s="163"/>
    </row>
    <row r="292" spans="1:18" s="11" customFormat="1" ht="12">
      <c r="A292" s="30"/>
      <c r="B292" s="31"/>
      <c r="C292" s="32"/>
      <c r="D292" s="30"/>
      <c r="E292" s="165"/>
      <c r="F292" s="163"/>
      <c r="G292" s="163"/>
      <c r="H292" s="163"/>
      <c r="I292" s="163"/>
      <c r="J292" s="165"/>
      <c r="K292" s="163"/>
      <c r="L292" s="163"/>
      <c r="M292" s="163"/>
      <c r="N292" s="163"/>
      <c r="O292" s="165"/>
      <c r="P292" s="163"/>
      <c r="Q292" s="163"/>
      <c r="R292" s="163"/>
    </row>
    <row r="293" spans="1:18" s="11" customFormat="1" ht="12">
      <c r="A293" s="30"/>
      <c r="B293" s="31"/>
      <c r="C293" s="32"/>
      <c r="D293" s="30"/>
      <c r="E293" s="165"/>
      <c r="F293" s="163"/>
      <c r="G293" s="163"/>
      <c r="H293" s="163"/>
      <c r="I293" s="163"/>
      <c r="J293" s="165"/>
      <c r="K293" s="163"/>
      <c r="L293" s="163"/>
      <c r="M293" s="163"/>
      <c r="N293" s="163"/>
      <c r="O293" s="165"/>
      <c r="P293" s="163"/>
      <c r="Q293" s="163"/>
      <c r="R293" s="163"/>
    </row>
    <row r="294" spans="1:18" s="11" customFormat="1" ht="12">
      <c r="A294" s="30"/>
      <c r="B294" s="31"/>
      <c r="C294" s="32"/>
      <c r="D294" s="30"/>
      <c r="E294" s="165"/>
      <c r="F294" s="163"/>
      <c r="G294" s="163"/>
      <c r="H294" s="163"/>
      <c r="I294" s="163"/>
      <c r="J294" s="165"/>
      <c r="K294" s="163"/>
      <c r="L294" s="163"/>
      <c r="M294" s="163"/>
      <c r="N294" s="163"/>
      <c r="O294" s="165"/>
      <c r="P294" s="163"/>
      <c r="Q294" s="163"/>
      <c r="R294" s="163"/>
    </row>
    <row r="295" spans="1:18" s="11" customFormat="1" ht="12">
      <c r="A295" s="30"/>
      <c r="B295" s="31"/>
      <c r="C295" s="32"/>
      <c r="D295" s="30"/>
      <c r="E295" s="165"/>
      <c r="F295" s="163"/>
      <c r="G295" s="163"/>
      <c r="H295" s="163"/>
      <c r="I295" s="163"/>
      <c r="J295" s="165"/>
      <c r="K295" s="163"/>
      <c r="L295" s="163"/>
      <c r="M295" s="163"/>
      <c r="N295" s="163"/>
      <c r="O295" s="165"/>
      <c r="P295" s="163"/>
      <c r="Q295" s="163"/>
      <c r="R295" s="163"/>
    </row>
    <row r="296" spans="1:18" s="11" customFormat="1" ht="12">
      <c r="A296" s="30"/>
      <c r="B296" s="31"/>
      <c r="C296" s="32"/>
      <c r="D296" s="30"/>
      <c r="E296" s="165"/>
      <c r="F296" s="163"/>
      <c r="G296" s="163"/>
      <c r="H296" s="163"/>
      <c r="I296" s="163"/>
      <c r="J296" s="165"/>
      <c r="K296" s="163"/>
      <c r="L296" s="163"/>
      <c r="M296" s="163"/>
      <c r="N296" s="163"/>
      <c r="O296" s="165"/>
      <c r="P296" s="163"/>
      <c r="Q296" s="163"/>
      <c r="R296" s="163"/>
    </row>
    <row r="297" spans="1:18" s="11" customFormat="1" ht="12">
      <c r="A297" s="30"/>
      <c r="B297" s="31"/>
      <c r="C297" s="32"/>
      <c r="D297" s="30"/>
      <c r="E297" s="165"/>
      <c r="F297" s="163"/>
      <c r="G297" s="163"/>
      <c r="H297" s="163"/>
      <c r="I297" s="163"/>
      <c r="J297" s="165"/>
      <c r="K297" s="163"/>
      <c r="L297" s="163"/>
      <c r="M297" s="163"/>
      <c r="N297" s="163"/>
      <c r="O297" s="165"/>
      <c r="P297" s="163"/>
      <c r="Q297" s="163"/>
      <c r="R297" s="163"/>
    </row>
    <row r="298" spans="1:18" s="11" customFormat="1" ht="12">
      <c r="A298" s="30"/>
      <c r="B298" s="31"/>
      <c r="C298" s="32"/>
      <c r="D298" s="30"/>
      <c r="E298" s="165"/>
      <c r="F298" s="163"/>
      <c r="G298" s="163"/>
      <c r="H298" s="163"/>
      <c r="I298" s="163"/>
      <c r="J298" s="165"/>
      <c r="K298" s="163"/>
      <c r="L298" s="163"/>
      <c r="M298" s="163"/>
      <c r="N298" s="163"/>
      <c r="O298" s="165"/>
      <c r="P298" s="163"/>
      <c r="Q298" s="163"/>
      <c r="R298" s="163"/>
    </row>
    <row r="299" spans="1:18" s="11" customFormat="1" ht="12">
      <c r="A299" s="30"/>
      <c r="B299" s="31"/>
      <c r="C299" s="32"/>
      <c r="D299" s="30"/>
      <c r="E299" s="165"/>
      <c r="F299" s="163"/>
      <c r="G299" s="163"/>
      <c r="H299" s="163"/>
      <c r="I299" s="163"/>
      <c r="J299" s="165"/>
      <c r="K299" s="163"/>
      <c r="L299" s="163"/>
      <c r="M299" s="163"/>
      <c r="N299" s="163"/>
      <c r="O299" s="165"/>
      <c r="P299" s="163"/>
      <c r="Q299" s="163"/>
      <c r="R299" s="163"/>
    </row>
    <row r="300" spans="1:18" s="11" customFormat="1" ht="12">
      <c r="A300" s="30"/>
      <c r="B300" s="31"/>
      <c r="C300" s="32"/>
      <c r="D300" s="30"/>
      <c r="E300" s="165"/>
      <c r="F300" s="163"/>
      <c r="G300" s="163"/>
      <c r="H300" s="163"/>
      <c r="I300" s="163"/>
      <c r="J300" s="165"/>
      <c r="K300" s="163"/>
      <c r="L300" s="163"/>
      <c r="M300" s="163"/>
      <c r="N300" s="163"/>
      <c r="O300" s="165"/>
      <c r="P300" s="163"/>
      <c r="Q300" s="163"/>
      <c r="R300" s="163"/>
    </row>
    <row r="301" spans="1:18" s="11" customFormat="1" ht="12">
      <c r="A301" s="30"/>
      <c r="B301" s="31"/>
      <c r="C301" s="32"/>
      <c r="D301" s="30"/>
      <c r="E301" s="165"/>
      <c r="F301" s="163"/>
      <c r="G301" s="163"/>
      <c r="H301" s="163"/>
      <c r="I301" s="163"/>
      <c r="J301" s="165"/>
      <c r="K301" s="163"/>
      <c r="L301" s="163"/>
      <c r="M301" s="163"/>
      <c r="N301" s="163"/>
      <c r="O301" s="165"/>
      <c r="P301" s="163"/>
      <c r="Q301" s="163"/>
      <c r="R301" s="163"/>
    </row>
    <row r="302" spans="1:18" s="11" customFormat="1" ht="12">
      <c r="A302" s="30"/>
      <c r="B302" s="31"/>
      <c r="C302" s="32"/>
      <c r="D302" s="30"/>
      <c r="E302" s="165"/>
      <c r="F302" s="163"/>
      <c r="G302" s="163"/>
      <c r="H302" s="163"/>
      <c r="I302" s="163"/>
      <c r="J302" s="165"/>
      <c r="K302" s="163"/>
      <c r="L302" s="163"/>
      <c r="M302" s="163"/>
      <c r="N302" s="163"/>
      <c r="O302" s="165"/>
      <c r="P302" s="163"/>
      <c r="Q302" s="163"/>
      <c r="R302" s="163"/>
    </row>
    <row r="303" spans="1:18" s="11" customFormat="1" ht="12">
      <c r="A303" s="30"/>
      <c r="B303" s="31"/>
      <c r="C303" s="32"/>
      <c r="D303" s="30"/>
      <c r="E303" s="165"/>
      <c r="F303" s="163"/>
      <c r="G303" s="163"/>
      <c r="H303" s="163"/>
      <c r="I303" s="163"/>
      <c r="J303" s="165"/>
      <c r="K303" s="163"/>
      <c r="L303" s="163"/>
      <c r="M303" s="163"/>
      <c r="N303" s="163"/>
      <c r="O303" s="165"/>
      <c r="P303" s="163"/>
      <c r="Q303" s="163"/>
      <c r="R303" s="163"/>
    </row>
    <row r="304" spans="1:18" s="11" customFormat="1" ht="12">
      <c r="A304" s="30"/>
      <c r="B304" s="31"/>
      <c r="C304" s="32"/>
      <c r="D304" s="30"/>
      <c r="E304" s="165"/>
      <c r="F304" s="163"/>
      <c r="G304" s="163"/>
      <c r="H304" s="163"/>
      <c r="I304" s="163"/>
      <c r="J304" s="165"/>
      <c r="K304" s="163"/>
      <c r="L304" s="163"/>
      <c r="M304" s="163"/>
      <c r="N304" s="163"/>
      <c r="O304" s="165"/>
      <c r="P304" s="163"/>
      <c r="Q304" s="163"/>
      <c r="R304" s="163"/>
    </row>
    <row r="305" spans="1:18" s="11" customFormat="1" ht="12">
      <c r="A305" s="30"/>
      <c r="B305" s="31"/>
      <c r="C305" s="32"/>
      <c r="D305" s="30"/>
      <c r="E305" s="165"/>
      <c r="F305" s="163"/>
      <c r="G305" s="163"/>
      <c r="H305" s="163"/>
      <c r="I305" s="163"/>
      <c r="J305" s="165"/>
      <c r="K305" s="163"/>
      <c r="L305" s="163"/>
      <c r="M305" s="163"/>
      <c r="N305" s="163"/>
      <c r="O305" s="165"/>
      <c r="P305" s="163"/>
      <c r="Q305" s="163"/>
      <c r="R305" s="163"/>
    </row>
    <row r="306" spans="1:18" s="11" customFormat="1" ht="12">
      <c r="A306" s="30"/>
      <c r="B306" s="31"/>
      <c r="C306" s="32"/>
      <c r="D306" s="30"/>
      <c r="E306" s="165"/>
      <c r="F306" s="163"/>
      <c r="G306" s="163"/>
      <c r="H306" s="163"/>
      <c r="I306" s="163"/>
      <c r="J306" s="165"/>
      <c r="K306" s="163"/>
      <c r="L306" s="163"/>
      <c r="M306" s="163"/>
      <c r="N306" s="163"/>
      <c r="O306" s="165"/>
      <c r="P306" s="163"/>
      <c r="Q306" s="163"/>
      <c r="R306" s="163"/>
    </row>
    <row r="307" spans="1:18" s="11" customFormat="1" ht="12">
      <c r="A307" s="30"/>
      <c r="B307" s="31"/>
      <c r="C307" s="32"/>
      <c r="D307" s="30"/>
      <c r="E307" s="165"/>
      <c r="F307" s="163"/>
      <c r="G307" s="163"/>
      <c r="H307" s="163"/>
      <c r="I307" s="163"/>
      <c r="J307" s="165"/>
      <c r="K307" s="163"/>
      <c r="L307" s="163"/>
      <c r="M307" s="163"/>
      <c r="N307" s="163"/>
      <c r="O307" s="165"/>
      <c r="P307" s="163"/>
      <c r="Q307" s="163"/>
      <c r="R307" s="163"/>
    </row>
    <row r="308" spans="1:18" s="11" customFormat="1" ht="12">
      <c r="A308" s="30"/>
      <c r="B308" s="31"/>
      <c r="C308" s="32"/>
      <c r="D308" s="30"/>
      <c r="E308" s="165"/>
      <c r="F308" s="163"/>
      <c r="G308" s="163"/>
      <c r="H308" s="163"/>
      <c r="I308" s="163"/>
      <c r="J308" s="165"/>
      <c r="K308" s="163"/>
      <c r="L308" s="163"/>
      <c r="M308" s="163"/>
      <c r="N308" s="163"/>
      <c r="O308" s="165"/>
      <c r="P308" s="163"/>
      <c r="Q308" s="163"/>
      <c r="R308" s="163"/>
    </row>
    <row r="309" spans="1:18" s="11" customFormat="1" ht="12">
      <c r="A309" s="30"/>
      <c r="B309" s="31"/>
      <c r="C309" s="32"/>
      <c r="D309" s="30"/>
      <c r="E309" s="165"/>
      <c r="F309" s="163"/>
      <c r="G309" s="163"/>
      <c r="H309" s="163"/>
      <c r="I309" s="163"/>
      <c r="J309" s="165"/>
      <c r="K309" s="163"/>
      <c r="L309" s="163"/>
      <c r="M309" s="163"/>
      <c r="N309" s="163"/>
      <c r="O309" s="165"/>
      <c r="P309" s="163"/>
      <c r="Q309" s="163"/>
      <c r="R309" s="163"/>
    </row>
    <row r="310" spans="1:18" s="11" customFormat="1" ht="12">
      <c r="A310" s="30"/>
      <c r="B310" s="31"/>
      <c r="C310" s="32"/>
      <c r="D310" s="30"/>
      <c r="E310" s="165"/>
      <c r="F310" s="163"/>
      <c r="G310" s="163"/>
      <c r="H310" s="163"/>
      <c r="I310" s="163"/>
      <c r="J310" s="165"/>
      <c r="K310" s="163"/>
      <c r="L310" s="163"/>
      <c r="M310" s="163"/>
      <c r="N310" s="163"/>
      <c r="O310" s="165"/>
      <c r="P310" s="163"/>
      <c r="Q310" s="163"/>
      <c r="R310" s="163"/>
    </row>
    <row r="311" spans="1:18" s="11" customFormat="1" ht="12">
      <c r="A311" s="30"/>
      <c r="B311" s="31"/>
      <c r="C311" s="32"/>
      <c r="D311" s="30"/>
      <c r="E311" s="165"/>
      <c r="F311" s="163"/>
      <c r="G311" s="163"/>
      <c r="H311" s="163"/>
      <c r="I311" s="163"/>
      <c r="J311" s="165"/>
      <c r="K311" s="163"/>
      <c r="L311" s="163"/>
      <c r="M311" s="163"/>
      <c r="N311" s="163"/>
      <c r="O311" s="165"/>
      <c r="P311" s="163"/>
      <c r="Q311" s="163"/>
      <c r="R311" s="163"/>
    </row>
    <row r="312" spans="1:18" s="11" customFormat="1" ht="12">
      <c r="A312" s="30"/>
      <c r="B312" s="31"/>
      <c r="C312" s="32"/>
      <c r="D312" s="30"/>
      <c r="E312" s="165"/>
      <c r="F312" s="163"/>
      <c r="G312" s="163"/>
      <c r="H312" s="163"/>
      <c r="I312" s="163"/>
      <c r="J312" s="165"/>
      <c r="K312" s="163"/>
      <c r="L312" s="163"/>
      <c r="M312" s="163"/>
      <c r="N312" s="163"/>
      <c r="O312" s="165"/>
      <c r="P312" s="163"/>
      <c r="Q312" s="163"/>
      <c r="R312" s="163"/>
    </row>
    <row r="313" spans="1:18" s="11" customFormat="1" ht="12">
      <c r="A313" s="30"/>
      <c r="B313" s="31"/>
      <c r="C313" s="32"/>
      <c r="D313" s="30"/>
      <c r="E313" s="165"/>
      <c r="F313" s="163"/>
      <c r="G313" s="163"/>
      <c r="H313" s="163"/>
      <c r="I313" s="163"/>
      <c r="J313" s="165"/>
      <c r="K313" s="163"/>
      <c r="L313" s="163"/>
      <c r="M313" s="163"/>
      <c r="N313" s="163"/>
      <c r="O313" s="165"/>
      <c r="P313" s="163"/>
      <c r="Q313" s="163"/>
      <c r="R313" s="163"/>
    </row>
    <row r="314" spans="1:18" s="11" customFormat="1" ht="12">
      <c r="A314" s="30"/>
      <c r="B314" s="31"/>
      <c r="C314" s="32"/>
      <c r="D314" s="30"/>
      <c r="E314" s="165"/>
      <c r="F314" s="163"/>
      <c r="G314" s="163"/>
      <c r="H314" s="163"/>
      <c r="I314" s="163"/>
      <c r="J314" s="165"/>
      <c r="K314" s="163"/>
      <c r="L314" s="163"/>
      <c r="M314" s="163"/>
      <c r="N314" s="163"/>
      <c r="O314" s="165"/>
      <c r="P314" s="163"/>
      <c r="Q314" s="163"/>
      <c r="R314" s="163"/>
    </row>
    <row r="315" spans="1:18" s="11" customFormat="1" ht="12">
      <c r="A315" s="30"/>
      <c r="B315" s="31"/>
      <c r="C315" s="32"/>
      <c r="D315" s="30"/>
      <c r="E315" s="165"/>
      <c r="F315" s="163"/>
      <c r="G315" s="163"/>
      <c r="H315" s="163"/>
      <c r="I315" s="163"/>
      <c r="J315" s="165"/>
      <c r="K315" s="163"/>
      <c r="L315" s="163"/>
      <c r="M315" s="163"/>
      <c r="N315" s="163"/>
      <c r="O315" s="165"/>
      <c r="P315" s="163"/>
      <c r="Q315" s="163"/>
      <c r="R315" s="163"/>
    </row>
    <row r="316" spans="1:18" s="11" customFormat="1" ht="12">
      <c r="A316" s="30"/>
      <c r="B316" s="31"/>
      <c r="C316" s="32"/>
      <c r="D316" s="30"/>
      <c r="E316" s="165"/>
      <c r="F316" s="163"/>
      <c r="G316" s="163"/>
      <c r="H316" s="163"/>
      <c r="I316" s="163"/>
      <c r="J316" s="165"/>
      <c r="K316" s="163"/>
      <c r="L316" s="163"/>
      <c r="M316" s="163"/>
      <c r="N316" s="163"/>
      <c r="O316" s="165"/>
      <c r="P316" s="163"/>
      <c r="Q316" s="163"/>
      <c r="R316" s="163"/>
    </row>
    <row r="317" spans="1:18" s="11" customFormat="1" ht="12">
      <c r="A317" s="30"/>
      <c r="B317" s="31"/>
      <c r="C317" s="32"/>
      <c r="D317" s="30"/>
      <c r="E317" s="165"/>
      <c r="F317" s="163"/>
      <c r="G317" s="163"/>
      <c r="H317" s="163"/>
      <c r="I317" s="163"/>
      <c r="J317" s="165"/>
      <c r="K317" s="163"/>
      <c r="L317" s="163"/>
      <c r="M317" s="163"/>
      <c r="N317" s="163"/>
      <c r="O317" s="165"/>
      <c r="P317" s="163"/>
      <c r="Q317" s="163"/>
      <c r="R317" s="163"/>
    </row>
    <row r="318" spans="1:18" s="11" customFormat="1" ht="12">
      <c r="A318" s="30"/>
      <c r="B318" s="31"/>
      <c r="C318" s="32"/>
      <c r="D318" s="30"/>
      <c r="E318" s="165"/>
      <c r="F318" s="163"/>
      <c r="G318" s="163"/>
      <c r="H318" s="163"/>
      <c r="I318" s="163"/>
      <c r="J318" s="165"/>
      <c r="K318" s="163"/>
      <c r="L318" s="163"/>
      <c r="M318" s="163"/>
      <c r="N318" s="163"/>
      <c r="O318" s="165"/>
      <c r="P318" s="163"/>
      <c r="Q318" s="163"/>
      <c r="R318" s="163"/>
    </row>
    <row r="319" spans="1:18" s="11" customFormat="1" ht="12">
      <c r="A319" s="30"/>
      <c r="B319" s="31"/>
      <c r="C319" s="32"/>
      <c r="D319" s="30"/>
      <c r="E319" s="165"/>
      <c r="F319" s="163"/>
      <c r="G319" s="163"/>
      <c r="H319" s="163"/>
      <c r="I319" s="163"/>
      <c r="J319" s="165"/>
      <c r="K319" s="163"/>
      <c r="L319" s="163"/>
      <c r="M319" s="163"/>
      <c r="N319" s="163"/>
      <c r="O319" s="165"/>
      <c r="P319" s="163"/>
      <c r="Q319" s="163"/>
      <c r="R319" s="163"/>
    </row>
    <row r="320" spans="1:18" s="11" customFormat="1" ht="12">
      <c r="A320" s="33"/>
      <c r="B320" s="34"/>
      <c r="C320" s="35"/>
      <c r="D320" s="33"/>
      <c r="E320" s="165"/>
      <c r="F320" s="163"/>
      <c r="G320" s="163"/>
      <c r="H320" s="163"/>
      <c r="I320" s="163"/>
      <c r="J320" s="165"/>
      <c r="K320" s="163"/>
      <c r="L320" s="163"/>
      <c r="M320" s="163"/>
      <c r="N320" s="163"/>
      <c r="O320" s="165"/>
      <c r="P320" s="163"/>
      <c r="Q320" s="163"/>
      <c r="R320" s="163"/>
    </row>
    <row r="321" spans="1:18" s="11" customFormat="1" ht="12">
      <c r="A321" s="33"/>
      <c r="B321" s="34"/>
      <c r="C321" s="35"/>
      <c r="D321" s="33"/>
      <c r="E321" s="165"/>
      <c r="F321" s="163"/>
      <c r="G321" s="163"/>
      <c r="H321" s="163"/>
      <c r="I321" s="163"/>
      <c r="J321" s="165"/>
      <c r="K321" s="163"/>
      <c r="L321" s="163"/>
      <c r="M321" s="163"/>
      <c r="N321" s="163"/>
      <c r="O321" s="165"/>
      <c r="P321" s="163"/>
      <c r="Q321" s="163"/>
      <c r="R321" s="163"/>
    </row>
    <row r="322" spans="1:18" s="11" customFormat="1" ht="12">
      <c r="A322" s="33"/>
      <c r="B322" s="34"/>
      <c r="C322" s="35"/>
      <c r="D322" s="33"/>
      <c r="E322" s="165"/>
      <c r="F322" s="163"/>
      <c r="G322" s="163"/>
      <c r="H322" s="163"/>
      <c r="I322" s="163"/>
      <c r="J322" s="165"/>
      <c r="K322" s="163"/>
      <c r="L322" s="163"/>
      <c r="M322" s="163"/>
      <c r="N322" s="163"/>
      <c r="O322" s="165"/>
      <c r="P322" s="163"/>
      <c r="Q322" s="163"/>
      <c r="R322" s="163"/>
    </row>
    <row r="323" spans="1:18" s="11" customFormat="1" ht="12">
      <c r="A323" s="33"/>
      <c r="B323" s="34"/>
      <c r="C323" s="35"/>
      <c r="D323" s="33"/>
      <c r="E323" s="165"/>
      <c r="F323" s="163"/>
      <c r="G323" s="163"/>
      <c r="H323" s="163"/>
      <c r="I323" s="163"/>
      <c r="J323" s="165"/>
      <c r="K323" s="163"/>
      <c r="L323" s="163"/>
      <c r="M323" s="163"/>
      <c r="N323" s="163"/>
      <c r="O323" s="165"/>
      <c r="P323" s="163"/>
      <c r="Q323" s="163"/>
      <c r="R323" s="163"/>
    </row>
    <row r="324" spans="1:18" s="11" customFormat="1" ht="12">
      <c r="A324" s="33"/>
      <c r="B324" s="34"/>
      <c r="C324" s="35"/>
      <c r="D324" s="33"/>
      <c r="E324" s="165"/>
      <c r="F324" s="163"/>
      <c r="G324" s="163"/>
      <c r="H324" s="163"/>
      <c r="I324" s="163"/>
      <c r="J324" s="165"/>
      <c r="K324" s="163"/>
      <c r="L324" s="163"/>
      <c r="M324" s="163"/>
      <c r="N324" s="163"/>
      <c r="O324" s="165"/>
      <c r="P324" s="163"/>
      <c r="Q324" s="163"/>
      <c r="R324" s="163"/>
    </row>
    <row r="325" spans="1:18" s="11" customFormat="1" ht="12">
      <c r="A325" s="33"/>
      <c r="B325" s="34"/>
      <c r="C325" s="35"/>
      <c r="D325" s="33"/>
      <c r="E325" s="165"/>
      <c r="F325" s="163"/>
      <c r="G325" s="163"/>
      <c r="H325" s="163"/>
      <c r="I325" s="163"/>
      <c r="J325" s="165"/>
      <c r="K325" s="163"/>
      <c r="L325" s="163"/>
      <c r="M325" s="163"/>
      <c r="N325" s="163"/>
      <c r="O325" s="165"/>
      <c r="P325" s="163"/>
      <c r="Q325" s="163"/>
      <c r="R325" s="163"/>
    </row>
    <row r="326" spans="1:18" s="11" customFormat="1" ht="12">
      <c r="A326" s="33"/>
      <c r="B326" s="34"/>
      <c r="C326" s="35"/>
      <c r="D326" s="33"/>
      <c r="E326" s="165"/>
      <c r="F326" s="163"/>
      <c r="G326" s="163"/>
      <c r="H326" s="163"/>
      <c r="I326" s="163"/>
      <c r="J326" s="165"/>
      <c r="K326" s="163"/>
      <c r="L326" s="163"/>
      <c r="M326" s="163"/>
      <c r="N326" s="163"/>
      <c r="O326" s="165"/>
      <c r="P326" s="163"/>
      <c r="Q326" s="163"/>
      <c r="R326" s="163"/>
    </row>
    <row r="327" spans="1:18" s="11" customFormat="1" ht="12">
      <c r="A327" s="33"/>
      <c r="B327" s="34"/>
      <c r="C327" s="35"/>
      <c r="D327" s="33"/>
      <c r="E327" s="165"/>
      <c r="F327" s="163"/>
      <c r="G327" s="163"/>
      <c r="H327" s="163"/>
      <c r="I327" s="163"/>
      <c r="J327" s="165"/>
      <c r="K327" s="163"/>
      <c r="L327" s="163"/>
      <c r="M327" s="163"/>
      <c r="N327" s="163"/>
      <c r="O327" s="165"/>
      <c r="P327" s="163"/>
      <c r="Q327" s="163"/>
      <c r="R327" s="163"/>
    </row>
    <row r="328" spans="1:18" s="11" customFormat="1" ht="12">
      <c r="A328" s="33"/>
      <c r="B328" s="34"/>
      <c r="C328" s="35"/>
      <c r="D328" s="33"/>
      <c r="E328" s="165"/>
      <c r="F328" s="163"/>
      <c r="G328" s="163"/>
      <c r="H328" s="163"/>
      <c r="I328" s="163"/>
      <c r="J328" s="165"/>
      <c r="K328" s="163"/>
      <c r="L328" s="163"/>
      <c r="M328" s="163"/>
      <c r="N328" s="163"/>
      <c r="O328" s="165"/>
      <c r="P328" s="163"/>
      <c r="Q328" s="163"/>
      <c r="R328" s="163"/>
    </row>
    <row r="329" spans="1:18" s="11" customFormat="1" ht="12">
      <c r="A329" s="33"/>
      <c r="B329" s="34"/>
      <c r="C329" s="35"/>
      <c r="D329" s="33"/>
      <c r="E329" s="165"/>
      <c r="F329" s="163"/>
      <c r="G329" s="163"/>
      <c r="H329" s="163"/>
      <c r="I329" s="163"/>
      <c r="J329" s="165"/>
      <c r="K329" s="163"/>
      <c r="L329" s="163"/>
      <c r="M329" s="163"/>
      <c r="N329" s="163"/>
      <c r="O329" s="165"/>
      <c r="P329" s="163"/>
      <c r="Q329" s="163"/>
      <c r="R329" s="163"/>
    </row>
    <row r="330" spans="1:18" s="11" customFormat="1" ht="12">
      <c r="A330" s="33"/>
      <c r="B330" s="34"/>
      <c r="C330" s="35"/>
      <c r="D330" s="33"/>
      <c r="E330" s="165"/>
      <c r="F330" s="163"/>
      <c r="G330" s="163"/>
      <c r="H330" s="163"/>
      <c r="I330" s="163"/>
      <c r="J330" s="165"/>
      <c r="K330" s="163"/>
      <c r="L330" s="163"/>
      <c r="M330" s="163"/>
      <c r="N330" s="163"/>
      <c r="O330" s="165"/>
      <c r="P330" s="163"/>
      <c r="Q330" s="163"/>
      <c r="R330" s="163"/>
    </row>
    <row r="331" spans="1:18" s="11" customFormat="1" ht="12">
      <c r="A331" s="33"/>
      <c r="B331" s="34"/>
      <c r="C331" s="35"/>
      <c r="D331" s="33"/>
      <c r="E331" s="165"/>
      <c r="F331" s="163"/>
      <c r="G331" s="163"/>
      <c r="H331" s="163"/>
      <c r="I331" s="163"/>
      <c r="J331" s="165"/>
      <c r="K331" s="163"/>
      <c r="L331" s="163"/>
      <c r="M331" s="163"/>
      <c r="N331" s="163"/>
      <c r="O331" s="165"/>
      <c r="P331" s="163"/>
      <c r="Q331" s="163"/>
      <c r="R331" s="163"/>
    </row>
    <row r="332" spans="1:18" s="11" customFormat="1" ht="12">
      <c r="A332" s="33"/>
      <c r="B332" s="34"/>
      <c r="C332" s="35"/>
      <c r="D332" s="33"/>
      <c r="E332" s="165"/>
      <c r="F332" s="163"/>
      <c r="G332" s="163"/>
      <c r="H332" s="163"/>
      <c r="I332" s="163"/>
      <c r="J332" s="165"/>
      <c r="K332" s="163"/>
      <c r="L332" s="163"/>
      <c r="M332" s="163"/>
      <c r="N332" s="163"/>
      <c r="O332" s="165"/>
      <c r="P332" s="163"/>
      <c r="Q332" s="163"/>
      <c r="R332" s="163"/>
    </row>
    <row r="333" spans="1:18" s="11" customFormat="1" ht="12">
      <c r="A333" s="33"/>
      <c r="B333" s="34"/>
      <c r="C333" s="35"/>
      <c r="D333" s="33"/>
      <c r="E333" s="165"/>
      <c r="F333" s="163"/>
      <c r="G333" s="163"/>
      <c r="H333" s="163"/>
      <c r="I333" s="163"/>
      <c r="J333" s="165"/>
      <c r="K333" s="163"/>
      <c r="L333" s="163"/>
      <c r="M333" s="163"/>
      <c r="N333" s="163"/>
      <c r="O333" s="165"/>
      <c r="P333" s="163"/>
      <c r="Q333" s="163"/>
      <c r="R333" s="163"/>
    </row>
    <row r="334" spans="1:18" s="11" customFormat="1" ht="12">
      <c r="A334" s="33"/>
      <c r="B334" s="34"/>
      <c r="C334" s="35"/>
      <c r="D334" s="33"/>
      <c r="E334" s="165"/>
      <c r="F334" s="163"/>
      <c r="G334" s="163"/>
      <c r="H334" s="163"/>
      <c r="I334" s="163"/>
      <c r="J334" s="165"/>
      <c r="K334" s="163"/>
      <c r="L334" s="163"/>
      <c r="M334" s="163"/>
      <c r="N334" s="163"/>
      <c r="O334" s="165"/>
      <c r="P334" s="163"/>
      <c r="Q334" s="163"/>
      <c r="R334" s="163"/>
    </row>
    <row r="335" spans="1:18" s="11" customFormat="1" ht="12">
      <c r="A335" s="33"/>
      <c r="B335" s="34"/>
      <c r="C335" s="35"/>
      <c r="D335" s="33"/>
      <c r="E335" s="165"/>
      <c r="F335" s="163"/>
      <c r="G335" s="163"/>
      <c r="H335" s="163"/>
      <c r="I335" s="163"/>
      <c r="J335" s="165"/>
      <c r="K335" s="163"/>
      <c r="L335" s="163"/>
      <c r="M335" s="163"/>
      <c r="N335" s="163"/>
      <c r="O335" s="165"/>
      <c r="P335" s="163"/>
      <c r="Q335" s="163"/>
      <c r="R335" s="163"/>
    </row>
    <row r="336" spans="1:18" s="11" customFormat="1" ht="12">
      <c r="A336" s="33"/>
      <c r="B336" s="34"/>
      <c r="C336" s="35"/>
      <c r="D336" s="33"/>
      <c r="E336" s="165"/>
      <c r="F336" s="163"/>
      <c r="G336" s="163"/>
      <c r="H336" s="163"/>
      <c r="I336" s="163"/>
      <c r="J336" s="165"/>
      <c r="K336" s="163"/>
      <c r="L336" s="163"/>
      <c r="M336" s="163"/>
      <c r="N336" s="163"/>
      <c r="O336" s="165"/>
      <c r="P336" s="163"/>
      <c r="Q336" s="163"/>
      <c r="R336" s="163"/>
    </row>
    <row r="337" spans="1:18" s="11" customFormat="1" ht="12">
      <c r="A337" s="33"/>
      <c r="B337" s="34"/>
      <c r="C337" s="35"/>
      <c r="D337" s="33"/>
      <c r="E337" s="165"/>
      <c r="F337" s="163"/>
      <c r="G337" s="163"/>
      <c r="H337" s="163"/>
      <c r="I337" s="163"/>
      <c r="J337" s="165"/>
      <c r="K337" s="163"/>
      <c r="L337" s="163"/>
      <c r="M337" s="163"/>
      <c r="N337" s="163"/>
      <c r="O337" s="165"/>
      <c r="P337" s="163"/>
      <c r="Q337" s="163"/>
      <c r="R337" s="163"/>
    </row>
    <row r="338" spans="1:18" s="11" customFormat="1" ht="12">
      <c r="A338" s="33"/>
      <c r="B338" s="34"/>
      <c r="C338" s="35"/>
      <c r="D338" s="33"/>
      <c r="E338" s="165"/>
      <c r="F338" s="163"/>
      <c r="G338" s="163"/>
      <c r="H338" s="163"/>
      <c r="I338" s="163"/>
      <c r="J338" s="165"/>
      <c r="K338" s="163"/>
      <c r="L338" s="163"/>
      <c r="M338" s="163"/>
      <c r="N338" s="163"/>
      <c r="O338" s="165"/>
      <c r="P338" s="163"/>
      <c r="Q338" s="163"/>
      <c r="R338" s="163"/>
    </row>
    <row r="339" spans="1:18" s="11" customFormat="1" ht="12">
      <c r="A339" s="33"/>
      <c r="B339" s="34"/>
      <c r="C339" s="35"/>
      <c r="D339" s="33"/>
      <c r="E339" s="165"/>
      <c r="F339" s="163"/>
      <c r="G339" s="163"/>
      <c r="H339" s="163"/>
      <c r="I339" s="163"/>
      <c r="J339" s="165"/>
      <c r="K339" s="163"/>
      <c r="L339" s="163"/>
      <c r="M339" s="163"/>
      <c r="N339" s="163"/>
      <c r="O339" s="165"/>
      <c r="P339" s="163"/>
      <c r="Q339" s="163"/>
      <c r="R339" s="163"/>
    </row>
    <row r="340" spans="1:18" s="11" customFormat="1" ht="12">
      <c r="A340" s="33"/>
      <c r="B340" s="34"/>
      <c r="C340" s="35"/>
      <c r="D340" s="33"/>
      <c r="E340" s="165"/>
      <c r="F340" s="163"/>
      <c r="G340" s="163"/>
      <c r="H340" s="163"/>
      <c r="I340" s="163"/>
      <c r="J340" s="165"/>
      <c r="K340" s="163"/>
      <c r="L340" s="163"/>
      <c r="M340" s="163"/>
      <c r="N340" s="163"/>
      <c r="O340" s="165"/>
      <c r="P340" s="163"/>
      <c r="Q340" s="163"/>
      <c r="R340" s="163"/>
    </row>
    <row r="341" spans="1:18" s="11" customFormat="1">
      <c r="A341" s="33"/>
      <c r="B341" s="34"/>
      <c r="C341" s="35"/>
      <c r="D341" s="33"/>
      <c r="E341" s="35"/>
      <c r="F341" s="33"/>
      <c r="G341" s="33"/>
      <c r="H341" s="36"/>
      <c r="I341" s="33"/>
      <c r="J341" s="35"/>
      <c r="K341" s="33"/>
      <c r="L341" s="33"/>
      <c r="M341" s="36"/>
      <c r="N341" s="33"/>
      <c r="O341" s="35"/>
      <c r="P341" s="33"/>
      <c r="Q341" s="33"/>
      <c r="R341" s="36"/>
    </row>
    <row r="342" spans="1:18" s="11" customFormat="1">
      <c r="A342" s="33"/>
      <c r="B342" s="34"/>
      <c r="C342" s="35"/>
      <c r="D342" s="33"/>
      <c r="E342" s="35"/>
      <c r="F342" s="33"/>
      <c r="G342" s="33"/>
      <c r="H342" s="36"/>
      <c r="I342" s="33"/>
      <c r="J342" s="35"/>
      <c r="K342" s="33"/>
      <c r="L342" s="33"/>
      <c r="M342" s="36"/>
      <c r="N342" s="33"/>
      <c r="O342" s="35"/>
      <c r="P342" s="33"/>
      <c r="Q342" s="33"/>
      <c r="R342" s="36"/>
    </row>
    <row r="343" spans="1:18" s="11" customFormat="1">
      <c r="A343" s="33"/>
      <c r="B343" s="34"/>
      <c r="C343" s="35"/>
      <c r="D343" s="33"/>
      <c r="E343" s="35"/>
      <c r="F343" s="33"/>
      <c r="G343" s="33"/>
      <c r="H343" s="36"/>
      <c r="I343" s="33"/>
      <c r="J343" s="35"/>
      <c r="K343" s="33"/>
      <c r="L343" s="33"/>
      <c r="M343" s="36"/>
      <c r="N343" s="33"/>
      <c r="O343" s="35"/>
      <c r="P343" s="33"/>
      <c r="Q343" s="33"/>
      <c r="R343" s="36"/>
    </row>
    <row r="344" spans="1:18" s="11" customFormat="1">
      <c r="A344" s="33"/>
      <c r="B344" s="34"/>
      <c r="C344" s="35"/>
      <c r="D344" s="33"/>
      <c r="E344" s="35"/>
      <c r="F344" s="33"/>
      <c r="G344" s="33"/>
      <c r="H344" s="36"/>
      <c r="I344" s="33"/>
      <c r="J344" s="35"/>
      <c r="K344" s="33"/>
      <c r="L344" s="33"/>
      <c r="M344" s="36"/>
      <c r="N344" s="33"/>
      <c r="O344" s="35"/>
      <c r="P344" s="33"/>
      <c r="Q344" s="33"/>
      <c r="R344" s="36"/>
    </row>
    <row r="345" spans="1:18" s="11" customFormat="1">
      <c r="A345" s="33"/>
      <c r="B345" s="34"/>
      <c r="C345" s="35"/>
      <c r="D345" s="33"/>
      <c r="E345" s="35"/>
      <c r="F345" s="33"/>
      <c r="G345" s="33"/>
      <c r="H345" s="36"/>
      <c r="I345" s="33"/>
      <c r="J345" s="35"/>
      <c r="K345" s="33"/>
      <c r="L345" s="33"/>
      <c r="M345" s="36"/>
      <c r="N345" s="33"/>
      <c r="O345" s="35"/>
      <c r="P345" s="33"/>
      <c r="Q345" s="33"/>
      <c r="R345" s="36"/>
    </row>
    <row r="346" spans="1:18" s="11" customFormat="1">
      <c r="A346" s="33"/>
      <c r="B346" s="34"/>
      <c r="C346" s="35"/>
      <c r="D346" s="33"/>
      <c r="E346" s="35"/>
      <c r="F346" s="33"/>
      <c r="G346" s="33"/>
      <c r="H346" s="36"/>
      <c r="I346" s="33"/>
      <c r="J346" s="35"/>
      <c r="K346" s="33"/>
      <c r="L346" s="33"/>
      <c r="M346" s="36"/>
      <c r="N346" s="33"/>
      <c r="O346" s="35"/>
      <c r="P346" s="33"/>
      <c r="Q346" s="33"/>
      <c r="R346" s="36"/>
    </row>
    <row r="347" spans="1:18" s="11" customFormat="1">
      <c r="A347" s="33"/>
      <c r="B347" s="34"/>
      <c r="C347" s="35"/>
      <c r="D347" s="33"/>
      <c r="E347" s="35"/>
      <c r="F347" s="33"/>
      <c r="G347" s="33"/>
      <c r="H347" s="36"/>
      <c r="I347" s="33"/>
      <c r="J347" s="35"/>
      <c r="K347" s="33"/>
      <c r="L347" s="33"/>
      <c r="M347" s="36"/>
      <c r="N347" s="33"/>
      <c r="O347" s="35"/>
      <c r="P347" s="33"/>
      <c r="Q347" s="33"/>
      <c r="R347" s="36"/>
    </row>
    <row r="348" spans="1:18" s="11" customFormat="1">
      <c r="A348" s="33"/>
      <c r="B348" s="34"/>
      <c r="C348" s="35"/>
      <c r="D348" s="33"/>
      <c r="E348" s="35"/>
      <c r="F348" s="33"/>
      <c r="G348" s="33"/>
      <c r="H348" s="36"/>
      <c r="I348" s="33"/>
      <c r="J348" s="35"/>
      <c r="K348" s="33"/>
      <c r="L348" s="33"/>
      <c r="M348" s="36"/>
      <c r="N348" s="33"/>
      <c r="O348" s="35"/>
      <c r="P348" s="33"/>
      <c r="Q348" s="33"/>
      <c r="R348" s="36"/>
    </row>
    <row r="349" spans="1:18" s="11" customFormat="1">
      <c r="A349" s="33"/>
      <c r="B349" s="34"/>
      <c r="C349" s="35"/>
      <c r="D349" s="33"/>
      <c r="E349" s="35"/>
      <c r="F349" s="33"/>
      <c r="G349" s="33"/>
      <c r="H349" s="36"/>
      <c r="I349" s="33"/>
      <c r="J349" s="35"/>
      <c r="K349" s="33"/>
      <c r="L349" s="33"/>
      <c r="M349" s="36"/>
      <c r="N349" s="33"/>
      <c r="O349" s="35"/>
      <c r="P349" s="33"/>
      <c r="Q349" s="33"/>
      <c r="R349" s="36"/>
    </row>
    <row r="350" spans="1:18" s="11" customFormat="1">
      <c r="A350" s="33"/>
      <c r="B350" s="34"/>
      <c r="C350" s="35"/>
      <c r="D350" s="33"/>
      <c r="E350" s="35"/>
      <c r="F350" s="33"/>
      <c r="G350" s="33"/>
      <c r="H350" s="36"/>
      <c r="I350" s="33"/>
      <c r="J350" s="35"/>
      <c r="K350" s="33"/>
      <c r="L350" s="33"/>
      <c r="M350" s="36"/>
      <c r="N350" s="33"/>
      <c r="O350" s="35"/>
      <c r="P350" s="33"/>
      <c r="Q350" s="33"/>
      <c r="R350" s="36"/>
    </row>
    <row r="351" spans="1:18" s="11" customFormat="1">
      <c r="A351" s="33"/>
      <c r="B351" s="34"/>
      <c r="C351" s="35"/>
      <c r="D351" s="33"/>
      <c r="E351" s="35"/>
      <c r="F351" s="33"/>
      <c r="G351" s="33"/>
      <c r="H351" s="36"/>
      <c r="I351" s="33"/>
      <c r="J351" s="35"/>
      <c r="K351" s="33"/>
      <c r="L351" s="33"/>
      <c r="M351" s="36"/>
      <c r="N351" s="33"/>
      <c r="O351" s="35"/>
      <c r="P351" s="33"/>
      <c r="Q351" s="33"/>
      <c r="R351" s="36"/>
    </row>
    <row r="352" spans="1:18" s="11" customFormat="1">
      <c r="A352" s="33"/>
      <c r="B352" s="34"/>
      <c r="C352" s="35"/>
      <c r="D352" s="33"/>
      <c r="E352" s="35"/>
      <c r="F352" s="33"/>
      <c r="G352" s="33"/>
      <c r="H352" s="36"/>
      <c r="I352" s="33"/>
      <c r="J352" s="35"/>
      <c r="K352" s="33"/>
      <c r="L352" s="33"/>
      <c r="M352" s="36"/>
      <c r="N352" s="33"/>
      <c r="O352" s="35"/>
      <c r="P352" s="33"/>
      <c r="Q352" s="33"/>
      <c r="R352" s="36"/>
    </row>
    <row r="353" spans="1:18" s="11" customFormat="1">
      <c r="A353" s="33"/>
      <c r="B353" s="34"/>
      <c r="C353" s="35"/>
      <c r="D353" s="33"/>
      <c r="E353" s="35"/>
      <c r="F353" s="33"/>
      <c r="G353" s="33"/>
      <c r="H353" s="36"/>
      <c r="I353" s="33"/>
      <c r="J353" s="35"/>
      <c r="K353" s="33"/>
      <c r="L353" s="33"/>
      <c r="M353" s="36"/>
      <c r="N353" s="33"/>
      <c r="O353" s="35"/>
      <c r="P353" s="33"/>
      <c r="Q353" s="33"/>
      <c r="R353" s="36"/>
    </row>
    <row r="354" spans="1:18" s="11" customFormat="1">
      <c r="A354" s="33"/>
      <c r="B354" s="34"/>
      <c r="C354" s="35"/>
      <c r="D354" s="33"/>
      <c r="E354" s="35"/>
      <c r="F354" s="33"/>
      <c r="G354" s="33"/>
      <c r="H354" s="36"/>
      <c r="I354" s="33"/>
      <c r="J354" s="35"/>
      <c r="K354" s="33"/>
      <c r="L354" s="33"/>
      <c r="M354" s="36"/>
      <c r="N354" s="33"/>
      <c r="O354" s="35"/>
      <c r="P354" s="33"/>
      <c r="Q354" s="33"/>
      <c r="R354" s="36"/>
    </row>
    <row r="355" spans="1:18" s="11" customFormat="1">
      <c r="A355" s="33"/>
      <c r="B355" s="34"/>
      <c r="C355" s="35"/>
      <c r="D355" s="33"/>
      <c r="E355" s="35"/>
      <c r="F355" s="33"/>
      <c r="G355" s="33"/>
      <c r="H355" s="36"/>
      <c r="I355" s="33"/>
      <c r="J355" s="35"/>
      <c r="K355" s="33"/>
      <c r="L355" s="33"/>
      <c r="M355" s="36"/>
      <c r="N355" s="33"/>
      <c r="O355" s="35"/>
      <c r="P355" s="33"/>
      <c r="Q355" s="33"/>
      <c r="R355" s="36"/>
    </row>
    <row r="356" spans="1:18" s="11" customFormat="1">
      <c r="A356" s="33"/>
      <c r="B356" s="34"/>
      <c r="C356" s="35"/>
      <c r="D356" s="33"/>
      <c r="E356" s="35"/>
      <c r="F356" s="33"/>
      <c r="G356" s="33"/>
      <c r="H356" s="36"/>
      <c r="I356" s="33"/>
      <c r="J356" s="35"/>
      <c r="K356" s="33"/>
      <c r="L356" s="33"/>
      <c r="M356" s="36"/>
      <c r="N356" s="33"/>
      <c r="O356" s="35"/>
      <c r="P356" s="33"/>
      <c r="Q356" s="33"/>
      <c r="R356" s="36"/>
    </row>
    <row r="357" spans="1:18" s="11" customFormat="1">
      <c r="A357" s="33"/>
      <c r="B357" s="34"/>
      <c r="C357" s="35"/>
      <c r="D357" s="33"/>
      <c r="E357" s="35"/>
      <c r="F357" s="33"/>
      <c r="G357" s="33"/>
      <c r="H357" s="36"/>
      <c r="I357" s="33"/>
      <c r="J357" s="35"/>
      <c r="K357" s="33"/>
      <c r="L357" s="33"/>
      <c r="M357" s="36"/>
      <c r="N357" s="33"/>
      <c r="O357" s="35"/>
      <c r="P357" s="33"/>
      <c r="Q357" s="33"/>
      <c r="R357" s="36"/>
    </row>
    <row r="358" spans="1:18" s="11" customFormat="1">
      <c r="A358" s="33"/>
      <c r="B358" s="34"/>
      <c r="C358" s="35"/>
      <c r="D358" s="33"/>
      <c r="E358" s="35"/>
      <c r="F358" s="33"/>
      <c r="G358" s="33"/>
      <c r="H358" s="36"/>
      <c r="I358" s="33"/>
      <c r="J358" s="35"/>
      <c r="K358" s="33"/>
      <c r="L358" s="33"/>
      <c r="M358" s="36"/>
      <c r="N358" s="33"/>
      <c r="O358" s="35"/>
      <c r="P358" s="33"/>
      <c r="Q358" s="33"/>
      <c r="R358" s="36"/>
    </row>
    <row r="359" spans="1:18" s="11" customFormat="1">
      <c r="A359" s="33"/>
      <c r="B359" s="34"/>
      <c r="C359" s="35"/>
      <c r="D359" s="33"/>
      <c r="E359" s="35"/>
      <c r="F359" s="33"/>
      <c r="G359" s="33"/>
      <c r="H359" s="36"/>
      <c r="I359" s="33"/>
      <c r="J359" s="35"/>
      <c r="K359" s="33"/>
      <c r="L359" s="33"/>
      <c r="M359" s="36"/>
      <c r="N359" s="33"/>
      <c r="O359" s="35"/>
      <c r="P359" s="33"/>
      <c r="Q359" s="33"/>
      <c r="R359" s="36"/>
    </row>
    <row r="360" spans="1:18" s="11" customFormat="1">
      <c r="A360" s="33"/>
      <c r="B360" s="34"/>
      <c r="C360" s="35"/>
      <c r="D360" s="33"/>
      <c r="E360" s="35"/>
      <c r="F360" s="33"/>
      <c r="G360" s="33"/>
      <c r="H360" s="36"/>
      <c r="I360" s="33"/>
      <c r="J360" s="35"/>
      <c r="K360" s="33"/>
      <c r="L360" s="33"/>
      <c r="M360" s="36"/>
      <c r="N360" s="33"/>
      <c r="O360" s="35"/>
      <c r="P360" s="33"/>
      <c r="Q360" s="33"/>
      <c r="R360" s="36"/>
    </row>
    <row r="361" spans="1:18" s="11" customFormat="1">
      <c r="A361" s="33"/>
      <c r="B361" s="34"/>
      <c r="C361" s="35"/>
      <c r="D361" s="33"/>
      <c r="E361" s="35"/>
      <c r="F361" s="33"/>
      <c r="G361" s="33"/>
      <c r="H361" s="36"/>
      <c r="I361" s="33"/>
      <c r="J361" s="35"/>
      <c r="K361" s="33"/>
      <c r="L361" s="33"/>
      <c r="M361" s="36"/>
      <c r="N361" s="33"/>
      <c r="O361" s="35"/>
      <c r="P361" s="33"/>
      <c r="Q361" s="33"/>
      <c r="R361" s="36"/>
    </row>
    <row r="362" spans="1:18" s="11" customFormat="1">
      <c r="A362" s="33"/>
      <c r="B362" s="34"/>
      <c r="C362" s="35"/>
      <c r="D362" s="33"/>
      <c r="E362" s="35"/>
      <c r="F362" s="33"/>
      <c r="G362" s="33"/>
      <c r="H362" s="36"/>
      <c r="I362" s="33"/>
      <c r="J362" s="35"/>
      <c r="K362" s="33"/>
      <c r="L362" s="33"/>
      <c r="M362" s="36"/>
      <c r="N362" s="33"/>
      <c r="O362" s="35"/>
      <c r="P362" s="33"/>
      <c r="Q362" s="33"/>
      <c r="R362" s="36"/>
    </row>
    <row r="363" spans="1:18" s="11" customFormat="1">
      <c r="A363" s="33"/>
      <c r="B363" s="34"/>
      <c r="C363" s="35"/>
      <c r="D363" s="33"/>
      <c r="E363" s="35"/>
      <c r="F363" s="33"/>
      <c r="G363" s="33"/>
      <c r="H363" s="36"/>
      <c r="I363" s="33"/>
      <c r="J363" s="35"/>
      <c r="K363" s="33"/>
      <c r="L363" s="33"/>
      <c r="M363" s="36"/>
      <c r="N363" s="33"/>
      <c r="O363" s="35"/>
      <c r="P363" s="33"/>
      <c r="Q363" s="33"/>
      <c r="R363" s="36"/>
    </row>
    <row r="364" spans="1:18" s="11" customFormat="1">
      <c r="A364" s="33"/>
      <c r="B364" s="34"/>
      <c r="C364" s="35"/>
      <c r="D364" s="33"/>
      <c r="E364" s="35"/>
      <c r="F364" s="33"/>
      <c r="G364" s="33"/>
      <c r="H364" s="36"/>
      <c r="I364" s="33"/>
      <c r="J364" s="35"/>
      <c r="K364" s="33"/>
      <c r="L364" s="33"/>
      <c r="M364" s="36"/>
      <c r="N364" s="33"/>
      <c r="O364" s="35"/>
      <c r="P364" s="33"/>
      <c r="Q364" s="33"/>
      <c r="R364" s="36"/>
    </row>
    <row r="365" spans="1:18" s="11" customFormat="1">
      <c r="A365" s="33"/>
      <c r="B365" s="34"/>
      <c r="C365" s="35"/>
      <c r="D365" s="33"/>
      <c r="E365" s="35"/>
      <c r="F365" s="33"/>
      <c r="G365" s="33"/>
      <c r="H365" s="36"/>
      <c r="I365" s="33"/>
      <c r="J365" s="35"/>
      <c r="K365" s="33"/>
      <c r="L365" s="33"/>
      <c r="M365" s="36"/>
      <c r="N365" s="33"/>
      <c r="O365" s="35"/>
      <c r="P365" s="33"/>
      <c r="Q365" s="33"/>
      <c r="R365" s="36"/>
    </row>
    <row r="366" spans="1:18" s="11" customFormat="1">
      <c r="A366" s="33"/>
      <c r="B366" s="34"/>
      <c r="C366" s="35"/>
      <c r="D366" s="33"/>
      <c r="E366" s="35"/>
      <c r="F366" s="33"/>
      <c r="G366" s="33"/>
      <c r="H366" s="36"/>
      <c r="I366" s="33"/>
      <c r="J366" s="35"/>
      <c r="K366" s="33"/>
      <c r="L366" s="33"/>
      <c r="M366" s="36"/>
      <c r="N366" s="33"/>
      <c r="O366" s="35"/>
      <c r="P366" s="33"/>
      <c r="Q366" s="33"/>
      <c r="R366" s="36"/>
    </row>
    <row r="367" spans="1:18" s="11" customFormat="1">
      <c r="A367" s="33"/>
      <c r="B367" s="34"/>
      <c r="C367" s="35"/>
      <c r="D367" s="33"/>
      <c r="E367" s="35"/>
      <c r="F367" s="33"/>
      <c r="G367" s="33"/>
      <c r="H367" s="36"/>
      <c r="I367" s="33"/>
      <c r="J367" s="35"/>
      <c r="K367" s="33"/>
      <c r="L367" s="33"/>
      <c r="M367" s="36"/>
      <c r="N367" s="33"/>
      <c r="O367" s="35"/>
      <c r="P367" s="33"/>
      <c r="Q367" s="33"/>
      <c r="R367" s="36"/>
    </row>
    <row r="368" spans="1:18" s="11" customFormat="1">
      <c r="A368" s="33"/>
      <c r="B368" s="34"/>
      <c r="C368" s="35"/>
      <c r="D368" s="33"/>
      <c r="E368" s="35"/>
      <c r="F368" s="33"/>
      <c r="G368" s="33"/>
      <c r="H368" s="36"/>
      <c r="I368" s="33"/>
      <c r="J368" s="35"/>
      <c r="K368" s="33"/>
      <c r="L368" s="33"/>
      <c r="M368" s="36"/>
      <c r="N368" s="33"/>
      <c r="O368" s="35"/>
      <c r="P368" s="33"/>
      <c r="Q368" s="33"/>
      <c r="R368" s="36"/>
    </row>
    <row r="369" spans="1:18" s="11" customFormat="1">
      <c r="A369" s="33"/>
      <c r="B369" s="34"/>
      <c r="C369" s="35"/>
      <c r="D369" s="33"/>
      <c r="E369" s="35"/>
      <c r="F369" s="33"/>
      <c r="G369" s="33"/>
      <c r="H369" s="36"/>
      <c r="I369" s="33"/>
      <c r="J369" s="35"/>
      <c r="K369" s="33"/>
      <c r="L369" s="33"/>
      <c r="M369" s="36"/>
      <c r="N369" s="33"/>
      <c r="O369" s="35"/>
      <c r="P369" s="33"/>
      <c r="Q369" s="33"/>
      <c r="R369" s="36"/>
    </row>
    <row r="370" spans="1:18" s="11" customFormat="1">
      <c r="A370" s="33"/>
      <c r="B370" s="34"/>
      <c r="C370" s="35"/>
      <c r="D370" s="33"/>
      <c r="E370" s="35"/>
      <c r="F370" s="33"/>
      <c r="G370" s="33"/>
      <c r="H370" s="36"/>
      <c r="I370" s="33"/>
      <c r="J370" s="35"/>
      <c r="K370" s="33"/>
      <c r="L370" s="33"/>
      <c r="M370" s="36"/>
      <c r="N370" s="33"/>
      <c r="O370" s="35"/>
      <c r="P370" s="33"/>
      <c r="Q370" s="33"/>
      <c r="R370" s="36"/>
    </row>
    <row r="371" spans="1:18" s="11" customFormat="1">
      <c r="A371" s="33"/>
      <c r="B371" s="34"/>
      <c r="C371" s="35"/>
      <c r="D371" s="33"/>
      <c r="E371" s="35"/>
      <c r="F371" s="33"/>
      <c r="G371" s="33"/>
      <c r="H371" s="36"/>
      <c r="I371" s="33"/>
      <c r="J371" s="35"/>
      <c r="K371" s="33"/>
      <c r="L371" s="33"/>
      <c r="M371" s="36"/>
      <c r="N371" s="33"/>
      <c r="O371" s="35"/>
      <c r="P371" s="33"/>
      <c r="Q371" s="33"/>
      <c r="R371" s="36"/>
    </row>
    <row r="372" spans="1:18" s="11" customFormat="1">
      <c r="A372" s="33"/>
      <c r="B372" s="34"/>
      <c r="C372" s="35"/>
      <c r="D372" s="33"/>
      <c r="E372" s="35"/>
      <c r="F372" s="33"/>
      <c r="G372" s="33"/>
      <c r="H372" s="36"/>
      <c r="I372" s="33"/>
      <c r="J372" s="35"/>
      <c r="K372" s="33"/>
      <c r="L372" s="33"/>
      <c r="M372" s="36"/>
      <c r="N372" s="33"/>
      <c r="O372" s="35"/>
      <c r="P372" s="33"/>
      <c r="Q372" s="33"/>
      <c r="R372" s="36"/>
    </row>
    <row r="373" spans="1:18" s="11" customFormat="1">
      <c r="A373" s="33"/>
      <c r="B373" s="34"/>
      <c r="C373" s="35"/>
      <c r="D373" s="33"/>
      <c r="E373" s="35"/>
      <c r="F373" s="33"/>
      <c r="G373" s="33"/>
      <c r="H373" s="36"/>
      <c r="I373" s="33"/>
      <c r="J373" s="35"/>
      <c r="K373" s="33"/>
      <c r="L373" s="33"/>
      <c r="M373" s="36"/>
      <c r="N373" s="33"/>
      <c r="O373" s="35"/>
      <c r="P373" s="33"/>
      <c r="Q373" s="33"/>
      <c r="R373" s="36"/>
    </row>
    <row r="374" spans="1:18" s="11" customFormat="1">
      <c r="A374" s="33"/>
      <c r="B374" s="34"/>
      <c r="C374" s="35"/>
      <c r="D374" s="33"/>
      <c r="E374" s="35"/>
      <c r="F374" s="33"/>
      <c r="G374" s="33"/>
      <c r="H374" s="36"/>
      <c r="I374" s="33"/>
      <c r="J374" s="35"/>
      <c r="K374" s="33"/>
      <c r="L374" s="33"/>
      <c r="M374" s="36"/>
      <c r="N374" s="33"/>
      <c r="O374" s="35"/>
      <c r="P374" s="33"/>
      <c r="Q374" s="33"/>
      <c r="R374" s="36"/>
    </row>
    <row r="375" spans="1:18" s="11" customFormat="1">
      <c r="A375" s="33"/>
      <c r="B375" s="34"/>
      <c r="C375" s="35"/>
      <c r="D375" s="33"/>
      <c r="E375" s="35"/>
      <c r="F375" s="33"/>
      <c r="G375" s="33"/>
      <c r="H375" s="36"/>
      <c r="I375" s="33"/>
      <c r="J375" s="35"/>
      <c r="K375" s="33"/>
      <c r="L375" s="33"/>
      <c r="M375" s="36"/>
      <c r="N375" s="33"/>
      <c r="O375" s="35"/>
      <c r="P375" s="33"/>
      <c r="Q375" s="33"/>
      <c r="R375" s="36"/>
    </row>
    <row r="376" spans="1:18" s="11" customFormat="1">
      <c r="A376" s="33"/>
      <c r="B376" s="34"/>
      <c r="C376" s="35"/>
      <c r="D376" s="33"/>
      <c r="E376" s="35"/>
      <c r="F376" s="33"/>
      <c r="G376" s="33"/>
      <c r="H376" s="36"/>
      <c r="I376" s="33"/>
      <c r="J376" s="35"/>
      <c r="K376" s="33"/>
      <c r="L376" s="33"/>
      <c r="M376" s="36"/>
      <c r="N376" s="33"/>
      <c r="O376" s="35"/>
      <c r="P376" s="33"/>
      <c r="Q376" s="33"/>
      <c r="R376" s="36"/>
    </row>
    <row r="377" spans="1:18" s="11" customFormat="1">
      <c r="A377" s="33"/>
      <c r="B377" s="34"/>
      <c r="C377" s="35"/>
      <c r="D377" s="33"/>
      <c r="E377" s="35"/>
      <c r="F377" s="33"/>
      <c r="G377" s="33"/>
      <c r="H377" s="36"/>
      <c r="I377" s="33"/>
      <c r="J377" s="35"/>
      <c r="K377" s="33"/>
      <c r="L377" s="33"/>
      <c r="M377" s="36"/>
      <c r="N377" s="33"/>
      <c r="O377" s="35"/>
      <c r="P377" s="33"/>
      <c r="Q377" s="33"/>
      <c r="R377" s="36"/>
    </row>
    <row r="378" spans="1:18" s="11" customFormat="1">
      <c r="A378" s="33"/>
      <c r="B378" s="34"/>
      <c r="C378" s="35"/>
      <c r="D378" s="33"/>
      <c r="E378" s="35"/>
      <c r="F378" s="33"/>
      <c r="G378" s="33"/>
      <c r="H378" s="36"/>
      <c r="I378" s="33"/>
      <c r="J378" s="35"/>
      <c r="K378" s="33"/>
      <c r="L378" s="33"/>
      <c r="M378" s="36"/>
      <c r="N378" s="33"/>
      <c r="O378" s="35"/>
      <c r="P378" s="33"/>
      <c r="Q378" s="33"/>
      <c r="R378" s="36"/>
    </row>
    <row r="379" spans="1:18" s="11" customFormat="1">
      <c r="A379" s="33"/>
      <c r="B379" s="34"/>
      <c r="C379" s="35"/>
      <c r="D379" s="33"/>
      <c r="E379" s="35"/>
      <c r="F379" s="33"/>
      <c r="G379" s="33"/>
      <c r="H379" s="36"/>
      <c r="I379" s="33"/>
      <c r="J379" s="35"/>
      <c r="K379" s="33"/>
      <c r="L379" s="33"/>
      <c r="M379" s="36"/>
      <c r="N379" s="33"/>
      <c r="O379" s="35"/>
      <c r="P379" s="33"/>
      <c r="Q379" s="33"/>
      <c r="R379" s="36"/>
    </row>
    <row r="380" spans="1:18" s="11" customFormat="1">
      <c r="A380" s="33"/>
      <c r="B380" s="34"/>
      <c r="C380" s="35"/>
      <c r="D380" s="33"/>
      <c r="E380" s="35"/>
      <c r="F380" s="33"/>
      <c r="G380" s="33"/>
      <c r="H380" s="36"/>
      <c r="I380" s="33"/>
      <c r="J380" s="35"/>
      <c r="K380" s="33"/>
      <c r="L380" s="33"/>
      <c r="M380" s="36"/>
      <c r="N380" s="33"/>
      <c r="O380" s="35"/>
      <c r="P380" s="33"/>
      <c r="Q380" s="33"/>
      <c r="R380" s="36"/>
    </row>
    <row r="381" spans="1:18" s="11" customFormat="1">
      <c r="A381" s="33"/>
      <c r="B381" s="34"/>
      <c r="C381" s="35"/>
      <c r="D381" s="33"/>
      <c r="E381" s="35"/>
      <c r="F381" s="33"/>
      <c r="G381" s="33"/>
      <c r="H381" s="36"/>
      <c r="I381" s="33"/>
      <c r="J381" s="35"/>
      <c r="K381" s="33"/>
      <c r="L381" s="33"/>
      <c r="M381" s="36"/>
      <c r="N381" s="33"/>
      <c r="O381" s="35"/>
      <c r="P381" s="33"/>
      <c r="Q381" s="33"/>
      <c r="R381" s="36"/>
    </row>
    <row r="382" spans="1:18" s="11" customFormat="1">
      <c r="A382" s="33"/>
      <c r="B382" s="34"/>
      <c r="C382" s="35"/>
      <c r="D382" s="33"/>
      <c r="E382" s="35"/>
      <c r="F382" s="33"/>
      <c r="G382" s="33"/>
      <c r="H382" s="36"/>
      <c r="I382" s="33"/>
      <c r="J382" s="35"/>
      <c r="K382" s="33"/>
      <c r="L382" s="33"/>
      <c r="M382" s="36"/>
      <c r="N382" s="33"/>
      <c r="O382" s="35"/>
      <c r="P382" s="33"/>
      <c r="Q382" s="33"/>
      <c r="R382" s="36"/>
    </row>
    <row r="383" spans="1:18" s="11" customFormat="1">
      <c r="A383" s="33"/>
      <c r="B383" s="34"/>
      <c r="C383" s="35"/>
      <c r="D383" s="33"/>
      <c r="E383" s="35"/>
      <c r="F383" s="33"/>
      <c r="G383" s="33"/>
      <c r="H383" s="36"/>
      <c r="I383" s="33"/>
      <c r="J383" s="35"/>
      <c r="K383" s="33"/>
      <c r="L383" s="33"/>
      <c r="M383" s="36"/>
      <c r="N383" s="33"/>
      <c r="O383" s="35"/>
      <c r="P383" s="33"/>
      <c r="Q383" s="33"/>
      <c r="R383" s="36"/>
    </row>
    <row r="384" spans="1:18" s="11" customFormat="1">
      <c r="A384" s="33"/>
      <c r="B384" s="34"/>
      <c r="C384" s="35"/>
      <c r="D384" s="33"/>
      <c r="E384" s="35"/>
      <c r="F384" s="33"/>
      <c r="G384" s="33"/>
      <c r="H384" s="36"/>
      <c r="I384" s="33"/>
      <c r="J384" s="35"/>
      <c r="K384" s="33"/>
      <c r="L384" s="33"/>
      <c r="M384" s="36"/>
      <c r="N384" s="33"/>
      <c r="O384" s="35"/>
      <c r="P384" s="33"/>
      <c r="Q384" s="33"/>
      <c r="R384" s="36"/>
    </row>
    <row r="385" spans="1:18" s="11" customFormat="1">
      <c r="A385" s="33"/>
      <c r="B385" s="34"/>
      <c r="C385" s="35"/>
      <c r="D385" s="33"/>
      <c r="E385" s="35"/>
      <c r="F385" s="33"/>
      <c r="G385" s="33"/>
      <c r="H385" s="36"/>
      <c r="I385" s="33"/>
      <c r="J385" s="35"/>
      <c r="K385" s="33"/>
      <c r="L385" s="33"/>
      <c r="M385" s="36"/>
      <c r="N385" s="33"/>
      <c r="O385" s="35"/>
      <c r="P385" s="33"/>
      <c r="Q385" s="33"/>
      <c r="R385" s="36"/>
    </row>
    <row r="386" spans="1:18" s="11" customFormat="1">
      <c r="A386" s="33"/>
      <c r="B386" s="34"/>
      <c r="C386" s="35"/>
      <c r="D386" s="33"/>
      <c r="E386" s="35"/>
      <c r="F386" s="33"/>
      <c r="G386" s="33"/>
      <c r="H386" s="36"/>
      <c r="I386" s="33"/>
      <c r="J386" s="35"/>
      <c r="K386" s="33"/>
      <c r="L386" s="33"/>
      <c r="M386" s="36"/>
      <c r="N386" s="33"/>
      <c r="O386" s="35"/>
      <c r="P386" s="33"/>
      <c r="Q386" s="33"/>
      <c r="R386" s="36"/>
    </row>
    <row r="387" spans="1:18" s="11" customFormat="1">
      <c r="A387" s="33"/>
      <c r="B387" s="34"/>
      <c r="C387" s="35"/>
      <c r="D387" s="33"/>
      <c r="E387" s="35"/>
      <c r="F387" s="33"/>
      <c r="G387" s="33"/>
      <c r="H387" s="36"/>
      <c r="I387" s="33"/>
      <c r="J387" s="35"/>
      <c r="K387" s="33"/>
      <c r="L387" s="33"/>
      <c r="M387" s="36"/>
      <c r="N387" s="33"/>
      <c r="O387" s="35"/>
      <c r="P387" s="33"/>
      <c r="Q387" s="33"/>
      <c r="R387" s="36"/>
    </row>
    <row r="388" spans="1:18" s="11" customFormat="1">
      <c r="A388" s="33"/>
      <c r="B388" s="34"/>
      <c r="C388" s="35"/>
      <c r="D388" s="33"/>
      <c r="E388" s="35"/>
      <c r="F388" s="33"/>
      <c r="G388" s="33"/>
      <c r="H388" s="36"/>
      <c r="I388" s="33"/>
      <c r="J388" s="35"/>
      <c r="K388" s="33"/>
      <c r="L388" s="33"/>
      <c r="M388" s="36"/>
      <c r="N388" s="33"/>
      <c r="O388" s="35"/>
      <c r="P388" s="33"/>
      <c r="Q388" s="33"/>
      <c r="R388" s="36"/>
    </row>
    <row r="389" spans="1:18" s="11" customFormat="1">
      <c r="A389" s="33"/>
      <c r="B389" s="34"/>
      <c r="C389" s="35"/>
      <c r="D389" s="33"/>
      <c r="E389" s="35"/>
      <c r="F389" s="33"/>
      <c r="G389" s="33"/>
      <c r="H389" s="36"/>
      <c r="I389" s="33"/>
      <c r="J389" s="35"/>
      <c r="K389" s="33"/>
      <c r="L389" s="33"/>
      <c r="M389" s="36"/>
      <c r="N389" s="33"/>
      <c r="O389" s="35"/>
      <c r="P389" s="33"/>
      <c r="Q389" s="33"/>
      <c r="R389" s="36"/>
    </row>
    <row r="390" spans="1:18" s="11" customFormat="1">
      <c r="A390" s="33"/>
      <c r="B390" s="34"/>
      <c r="C390" s="35"/>
      <c r="D390" s="33"/>
      <c r="E390" s="35"/>
      <c r="F390" s="33"/>
      <c r="G390" s="33"/>
      <c r="H390" s="36"/>
      <c r="I390" s="33"/>
      <c r="J390" s="35"/>
      <c r="K390" s="33"/>
      <c r="L390" s="33"/>
      <c r="M390" s="36"/>
      <c r="N390" s="33"/>
      <c r="O390" s="35"/>
      <c r="P390" s="33"/>
      <c r="Q390" s="33"/>
      <c r="R390" s="36"/>
    </row>
    <row r="391" spans="1:18" s="11" customFormat="1">
      <c r="A391" s="33"/>
      <c r="B391" s="34"/>
      <c r="C391" s="35"/>
      <c r="D391" s="33"/>
      <c r="E391" s="35"/>
      <c r="F391" s="33"/>
      <c r="G391" s="33"/>
      <c r="H391" s="36"/>
      <c r="I391" s="33"/>
      <c r="J391" s="35"/>
      <c r="K391" s="33"/>
      <c r="L391" s="33"/>
      <c r="M391" s="36"/>
      <c r="N391" s="33"/>
      <c r="O391" s="35"/>
      <c r="P391" s="33"/>
      <c r="Q391" s="33"/>
      <c r="R391" s="36"/>
    </row>
    <row r="392" spans="1:18" s="11" customFormat="1">
      <c r="A392" s="33"/>
      <c r="B392" s="34"/>
      <c r="C392" s="35"/>
      <c r="D392" s="33"/>
      <c r="E392" s="35"/>
      <c r="F392" s="33"/>
      <c r="G392" s="33"/>
      <c r="H392" s="36"/>
      <c r="I392" s="33"/>
      <c r="J392" s="35"/>
      <c r="K392" s="33"/>
      <c r="L392" s="33"/>
      <c r="M392" s="36"/>
      <c r="N392" s="33"/>
      <c r="O392" s="35"/>
      <c r="P392" s="33"/>
      <c r="Q392" s="33"/>
      <c r="R392" s="36"/>
    </row>
    <row r="393" spans="1:18" s="11" customFormat="1">
      <c r="A393" s="33"/>
      <c r="B393" s="34"/>
      <c r="C393" s="35"/>
      <c r="D393" s="33"/>
      <c r="E393" s="35"/>
      <c r="F393" s="33"/>
      <c r="G393" s="33"/>
      <c r="H393" s="36"/>
      <c r="I393" s="33"/>
      <c r="J393" s="35"/>
      <c r="K393" s="33"/>
      <c r="L393" s="33"/>
      <c r="M393" s="36"/>
      <c r="N393" s="33"/>
      <c r="O393" s="35"/>
      <c r="P393" s="33"/>
      <c r="Q393" s="33"/>
      <c r="R393" s="36"/>
    </row>
    <row r="394" spans="1:18" s="11" customFormat="1">
      <c r="A394" s="33"/>
      <c r="B394" s="34"/>
      <c r="C394" s="35"/>
      <c r="D394" s="33"/>
      <c r="E394" s="35"/>
      <c r="F394" s="33"/>
      <c r="G394" s="33"/>
      <c r="H394" s="36"/>
      <c r="I394" s="33"/>
      <c r="J394" s="35"/>
      <c r="K394" s="33"/>
      <c r="L394" s="33"/>
      <c r="M394" s="36"/>
      <c r="N394" s="33"/>
      <c r="O394" s="35"/>
      <c r="P394" s="33"/>
      <c r="Q394" s="33"/>
      <c r="R394" s="36"/>
    </row>
    <row r="395" spans="1:18" s="11" customFormat="1">
      <c r="A395" s="33"/>
      <c r="B395" s="34"/>
      <c r="C395" s="35"/>
      <c r="D395" s="33"/>
      <c r="E395" s="274"/>
      <c r="F395" s="273"/>
      <c r="G395" s="273"/>
      <c r="H395" s="275"/>
      <c r="I395" s="273"/>
      <c r="J395" s="274"/>
      <c r="K395" s="273"/>
      <c r="L395" s="273"/>
      <c r="M395" s="275"/>
      <c r="N395" s="273"/>
      <c r="O395" s="274"/>
      <c r="P395" s="273"/>
      <c r="Q395" s="273"/>
      <c r="R395" s="275"/>
    </row>
    <row r="396" spans="1:18" s="11" customFormat="1">
      <c r="A396" s="33"/>
      <c r="B396" s="34"/>
      <c r="C396" s="35"/>
      <c r="D396" s="33"/>
      <c r="E396" s="274"/>
      <c r="F396" s="273"/>
      <c r="G396" s="273"/>
      <c r="H396" s="275"/>
      <c r="I396" s="273"/>
      <c r="J396" s="274"/>
      <c r="K396" s="273"/>
      <c r="L396" s="273"/>
      <c r="M396" s="275"/>
      <c r="N396" s="273"/>
      <c r="O396" s="274"/>
      <c r="P396" s="273"/>
      <c r="Q396" s="273"/>
      <c r="R396" s="275"/>
    </row>
    <row r="397" spans="1:18" s="11" customFormat="1">
      <c r="A397" s="33"/>
      <c r="B397" s="34"/>
      <c r="C397" s="35"/>
      <c r="D397" s="33"/>
      <c r="E397" s="274"/>
      <c r="F397" s="273"/>
      <c r="G397" s="273"/>
      <c r="H397" s="275"/>
      <c r="I397" s="273"/>
      <c r="J397" s="274"/>
      <c r="K397" s="273"/>
      <c r="L397" s="273"/>
      <c r="M397" s="275"/>
      <c r="N397" s="273"/>
      <c r="O397" s="274"/>
      <c r="P397" s="273"/>
      <c r="Q397" s="273"/>
      <c r="R397" s="275"/>
    </row>
    <row r="398" spans="1:18" s="11" customFormat="1">
      <c r="A398" s="33"/>
      <c r="B398" s="34"/>
      <c r="C398" s="35"/>
      <c r="D398" s="33"/>
      <c r="E398" s="274"/>
      <c r="F398" s="273"/>
      <c r="G398" s="273"/>
      <c r="H398" s="275"/>
      <c r="I398" s="273"/>
      <c r="J398" s="274"/>
      <c r="K398" s="273"/>
      <c r="L398" s="273"/>
      <c r="M398" s="275"/>
      <c r="N398" s="273"/>
      <c r="O398" s="274"/>
      <c r="P398" s="273"/>
      <c r="Q398" s="273"/>
      <c r="R398" s="275"/>
    </row>
    <row r="399" spans="1:18" s="11" customFormat="1">
      <c r="A399" s="33"/>
      <c r="B399" s="34"/>
      <c r="C399" s="35"/>
      <c r="D399" s="33"/>
      <c r="E399" s="274"/>
      <c r="F399" s="273"/>
      <c r="G399" s="273"/>
      <c r="H399" s="275"/>
      <c r="I399" s="273"/>
      <c r="J399" s="274"/>
      <c r="K399" s="273"/>
      <c r="L399" s="273"/>
      <c r="M399" s="275"/>
      <c r="N399" s="273"/>
      <c r="O399" s="274"/>
      <c r="P399" s="273"/>
      <c r="Q399" s="273"/>
      <c r="R399" s="275"/>
    </row>
    <row r="400" spans="1:18" s="11" customFormat="1">
      <c r="A400" s="33"/>
      <c r="B400" s="34"/>
      <c r="C400" s="35"/>
      <c r="D400" s="33"/>
      <c r="E400" s="274"/>
      <c r="F400" s="273"/>
      <c r="G400" s="273"/>
      <c r="H400" s="275"/>
      <c r="I400" s="273"/>
      <c r="J400" s="274"/>
      <c r="K400" s="273"/>
      <c r="L400" s="273"/>
      <c r="M400" s="275"/>
      <c r="N400" s="273"/>
      <c r="O400" s="274"/>
      <c r="P400" s="273"/>
      <c r="Q400" s="273"/>
      <c r="R400" s="275"/>
    </row>
    <row r="401" spans="1:18" s="11" customFormat="1">
      <c r="A401" s="33"/>
      <c r="B401" s="34"/>
      <c r="C401" s="35"/>
      <c r="D401" s="33"/>
      <c r="E401" s="274"/>
      <c r="F401" s="273"/>
      <c r="G401" s="273"/>
      <c r="H401" s="275"/>
      <c r="I401" s="273"/>
      <c r="J401" s="274"/>
      <c r="K401" s="273"/>
      <c r="L401" s="273"/>
      <c r="M401" s="275"/>
      <c r="N401" s="273"/>
      <c r="O401" s="274"/>
      <c r="P401" s="273"/>
      <c r="Q401" s="273"/>
      <c r="R401" s="275"/>
    </row>
    <row r="402" spans="1:18" s="11" customFormat="1">
      <c r="A402" s="33"/>
      <c r="B402" s="34"/>
      <c r="C402" s="35"/>
      <c r="D402" s="33"/>
      <c r="E402" s="274"/>
      <c r="F402" s="273"/>
      <c r="G402" s="273"/>
      <c r="H402" s="275"/>
      <c r="I402" s="273"/>
      <c r="J402" s="274"/>
      <c r="K402" s="273"/>
      <c r="L402" s="273"/>
      <c r="M402" s="275"/>
      <c r="N402" s="273"/>
      <c r="O402" s="274"/>
      <c r="P402" s="273"/>
      <c r="Q402" s="273"/>
      <c r="R402" s="275"/>
    </row>
    <row r="403" spans="1:18" s="11" customFormat="1">
      <c r="A403" s="33"/>
      <c r="B403" s="34"/>
      <c r="C403" s="35"/>
      <c r="D403" s="33"/>
      <c r="E403" s="274"/>
      <c r="F403" s="273"/>
      <c r="G403" s="273"/>
      <c r="H403" s="275"/>
      <c r="I403" s="273"/>
      <c r="J403" s="274"/>
      <c r="K403" s="273"/>
      <c r="L403" s="273"/>
      <c r="M403" s="275"/>
      <c r="N403" s="273"/>
      <c r="O403" s="274"/>
      <c r="P403" s="273"/>
      <c r="Q403" s="273"/>
      <c r="R403" s="275"/>
    </row>
    <row r="404" spans="1:18" s="11" customFormat="1">
      <c r="A404" s="33"/>
      <c r="B404" s="34"/>
      <c r="C404" s="35"/>
      <c r="D404" s="33"/>
      <c r="E404" s="274"/>
      <c r="F404" s="273"/>
      <c r="G404" s="273"/>
      <c r="H404" s="275"/>
      <c r="I404" s="273"/>
      <c r="J404" s="274"/>
      <c r="K404" s="273"/>
      <c r="L404" s="273"/>
      <c r="M404" s="275"/>
      <c r="N404" s="273"/>
      <c r="O404" s="274"/>
      <c r="P404" s="273"/>
      <c r="Q404" s="273"/>
      <c r="R404" s="275"/>
    </row>
    <row r="405" spans="1:18" s="11" customFormat="1">
      <c r="A405" s="33"/>
      <c r="B405" s="34"/>
      <c r="C405" s="35"/>
      <c r="D405" s="33"/>
      <c r="E405" s="274"/>
      <c r="F405" s="273"/>
      <c r="G405" s="273"/>
      <c r="H405" s="275"/>
      <c r="I405" s="273"/>
      <c r="J405" s="274"/>
      <c r="K405" s="273"/>
      <c r="L405" s="273"/>
      <c r="M405" s="275"/>
      <c r="N405" s="273"/>
      <c r="O405" s="274"/>
      <c r="P405" s="273"/>
      <c r="Q405" s="273"/>
      <c r="R405" s="275"/>
    </row>
    <row r="406" spans="1:18" s="11" customFormat="1">
      <c r="A406" s="33"/>
      <c r="B406" s="34"/>
      <c r="C406" s="35"/>
      <c r="D406" s="33"/>
      <c r="E406" s="274"/>
      <c r="F406" s="273"/>
      <c r="G406" s="273"/>
      <c r="H406" s="275"/>
      <c r="I406" s="273"/>
      <c r="J406" s="274"/>
      <c r="K406" s="273"/>
      <c r="L406" s="273"/>
      <c r="M406" s="275"/>
      <c r="N406" s="273"/>
      <c r="O406" s="274"/>
      <c r="P406" s="273"/>
      <c r="Q406" s="273"/>
      <c r="R406" s="275"/>
    </row>
    <row r="407" spans="1:18" s="11" customFormat="1">
      <c r="A407" s="33"/>
      <c r="B407" s="34"/>
      <c r="C407" s="35"/>
      <c r="D407" s="33"/>
      <c r="E407" s="274"/>
      <c r="F407" s="273"/>
      <c r="G407" s="273"/>
      <c r="H407" s="275"/>
      <c r="I407" s="273"/>
      <c r="J407" s="274"/>
      <c r="K407" s="273"/>
      <c r="L407" s="273"/>
      <c r="M407" s="275"/>
      <c r="N407" s="273"/>
      <c r="O407" s="274"/>
      <c r="P407" s="273"/>
      <c r="Q407" s="273"/>
      <c r="R407" s="275"/>
    </row>
    <row r="408" spans="1:18" s="11" customFormat="1">
      <c r="A408" s="33"/>
      <c r="B408" s="34"/>
      <c r="C408" s="35"/>
      <c r="D408" s="33"/>
      <c r="E408" s="274"/>
      <c r="F408" s="273"/>
      <c r="G408" s="273"/>
      <c r="H408" s="275"/>
      <c r="I408" s="273"/>
      <c r="J408" s="274"/>
      <c r="K408" s="273"/>
      <c r="L408" s="273"/>
      <c r="M408" s="275"/>
      <c r="N408" s="273"/>
      <c r="O408" s="274"/>
      <c r="P408" s="273"/>
      <c r="Q408" s="273"/>
      <c r="R408" s="275"/>
    </row>
    <row r="409" spans="1:18" s="11" customFormat="1">
      <c r="A409" s="33"/>
      <c r="B409" s="34"/>
      <c r="C409" s="35"/>
      <c r="D409" s="33"/>
      <c r="E409" s="274"/>
      <c r="F409" s="273"/>
      <c r="G409" s="273"/>
      <c r="H409" s="275"/>
      <c r="I409" s="273"/>
      <c r="J409" s="274"/>
      <c r="K409" s="273"/>
      <c r="L409" s="273"/>
      <c r="M409" s="275"/>
      <c r="N409" s="273"/>
      <c r="O409" s="274"/>
      <c r="P409" s="273"/>
      <c r="Q409" s="273"/>
      <c r="R409" s="275"/>
    </row>
    <row r="410" spans="1:18" s="11" customFormat="1">
      <c r="A410" s="33"/>
      <c r="B410" s="34"/>
      <c r="C410" s="35"/>
      <c r="D410" s="33"/>
      <c r="E410" s="274"/>
      <c r="F410" s="273"/>
      <c r="G410" s="273"/>
      <c r="H410" s="275"/>
      <c r="I410" s="273"/>
      <c r="J410" s="274"/>
      <c r="K410" s="273"/>
      <c r="L410" s="273"/>
      <c r="M410" s="275"/>
      <c r="N410" s="273"/>
      <c r="O410" s="274"/>
      <c r="P410" s="273"/>
      <c r="Q410" s="273"/>
      <c r="R410" s="275"/>
    </row>
    <row r="411" spans="1:18" s="11" customFormat="1">
      <c r="A411" s="33"/>
      <c r="B411" s="34"/>
      <c r="C411" s="35"/>
      <c r="D411" s="33"/>
      <c r="E411" s="274"/>
      <c r="F411" s="273"/>
      <c r="G411" s="273"/>
      <c r="H411" s="275"/>
      <c r="I411" s="273"/>
      <c r="J411" s="274"/>
      <c r="K411" s="273"/>
      <c r="L411" s="273"/>
      <c r="M411" s="275"/>
      <c r="N411" s="273"/>
      <c r="O411" s="274"/>
      <c r="P411" s="273"/>
      <c r="Q411" s="273"/>
      <c r="R411" s="275"/>
    </row>
    <row r="412" spans="1:18" s="11" customFormat="1">
      <c r="A412" s="33"/>
      <c r="B412" s="34"/>
      <c r="C412" s="35"/>
      <c r="D412" s="33"/>
      <c r="E412" s="274"/>
      <c r="F412" s="273"/>
      <c r="G412" s="273"/>
      <c r="H412" s="275"/>
      <c r="I412" s="273"/>
      <c r="J412" s="274"/>
      <c r="K412" s="273"/>
      <c r="L412" s="273"/>
      <c r="M412" s="275"/>
      <c r="N412" s="273"/>
      <c r="O412" s="274"/>
      <c r="P412" s="273"/>
      <c r="Q412" s="273"/>
      <c r="R412" s="275"/>
    </row>
    <row r="413" spans="1:18" s="11" customFormat="1">
      <c r="A413" s="33"/>
      <c r="B413" s="34"/>
      <c r="C413" s="35"/>
      <c r="D413" s="33"/>
      <c r="E413" s="274"/>
      <c r="F413" s="273"/>
      <c r="G413" s="273"/>
      <c r="H413" s="275"/>
      <c r="I413" s="273"/>
      <c r="J413" s="274"/>
      <c r="K413" s="273"/>
      <c r="L413" s="273"/>
      <c r="M413" s="275"/>
      <c r="N413" s="273"/>
      <c r="O413" s="274"/>
      <c r="P413" s="273"/>
      <c r="Q413" s="273"/>
      <c r="R413" s="275"/>
    </row>
    <row r="414" spans="1:18" s="11" customFormat="1">
      <c r="A414" s="33"/>
      <c r="B414" s="34"/>
      <c r="C414" s="35"/>
      <c r="D414" s="33"/>
      <c r="E414" s="274"/>
      <c r="F414" s="273"/>
      <c r="G414" s="273"/>
      <c r="H414" s="275"/>
      <c r="I414" s="273"/>
      <c r="J414" s="274"/>
      <c r="K414" s="273"/>
      <c r="L414" s="273"/>
      <c r="M414" s="275"/>
      <c r="N414" s="273"/>
      <c r="O414" s="274"/>
      <c r="P414" s="273"/>
      <c r="Q414" s="273"/>
      <c r="R414" s="275"/>
    </row>
    <row r="415" spans="1:18" s="11" customFormat="1">
      <c r="A415" s="33"/>
      <c r="B415" s="34"/>
      <c r="C415" s="35"/>
      <c r="D415" s="33"/>
      <c r="E415" s="274"/>
      <c r="F415" s="273"/>
      <c r="G415" s="273"/>
      <c r="H415" s="275"/>
      <c r="I415" s="273"/>
      <c r="J415" s="274"/>
      <c r="K415" s="273"/>
      <c r="L415" s="273"/>
      <c r="M415" s="275"/>
      <c r="N415" s="273"/>
      <c r="O415" s="274"/>
      <c r="P415" s="273"/>
      <c r="Q415" s="273"/>
      <c r="R415" s="275"/>
    </row>
    <row r="416" spans="1:18" s="11" customFormat="1">
      <c r="A416" s="33"/>
      <c r="B416" s="34"/>
      <c r="C416" s="35"/>
      <c r="D416" s="33"/>
      <c r="E416" s="274"/>
      <c r="F416" s="273"/>
      <c r="G416" s="273"/>
      <c r="H416" s="275"/>
      <c r="I416" s="273"/>
      <c r="J416" s="274"/>
      <c r="K416" s="273"/>
      <c r="L416" s="273"/>
      <c r="M416" s="275"/>
      <c r="N416" s="273"/>
      <c r="O416" s="274"/>
      <c r="P416" s="273"/>
      <c r="Q416" s="273"/>
      <c r="R416" s="275"/>
    </row>
    <row r="417" spans="1:18" s="11" customFormat="1">
      <c r="A417" s="33"/>
      <c r="B417" s="34"/>
      <c r="C417" s="35"/>
      <c r="D417" s="33"/>
      <c r="E417" s="274"/>
      <c r="F417" s="273"/>
      <c r="G417" s="273"/>
      <c r="H417" s="275"/>
      <c r="I417" s="273"/>
      <c r="J417" s="274"/>
      <c r="K417" s="273"/>
      <c r="L417" s="273"/>
      <c r="M417" s="275"/>
      <c r="N417" s="273"/>
      <c r="O417" s="274"/>
      <c r="P417" s="273"/>
      <c r="Q417" s="273"/>
      <c r="R417" s="275"/>
    </row>
    <row r="418" spans="1:18" s="11" customFormat="1">
      <c r="A418" s="33"/>
      <c r="B418" s="34"/>
      <c r="C418" s="35"/>
      <c r="D418" s="33"/>
      <c r="E418" s="274"/>
      <c r="F418" s="273"/>
      <c r="G418" s="273"/>
      <c r="H418" s="275"/>
      <c r="I418" s="273"/>
      <c r="J418" s="274"/>
      <c r="K418" s="273"/>
      <c r="L418" s="273"/>
      <c r="M418" s="275"/>
      <c r="N418" s="273"/>
      <c r="O418" s="274"/>
      <c r="P418" s="273"/>
      <c r="Q418" s="273"/>
      <c r="R418" s="275"/>
    </row>
    <row r="419" spans="1:18" s="11" customFormat="1">
      <c r="A419" s="33"/>
      <c r="B419" s="34"/>
      <c r="C419" s="35"/>
      <c r="D419" s="33"/>
      <c r="E419" s="274"/>
      <c r="F419" s="273"/>
      <c r="G419" s="273"/>
      <c r="H419" s="275"/>
      <c r="I419" s="273"/>
      <c r="J419" s="274"/>
      <c r="K419" s="273"/>
      <c r="L419" s="273"/>
      <c r="M419" s="275"/>
      <c r="N419" s="273"/>
      <c r="O419" s="274"/>
      <c r="P419" s="273"/>
      <c r="Q419" s="273"/>
      <c r="R419" s="275"/>
    </row>
    <row r="420" spans="1:18" s="11" customFormat="1">
      <c r="A420" s="33"/>
      <c r="B420" s="34"/>
      <c r="C420" s="35"/>
      <c r="D420" s="33"/>
      <c r="E420" s="274"/>
      <c r="F420" s="273"/>
      <c r="G420" s="273"/>
      <c r="H420" s="275"/>
      <c r="I420" s="273"/>
      <c r="J420" s="274"/>
      <c r="K420" s="273"/>
      <c r="L420" s="273"/>
      <c r="M420" s="275"/>
      <c r="N420" s="273"/>
      <c r="O420" s="274"/>
      <c r="P420" s="273"/>
      <c r="Q420" s="273"/>
      <c r="R420" s="275"/>
    </row>
    <row r="421" spans="1:18" s="11" customFormat="1">
      <c r="A421" s="33"/>
      <c r="B421" s="34"/>
      <c r="C421" s="35"/>
      <c r="D421" s="33"/>
      <c r="E421" s="274"/>
      <c r="F421" s="273"/>
      <c r="G421" s="273"/>
      <c r="H421" s="275"/>
      <c r="I421" s="273"/>
      <c r="J421" s="274"/>
      <c r="K421" s="273"/>
      <c r="L421" s="273"/>
      <c r="M421" s="275"/>
      <c r="N421" s="273"/>
      <c r="O421" s="274"/>
      <c r="P421" s="273"/>
      <c r="Q421" s="273"/>
      <c r="R421" s="275"/>
    </row>
    <row r="422" spans="1:18" s="11" customFormat="1">
      <c r="A422" s="33"/>
      <c r="B422" s="34"/>
      <c r="C422" s="35"/>
      <c r="D422" s="33"/>
      <c r="E422" s="274"/>
      <c r="F422" s="273"/>
      <c r="G422" s="273"/>
      <c r="H422" s="275"/>
      <c r="I422" s="273"/>
      <c r="J422" s="274"/>
      <c r="K422" s="273"/>
      <c r="L422" s="273"/>
      <c r="M422" s="275"/>
      <c r="N422" s="273"/>
      <c r="O422" s="274"/>
      <c r="P422" s="273"/>
      <c r="Q422" s="273"/>
      <c r="R422" s="275"/>
    </row>
    <row r="423" spans="1:18" s="11" customFormat="1">
      <c r="A423" s="33"/>
      <c r="B423" s="34"/>
      <c r="C423" s="35"/>
      <c r="D423" s="33"/>
      <c r="E423" s="274"/>
      <c r="F423" s="273"/>
      <c r="G423" s="273"/>
      <c r="H423" s="275"/>
      <c r="I423" s="273"/>
      <c r="J423" s="274"/>
      <c r="K423" s="273"/>
      <c r="L423" s="273"/>
      <c r="M423" s="275"/>
      <c r="N423" s="273"/>
      <c r="O423" s="274"/>
      <c r="P423" s="273"/>
      <c r="Q423" s="273"/>
      <c r="R423" s="275"/>
    </row>
    <row r="424" spans="1:18" s="11" customFormat="1">
      <c r="A424" s="33"/>
      <c r="B424" s="34"/>
      <c r="C424" s="35"/>
      <c r="D424" s="33"/>
      <c r="E424" s="274"/>
      <c r="F424" s="273"/>
      <c r="G424" s="273"/>
      <c r="H424" s="275"/>
      <c r="I424" s="273"/>
      <c r="J424" s="274"/>
      <c r="K424" s="273"/>
      <c r="L424" s="273"/>
      <c r="M424" s="275"/>
      <c r="N424" s="273"/>
      <c r="O424" s="274"/>
      <c r="P424" s="273"/>
      <c r="Q424" s="273"/>
      <c r="R424" s="275"/>
    </row>
    <row r="425" spans="1:18" s="11" customFormat="1">
      <c r="A425" s="33"/>
      <c r="B425" s="34"/>
      <c r="C425" s="35"/>
      <c r="D425" s="33"/>
      <c r="E425" s="274"/>
      <c r="F425" s="273"/>
      <c r="G425" s="273"/>
      <c r="H425" s="275"/>
      <c r="I425" s="273"/>
      <c r="J425" s="274"/>
      <c r="K425" s="273"/>
      <c r="L425" s="273"/>
      <c r="M425" s="275"/>
      <c r="N425" s="273"/>
      <c r="O425" s="274"/>
      <c r="P425" s="273"/>
      <c r="Q425" s="273"/>
      <c r="R425" s="275"/>
    </row>
    <row r="426" spans="1:18" s="11" customFormat="1">
      <c r="A426" s="33"/>
      <c r="B426" s="34"/>
      <c r="C426" s="35"/>
      <c r="D426" s="33"/>
      <c r="E426" s="274"/>
      <c r="F426" s="273"/>
      <c r="G426" s="273"/>
      <c r="H426" s="275"/>
      <c r="I426" s="273"/>
      <c r="J426" s="274"/>
      <c r="K426" s="273"/>
      <c r="L426" s="273"/>
      <c r="M426" s="275"/>
      <c r="N426" s="273"/>
      <c r="O426" s="274"/>
      <c r="P426" s="273"/>
      <c r="Q426" s="273"/>
      <c r="R426" s="275"/>
    </row>
    <row r="427" spans="1:18" s="11" customFormat="1">
      <c r="A427" s="33"/>
      <c r="B427" s="34"/>
      <c r="C427" s="35"/>
      <c r="D427" s="33"/>
      <c r="E427" s="274"/>
      <c r="F427" s="273"/>
      <c r="G427" s="273"/>
      <c r="H427" s="275"/>
      <c r="I427" s="273"/>
      <c r="J427" s="274"/>
      <c r="K427" s="273"/>
      <c r="L427" s="273"/>
      <c r="M427" s="275"/>
      <c r="N427" s="273"/>
      <c r="O427" s="274"/>
      <c r="P427" s="273"/>
      <c r="Q427" s="273"/>
      <c r="R427" s="275"/>
    </row>
    <row r="428" spans="1:18" s="11" customFormat="1">
      <c r="A428" s="33"/>
      <c r="B428" s="34"/>
      <c r="C428" s="35"/>
      <c r="D428" s="33"/>
      <c r="E428" s="274"/>
      <c r="F428" s="273"/>
      <c r="G428" s="273"/>
      <c r="H428" s="275"/>
      <c r="I428" s="273"/>
      <c r="J428" s="274"/>
      <c r="K428" s="273"/>
      <c r="L428" s="273"/>
      <c r="M428" s="275"/>
      <c r="N428" s="273"/>
      <c r="O428" s="274"/>
      <c r="P428" s="273"/>
      <c r="Q428" s="273"/>
      <c r="R428" s="275"/>
    </row>
    <row r="429" spans="1:18" s="11" customFormat="1">
      <c r="A429" s="33"/>
      <c r="B429" s="34"/>
      <c r="C429" s="35"/>
      <c r="D429" s="33"/>
      <c r="E429" s="274"/>
      <c r="F429" s="273"/>
      <c r="G429" s="273"/>
      <c r="H429" s="275"/>
      <c r="I429" s="273"/>
      <c r="J429" s="274"/>
      <c r="K429" s="273"/>
      <c r="L429" s="273"/>
      <c r="M429" s="275"/>
      <c r="N429" s="273"/>
      <c r="O429" s="274"/>
      <c r="P429" s="273"/>
      <c r="Q429" s="273"/>
      <c r="R429" s="275"/>
    </row>
    <row r="430" spans="1:18" s="11" customFormat="1">
      <c r="A430" s="33"/>
      <c r="B430" s="34"/>
      <c r="C430" s="35"/>
      <c r="D430" s="33"/>
      <c r="E430" s="274"/>
      <c r="F430" s="273"/>
      <c r="G430" s="273"/>
      <c r="H430" s="275"/>
      <c r="I430" s="273"/>
      <c r="J430" s="274"/>
      <c r="K430" s="273"/>
      <c r="L430" s="273"/>
      <c r="M430" s="275"/>
      <c r="N430" s="273"/>
      <c r="O430" s="274"/>
      <c r="P430" s="273"/>
      <c r="Q430" s="273"/>
      <c r="R430" s="275"/>
    </row>
    <row r="431" spans="1:18" s="11" customFormat="1">
      <c r="A431" s="33"/>
      <c r="B431" s="34"/>
      <c r="C431" s="35"/>
      <c r="D431" s="33"/>
      <c r="E431" s="274"/>
      <c r="F431" s="273"/>
      <c r="G431" s="273"/>
      <c r="H431" s="275"/>
      <c r="I431" s="273"/>
      <c r="J431" s="274"/>
      <c r="K431" s="273"/>
      <c r="L431" s="273"/>
      <c r="M431" s="275"/>
      <c r="N431" s="273"/>
      <c r="O431" s="274"/>
      <c r="P431" s="273"/>
      <c r="Q431" s="273"/>
      <c r="R431" s="275"/>
    </row>
    <row r="432" spans="1:18" s="11" customFormat="1">
      <c r="A432" s="33"/>
      <c r="B432" s="34"/>
      <c r="C432" s="35"/>
      <c r="D432" s="33"/>
      <c r="E432" s="274"/>
      <c r="F432" s="273"/>
      <c r="G432" s="273"/>
      <c r="H432" s="275"/>
      <c r="I432" s="273"/>
      <c r="J432" s="274"/>
      <c r="K432" s="273"/>
      <c r="L432" s="273"/>
      <c r="M432" s="275"/>
      <c r="N432" s="273"/>
      <c r="O432" s="274"/>
      <c r="P432" s="273"/>
      <c r="Q432" s="273"/>
      <c r="R432" s="275"/>
    </row>
    <row r="433" spans="1:18" s="11" customFormat="1">
      <c r="A433" s="33"/>
      <c r="B433" s="34"/>
      <c r="C433" s="35"/>
      <c r="D433" s="33"/>
      <c r="E433" s="274"/>
      <c r="F433" s="273"/>
      <c r="G433" s="273"/>
      <c r="H433" s="275"/>
      <c r="I433" s="273"/>
      <c r="J433" s="274"/>
      <c r="K433" s="273"/>
      <c r="L433" s="273"/>
      <c r="M433" s="275"/>
      <c r="N433" s="273"/>
      <c r="O433" s="274"/>
      <c r="P433" s="273"/>
      <c r="Q433" s="273"/>
      <c r="R433" s="275"/>
    </row>
    <row r="434" spans="1:18" s="11" customFormat="1">
      <c r="A434" s="33"/>
      <c r="B434" s="34"/>
      <c r="C434" s="35"/>
      <c r="D434" s="33"/>
      <c r="E434" s="274"/>
      <c r="F434" s="273"/>
      <c r="G434" s="273"/>
      <c r="H434" s="275"/>
      <c r="I434" s="273"/>
      <c r="J434" s="274"/>
      <c r="K434" s="273"/>
      <c r="L434" s="273"/>
      <c r="M434" s="275"/>
      <c r="N434" s="273"/>
      <c r="O434" s="274"/>
      <c r="P434" s="273"/>
      <c r="Q434" s="273"/>
      <c r="R434" s="275"/>
    </row>
    <row r="435" spans="1:18" s="11" customFormat="1">
      <c r="A435" s="33"/>
      <c r="B435" s="34"/>
      <c r="C435" s="35"/>
      <c r="D435" s="33"/>
      <c r="E435" s="274"/>
      <c r="F435" s="273"/>
      <c r="G435" s="273"/>
      <c r="H435" s="275"/>
      <c r="I435" s="273"/>
      <c r="J435" s="274"/>
      <c r="K435" s="273"/>
      <c r="L435" s="273"/>
      <c r="M435" s="275"/>
      <c r="N435" s="273"/>
      <c r="O435" s="274"/>
      <c r="P435" s="273"/>
      <c r="Q435" s="273"/>
      <c r="R435" s="275"/>
    </row>
    <row r="436" spans="1:18" s="11" customFormat="1">
      <c r="A436" s="33"/>
      <c r="B436" s="34"/>
      <c r="C436" s="35"/>
      <c r="D436" s="33"/>
      <c r="E436" s="274"/>
      <c r="F436" s="273"/>
      <c r="G436" s="273"/>
      <c r="H436" s="275"/>
      <c r="I436" s="273"/>
      <c r="J436" s="274"/>
      <c r="K436" s="273"/>
      <c r="L436" s="273"/>
      <c r="M436" s="275"/>
      <c r="N436" s="273"/>
      <c r="O436" s="274"/>
      <c r="P436" s="273"/>
      <c r="Q436" s="273"/>
      <c r="R436" s="275"/>
    </row>
    <row r="437" spans="1:18" s="11" customFormat="1">
      <c r="A437" s="33"/>
      <c r="B437" s="34"/>
      <c r="C437" s="35"/>
      <c r="D437" s="33"/>
      <c r="E437" s="274"/>
      <c r="F437" s="273"/>
      <c r="G437" s="273"/>
      <c r="H437" s="275"/>
      <c r="I437" s="273"/>
      <c r="J437" s="274"/>
      <c r="K437" s="273"/>
      <c r="L437" s="273"/>
      <c r="M437" s="275"/>
      <c r="N437" s="273"/>
      <c r="O437" s="274"/>
      <c r="P437" s="273"/>
      <c r="Q437" s="273"/>
      <c r="R437" s="275"/>
    </row>
    <row r="438" spans="1:18" s="11" customFormat="1">
      <c r="A438" s="33"/>
      <c r="B438" s="34"/>
      <c r="C438" s="35"/>
      <c r="D438" s="33"/>
      <c r="E438" s="274"/>
      <c r="F438" s="273"/>
      <c r="G438" s="273"/>
      <c r="H438" s="275"/>
      <c r="I438" s="273"/>
      <c r="J438" s="274"/>
      <c r="K438" s="273"/>
      <c r="L438" s="273"/>
      <c r="M438" s="275"/>
      <c r="N438" s="273"/>
      <c r="O438" s="274"/>
      <c r="P438" s="273"/>
      <c r="Q438" s="273"/>
      <c r="R438" s="275"/>
    </row>
    <row r="439" spans="1:18" s="11" customFormat="1">
      <c r="A439" s="33"/>
      <c r="B439" s="34"/>
      <c r="C439" s="35"/>
      <c r="D439" s="33"/>
      <c r="E439" s="274"/>
      <c r="F439" s="273"/>
      <c r="G439" s="273"/>
      <c r="H439" s="275"/>
      <c r="I439" s="273"/>
      <c r="J439" s="274"/>
      <c r="K439" s="273"/>
      <c r="L439" s="273"/>
      <c r="M439" s="275"/>
      <c r="N439" s="273"/>
      <c r="O439" s="274"/>
      <c r="P439" s="273"/>
      <c r="Q439" s="273"/>
      <c r="R439" s="275"/>
    </row>
    <row r="440" spans="1:18" s="11" customFormat="1">
      <c r="A440" s="33"/>
      <c r="B440" s="34"/>
      <c r="C440" s="35"/>
      <c r="D440" s="33"/>
      <c r="E440" s="274"/>
      <c r="F440" s="273"/>
      <c r="G440" s="273"/>
      <c r="H440" s="275"/>
      <c r="I440" s="273"/>
      <c r="J440" s="274"/>
      <c r="K440" s="273"/>
      <c r="L440" s="273"/>
      <c r="M440" s="275"/>
      <c r="N440" s="273"/>
      <c r="O440" s="274"/>
      <c r="P440" s="273"/>
      <c r="Q440" s="273"/>
      <c r="R440" s="275"/>
    </row>
    <row r="441" spans="1:18" s="11" customFormat="1">
      <c r="A441" s="33"/>
      <c r="B441" s="34"/>
      <c r="C441" s="35"/>
      <c r="D441" s="33"/>
      <c r="E441" s="274"/>
      <c r="F441" s="273"/>
      <c r="G441" s="273"/>
      <c r="H441" s="275"/>
      <c r="I441" s="273"/>
      <c r="J441" s="274"/>
      <c r="K441" s="273"/>
      <c r="L441" s="273"/>
      <c r="M441" s="275"/>
      <c r="N441" s="273"/>
      <c r="O441" s="274"/>
      <c r="P441" s="273"/>
      <c r="Q441" s="273"/>
      <c r="R441" s="275"/>
    </row>
    <row r="442" spans="1:18" s="11" customFormat="1">
      <c r="A442" s="33"/>
      <c r="B442" s="34"/>
      <c r="C442" s="35"/>
      <c r="D442" s="33"/>
      <c r="E442" s="274"/>
      <c r="F442" s="273"/>
      <c r="G442" s="273"/>
      <c r="H442" s="275"/>
      <c r="I442" s="273"/>
      <c r="J442" s="274"/>
      <c r="K442" s="273"/>
      <c r="L442" s="273"/>
      <c r="M442" s="275"/>
      <c r="N442" s="273"/>
      <c r="O442" s="274"/>
      <c r="P442" s="273"/>
      <c r="Q442" s="273"/>
      <c r="R442" s="275"/>
    </row>
    <row r="443" spans="1:18" s="11" customFormat="1">
      <c r="A443" s="33"/>
      <c r="B443" s="34"/>
      <c r="C443" s="35"/>
      <c r="D443" s="33"/>
      <c r="E443" s="274"/>
      <c r="F443" s="273"/>
      <c r="G443" s="273"/>
      <c r="H443" s="275"/>
      <c r="I443" s="273"/>
      <c r="J443" s="274"/>
      <c r="K443" s="273"/>
      <c r="L443" s="273"/>
      <c r="M443" s="275"/>
      <c r="N443" s="273"/>
      <c r="O443" s="274"/>
      <c r="P443" s="273"/>
      <c r="Q443" s="273"/>
      <c r="R443" s="275"/>
    </row>
    <row r="444" spans="1:18" s="11" customFormat="1">
      <c r="A444" s="33"/>
      <c r="B444" s="34"/>
      <c r="C444" s="35"/>
      <c r="D444" s="33"/>
      <c r="E444" s="274"/>
      <c r="F444" s="273"/>
      <c r="G444" s="273"/>
      <c r="H444" s="275"/>
      <c r="I444" s="273"/>
      <c r="J444" s="274"/>
      <c r="K444" s="273"/>
      <c r="L444" s="273"/>
      <c r="M444" s="275"/>
      <c r="N444" s="273"/>
      <c r="O444" s="274"/>
      <c r="P444" s="273"/>
      <c r="Q444" s="273"/>
      <c r="R444" s="275"/>
    </row>
    <row r="445" spans="1:18" s="11" customFormat="1">
      <c r="A445" s="33"/>
      <c r="B445" s="34"/>
      <c r="C445" s="35"/>
      <c r="D445" s="33"/>
      <c r="E445" s="274"/>
      <c r="F445" s="273"/>
      <c r="G445" s="273"/>
      <c r="H445" s="275"/>
      <c r="I445" s="273"/>
      <c r="J445" s="274"/>
      <c r="K445" s="273"/>
      <c r="L445" s="273"/>
      <c r="M445" s="275"/>
      <c r="N445" s="273"/>
      <c r="O445" s="274"/>
      <c r="P445" s="273"/>
      <c r="Q445" s="273"/>
      <c r="R445" s="275"/>
    </row>
    <row r="446" spans="1:18" s="11" customFormat="1">
      <c r="A446" s="33"/>
      <c r="B446" s="34"/>
      <c r="C446" s="35"/>
      <c r="D446" s="33"/>
      <c r="E446" s="274"/>
      <c r="F446" s="273"/>
      <c r="G446" s="273"/>
      <c r="H446" s="275"/>
      <c r="I446" s="273"/>
      <c r="J446" s="274"/>
      <c r="K446" s="273"/>
      <c r="L446" s="273"/>
      <c r="M446" s="275"/>
      <c r="N446" s="273"/>
      <c r="O446" s="274"/>
      <c r="P446" s="273"/>
      <c r="Q446" s="273"/>
      <c r="R446" s="275"/>
    </row>
    <row r="447" spans="1:18" s="11" customFormat="1">
      <c r="A447" s="33"/>
      <c r="B447" s="34"/>
      <c r="C447" s="35"/>
      <c r="D447" s="33"/>
      <c r="E447" s="274"/>
      <c r="F447" s="273"/>
      <c r="G447" s="273"/>
      <c r="H447" s="275"/>
      <c r="I447" s="273"/>
      <c r="J447" s="274"/>
      <c r="K447" s="273"/>
      <c r="L447" s="273"/>
      <c r="M447" s="275"/>
      <c r="N447" s="273"/>
      <c r="O447" s="274"/>
      <c r="P447" s="273"/>
      <c r="Q447" s="273"/>
      <c r="R447" s="275"/>
    </row>
    <row r="448" spans="1:18" s="11" customFormat="1">
      <c r="A448" s="33"/>
      <c r="B448" s="34"/>
      <c r="C448" s="35"/>
      <c r="D448" s="33"/>
      <c r="E448" s="274"/>
      <c r="F448" s="273"/>
      <c r="G448" s="273"/>
      <c r="H448" s="275"/>
      <c r="I448" s="273"/>
      <c r="J448" s="274"/>
      <c r="K448" s="273"/>
      <c r="L448" s="273"/>
      <c r="M448" s="275"/>
      <c r="N448" s="273"/>
      <c r="O448" s="274"/>
      <c r="P448" s="273"/>
      <c r="Q448" s="273"/>
      <c r="R448" s="275"/>
    </row>
    <row r="449" spans="1:18" s="11" customFormat="1">
      <c r="A449" s="33"/>
      <c r="B449" s="34"/>
      <c r="C449" s="35"/>
      <c r="D449" s="33"/>
      <c r="E449" s="274"/>
      <c r="F449" s="273"/>
      <c r="G449" s="273"/>
      <c r="H449" s="275"/>
      <c r="I449" s="273"/>
      <c r="J449" s="274"/>
      <c r="K449" s="273"/>
      <c r="L449" s="273"/>
      <c r="M449" s="275"/>
      <c r="N449" s="273"/>
      <c r="O449" s="274"/>
      <c r="P449" s="273"/>
      <c r="Q449" s="273"/>
      <c r="R449" s="275"/>
    </row>
    <row r="450" spans="1:18" s="11" customFormat="1">
      <c r="A450" s="33"/>
      <c r="B450" s="34"/>
      <c r="C450" s="35"/>
      <c r="D450" s="33"/>
      <c r="E450" s="274"/>
      <c r="F450" s="273"/>
      <c r="G450" s="273"/>
      <c r="H450" s="275"/>
      <c r="I450" s="273"/>
      <c r="J450" s="274"/>
      <c r="K450" s="273"/>
      <c r="L450" s="273"/>
      <c r="M450" s="275"/>
      <c r="N450" s="273"/>
      <c r="O450" s="274"/>
      <c r="P450" s="273"/>
      <c r="Q450" s="273"/>
      <c r="R450" s="275"/>
    </row>
    <row r="451" spans="1:18" s="11" customFormat="1">
      <c r="A451" s="33"/>
      <c r="B451" s="34"/>
      <c r="C451" s="35"/>
      <c r="D451" s="33"/>
      <c r="E451" s="274"/>
      <c r="F451" s="273"/>
      <c r="G451" s="273"/>
      <c r="H451" s="275"/>
      <c r="I451" s="273"/>
      <c r="J451" s="274"/>
      <c r="K451" s="273"/>
      <c r="L451" s="273"/>
      <c r="M451" s="275"/>
      <c r="N451" s="273"/>
      <c r="O451" s="274"/>
      <c r="P451" s="273"/>
      <c r="Q451" s="273"/>
      <c r="R451" s="275"/>
    </row>
    <row r="452" spans="1:18" s="11" customFormat="1">
      <c r="A452" s="33"/>
      <c r="B452" s="34"/>
      <c r="C452" s="35"/>
      <c r="D452" s="33"/>
      <c r="E452" s="274"/>
      <c r="F452" s="273"/>
      <c r="G452" s="273"/>
      <c r="H452" s="275"/>
      <c r="I452" s="273"/>
      <c r="J452" s="274"/>
      <c r="K452" s="273"/>
      <c r="L452" s="273"/>
      <c r="M452" s="275"/>
      <c r="N452" s="273"/>
      <c r="O452" s="274"/>
      <c r="P452" s="273"/>
      <c r="Q452" s="273"/>
      <c r="R452" s="275"/>
    </row>
    <row r="453" spans="1:18" s="11" customFormat="1">
      <c r="A453" s="33"/>
      <c r="B453" s="34"/>
      <c r="C453" s="35"/>
      <c r="D453" s="33"/>
      <c r="E453" s="274"/>
      <c r="F453" s="273"/>
      <c r="G453" s="273"/>
      <c r="H453" s="275"/>
      <c r="I453" s="273"/>
      <c r="J453" s="274"/>
      <c r="K453" s="273"/>
      <c r="L453" s="273"/>
      <c r="M453" s="275"/>
      <c r="N453" s="273"/>
      <c r="O453" s="274"/>
      <c r="P453" s="273"/>
      <c r="Q453" s="273"/>
      <c r="R453" s="275"/>
    </row>
    <row r="454" spans="1:18" s="11" customFormat="1">
      <c r="A454" s="33"/>
      <c r="B454" s="34"/>
      <c r="C454" s="35"/>
      <c r="D454" s="33"/>
      <c r="E454" s="274"/>
      <c r="F454" s="273"/>
      <c r="G454" s="273"/>
      <c r="H454" s="275"/>
      <c r="I454" s="273"/>
      <c r="J454" s="274"/>
      <c r="K454" s="273"/>
      <c r="L454" s="273"/>
      <c r="M454" s="275"/>
      <c r="N454" s="273"/>
      <c r="O454" s="274"/>
      <c r="P454" s="273"/>
      <c r="Q454" s="273"/>
      <c r="R454" s="275"/>
    </row>
    <row r="455" spans="1:18" s="11" customFormat="1">
      <c r="A455" s="33"/>
      <c r="B455" s="34"/>
      <c r="C455" s="35"/>
      <c r="D455" s="33"/>
      <c r="E455" s="274"/>
      <c r="F455" s="273"/>
      <c r="G455" s="273"/>
      <c r="H455" s="275"/>
      <c r="I455" s="273"/>
      <c r="J455" s="274"/>
      <c r="K455" s="273"/>
      <c r="L455" s="273"/>
      <c r="M455" s="275"/>
      <c r="N455" s="273"/>
      <c r="O455" s="274"/>
      <c r="P455" s="273"/>
      <c r="Q455" s="273"/>
      <c r="R455" s="275"/>
    </row>
    <row r="456" spans="1:18" s="11" customFormat="1">
      <c r="A456" s="33"/>
      <c r="B456" s="34"/>
      <c r="C456" s="35"/>
      <c r="D456" s="33"/>
      <c r="E456" s="274"/>
      <c r="F456" s="273"/>
      <c r="G456" s="273"/>
      <c r="H456" s="275"/>
      <c r="I456" s="273"/>
      <c r="J456" s="274"/>
      <c r="K456" s="273"/>
      <c r="L456" s="273"/>
      <c r="M456" s="275"/>
      <c r="N456" s="273"/>
      <c r="O456" s="274"/>
      <c r="P456" s="273"/>
      <c r="Q456" s="273"/>
      <c r="R456" s="275"/>
    </row>
    <row r="457" spans="1:18" s="11" customFormat="1">
      <c r="A457" s="33"/>
      <c r="B457" s="34"/>
      <c r="C457" s="35"/>
      <c r="D457" s="33"/>
      <c r="E457" s="274"/>
      <c r="F457" s="273"/>
      <c r="G457" s="273"/>
      <c r="H457" s="275"/>
      <c r="I457" s="273"/>
      <c r="J457" s="274"/>
      <c r="K457" s="273"/>
      <c r="L457" s="273"/>
      <c r="M457" s="275"/>
      <c r="N457" s="273"/>
      <c r="O457" s="274"/>
      <c r="P457" s="273"/>
      <c r="Q457" s="273"/>
      <c r="R457" s="275"/>
    </row>
    <row r="458" spans="1:18" s="11" customFormat="1">
      <c r="A458" s="33"/>
      <c r="B458" s="34"/>
      <c r="C458" s="35"/>
      <c r="D458" s="33"/>
      <c r="E458" s="274"/>
      <c r="F458" s="273"/>
      <c r="G458" s="273"/>
      <c r="H458" s="275"/>
      <c r="I458" s="273"/>
      <c r="J458" s="274"/>
      <c r="K458" s="273"/>
      <c r="L458" s="273"/>
      <c r="M458" s="275"/>
      <c r="N458" s="273"/>
      <c r="O458" s="274"/>
      <c r="P458" s="273"/>
      <c r="Q458" s="273"/>
      <c r="R458" s="275"/>
    </row>
    <row r="459" spans="1:18" s="11" customFormat="1">
      <c r="A459" s="33"/>
      <c r="B459" s="34"/>
      <c r="C459" s="35"/>
      <c r="D459" s="33"/>
      <c r="E459" s="274"/>
      <c r="F459" s="273"/>
      <c r="G459" s="273"/>
      <c r="H459" s="275"/>
      <c r="I459" s="273"/>
      <c r="J459" s="274"/>
      <c r="K459" s="273"/>
      <c r="L459" s="273"/>
      <c r="M459" s="275"/>
      <c r="N459" s="273"/>
      <c r="O459" s="274"/>
      <c r="P459" s="273"/>
      <c r="Q459" s="273"/>
      <c r="R459" s="275"/>
    </row>
    <row r="460" spans="1:18" s="11" customFormat="1">
      <c r="A460" s="33"/>
      <c r="B460" s="34"/>
      <c r="C460" s="35"/>
      <c r="D460" s="33"/>
      <c r="E460" s="274"/>
      <c r="F460" s="273"/>
      <c r="G460" s="273"/>
      <c r="H460" s="275"/>
      <c r="I460" s="273"/>
      <c r="J460" s="274"/>
      <c r="K460" s="273"/>
      <c r="L460" s="273"/>
      <c r="M460" s="275"/>
      <c r="N460" s="273"/>
      <c r="O460" s="274"/>
      <c r="P460" s="273"/>
      <c r="Q460" s="273"/>
      <c r="R460" s="275"/>
    </row>
    <row r="461" spans="1:18" s="11" customFormat="1">
      <c r="A461" s="33"/>
      <c r="B461" s="34"/>
      <c r="C461" s="35"/>
      <c r="D461" s="33"/>
      <c r="E461" s="274"/>
      <c r="F461" s="273"/>
      <c r="G461" s="273"/>
      <c r="H461" s="275"/>
      <c r="I461" s="273"/>
      <c r="J461" s="274"/>
      <c r="K461" s="273"/>
      <c r="L461" s="273"/>
      <c r="M461" s="275"/>
      <c r="N461" s="273"/>
      <c r="O461" s="274"/>
      <c r="P461" s="273"/>
      <c r="Q461" s="273"/>
      <c r="R461" s="275"/>
    </row>
    <row r="462" spans="1:18" s="11" customFormat="1">
      <c r="A462" s="33"/>
      <c r="B462" s="34"/>
      <c r="C462" s="35"/>
      <c r="D462" s="33"/>
      <c r="E462" s="274"/>
      <c r="F462" s="273"/>
      <c r="G462" s="273"/>
      <c r="H462" s="275"/>
      <c r="I462" s="273"/>
      <c r="J462" s="274"/>
      <c r="K462" s="273"/>
      <c r="L462" s="273"/>
      <c r="M462" s="275"/>
      <c r="N462" s="273"/>
      <c r="O462" s="274"/>
      <c r="P462" s="273"/>
      <c r="Q462" s="273"/>
      <c r="R462" s="275"/>
    </row>
    <row r="463" spans="1:18" s="11" customFormat="1">
      <c r="A463" s="33"/>
      <c r="B463" s="34"/>
      <c r="C463" s="35"/>
      <c r="D463" s="33"/>
      <c r="E463" s="274"/>
      <c r="F463" s="273"/>
      <c r="G463" s="273"/>
      <c r="H463" s="275"/>
      <c r="I463" s="273"/>
      <c r="J463" s="274"/>
      <c r="K463" s="273"/>
      <c r="L463" s="273"/>
      <c r="M463" s="275"/>
      <c r="N463" s="273"/>
      <c r="O463" s="274"/>
      <c r="P463" s="273"/>
      <c r="Q463" s="273"/>
      <c r="R463" s="275"/>
    </row>
    <row r="464" spans="1:18" s="11" customFormat="1">
      <c r="A464" s="33"/>
      <c r="B464" s="34"/>
      <c r="C464" s="35"/>
      <c r="D464" s="33"/>
      <c r="E464" s="274"/>
      <c r="F464" s="273"/>
      <c r="G464" s="273"/>
      <c r="H464" s="275"/>
      <c r="I464" s="273"/>
      <c r="J464" s="274"/>
      <c r="K464" s="273"/>
      <c r="L464" s="273"/>
      <c r="M464" s="275"/>
      <c r="N464" s="273"/>
      <c r="O464" s="274"/>
      <c r="P464" s="273"/>
      <c r="Q464" s="273"/>
      <c r="R464" s="275"/>
    </row>
    <row r="465" spans="1:18" s="11" customFormat="1">
      <c r="A465" s="33"/>
      <c r="B465" s="34"/>
      <c r="C465" s="35"/>
      <c r="D465" s="33"/>
      <c r="E465" s="274"/>
      <c r="F465" s="273"/>
      <c r="G465" s="273"/>
      <c r="H465" s="275"/>
      <c r="I465" s="273"/>
      <c r="J465" s="274"/>
      <c r="K465" s="273"/>
      <c r="L465" s="273"/>
      <c r="M465" s="275"/>
      <c r="N465" s="273"/>
      <c r="O465" s="274"/>
      <c r="P465" s="273"/>
      <c r="Q465" s="273"/>
      <c r="R465" s="275"/>
    </row>
    <row r="466" spans="1:18" s="11" customFormat="1">
      <c r="A466" s="33"/>
      <c r="B466" s="34"/>
      <c r="C466" s="35"/>
      <c r="D466" s="33"/>
      <c r="E466" s="274"/>
      <c r="F466" s="273"/>
      <c r="G466" s="273"/>
      <c r="H466" s="275"/>
      <c r="I466" s="273"/>
      <c r="J466" s="274"/>
      <c r="K466" s="273"/>
      <c r="L466" s="273"/>
      <c r="M466" s="275"/>
      <c r="N466" s="273"/>
      <c r="O466" s="274"/>
      <c r="P466" s="273"/>
      <c r="Q466" s="273"/>
      <c r="R466" s="275"/>
    </row>
    <row r="467" spans="1:18" s="11" customFormat="1">
      <c r="A467" s="33"/>
      <c r="B467" s="34"/>
      <c r="C467" s="35"/>
      <c r="D467" s="33"/>
      <c r="E467" s="274"/>
      <c r="F467" s="273"/>
      <c r="G467" s="273"/>
      <c r="H467" s="275"/>
      <c r="I467" s="273"/>
      <c r="J467" s="274"/>
      <c r="K467" s="273"/>
      <c r="L467" s="273"/>
      <c r="M467" s="275"/>
      <c r="N467" s="273"/>
      <c r="O467" s="274"/>
      <c r="P467" s="273"/>
      <c r="Q467" s="273"/>
      <c r="R467" s="275"/>
    </row>
    <row r="468" spans="1:18" s="11" customFormat="1">
      <c r="A468" s="33"/>
      <c r="B468" s="34"/>
      <c r="C468" s="35"/>
      <c r="D468" s="33"/>
      <c r="E468" s="274"/>
      <c r="F468" s="273"/>
      <c r="G468" s="273"/>
      <c r="H468" s="275"/>
      <c r="I468" s="273"/>
      <c r="J468" s="274"/>
      <c r="K468" s="273"/>
      <c r="L468" s="273"/>
      <c r="M468" s="275"/>
      <c r="N468" s="273"/>
      <c r="O468" s="274"/>
      <c r="P468" s="273"/>
      <c r="Q468" s="273"/>
      <c r="R468" s="275"/>
    </row>
    <row r="469" spans="1:18" s="11" customFormat="1">
      <c r="A469" s="33"/>
      <c r="B469" s="34"/>
      <c r="C469" s="35"/>
      <c r="D469" s="33"/>
      <c r="E469" s="274"/>
      <c r="F469" s="273"/>
      <c r="G469" s="273"/>
      <c r="H469" s="275"/>
      <c r="I469" s="273"/>
      <c r="J469" s="274"/>
      <c r="K469" s="273"/>
      <c r="L469" s="273"/>
      <c r="M469" s="275"/>
      <c r="N469" s="273"/>
      <c r="O469" s="274"/>
      <c r="P469" s="273"/>
      <c r="Q469" s="273"/>
      <c r="R469" s="275"/>
    </row>
    <row r="470" spans="1:18" s="11" customFormat="1">
      <c r="A470" s="33"/>
      <c r="B470" s="34"/>
      <c r="C470" s="35"/>
      <c r="D470" s="33"/>
      <c r="E470" s="274"/>
      <c r="F470" s="273"/>
      <c r="G470" s="273"/>
      <c r="H470" s="275"/>
      <c r="I470" s="273"/>
      <c r="J470" s="274"/>
      <c r="K470" s="273"/>
      <c r="L470" s="273"/>
      <c r="M470" s="275"/>
      <c r="N470" s="273"/>
      <c r="O470" s="274"/>
      <c r="P470" s="273"/>
      <c r="Q470" s="273"/>
      <c r="R470" s="275"/>
    </row>
    <row r="471" spans="1:18" s="11" customFormat="1">
      <c r="A471" s="33"/>
      <c r="B471" s="34"/>
      <c r="C471" s="35"/>
      <c r="D471" s="33"/>
      <c r="E471" s="274"/>
      <c r="F471" s="273"/>
      <c r="G471" s="273"/>
      <c r="H471" s="275"/>
      <c r="I471" s="273"/>
      <c r="J471" s="274"/>
      <c r="K471" s="273"/>
      <c r="L471" s="273"/>
      <c r="M471" s="275"/>
      <c r="N471" s="273"/>
      <c r="O471" s="274"/>
      <c r="P471" s="273"/>
      <c r="Q471" s="273"/>
      <c r="R471" s="275"/>
    </row>
    <row r="472" spans="1:18" s="11" customFormat="1">
      <c r="A472" s="33"/>
      <c r="B472" s="34"/>
      <c r="C472" s="35"/>
      <c r="D472" s="33"/>
      <c r="E472" s="274"/>
      <c r="F472" s="273"/>
      <c r="G472" s="273"/>
      <c r="H472" s="275"/>
      <c r="I472" s="273"/>
      <c r="J472" s="274"/>
      <c r="K472" s="273"/>
      <c r="L472" s="273"/>
      <c r="M472" s="275"/>
      <c r="N472" s="273"/>
      <c r="O472" s="274"/>
      <c r="P472" s="273"/>
      <c r="Q472" s="273"/>
      <c r="R472" s="275"/>
    </row>
    <row r="473" spans="1:18" s="11" customFormat="1">
      <c r="A473" s="33"/>
      <c r="B473" s="34"/>
      <c r="C473" s="35"/>
      <c r="D473" s="33"/>
      <c r="E473" s="274"/>
      <c r="F473" s="273"/>
      <c r="G473" s="273"/>
      <c r="H473" s="275"/>
      <c r="I473" s="273"/>
      <c r="J473" s="274"/>
      <c r="K473" s="273"/>
      <c r="L473" s="273"/>
      <c r="M473" s="275"/>
      <c r="N473" s="273"/>
      <c r="O473" s="274"/>
      <c r="P473" s="273"/>
      <c r="Q473" s="273"/>
      <c r="R473" s="275"/>
    </row>
    <row r="474" spans="1:18" s="11" customFormat="1">
      <c r="A474" s="33"/>
      <c r="B474" s="34"/>
      <c r="C474" s="35"/>
      <c r="D474" s="33"/>
      <c r="E474" s="274"/>
      <c r="F474" s="273"/>
      <c r="G474" s="273"/>
      <c r="H474" s="275"/>
      <c r="I474" s="273"/>
      <c r="J474" s="274"/>
      <c r="K474" s="273"/>
      <c r="L474" s="273"/>
      <c r="M474" s="275"/>
      <c r="N474" s="273"/>
      <c r="O474" s="274"/>
      <c r="P474" s="273"/>
      <c r="Q474" s="273"/>
      <c r="R474" s="275"/>
    </row>
    <row r="475" spans="1:18" s="11" customFormat="1">
      <c r="A475" s="33"/>
      <c r="B475" s="34"/>
      <c r="C475" s="35"/>
      <c r="D475" s="33"/>
      <c r="E475" s="274"/>
      <c r="F475" s="273"/>
      <c r="G475" s="273"/>
      <c r="H475" s="275"/>
      <c r="I475" s="273"/>
      <c r="J475" s="274"/>
      <c r="K475" s="273"/>
      <c r="L475" s="273"/>
      <c r="M475" s="275"/>
      <c r="N475" s="273"/>
      <c r="O475" s="274"/>
      <c r="P475" s="273"/>
      <c r="Q475" s="273"/>
      <c r="R475" s="275"/>
    </row>
    <row r="476" spans="1:18" s="11" customFormat="1">
      <c r="A476" s="33"/>
      <c r="B476" s="34"/>
      <c r="C476" s="35"/>
      <c r="D476" s="33"/>
      <c r="E476" s="274"/>
      <c r="F476" s="273"/>
      <c r="G476" s="273"/>
      <c r="H476" s="275"/>
      <c r="I476" s="273"/>
      <c r="J476" s="274"/>
      <c r="K476" s="273"/>
      <c r="L476" s="273"/>
      <c r="M476" s="275"/>
      <c r="N476" s="273"/>
      <c r="O476" s="274"/>
      <c r="P476" s="273"/>
      <c r="Q476" s="273"/>
      <c r="R476" s="275"/>
    </row>
    <row r="477" spans="1:18" s="11" customFormat="1">
      <c r="A477" s="33"/>
      <c r="B477" s="34"/>
      <c r="C477" s="35"/>
      <c r="D477" s="33"/>
      <c r="E477" s="274"/>
      <c r="F477" s="273"/>
      <c r="G477" s="273"/>
      <c r="H477" s="275"/>
      <c r="I477" s="273"/>
      <c r="J477" s="274"/>
      <c r="K477" s="273"/>
      <c r="L477" s="273"/>
      <c r="M477" s="275"/>
      <c r="N477" s="273"/>
      <c r="O477" s="274"/>
      <c r="P477" s="273"/>
      <c r="Q477" s="273"/>
      <c r="R477" s="275"/>
    </row>
    <row r="478" spans="1:18" s="11" customFormat="1">
      <c r="A478" s="33"/>
      <c r="B478" s="34"/>
      <c r="C478" s="35"/>
      <c r="D478" s="33"/>
      <c r="E478" s="274"/>
      <c r="F478" s="273"/>
      <c r="G478" s="273"/>
      <c r="H478" s="275"/>
      <c r="I478" s="273"/>
      <c r="J478" s="274"/>
      <c r="K478" s="273"/>
      <c r="L478" s="273"/>
      <c r="M478" s="275"/>
      <c r="N478" s="273"/>
      <c r="O478" s="274"/>
      <c r="P478" s="273"/>
      <c r="Q478" s="273"/>
      <c r="R478" s="275"/>
    </row>
    <row r="479" spans="1:18" s="11" customFormat="1">
      <c r="A479" s="33"/>
      <c r="B479" s="34"/>
      <c r="C479" s="35"/>
      <c r="D479" s="33"/>
      <c r="E479" s="274"/>
      <c r="F479" s="273"/>
      <c r="G479" s="273"/>
      <c r="H479" s="275"/>
      <c r="I479" s="273"/>
      <c r="J479" s="274"/>
      <c r="K479" s="273"/>
      <c r="L479" s="273"/>
      <c r="M479" s="275"/>
      <c r="N479" s="273"/>
      <c r="O479" s="274"/>
      <c r="P479" s="273"/>
      <c r="Q479" s="273"/>
      <c r="R479" s="275"/>
    </row>
    <row r="480" spans="1:18" s="11" customFormat="1">
      <c r="A480" s="33"/>
      <c r="B480" s="34"/>
      <c r="C480" s="35"/>
      <c r="D480" s="33"/>
      <c r="E480" s="274"/>
      <c r="F480" s="273"/>
      <c r="G480" s="273"/>
      <c r="H480" s="275"/>
      <c r="I480" s="273"/>
      <c r="J480" s="274"/>
      <c r="K480" s="273"/>
      <c r="L480" s="273"/>
      <c r="M480" s="275"/>
      <c r="N480" s="273"/>
      <c r="O480" s="274"/>
      <c r="P480" s="273"/>
      <c r="Q480" s="273"/>
      <c r="R480" s="275"/>
    </row>
    <row r="481" spans="1:18" s="11" customFormat="1">
      <c r="A481" s="33"/>
      <c r="B481" s="34"/>
      <c r="C481" s="35"/>
      <c r="D481" s="33"/>
      <c r="E481" s="274"/>
      <c r="F481" s="273"/>
      <c r="G481" s="273"/>
      <c r="H481" s="275"/>
      <c r="I481" s="273"/>
      <c r="J481" s="274"/>
      <c r="K481" s="273"/>
      <c r="L481" s="273"/>
      <c r="M481" s="275"/>
      <c r="N481" s="273"/>
      <c r="O481" s="274"/>
      <c r="P481" s="273"/>
      <c r="Q481" s="273"/>
      <c r="R481" s="275"/>
    </row>
    <row r="482" spans="1:18" s="11" customFormat="1">
      <c r="A482" s="33"/>
      <c r="B482" s="34"/>
      <c r="C482" s="35"/>
      <c r="D482" s="33"/>
      <c r="E482" s="274"/>
      <c r="F482" s="273"/>
      <c r="G482" s="273"/>
      <c r="H482" s="275"/>
      <c r="I482" s="273"/>
      <c r="J482" s="274"/>
      <c r="K482" s="273"/>
      <c r="L482" s="273"/>
      <c r="M482" s="275"/>
      <c r="N482" s="273"/>
      <c r="O482" s="274"/>
      <c r="P482" s="273"/>
      <c r="Q482" s="273"/>
      <c r="R482" s="275"/>
    </row>
    <row r="483" spans="1:18" s="11" customFormat="1">
      <c r="A483" s="33"/>
      <c r="B483" s="34"/>
      <c r="C483" s="35"/>
      <c r="D483" s="33"/>
      <c r="E483" s="274"/>
      <c r="F483" s="273"/>
      <c r="G483" s="273"/>
      <c r="H483" s="275"/>
      <c r="I483" s="273"/>
      <c r="J483" s="274"/>
      <c r="K483" s="273"/>
      <c r="L483" s="273"/>
      <c r="M483" s="275"/>
      <c r="N483" s="273"/>
      <c r="O483" s="274"/>
      <c r="P483" s="273"/>
      <c r="Q483" s="273"/>
      <c r="R483" s="275"/>
    </row>
    <row r="484" spans="1:18" s="11" customFormat="1">
      <c r="A484" s="33"/>
      <c r="B484" s="34"/>
      <c r="C484" s="35"/>
      <c r="D484" s="33"/>
      <c r="E484" s="274"/>
      <c r="F484" s="273"/>
      <c r="G484" s="273"/>
      <c r="H484" s="275"/>
      <c r="I484" s="273"/>
      <c r="J484" s="274"/>
      <c r="K484" s="273"/>
      <c r="L484" s="273"/>
      <c r="M484" s="275"/>
      <c r="N484" s="273"/>
      <c r="O484" s="274"/>
      <c r="P484" s="273"/>
      <c r="Q484" s="273"/>
      <c r="R484" s="275"/>
    </row>
    <row r="485" spans="1:18" s="11" customFormat="1">
      <c r="A485" s="33"/>
      <c r="B485" s="34"/>
      <c r="C485" s="35"/>
      <c r="D485" s="33"/>
      <c r="E485" s="274"/>
      <c r="F485" s="273"/>
      <c r="G485" s="273"/>
      <c r="H485" s="275"/>
      <c r="I485" s="273"/>
      <c r="J485" s="274"/>
      <c r="K485" s="273"/>
      <c r="L485" s="273"/>
      <c r="M485" s="275"/>
      <c r="N485" s="273"/>
      <c r="O485" s="274"/>
      <c r="P485" s="273"/>
      <c r="Q485" s="273"/>
      <c r="R485" s="275"/>
    </row>
    <row r="486" spans="1:18" s="11" customFormat="1">
      <c r="A486" s="33"/>
      <c r="B486" s="34"/>
      <c r="C486" s="35"/>
      <c r="D486" s="33"/>
      <c r="E486" s="274"/>
      <c r="F486" s="273"/>
      <c r="G486" s="273"/>
      <c r="H486" s="275"/>
      <c r="I486" s="273"/>
      <c r="J486" s="274"/>
      <c r="K486" s="273"/>
      <c r="L486" s="273"/>
      <c r="M486" s="275"/>
      <c r="N486" s="273"/>
      <c r="O486" s="274"/>
      <c r="P486" s="273"/>
      <c r="Q486" s="273"/>
      <c r="R486" s="275"/>
    </row>
    <row r="487" spans="1:18" s="11" customFormat="1">
      <c r="A487" s="33"/>
      <c r="B487" s="34"/>
      <c r="C487" s="35"/>
      <c r="D487" s="33"/>
      <c r="E487" s="274"/>
      <c r="F487" s="273"/>
      <c r="G487" s="273"/>
      <c r="H487" s="275"/>
      <c r="I487" s="273"/>
      <c r="J487" s="274"/>
      <c r="K487" s="273"/>
      <c r="L487" s="273"/>
      <c r="M487" s="275"/>
      <c r="N487" s="273"/>
      <c r="O487" s="274"/>
      <c r="P487" s="273"/>
      <c r="Q487" s="273"/>
      <c r="R487" s="275"/>
    </row>
    <row r="488" spans="1:18" s="11" customFormat="1">
      <c r="A488" s="33"/>
      <c r="B488" s="34"/>
      <c r="C488" s="35"/>
      <c r="D488" s="33"/>
      <c r="E488" s="274"/>
      <c r="F488" s="273"/>
      <c r="G488" s="273"/>
      <c r="H488" s="275"/>
      <c r="I488" s="273"/>
      <c r="J488" s="274"/>
      <c r="K488" s="273"/>
      <c r="L488" s="273"/>
      <c r="M488" s="275"/>
      <c r="N488" s="273"/>
      <c r="O488" s="274"/>
      <c r="P488" s="273"/>
      <c r="Q488" s="273"/>
      <c r="R488" s="275"/>
    </row>
    <row r="489" spans="1:18" s="11" customFormat="1">
      <c r="A489" s="33"/>
      <c r="B489" s="34"/>
      <c r="C489" s="35"/>
      <c r="D489" s="33"/>
      <c r="E489" s="274"/>
      <c r="F489" s="273"/>
      <c r="G489" s="273"/>
      <c r="H489" s="275"/>
      <c r="I489" s="273"/>
      <c r="J489" s="274"/>
      <c r="K489" s="273"/>
      <c r="L489" s="273"/>
      <c r="M489" s="275"/>
      <c r="N489" s="273"/>
      <c r="O489" s="274"/>
      <c r="P489" s="273"/>
      <c r="Q489" s="273"/>
      <c r="R489" s="275"/>
    </row>
    <row r="490" spans="1:18" s="11" customFormat="1">
      <c r="A490" s="33"/>
      <c r="B490" s="34"/>
      <c r="C490" s="35"/>
      <c r="D490" s="33"/>
      <c r="E490" s="274"/>
      <c r="F490" s="273"/>
      <c r="G490" s="273"/>
      <c r="H490" s="275"/>
      <c r="I490" s="273"/>
      <c r="J490" s="274"/>
      <c r="K490" s="273"/>
      <c r="L490" s="273"/>
      <c r="M490" s="275"/>
      <c r="N490" s="273"/>
      <c r="O490" s="274"/>
      <c r="P490" s="273"/>
      <c r="Q490" s="273"/>
      <c r="R490" s="275"/>
    </row>
    <row r="491" spans="1:18" s="11" customFormat="1">
      <c r="A491" s="33"/>
      <c r="B491" s="34"/>
      <c r="C491" s="35"/>
      <c r="D491" s="33"/>
      <c r="E491" s="274"/>
      <c r="F491" s="273"/>
      <c r="G491" s="273"/>
      <c r="H491" s="275"/>
      <c r="I491" s="273"/>
      <c r="J491" s="274"/>
      <c r="K491" s="273"/>
      <c r="L491" s="273"/>
      <c r="M491" s="275"/>
      <c r="N491" s="273"/>
      <c r="O491" s="274"/>
      <c r="P491" s="273"/>
      <c r="Q491" s="273"/>
      <c r="R491" s="275"/>
    </row>
    <row r="492" spans="1:18" s="11" customFormat="1">
      <c r="A492" s="33"/>
      <c r="B492" s="34"/>
      <c r="C492" s="35"/>
      <c r="D492" s="33"/>
      <c r="E492" s="274"/>
      <c r="F492" s="273"/>
      <c r="G492" s="273"/>
      <c r="H492" s="275"/>
      <c r="I492" s="273"/>
      <c r="J492" s="274"/>
      <c r="K492" s="273"/>
      <c r="L492" s="273"/>
      <c r="M492" s="275"/>
      <c r="N492" s="273"/>
      <c r="O492" s="274"/>
      <c r="P492" s="273"/>
      <c r="Q492" s="273"/>
      <c r="R492" s="275"/>
    </row>
    <row r="493" spans="1:18" s="11" customFormat="1">
      <c r="A493" s="33"/>
      <c r="B493" s="34"/>
      <c r="C493" s="35"/>
      <c r="D493" s="33"/>
      <c r="E493" s="274"/>
      <c r="F493" s="273"/>
      <c r="G493" s="273"/>
      <c r="H493" s="275"/>
      <c r="I493" s="273"/>
      <c r="J493" s="274"/>
      <c r="K493" s="273"/>
      <c r="L493" s="273"/>
      <c r="M493" s="275"/>
      <c r="N493" s="273"/>
      <c r="O493" s="274"/>
      <c r="P493" s="273"/>
      <c r="Q493" s="273"/>
      <c r="R493" s="275"/>
    </row>
    <row r="494" spans="1:18" s="11" customFormat="1">
      <c r="A494" s="33"/>
      <c r="B494" s="34"/>
      <c r="C494" s="35"/>
      <c r="D494" s="33"/>
      <c r="E494" s="274"/>
      <c r="F494" s="273"/>
      <c r="G494" s="273"/>
      <c r="H494" s="275"/>
      <c r="I494" s="273"/>
      <c r="J494" s="274"/>
      <c r="K494" s="273"/>
      <c r="L494" s="273"/>
      <c r="M494" s="275"/>
      <c r="N494" s="273"/>
      <c r="O494" s="274"/>
      <c r="P494" s="273"/>
      <c r="Q494" s="273"/>
      <c r="R494" s="275"/>
    </row>
    <row r="495" spans="1:18" s="11" customFormat="1">
      <c r="A495" s="33"/>
      <c r="B495" s="34"/>
      <c r="C495" s="35"/>
      <c r="D495" s="33"/>
      <c r="E495" s="274"/>
      <c r="F495" s="273"/>
      <c r="G495" s="273"/>
      <c r="H495" s="275"/>
      <c r="I495" s="273"/>
      <c r="J495" s="274"/>
      <c r="K495" s="273"/>
      <c r="L495" s="273"/>
      <c r="M495" s="275"/>
      <c r="N495" s="273"/>
      <c r="O495" s="274"/>
      <c r="P495" s="273"/>
      <c r="Q495" s="273"/>
      <c r="R495" s="275"/>
    </row>
    <row r="496" spans="1:18" s="11" customFormat="1">
      <c r="A496" s="33"/>
      <c r="B496" s="34"/>
      <c r="C496" s="35"/>
      <c r="D496" s="33"/>
      <c r="E496" s="274"/>
      <c r="F496" s="273"/>
      <c r="G496" s="273"/>
      <c r="H496" s="275"/>
      <c r="I496" s="273"/>
      <c r="J496" s="274"/>
      <c r="K496" s="273"/>
      <c r="L496" s="273"/>
      <c r="M496" s="275"/>
      <c r="N496" s="273"/>
      <c r="O496" s="274"/>
      <c r="P496" s="273"/>
      <c r="Q496" s="273"/>
      <c r="R496" s="275"/>
    </row>
    <row r="497" spans="1:18" s="11" customFormat="1">
      <c r="A497" s="33"/>
      <c r="B497" s="34"/>
      <c r="C497" s="35"/>
      <c r="D497" s="33"/>
      <c r="E497" s="274"/>
      <c r="F497" s="273"/>
      <c r="G497" s="273"/>
      <c r="H497" s="275"/>
      <c r="I497" s="273"/>
      <c r="J497" s="274"/>
      <c r="K497" s="273"/>
      <c r="L497" s="273"/>
      <c r="M497" s="275"/>
      <c r="N497" s="273"/>
      <c r="O497" s="274"/>
      <c r="P497" s="273"/>
      <c r="Q497" s="273"/>
      <c r="R497" s="275"/>
    </row>
    <row r="498" spans="1:18" s="11" customFormat="1">
      <c r="A498" s="33"/>
      <c r="B498" s="34"/>
      <c r="C498" s="35"/>
      <c r="D498" s="33"/>
      <c r="E498" s="274"/>
      <c r="F498" s="273"/>
      <c r="G498" s="273"/>
      <c r="H498" s="275"/>
      <c r="I498" s="273"/>
      <c r="J498" s="274"/>
      <c r="K498" s="273"/>
      <c r="L498" s="273"/>
      <c r="M498" s="275"/>
      <c r="N498" s="273"/>
      <c r="O498" s="274"/>
      <c r="P498" s="273"/>
      <c r="Q498" s="273"/>
      <c r="R498" s="275"/>
    </row>
    <row r="499" spans="1:18" s="11" customFormat="1">
      <c r="A499" s="33"/>
      <c r="B499" s="34"/>
      <c r="C499" s="35"/>
      <c r="D499" s="33"/>
      <c r="E499" s="274"/>
      <c r="F499" s="273"/>
      <c r="G499" s="273"/>
      <c r="H499" s="275"/>
      <c r="I499" s="273"/>
      <c r="J499" s="274"/>
      <c r="K499" s="273"/>
      <c r="L499" s="273"/>
      <c r="M499" s="275"/>
      <c r="N499" s="273"/>
      <c r="O499" s="274"/>
      <c r="P499" s="273"/>
      <c r="Q499" s="273"/>
      <c r="R499" s="275"/>
    </row>
    <row r="500" spans="1:18" s="11" customFormat="1">
      <c r="A500" s="33"/>
      <c r="B500" s="34"/>
      <c r="C500" s="35"/>
      <c r="D500" s="33"/>
      <c r="E500" s="274"/>
      <c r="F500" s="273"/>
      <c r="G500" s="273"/>
      <c r="H500" s="275"/>
      <c r="I500" s="273"/>
      <c r="J500" s="274"/>
      <c r="K500" s="273"/>
      <c r="L500" s="273"/>
      <c r="M500" s="275"/>
      <c r="N500" s="273"/>
      <c r="O500" s="274"/>
      <c r="P500" s="273"/>
      <c r="Q500" s="273"/>
      <c r="R500" s="275"/>
    </row>
    <row r="501" spans="1:18" s="11" customFormat="1">
      <c r="A501" s="33"/>
      <c r="B501" s="34"/>
      <c r="C501" s="35"/>
      <c r="D501" s="33"/>
      <c r="E501" s="274"/>
      <c r="F501" s="273"/>
      <c r="G501" s="273"/>
      <c r="H501" s="275"/>
      <c r="I501" s="273"/>
      <c r="J501" s="274"/>
      <c r="K501" s="273"/>
      <c r="L501" s="273"/>
      <c r="M501" s="275"/>
      <c r="N501" s="273"/>
      <c r="O501" s="274"/>
      <c r="P501" s="273"/>
      <c r="Q501" s="273"/>
      <c r="R501" s="275"/>
    </row>
    <row r="502" spans="1:18" s="11" customFormat="1">
      <c r="A502" s="33"/>
      <c r="B502" s="34"/>
      <c r="C502" s="35"/>
      <c r="D502" s="33"/>
      <c r="E502" s="274"/>
      <c r="F502" s="273"/>
      <c r="G502" s="273"/>
      <c r="H502" s="275"/>
      <c r="I502" s="273"/>
      <c r="J502" s="274"/>
      <c r="K502" s="273"/>
      <c r="L502" s="273"/>
      <c r="M502" s="275"/>
      <c r="N502" s="273"/>
      <c r="O502" s="274"/>
      <c r="P502" s="273"/>
      <c r="Q502" s="273"/>
      <c r="R502" s="275"/>
    </row>
    <row r="503" spans="1:18" s="11" customFormat="1">
      <c r="A503" s="33"/>
      <c r="B503" s="34"/>
      <c r="C503" s="35"/>
      <c r="D503" s="33"/>
      <c r="E503" s="274"/>
      <c r="F503" s="273"/>
      <c r="G503" s="273"/>
      <c r="H503" s="275"/>
      <c r="I503" s="273"/>
      <c r="J503" s="274"/>
      <c r="K503" s="273"/>
      <c r="L503" s="273"/>
      <c r="M503" s="275"/>
      <c r="N503" s="273"/>
      <c r="O503" s="274"/>
      <c r="P503" s="273"/>
      <c r="Q503" s="273"/>
      <c r="R503" s="275"/>
    </row>
    <row r="504" spans="1:18" s="11" customFormat="1">
      <c r="A504" s="33"/>
      <c r="B504" s="34"/>
      <c r="C504" s="35"/>
      <c r="D504" s="33"/>
      <c r="E504" s="274"/>
      <c r="F504" s="273"/>
      <c r="G504" s="273"/>
      <c r="H504" s="275"/>
      <c r="I504" s="273"/>
      <c r="J504" s="274"/>
      <c r="K504" s="273"/>
      <c r="L504" s="273"/>
      <c r="M504" s="275"/>
      <c r="N504" s="273"/>
      <c r="O504" s="274"/>
      <c r="P504" s="273"/>
      <c r="Q504" s="273"/>
      <c r="R504" s="275"/>
    </row>
    <row r="505" spans="1:18" s="11" customFormat="1">
      <c r="A505" s="33"/>
      <c r="B505" s="34"/>
      <c r="C505" s="35"/>
      <c r="D505" s="33"/>
      <c r="E505" s="274"/>
      <c r="F505" s="273"/>
      <c r="G505" s="273"/>
      <c r="H505" s="275"/>
      <c r="I505" s="273"/>
      <c r="J505" s="274"/>
      <c r="K505" s="273"/>
      <c r="L505" s="273"/>
      <c r="M505" s="275"/>
      <c r="N505" s="273"/>
      <c r="O505" s="274"/>
      <c r="P505" s="273"/>
      <c r="Q505" s="273"/>
      <c r="R505" s="275"/>
    </row>
    <row r="506" spans="1:18" s="11" customFormat="1">
      <c r="A506" s="33"/>
      <c r="B506" s="34"/>
      <c r="C506" s="35"/>
      <c r="D506" s="33"/>
      <c r="E506" s="274"/>
      <c r="F506" s="273"/>
      <c r="G506" s="273"/>
      <c r="H506" s="275"/>
      <c r="I506" s="273"/>
      <c r="J506" s="274"/>
      <c r="K506" s="273"/>
      <c r="L506" s="273"/>
      <c r="M506" s="275"/>
      <c r="N506" s="273"/>
      <c r="O506" s="274"/>
      <c r="P506" s="273"/>
      <c r="Q506" s="273"/>
      <c r="R506" s="275"/>
    </row>
    <row r="507" spans="1:18" s="11" customFormat="1">
      <c r="A507" s="33"/>
      <c r="B507" s="34"/>
      <c r="C507" s="35"/>
      <c r="D507" s="33"/>
      <c r="E507" s="274"/>
      <c r="F507" s="273"/>
      <c r="G507" s="273"/>
      <c r="H507" s="275"/>
      <c r="I507" s="273"/>
      <c r="J507" s="274"/>
      <c r="K507" s="273"/>
      <c r="L507" s="273"/>
      <c r="M507" s="275"/>
      <c r="N507" s="273"/>
      <c r="O507" s="274"/>
      <c r="P507" s="273"/>
      <c r="Q507" s="273"/>
      <c r="R507" s="275"/>
    </row>
    <row r="508" spans="1:18" s="11" customFormat="1">
      <c r="A508" s="33"/>
      <c r="B508" s="34"/>
      <c r="C508" s="35"/>
      <c r="D508" s="33"/>
      <c r="E508" s="274"/>
      <c r="F508" s="273"/>
      <c r="G508" s="273"/>
      <c r="H508" s="275"/>
      <c r="I508" s="273"/>
      <c r="J508" s="274"/>
      <c r="K508" s="273"/>
      <c r="L508" s="273"/>
      <c r="M508" s="275"/>
      <c r="N508" s="273"/>
      <c r="O508" s="274"/>
      <c r="P508" s="273"/>
      <c r="Q508" s="273"/>
      <c r="R508" s="275"/>
    </row>
    <row r="509" spans="1:18" s="11" customFormat="1">
      <c r="A509" s="33"/>
      <c r="B509" s="34"/>
      <c r="C509" s="35"/>
      <c r="D509" s="33"/>
      <c r="E509" s="274"/>
      <c r="F509" s="273"/>
      <c r="G509" s="273"/>
      <c r="H509" s="275"/>
      <c r="I509" s="273"/>
      <c r="J509" s="274"/>
      <c r="K509" s="273"/>
      <c r="L509" s="273"/>
      <c r="M509" s="275"/>
      <c r="N509" s="273"/>
      <c r="O509" s="274"/>
      <c r="P509" s="273"/>
      <c r="Q509" s="273"/>
      <c r="R509" s="275"/>
    </row>
    <row r="510" spans="1:18" s="11" customFormat="1">
      <c r="A510" s="33"/>
      <c r="B510" s="34"/>
      <c r="C510" s="35"/>
      <c r="D510" s="33"/>
      <c r="E510" s="274"/>
      <c r="F510" s="273"/>
      <c r="G510" s="273"/>
      <c r="H510" s="275"/>
      <c r="I510" s="273"/>
      <c r="J510" s="274"/>
      <c r="K510" s="273"/>
      <c r="L510" s="273"/>
      <c r="M510" s="275"/>
      <c r="N510" s="273"/>
      <c r="O510" s="274"/>
      <c r="P510" s="273"/>
      <c r="Q510" s="273"/>
      <c r="R510" s="275"/>
    </row>
    <row r="511" spans="1:18" s="11" customFormat="1">
      <c r="A511" s="33"/>
      <c r="B511" s="34"/>
      <c r="C511" s="35"/>
      <c r="D511" s="33"/>
      <c r="E511" s="274"/>
      <c r="F511" s="273"/>
      <c r="G511" s="273"/>
      <c r="H511" s="275"/>
      <c r="I511" s="273"/>
      <c r="J511" s="274"/>
      <c r="K511" s="273"/>
      <c r="L511" s="273"/>
      <c r="M511" s="275"/>
      <c r="N511" s="273"/>
      <c r="O511" s="274"/>
      <c r="P511" s="273"/>
      <c r="Q511" s="273"/>
      <c r="R511" s="275"/>
    </row>
    <row r="512" spans="1:18" s="11" customFormat="1">
      <c r="A512" s="33"/>
      <c r="B512" s="34"/>
      <c r="C512" s="35"/>
      <c r="D512" s="33"/>
      <c r="E512" s="274"/>
      <c r="F512" s="273"/>
      <c r="G512" s="273"/>
      <c r="H512" s="275"/>
      <c r="I512" s="273"/>
      <c r="J512" s="274"/>
      <c r="K512" s="273"/>
      <c r="L512" s="273"/>
      <c r="M512" s="275"/>
      <c r="N512" s="273"/>
      <c r="O512" s="274"/>
      <c r="P512" s="273"/>
      <c r="Q512" s="273"/>
      <c r="R512" s="275"/>
    </row>
    <row r="513" spans="1:18" s="11" customFormat="1">
      <c r="A513" s="33"/>
      <c r="B513" s="34"/>
      <c r="C513" s="35"/>
      <c r="D513" s="33"/>
      <c r="E513" s="274"/>
      <c r="F513" s="273"/>
      <c r="G513" s="273"/>
      <c r="H513" s="275"/>
      <c r="I513" s="273"/>
      <c r="J513" s="274"/>
      <c r="K513" s="273"/>
      <c r="L513" s="273"/>
      <c r="M513" s="275"/>
      <c r="N513" s="273"/>
      <c r="O513" s="274"/>
      <c r="P513" s="273"/>
      <c r="Q513" s="273"/>
      <c r="R513" s="275"/>
    </row>
    <row r="514" spans="1:18" s="11" customFormat="1">
      <c r="A514" s="33"/>
      <c r="B514" s="34"/>
      <c r="C514" s="35"/>
      <c r="D514" s="33"/>
      <c r="E514" s="274"/>
      <c r="F514" s="273"/>
      <c r="G514" s="273"/>
      <c r="H514" s="275"/>
      <c r="I514" s="273"/>
      <c r="J514" s="274"/>
      <c r="K514" s="273"/>
      <c r="L514" s="273"/>
      <c r="M514" s="275"/>
      <c r="N514" s="273"/>
      <c r="O514" s="274"/>
      <c r="P514" s="273"/>
      <c r="Q514" s="273"/>
      <c r="R514" s="275"/>
    </row>
    <row r="515" spans="1:18" s="11" customFormat="1">
      <c r="A515" s="33"/>
      <c r="B515" s="34"/>
      <c r="C515" s="35"/>
      <c r="D515" s="33"/>
      <c r="E515" s="274"/>
      <c r="F515" s="273"/>
      <c r="G515" s="273"/>
      <c r="H515" s="275"/>
      <c r="I515" s="273"/>
      <c r="J515" s="274"/>
      <c r="K515" s="273"/>
      <c r="L515" s="273"/>
      <c r="M515" s="275"/>
      <c r="N515" s="273"/>
      <c r="O515" s="274"/>
      <c r="P515" s="273"/>
      <c r="Q515" s="273"/>
      <c r="R515" s="275"/>
    </row>
    <row r="516" spans="1:18" s="11" customFormat="1">
      <c r="A516" s="33"/>
      <c r="B516" s="34"/>
      <c r="C516" s="35"/>
      <c r="D516" s="33"/>
      <c r="E516" s="274"/>
      <c r="F516" s="273"/>
      <c r="G516" s="273"/>
      <c r="H516" s="275"/>
      <c r="I516" s="273"/>
      <c r="J516" s="274"/>
      <c r="K516" s="273"/>
      <c r="L516" s="273"/>
      <c r="M516" s="275"/>
      <c r="N516" s="273"/>
      <c r="O516" s="274"/>
      <c r="P516" s="273"/>
      <c r="Q516" s="273"/>
      <c r="R516" s="275"/>
    </row>
    <row r="517" spans="1:18" s="11" customFormat="1">
      <c r="A517" s="33"/>
      <c r="B517" s="34"/>
      <c r="C517" s="35"/>
      <c r="D517" s="33"/>
      <c r="E517" s="274"/>
      <c r="F517" s="273"/>
      <c r="G517" s="273"/>
      <c r="H517" s="275"/>
      <c r="I517" s="273"/>
      <c r="J517" s="274"/>
      <c r="K517" s="273"/>
      <c r="L517" s="273"/>
      <c r="M517" s="275"/>
      <c r="N517" s="273"/>
      <c r="O517" s="274"/>
      <c r="P517" s="273"/>
      <c r="Q517" s="273"/>
      <c r="R517" s="275"/>
    </row>
    <row r="518" spans="1:18" s="11" customFormat="1">
      <c r="A518" s="33"/>
      <c r="B518" s="34"/>
      <c r="C518" s="35"/>
      <c r="D518" s="33"/>
      <c r="E518" s="274"/>
      <c r="F518" s="273"/>
      <c r="G518" s="273"/>
      <c r="H518" s="275"/>
      <c r="I518" s="273"/>
      <c r="J518" s="274"/>
      <c r="K518" s="273"/>
      <c r="L518" s="273"/>
      <c r="M518" s="275"/>
      <c r="N518" s="273"/>
      <c r="O518" s="274"/>
      <c r="P518" s="273"/>
      <c r="Q518" s="273"/>
      <c r="R518" s="275"/>
    </row>
    <row r="519" spans="1:18" s="11" customFormat="1">
      <c r="A519" s="33"/>
      <c r="B519" s="34"/>
      <c r="C519" s="35"/>
      <c r="D519" s="33"/>
      <c r="E519" s="274"/>
      <c r="F519" s="273"/>
      <c r="G519" s="273"/>
      <c r="H519" s="275"/>
      <c r="I519" s="273"/>
      <c r="J519" s="274"/>
      <c r="K519" s="273"/>
      <c r="L519" s="273"/>
      <c r="M519" s="275"/>
      <c r="N519" s="273"/>
      <c r="O519" s="274"/>
      <c r="P519" s="273"/>
      <c r="Q519" s="273"/>
      <c r="R519" s="275"/>
    </row>
    <row r="520" spans="1:18" s="11" customFormat="1">
      <c r="A520" s="33"/>
      <c r="B520" s="34"/>
      <c r="C520" s="35"/>
      <c r="D520" s="33"/>
      <c r="E520" s="274"/>
      <c r="F520" s="273"/>
      <c r="G520" s="273"/>
      <c r="H520" s="275"/>
      <c r="I520" s="273"/>
      <c r="J520" s="274"/>
      <c r="K520" s="273"/>
      <c r="L520" s="273"/>
      <c r="M520" s="275"/>
      <c r="N520" s="273"/>
      <c r="O520" s="274"/>
      <c r="P520" s="273"/>
      <c r="Q520" s="273"/>
      <c r="R520" s="275"/>
    </row>
    <row r="521" spans="1:18" s="11" customFormat="1">
      <c r="A521" s="33"/>
      <c r="B521" s="34"/>
      <c r="C521" s="35"/>
      <c r="D521" s="33"/>
      <c r="E521" s="274"/>
      <c r="F521" s="273"/>
      <c r="G521" s="273"/>
      <c r="H521" s="275"/>
      <c r="I521" s="273"/>
      <c r="J521" s="274"/>
      <c r="K521" s="273"/>
      <c r="L521" s="273"/>
      <c r="M521" s="275"/>
      <c r="N521" s="273"/>
      <c r="O521" s="274"/>
      <c r="P521" s="273"/>
      <c r="Q521" s="273"/>
      <c r="R521" s="275"/>
    </row>
    <row r="522" spans="1:18" s="11" customFormat="1">
      <c r="A522" s="33"/>
      <c r="B522" s="34"/>
      <c r="C522" s="35"/>
      <c r="D522" s="33"/>
      <c r="E522" s="274"/>
      <c r="F522" s="273"/>
      <c r="G522" s="273"/>
      <c r="H522" s="275"/>
      <c r="I522" s="273"/>
      <c r="J522" s="274"/>
      <c r="K522" s="273"/>
      <c r="L522" s="273"/>
      <c r="M522" s="275"/>
      <c r="N522" s="273"/>
      <c r="O522" s="274"/>
      <c r="P522" s="273"/>
      <c r="Q522" s="273"/>
      <c r="R522" s="275"/>
    </row>
    <row r="523" spans="1:18" s="11" customFormat="1">
      <c r="A523" s="33"/>
      <c r="B523" s="34"/>
      <c r="C523" s="35"/>
      <c r="D523" s="33"/>
      <c r="E523" s="274"/>
      <c r="F523" s="273"/>
      <c r="G523" s="273"/>
      <c r="H523" s="275"/>
      <c r="I523" s="273"/>
      <c r="J523" s="274"/>
      <c r="K523" s="273"/>
      <c r="L523" s="273"/>
      <c r="M523" s="275"/>
      <c r="N523" s="273"/>
      <c r="O523" s="274"/>
      <c r="P523" s="273"/>
      <c r="Q523" s="273"/>
      <c r="R523" s="275"/>
    </row>
    <row r="524" spans="1:18" s="11" customFormat="1">
      <c r="A524" s="33"/>
      <c r="B524" s="34"/>
      <c r="C524" s="35"/>
      <c r="D524" s="33"/>
      <c r="E524" s="274"/>
      <c r="F524" s="273"/>
      <c r="G524" s="273"/>
      <c r="H524" s="275"/>
      <c r="I524" s="273"/>
      <c r="J524" s="274"/>
      <c r="K524" s="273"/>
      <c r="L524" s="273"/>
      <c r="M524" s="275"/>
      <c r="N524" s="273"/>
      <c r="O524" s="274"/>
      <c r="P524" s="273"/>
      <c r="Q524" s="273"/>
      <c r="R524" s="275"/>
    </row>
    <row r="525" spans="1:18" s="11" customFormat="1">
      <c r="A525" s="33"/>
      <c r="B525" s="34"/>
      <c r="C525" s="35"/>
      <c r="D525" s="33"/>
      <c r="E525" s="274"/>
      <c r="F525" s="273"/>
      <c r="G525" s="273"/>
      <c r="H525" s="275"/>
      <c r="I525" s="273"/>
      <c r="J525" s="274"/>
      <c r="K525" s="273"/>
      <c r="L525" s="273"/>
      <c r="M525" s="275"/>
      <c r="N525" s="273"/>
      <c r="O525" s="274"/>
      <c r="P525" s="273"/>
      <c r="Q525" s="273"/>
      <c r="R525" s="275"/>
    </row>
    <row r="526" spans="1:18" s="11" customFormat="1">
      <c r="A526" s="33"/>
      <c r="B526" s="34"/>
      <c r="C526" s="35"/>
      <c r="D526" s="33"/>
      <c r="E526" s="274"/>
      <c r="F526" s="273"/>
      <c r="G526" s="273"/>
      <c r="H526" s="275"/>
      <c r="I526" s="273"/>
      <c r="J526" s="274"/>
      <c r="K526" s="273"/>
      <c r="L526" s="273"/>
      <c r="M526" s="275"/>
      <c r="N526" s="273"/>
      <c r="O526" s="274"/>
      <c r="P526" s="273"/>
      <c r="Q526" s="273"/>
      <c r="R526" s="275"/>
    </row>
    <row r="527" spans="1:18" s="11" customFormat="1">
      <c r="A527" s="33"/>
      <c r="B527" s="34"/>
      <c r="C527" s="35"/>
      <c r="D527" s="33"/>
      <c r="E527" s="274"/>
      <c r="F527" s="273"/>
      <c r="G527" s="273"/>
      <c r="H527" s="275"/>
      <c r="I527" s="273"/>
      <c r="J527" s="274"/>
      <c r="K527" s="273"/>
      <c r="L527" s="273"/>
      <c r="M527" s="275"/>
      <c r="N527" s="273"/>
      <c r="O527" s="274"/>
      <c r="P527" s="273"/>
      <c r="Q527" s="273"/>
      <c r="R527" s="275"/>
    </row>
    <row r="528" spans="1:18" s="11" customFormat="1">
      <c r="A528" s="33"/>
      <c r="B528" s="34"/>
      <c r="C528" s="35"/>
      <c r="D528" s="33"/>
      <c r="E528" s="274"/>
      <c r="F528" s="273"/>
      <c r="G528" s="273"/>
      <c r="H528" s="275"/>
      <c r="I528" s="273"/>
      <c r="J528" s="274"/>
      <c r="K528" s="273"/>
      <c r="L528" s="273"/>
      <c r="M528" s="275"/>
      <c r="N528" s="273"/>
      <c r="O528" s="274"/>
      <c r="P528" s="273"/>
      <c r="Q528" s="273"/>
      <c r="R528" s="275"/>
    </row>
    <row r="529" spans="1:18" s="11" customFormat="1">
      <c r="A529" s="33"/>
      <c r="B529" s="34"/>
      <c r="C529" s="35"/>
      <c r="D529" s="33"/>
      <c r="E529" s="274"/>
      <c r="F529" s="273"/>
      <c r="G529" s="273"/>
      <c r="H529" s="275"/>
      <c r="I529" s="273"/>
      <c r="J529" s="274"/>
      <c r="K529" s="273"/>
      <c r="L529" s="273"/>
      <c r="M529" s="275"/>
      <c r="N529" s="273"/>
      <c r="O529" s="274"/>
      <c r="P529" s="273"/>
      <c r="Q529" s="273"/>
      <c r="R529" s="275"/>
    </row>
    <row r="530" spans="1:18" s="11" customFormat="1">
      <c r="A530" s="33"/>
      <c r="B530" s="34"/>
      <c r="C530" s="35"/>
      <c r="D530" s="33"/>
      <c r="E530" s="274"/>
      <c r="F530" s="273"/>
      <c r="G530" s="273"/>
      <c r="H530" s="275"/>
      <c r="I530" s="273"/>
      <c r="J530" s="274"/>
      <c r="K530" s="273"/>
      <c r="L530" s="273"/>
      <c r="M530" s="275"/>
      <c r="N530" s="273"/>
      <c r="O530" s="274"/>
      <c r="P530" s="273"/>
      <c r="Q530" s="273"/>
      <c r="R530" s="275"/>
    </row>
    <row r="531" spans="1:18" s="11" customFormat="1">
      <c r="A531" s="33"/>
      <c r="B531" s="34"/>
      <c r="C531" s="35"/>
      <c r="D531" s="33"/>
      <c r="E531" s="274"/>
      <c r="F531" s="273"/>
      <c r="G531" s="273"/>
      <c r="H531" s="275"/>
      <c r="I531" s="273"/>
      <c r="J531" s="274"/>
      <c r="K531" s="273"/>
      <c r="L531" s="273"/>
      <c r="M531" s="275"/>
      <c r="N531" s="273"/>
      <c r="O531" s="274"/>
      <c r="P531" s="273"/>
      <c r="Q531" s="273"/>
      <c r="R531" s="275"/>
    </row>
    <row r="532" spans="1:18" s="11" customFormat="1">
      <c r="A532" s="33"/>
      <c r="B532" s="34"/>
      <c r="C532" s="35"/>
      <c r="D532" s="33"/>
      <c r="E532" s="274"/>
      <c r="F532" s="273"/>
      <c r="G532" s="273"/>
      <c r="H532" s="275"/>
      <c r="I532" s="273"/>
      <c r="J532" s="274"/>
      <c r="K532" s="273"/>
      <c r="L532" s="273"/>
      <c r="M532" s="275"/>
      <c r="N532" s="273"/>
      <c r="O532" s="274"/>
      <c r="P532" s="273"/>
      <c r="Q532" s="273"/>
      <c r="R532" s="275"/>
    </row>
    <row r="533" spans="1:18">
      <c r="A533" s="33"/>
      <c r="B533" s="34"/>
      <c r="C533" s="35"/>
      <c r="D533" s="33"/>
    </row>
    <row r="534" spans="1:18">
      <c r="A534" s="33"/>
      <c r="B534" s="34"/>
      <c r="C534" s="35"/>
      <c r="D534" s="33"/>
    </row>
    <row r="535" spans="1:18">
      <c r="A535" s="33"/>
      <c r="B535" s="34"/>
      <c r="C535" s="35"/>
      <c r="D535" s="33"/>
    </row>
    <row r="536" spans="1:18">
      <c r="A536" s="33"/>
      <c r="B536" s="34"/>
      <c r="C536" s="35"/>
      <c r="D536" s="33"/>
    </row>
    <row r="537" spans="1:18">
      <c r="A537" s="33"/>
      <c r="B537" s="34"/>
      <c r="C537" s="35"/>
      <c r="D537" s="33"/>
    </row>
    <row r="538" spans="1:18">
      <c r="A538" s="33"/>
      <c r="B538" s="34"/>
      <c r="C538" s="35"/>
      <c r="D538" s="33"/>
    </row>
    <row r="539" spans="1:18">
      <c r="A539" s="33"/>
      <c r="B539" s="34"/>
      <c r="C539" s="35"/>
      <c r="D539" s="33"/>
    </row>
    <row r="540" spans="1:18">
      <c r="A540" s="33"/>
      <c r="B540" s="34"/>
      <c r="C540" s="35"/>
      <c r="D540" s="33"/>
    </row>
    <row r="541" spans="1:18">
      <c r="A541" s="33"/>
      <c r="B541" s="34"/>
      <c r="C541" s="35"/>
      <c r="D541" s="33"/>
    </row>
    <row r="542" spans="1:18">
      <c r="A542" s="33"/>
      <c r="B542" s="34"/>
      <c r="C542" s="35"/>
      <c r="D542" s="33"/>
    </row>
    <row r="543" spans="1:18">
      <c r="A543" s="33"/>
      <c r="B543" s="34"/>
      <c r="C543" s="35"/>
      <c r="D543" s="33"/>
    </row>
    <row r="544" spans="1:18">
      <c r="A544" s="33"/>
      <c r="B544" s="34"/>
      <c r="C544" s="35"/>
      <c r="D544" s="33"/>
    </row>
    <row r="545" spans="1:4">
      <c r="A545" s="33"/>
      <c r="B545" s="34"/>
      <c r="C545" s="35"/>
      <c r="D545" s="33"/>
    </row>
    <row r="546" spans="1:4">
      <c r="A546" s="33"/>
      <c r="B546" s="34"/>
      <c r="C546" s="35"/>
      <c r="D546" s="33"/>
    </row>
    <row r="547" spans="1:4">
      <c r="A547" s="33"/>
      <c r="B547" s="34"/>
      <c r="C547" s="35"/>
      <c r="D547" s="33"/>
    </row>
    <row r="548" spans="1:4">
      <c r="A548" s="33"/>
      <c r="B548" s="34"/>
      <c r="C548" s="35"/>
      <c r="D548" s="33"/>
    </row>
    <row r="549" spans="1:4">
      <c r="A549" s="33"/>
      <c r="B549" s="34"/>
      <c r="C549" s="35"/>
      <c r="D549" s="33"/>
    </row>
    <row r="550" spans="1:4">
      <c r="A550" s="33"/>
      <c r="B550" s="34"/>
      <c r="C550" s="35"/>
      <c r="D550" s="33"/>
    </row>
    <row r="551" spans="1:4">
      <c r="A551" s="33"/>
      <c r="B551" s="34"/>
      <c r="C551" s="35"/>
      <c r="D551" s="33"/>
    </row>
    <row r="552" spans="1:4">
      <c r="A552" s="33"/>
      <c r="B552" s="34"/>
      <c r="C552" s="35"/>
      <c r="D552" s="33"/>
    </row>
    <row r="553" spans="1:4">
      <c r="A553" s="33"/>
      <c r="B553" s="34"/>
      <c r="C553" s="35"/>
      <c r="D553" s="33"/>
    </row>
    <row r="554" spans="1:4">
      <c r="A554" s="33"/>
      <c r="B554" s="34"/>
      <c r="C554" s="35"/>
      <c r="D554" s="33"/>
    </row>
    <row r="555" spans="1:4">
      <c r="A555" s="33"/>
      <c r="B555" s="34"/>
      <c r="C555" s="35"/>
      <c r="D555" s="33"/>
    </row>
    <row r="556" spans="1:4">
      <c r="A556" s="33"/>
      <c r="B556" s="34"/>
      <c r="C556" s="35"/>
      <c r="D556" s="33"/>
    </row>
    <row r="557" spans="1:4">
      <c r="A557" s="33"/>
      <c r="B557" s="34"/>
      <c r="C557" s="35"/>
      <c r="D557" s="33"/>
    </row>
    <row r="558" spans="1:4">
      <c r="A558" s="33"/>
      <c r="B558" s="34"/>
      <c r="C558" s="35"/>
      <c r="D558" s="33"/>
    </row>
    <row r="559" spans="1:4">
      <c r="A559" s="33"/>
      <c r="B559" s="34"/>
      <c r="C559" s="35"/>
      <c r="D559" s="33"/>
    </row>
    <row r="560" spans="1:4">
      <c r="A560" s="33"/>
      <c r="B560" s="34"/>
      <c r="C560" s="35"/>
      <c r="D560" s="33"/>
    </row>
    <row r="561" spans="1:4">
      <c r="A561" s="33"/>
      <c r="B561" s="34"/>
      <c r="C561" s="35"/>
      <c r="D561" s="33"/>
    </row>
    <row r="562" spans="1:4">
      <c r="A562" s="33"/>
      <c r="B562" s="34"/>
      <c r="C562" s="35"/>
      <c r="D562" s="33"/>
    </row>
    <row r="563" spans="1:4">
      <c r="A563" s="33"/>
      <c r="B563" s="34"/>
      <c r="C563" s="35"/>
      <c r="D563" s="33"/>
    </row>
    <row r="564" spans="1:4">
      <c r="A564" s="33"/>
      <c r="B564" s="34"/>
      <c r="C564" s="35"/>
      <c r="D564" s="33"/>
    </row>
    <row r="565" spans="1:4">
      <c r="A565" s="33"/>
      <c r="B565" s="34"/>
      <c r="C565" s="35"/>
      <c r="D565" s="33"/>
    </row>
    <row r="566" spans="1:4">
      <c r="A566" s="33"/>
      <c r="B566" s="34"/>
      <c r="C566" s="35"/>
      <c r="D566" s="33"/>
    </row>
    <row r="567" spans="1:4">
      <c r="A567" s="33"/>
      <c r="B567" s="34"/>
      <c r="C567" s="35"/>
      <c r="D567" s="33"/>
    </row>
    <row r="568" spans="1:4">
      <c r="A568" s="33"/>
      <c r="B568" s="34"/>
      <c r="C568" s="35"/>
      <c r="D568" s="33"/>
    </row>
    <row r="569" spans="1:4">
      <c r="A569" s="33"/>
      <c r="B569" s="34"/>
      <c r="C569" s="35"/>
      <c r="D569" s="33"/>
    </row>
    <row r="570" spans="1:4">
      <c r="A570" s="33"/>
      <c r="B570" s="34"/>
      <c r="C570" s="35"/>
      <c r="D570" s="33"/>
    </row>
    <row r="571" spans="1:4">
      <c r="A571" s="33"/>
      <c r="B571" s="34"/>
      <c r="C571" s="35"/>
      <c r="D571" s="33"/>
    </row>
    <row r="572" spans="1:4">
      <c r="A572" s="33"/>
      <c r="B572" s="34"/>
      <c r="C572" s="35"/>
      <c r="D572" s="33"/>
    </row>
    <row r="573" spans="1:4">
      <c r="A573" s="33"/>
      <c r="B573" s="34"/>
      <c r="C573" s="35"/>
      <c r="D573" s="33"/>
    </row>
    <row r="574" spans="1:4">
      <c r="A574" s="33"/>
      <c r="B574" s="34"/>
      <c r="C574" s="35"/>
      <c r="D574" s="33"/>
    </row>
    <row r="575" spans="1:4">
      <c r="A575" s="33"/>
      <c r="B575" s="34"/>
      <c r="C575" s="35"/>
      <c r="D575" s="33"/>
    </row>
    <row r="576" spans="1:4">
      <c r="A576" s="33"/>
      <c r="B576" s="34"/>
      <c r="C576" s="35"/>
      <c r="D576" s="33"/>
    </row>
    <row r="577" spans="1:4">
      <c r="A577" s="33"/>
      <c r="B577" s="34"/>
      <c r="C577" s="35"/>
      <c r="D577" s="33"/>
    </row>
    <row r="578" spans="1:4">
      <c r="A578" s="33"/>
      <c r="B578" s="34"/>
      <c r="C578" s="35"/>
      <c r="D578" s="33"/>
    </row>
    <row r="579" spans="1:4">
      <c r="A579" s="33"/>
      <c r="B579" s="34"/>
      <c r="C579" s="35"/>
      <c r="D579" s="33"/>
    </row>
    <row r="580" spans="1:4">
      <c r="A580" s="33"/>
      <c r="B580" s="34"/>
      <c r="C580" s="35"/>
      <c r="D580" s="33"/>
    </row>
    <row r="581" spans="1:4">
      <c r="A581" s="33"/>
      <c r="B581" s="34"/>
      <c r="C581" s="35"/>
      <c r="D581" s="33"/>
    </row>
    <row r="582" spans="1:4">
      <c r="A582" s="33"/>
      <c r="B582" s="34"/>
      <c r="C582" s="35"/>
      <c r="D582" s="33"/>
    </row>
    <row r="583" spans="1:4">
      <c r="A583" s="33"/>
      <c r="B583" s="34"/>
      <c r="C583" s="35"/>
      <c r="D583" s="33"/>
    </row>
    <row r="584" spans="1:4">
      <c r="A584" s="33"/>
      <c r="B584" s="34"/>
      <c r="C584" s="35"/>
      <c r="D584" s="33"/>
    </row>
    <row r="585" spans="1:4">
      <c r="A585" s="33"/>
      <c r="B585" s="34"/>
      <c r="C585" s="35"/>
      <c r="D585" s="33"/>
    </row>
    <row r="586" spans="1:4">
      <c r="A586" s="33"/>
      <c r="B586" s="34"/>
      <c r="C586" s="35"/>
      <c r="D586" s="33"/>
    </row>
    <row r="587" spans="1:4">
      <c r="A587" s="33"/>
      <c r="B587" s="34"/>
      <c r="C587" s="35"/>
      <c r="D587" s="33"/>
    </row>
    <row r="588" spans="1:4">
      <c r="A588" s="33"/>
      <c r="B588" s="34"/>
      <c r="C588" s="35"/>
      <c r="D588" s="33"/>
    </row>
    <row r="589" spans="1:4">
      <c r="A589" s="33"/>
      <c r="B589" s="34"/>
      <c r="C589" s="35"/>
      <c r="D589" s="33"/>
    </row>
    <row r="590" spans="1:4">
      <c r="A590" s="33"/>
      <c r="B590" s="34"/>
      <c r="C590" s="35"/>
      <c r="D590" s="33"/>
    </row>
    <row r="591" spans="1:4">
      <c r="A591" s="33"/>
      <c r="B591" s="34"/>
      <c r="C591" s="35"/>
      <c r="D591" s="33"/>
    </row>
    <row r="592" spans="1:4">
      <c r="A592" s="33"/>
      <c r="B592" s="34"/>
      <c r="C592" s="35"/>
      <c r="D592" s="33"/>
    </row>
    <row r="593" spans="1:4">
      <c r="A593" s="33"/>
      <c r="B593" s="34"/>
      <c r="C593" s="35"/>
      <c r="D593" s="33"/>
    </row>
    <row r="594" spans="1:4">
      <c r="A594" s="33"/>
      <c r="B594" s="34"/>
      <c r="C594" s="35"/>
      <c r="D594" s="33"/>
    </row>
    <row r="595" spans="1:4">
      <c r="A595" s="33"/>
      <c r="B595" s="34"/>
      <c r="C595" s="35"/>
      <c r="D595" s="33"/>
    </row>
    <row r="596" spans="1:4">
      <c r="A596" s="33"/>
      <c r="B596" s="34"/>
      <c r="C596" s="35"/>
      <c r="D596" s="33"/>
    </row>
  </sheetData>
  <mergeCells count="23">
    <mergeCell ref="O5:Q5"/>
    <mergeCell ref="A5:A7"/>
    <mergeCell ref="B5:B7"/>
    <mergeCell ref="C5:C7"/>
    <mergeCell ref="R5:R7"/>
    <mergeCell ref="L6:L7"/>
    <mergeCell ref="O6:O7"/>
    <mergeCell ref="Q6:Q7"/>
    <mergeCell ref="J6:J7"/>
    <mergeCell ref="I5:I7"/>
    <mergeCell ref="J5:L5"/>
    <mergeCell ref="M5:M7"/>
    <mergeCell ref="N5:N7"/>
    <mergeCell ref="P6:P7"/>
    <mergeCell ref="K6:K7"/>
    <mergeCell ref="F6:F7"/>
    <mergeCell ref="B2:H2"/>
    <mergeCell ref="B3:H3"/>
    <mergeCell ref="D5:D7"/>
    <mergeCell ref="E5:G5"/>
    <mergeCell ref="H5:H7"/>
    <mergeCell ref="E6:E7"/>
    <mergeCell ref="G6:G7"/>
  </mergeCells>
  <phoneticPr fontId="27" type="noConversion"/>
  <pageMargins left="0.27559055118110237" right="0.27559055118110237" top="0.39370078740157483" bottom="0.27559055118110237" header="0.23622047244094491" footer="0.15748031496062992"/>
  <pageSetup paperSize="9" scale="60" orientation="landscape" r:id="rId1"/>
  <headerFooter alignWithMargins="0">
    <oddFooter>&amp;L&amp;F&amp;C&amp;P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R409"/>
  <sheetViews>
    <sheetView zoomScale="70" zoomScaleNormal="70" workbookViewId="0">
      <pane xSplit="2" ySplit="8" topLeftCell="D40" activePane="bottomRight" state="frozen"/>
      <selection activeCell="A177" activeCellId="2" sqref="A8:A9 A93 A177"/>
      <selection pane="topRight" activeCell="A177" activeCellId="2" sqref="A8:A9 A93 A177"/>
      <selection pane="bottomLeft" activeCell="A177" activeCellId="2" sqref="A8:A9 A93 A177"/>
      <selection pane="bottomRight" activeCell="A177" sqref="A177:XFD261"/>
    </sheetView>
  </sheetViews>
  <sheetFormatPr defaultColWidth="9.109375" defaultRowHeight="10.199999999999999"/>
  <cols>
    <col min="1" max="1" width="11.44140625" style="273" bestFit="1" customWidth="1"/>
    <col min="2" max="2" width="43" style="218" customWidth="1"/>
    <col min="3" max="3" width="11.88671875" style="274" customWidth="1"/>
    <col min="4" max="4" width="11.44140625" style="273" customWidth="1"/>
    <col min="5" max="5" width="12" style="274" customWidth="1"/>
    <col min="6" max="7" width="11.44140625" style="273" customWidth="1"/>
    <col min="8" max="8" width="12.109375" style="275" customWidth="1"/>
    <col min="9" max="9" width="11.44140625" style="273" customWidth="1"/>
    <col min="10" max="10" width="12" style="274" customWidth="1"/>
    <col min="11" max="12" width="10.6640625" style="273" customWidth="1"/>
    <col min="13" max="13" width="11.6640625" style="275" customWidth="1"/>
    <col min="14" max="14" width="11.33203125" style="273" customWidth="1"/>
    <col min="15" max="15" width="12" style="274" customWidth="1"/>
    <col min="16" max="17" width="11.44140625" style="273" customWidth="1"/>
    <col min="18" max="18" width="11.664062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363"/>
      <c r="J2" s="363"/>
      <c r="K2" s="566"/>
      <c r="L2" s="363"/>
      <c r="M2" s="220"/>
      <c r="N2" s="363"/>
      <c r="O2" s="363"/>
      <c r="P2" s="566"/>
      <c r="Q2" s="363"/>
      <c r="R2" s="220"/>
    </row>
    <row r="3" spans="1:18" s="1" customFormat="1" ht="13.2">
      <c r="A3" s="221"/>
      <c r="B3" s="1400" t="s">
        <v>489</v>
      </c>
      <c r="C3" s="1400"/>
      <c r="D3" s="1400"/>
      <c r="E3" s="1400"/>
      <c r="F3" s="1400"/>
      <c r="G3" s="1400"/>
      <c r="H3" s="1400"/>
      <c r="I3" s="364"/>
      <c r="J3" s="364"/>
      <c r="K3" s="567"/>
      <c r="L3" s="364"/>
      <c r="M3" s="220"/>
      <c r="N3" s="364"/>
      <c r="O3" s="364"/>
      <c r="P3" s="567"/>
      <c r="Q3" s="364"/>
      <c r="R3" s="220"/>
    </row>
    <row r="4" spans="1:18" s="1" customFormat="1" ht="13.2">
      <c r="A4" s="221"/>
      <c r="B4" s="319"/>
      <c r="C4" s="222"/>
      <c r="D4" s="319"/>
      <c r="E4" s="319"/>
      <c r="F4" s="567"/>
      <c r="G4" s="319"/>
      <c r="H4" s="319"/>
      <c r="I4" s="364"/>
      <c r="J4" s="364"/>
      <c r="K4" s="567"/>
      <c r="L4" s="364"/>
      <c r="M4" s="364"/>
      <c r="N4" s="364"/>
      <c r="O4" s="364"/>
      <c r="P4" s="567"/>
      <c r="Q4" s="364"/>
      <c r="R4" s="364"/>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223"/>
      <c r="B9" s="224" t="s">
        <v>20</v>
      </c>
      <c r="C9" s="225"/>
      <c r="D9" s="365"/>
      <c r="E9" s="226"/>
      <c r="F9" s="226"/>
      <c r="G9" s="226"/>
      <c r="H9" s="226"/>
      <c r="I9" s="365"/>
      <c r="J9" s="226"/>
      <c r="K9" s="226"/>
      <c r="L9" s="226"/>
      <c r="M9" s="226"/>
      <c r="N9" s="365"/>
      <c r="O9" s="226"/>
      <c r="P9" s="226"/>
      <c r="Q9" s="226"/>
      <c r="R9" s="226"/>
    </row>
    <row r="10" spans="1:18" s="4" customFormat="1" ht="20.399999999999999">
      <c r="A10" s="129" t="s">
        <v>201</v>
      </c>
      <c r="B10" s="99" t="s">
        <v>88</v>
      </c>
      <c r="C10" s="227">
        <v>2133218</v>
      </c>
      <c r="D10" s="228">
        <v>2262563</v>
      </c>
      <c r="E10" s="228">
        <f>E11+E12+E14+E32</f>
        <v>0</v>
      </c>
      <c r="F10" s="228">
        <f t="shared" ref="F10:G10" si="0">F11+F12+F14+F32</f>
        <v>0</v>
      </c>
      <c r="G10" s="228">
        <f t="shared" si="0"/>
        <v>0</v>
      </c>
      <c r="H10" s="229">
        <f t="shared" ref="H10:H73" si="1">SUM(D10:G10)</f>
        <v>2262563</v>
      </c>
      <c r="I10" s="228">
        <v>2391907</v>
      </c>
      <c r="J10" s="228">
        <f>J11+J12+J14+J32</f>
        <v>0</v>
      </c>
      <c r="K10" s="228">
        <f t="shared" ref="K10:L10" si="2">K11+K12+K14+K32</f>
        <v>0</v>
      </c>
      <c r="L10" s="228">
        <f t="shared" si="2"/>
        <v>0</v>
      </c>
      <c r="M10" s="229">
        <f t="shared" ref="M10:M73" si="3">SUM(I10:L10)</f>
        <v>2391907</v>
      </c>
      <c r="N10" s="228">
        <v>2593621</v>
      </c>
      <c r="O10" s="228">
        <f>O11+O12+O14+O32</f>
        <v>0</v>
      </c>
      <c r="P10" s="228">
        <f t="shared" ref="P10:Q10" si="4">P11+P12+P14+P32</f>
        <v>0</v>
      </c>
      <c r="Q10" s="228">
        <f t="shared" si="4"/>
        <v>0</v>
      </c>
      <c r="R10" s="229">
        <f t="shared" ref="R10:R73" si="5">SUM(N10:Q10)</f>
        <v>2593621</v>
      </c>
    </row>
    <row r="11" spans="1:18" ht="22.8" hidden="1" customHeight="1">
      <c r="A11" s="130" t="s">
        <v>177</v>
      </c>
      <c r="B11" s="100" t="s">
        <v>90</v>
      </c>
      <c r="C11" s="230"/>
      <c r="D11" s="231">
        <v>0</v>
      </c>
      <c r="E11" s="231"/>
      <c r="F11" s="231"/>
      <c r="G11" s="231"/>
      <c r="H11" s="232">
        <f t="shared" si="1"/>
        <v>0</v>
      </c>
      <c r="I11" s="231">
        <v>0</v>
      </c>
      <c r="J11" s="231"/>
      <c r="K11" s="231"/>
      <c r="L11" s="231"/>
      <c r="M11" s="232">
        <f t="shared" si="3"/>
        <v>0</v>
      </c>
      <c r="N11" s="231">
        <v>0</v>
      </c>
      <c r="O11" s="231"/>
      <c r="P11" s="231"/>
      <c r="Q11" s="231"/>
      <c r="R11" s="232">
        <f t="shared" si="5"/>
        <v>0</v>
      </c>
    </row>
    <row r="12" spans="1:18" ht="12" hidden="1" customHeight="1">
      <c r="A12" s="130" t="s">
        <v>91</v>
      </c>
      <c r="B12" s="100" t="s">
        <v>92</v>
      </c>
      <c r="C12" s="230"/>
      <c r="D12" s="231">
        <v>0</v>
      </c>
      <c r="E12" s="231"/>
      <c r="F12" s="231"/>
      <c r="G12" s="231"/>
      <c r="H12" s="232">
        <f t="shared" si="1"/>
        <v>0</v>
      </c>
      <c r="I12" s="231">
        <v>0</v>
      </c>
      <c r="J12" s="231"/>
      <c r="K12" s="231"/>
      <c r="L12" s="231"/>
      <c r="M12" s="232">
        <f t="shared" si="3"/>
        <v>0</v>
      </c>
      <c r="N12" s="231">
        <v>0</v>
      </c>
      <c r="O12" s="231"/>
      <c r="P12" s="231"/>
      <c r="Q12" s="231"/>
      <c r="R12" s="232">
        <f t="shared" si="5"/>
        <v>0</v>
      </c>
    </row>
    <row r="13" spans="1:18" ht="12" hidden="1" customHeight="1">
      <c r="A13" s="131">
        <v>21210</v>
      </c>
      <c r="B13" s="101" t="s">
        <v>93</v>
      </c>
      <c r="C13" s="230"/>
      <c r="D13" s="231">
        <v>0</v>
      </c>
      <c r="E13" s="231"/>
      <c r="F13" s="231"/>
      <c r="G13" s="231"/>
      <c r="H13" s="232">
        <f t="shared" si="1"/>
        <v>0</v>
      </c>
      <c r="I13" s="231">
        <v>0</v>
      </c>
      <c r="J13" s="231"/>
      <c r="K13" s="231"/>
      <c r="L13" s="231"/>
      <c r="M13" s="232">
        <f t="shared" si="3"/>
        <v>0</v>
      </c>
      <c r="N13" s="231">
        <v>0</v>
      </c>
      <c r="O13" s="231"/>
      <c r="P13" s="231"/>
      <c r="Q13" s="231"/>
      <c r="R13" s="232">
        <f t="shared" si="5"/>
        <v>0</v>
      </c>
    </row>
    <row r="14" spans="1:18" ht="20.399999999999999" hidden="1" customHeight="1">
      <c r="A14" s="130" t="s">
        <v>178</v>
      </c>
      <c r="B14" s="100" t="s">
        <v>94</v>
      </c>
      <c r="C14" s="232">
        <v>0</v>
      </c>
      <c r="D14" s="233">
        <v>0</v>
      </c>
      <c r="E14" s="233">
        <f>E15+E21</f>
        <v>0</v>
      </c>
      <c r="F14" s="233">
        <f t="shared" ref="F14:G14" si="6">F15+F21</f>
        <v>0</v>
      </c>
      <c r="G14" s="233">
        <f t="shared" si="6"/>
        <v>0</v>
      </c>
      <c r="H14" s="232">
        <f t="shared" si="1"/>
        <v>0</v>
      </c>
      <c r="I14" s="233">
        <v>0</v>
      </c>
      <c r="J14" s="233">
        <f>J15+J21</f>
        <v>0</v>
      </c>
      <c r="K14" s="233">
        <f t="shared" ref="K14:L14" si="7">K15+K21</f>
        <v>0</v>
      </c>
      <c r="L14" s="233">
        <f t="shared" si="7"/>
        <v>0</v>
      </c>
      <c r="M14" s="232">
        <f t="shared" si="3"/>
        <v>0</v>
      </c>
      <c r="N14" s="233">
        <v>0</v>
      </c>
      <c r="O14" s="233">
        <f>O15+O21</f>
        <v>0</v>
      </c>
      <c r="P14" s="233">
        <f t="shared" ref="P14:Q14" si="8">P15+P21</f>
        <v>0</v>
      </c>
      <c r="Q14" s="233">
        <f t="shared" si="8"/>
        <v>0</v>
      </c>
      <c r="R14" s="232">
        <f t="shared" si="5"/>
        <v>0</v>
      </c>
    </row>
    <row r="15" spans="1:18" ht="12" hidden="1" customHeight="1">
      <c r="A15" s="132">
        <v>18000</v>
      </c>
      <c r="B15" s="101" t="s">
        <v>95</v>
      </c>
      <c r="C15" s="232">
        <v>0</v>
      </c>
      <c r="D15" s="233">
        <v>0</v>
      </c>
      <c r="E15" s="233">
        <f t="shared" ref="E15:L16" si="9">E16</f>
        <v>0</v>
      </c>
      <c r="F15" s="233">
        <f t="shared" si="9"/>
        <v>0</v>
      </c>
      <c r="G15" s="233">
        <f t="shared" si="9"/>
        <v>0</v>
      </c>
      <c r="H15" s="232">
        <f t="shared" si="1"/>
        <v>0</v>
      </c>
      <c r="I15" s="233">
        <v>0</v>
      </c>
      <c r="J15" s="233">
        <f t="shared" si="9"/>
        <v>0</v>
      </c>
      <c r="K15" s="233">
        <f t="shared" si="9"/>
        <v>0</v>
      </c>
      <c r="L15" s="233">
        <f t="shared" si="9"/>
        <v>0</v>
      </c>
      <c r="M15" s="232">
        <f t="shared" si="3"/>
        <v>0</v>
      </c>
      <c r="N15" s="233">
        <v>0</v>
      </c>
      <c r="O15" s="233">
        <f t="shared" ref="O15:Q16" si="10">O16</f>
        <v>0</v>
      </c>
      <c r="P15" s="233">
        <f t="shared" si="10"/>
        <v>0</v>
      </c>
      <c r="Q15" s="233">
        <f t="shared" si="10"/>
        <v>0</v>
      </c>
      <c r="R15" s="232">
        <f t="shared" si="5"/>
        <v>0</v>
      </c>
    </row>
    <row r="16" spans="1:18" ht="12" hidden="1" customHeight="1">
      <c r="A16" s="132">
        <v>18100</v>
      </c>
      <c r="B16" s="101" t="s">
        <v>96</v>
      </c>
      <c r="C16" s="232">
        <v>0</v>
      </c>
      <c r="D16" s="233">
        <v>0</v>
      </c>
      <c r="E16" s="233">
        <f>E17</f>
        <v>0</v>
      </c>
      <c r="F16" s="233">
        <f t="shared" si="9"/>
        <v>0</v>
      </c>
      <c r="G16" s="233">
        <f t="shared" si="9"/>
        <v>0</v>
      </c>
      <c r="H16" s="232">
        <f t="shared" si="1"/>
        <v>0</v>
      </c>
      <c r="I16" s="233">
        <v>0</v>
      </c>
      <c r="J16" s="233">
        <f>J17</f>
        <v>0</v>
      </c>
      <c r="K16" s="233">
        <f t="shared" si="9"/>
        <v>0</v>
      </c>
      <c r="L16" s="233">
        <f t="shared" si="9"/>
        <v>0</v>
      </c>
      <c r="M16" s="232">
        <f t="shared" si="3"/>
        <v>0</v>
      </c>
      <c r="N16" s="233">
        <v>0</v>
      </c>
      <c r="O16" s="233">
        <f>O17</f>
        <v>0</v>
      </c>
      <c r="P16" s="233">
        <f t="shared" si="10"/>
        <v>0</v>
      </c>
      <c r="Q16" s="233">
        <f t="shared" si="10"/>
        <v>0</v>
      </c>
      <c r="R16" s="232">
        <f t="shared" si="5"/>
        <v>0</v>
      </c>
    </row>
    <row r="17" spans="1:18" s="4" customFormat="1" ht="24" hidden="1" customHeight="1">
      <c r="A17" s="234">
        <v>18130</v>
      </c>
      <c r="B17" s="235" t="s">
        <v>159</v>
      </c>
      <c r="C17" s="232">
        <v>0</v>
      </c>
      <c r="D17" s="233">
        <v>0</v>
      </c>
      <c r="E17" s="233">
        <f>SUM(E18:E20)</f>
        <v>0</v>
      </c>
      <c r="F17" s="233">
        <f t="shared" ref="F17:G17" si="11">SUM(F18:F20)</f>
        <v>0</v>
      </c>
      <c r="G17" s="233">
        <f t="shared" si="11"/>
        <v>0</v>
      </c>
      <c r="H17" s="232">
        <f t="shared" si="1"/>
        <v>0</v>
      </c>
      <c r="I17" s="233">
        <v>0</v>
      </c>
      <c r="J17" s="233">
        <f>SUM(J18:J20)</f>
        <v>0</v>
      </c>
      <c r="K17" s="233">
        <f t="shared" ref="K17:L17" si="12">SUM(K18:K20)</f>
        <v>0</v>
      </c>
      <c r="L17" s="233">
        <f t="shared" si="12"/>
        <v>0</v>
      </c>
      <c r="M17" s="232">
        <f t="shared" si="3"/>
        <v>0</v>
      </c>
      <c r="N17" s="233">
        <v>0</v>
      </c>
      <c r="O17" s="233">
        <f>SUM(O18:O20)</f>
        <v>0</v>
      </c>
      <c r="P17" s="233">
        <f t="shared" ref="P17:Q17" si="13">SUM(P18:P20)</f>
        <v>0</v>
      </c>
      <c r="Q17" s="233">
        <f t="shared" si="13"/>
        <v>0</v>
      </c>
      <c r="R17" s="232">
        <f t="shared" si="5"/>
        <v>0</v>
      </c>
    </row>
    <row r="18" spans="1:18" s="6" customFormat="1" ht="24" hidden="1" customHeight="1">
      <c r="A18" s="236">
        <v>18131</v>
      </c>
      <c r="B18" s="235" t="s">
        <v>160</v>
      </c>
      <c r="C18" s="232"/>
      <c r="D18" s="233">
        <v>0</v>
      </c>
      <c r="E18" s="233"/>
      <c r="F18" s="233"/>
      <c r="G18" s="233"/>
      <c r="H18" s="232">
        <f t="shared" si="1"/>
        <v>0</v>
      </c>
      <c r="I18" s="233">
        <v>0</v>
      </c>
      <c r="J18" s="233"/>
      <c r="K18" s="233"/>
      <c r="L18" s="233"/>
      <c r="M18" s="232">
        <f t="shared" si="3"/>
        <v>0</v>
      </c>
      <c r="N18" s="233">
        <v>0</v>
      </c>
      <c r="O18" s="233"/>
      <c r="P18" s="233"/>
      <c r="Q18" s="233"/>
      <c r="R18" s="232">
        <f t="shared" si="5"/>
        <v>0</v>
      </c>
    </row>
    <row r="19" spans="1:18" s="6" customFormat="1" ht="24" hidden="1" customHeight="1">
      <c r="A19" s="236">
        <v>18132</v>
      </c>
      <c r="B19" s="235" t="s">
        <v>169</v>
      </c>
      <c r="C19" s="232"/>
      <c r="D19" s="233">
        <v>0</v>
      </c>
      <c r="E19" s="233"/>
      <c r="F19" s="233"/>
      <c r="G19" s="233"/>
      <c r="H19" s="232">
        <f t="shared" si="1"/>
        <v>0</v>
      </c>
      <c r="I19" s="233">
        <v>0</v>
      </c>
      <c r="J19" s="233"/>
      <c r="K19" s="233"/>
      <c r="L19" s="233"/>
      <c r="M19" s="232">
        <f t="shared" si="3"/>
        <v>0</v>
      </c>
      <c r="N19" s="233">
        <v>0</v>
      </c>
      <c r="O19" s="233"/>
      <c r="P19" s="233"/>
      <c r="Q19" s="233"/>
      <c r="R19" s="232">
        <f t="shared" si="5"/>
        <v>0</v>
      </c>
    </row>
    <row r="20" spans="1:18" s="6" customFormat="1" ht="24" hidden="1" customHeight="1">
      <c r="A20" s="236">
        <v>18139</v>
      </c>
      <c r="B20" s="235" t="s">
        <v>179</v>
      </c>
      <c r="C20" s="232"/>
      <c r="D20" s="233">
        <v>0</v>
      </c>
      <c r="E20" s="233"/>
      <c r="F20" s="233"/>
      <c r="G20" s="233"/>
      <c r="H20" s="232">
        <f t="shared" si="1"/>
        <v>0</v>
      </c>
      <c r="I20" s="233">
        <v>0</v>
      </c>
      <c r="J20" s="233"/>
      <c r="K20" s="233"/>
      <c r="L20" s="233"/>
      <c r="M20" s="232">
        <f t="shared" si="3"/>
        <v>0</v>
      </c>
      <c r="N20" s="233">
        <v>0</v>
      </c>
      <c r="O20" s="233"/>
      <c r="P20" s="233"/>
      <c r="Q20" s="233"/>
      <c r="R20" s="232">
        <f t="shared" si="5"/>
        <v>0</v>
      </c>
    </row>
    <row r="21" spans="1:18" s="6" customFormat="1" ht="12" hidden="1" customHeight="1">
      <c r="A21" s="135" t="s">
        <v>180</v>
      </c>
      <c r="B21" s="109" t="s">
        <v>173</v>
      </c>
      <c r="C21" s="237">
        <v>0</v>
      </c>
      <c r="D21" s="238">
        <v>0</v>
      </c>
      <c r="E21" s="238">
        <f t="shared" ref="E21:L21" si="14">E22</f>
        <v>0</v>
      </c>
      <c r="F21" s="238">
        <f t="shared" si="14"/>
        <v>0</v>
      </c>
      <c r="G21" s="238">
        <f t="shared" si="14"/>
        <v>0</v>
      </c>
      <c r="H21" s="232">
        <f t="shared" si="1"/>
        <v>0</v>
      </c>
      <c r="I21" s="238">
        <v>0</v>
      </c>
      <c r="J21" s="238">
        <f t="shared" si="14"/>
        <v>0</v>
      </c>
      <c r="K21" s="238">
        <f t="shared" si="14"/>
        <v>0</v>
      </c>
      <c r="L21" s="238">
        <f t="shared" si="14"/>
        <v>0</v>
      </c>
      <c r="M21" s="232">
        <f t="shared" si="3"/>
        <v>0</v>
      </c>
      <c r="N21" s="238">
        <v>0</v>
      </c>
      <c r="O21" s="238">
        <f t="shared" ref="O21:Q21" si="15">O22</f>
        <v>0</v>
      </c>
      <c r="P21" s="238">
        <f t="shared" si="15"/>
        <v>0</v>
      </c>
      <c r="Q21" s="238">
        <f t="shared" si="15"/>
        <v>0</v>
      </c>
      <c r="R21" s="232">
        <f t="shared" si="5"/>
        <v>0</v>
      </c>
    </row>
    <row r="22" spans="1:18" s="6" customFormat="1" ht="12" hidden="1" customHeight="1">
      <c r="A22" s="135">
        <v>19500</v>
      </c>
      <c r="B22" s="235" t="s">
        <v>174</v>
      </c>
      <c r="C22" s="232">
        <v>0</v>
      </c>
      <c r="D22" s="233">
        <v>0</v>
      </c>
      <c r="E22" s="233">
        <f>SUM(E23:E25)</f>
        <v>0</v>
      </c>
      <c r="F22" s="233">
        <f t="shared" ref="F22:G22" si="16">SUM(F23:F25)</f>
        <v>0</v>
      </c>
      <c r="G22" s="233">
        <f t="shared" si="16"/>
        <v>0</v>
      </c>
      <c r="H22" s="232">
        <f t="shared" si="1"/>
        <v>0</v>
      </c>
      <c r="I22" s="233">
        <v>0</v>
      </c>
      <c r="J22" s="233">
        <f>SUM(J23:J25)</f>
        <v>0</v>
      </c>
      <c r="K22" s="233">
        <f t="shared" ref="K22:L22" si="17">SUM(K23:K25)</f>
        <v>0</v>
      </c>
      <c r="L22" s="233">
        <f t="shared" si="17"/>
        <v>0</v>
      </c>
      <c r="M22" s="232">
        <f t="shared" si="3"/>
        <v>0</v>
      </c>
      <c r="N22" s="233">
        <v>0</v>
      </c>
      <c r="O22" s="233">
        <f>SUM(O23:O25)</f>
        <v>0</v>
      </c>
      <c r="P22" s="233">
        <f t="shared" ref="P22:Q22" si="18">SUM(P23:P25)</f>
        <v>0</v>
      </c>
      <c r="Q22" s="233">
        <f t="shared" si="18"/>
        <v>0</v>
      </c>
      <c r="R22" s="232">
        <f t="shared" si="5"/>
        <v>0</v>
      </c>
    </row>
    <row r="23" spans="1:18" s="6" customFormat="1" ht="24" hidden="1" customHeight="1">
      <c r="A23" s="136">
        <v>19550</v>
      </c>
      <c r="B23" s="235" t="s">
        <v>175</v>
      </c>
      <c r="C23" s="232"/>
      <c r="D23" s="233">
        <v>0</v>
      </c>
      <c r="E23" s="233"/>
      <c r="F23" s="233"/>
      <c r="G23" s="233"/>
      <c r="H23" s="232">
        <f t="shared" si="1"/>
        <v>0</v>
      </c>
      <c r="I23" s="233">
        <v>0</v>
      </c>
      <c r="J23" s="233"/>
      <c r="K23" s="233"/>
      <c r="L23" s="233"/>
      <c r="M23" s="232">
        <f t="shared" si="3"/>
        <v>0</v>
      </c>
      <c r="N23" s="233">
        <v>0</v>
      </c>
      <c r="O23" s="233"/>
      <c r="P23" s="233"/>
      <c r="Q23" s="233"/>
      <c r="R23" s="232">
        <f t="shared" si="5"/>
        <v>0</v>
      </c>
    </row>
    <row r="24" spans="1:18" s="6" customFormat="1" ht="36" hidden="1" customHeight="1">
      <c r="A24" s="136">
        <v>19560</v>
      </c>
      <c r="B24" s="235" t="s">
        <v>181</v>
      </c>
      <c r="C24" s="232"/>
      <c r="D24" s="233">
        <v>0</v>
      </c>
      <c r="E24" s="233"/>
      <c r="F24" s="233"/>
      <c r="G24" s="233"/>
      <c r="H24" s="232">
        <f t="shared" si="1"/>
        <v>0</v>
      </c>
      <c r="I24" s="233">
        <v>0</v>
      </c>
      <c r="J24" s="233"/>
      <c r="K24" s="233"/>
      <c r="L24" s="233"/>
      <c r="M24" s="232">
        <f t="shared" si="3"/>
        <v>0</v>
      </c>
      <c r="N24" s="233">
        <v>0</v>
      </c>
      <c r="O24" s="233"/>
      <c r="P24" s="233"/>
      <c r="Q24" s="233"/>
      <c r="R24" s="232">
        <f t="shared" si="5"/>
        <v>0</v>
      </c>
    </row>
    <row r="25" spans="1:18" s="6" customFormat="1" ht="60" hidden="1" customHeight="1">
      <c r="A25" s="136">
        <v>19570</v>
      </c>
      <c r="B25" s="239" t="s">
        <v>182</v>
      </c>
      <c r="C25" s="232"/>
      <c r="D25" s="233">
        <v>0</v>
      </c>
      <c r="E25" s="233"/>
      <c r="F25" s="233"/>
      <c r="G25" s="233"/>
      <c r="H25" s="232">
        <f t="shared" si="1"/>
        <v>0</v>
      </c>
      <c r="I25" s="233">
        <v>0</v>
      </c>
      <c r="J25" s="233"/>
      <c r="K25" s="233"/>
      <c r="L25" s="233"/>
      <c r="M25" s="232">
        <f t="shared" si="3"/>
        <v>0</v>
      </c>
      <c r="N25" s="233">
        <v>0</v>
      </c>
      <c r="O25" s="233"/>
      <c r="P25" s="233"/>
      <c r="Q25" s="233"/>
      <c r="R25" s="232">
        <f t="shared" si="5"/>
        <v>0</v>
      </c>
    </row>
    <row r="26" spans="1:18" s="6" customFormat="1" ht="24" hidden="1" customHeight="1">
      <c r="A26" s="240" t="s">
        <v>222</v>
      </c>
      <c r="B26" s="241" t="s">
        <v>216</v>
      </c>
      <c r="C26" s="232">
        <f>C27</f>
        <v>0</v>
      </c>
      <c r="D26" s="233">
        <v>0</v>
      </c>
      <c r="E26" s="232">
        <f t="shared" ref="E26:L26" si="19">E27</f>
        <v>0</v>
      </c>
      <c r="F26" s="232">
        <f t="shared" si="19"/>
        <v>0</v>
      </c>
      <c r="G26" s="232">
        <f t="shared" si="19"/>
        <v>0</v>
      </c>
      <c r="H26" s="232">
        <f t="shared" si="1"/>
        <v>0</v>
      </c>
      <c r="I26" s="233">
        <v>0</v>
      </c>
      <c r="J26" s="232">
        <f t="shared" si="19"/>
        <v>0</v>
      </c>
      <c r="K26" s="232">
        <f t="shared" si="19"/>
        <v>0</v>
      </c>
      <c r="L26" s="232">
        <f t="shared" si="19"/>
        <v>0</v>
      </c>
      <c r="M26" s="232">
        <f t="shared" si="3"/>
        <v>0</v>
      </c>
      <c r="N26" s="233">
        <v>0</v>
      </c>
      <c r="O26" s="232">
        <f t="shared" ref="O26:Q26" si="20">O27</f>
        <v>0</v>
      </c>
      <c r="P26" s="232">
        <f t="shared" si="20"/>
        <v>0</v>
      </c>
      <c r="Q26" s="232">
        <f t="shared" si="20"/>
        <v>0</v>
      </c>
      <c r="R26" s="232">
        <f t="shared" si="5"/>
        <v>0</v>
      </c>
    </row>
    <row r="27" spans="1:18" s="6" customFormat="1" ht="36" hidden="1" customHeight="1">
      <c r="A27" s="240">
        <v>17100</v>
      </c>
      <c r="B27" s="241" t="s">
        <v>217</v>
      </c>
      <c r="C27" s="232">
        <f>SUM(C28:C31)</f>
        <v>0</v>
      </c>
      <c r="D27" s="233">
        <v>0</v>
      </c>
      <c r="E27" s="232">
        <f t="shared" ref="E27:G27" si="21">SUM(E28:E31)</f>
        <v>0</v>
      </c>
      <c r="F27" s="232">
        <f t="shared" ref="F27" si="22">SUM(F28:F31)</f>
        <v>0</v>
      </c>
      <c r="G27" s="232">
        <f t="shared" si="21"/>
        <v>0</v>
      </c>
      <c r="H27" s="232">
        <f t="shared" si="1"/>
        <v>0</v>
      </c>
      <c r="I27" s="233">
        <v>0</v>
      </c>
      <c r="J27" s="232">
        <f t="shared" ref="J27:L27" si="23">SUM(J28:J31)</f>
        <v>0</v>
      </c>
      <c r="K27" s="232">
        <f t="shared" ref="K27" si="24">SUM(K28:K31)</f>
        <v>0</v>
      </c>
      <c r="L27" s="232">
        <f t="shared" si="23"/>
        <v>0</v>
      </c>
      <c r="M27" s="232">
        <f t="shared" si="3"/>
        <v>0</v>
      </c>
      <c r="N27" s="233">
        <v>0</v>
      </c>
      <c r="O27" s="232">
        <f t="shared" ref="O27:Q27" si="25">SUM(O28:O31)</f>
        <v>0</v>
      </c>
      <c r="P27" s="232">
        <f t="shared" ref="P27" si="26">SUM(P28:P31)</f>
        <v>0</v>
      </c>
      <c r="Q27" s="232">
        <f t="shared" si="25"/>
        <v>0</v>
      </c>
      <c r="R27" s="232">
        <f t="shared" si="5"/>
        <v>0</v>
      </c>
    </row>
    <row r="28" spans="1:18" s="6" customFormat="1" ht="48" hidden="1" customHeight="1">
      <c r="A28" s="242">
        <v>17110</v>
      </c>
      <c r="B28" s="241" t="s">
        <v>218</v>
      </c>
      <c r="C28" s="232"/>
      <c r="D28" s="233">
        <v>0</v>
      </c>
      <c r="E28" s="233"/>
      <c r="F28" s="233"/>
      <c r="G28" s="233"/>
      <c r="H28" s="232">
        <f t="shared" si="1"/>
        <v>0</v>
      </c>
      <c r="I28" s="233">
        <v>0</v>
      </c>
      <c r="J28" s="233"/>
      <c r="K28" s="233"/>
      <c r="L28" s="233"/>
      <c r="M28" s="232">
        <f t="shared" si="3"/>
        <v>0</v>
      </c>
      <c r="N28" s="233">
        <v>0</v>
      </c>
      <c r="O28" s="233"/>
      <c r="P28" s="233"/>
      <c r="Q28" s="233"/>
      <c r="R28" s="232">
        <f t="shared" si="5"/>
        <v>0</v>
      </c>
    </row>
    <row r="29" spans="1:18" s="6" customFormat="1" ht="48" hidden="1" customHeight="1">
      <c r="A29" s="242">
        <v>17120</v>
      </c>
      <c r="B29" s="241" t="s">
        <v>219</v>
      </c>
      <c r="C29" s="232"/>
      <c r="D29" s="233">
        <v>0</v>
      </c>
      <c r="E29" s="233"/>
      <c r="F29" s="233"/>
      <c r="G29" s="233"/>
      <c r="H29" s="232">
        <f t="shared" si="1"/>
        <v>0</v>
      </c>
      <c r="I29" s="233">
        <v>0</v>
      </c>
      <c r="J29" s="233"/>
      <c r="K29" s="233"/>
      <c r="L29" s="233"/>
      <c r="M29" s="232">
        <f t="shared" si="3"/>
        <v>0</v>
      </c>
      <c r="N29" s="233">
        <v>0</v>
      </c>
      <c r="O29" s="233"/>
      <c r="P29" s="233"/>
      <c r="Q29" s="233"/>
      <c r="R29" s="232">
        <f t="shared" si="5"/>
        <v>0</v>
      </c>
    </row>
    <row r="30" spans="1:18" s="6" customFormat="1" ht="96" hidden="1" customHeight="1">
      <c r="A30" s="242">
        <v>17130</v>
      </c>
      <c r="B30" s="241" t="s">
        <v>220</v>
      </c>
      <c r="C30" s="232"/>
      <c r="D30" s="233">
        <v>0</v>
      </c>
      <c r="E30" s="233"/>
      <c r="F30" s="233"/>
      <c r="G30" s="233"/>
      <c r="H30" s="232">
        <f t="shared" si="1"/>
        <v>0</v>
      </c>
      <c r="I30" s="233">
        <v>0</v>
      </c>
      <c r="J30" s="233"/>
      <c r="K30" s="233"/>
      <c r="L30" s="233"/>
      <c r="M30" s="232">
        <f t="shared" si="3"/>
        <v>0</v>
      </c>
      <c r="N30" s="233">
        <v>0</v>
      </c>
      <c r="O30" s="233"/>
      <c r="P30" s="233"/>
      <c r="Q30" s="233"/>
      <c r="R30" s="232">
        <f t="shared" si="5"/>
        <v>0</v>
      </c>
    </row>
    <row r="31" spans="1:18" s="6" customFormat="1" ht="96" hidden="1" customHeight="1">
      <c r="A31" s="242">
        <v>17140</v>
      </c>
      <c r="B31" s="241" t="s">
        <v>221</v>
      </c>
      <c r="C31" s="232"/>
      <c r="D31" s="233">
        <v>0</v>
      </c>
      <c r="E31" s="233"/>
      <c r="F31" s="233"/>
      <c r="G31" s="233"/>
      <c r="H31" s="232">
        <f t="shared" si="1"/>
        <v>0</v>
      </c>
      <c r="I31" s="233">
        <v>0</v>
      </c>
      <c r="J31" s="233"/>
      <c r="K31" s="233"/>
      <c r="L31" s="233"/>
      <c r="M31" s="232">
        <f t="shared" si="3"/>
        <v>0</v>
      </c>
      <c r="N31" s="233">
        <v>0</v>
      </c>
      <c r="O31" s="233"/>
      <c r="P31" s="233"/>
      <c r="Q31" s="233"/>
      <c r="R31" s="232">
        <f t="shared" si="5"/>
        <v>0</v>
      </c>
    </row>
    <row r="32" spans="1:18" s="6" customFormat="1" ht="12">
      <c r="A32" s="137">
        <v>21700</v>
      </c>
      <c r="B32" s="100" t="s">
        <v>97</v>
      </c>
      <c r="C32" s="232">
        <v>2133218</v>
      </c>
      <c r="D32" s="233">
        <v>2262563</v>
      </c>
      <c r="E32" s="233">
        <f>E33+E34</f>
        <v>0</v>
      </c>
      <c r="F32" s="233">
        <f t="shared" ref="F32:G32" si="27">F33+F34</f>
        <v>0</v>
      </c>
      <c r="G32" s="233">
        <f t="shared" si="27"/>
        <v>0</v>
      </c>
      <c r="H32" s="232">
        <f t="shared" si="1"/>
        <v>2262563</v>
      </c>
      <c r="I32" s="233">
        <v>2391907</v>
      </c>
      <c r="J32" s="233">
        <f>J33+J34</f>
        <v>0</v>
      </c>
      <c r="K32" s="233">
        <f t="shared" ref="K32:L32" si="28">K33+K34</f>
        <v>0</v>
      </c>
      <c r="L32" s="233">
        <f t="shared" si="28"/>
        <v>0</v>
      </c>
      <c r="M32" s="232">
        <f t="shared" si="3"/>
        <v>2391907</v>
      </c>
      <c r="N32" s="233">
        <v>2593621</v>
      </c>
      <c r="O32" s="233">
        <f>O33+O34</f>
        <v>0</v>
      </c>
      <c r="P32" s="233">
        <f t="shared" ref="P32:Q32" si="29">P33+P34</f>
        <v>0</v>
      </c>
      <c r="Q32" s="233">
        <f t="shared" si="29"/>
        <v>0</v>
      </c>
      <c r="R32" s="232">
        <f t="shared" si="5"/>
        <v>2593621</v>
      </c>
    </row>
    <row r="33" spans="1:18" s="6" customFormat="1" ht="24">
      <c r="A33" s="138">
        <v>21710</v>
      </c>
      <c r="B33" s="101" t="s">
        <v>98</v>
      </c>
      <c r="C33" s="232">
        <v>2133218</v>
      </c>
      <c r="D33" s="233">
        <v>2262563</v>
      </c>
      <c r="E33" s="233"/>
      <c r="F33" s="233"/>
      <c r="G33" s="233"/>
      <c r="H33" s="232">
        <f t="shared" si="1"/>
        <v>2262563</v>
      </c>
      <c r="I33" s="233">
        <v>2391907</v>
      </c>
      <c r="J33" s="233"/>
      <c r="K33" s="233"/>
      <c r="L33" s="233"/>
      <c r="M33" s="232">
        <f t="shared" si="3"/>
        <v>2391907</v>
      </c>
      <c r="N33" s="233">
        <v>2593621</v>
      </c>
      <c r="O33" s="233"/>
      <c r="P33" s="233"/>
      <c r="Q33" s="233"/>
      <c r="R33" s="232">
        <f t="shared" si="5"/>
        <v>2593621</v>
      </c>
    </row>
    <row r="34" spans="1:18" s="6" customFormat="1" ht="24" hidden="1" customHeight="1">
      <c r="A34" s="138">
        <v>21720</v>
      </c>
      <c r="B34" s="101" t="s">
        <v>99</v>
      </c>
      <c r="C34" s="232"/>
      <c r="D34" s="233">
        <v>0</v>
      </c>
      <c r="E34" s="233"/>
      <c r="F34" s="233"/>
      <c r="G34" s="233"/>
      <c r="H34" s="232">
        <f t="shared" si="1"/>
        <v>0</v>
      </c>
      <c r="I34" s="233">
        <v>0</v>
      </c>
      <c r="J34" s="233"/>
      <c r="K34" s="233"/>
      <c r="L34" s="233"/>
      <c r="M34" s="232">
        <f t="shared" si="3"/>
        <v>0</v>
      </c>
      <c r="N34" s="233">
        <v>0</v>
      </c>
      <c r="O34" s="233"/>
      <c r="P34" s="233"/>
      <c r="Q34" s="233"/>
      <c r="R34" s="232">
        <f t="shared" si="5"/>
        <v>0</v>
      </c>
    </row>
    <row r="35" spans="1:18" s="6" customFormat="1" ht="11.4">
      <c r="A35" s="129" t="s">
        <v>100</v>
      </c>
      <c r="B35" s="99" t="s">
        <v>101</v>
      </c>
      <c r="C35" s="229">
        <v>2133218</v>
      </c>
      <c r="D35" s="243">
        <v>2262563</v>
      </c>
      <c r="E35" s="243">
        <f t="shared" ref="E35:G35" si="30">E36+E63</f>
        <v>0</v>
      </c>
      <c r="F35" s="243">
        <f t="shared" ref="F35" si="31">F36+F63</f>
        <v>0</v>
      </c>
      <c r="G35" s="243">
        <f t="shared" si="30"/>
        <v>0</v>
      </c>
      <c r="H35" s="229">
        <f t="shared" si="1"/>
        <v>2262563</v>
      </c>
      <c r="I35" s="243">
        <v>2391907</v>
      </c>
      <c r="J35" s="243">
        <f t="shared" ref="J35:L35" si="32">J36+J63</f>
        <v>0</v>
      </c>
      <c r="K35" s="243">
        <f t="shared" ref="K35" si="33">K36+K63</f>
        <v>0</v>
      </c>
      <c r="L35" s="243">
        <f t="shared" si="32"/>
        <v>0</v>
      </c>
      <c r="M35" s="229">
        <f t="shared" si="3"/>
        <v>2391907</v>
      </c>
      <c r="N35" s="243">
        <v>2593621</v>
      </c>
      <c r="O35" s="243">
        <f t="shared" ref="O35:Q35" si="34">O36+O63</f>
        <v>0</v>
      </c>
      <c r="P35" s="243">
        <f t="shared" ref="P35" si="35">P36+P63</f>
        <v>0</v>
      </c>
      <c r="Q35" s="243">
        <f t="shared" si="34"/>
        <v>0</v>
      </c>
      <c r="R35" s="229">
        <f t="shared" si="5"/>
        <v>2593621</v>
      </c>
    </row>
    <row r="36" spans="1:18" s="6" customFormat="1" ht="20.399999999999999">
      <c r="A36" s="130" t="s">
        <v>102</v>
      </c>
      <c r="B36" s="100" t="s">
        <v>103</v>
      </c>
      <c r="C36" s="232">
        <v>2115098</v>
      </c>
      <c r="D36" s="233">
        <v>2244443</v>
      </c>
      <c r="E36" s="233">
        <f>E37+E41+E42+E45+E48</f>
        <v>0</v>
      </c>
      <c r="F36" s="233">
        <f t="shared" ref="F36:G36" si="36">F37+F41+F42+F45+F48</f>
        <v>0</v>
      </c>
      <c r="G36" s="233">
        <f t="shared" si="36"/>
        <v>0</v>
      </c>
      <c r="H36" s="232">
        <f t="shared" si="1"/>
        <v>2244443</v>
      </c>
      <c r="I36" s="233">
        <v>2373787</v>
      </c>
      <c r="J36" s="233">
        <f>J37+J41+J42+J45+J48</f>
        <v>0</v>
      </c>
      <c r="K36" s="233">
        <f t="shared" ref="K36:L36" si="37">K37+K41+K42+K45+K48</f>
        <v>0</v>
      </c>
      <c r="L36" s="233">
        <f t="shared" si="37"/>
        <v>0</v>
      </c>
      <c r="M36" s="232">
        <f t="shared" si="3"/>
        <v>2373787</v>
      </c>
      <c r="N36" s="233">
        <v>2575501</v>
      </c>
      <c r="O36" s="233">
        <f>O37+O41+O42+O45+O48</f>
        <v>0</v>
      </c>
      <c r="P36" s="233">
        <f t="shared" ref="P36:Q36" si="38">P37+P41+P42+P45+P48</f>
        <v>0</v>
      </c>
      <c r="Q36" s="233">
        <f t="shared" si="38"/>
        <v>0</v>
      </c>
      <c r="R36" s="232">
        <f t="shared" si="5"/>
        <v>2575501</v>
      </c>
    </row>
    <row r="37" spans="1:18" s="6" customFormat="1" ht="12">
      <c r="A37" s="130" t="s">
        <v>104</v>
      </c>
      <c r="B37" s="100" t="s">
        <v>105</v>
      </c>
      <c r="C37" s="232">
        <v>2061098</v>
      </c>
      <c r="D37" s="233">
        <v>2190443</v>
      </c>
      <c r="E37" s="233">
        <f>E38+E40</f>
        <v>0</v>
      </c>
      <c r="F37" s="233">
        <f t="shared" ref="F37:G37" si="39">F38+F40</f>
        <v>0</v>
      </c>
      <c r="G37" s="233">
        <f t="shared" si="39"/>
        <v>0</v>
      </c>
      <c r="H37" s="232">
        <f t="shared" si="1"/>
        <v>2190443</v>
      </c>
      <c r="I37" s="233">
        <v>2319787</v>
      </c>
      <c r="J37" s="233">
        <f>J38+J40</f>
        <v>0</v>
      </c>
      <c r="K37" s="233">
        <f t="shared" ref="K37:L37" si="40">K38+K40</f>
        <v>0</v>
      </c>
      <c r="L37" s="233">
        <f t="shared" si="40"/>
        <v>0</v>
      </c>
      <c r="M37" s="232">
        <f t="shared" si="3"/>
        <v>2319787</v>
      </c>
      <c r="N37" s="233">
        <v>2521501</v>
      </c>
      <c r="O37" s="233">
        <f>O38+O40</f>
        <v>0</v>
      </c>
      <c r="P37" s="233">
        <f t="shared" ref="P37:Q37" si="41">P38+P40</f>
        <v>0</v>
      </c>
      <c r="Q37" s="233">
        <f t="shared" si="41"/>
        <v>0</v>
      </c>
      <c r="R37" s="232">
        <f t="shared" si="5"/>
        <v>2521501</v>
      </c>
    </row>
    <row r="38" spans="1:18" s="6" customFormat="1" ht="12">
      <c r="A38" s="132">
        <v>1000</v>
      </c>
      <c r="B38" s="101" t="s">
        <v>106</v>
      </c>
      <c r="C38" s="232">
        <v>933116</v>
      </c>
      <c r="D38" s="233">
        <v>933116</v>
      </c>
      <c r="E38" s="244"/>
      <c r="F38" s="244"/>
      <c r="G38" s="244"/>
      <c r="H38" s="232">
        <f t="shared" si="1"/>
        <v>933116</v>
      </c>
      <c r="I38" s="233">
        <v>933116</v>
      </c>
      <c r="J38" s="244"/>
      <c r="K38" s="244"/>
      <c r="L38" s="244"/>
      <c r="M38" s="232">
        <f t="shared" si="3"/>
        <v>933116</v>
      </c>
      <c r="N38" s="233">
        <v>933116</v>
      </c>
      <c r="O38" s="244"/>
      <c r="P38" s="244"/>
      <c r="Q38" s="244"/>
      <c r="R38" s="232">
        <f t="shared" si="5"/>
        <v>933116</v>
      </c>
    </row>
    <row r="39" spans="1:18" s="6" customFormat="1" ht="12">
      <c r="A39" s="139">
        <v>1100</v>
      </c>
      <c r="B39" s="101" t="s">
        <v>107</v>
      </c>
      <c r="C39" s="232">
        <v>748640</v>
      </c>
      <c r="D39" s="233">
        <v>748640</v>
      </c>
      <c r="E39" s="244"/>
      <c r="F39" s="244"/>
      <c r="G39" s="244"/>
      <c r="H39" s="232">
        <f t="shared" si="1"/>
        <v>748640</v>
      </c>
      <c r="I39" s="233">
        <v>748640</v>
      </c>
      <c r="J39" s="244"/>
      <c r="K39" s="244"/>
      <c r="L39" s="244"/>
      <c r="M39" s="232">
        <f t="shared" si="3"/>
        <v>748640</v>
      </c>
      <c r="N39" s="233">
        <v>748640</v>
      </c>
      <c r="O39" s="244"/>
      <c r="P39" s="244"/>
      <c r="Q39" s="244"/>
      <c r="R39" s="232">
        <f t="shared" si="5"/>
        <v>748640</v>
      </c>
    </row>
    <row r="40" spans="1:18" s="6" customFormat="1" ht="12">
      <c r="A40" s="132">
        <v>2000</v>
      </c>
      <c r="B40" s="101" t="s">
        <v>108</v>
      </c>
      <c r="C40" s="232">
        <v>1127982</v>
      </c>
      <c r="D40" s="233">
        <v>1257327</v>
      </c>
      <c r="E40" s="244"/>
      <c r="F40" s="244"/>
      <c r="G40" s="244"/>
      <c r="H40" s="232">
        <f t="shared" si="1"/>
        <v>1257327</v>
      </c>
      <c r="I40" s="233">
        <v>1386671</v>
      </c>
      <c r="J40" s="244"/>
      <c r="K40" s="244"/>
      <c r="L40" s="244"/>
      <c r="M40" s="232">
        <f t="shared" si="3"/>
        <v>1386671</v>
      </c>
      <c r="N40" s="233">
        <v>1588385</v>
      </c>
      <c r="O40" s="244"/>
      <c r="P40" s="244"/>
      <c r="Q40" s="244"/>
      <c r="R40" s="232">
        <f t="shared" si="5"/>
        <v>1588385</v>
      </c>
    </row>
    <row r="41" spans="1:18" s="6" customFormat="1" ht="12" hidden="1" customHeight="1">
      <c r="A41" s="140">
        <v>4000</v>
      </c>
      <c r="B41" s="100" t="s">
        <v>132</v>
      </c>
      <c r="C41" s="232"/>
      <c r="D41" s="233">
        <v>0</v>
      </c>
      <c r="E41" s="244"/>
      <c r="F41" s="244"/>
      <c r="G41" s="244"/>
      <c r="H41" s="232">
        <f t="shared" si="1"/>
        <v>0</v>
      </c>
      <c r="I41" s="233">
        <v>0</v>
      </c>
      <c r="J41" s="244"/>
      <c r="K41" s="244"/>
      <c r="L41" s="244"/>
      <c r="M41" s="232">
        <f t="shared" si="3"/>
        <v>0</v>
      </c>
      <c r="N41" s="233">
        <v>0</v>
      </c>
      <c r="O41" s="244"/>
      <c r="P41" s="244"/>
      <c r="Q41" s="244"/>
      <c r="R41" s="232">
        <f t="shared" si="5"/>
        <v>0</v>
      </c>
    </row>
    <row r="42" spans="1:18" s="6" customFormat="1" ht="12">
      <c r="A42" s="140" t="s">
        <v>109</v>
      </c>
      <c r="B42" s="100" t="s">
        <v>110</v>
      </c>
      <c r="C42" s="232">
        <v>54000</v>
      </c>
      <c r="D42" s="233">
        <v>54000</v>
      </c>
      <c r="E42" s="233">
        <f>E43+E44</f>
        <v>0</v>
      </c>
      <c r="F42" s="233">
        <f t="shared" ref="F42:G42" si="42">F43+F44</f>
        <v>0</v>
      </c>
      <c r="G42" s="233">
        <f t="shared" si="42"/>
        <v>0</v>
      </c>
      <c r="H42" s="232">
        <f t="shared" si="1"/>
        <v>54000</v>
      </c>
      <c r="I42" s="233">
        <v>54000</v>
      </c>
      <c r="J42" s="233">
        <f>J43+J44</f>
        <v>0</v>
      </c>
      <c r="K42" s="233">
        <f t="shared" ref="K42:L42" si="43">K43+K44</f>
        <v>0</v>
      </c>
      <c r="L42" s="233">
        <f t="shared" si="43"/>
        <v>0</v>
      </c>
      <c r="M42" s="232">
        <f t="shared" si="3"/>
        <v>54000</v>
      </c>
      <c r="N42" s="233">
        <v>54000</v>
      </c>
      <c r="O42" s="233">
        <f>O43+O44</f>
        <v>0</v>
      </c>
      <c r="P42" s="233">
        <f t="shared" ref="P42:Q42" si="44">P43+P44</f>
        <v>0</v>
      </c>
      <c r="Q42" s="233">
        <f t="shared" si="44"/>
        <v>0</v>
      </c>
      <c r="R42" s="232">
        <f t="shared" si="5"/>
        <v>54000</v>
      </c>
    </row>
    <row r="43" spans="1:18" s="6" customFormat="1" ht="12" hidden="1" customHeight="1">
      <c r="A43" s="132">
        <v>3000</v>
      </c>
      <c r="B43" s="101" t="s">
        <v>111</v>
      </c>
      <c r="C43" s="245"/>
      <c r="D43" s="345">
        <v>0</v>
      </c>
      <c r="E43" s="246"/>
      <c r="F43" s="246"/>
      <c r="G43" s="246"/>
      <c r="H43" s="232">
        <f t="shared" si="1"/>
        <v>0</v>
      </c>
      <c r="I43" s="345">
        <v>0</v>
      </c>
      <c r="J43" s="246"/>
      <c r="K43" s="246"/>
      <c r="L43" s="246"/>
      <c r="M43" s="232">
        <f t="shared" si="3"/>
        <v>0</v>
      </c>
      <c r="N43" s="345">
        <v>0</v>
      </c>
      <c r="O43" s="246"/>
      <c r="P43" s="246"/>
      <c r="Q43" s="246"/>
      <c r="R43" s="232">
        <f t="shared" si="5"/>
        <v>0</v>
      </c>
    </row>
    <row r="44" spans="1:18" s="6" customFormat="1" ht="12">
      <c r="A44" s="132">
        <v>6000</v>
      </c>
      <c r="B44" s="101" t="s">
        <v>112</v>
      </c>
      <c r="C44" s="247">
        <v>54000</v>
      </c>
      <c r="D44" s="346">
        <v>54000</v>
      </c>
      <c r="E44" s="248"/>
      <c r="F44" s="248"/>
      <c r="G44" s="248"/>
      <c r="H44" s="232">
        <f t="shared" si="1"/>
        <v>54000</v>
      </c>
      <c r="I44" s="346">
        <v>54000</v>
      </c>
      <c r="J44" s="248"/>
      <c r="K44" s="248"/>
      <c r="L44" s="248"/>
      <c r="M44" s="232">
        <f t="shared" si="3"/>
        <v>54000</v>
      </c>
      <c r="N44" s="346">
        <v>54000</v>
      </c>
      <c r="O44" s="248"/>
      <c r="P44" s="248"/>
      <c r="Q44" s="248"/>
      <c r="R44" s="232">
        <f t="shared" si="5"/>
        <v>54000</v>
      </c>
    </row>
    <row r="45" spans="1:18" s="6" customFormat="1" ht="22.8" hidden="1" customHeight="1">
      <c r="A45" s="140" t="s">
        <v>113</v>
      </c>
      <c r="B45" s="100" t="s">
        <v>183</v>
      </c>
      <c r="C45" s="232">
        <v>0</v>
      </c>
      <c r="D45" s="233">
        <v>0</v>
      </c>
      <c r="E45" s="233">
        <f>E46+E47</f>
        <v>0</v>
      </c>
      <c r="F45" s="233">
        <f t="shared" ref="F45:G45" si="45">F46+F47</f>
        <v>0</v>
      </c>
      <c r="G45" s="233">
        <f t="shared" si="45"/>
        <v>0</v>
      </c>
      <c r="H45" s="232">
        <f t="shared" si="1"/>
        <v>0</v>
      </c>
      <c r="I45" s="233">
        <v>0</v>
      </c>
      <c r="J45" s="233">
        <f>J46+J47</f>
        <v>0</v>
      </c>
      <c r="K45" s="233">
        <f t="shared" ref="K45:L45" si="46">K46+K47</f>
        <v>0</v>
      </c>
      <c r="L45" s="233">
        <f t="shared" si="46"/>
        <v>0</v>
      </c>
      <c r="M45" s="232">
        <f t="shared" si="3"/>
        <v>0</v>
      </c>
      <c r="N45" s="233">
        <v>0</v>
      </c>
      <c r="O45" s="233">
        <f>O46+O47</f>
        <v>0</v>
      </c>
      <c r="P45" s="233">
        <f t="shared" ref="P45:Q45" si="47">P46+P47</f>
        <v>0</v>
      </c>
      <c r="Q45" s="233">
        <f t="shared" si="47"/>
        <v>0</v>
      </c>
      <c r="R45" s="232">
        <f t="shared" si="5"/>
        <v>0</v>
      </c>
    </row>
    <row r="46" spans="1:18" s="6" customFormat="1" ht="12" hidden="1" customHeight="1">
      <c r="A46" s="132">
        <v>7600</v>
      </c>
      <c r="B46" s="249" t="s">
        <v>184</v>
      </c>
      <c r="C46" s="232"/>
      <c r="D46" s="233">
        <v>0</v>
      </c>
      <c r="E46" s="244"/>
      <c r="F46" s="244"/>
      <c r="G46" s="244"/>
      <c r="H46" s="232">
        <f t="shared" si="1"/>
        <v>0</v>
      </c>
      <c r="I46" s="233">
        <v>0</v>
      </c>
      <c r="J46" s="244"/>
      <c r="K46" s="244"/>
      <c r="L46" s="244"/>
      <c r="M46" s="232">
        <f t="shared" si="3"/>
        <v>0</v>
      </c>
      <c r="N46" s="233">
        <v>0</v>
      </c>
      <c r="O46" s="244"/>
      <c r="P46" s="244"/>
      <c r="Q46" s="244"/>
      <c r="R46" s="232">
        <f t="shared" si="5"/>
        <v>0</v>
      </c>
    </row>
    <row r="47" spans="1:18" s="6" customFormat="1" ht="12" hidden="1" customHeight="1">
      <c r="A47" s="132">
        <v>7700</v>
      </c>
      <c r="B47" s="250" t="s">
        <v>114</v>
      </c>
      <c r="C47" s="232"/>
      <c r="D47" s="233">
        <v>0</v>
      </c>
      <c r="E47" s="244"/>
      <c r="F47" s="244"/>
      <c r="G47" s="244"/>
      <c r="H47" s="232">
        <f t="shared" si="1"/>
        <v>0</v>
      </c>
      <c r="I47" s="233">
        <v>0</v>
      </c>
      <c r="J47" s="244"/>
      <c r="K47" s="244"/>
      <c r="L47" s="244"/>
      <c r="M47" s="232">
        <f t="shared" si="3"/>
        <v>0</v>
      </c>
      <c r="N47" s="233">
        <v>0</v>
      </c>
      <c r="O47" s="244"/>
      <c r="P47" s="244"/>
      <c r="Q47" s="244"/>
      <c r="R47" s="232">
        <f t="shared" si="5"/>
        <v>0</v>
      </c>
    </row>
    <row r="48" spans="1:18" s="6" customFormat="1" ht="20.399999999999999" hidden="1" customHeight="1">
      <c r="A48" s="140" t="s">
        <v>185</v>
      </c>
      <c r="B48" s="100" t="s">
        <v>115</v>
      </c>
      <c r="C48" s="232">
        <v>0</v>
      </c>
      <c r="D48" s="233">
        <v>0</v>
      </c>
      <c r="E48" s="233">
        <f t="shared" ref="E48:G48" si="48">E49+E55+E59+E62</f>
        <v>0</v>
      </c>
      <c r="F48" s="233">
        <f t="shared" ref="F48" si="49">F49+F55+F59+F62</f>
        <v>0</v>
      </c>
      <c r="G48" s="233">
        <f t="shared" si="48"/>
        <v>0</v>
      </c>
      <c r="H48" s="232">
        <f t="shared" si="1"/>
        <v>0</v>
      </c>
      <c r="I48" s="233">
        <v>0</v>
      </c>
      <c r="J48" s="233">
        <f t="shared" ref="J48:L48" si="50">J49+J55+J59+J62</f>
        <v>0</v>
      </c>
      <c r="K48" s="233">
        <f t="shared" ref="K48" si="51">K49+K55+K59+K62</f>
        <v>0</v>
      </c>
      <c r="L48" s="233">
        <f t="shared" si="50"/>
        <v>0</v>
      </c>
      <c r="M48" s="232">
        <f t="shared" si="3"/>
        <v>0</v>
      </c>
      <c r="N48" s="233">
        <v>0</v>
      </c>
      <c r="O48" s="233">
        <f t="shared" ref="O48:Q48" si="52">O49+O55+O59+O62</f>
        <v>0</v>
      </c>
      <c r="P48" s="233">
        <f t="shared" ref="P48" si="53">P49+P55+P59+P62</f>
        <v>0</v>
      </c>
      <c r="Q48" s="233">
        <f t="shared" si="52"/>
        <v>0</v>
      </c>
      <c r="R48" s="232">
        <f t="shared" si="5"/>
        <v>0</v>
      </c>
    </row>
    <row r="49" spans="1:18" s="6" customFormat="1" ht="12" hidden="1" customHeight="1">
      <c r="A49" s="132">
        <v>7100</v>
      </c>
      <c r="B49" s="249" t="s">
        <v>116</v>
      </c>
      <c r="C49" s="232">
        <v>0</v>
      </c>
      <c r="D49" s="233">
        <v>0</v>
      </c>
      <c r="E49" s="233">
        <f>E50+E51</f>
        <v>0</v>
      </c>
      <c r="F49" s="233">
        <f t="shared" ref="F49:G49" si="54">F50+F51</f>
        <v>0</v>
      </c>
      <c r="G49" s="233">
        <f t="shared" si="54"/>
        <v>0</v>
      </c>
      <c r="H49" s="232">
        <f t="shared" si="1"/>
        <v>0</v>
      </c>
      <c r="I49" s="233">
        <v>0</v>
      </c>
      <c r="J49" s="233">
        <f>J50+J51</f>
        <v>0</v>
      </c>
      <c r="K49" s="233">
        <f t="shared" ref="K49:L49" si="55">K50+K51</f>
        <v>0</v>
      </c>
      <c r="L49" s="233">
        <f t="shared" si="55"/>
        <v>0</v>
      </c>
      <c r="M49" s="232">
        <f t="shared" si="3"/>
        <v>0</v>
      </c>
      <c r="N49" s="233">
        <v>0</v>
      </c>
      <c r="O49" s="233">
        <f>O50+O51</f>
        <v>0</v>
      </c>
      <c r="P49" s="233">
        <f t="shared" ref="P49:Q49" si="56">P50+P51</f>
        <v>0</v>
      </c>
      <c r="Q49" s="233">
        <f t="shared" si="56"/>
        <v>0</v>
      </c>
      <c r="R49" s="232">
        <f t="shared" si="5"/>
        <v>0</v>
      </c>
    </row>
    <row r="50" spans="1:18" s="6" customFormat="1" ht="24" hidden="1" customHeight="1">
      <c r="A50" s="234" t="s">
        <v>117</v>
      </c>
      <c r="B50" s="249" t="s">
        <v>118</v>
      </c>
      <c r="C50" s="232"/>
      <c r="D50" s="233">
        <v>0</v>
      </c>
      <c r="E50" s="233"/>
      <c r="F50" s="233"/>
      <c r="G50" s="233"/>
      <c r="H50" s="232">
        <f t="shared" si="1"/>
        <v>0</v>
      </c>
      <c r="I50" s="233">
        <v>0</v>
      </c>
      <c r="J50" s="233"/>
      <c r="K50" s="233"/>
      <c r="L50" s="233"/>
      <c r="M50" s="232">
        <f t="shared" si="3"/>
        <v>0</v>
      </c>
      <c r="N50" s="233">
        <v>0</v>
      </c>
      <c r="O50" s="233"/>
      <c r="P50" s="233"/>
      <c r="Q50" s="233"/>
      <c r="R50" s="232">
        <f t="shared" si="5"/>
        <v>0</v>
      </c>
    </row>
    <row r="51" spans="1:18" s="6" customFormat="1" ht="24" hidden="1" customHeight="1">
      <c r="A51" s="234">
        <v>7130</v>
      </c>
      <c r="B51" s="249" t="s">
        <v>119</v>
      </c>
      <c r="C51" s="232">
        <v>0</v>
      </c>
      <c r="D51" s="233">
        <v>0</v>
      </c>
      <c r="E51" s="233">
        <f>SUM(E52:E54)</f>
        <v>0</v>
      </c>
      <c r="F51" s="233">
        <f t="shared" ref="F51:G51" si="57">SUM(F52:F54)</f>
        <v>0</v>
      </c>
      <c r="G51" s="233">
        <f t="shared" si="57"/>
        <v>0</v>
      </c>
      <c r="H51" s="232">
        <f t="shared" si="1"/>
        <v>0</v>
      </c>
      <c r="I51" s="233">
        <v>0</v>
      </c>
      <c r="J51" s="233">
        <f>SUM(J52:J54)</f>
        <v>0</v>
      </c>
      <c r="K51" s="233">
        <f t="shared" ref="K51:L51" si="58">SUM(K52:K54)</f>
        <v>0</v>
      </c>
      <c r="L51" s="233">
        <f t="shared" si="58"/>
        <v>0</v>
      </c>
      <c r="M51" s="232">
        <f t="shared" si="3"/>
        <v>0</v>
      </c>
      <c r="N51" s="233">
        <v>0</v>
      </c>
      <c r="O51" s="233">
        <f>SUM(O52:O54)</f>
        <v>0</v>
      </c>
      <c r="P51" s="233">
        <f t="shared" ref="P51:Q51" si="59">SUM(P52:P54)</f>
        <v>0</v>
      </c>
      <c r="Q51" s="233">
        <f t="shared" si="59"/>
        <v>0</v>
      </c>
      <c r="R51" s="232">
        <f t="shared" si="5"/>
        <v>0</v>
      </c>
    </row>
    <row r="52" spans="1:18" s="6" customFormat="1" ht="36" hidden="1" customHeight="1">
      <c r="A52" s="236">
        <v>7131</v>
      </c>
      <c r="B52" s="249" t="s">
        <v>120</v>
      </c>
      <c r="C52" s="232"/>
      <c r="D52" s="233">
        <v>0</v>
      </c>
      <c r="E52" s="233"/>
      <c r="F52" s="233"/>
      <c r="G52" s="233"/>
      <c r="H52" s="232">
        <f t="shared" si="1"/>
        <v>0</v>
      </c>
      <c r="I52" s="233">
        <v>0</v>
      </c>
      <c r="J52" s="233"/>
      <c r="K52" s="233"/>
      <c r="L52" s="233"/>
      <c r="M52" s="232">
        <f t="shared" si="3"/>
        <v>0</v>
      </c>
      <c r="N52" s="233">
        <v>0</v>
      </c>
      <c r="O52" s="233"/>
      <c r="P52" s="233"/>
      <c r="Q52" s="233"/>
      <c r="R52" s="232">
        <f t="shared" si="5"/>
        <v>0</v>
      </c>
    </row>
    <row r="53" spans="1:18" s="6" customFormat="1" ht="36" hidden="1" customHeight="1">
      <c r="A53" s="236">
        <v>7132</v>
      </c>
      <c r="B53" s="249" t="s">
        <v>121</v>
      </c>
      <c r="C53" s="232"/>
      <c r="D53" s="233">
        <v>0</v>
      </c>
      <c r="E53" s="233"/>
      <c r="F53" s="233"/>
      <c r="G53" s="233"/>
      <c r="H53" s="232">
        <f t="shared" si="1"/>
        <v>0</v>
      </c>
      <c r="I53" s="233">
        <v>0</v>
      </c>
      <c r="J53" s="233"/>
      <c r="K53" s="233"/>
      <c r="L53" s="233"/>
      <c r="M53" s="232">
        <f t="shared" si="3"/>
        <v>0</v>
      </c>
      <c r="N53" s="233">
        <v>0</v>
      </c>
      <c r="O53" s="233"/>
      <c r="P53" s="233"/>
      <c r="Q53" s="233"/>
      <c r="R53" s="232">
        <f t="shared" si="5"/>
        <v>0</v>
      </c>
    </row>
    <row r="54" spans="1:18" s="6" customFormat="1" ht="24" hidden="1" customHeight="1">
      <c r="A54" s="236" t="s">
        <v>186</v>
      </c>
      <c r="B54" s="249" t="s">
        <v>187</v>
      </c>
      <c r="C54" s="232"/>
      <c r="D54" s="233">
        <v>0</v>
      </c>
      <c r="E54" s="233"/>
      <c r="F54" s="233"/>
      <c r="G54" s="233"/>
      <c r="H54" s="232">
        <f t="shared" si="1"/>
        <v>0</v>
      </c>
      <c r="I54" s="233">
        <v>0</v>
      </c>
      <c r="J54" s="233"/>
      <c r="K54" s="233"/>
      <c r="L54" s="233"/>
      <c r="M54" s="232">
        <f t="shared" si="3"/>
        <v>0</v>
      </c>
      <c r="N54" s="233">
        <v>0</v>
      </c>
      <c r="O54" s="233"/>
      <c r="P54" s="233"/>
      <c r="Q54" s="233"/>
      <c r="R54" s="232">
        <f t="shared" si="5"/>
        <v>0</v>
      </c>
    </row>
    <row r="55" spans="1:18" s="6" customFormat="1" ht="24" hidden="1" customHeight="1">
      <c r="A55" s="132">
        <v>7300</v>
      </c>
      <c r="B55" s="235" t="s">
        <v>155</v>
      </c>
      <c r="C55" s="232">
        <v>0</v>
      </c>
      <c r="D55" s="233">
        <v>0</v>
      </c>
      <c r="E55" s="233">
        <f>SUM(E56:E58)</f>
        <v>0</v>
      </c>
      <c r="F55" s="233">
        <f t="shared" ref="F55:G55" si="60">SUM(F56:F58)</f>
        <v>0</v>
      </c>
      <c r="G55" s="233">
        <f t="shared" si="60"/>
        <v>0</v>
      </c>
      <c r="H55" s="232">
        <f t="shared" si="1"/>
        <v>0</v>
      </c>
      <c r="I55" s="233">
        <v>0</v>
      </c>
      <c r="J55" s="233">
        <f>SUM(J56:J58)</f>
        <v>0</v>
      </c>
      <c r="K55" s="233">
        <f t="shared" ref="K55:L55" si="61">SUM(K56:K58)</f>
        <v>0</v>
      </c>
      <c r="L55" s="233">
        <f t="shared" si="61"/>
        <v>0</v>
      </c>
      <c r="M55" s="232">
        <f t="shared" si="3"/>
        <v>0</v>
      </c>
      <c r="N55" s="233">
        <v>0</v>
      </c>
      <c r="O55" s="233">
        <f>SUM(O56:O58)</f>
        <v>0</v>
      </c>
      <c r="P55" s="233">
        <f t="shared" ref="P55:Q55" si="62">SUM(P56:P58)</f>
        <v>0</v>
      </c>
      <c r="Q55" s="233">
        <f t="shared" si="62"/>
        <v>0</v>
      </c>
      <c r="R55" s="232">
        <f t="shared" si="5"/>
        <v>0</v>
      </c>
    </row>
    <row r="56" spans="1:18" s="6" customFormat="1" ht="24" hidden="1" customHeight="1">
      <c r="A56" s="234" t="s">
        <v>188</v>
      </c>
      <c r="B56" s="249" t="s">
        <v>170</v>
      </c>
      <c r="C56" s="251"/>
      <c r="D56" s="252">
        <v>0</v>
      </c>
      <c r="E56" s="252"/>
      <c r="F56" s="252"/>
      <c r="G56" s="252"/>
      <c r="H56" s="232">
        <f t="shared" si="1"/>
        <v>0</v>
      </c>
      <c r="I56" s="252">
        <v>0</v>
      </c>
      <c r="J56" s="252"/>
      <c r="K56" s="252"/>
      <c r="L56" s="252"/>
      <c r="M56" s="232">
        <f t="shared" si="3"/>
        <v>0</v>
      </c>
      <c r="N56" s="252">
        <v>0</v>
      </c>
      <c r="O56" s="252"/>
      <c r="P56" s="252"/>
      <c r="Q56" s="252"/>
      <c r="R56" s="232">
        <f t="shared" si="5"/>
        <v>0</v>
      </c>
    </row>
    <row r="57" spans="1:18" s="29" customFormat="1" ht="36" hidden="1" customHeight="1">
      <c r="A57" s="234" t="s">
        <v>189</v>
      </c>
      <c r="B57" s="249" t="s">
        <v>156</v>
      </c>
      <c r="C57" s="251"/>
      <c r="D57" s="252">
        <v>0</v>
      </c>
      <c r="E57" s="252"/>
      <c r="F57" s="252"/>
      <c r="G57" s="252"/>
      <c r="H57" s="232">
        <f t="shared" si="1"/>
        <v>0</v>
      </c>
      <c r="I57" s="252">
        <v>0</v>
      </c>
      <c r="J57" s="252"/>
      <c r="K57" s="252"/>
      <c r="L57" s="252"/>
      <c r="M57" s="232">
        <f t="shared" si="3"/>
        <v>0</v>
      </c>
      <c r="N57" s="252">
        <v>0</v>
      </c>
      <c r="O57" s="252"/>
      <c r="P57" s="252"/>
      <c r="Q57" s="252"/>
      <c r="R57" s="232">
        <f t="shared" si="5"/>
        <v>0</v>
      </c>
    </row>
    <row r="58" spans="1:18" s="89" customFormat="1" ht="36" hidden="1" customHeight="1">
      <c r="A58" s="234">
        <v>7350</v>
      </c>
      <c r="B58" s="249" t="s">
        <v>163</v>
      </c>
      <c r="C58" s="251"/>
      <c r="D58" s="252">
        <v>0</v>
      </c>
      <c r="E58" s="252"/>
      <c r="F58" s="252"/>
      <c r="G58" s="252"/>
      <c r="H58" s="232">
        <f t="shared" si="1"/>
        <v>0</v>
      </c>
      <c r="I58" s="252">
        <v>0</v>
      </c>
      <c r="J58" s="252"/>
      <c r="K58" s="252"/>
      <c r="L58" s="252"/>
      <c r="M58" s="232">
        <f t="shared" si="3"/>
        <v>0</v>
      </c>
      <c r="N58" s="252">
        <v>0</v>
      </c>
      <c r="O58" s="252"/>
      <c r="P58" s="252"/>
      <c r="Q58" s="252"/>
      <c r="R58" s="232">
        <f t="shared" si="5"/>
        <v>0</v>
      </c>
    </row>
    <row r="59" spans="1:18" s="89" customFormat="1" ht="24" hidden="1" customHeight="1">
      <c r="A59" s="132">
        <v>7400</v>
      </c>
      <c r="B59" s="235" t="s">
        <v>161</v>
      </c>
      <c r="C59" s="232">
        <v>0</v>
      </c>
      <c r="D59" s="233">
        <v>0</v>
      </c>
      <c r="E59" s="233">
        <f>SUM(E60:E61)</f>
        <v>0</v>
      </c>
      <c r="F59" s="233">
        <f t="shared" ref="F59:G59" si="63">SUM(F60:F61)</f>
        <v>0</v>
      </c>
      <c r="G59" s="233">
        <f t="shared" si="63"/>
        <v>0</v>
      </c>
      <c r="H59" s="232">
        <f t="shared" si="1"/>
        <v>0</v>
      </c>
      <c r="I59" s="233">
        <v>0</v>
      </c>
      <c r="J59" s="233">
        <f>SUM(J60:J61)</f>
        <v>0</v>
      </c>
      <c r="K59" s="233">
        <f t="shared" ref="K59:L59" si="64">SUM(K60:K61)</f>
        <v>0</v>
      </c>
      <c r="L59" s="233">
        <f t="shared" si="64"/>
        <v>0</v>
      </c>
      <c r="M59" s="232">
        <f t="shared" si="3"/>
        <v>0</v>
      </c>
      <c r="N59" s="233">
        <v>0</v>
      </c>
      <c r="O59" s="233">
        <f>SUM(O60:O61)</f>
        <v>0</v>
      </c>
      <c r="P59" s="233">
        <f t="shared" ref="P59:Q59" si="65">SUM(P60:P61)</f>
        <v>0</v>
      </c>
      <c r="Q59" s="233">
        <f t="shared" si="65"/>
        <v>0</v>
      </c>
      <c r="R59" s="232">
        <f t="shared" si="5"/>
        <v>0</v>
      </c>
    </row>
    <row r="60" spans="1:18" s="89" customFormat="1" ht="24" hidden="1" customHeight="1">
      <c r="A60" s="234">
        <v>7460</v>
      </c>
      <c r="B60" s="235" t="s">
        <v>162</v>
      </c>
      <c r="C60" s="251"/>
      <c r="D60" s="252">
        <v>0</v>
      </c>
      <c r="E60" s="252"/>
      <c r="F60" s="252"/>
      <c r="G60" s="252"/>
      <c r="H60" s="232">
        <f t="shared" si="1"/>
        <v>0</v>
      </c>
      <c r="I60" s="252">
        <v>0</v>
      </c>
      <c r="J60" s="252"/>
      <c r="K60" s="252"/>
      <c r="L60" s="252"/>
      <c r="M60" s="232">
        <f t="shared" si="3"/>
        <v>0</v>
      </c>
      <c r="N60" s="252">
        <v>0</v>
      </c>
      <c r="O60" s="252"/>
      <c r="P60" s="252"/>
      <c r="Q60" s="252"/>
      <c r="R60" s="232">
        <f t="shared" si="5"/>
        <v>0</v>
      </c>
    </row>
    <row r="61" spans="1:18" s="89" customFormat="1" ht="36" hidden="1" customHeight="1">
      <c r="A61" s="234">
        <v>7470</v>
      </c>
      <c r="B61" s="249" t="s">
        <v>167</v>
      </c>
      <c r="C61" s="251"/>
      <c r="D61" s="252">
        <v>0</v>
      </c>
      <c r="E61" s="252"/>
      <c r="F61" s="252"/>
      <c r="G61" s="252"/>
      <c r="H61" s="232">
        <f t="shared" si="1"/>
        <v>0</v>
      </c>
      <c r="I61" s="252">
        <v>0</v>
      </c>
      <c r="J61" s="252"/>
      <c r="K61" s="252"/>
      <c r="L61" s="252"/>
      <c r="M61" s="232">
        <f t="shared" si="3"/>
        <v>0</v>
      </c>
      <c r="N61" s="252">
        <v>0</v>
      </c>
      <c r="O61" s="252"/>
      <c r="P61" s="252"/>
      <c r="Q61" s="252"/>
      <c r="R61" s="232">
        <f t="shared" si="5"/>
        <v>0</v>
      </c>
    </row>
    <row r="62" spans="1:18" s="89" customFormat="1" ht="12" hidden="1" customHeight="1">
      <c r="A62" s="132">
        <v>7500</v>
      </c>
      <c r="B62" s="249" t="s">
        <v>157</v>
      </c>
      <c r="C62" s="232"/>
      <c r="D62" s="233">
        <v>0</v>
      </c>
      <c r="E62" s="233"/>
      <c r="F62" s="233"/>
      <c r="G62" s="233"/>
      <c r="H62" s="232">
        <f t="shared" si="1"/>
        <v>0</v>
      </c>
      <c r="I62" s="233">
        <v>0</v>
      </c>
      <c r="J62" s="233"/>
      <c r="K62" s="233"/>
      <c r="L62" s="233"/>
      <c r="M62" s="232">
        <f t="shared" si="3"/>
        <v>0</v>
      </c>
      <c r="N62" s="233">
        <v>0</v>
      </c>
      <c r="O62" s="233"/>
      <c r="P62" s="233"/>
      <c r="Q62" s="233"/>
      <c r="R62" s="232">
        <f t="shared" si="5"/>
        <v>0</v>
      </c>
    </row>
    <row r="63" spans="1:18" s="89" customFormat="1" ht="12">
      <c r="A63" s="140" t="s">
        <v>133</v>
      </c>
      <c r="B63" s="100" t="s">
        <v>122</v>
      </c>
      <c r="C63" s="253">
        <v>18120</v>
      </c>
      <c r="D63" s="254">
        <v>18120</v>
      </c>
      <c r="E63" s="254">
        <f>E64+E65</f>
        <v>0</v>
      </c>
      <c r="F63" s="254">
        <f t="shared" ref="F63:G63" si="66">F64+F65</f>
        <v>0</v>
      </c>
      <c r="G63" s="254">
        <f t="shared" si="66"/>
        <v>0</v>
      </c>
      <c r="H63" s="232">
        <f t="shared" si="1"/>
        <v>18120</v>
      </c>
      <c r="I63" s="254">
        <v>18120</v>
      </c>
      <c r="J63" s="254">
        <f>J64+J65</f>
        <v>0</v>
      </c>
      <c r="K63" s="254">
        <f t="shared" ref="K63:L63" si="67">K64+K65</f>
        <v>0</v>
      </c>
      <c r="L63" s="254">
        <f t="shared" si="67"/>
        <v>0</v>
      </c>
      <c r="M63" s="232">
        <f t="shared" si="3"/>
        <v>18120</v>
      </c>
      <c r="N63" s="254">
        <v>18120</v>
      </c>
      <c r="O63" s="254">
        <f>O64+O65</f>
        <v>0</v>
      </c>
      <c r="P63" s="254">
        <f t="shared" ref="P63:Q63" si="68">P64+P65</f>
        <v>0</v>
      </c>
      <c r="Q63" s="254">
        <f t="shared" si="68"/>
        <v>0</v>
      </c>
      <c r="R63" s="232">
        <f t="shared" si="5"/>
        <v>18120</v>
      </c>
    </row>
    <row r="64" spans="1:18" s="89" customFormat="1" ht="12">
      <c r="A64" s="140">
        <v>5000</v>
      </c>
      <c r="B64" s="100" t="s">
        <v>123</v>
      </c>
      <c r="C64" s="232">
        <v>18120</v>
      </c>
      <c r="D64" s="233">
        <v>18120</v>
      </c>
      <c r="E64" s="244"/>
      <c r="F64" s="244"/>
      <c r="G64" s="244"/>
      <c r="H64" s="232">
        <f t="shared" si="1"/>
        <v>18120</v>
      </c>
      <c r="I64" s="233">
        <v>18120</v>
      </c>
      <c r="J64" s="244"/>
      <c r="K64" s="244"/>
      <c r="L64" s="244"/>
      <c r="M64" s="232">
        <f t="shared" si="3"/>
        <v>18120</v>
      </c>
      <c r="N64" s="233">
        <v>18120</v>
      </c>
      <c r="O64" s="244"/>
      <c r="P64" s="244"/>
      <c r="Q64" s="244"/>
      <c r="R64" s="232">
        <f t="shared" si="5"/>
        <v>18120</v>
      </c>
    </row>
    <row r="65" spans="1:18" s="89" customFormat="1" ht="12" hidden="1" customHeight="1">
      <c r="A65" s="140">
        <v>9000</v>
      </c>
      <c r="B65" s="255" t="s">
        <v>164</v>
      </c>
      <c r="C65" s="232">
        <v>0</v>
      </c>
      <c r="D65" s="233">
        <v>0</v>
      </c>
      <c r="E65" s="233">
        <f t="shared" ref="E65:G65" si="69">E66+E72+E76+E79</f>
        <v>0</v>
      </c>
      <c r="F65" s="233">
        <f t="shared" ref="F65" si="70">F66+F72+F76+F79</f>
        <v>0</v>
      </c>
      <c r="G65" s="233">
        <f t="shared" si="69"/>
        <v>0</v>
      </c>
      <c r="H65" s="232">
        <f t="shared" si="1"/>
        <v>0</v>
      </c>
      <c r="I65" s="233">
        <v>0</v>
      </c>
      <c r="J65" s="233">
        <f t="shared" ref="J65:L65" si="71">J66+J72+J76+J79</f>
        <v>0</v>
      </c>
      <c r="K65" s="233">
        <f t="shared" ref="K65" si="72">K66+K72+K76+K79</f>
        <v>0</v>
      </c>
      <c r="L65" s="233">
        <f t="shared" si="71"/>
        <v>0</v>
      </c>
      <c r="M65" s="232">
        <f t="shared" si="3"/>
        <v>0</v>
      </c>
      <c r="N65" s="233">
        <v>0</v>
      </c>
      <c r="O65" s="233">
        <f t="shared" ref="O65:Q65" si="73">O66+O72+O76+O79</f>
        <v>0</v>
      </c>
      <c r="P65" s="233">
        <f t="shared" ref="P65" si="74">P66+P72+P76+P79</f>
        <v>0</v>
      </c>
      <c r="Q65" s="233">
        <f t="shared" si="73"/>
        <v>0</v>
      </c>
      <c r="R65" s="232">
        <f t="shared" si="5"/>
        <v>0</v>
      </c>
    </row>
    <row r="66" spans="1:18" s="89" customFormat="1" ht="12" hidden="1" customHeight="1">
      <c r="A66" s="256">
        <v>9100</v>
      </c>
      <c r="B66" s="249" t="s">
        <v>124</v>
      </c>
      <c r="C66" s="232">
        <v>0</v>
      </c>
      <c r="D66" s="233">
        <v>0</v>
      </c>
      <c r="E66" s="233">
        <f t="shared" ref="E66:G66" si="75">SUM(E67:E68)</f>
        <v>0</v>
      </c>
      <c r="F66" s="233">
        <f t="shared" ref="F66" si="76">SUM(F67:F68)</f>
        <v>0</v>
      </c>
      <c r="G66" s="233">
        <f t="shared" si="75"/>
        <v>0</v>
      </c>
      <c r="H66" s="232">
        <f t="shared" si="1"/>
        <v>0</v>
      </c>
      <c r="I66" s="233">
        <v>0</v>
      </c>
      <c r="J66" s="233">
        <f t="shared" ref="J66:L66" si="77">SUM(J67:J68)</f>
        <v>0</v>
      </c>
      <c r="K66" s="233">
        <f t="shared" ref="K66" si="78">SUM(K67:K68)</f>
        <v>0</v>
      </c>
      <c r="L66" s="233">
        <f t="shared" si="77"/>
        <v>0</v>
      </c>
      <c r="M66" s="232">
        <f t="shared" si="3"/>
        <v>0</v>
      </c>
      <c r="N66" s="233">
        <v>0</v>
      </c>
      <c r="O66" s="233">
        <f t="shared" ref="O66:Q66" si="79">SUM(O67:O68)</f>
        <v>0</v>
      </c>
      <c r="P66" s="233">
        <f t="shared" ref="P66" si="80">SUM(P67:P68)</f>
        <v>0</v>
      </c>
      <c r="Q66" s="233">
        <f t="shared" si="79"/>
        <v>0</v>
      </c>
      <c r="R66" s="232">
        <f t="shared" si="5"/>
        <v>0</v>
      </c>
    </row>
    <row r="67" spans="1:18" s="89" customFormat="1" ht="24" hidden="1" customHeight="1">
      <c r="A67" s="234" t="s">
        <v>125</v>
      </c>
      <c r="B67" s="249" t="s">
        <v>203</v>
      </c>
      <c r="C67" s="232"/>
      <c r="D67" s="233">
        <v>0</v>
      </c>
      <c r="E67" s="233"/>
      <c r="F67" s="233"/>
      <c r="G67" s="233"/>
      <c r="H67" s="232">
        <f t="shared" si="1"/>
        <v>0</v>
      </c>
      <c r="I67" s="233">
        <v>0</v>
      </c>
      <c r="J67" s="233"/>
      <c r="K67" s="233"/>
      <c r="L67" s="233"/>
      <c r="M67" s="232">
        <f t="shared" si="3"/>
        <v>0</v>
      </c>
      <c r="N67" s="233">
        <v>0</v>
      </c>
      <c r="O67" s="233"/>
      <c r="P67" s="233"/>
      <c r="Q67" s="233"/>
      <c r="R67" s="232">
        <f t="shared" si="5"/>
        <v>0</v>
      </c>
    </row>
    <row r="68" spans="1:18" s="89" customFormat="1" ht="24" hidden="1" customHeight="1">
      <c r="A68" s="234">
        <v>9140</v>
      </c>
      <c r="B68" s="249" t="s">
        <v>204</v>
      </c>
      <c r="C68" s="232">
        <v>0</v>
      </c>
      <c r="D68" s="233">
        <v>0</v>
      </c>
      <c r="E68" s="233">
        <f>SUM(E69:E71)</f>
        <v>0</v>
      </c>
      <c r="F68" s="233">
        <f t="shared" ref="F68:G68" si="81">SUM(F69:F71)</f>
        <v>0</v>
      </c>
      <c r="G68" s="233">
        <f t="shared" si="81"/>
        <v>0</v>
      </c>
      <c r="H68" s="232">
        <f t="shared" si="1"/>
        <v>0</v>
      </c>
      <c r="I68" s="233">
        <v>0</v>
      </c>
      <c r="J68" s="233">
        <f>SUM(J69:J71)</f>
        <v>0</v>
      </c>
      <c r="K68" s="233">
        <f t="shared" ref="K68:L68" si="82">SUM(K69:K71)</f>
        <v>0</v>
      </c>
      <c r="L68" s="233">
        <f t="shared" si="82"/>
        <v>0</v>
      </c>
      <c r="M68" s="232">
        <f t="shared" si="3"/>
        <v>0</v>
      </c>
      <c r="N68" s="233">
        <v>0</v>
      </c>
      <c r="O68" s="233">
        <f>SUM(O69:O71)</f>
        <v>0</v>
      </c>
      <c r="P68" s="233">
        <f t="shared" ref="P68:Q68" si="83">SUM(P69:P71)</f>
        <v>0</v>
      </c>
      <c r="Q68" s="233">
        <f t="shared" si="83"/>
        <v>0</v>
      </c>
      <c r="R68" s="232">
        <f t="shared" si="5"/>
        <v>0</v>
      </c>
    </row>
    <row r="69" spans="1:18" s="89" customFormat="1" ht="36" hidden="1" customHeight="1">
      <c r="A69" s="236">
        <v>9141</v>
      </c>
      <c r="B69" s="235" t="s">
        <v>190</v>
      </c>
      <c r="C69" s="251"/>
      <c r="D69" s="252">
        <v>0</v>
      </c>
      <c r="E69" s="252"/>
      <c r="F69" s="252"/>
      <c r="G69" s="252"/>
      <c r="H69" s="232">
        <f t="shared" si="1"/>
        <v>0</v>
      </c>
      <c r="I69" s="252">
        <v>0</v>
      </c>
      <c r="J69" s="252"/>
      <c r="K69" s="252"/>
      <c r="L69" s="252"/>
      <c r="M69" s="232">
        <f t="shared" si="3"/>
        <v>0</v>
      </c>
      <c r="N69" s="252">
        <v>0</v>
      </c>
      <c r="O69" s="252"/>
      <c r="P69" s="252"/>
      <c r="Q69" s="252"/>
      <c r="R69" s="232">
        <f t="shared" si="5"/>
        <v>0</v>
      </c>
    </row>
    <row r="70" spans="1:18" s="89" customFormat="1" ht="36" hidden="1" customHeight="1">
      <c r="A70" s="236">
        <v>9142</v>
      </c>
      <c r="B70" s="235" t="s">
        <v>191</v>
      </c>
      <c r="C70" s="251"/>
      <c r="D70" s="252">
        <v>0</v>
      </c>
      <c r="E70" s="252"/>
      <c r="F70" s="252"/>
      <c r="G70" s="252"/>
      <c r="H70" s="232">
        <f t="shared" si="1"/>
        <v>0</v>
      </c>
      <c r="I70" s="252">
        <v>0</v>
      </c>
      <c r="J70" s="252"/>
      <c r="K70" s="252"/>
      <c r="L70" s="252"/>
      <c r="M70" s="232">
        <f t="shared" si="3"/>
        <v>0</v>
      </c>
      <c r="N70" s="252">
        <v>0</v>
      </c>
      <c r="O70" s="252"/>
      <c r="P70" s="252"/>
      <c r="Q70" s="252"/>
      <c r="R70" s="232">
        <f t="shared" si="5"/>
        <v>0</v>
      </c>
    </row>
    <row r="71" spans="1:18" s="89" customFormat="1" ht="24" hidden="1" customHeight="1">
      <c r="A71" s="236">
        <v>9149</v>
      </c>
      <c r="B71" s="235" t="s">
        <v>192</v>
      </c>
      <c r="C71" s="251"/>
      <c r="D71" s="252">
        <v>0</v>
      </c>
      <c r="E71" s="252"/>
      <c r="F71" s="252"/>
      <c r="G71" s="252"/>
      <c r="H71" s="232">
        <f t="shared" si="1"/>
        <v>0</v>
      </c>
      <c r="I71" s="252">
        <v>0</v>
      </c>
      <c r="J71" s="252"/>
      <c r="K71" s="252"/>
      <c r="L71" s="252"/>
      <c r="M71" s="232">
        <f t="shared" si="3"/>
        <v>0</v>
      </c>
      <c r="N71" s="252">
        <v>0</v>
      </c>
      <c r="O71" s="252"/>
      <c r="P71" s="252"/>
      <c r="Q71" s="252"/>
      <c r="R71" s="232">
        <f t="shared" si="5"/>
        <v>0</v>
      </c>
    </row>
    <row r="72" spans="1:18" s="29" customFormat="1" ht="24" hidden="1" customHeight="1">
      <c r="A72" s="256">
        <v>9500</v>
      </c>
      <c r="B72" s="235" t="s">
        <v>165</v>
      </c>
      <c r="C72" s="232">
        <v>0</v>
      </c>
      <c r="D72" s="233">
        <v>0</v>
      </c>
      <c r="E72" s="233">
        <f>SUM(E73:E75)</f>
        <v>0</v>
      </c>
      <c r="F72" s="233">
        <f t="shared" ref="F72:G72" si="84">SUM(F73:F75)</f>
        <v>0</v>
      </c>
      <c r="G72" s="233">
        <f t="shared" si="84"/>
        <v>0</v>
      </c>
      <c r="H72" s="232">
        <f t="shared" si="1"/>
        <v>0</v>
      </c>
      <c r="I72" s="233">
        <v>0</v>
      </c>
      <c r="J72" s="233">
        <f>SUM(J73:J75)</f>
        <v>0</v>
      </c>
      <c r="K72" s="233">
        <f t="shared" ref="K72:L72" si="85">SUM(K73:K75)</f>
        <v>0</v>
      </c>
      <c r="L72" s="233">
        <f t="shared" si="85"/>
        <v>0</v>
      </c>
      <c r="M72" s="232">
        <f t="shared" si="3"/>
        <v>0</v>
      </c>
      <c r="N72" s="233">
        <v>0</v>
      </c>
      <c r="O72" s="233">
        <f>SUM(O73:O75)</f>
        <v>0</v>
      </c>
      <c r="P72" s="233">
        <f t="shared" ref="P72:Q72" si="86">SUM(P73:P75)</f>
        <v>0</v>
      </c>
      <c r="Q72" s="233">
        <f t="shared" si="86"/>
        <v>0</v>
      </c>
      <c r="R72" s="232">
        <f t="shared" si="5"/>
        <v>0</v>
      </c>
    </row>
    <row r="73" spans="1:18" s="29" customFormat="1" ht="24" hidden="1" customHeight="1">
      <c r="A73" s="234" t="s">
        <v>193</v>
      </c>
      <c r="B73" s="235" t="s">
        <v>171</v>
      </c>
      <c r="C73" s="232"/>
      <c r="D73" s="233">
        <v>0</v>
      </c>
      <c r="E73" s="233"/>
      <c r="F73" s="233"/>
      <c r="G73" s="233"/>
      <c r="H73" s="232">
        <f t="shared" si="1"/>
        <v>0</v>
      </c>
      <c r="I73" s="233">
        <v>0</v>
      </c>
      <c r="J73" s="233"/>
      <c r="K73" s="233"/>
      <c r="L73" s="233"/>
      <c r="M73" s="232">
        <f t="shared" si="3"/>
        <v>0</v>
      </c>
      <c r="N73" s="233">
        <v>0</v>
      </c>
      <c r="O73" s="233"/>
      <c r="P73" s="233"/>
      <c r="Q73" s="233"/>
      <c r="R73" s="232">
        <f t="shared" si="5"/>
        <v>0</v>
      </c>
    </row>
    <row r="74" spans="1:18" s="28" customFormat="1" ht="36" hidden="1" customHeight="1">
      <c r="A74" s="234">
        <v>9580</v>
      </c>
      <c r="B74" s="235" t="s">
        <v>166</v>
      </c>
      <c r="C74" s="251"/>
      <c r="D74" s="252">
        <v>0</v>
      </c>
      <c r="E74" s="252"/>
      <c r="F74" s="252"/>
      <c r="G74" s="252"/>
      <c r="H74" s="232">
        <f t="shared" ref="H74:H137" si="87">SUM(D74:G74)</f>
        <v>0</v>
      </c>
      <c r="I74" s="252">
        <v>0</v>
      </c>
      <c r="J74" s="252"/>
      <c r="K74" s="252"/>
      <c r="L74" s="252"/>
      <c r="M74" s="232">
        <f t="shared" ref="M74:M137" si="88">SUM(I74:L74)</f>
        <v>0</v>
      </c>
      <c r="N74" s="252">
        <v>0</v>
      </c>
      <c r="O74" s="252"/>
      <c r="P74" s="252"/>
      <c r="Q74" s="252"/>
      <c r="R74" s="232">
        <f t="shared" ref="R74:R137" si="89">SUM(N74:Q74)</f>
        <v>0</v>
      </c>
    </row>
    <row r="75" spans="1:18" s="4" customFormat="1" ht="36" hidden="1" customHeight="1">
      <c r="A75" s="234">
        <v>9590</v>
      </c>
      <c r="B75" s="249" t="s">
        <v>172</v>
      </c>
      <c r="C75" s="251"/>
      <c r="D75" s="252">
        <v>0</v>
      </c>
      <c r="E75" s="252"/>
      <c r="F75" s="252"/>
      <c r="G75" s="252"/>
      <c r="H75" s="232">
        <f t="shared" si="87"/>
        <v>0</v>
      </c>
      <c r="I75" s="252">
        <v>0</v>
      </c>
      <c r="J75" s="252"/>
      <c r="K75" s="252"/>
      <c r="L75" s="252"/>
      <c r="M75" s="232">
        <f t="shared" si="88"/>
        <v>0</v>
      </c>
      <c r="N75" s="252">
        <v>0</v>
      </c>
      <c r="O75" s="252"/>
      <c r="P75" s="252"/>
      <c r="Q75" s="252"/>
      <c r="R75" s="232">
        <f t="shared" si="89"/>
        <v>0</v>
      </c>
    </row>
    <row r="76" spans="1:18" ht="24" hidden="1" customHeight="1">
      <c r="A76" s="256">
        <v>9700</v>
      </c>
      <c r="B76" s="257" t="s">
        <v>194</v>
      </c>
      <c r="C76" s="232">
        <v>0</v>
      </c>
      <c r="D76" s="233">
        <v>0</v>
      </c>
      <c r="E76" s="233">
        <f>SUM(E77:E78)</f>
        <v>0</v>
      </c>
      <c r="F76" s="233">
        <f t="shared" ref="F76:G76" si="90">SUM(F77:F78)</f>
        <v>0</v>
      </c>
      <c r="G76" s="233">
        <f t="shared" si="90"/>
        <v>0</v>
      </c>
      <c r="H76" s="232">
        <f t="shared" si="87"/>
        <v>0</v>
      </c>
      <c r="I76" s="233">
        <v>0</v>
      </c>
      <c r="J76" s="233">
        <f>SUM(J77:J78)</f>
        <v>0</v>
      </c>
      <c r="K76" s="233">
        <f t="shared" ref="K76:L76" si="91">SUM(K77:K78)</f>
        <v>0</v>
      </c>
      <c r="L76" s="233">
        <f t="shared" si="91"/>
        <v>0</v>
      </c>
      <c r="M76" s="232">
        <f t="shared" si="88"/>
        <v>0</v>
      </c>
      <c r="N76" s="233">
        <v>0</v>
      </c>
      <c r="O76" s="233">
        <f>SUM(O77:O78)</f>
        <v>0</v>
      </c>
      <c r="P76" s="233">
        <f t="shared" ref="P76:Q76" si="92">SUM(P77:P78)</f>
        <v>0</v>
      </c>
      <c r="Q76" s="233">
        <f t="shared" si="92"/>
        <v>0</v>
      </c>
      <c r="R76" s="232">
        <f t="shared" si="89"/>
        <v>0</v>
      </c>
    </row>
    <row r="77" spans="1:18" ht="12" hidden="1" customHeight="1">
      <c r="A77" s="234">
        <v>9710</v>
      </c>
      <c r="B77" s="258" t="s">
        <v>195</v>
      </c>
      <c r="C77" s="251"/>
      <c r="D77" s="252">
        <v>0</v>
      </c>
      <c r="E77" s="252"/>
      <c r="F77" s="252"/>
      <c r="G77" s="252"/>
      <c r="H77" s="232">
        <f t="shared" si="87"/>
        <v>0</v>
      </c>
      <c r="I77" s="252">
        <v>0</v>
      </c>
      <c r="J77" s="252"/>
      <c r="K77" s="252"/>
      <c r="L77" s="252"/>
      <c r="M77" s="232">
        <f t="shared" si="88"/>
        <v>0</v>
      </c>
      <c r="N77" s="252">
        <v>0</v>
      </c>
      <c r="O77" s="252"/>
      <c r="P77" s="252"/>
      <c r="Q77" s="252"/>
      <c r="R77" s="232">
        <f t="shared" si="89"/>
        <v>0</v>
      </c>
    </row>
    <row r="78" spans="1:18" ht="36" hidden="1" customHeight="1">
      <c r="A78" s="259">
        <v>9720</v>
      </c>
      <c r="B78" s="257" t="s">
        <v>196</v>
      </c>
      <c r="C78" s="251"/>
      <c r="D78" s="252">
        <v>0</v>
      </c>
      <c r="E78" s="252"/>
      <c r="F78" s="252"/>
      <c r="G78" s="252"/>
      <c r="H78" s="232">
        <f t="shared" si="87"/>
        <v>0</v>
      </c>
      <c r="I78" s="252">
        <v>0</v>
      </c>
      <c r="J78" s="252"/>
      <c r="K78" s="252"/>
      <c r="L78" s="252"/>
      <c r="M78" s="232">
        <f t="shared" si="88"/>
        <v>0</v>
      </c>
      <c r="N78" s="252">
        <v>0</v>
      </c>
      <c r="O78" s="252"/>
      <c r="P78" s="252"/>
      <c r="Q78" s="252"/>
      <c r="R78" s="232">
        <f t="shared" si="89"/>
        <v>0</v>
      </c>
    </row>
    <row r="79" spans="1:18" ht="24" hidden="1" customHeight="1">
      <c r="A79" s="256">
        <v>9600</v>
      </c>
      <c r="B79" s="249" t="s">
        <v>134</v>
      </c>
      <c r="C79" s="251"/>
      <c r="D79" s="252">
        <v>0</v>
      </c>
      <c r="E79" s="252"/>
      <c r="F79" s="252"/>
      <c r="G79" s="252"/>
      <c r="H79" s="232">
        <f t="shared" si="87"/>
        <v>0</v>
      </c>
      <c r="I79" s="252">
        <v>0</v>
      </c>
      <c r="J79" s="252"/>
      <c r="K79" s="252"/>
      <c r="L79" s="252"/>
      <c r="M79" s="232">
        <f t="shared" si="88"/>
        <v>0</v>
      </c>
      <c r="N79" s="252">
        <v>0</v>
      </c>
      <c r="O79" s="252"/>
      <c r="P79" s="252"/>
      <c r="Q79" s="252"/>
      <c r="R79" s="232">
        <f t="shared" si="89"/>
        <v>0</v>
      </c>
    </row>
    <row r="80" spans="1:18" ht="30.6" hidden="1" customHeight="1">
      <c r="A80" s="130" t="s">
        <v>197</v>
      </c>
      <c r="B80" s="260" t="s">
        <v>47</v>
      </c>
      <c r="C80" s="261"/>
      <c r="D80" s="262">
        <v>0</v>
      </c>
      <c r="E80" s="262">
        <f>E10-E35</f>
        <v>0</v>
      </c>
      <c r="F80" s="262">
        <f t="shared" ref="F80:G80" si="93">F10-F35</f>
        <v>0</v>
      </c>
      <c r="G80" s="262">
        <f t="shared" si="93"/>
        <v>0</v>
      </c>
      <c r="H80" s="232">
        <f t="shared" si="87"/>
        <v>0</v>
      </c>
      <c r="I80" s="262">
        <v>0</v>
      </c>
      <c r="J80" s="262">
        <f>J10-J35</f>
        <v>0</v>
      </c>
      <c r="K80" s="262">
        <f t="shared" ref="K80:L80" si="94">K10-K35</f>
        <v>0</v>
      </c>
      <c r="L80" s="262">
        <f t="shared" si="94"/>
        <v>0</v>
      </c>
      <c r="M80" s="232">
        <f t="shared" si="88"/>
        <v>0</v>
      </c>
      <c r="N80" s="262">
        <v>0</v>
      </c>
      <c r="O80" s="262">
        <f>O10-O35</f>
        <v>0</v>
      </c>
      <c r="P80" s="262">
        <f t="shared" ref="P80:Q80" si="95">P10-P35</f>
        <v>0</v>
      </c>
      <c r="Q80" s="262">
        <f t="shared" si="95"/>
        <v>0</v>
      </c>
      <c r="R80" s="232">
        <f t="shared" si="89"/>
        <v>0</v>
      </c>
    </row>
    <row r="81" spans="1:18" ht="12" hidden="1" customHeight="1">
      <c r="A81" s="263" t="s">
        <v>48</v>
      </c>
      <c r="B81" s="260" t="s">
        <v>49</v>
      </c>
      <c r="C81" s="261">
        <v>0</v>
      </c>
      <c r="D81" s="262">
        <v>0</v>
      </c>
      <c r="E81" s="262">
        <f>E82+E85+E89+E88</f>
        <v>0</v>
      </c>
      <c r="F81" s="262">
        <f t="shared" ref="F81:G81" si="96">F82+F85+F89+F88</f>
        <v>0</v>
      </c>
      <c r="G81" s="262">
        <f t="shared" si="96"/>
        <v>0</v>
      </c>
      <c r="H81" s="232">
        <f t="shared" si="87"/>
        <v>0</v>
      </c>
      <c r="I81" s="262">
        <v>0</v>
      </c>
      <c r="J81" s="262">
        <f>J82+J85+J89+J88</f>
        <v>0</v>
      </c>
      <c r="K81" s="262">
        <f t="shared" ref="K81:L81" si="97">K82+K85+K89+K88</f>
        <v>0</v>
      </c>
      <c r="L81" s="262">
        <f t="shared" si="97"/>
        <v>0</v>
      </c>
      <c r="M81" s="232">
        <f t="shared" si="88"/>
        <v>0</v>
      </c>
      <c r="N81" s="262">
        <v>0</v>
      </c>
      <c r="O81" s="262">
        <f>O82+O85+O89+O88</f>
        <v>0</v>
      </c>
      <c r="P81" s="262">
        <f t="shared" ref="P81:Q81" si="98">P82+P85+P89+P88</f>
        <v>0</v>
      </c>
      <c r="Q81" s="262">
        <f t="shared" si="98"/>
        <v>0</v>
      </c>
      <c r="R81" s="232">
        <f t="shared" si="89"/>
        <v>0</v>
      </c>
    </row>
    <row r="82" spans="1:18" s="4" customFormat="1" ht="12" hidden="1" customHeight="1">
      <c r="A82" s="256" t="s">
        <v>50</v>
      </c>
      <c r="B82" s="249" t="s">
        <v>51</v>
      </c>
      <c r="C82" s="230">
        <v>0</v>
      </c>
      <c r="D82" s="231">
        <v>0</v>
      </c>
      <c r="E82" s="231">
        <f>E83+E84</f>
        <v>0</v>
      </c>
      <c r="F82" s="231">
        <f t="shared" ref="F82:G82" si="99">F83+F84</f>
        <v>0</v>
      </c>
      <c r="G82" s="231">
        <f t="shared" si="99"/>
        <v>0</v>
      </c>
      <c r="H82" s="232">
        <f t="shared" si="87"/>
        <v>0</v>
      </c>
      <c r="I82" s="231">
        <v>0</v>
      </c>
      <c r="J82" s="231">
        <f>J83+J84</f>
        <v>0</v>
      </c>
      <c r="K82" s="231">
        <f t="shared" ref="K82:L82" si="100">K83+K84</f>
        <v>0</v>
      </c>
      <c r="L82" s="231">
        <f t="shared" si="100"/>
        <v>0</v>
      </c>
      <c r="M82" s="232">
        <f t="shared" si="88"/>
        <v>0</v>
      </c>
      <c r="N82" s="231">
        <v>0</v>
      </c>
      <c r="O82" s="231">
        <f>O83+O84</f>
        <v>0</v>
      </c>
      <c r="P82" s="231">
        <f t="shared" ref="P82:Q82" si="101">P83+P84</f>
        <v>0</v>
      </c>
      <c r="Q82" s="231">
        <f t="shared" si="101"/>
        <v>0</v>
      </c>
      <c r="R82" s="232">
        <f t="shared" si="89"/>
        <v>0</v>
      </c>
    </row>
    <row r="83" spans="1:18" s="6" customFormat="1" ht="12" hidden="1" customHeight="1">
      <c r="A83" s="256" t="s">
        <v>52</v>
      </c>
      <c r="B83" s="249" t="s">
        <v>53</v>
      </c>
      <c r="C83" s="230"/>
      <c r="D83" s="231">
        <v>0</v>
      </c>
      <c r="E83" s="231"/>
      <c r="F83" s="231"/>
      <c r="G83" s="231"/>
      <c r="H83" s="232">
        <f t="shared" si="87"/>
        <v>0</v>
      </c>
      <c r="I83" s="231">
        <v>0</v>
      </c>
      <c r="J83" s="231"/>
      <c r="K83" s="231"/>
      <c r="L83" s="231"/>
      <c r="M83" s="232">
        <f t="shared" si="88"/>
        <v>0</v>
      </c>
      <c r="N83" s="231">
        <v>0</v>
      </c>
      <c r="O83" s="231"/>
      <c r="P83" s="231"/>
      <c r="Q83" s="231"/>
      <c r="R83" s="232">
        <f t="shared" si="89"/>
        <v>0</v>
      </c>
    </row>
    <row r="84" spans="1:18" s="6" customFormat="1" ht="12" hidden="1" customHeight="1">
      <c r="A84" s="256" t="s">
        <v>54</v>
      </c>
      <c r="B84" s="249" t="s">
        <v>55</v>
      </c>
      <c r="C84" s="230"/>
      <c r="D84" s="231">
        <v>0</v>
      </c>
      <c r="E84" s="231"/>
      <c r="F84" s="231"/>
      <c r="G84" s="231"/>
      <c r="H84" s="232">
        <f t="shared" si="87"/>
        <v>0</v>
      </c>
      <c r="I84" s="231">
        <v>0</v>
      </c>
      <c r="J84" s="231"/>
      <c r="K84" s="231"/>
      <c r="L84" s="231"/>
      <c r="M84" s="232">
        <f t="shared" si="88"/>
        <v>0</v>
      </c>
      <c r="N84" s="231">
        <v>0</v>
      </c>
      <c r="O84" s="231"/>
      <c r="P84" s="231"/>
      <c r="Q84" s="231"/>
      <c r="R84" s="232">
        <f t="shared" si="89"/>
        <v>0</v>
      </c>
    </row>
    <row r="85" spans="1:18" s="6" customFormat="1" ht="12" hidden="1" customHeight="1">
      <c r="A85" s="256" t="s">
        <v>56</v>
      </c>
      <c r="B85" s="249" t="s">
        <v>57</v>
      </c>
      <c r="C85" s="230">
        <v>0</v>
      </c>
      <c r="D85" s="231">
        <v>0</v>
      </c>
      <c r="E85" s="231">
        <f>E86+E87</f>
        <v>0</v>
      </c>
      <c r="F85" s="231">
        <f t="shared" ref="F85:G85" si="102">F86+F87</f>
        <v>0</v>
      </c>
      <c r="G85" s="231">
        <f t="shared" si="102"/>
        <v>0</v>
      </c>
      <c r="H85" s="232">
        <f t="shared" si="87"/>
        <v>0</v>
      </c>
      <c r="I85" s="231">
        <v>0</v>
      </c>
      <c r="J85" s="231">
        <f>J86+J87</f>
        <v>0</v>
      </c>
      <c r="K85" s="231">
        <f t="shared" ref="K85:L85" si="103">K86+K87</f>
        <v>0</v>
      </c>
      <c r="L85" s="231">
        <f t="shared" si="103"/>
        <v>0</v>
      </c>
      <c r="M85" s="232">
        <f t="shared" si="88"/>
        <v>0</v>
      </c>
      <c r="N85" s="231">
        <v>0</v>
      </c>
      <c r="O85" s="231">
        <f>O86+O87</f>
        <v>0</v>
      </c>
      <c r="P85" s="231">
        <f t="shared" ref="P85:Q85" si="104">P86+P87</f>
        <v>0</v>
      </c>
      <c r="Q85" s="231">
        <f t="shared" si="104"/>
        <v>0</v>
      </c>
      <c r="R85" s="232">
        <f t="shared" si="89"/>
        <v>0</v>
      </c>
    </row>
    <row r="86" spans="1:18" s="6" customFormat="1" ht="12" hidden="1" customHeight="1">
      <c r="A86" s="256" t="s">
        <v>58</v>
      </c>
      <c r="B86" s="249" t="s">
        <v>59</v>
      </c>
      <c r="C86" s="230"/>
      <c r="D86" s="231">
        <v>0</v>
      </c>
      <c r="E86" s="231"/>
      <c r="F86" s="231"/>
      <c r="G86" s="231"/>
      <c r="H86" s="232">
        <f t="shared" si="87"/>
        <v>0</v>
      </c>
      <c r="I86" s="231">
        <v>0</v>
      </c>
      <c r="J86" s="231"/>
      <c r="K86" s="231"/>
      <c r="L86" s="231"/>
      <c r="M86" s="232">
        <f t="shared" si="88"/>
        <v>0</v>
      </c>
      <c r="N86" s="231">
        <v>0</v>
      </c>
      <c r="O86" s="231"/>
      <c r="P86" s="231"/>
      <c r="Q86" s="231"/>
      <c r="R86" s="232">
        <f t="shared" si="89"/>
        <v>0</v>
      </c>
    </row>
    <row r="87" spans="1:18" s="6" customFormat="1" ht="12" hidden="1" customHeight="1">
      <c r="A87" s="256" t="s">
        <v>60</v>
      </c>
      <c r="B87" s="249" t="s">
        <v>61</v>
      </c>
      <c r="C87" s="230"/>
      <c r="D87" s="231">
        <v>0</v>
      </c>
      <c r="E87" s="231"/>
      <c r="F87" s="231"/>
      <c r="G87" s="231"/>
      <c r="H87" s="232">
        <f t="shared" si="87"/>
        <v>0</v>
      </c>
      <c r="I87" s="231">
        <v>0</v>
      </c>
      <c r="J87" s="231"/>
      <c r="K87" s="231"/>
      <c r="L87" s="231"/>
      <c r="M87" s="232">
        <f t="shared" si="88"/>
        <v>0</v>
      </c>
      <c r="N87" s="231">
        <v>0</v>
      </c>
      <c r="O87" s="231"/>
      <c r="P87" s="231"/>
      <c r="Q87" s="231"/>
      <c r="R87" s="232">
        <f t="shared" si="89"/>
        <v>0</v>
      </c>
    </row>
    <row r="88" spans="1:18" s="6" customFormat="1" ht="12" hidden="1" customHeight="1">
      <c r="A88" s="256" t="s">
        <v>198</v>
      </c>
      <c r="B88" s="264" t="s">
        <v>168</v>
      </c>
      <c r="C88" s="230"/>
      <c r="D88" s="231">
        <v>0</v>
      </c>
      <c r="E88" s="231"/>
      <c r="F88" s="231"/>
      <c r="G88" s="231"/>
      <c r="H88" s="232">
        <f t="shared" si="87"/>
        <v>0</v>
      </c>
      <c r="I88" s="231">
        <v>0</v>
      </c>
      <c r="J88" s="231"/>
      <c r="K88" s="231"/>
      <c r="L88" s="231"/>
      <c r="M88" s="232">
        <f t="shared" si="88"/>
        <v>0</v>
      </c>
      <c r="N88" s="231">
        <v>0</v>
      </c>
      <c r="O88" s="231"/>
      <c r="P88" s="231"/>
      <c r="Q88" s="231"/>
      <c r="R88" s="232">
        <f t="shared" si="89"/>
        <v>0</v>
      </c>
    </row>
    <row r="89" spans="1:18" s="6" customFormat="1" ht="12" hidden="1" customHeight="1">
      <c r="A89" s="144" t="s">
        <v>62</v>
      </c>
      <c r="B89" s="101" t="s">
        <v>63</v>
      </c>
      <c r="C89" s="232">
        <v>0</v>
      </c>
      <c r="D89" s="233">
        <v>0</v>
      </c>
      <c r="E89" s="233">
        <f t="shared" ref="E89:G89" si="105">E90+E91+E92</f>
        <v>0</v>
      </c>
      <c r="F89" s="233">
        <f t="shared" ref="F89" si="106">F90+F91+F92</f>
        <v>0</v>
      </c>
      <c r="G89" s="233">
        <f t="shared" si="105"/>
        <v>0</v>
      </c>
      <c r="H89" s="232">
        <f t="shared" si="87"/>
        <v>0</v>
      </c>
      <c r="I89" s="233">
        <v>0</v>
      </c>
      <c r="J89" s="233">
        <f t="shared" ref="J89:L89" si="107">J90+J91+J92</f>
        <v>0</v>
      </c>
      <c r="K89" s="233">
        <f t="shared" ref="K89" si="108">K90+K91+K92</f>
        <v>0</v>
      </c>
      <c r="L89" s="233">
        <f t="shared" si="107"/>
        <v>0</v>
      </c>
      <c r="M89" s="232">
        <f t="shared" si="88"/>
        <v>0</v>
      </c>
      <c r="N89" s="233">
        <v>0</v>
      </c>
      <c r="O89" s="233">
        <f t="shared" ref="O89:Q89" si="109">O90+O91+O92</f>
        <v>0</v>
      </c>
      <c r="P89" s="233">
        <f t="shared" ref="P89" si="110">P90+P91+P92</f>
        <v>0</v>
      </c>
      <c r="Q89" s="233">
        <f t="shared" si="109"/>
        <v>0</v>
      </c>
      <c r="R89" s="232">
        <f t="shared" si="89"/>
        <v>0</v>
      </c>
    </row>
    <row r="90" spans="1:18" s="6" customFormat="1" ht="24" hidden="1" customHeight="1">
      <c r="A90" s="144" t="s">
        <v>64</v>
      </c>
      <c r="B90" s="249" t="s">
        <v>65</v>
      </c>
      <c r="C90" s="230"/>
      <c r="D90" s="231">
        <v>0</v>
      </c>
      <c r="E90" s="231"/>
      <c r="F90" s="231"/>
      <c r="G90" s="231"/>
      <c r="H90" s="232">
        <f t="shared" si="87"/>
        <v>0</v>
      </c>
      <c r="I90" s="231">
        <v>0</v>
      </c>
      <c r="J90" s="231"/>
      <c r="K90" s="231"/>
      <c r="L90" s="231"/>
      <c r="M90" s="232">
        <f t="shared" si="88"/>
        <v>0</v>
      </c>
      <c r="N90" s="231">
        <v>0</v>
      </c>
      <c r="O90" s="231"/>
      <c r="P90" s="231"/>
      <c r="Q90" s="231"/>
      <c r="R90" s="232">
        <f t="shared" si="89"/>
        <v>0</v>
      </c>
    </row>
    <row r="91" spans="1:18" s="6" customFormat="1" ht="24" hidden="1" customHeight="1">
      <c r="A91" s="144" t="s">
        <v>66</v>
      </c>
      <c r="B91" s="249" t="s">
        <v>67</v>
      </c>
      <c r="C91" s="230"/>
      <c r="D91" s="231">
        <v>0</v>
      </c>
      <c r="E91" s="231"/>
      <c r="F91" s="231"/>
      <c r="G91" s="231"/>
      <c r="H91" s="232">
        <f t="shared" si="87"/>
        <v>0</v>
      </c>
      <c r="I91" s="231">
        <v>0</v>
      </c>
      <c r="J91" s="231"/>
      <c r="K91" s="231"/>
      <c r="L91" s="231"/>
      <c r="M91" s="232">
        <f t="shared" si="88"/>
        <v>0</v>
      </c>
      <c r="N91" s="231">
        <v>0</v>
      </c>
      <c r="O91" s="231"/>
      <c r="P91" s="231"/>
      <c r="Q91" s="231"/>
      <c r="R91" s="232">
        <f t="shared" si="89"/>
        <v>0</v>
      </c>
    </row>
    <row r="92" spans="1:18" s="6" customFormat="1" ht="24" hidden="1" customHeight="1">
      <c r="A92" s="144" t="s">
        <v>68</v>
      </c>
      <c r="B92" s="101" t="s">
        <v>69</v>
      </c>
      <c r="C92" s="230"/>
      <c r="D92" s="231">
        <v>0</v>
      </c>
      <c r="E92" s="231"/>
      <c r="F92" s="231"/>
      <c r="G92" s="231"/>
      <c r="H92" s="232">
        <f t="shared" si="87"/>
        <v>0</v>
      </c>
      <c r="I92" s="231">
        <v>0</v>
      </c>
      <c r="J92" s="231"/>
      <c r="K92" s="231"/>
      <c r="L92" s="231"/>
      <c r="M92" s="232">
        <f t="shared" si="88"/>
        <v>0</v>
      </c>
      <c r="N92" s="231">
        <v>0</v>
      </c>
      <c r="O92" s="231"/>
      <c r="P92" s="231"/>
      <c r="Q92" s="231"/>
      <c r="R92" s="232">
        <f t="shared" si="89"/>
        <v>0</v>
      </c>
    </row>
    <row r="93" spans="1:18" s="6" customFormat="1" ht="12">
      <c r="A93" s="265"/>
      <c r="B93" s="266" t="s">
        <v>199</v>
      </c>
      <c r="C93" s="267"/>
      <c r="D93" s="347">
        <v>0</v>
      </c>
      <c r="E93" s="268"/>
      <c r="F93" s="268"/>
      <c r="G93" s="268"/>
      <c r="H93" s="269">
        <f t="shared" si="87"/>
        <v>0</v>
      </c>
      <c r="I93" s="347">
        <v>0</v>
      </c>
      <c r="J93" s="268"/>
      <c r="K93" s="268"/>
      <c r="L93" s="268"/>
      <c r="M93" s="269">
        <f t="shared" si="88"/>
        <v>0</v>
      </c>
      <c r="N93" s="347">
        <v>0</v>
      </c>
      <c r="O93" s="268"/>
      <c r="P93" s="268"/>
      <c r="Q93" s="268"/>
      <c r="R93" s="269">
        <f t="shared" si="89"/>
        <v>0</v>
      </c>
    </row>
    <row r="94" spans="1:18" s="6" customFormat="1" ht="20.399999999999999">
      <c r="A94" s="129" t="s">
        <v>201</v>
      </c>
      <c r="B94" s="99" t="s">
        <v>88</v>
      </c>
      <c r="C94" s="227">
        <v>2133218</v>
      </c>
      <c r="D94" s="228">
        <v>2262563</v>
      </c>
      <c r="E94" s="228">
        <f t="shared" ref="E94:G94" si="111">E95+E96+E98+E116</f>
        <v>0</v>
      </c>
      <c r="F94" s="228">
        <f t="shared" ref="F94" si="112">F95+F96+F98+F116</f>
        <v>0</v>
      </c>
      <c r="G94" s="228">
        <f t="shared" si="111"/>
        <v>0</v>
      </c>
      <c r="H94" s="229">
        <f t="shared" si="87"/>
        <v>2262563</v>
      </c>
      <c r="I94" s="228">
        <v>2391907</v>
      </c>
      <c r="J94" s="228">
        <f t="shared" ref="J94:L94" si="113">J95+J96+J98+J116</f>
        <v>0</v>
      </c>
      <c r="K94" s="228">
        <f t="shared" ref="K94" si="114">K95+K96+K98+K116</f>
        <v>0</v>
      </c>
      <c r="L94" s="228">
        <f t="shared" si="113"/>
        <v>0</v>
      </c>
      <c r="M94" s="229">
        <f t="shared" si="88"/>
        <v>2391907</v>
      </c>
      <c r="N94" s="228">
        <v>2593621</v>
      </c>
      <c r="O94" s="228">
        <f t="shared" ref="O94:Q94" si="115">O95+O96+O98+O116</f>
        <v>0</v>
      </c>
      <c r="P94" s="228">
        <f t="shared" ref="P94" si="116">P95+P96+P98+P116</f>
        <v>0</v>
      </c>
      <c r="Q94" s="228">
        <f t="shared" si="115"/>
        <v>0</v>
      </c>
      <c r="R94" s="229">
        <f t="shared" si="89"/>
        <v>2593621</v>
      </c>
    </row>
    <row r="95" spans="1:18" s="6" customFormat="1" ht="22.8" hidden="1" customHeight="1">
      <c r="A95" s="130" t="s">
        <v>177</v>
      </c>
      <c r="B95" s="100" t="s">
        <v>90</v>
      </c>
      <c r="C95" s="230"/>
      <c r="D95" s="231">
        <v>0</v>
      </c>
      <c r="E95" s="231"/>
      <c r="F95" s="231"/>
      <c r="G95" s="231"/>
      <c r="H95" s="232">
        <f t="shared" si="87"/>
        <v>0</v>
      </c>
      <c r="I95" s="231">
        <v>0</v>
      </c>
      <c r="J95" s="231"/>
      <c r="K95" s="231"/>
      <c r="L95" s="231"/>
      <c r="M95" s="232">
        <f t="shared" si="88"/>
        <v>0</v>
      </c>
      <c r="N95" s="231">
        <v>0</v>
      </c>
      <c r="O95" s="231"/>
      <c r="P95" s="231"/>
      <c r="Q95" s="231"/>
      <c r="R95" s="232">
        <f t="shared" si="89"/>
        <v>0</v>
      </c>
    </row>
    <row r="96" spans="1:18" s="6" customFormat="1" ht="12" hidden="1" customHeight="1">
      <c r="A96" s="130" t="s">
        <v>91</v>
      </c>
      <c r="B96" s="100" t="s">
        <v>92</v>
      </c>
      <c r="C96" s="230"/>
      <c r="D96" s="231">
        <v>0</v>
      </c>
      <c r="E96" s="231"/>
      <c r="F96" s="231"/>
      <c r="G96" s="231"/>
      <c r="H96" s="232">
        <f t="shared" si="87"/>
        <v>0</v>
      </c>
      <c r="I96" s="231">
        <v>0</v>
      </c>
      <c r="J96" s="231"/>
      <c r="K96" s="231"/>
      <c r="L96" s="231"/>
      <c r="M96" s="232">
        <f t="shared" si="88"/>
        <v>0</v>
      </c>
      <c r="N96" s="231">
        <v>0</v>
      </c>
      <c r="O96" s="231"/>
      <c r="P96" s="231"/>
      <c r="Q96" s="231"/>
      <c r="R96" s="232">
        <f t="shared" si="89"/>
        <v>0</v>
      </c>
    </row>
    <row r="97" spans="1:18" s="6" customFormat="1" ht="12" hidden="1" customHeight="1">
      <c r="A97" s="131">
        <v>21210</v>
      </c>
      <c r="B97" s="101" t="s">
        <v>93</v>
      </c>
      <c r="C97" s="230"/>
      <c r="D97" s="231">
        <v>0</v>
      </c>
      <c r="E97" s="231"/>
      <c r="F97" s="231"/>
      <c r="G97" s="231"/>
      <c r="H97" s="232">
        <f t="shared" si="87"/>
        <v>0</v>
      </c>
      <c r="I97" s="231">
        <v>0</v>
      </c>
      <c r="J97" s="231"/>
      <c r="K97" s="231"/>
      <c r="L97" s="231"/>
      <c r="M97" s="232">
        <f t="shared" si="88"/>
        <v>0</v>
      </c>
      <c r="N97" s="231">
        <v>0</v>
      </c>
      <c r="O97" s="231"/>
      <c r="P97" s="231"/>
      <c r="Q97" s="231"/>
      <c r="R97" s="232">
        <f t="shared" si="89"/>
        <v>0</v>
      </c>
    </row>
    <row r="98" spans="1:18" s="6" customFormat="1" ht="20.399999999999999" hidden="1" customHeight="1">
      <c r="A98" s="130" t="s">
        <v>178</v>
      </c>
      <c r="B98" s="100" t="s">
        <v>94</v>
      </c>
      <c r="C98" s="232">
        <v>0</v>
      </c>
      <c r="D98" s="233">
        <v>0</v>
      </c>
      <c r="E98" s="233">
        <f t="shared" ref="E98:G98" si="117">E99+E105</f>
        <v>0</v>
      </c>
      <c r="F98" s="233">
        <f t="shared" ref="F98" si="118">F99+F105</f>
        <v>0</v>
      </c>
      <c r="G98" s="233">
        <f t="shared" si="117"/>
        <v>0</v>
      </c>
      <c r="H98" s="232">
        <f t="shared" si="87"/>
        <v>0</v>
      </c>
      <c r="I98" s="233">
        <v>0</v>
      </c>
      <c r="J98" s="233">
        <f t="shared" ref="J98:L98" si="119">J99+J105</f>
        <v>0</v>
      </c>
      <c r="K98" s="233">
        <f t="shared" ref="K98" si="120">K99+K105</f>
        <v>0</v>
      </c>
      <c r="L98" s="233">
        <f t="shared" si="119"/>
        <v>0</v>
      </c>
      <c r="M98" s="232">
        <f t="shared" si="88"/>
        <v>0</v>
      </c>
      <c r="N98" s="233">
        <v>0</v>
      </c>
      <c r="O98" s="233">
        <f t="shared" ref="O98:Q98" si="121">O99+O105</f>
        <v>0</v>
      </c>
      <c r="P98" s="233">
        <f t="shared" ref="P98" si="122">P99+P105</f>
        <v>0</v>
      </c>
      <c r="Q98" s="233">
        <f t="shared" si="121"/>
        <v>0</v>
      </c>
      <c r="R98" s="232">
        <f t="shared" si="89"/>
        <v>0</v>
      </c>
    </row>
    <row r="99" spans="1:18" s="6" customFormat="1" ht="12" hidden="1" customHeight="1">
      <c r="A99" s="132">
        <v>18000</v>
      </c>
      <c r="B99" s="101" t="s">
        <v>95</v>
      </c>
      <c r="C99" s="232">
        <v>0</v>
      </c>
      <c r="D99" s="233">
        <v>0</v>
      </c>
      <c r="E99" s="233">
        <f t="shared" ref="E99:L100" si="123">E100</f>
        <v>0</v>
      </c>
      <c r="F99" s="233">
        <f t="shared" si="123"/>
        <v>0</v>
      </c>
      <c r="G99" s="233">
        <f t="shared" si="123"/>
        <v>0</v>
      </c>
      <c r="H99" s="232">
        <f t="shared" si="87"/>
        <v>0</v>
      </c>
      <c r="I99" s="233">
        <v>0</v>
      </c>
      <c r="J99" s="233">
        <f t="shared" si="123"/>
        <v>0</v>
      </c>
      <c r="K99" s="233">
        <f t="shared" si="123"/>
        <v>0</v>
      </c>
      <c r="L99" s="233">
        <f t="shared" si="123"/>
        <v>0</v>
      </c>
      <c r="M99" s="232">
        <f t="shared" si="88"/>
        <v>0</v>
      </c>
      <c r="N99" s="233">
        <v>0</v>
      </c>
      <c r="O99" s="233">
        <f t="shared" ref="O99:Q100" si="124">O100</f>
        <v>0</v>
      </c>
      <c r="P99" s="233">
        <f t="shared" si="124"/>
        <v>0</v>
      </c>
      <c r="Q99" s="233">
        <f t="shared" si="124"/>
        <v>0</v>
      </c>
      <c r="R99" s="232">
        <f t="shared" si="89"/>
        <v>0</v>
      </c>
    </row>
    <row r="100" spans="1:18" s="6" customFormat="1" ht="12" hidden="1" customHeight="1">
      <c r="A100" s="132">
        <v>18100</v>
      </c>
      <c r="B100" s="101" t="s">
        <v>96</v>
      </c>
      <c r="C100" s="232">
        <v>0</v>
      </c>
      <c r="D100" s="233">
        <v>0</v>
      </c>
      <c r="E100" s="233">
        <f t="shared" si="123"/>
        <v>0</v>
      </c>
      <c r="F100" s="233">
        <f t="shared" si="123"/>
        <v>0</v>
      </c>
      <c r="G100" s="233">
        <f t="shared" si="123"/>
        <v>0</v>
      </c>
      <c r="H100" s="232">
        <f t="shared" si="87"/>
        <v>0</v>
      </c>
      <c r="I100" s="233">
        <v>0</v>
      </c>
      <c r="J100" s="233">
        <f t="shared" si="123"/>
        <v>0</v>
      </c>
      <c r="K100" s="233">
        <f t="shared" si="123"/>
        <v>0</v>
      </c>
      <c r="L100" s="233">
        <f t="shared" si="123"/>
        <v>0</v>
      </c>
      <c r="M100" s="232">
        <f t="shared" si="88"/>
        <v>0</v>
      </c>
      <c r="N100" s="233">
        <v>0</v>
      </c>
      <c r="O100" s="233">
        <f t="shared" si="124"/>
        <v>0</v>
      </c>
      <c r="P100" s="233">
        <f t="shared" si="124"/>
        <v>0</v>
      </c>
      <c r="Q100" s="233">
        <f t="shared" si="124"/>
        <v>0</v>
      </c>
      <c r="R100" s="232">
        <f t="shared" si="89"/>
        <v>0</v>
      </c>
    </row>
    <row r="101" spans="1:18" s="6" customFormat="1" ht="24" hidden="1" customHeight="1">
      <c r="A101" s="234">
        <v>18130</v>
      </c>
      <c r="B101" s="235" t="s">
        <v>159</v>
      </c>
      <c r="C101" s="232">
        <v>0</v>
      </c>
      <c r="D101" s="233">
        <v>0</v>
      </c>
      <c r="E101" s="233">
        <f t="shared" ref="E101:G101" si="125">SUM(E102:E104)</f>
        <v>0</v>
      </c>
      <c r="F101" s="233">
        <f t="shared" ref="F101" si="126">SUM(F102:F104)</f>
        <v>0</v>
      </c>
      <c r="G101" s="233">
        <f t="shared" si="125"/>
        <v>0</v>
      </c>
      <c r="H101" s="232">
        <f t="shared" si="87"/>
        <v>0</v>
      </c>
      <c r="I101" s="233">
        <v>0</v>
      </c>
      <c r="J101" s="233">
        <f t="shared" ref="J101:L101" si="127">SUM(J102:J104)</f>
        <v>0</v>
      </c>
      <c r="K101" s="233">
        <f t="shared" ref="K101" si="128">SUM(K102:K104)</f>
        <v>0</v>
      </c>
      <c r="L101" s="233">
        <f t="shared" si="127"/>
        <v>0</v>
      </c>
      <c r="M101" s="232">
        <f t="shared" si="88"/>
        <v>0</v>
      </c>
      <c r="N101" s="233">
        <v>0</v>
      </c>
      <c r="O101" s="233">
        <f t="shared" ref="O101:Q101" si="129">SUM(O102:O104)</f>
        <v>0</v>
      </c>
      <c r="P101" s="233">
        <f t="shared" ref="P101" si="130">SUM(P102:P104)</f>
        <v>0</v>
      </c>
      <c r="Q101" s="233">
        <f t="shared" si="129"/>
        <v>0</v>
      </c>
      <c r="R101" s="232">
        <f t="shared" si="89"/>
        <v>0</v>
      </c>
    </row>
    <row r="102" spans="1:18" s="6" customFormat="1" ht="24" hidden="1" customHeight="1">
      <c r="A102" s="236">
        <v>18131</v>
      </c>
      <c r="B102" s="235" t="s">
        <v>160</v>
      </c>
      <c r="C102" s="232"/>
      <c r="D102" s="233">
        <v>0</v>
      </c>
      <c r="E102" s="233"/>
      <c r="F102" s="233"/>
      <c r="G102" s="233"/>
      <c r="H102" s="232">
        <f t="shared" si="87"/>
        <v>0</v>
      </c>
      <c r="I102" s="233">
        <v>0</v>
      </c>
      <c r="J102" s="233"/>
      <c r="K102" s="233"/>
      <c r="L102" s="233"/>
      <c r="M102" s="232">
        <f t="shared" si="88"/>
        <v>0</v>
      </c>
      <c r="N102" s="233">
        <v>0</v>
      </c>
      <c r="O102" s="233"/>
      <c r="P102" s="233"/>
      <c r="Q102" s="233"/>
      <c r="R102" s="232">
        <f t="shared" si="89"/>
        <v>0</v>
      </c>
    </row>
    <row r="103" spans="1:18" s="6" customFormat="1" ht="24" hidden="1" customHeight="1">
      <c r="A103" s="236">
        <v>18132</v>
      </c>
      <c r="B103" s="235" t="s">
        <v>169</v>
      </c>
      <c r="C103" s="232"/>
      <c r="D103" s="233">
        <v>0</v>
      </c>
      <c r="E103" s="233"/>
      <c r="F103" s="233"/>
      <c r="G103" s="233"/>
      <c r="H103" s="232">
        <f t="shared" si="87"/>
        <v>0</v>
      </c>
      <c r="I103" s="233">
        <v>0</v>
      </c>
      <c r="J103" s="233"/>
      <c r="K103" s="233"/>
      <c r="L103" s="233"/>
      <c r="M103" s="232">
        <f t="shared" si="88"/>
        <v>0</v>
      </c>
      <c r="N103" s="233">
        <v>0</v>
      </c>
      <c r="O103" s="233"/>
      <c r="P103" s="233"/>
      <c r="Q103" s="233"/>
      <c r="R103" s="232">
        <f t="shared" si="89"/>
        <v>0</v>
      </c>
    </row>
    <row r="104" spans="1:18" s="6" customFormat="1" ht="24" hidden="1" customHeight="1">
      <c r="A104" s="236">
        <v>18139</v>
      </c>
      <c r="B104" s="235" t="s">
        <v>179</v>
      </c>
      <c r="C104" s="232"/>
      <c r="D104" s="233">
        <v>0</v>
      </c>
      <c r="E104" s="233"/>
      <c r="F104" s="233"/>
      <c r="G104" s="233"/>
      <c r="H104" s="232">
        <f t="shared" si="87"/>
        <v>0</v>
      </c>
      <c r="I104" s="233">
        <v>0</v>
      </c>
      <c r="J104" s="233"/>
      <c r="K104" s="233"/>
      <c r="L104" s="233"/>
      <c r="M104" s="232">
        <f t="shared" si="88"/>
        <v>0</v>
      </c>
      <c r="N104" s="233">
        <v>0</v>
      </c>
      <c r="O104" s="233"/>
      <c r="P104" s="233"/>
      <c r="Q104" s="233"/>
      <c r="R104" s="232">
        <f t="shared" si="89"/>
        <v>0</v>
      </c>
    </row>
    <row r="105" spans="1:18" s="6" customFormat="1" ht="12" hidden="1" customHeight="1">
      <c r="A105" s="135" t="s">
        <v>180</v>
      </c>
      <c r="B105" s="109" t="s">
        <v>173</v>
      </c>
      <c r="C105" s="237">
        <v>0</v>
      </c>
      <c r="D105" s="238">
        <v>0</v>
      </c>
      <c r="E105" s="238">
        <f t="shared" ref="E105:L105" si="131">E106</f>
        <v>0</v>
      </c>
      <c r="F105" s="238">
        <f t="shared" si="131"/>
        <v>0</v>
      </c>
      <c r="G105" s="238">
        <f t="shared" si="131"/>
        <v>0</v>
      </c>
      <c r="H105" s="232">
        <f t="shared" si="87"/>
        <v>0</v>
      </c>
      <c r="I105" s="238">
        <v>0</v>
      </c>
      <c r="J105" s="238">
        <f t="shared" si="131"/>
        <v>0</v>
      </c>
      <c r="K105" s="238">
        <f t="shared" si="131"/>
        <v>0</v>
      </c>
      <c r="L105" s="238">
        <f t="shared" si="131"/>
        <v>0</v>
      </c>
      <c r="M105" s="232">
        <f t="shared" si="88"/>
        <v>0</v>
      </c>
      <c r="N105" s="238">
        <v>0</v>
      </c>
      <c r="O105" s="238">
        <f t="shared" ref="O105:Q105" si="132">O106</f>
        <v>0</v>
      </c>
      <c r="P105" s="238">
        <f t="shared" si="132"/>
        <v>0</v>
      </c>
      <c r="Q105" s="238">
        <f t="shared" si="132"/>
        <v>0</v>
      </c>
      <c r="R105" s="232">
        <f t="shared" si="89"/>
        <v>0</v>
      </c>
    </row>
    <row r="106" spans="1:18" s="6" customFormat="1" ht="12" hidden="1" customHeight="1">
      <c r="A106" s="135">
        <v>19500</v>
      </c>
      <c r="B106" s="235" t="s">
        <v>174</v>
      </c>
      <c r="C106" s="232">
        <v>0</v>
      </c>
      <c r="D106" s="233">
        <v>0</v>
      </c>
      <c r="E106" s="233">
        <f t="shared" ref="E106:G106" si="133">SUM(E107:E109)</f>
        <v>0</v>
      </c>
      <c r="F106" s="233">
        <f t="shared" ref="F106" si="134">SUM(F107:F109)</f>
        <v>0</v>
      </c>
      <c r="G106" s="233">
        <f t="shared" si="133"/>
        <v>0</v>
      </c>
      <c r="H106" s="232">
        <f t="shared" si="87"/>
        <v>0</v>
      </c>
      <c r="I106" s="233">
        <v>0</v>
      </c>
      <c r="J106" s="233">
        <f t="shared" ref="J106:L106" si="135">SUM(J107:J109)</f>
        <v>0</v>
      </c>
      <c r="K106" s="233">
        <f t="shared" ref="K106" si="136">SUM(K107:K109)</f>
        <v>0</v>
      </c>
      <c r="L106" s="233">
        <f t="shared" si="135"/>
        <v>0</v>
      </c>
      <c r="M106" s="232">
        <f t="shared" si="88"/>
        <v>0</v>
      </c>
      <c r="N106" s="233">
        <v>0</v>
      </c>
      <c r="O106" s="233">
        <f t="shared" ref="O106:Q106" si="137">SUM(O107:O109)</f>
        <v>0</v>
      </c>
      <c r="P106" s="233">
        <f t="shared" ref="P106" si="138">SUM(P107:P109)</f>
        <v>0</v>
      </c>
      <c r="Q106" s="233">
        <f t="shared" si="137"/>
        <v>0</v>
      </c>
      <c r="R106" s="232">
        <f t="shared" si="89"/>
        <v>0</v>
      </c>
    </row>
    <row r="107" spans="1:18" s="6" customFormat="1" ht="24" hidden="1" customHeight="1">
      <c r="A107" s="136">
        <v>19550</v>
      </c>
      <c r="B107" s="235" t="s">
        <v>175</v>
      </c>
      <c r="C107" s="232"/>
      <c r="D107" s="233">
        <v>0</v>
      </c>
      <c r="E107" s="233"/>
      <c r="F107" s="233"/>
      <c r="G107" s="233"/>
      <c r="H107" s="232">
        <f t="shared" si="87"/>
        <v>0</v>
      </c>
      <c r="I107" s="233">
        <v>0</v>
      </c>
      <c r="J107" s="233"/>
      <c r="K107" s="233"/>
      <c r="L107" s="233"/>
      <c r="M107" s="232">
        <f t="shared" si="88"/>
        <v>0</v>
      </c>
      <c r="N107" s="233">
        <v>0</v>
      </c>
      <c r="O107" s="233"/>
      <c r="P107" s="233"/>
      <c r="Q107" s="233"/>
      <c r="R107" s="232">
        <f t="shared" si="89"/>
        <v>0</v>
      </c>
    </row>
    <row r="108" spans="1:18" s="6" customFormat="1" ht="36" hidden="1" customHeight="1">
      <c r="A108" s="136">
        <v>19560</v>
      </c>
      <c r="B108" s="235" t="s">
        <v>181</v>
      </c>
      <c r="C108" s="232"/>
      <c r="D108" s="233">
        <v>0</v>
      </c>
      <c r="E108" s="233"/>
      <c r="F108" s="233"/>
      <c r="G108" s="233"/>
      <c r="H108" s="232">
        <f t="shared" si="87"/>
        <v>0</v>
      </c>
      <c r="I108" s="233">
        <v>0</v>
      </c>
      <c r="J108" s="233"/>
      <c r="K108" s="233"/>
      <c r="L108" s="233"/>
      <c r="M108" s="232">
        <f t="shared" si="88"/>
        <v>0</v>
      </c>
      <c r="N108" s="233">
        <v>0</v>
      </c>
      <c r="O108" s="233"/>
      <c r="P108" s="233"/>
      <c r="Q108" s="233"/>
      <c r="R108" s="232">
        <f t="shared" si="89"/>
        <v>0</v>
      </c>
    </row>
    <row r="109" spans="1:18" s="6" customFormat="1" ht="60" hidden="1" customHeight="1">
      <c r="A109" s="136">
        <v>19570</v>
      </c>
      <c r="B109" s="235" t="s">
        <v>182</v>
      </c>
      <c r="C109" s="232"/>
      <c r="D109" s="233">
        <v>0</v>
      </c>
      <c r="E109" s="233"/>
      <c r="F109" s="233"/>
      <c r="G109" s="233"/>
      <c r="H109" s="232">
        <f t="shared" si="87"/>
        <v>0</v>
      </c>
      <c r="I109" s="233">
        <v>0</v>
      </c>
      <c r="J109" s="233"/>
      <c r="K109" s="233"/>
      <c r="L109" s="233"/>
      <c r="M109" s="232">
        <f t="shared" si="88"/>
        <v>0</v>
      </c>
      <c r="N109" s="233">
        <v>0</v>
      </c>
      <c r="O109" s="233"/>
      <c r="P109" s="233"/>
      <c r="Q109" s="233"/>
      <c r="R109" s="232">
        <f t="shared" si="89"/>
        <v>0</v>
      </c>
    </row>
    <row r="110" spans="1:18" s="6" customFormat="1" ht="24" hidden="1" customHeight="1">
      <c r="A110" s="240" t="s">
        <v>222</v>
      </c>
      <c r="B110" s="241" t="s">
        <v>216</v>
      </c>
      <c r="C110" s="232">
        <f>C111</f>
        <v>0</v>
      </c>
      <c r="D110" s="233">
        <v>0</v>
      </c>
      <c r="E110" s="232">
        <f t="shared" ref="E110:L110" si="139">E111</f>
        <v>0</v>
      </c>
      <c r="F110" s="232">
        <f t="shared" si="139"/>
        <v>0</v>
      </c>
      <c r="G110" s="232">
        <f t="shared" si="139"/>
        <v>0</v>
      </c>
      <c r="H110" s="232">
        <f t="shared" si="87"/>
        <v>0</v>
      </c>
      <c r="I110" s="233">
        <v>0</v>
      </c>
      <c r="J110" s="232">
        <f t="shared" si="139"/>
        <v>0</v>
      </c>
      <c r="K110" s="232">
        <f t="shared" si="139"/>
        <v>0</v>
      </c>
      <c r="L110" s="232">
        <f t="shared" si="139"/>
        <v>0</v>
      </c>
      <c r="M110" s="232">
        <f t="shared" si="88"/>
        <v>0</v>
      </c>
      <c r="N110" s="233">
        <v>0</v>
      </c>
      <c r="O110" s="232">
        <f t="shared" ref="O110:Q110" si="140">O111</f>
        <v>0</v>
      </c>
      <c r="P110" s="232">
        <f t="shared" si="140"/>
        <v>0</v>
      </c>
      <c r="Q110" s="232">
        <f t="shared" si="140"/>
        <v>0</v>
      </c>
      <c r="R110" s="232">
        <f t="shared" si="89"/>
        <v>0</v>
      </c>
    </row>
    <row r="111" spans="1:18" s="6" customFormat="1" ht="36" hidden="1" customHeight="1">
      <c r="A111" s="240">
        <v>17100</v>
      </c>
      <c r="B111" s="241" t="s">
        <v>217</v>
      </c>
      <c r="C111" s="232">
        <f>SUM(C112:C115)</f>
        <v>0</v>
      </c>
      <c r="D111" s="233">
        <v>0</v>
      </c>
      <c r="E111" s="232">
        <f t="shared" ref="E111:G111" si="141">SUM(E112:E115)</f>
        <v>0</v>
      </c>
      <c r="F111" s="232">
        <f t="shared" ref="F111" si="142">SUM(F112:F115)</f>
        <v>0</v>
      </c>
      <c r="G111" s="232">
        <f t="shared" si="141"/>
        <v>0</v>
      </c>
      <c r="H111" s="232">
        <f t="shared" si="87"/>
        <v>0</v>
      </c>
      <c r="I111" s="233">
        <v>0</v>
      </c>
      <c r="J111" s="232">
        <f t="shared" ref="J111:L111" si="143">SUM(J112:J115)</f>
        <v>0</v>
      </c>
      <c r="K111" s="232">
        <f t="shared" ref="K111" si="144">SUM(K112:K115)</f>
        <v>0</v>
      </c>
      <c r="L111" s="232">
        <f t="shared" si="143"/>
        <v>0</v>
      </c>
      <c r="M111" s="232">
        <f t="shared" si="88"/>
        <v>0</v>
      </c>
      <c r="N111" s="233">
        <v>0</v>
      </c>
      <c r="O111" s="232">
        <f t="shared" ref="O111:Q111" si="145">SUM(O112:O115)</f>
        <v>0</v>
      </c>
      <c r="P111" s="232">
        <f t="shared" ref="P111" si="146">SUM(P112:P115)</f>
        <v>0</v>
      </c>
      <c r="Q111" s="232">
        <f t="shared" si="145"/>
        <v>0</v>
      </c>
      <c r="R111" s="232">
        <f t="shared" si="89"/>
        <v>0</v>
      </c>
    </row>
    <row r="112" spans="1:18" s="6" customFormat="1" ht="48" hidden="1" customHeight="1">
      <c r="A112" s="242">
        <v>17110</v>
      </c>
      <c r="B112" s="241" t="s">
        <v>218</v>
      </c>
      <c r="C112" s="232"/>
      <c r="D112" s="233">
        <v>0</v>
      </c>
      <c r="E112" s="233"/>
      <c r="F112" s="233"/>
      <c r="G112" s="233"/>
      <c r="H112" s="232">
        <f t="shared" si="87"/>
        <v>0</v>
      </c>
      <c r="I112" s="233">
        <v>0</v>
      </c>
      <c r="J112" s="233"/>
      <c r="K112" s="233"/>
      <c r="L112" s="233"/>
      <c r="M112" s="232">
        <f t="shared" si="88"/>
        <v>0</v>
      </c>
      <c r="N112" s="233">
        <v>0</v>
      </c>
      <c r="O112" s="233"/>
      <c r="P112" s="233"/>
      <c r="Q112" s="233"/>
      <c r="R112" s="232">
        <f t="shared" si="89"/>
        <v>0</v>
      </c>
    </row>
    <row r="113" spans="1:18" s="6" customFormat="1" ht="48" hidden="1" customHeight="1">
      <c r="A113" s="242">
        <v>17120</v>
      </c>
      <c r="B113" s="241" t="s">
        <v>219</v>
      </c>
      <c r="C113" s="232"/>
      <c r="D113" s="233">
        <v>0</v>
      </c>
      <c r="E113" s="233"/>
      <c r="F113" s="233"/>
      <c r="G113" s="233"/>
      <c r="H113" s="232">
        <f t="shared" si="87"/>
        <v>0</v>
      </c>
      <c r="I113" s="233">
        <v>0</v>
      </c>
      <c r="J113" s="233"/>
      <c r="K113" s="233"/>
      <c r="L113" s="233"/>
      <c r="M113" s="232">
        <f t="shared" si="88"/>
        <v>0</v>
      </c>
      <c r="N113" s="233">
        <v>0</v>
      </c>
      <c r="O113" s="233"/>
      <c r="P113" s="233"/>
      <c r="Q113" s="233"/>
      <c r="R113" s="232">
        <f t="shared" si="89"/>
        <v>0</v>
      </c>
    </row>
    <row r="114" spans="1:18" s="6" customFormat="1" ht="96" hidden="1" customHeight="1">
      <c r="A114" s="242">
        <v>17130</v>
      </c>
      <c r="B114" s="241" t="s">
        <v>220</v>
      </c>
      <c r="C114" s="232"/>
      <c r="D114" s="233">
        <v>0</v>
      </c>
      <c r="E114" s="233"/>
      <c r="F114" s="233"/>
      <c r="G114" s="233"/>
      <c r="H114" s="232">
        <f t="shared" si="87"/>
        <v>0</v>
      </c>
      <c r="I114" s="233">
        <v>0</v>
      </c>
      <c r="J114" s="233"/>
      <c r="K114" s="233"/>
      <c r="L114" s="233"/>
      <c r="M114" s="232">
        <f t="shared" si="88"/>
        <v>0</v>
      </c>
      <c r="N114" s="233">
        <v>0</v>
      </c>
      <c r="O114" s="233"/>
      <c r="P114" s="233"/>
      <c r="Q114" s="233"/>
      <c r="R114" s="232">
        <f t="shared" si="89"/>
        <v>0</v>
      </c>
    </row>
    <row r="115" spans="1:18" s="6" customFormat="1" ht="96" hidden="1" customHeight="1">
      <c r="A115" s="242">
        <v>17140</v>
      </c>
      <c r="B115" s="241" t="s">
        <v>221</v>
      </c>
      <c r="C115" s="232"/>
      <c r="D115" s="233">
        <v>0</v>
      </c>
      <c r="E115" s="233"/>
      <c r="F115" s="233"/>
      <c r="G115" s="233"/>
      <c r="H115" s="232">
        <f t="shared" si="87"/>
        <v>0</v>
      </c>
      <c r="I115" s="233">
        <v>0</v>
      </c>
      <c r="J115" s="233"/>
      <c r="K115" s="233"/>
      <c r="L115" s="233"/>
      <c r="M115" s="232">
        <f t="shared" si="88"/>
        <v>0</v>
      </c>
      <c r="N115" s="233">
        <v>0</v>
      </c>
      <c r="O115" s="233"/>
      <c r="P115" s="233"/>
      <c r="Q115" s="233"/>
      <c r="R115" s="232">
        <f t="shared" si="89"/>
        <v>0</v>
      </c>
    </row>
    <row r="116" spans="1:18" s="6" customFormat="1" ht="12">
      <c r="A116" s="137">
        <v>21700</v>
      </c>
      <c r="B116" s="100" t="s">
        <v>97</v>
      </c>
      <c r="C116" s="232">
        <v>2133218</v>
      </c>
      <c r="D116" s="233">
        <v>2262563</v>
      </c>
      <c r="E116" s="233">
        <f t="shared" ref="E116:G116" si="147">E117+E118</f>
        <v>0</v>
      </c>
      <c r="F116" s="233">
        <f t="shared" ref="F116" si="148">F117+F118</f>
        <v>0</v>
      </c>
      <c r="G116" s="233">
        <f t="shared" si="147"/>
        <v>0</v>
      </c>
      <c r="H116" s="232">
        <f t="shared" si="87"/>
        <v>2262563</v>
      </c>
      <c r="I116" s="233">
        <v>2391907</v>
      </c>
      <c r="J116" s="233">
        <f t="shared" ref="J116:L116" si="149">J117+J118</f>
        <v>0</v>
      </c>
      <c r="K116" s="233">
        <f t="shared" ref="K116" si="150">K117+K118</f>
        <v>0</v>
      </c>
      <c r="L116" s="233">
        <f t="shared" si="149"/>
        <v>0</v>
      </c>
      <c r="M116" s="232">
        <f t="shared" si="88"/>
        <v>2391907</v>
      </c>
      <c r="N116" s="233">
        <v>2593621</v>
      </c>
      <c r="O116" s="233">
        <f t="shared" ref="O116:Q116" si="151">O117+O118</f>
        <v>0</v>
      </c>
      <c r="P116" s="233">
        <f t="shared" ref="P116" si="152">P117+P118</f>
        <v>0</v>
      </c>
      <c r="Q116" s="233">
        <f t="shared" si="151"/>
        <v>0</v>
      </c>
      <c r="R116" s="232">
        <f t="shared" si="89"/>
        <v>2593621</v>
      </c>
    </row>
    <row r="117" spans="1:18" s="6" customFormat="1" ht="24">
      <c r="A117" s="138">
        <v>21710</v>
      </c>
      <c r="B117" s="101" t="s">
        <v>98</v>
      </c>
      <c r="C117" s="232">
        <v>2133218</v>
      </c>
      <c r="D117" s="233">
        <v>2262563</v>
      </c>
      <c r="E117" s="233"/>
      <c r="F117" s="233"/>
      <c r="G117" s="233"/>
      <c r="H117" s="232">
        <f t="shared" si="87"/>
        <v>2262563</v>
      </c>
      <c r="I117" s="233">
        <v>2391907</v>
      </c>
      <c r="J117" s="233"/>
      <c r="K117" s="233"/>
      <c r="L117" s="233"/>
      <c r="M117" s="232">
        <f t="shared" si="88"/>
        <v>2391907</v>
      </c>
      <c r="N117" s="233">
        <v>2593621</v>
      </c>
      <c r="O117" s="233"/>
      <c r="P117" s="233"/>
      <c r="Q117" s="233"/>
      <c r="R117" s="232">
        <f t="shared" si="89"/>
        <v>2593621</v>
      </c>
    </row>
    <row r="118" spans="1:18" s="6" customFormat="1" ht="24" hidden="1" customHeight="1">
      <c r="A118" s="138">
        <v>21720</v>
      </c>
      <c r="B118" s="101" t="s">
        <v>99</v>
      </c>
      <c r="C118" s="232"/>
      <c r="D118" s="233">
        <v>0</v>
      </c>
      <c r="E118" s="233"/>
      <c r="F118" s="233"/>
      <c r="G118" s="233"/>
      <c r="H118" s="232">
        <f t="shared" si="87"/>
        <v>0</v>
      </c>
      <c r="I118" s="233">
        <v>0</v>
      </c>
      <c r="J118" s="233"/>
      <c r="K118" s="233"/>
      <c r="L118" s="233"/>
      <c r="M118" s="232">
        <f t="shared" si="88"/>
        <v>0</v>
      </c>
      <c r="N118" s="233">
        <v>0</v>
      </c>
      <c r="O118" s="233"/>
      <c r="P118" s="233"/>
      <c r="Q118" s="233"/>
      <c r="R118" s="232">
        <f t="shared" si="89"/>
        <v>0</v>
      </c>
    </row>
    <row r="119" spans="1:18" s="6" customFormat="1" ht="11.4">
      <c r="A119" s="129" t="s">
        <v>100</v>
      </c>
      <c r="B119" s="99" t="s">
        <v>101</v>
      </c>
      <c r="C119" s="229">
        <v>2133218</v>
      </c>
      <c r="D119" s="243">
        <v>2262563</v>
      </c>
      <c r="E119" s="243">
        <f t="shared" ref="E119:G119" si="153">E120+E147</f>
        <v>0</v>
      </c>
      <c r="F119" s="243">
        <f t="shared" ref="F119" si="154">F120+F147</f>
        <v>0</v>
      </c>
      <c r="G119" s="243">
        <f t="shared" si="153"/>
        <v>0</v>
      </c>
      <c r="H119" s="229">
        <f t="shared" si="87"/>
        <v>2262563</v>
      </c>
      <c r="I119" s="243">
        <v>2391907</v>
      </c>
      <c r="J119" s="243">
        <f t="shared" ref="J119:L119" si="155">J120+J147</f>
        <v>0</v>
      </c>
      <c r="K119" s="243">
        <f t="shared" ref="K119" si="156">K120+K147</f>
        <v>0</v>
      </c>
      <c r="L119" s="243">
        <f t="shared" si="155"/>
        <v>0</v>
      </c>
      <c r="M119" s="229">
        <f t="shared" si="88"/>
        <v>2391907</v>
      </c>
      <c r="N119" s="243">
        <v>2593621</v>
      </c>
      <c r="O119" s="243">
        <f t="shared" ref="O119:Q119" si="157">O120+O147</f>
        <v>0</v>
      </c>
      <c r="P119" s="243">
        <f t="shared" ref="P119" si="158">P120+P147</f>
        <v>0</v>
      </c>
      <c r="Q119" s="243">
        <f t="shared" si="157"/>
        <v>0</v>
      </c>
      <c r="R119" s="229">
        <f t="shared" si="89"/>
        <v>2593621</v>
      </c>
    </row>
    <row r="120" spans="1:18" s="6" customFormat="1" ht="20.399999999999999">
      <c r="A120" s="130" t="s">
        <v>102</v>
      </c>
      <c r="B120" s="100" t="s">
        <v>103</v>
      </c>
      <c r="C120" s="232">
        <v>2115098</v>
      </c>
      <c r="D120" s="233">
        <v>2244443</v>
      </c>
      <c r="E120" s="233">
        <f t="shared" ref="E120:G120" si="159">E121+E125+E126+E129+E132</f>
        <v>0</v>
      </c>
      <c r="F120" s="233">
        <f t="shared" ref="F120" si="160">F121+F125+F126+F129+F132</f>
        <v>0</v>
      </c>
      <c r="G120" s="233">
        <f t="shared" si="159"/>
        <v>0</v>
      </c>
      <c r="H120" s="232">
        <f t="shared" si="87"/>
        <v>2244443</v>
      </c>
      <c r="I120" s="233">
        <v>2373787</v>
      </c>
      <c r="J120" s="233">
        <f t="shared" ref="J120:L120" si="161">J121+J125+J126+J129+J132</f>
        <v>0</v>
      </c>
      <c r="K120" s="233">
        <f t="shared" ref="K120" si="162">K121+K125+K126+K129+K132</f>
        <v>0</v>
      </c>
      <c r="L120" s="233">
        <f t="shared" si="161"/>
        <v>0</v>
      </c>
      <c r="M120" s="232">
        <f t="shared" si="88"/>
        <v>2373787</v>
      </c>
      <c r="N120" s="233">
        <v>2575501</v>
      </c>
      <c r="O120" s="233">
        <f t="shared" ref="O120:Q120" si="163">O121+O125+O126+O129+O132</f>
        <v>0</v>
      </c>
      <c r="P120" s="233">
        <f t="shared" ref="P120" si="164">P121+P125+P126+P129+P132</f>
        <v>0</v>
      </c>
      <c r="Q120" s="233">
        <f t="shared" si="163"/>
        <v>0</v>
      </c>
      <c r="R120" s="232">
        <f t="shared" si="89"/>
        <v>2575501</v>
      </c>
    </row>
    <row r="121" spans="1:18" s="6" customFormat="1" ht="12">
      <c r="A121" s="130" t="s">
        <v>104</v>
      </c>
      <c r="B121" s="100" t="s">
        <v>105</v>
      </c>
      <c r="C121" s="232">
        <v>2061098</v>
      </c>
      <c r="D121" s="233">
        <v>2190443</v>
      </c>
      <c r="E121" s="233">
        <f t="shared" ref="E121:G121" si="165">E122+E124</f>
        <v>0</v>
      </c>
      <c r="F121" s="233">
        <f t="shared" ref="F121" si="166">F122+F124</f>
        <v>0</v>
      </c>
      <c r="G121" s="233">
        <f t="shared" si="165"/>
        <v>0</v>
      </c>
      <c r="H121" s="232">
        <f t="shared" si="87"/>
        <v>2190443</v>
      </c>
      <c r="I121" s="233">
        <v>2319787</v>
      </c>
      <c r="J121" s="233">
        <f t="shared" ref="J121:L121" si="167">J122+J124</f>
        <v>0</v>
      </c>
      <c r="K121" s="233">
        <f t="shared" ref="K121" si="168">K122+K124</f>
        <v>0</v>
      </c>
      <c r="L121" s="233">
        <f t="shared" si="167"/>
        <v>0</v>
      </c>
      <c r="M121" s="232">
        <f t="shared" si="88"/>
        <v>2319787</v>
      </c>
      <c r="N121" s="233">
        <v>2521501</v>
      </c>
      <c r="O121" s="233">
        <f t="shared" ref="O121:Q121" si="169">O122+O124</f>
        <v>0</v>
      </c>
      <c r="P121" s="233">
        <f t="shared" ref="P121" si="170">P122+P124</f>
        <v>0</v>
      </c>
      <c r="Q121" s="233">
        <f t="shared" si="169"/>
        <v>0</v>
      </c>
      <c r="R121" s="232">
        <f t="shared" si="89"/>
        <v>2521501</v>
      </c>
    </row>
    <row r="122" spans="1:18" s="29" customFormat="1" ht="12">
      <c r="A122" s="132">
        <v>1000</v>
      </c>
      <c r="B122" s="101" t="s">
        <v>106</v>
      </c>
      <c r="C122" s="232">
        <v>933116</v>
      </c>
      <c r="D122" s="233">
        <v>933116</v>
      </c>
      <c r="E122" s="244"/>
      <c r="F122" s="244"/>
      <c r="G122" s="244"/>
      <c r="H122" s="232">
        <f t="shared" si="87"/>
        <v>933116</v>
      </c>
      <c r="I122" s="233">
        <v>933116</v>
      </c>
      <c r="J122" s="244"/>
      <c r="K122" s="244"/>
      <c r="L122" s="244"/>
      <c r="M122" s="232">
        <f t="shared" si="88"/>
        <v>933116</v>
      </c>
      <c r="N122" s="233">
        <v>933116</v>
      </c>
      <c r="O122" s="244"/>
      <c r="P122" s="244"/>
      <c r="Q122" s="244"/>
      <c r="R122" s="232">
        <f t="shared" si="89"/>
        <v>933116</v>
      </c>
    </row>
    <row r="123" spans="1:18" s="89" customFormat="1" ht="12">
      <c r="A123" s="139">
        <v>1100</v>
      </c>
      <c r="B123" s="101" t="s">
        <v>107</v>
      </c>
      <c r="C123" s="232">
        <v>748640</v>
      </c>
      <c r="D123" s="233">
        <v>748640</v>
      </c>
      <c r="E123" s="244"/>
      <c r="F123" s="244"/>
      <c r="G123" s="244"/>
      <c r="H123" s="232">
        <f t="shared" si="87"/>
        <v>748640</v>
      </c>
      <c r="I123" s="233">
        <v>748640</v>
      </c>
      <c r="J123" s="244"/>
      <c r="K123" s="244"/>
      <c r="L123" s="244"/>
      <c r="M123" s="232">
        <f t="shared" si="88"/>
        <v>748640</v>
      </c>
      <c r="N123" s="233">
        <v>748640</v>
      </c>
      <c r="O123" s="244"/>
      <c r="P123" s="244"/>
      <c r="Q123" s="244"/>
      <c r="R123" s="232">
        <f t="shared" si="89"/>
        <v>748640</v>
      </c>
    </row>
    <row r="124" spans="1:18" s="89" customFormat="1" ht="12">
      <c r="A124" s="132">
        <v>2000</v>
      </c>
      <c r="B124" s="101" t="s">
        <v>108</v>
      </c>
      <c r="C124" s="232">
        <v>1127982</v>
      </c>
      <c r="D124" s="233">
        <v>1257327</v>
      </c>
      <c r="E124" s="244"/>
      <c r="F124" s="244"/>
      <c r="G124" s="244"/>
      <c r="H124" s="232">
        <f t="shared" si="87"/>
        <v>1257327</v>
      </c>
      <c r="I124" s="233">
        <v>1386671</v>
      </c>
      <c r="J124" s="244"/>
      <c r="K124" s="244"/>
      <c r="L124" s="244"/>
      <c r="M124" s="232">
        <f t="shared" si="88"/>
        <v>1386671</v>
      </c>
      <c r="N124" s="233">
        <v>1588385</v>
      </c>
      <c r="O124" s="244"/>
      <c r="P124" s="244"/>
      <c r="Q124" s="244"/>
      <c r="R124" s="232">
        <f t="shared" si="89"/>
        <v>1588385</v>
      </c>
    </row>
    <row r="125" spans="1:18" s="89" customFormat="1" ht="12" hidden="1" customHeight="1">
      <c r="A125" s="140">
        <v>4000</v>
      </c>
      <c r="B125" s="100" t="s">
        <v>132</v>
      </c>
      <c r="C125" s="232"/>
      <c r="D125" s="233">
        <v>0</v>
      </c>
      <c r="E125" s="244"/>
      <c r="F125" s="244"/>
      <c r="G125" s="244"/>
      <c r="H125" s="232">
        <f t="shared" si="87"/>
        <v>0</v>
      </c>
      <c r="I125" s="233">
        <v>0</v>
      </c>
      <c r="J125" s="244"/>
      <c r="K125" s="244"/>
      <c r="L125" s="244"/>
      <c r="M125" s="232">
        <f t="shared" si="88"/>
        <v>0</v>
      </c>
      <c r="N125" s="233">
        <v>0</v>
      </c>
      <c r="O125" s="244"/>
      <c r="P125" s="244"/>
      <c r="Q125" s="244"/>
      <c r="R125" s="232">
        <f t="shared" si="89"/>
        <v>0</v>
      </c>
    </row>
    <row r="126" spans="1:18" s="89" customFormat="1" ht="12">
      <c r="A126" s="140" t="s">
        <v>109</v>
      </c>
      <c r="B126" s="100" t="s">
        <v>110</v>
      </c>
      <c r="C126" s="232">
        <v>54000</v>
      </c>
      <c r="D126" s="233">
        <v>54000</v>
      </c>
      <c r="E126" s="233">
        <f t="shared" ref="E126:G126" si="171">E127+E128</f>
        <v>0</v>
      </c>
      <c r="F126" s="233">
        <f t="shared" ref="F126" si="172">F127+F128</f>
        <v>0</v>
      </c>
      <c r="G126" s="233">
        <f t="shared" si="171"/>
        <v>0</v>
      </c>
      <c r="H126" s="232">
        <f t="shared" si="87"/>
        <v>54000</v>
      </c>
      <c r="I126" s="233">
        <v>54000</v>
      </c>
      <c r="J126" s="233">
        <f t="shared" ref="J126:L126" si="173">J127+J128</f>
        <v>0</v>
      </c>
      <c r="K126" s="233">
        <f t="shared" ref="K126" si="174">K127+K128</f>
        <v>0</v>
      </c>
      <c r="L126" s="233">
        <f t="shared" si="173"/>
        <v>0</v>
      </c>
      <c r="M126" s="232">
        <f t="shared" si="88"/>
        <v>54000</v>
      </c>
      <c r="N126" s="233">
        <v>54000</v>
      </c>
      <c r="O126" s="233">
        <f t="shared" ref="O126:Q126" si="175">O127+O128</f>
        <v>0</v>
      </c>
      <c r="P126" s="233">
        <f t="shared" ref="P126" si="176">P127+P128</f>
        <v>0</v>
      </c>
      <c r="Q126" s="233">
        <f t="shared" si="175"/>
        <v>0</v>
      </c>
      <c r="R126" s="232">
        <f t="shared" si="89"/>
        <v>54000</v>
      </c>
    </row>
    <row r="127" spans="1:18" s="89" customFormat="1" ht="12" hidden="1" customHeight="1">
      <c r="A127" s="132">
        <v>3000</v>
      </c>
      <c r="B127" s="101" t="s">
        <v>111</v>
      </c>
      <c r="C127" s="245"/>
      <c r="D127" s="345">
        <v>0</v>
      </c>
      <c r="E127" s="246"/>
      <c r="F127" s="246"/>
      <c r="G127" s="246"/>
      <c r="H127" s="232">
        <f t="shared" si="87"/>
        <v>0</v>
      </c>
      <c r="I127" s="345">
        <v>0</v>
      </c>
      <c r="J127" s="246"/>
      <c r="K127" s="246"/>
      <c r="L127" s="246"/>
      <c r="M127" s="232">
        <f t="shared" si="88"/>
        <v>0</v>
      </c>
      <c r="N127" s="345">
        <v>0</v>
      </c>
      <c r="O127" s="246"/>
      <c r="P127" s="246"/>
      <c r="Q127" s="246"/>
      <c r="R127" s="232">
        <f t="shared" si="89"/>
        <v>0</v>
      </c>
    </row>
    <row r="128" spans="1:18" s="89" customFormat="1" ht="12">
      <c r="A128" s="132">
        <v>6000</v>
      </c>
      <c r="B128" s="101" t="s">
        <v>112</v>
      </c>
      <c r="C128" s="247">
        <v>54000</v>
      </c>
      <c r="D128" s="346">
        <v>54000</v>
      </c>
      <c r="E128" s="248"/>
      <c r="F128" s="248"/>
      <c r="G128" s="248"/>
      <c r="H128" s="232">
        <f t="shared" si="87"/>
        <v>54000</v>
      </c>
      <c r="I128" s="346">
        <v>54000</v>
      </c>
      <c r="J128" s="248"/>
      <c r="K128" s="248"/>
      <c r="L128" s="248"/>
      <c r="M128" s="232">
        <f t="shared" si="88"/>
        <v>54000</v>
      </c>
      <c r="N128" s="346">
        <v>54000</v>
      </c>
      <c r="O128" s="248"/>
      <c r="P128" s="248"/>
      <c r="Q128" s="248"/>
      <c r="R128" s="232">
        <f t="shared" si="89"/>
        <v>54000</v>
      </c>
    </row>
    <row r="129" spans="1:18" s="89" customFormat="1" ht="22.8" hidden="1" customHeight="1">
      <c r="A129" s="140" t="s">
        <v>113</v>
      </c>
      <c r="B129" s="100" t="s">
        <v>183</v>
      </c>
      <c r="C129" s="232">
        <v>0</v>
      </c>
      <c r="D129" s="233">
        <v>0</v>
      </c>
      <c r="E129" s="233">
        <f t="shared" ref="E129:G129" si="177">E130+E131</f>
        <v>0</v>
      </c>
      <c r="F129" s="233">
        <f t="shared" ref="F129" si="178">F130+F131</f>
        <v>0</v>
      </c>
      <c r="G129" s="233">
        <f t="shared" si="177"/>
        <v>0</v>
      </c>
      <c r="H129" s="232">
        <f t="shared" si="87"/>
        <v>0</v>
      </c>
      <c r="I129" s="233">
        <v>0</v>
      </c>
      <c r="J129" s="233">
        <f t="shared" ref="J129:L129" si="179">J130+J131</f>
        <v>0</v>
      </c>
      <c r="K129" s="233">
        <f t="shared" ref="K129" si="180">K130+K131</f>
        <v>0</v>
      </c>
      <c r="L129" s="233">
        <f t="shared" si="179"/>
        <v>0</v>
      </c>
      <c r="M129" s="232">
        <f t="shared" si="88"/>
        <v>0</v>
      </c>
      <c r="N129" s="233">
        <v>0</v>
      </c>
      <c r="O129" s="233">
        <f t="shared" ref="O129:Q129" si="181">O130+O131</f>
        <v>0</v>
      </c>
      <c r="P129" s="233">
        <f t="shared" ref="P129" si="182">P130+P131</f>
        <v>0</v>
      </c>
      <c r="Q129" s="233">
        <f t="shared" si="181"/>
        <v>0</v>
      </c>
      <c r="R129" s="232">
        <f t="shared" si="89"/>
        <v>0</v>
      </c>
    </row>
    <row r="130" spans="1:18" s="89" customFormat="1" ht="12" hidden="1" customHeight="1">
      <c r="A130" s="132">
        <v>7600</v>
      </c>
      <c r="B130" s="249" t="s">
        <v>184</v>
      </c>
      <c r="C130" s="232"/>
      <c r="D130" s="233">
        <v>0</v>
      </c>
      <c r="E130" s="244"/>
      <c r="F130" s="244"/>
      <c r="G130" s="244"/>
      <c r="H130" s="232">
        <f t="shared" si="87"/>
        <v>0</v>
      </c>
      <c r="I130" s="233">
        <v>0</v>
      </c>
      <c r="J130" s="244"/>
      <c r="K130" s="244"/>
      <c r="L130" s="244"/>
      <c r="M130" s="232">
        <f t="shared" si="88"/>
        <v>0</v>
      </c>
      <c r="N130" s="233">
        <v>0</v>
      </c>
      <c r="O130" s="244"/>
      <c r="P130" s="244"/>
      <c r="Q130" s="244"/>
      <c r="R130" s="232">
        <f t="shared" si="89"/>
        <v>0</v>
      </c>
    </row>
    <row r="131" spans="1:18" s="89" customFormat="1" ht="12" hidden="1" customHeight="1">
      <c r="A131" s="132">
        <v>7700</v>
      </c>
      <c r="B131" s="250" t="s">
        <v>114</v>
      </c>
      <c r="C131" s="232"/>
      <c r="D131" s="233">
        <v>0</v>
      </c>
      <c r="E131" s="244"/>
      <c r="F131" s="244"/>
      <c r="G131" s="244"/>
      <c r="H131" s="232">
        <f t="shared" si="87"/>
        <v>0</v>
      </c>
      <c r="I131" s="233">
        <v>0</v>
      </c>
      <c r="J131" s="244"/>
      <c r="K131" s="244"/>
      <c r="L131" s="244"/>
      <c r="M131" s="232">
        <f t="shared" si="88"/>
        <v>0</v>
      </c>
      <c r="N131" s="233">
        <v>0</v>
      </c>
      <c r="O131" s="244"/>
      <c r="P131" s="244"/>
      <c r="Q131" s="244"/>
      <c r="R131" s="232">
        <f t="shared" si="89"/>
        <v>0</v>
      </c>
    </row>
    <row r="132" spans="1:18" s="89" customFormat="1" ht="20.399999999999999" hidden="1" customHeight="1">
      <c r="A132" s="140" t="s">
        <v>185</v>
      </c>
      <c r="B132" s="100" t="s">
        <v>115</v>
      </c>
      <c r="C132" s="232">
        <v>0</v>
      </c>
      <c r="D132" s="233">
        <v>0</v>
      </c>
      <c r="E132" s="233">
        <f t="shared" ref="E132:G132" si="183">E133+E139+E143+E146</f>
        <v>0</v>
      </c>
      <c r="F132" s="233">
        <f t="shared" ref="F132" si="184">F133+F139+F143+F146</f>
        <v>0</v>
      </c>
      <c r="G132" s="233">
        <f t="shared" si="183"/>
        <v>0</v>
      </c>
      <c r="H132" s="232">
        <f t="shared" si="87"/>
        <v>0</v>
      </c>
      <c r="I132" s="233">
        <v>0</v>
      </c>
      <c r="J132" s="233">
        <f t="shared" ref="J132:L132" si="185">J133+J139+J143+J146</f>
        <v>0</v>
      </c>
      <c r="K132" s="233">
        <f t="shared" ref="K132" si="186">K133+K139+K143+K146</f>
        <v>0</v>
      </c>
      <c r="L132" s="233">
        <f t="shared" si="185"/>
        <v>0</v>
      </c>
      <c r="M132" s="232">
        <f t="shared" si="88"/>
        <v>0</v>
      </c>
      <c r="N132" s="233">
        <v>0</v>
      </c>
      <c r="O132" s="233">
        <f t="shared" ref="O132:Q132" si="187">O133+O139+O143+O146</f>
        <v>0</v>
      </c>
      <c r="P132" s="233">
        <f t="shared" ref="P132" si="188">P133+P139+P143+P146</f>
        <v>0</v>
      </c>
      <c r="Q132" s="233">
        <f t="shared" si="187"/>
        <v>0</v>
      </c>
      <c r="R132" s="232">
        <f t="shared" si="89"/>
        <v>0</v>
      </c>
    </row>
    <row r="133" spans="1:18" s="89" customFormat="1" ht="12" hidden="1" customHeight="1">
      <c r="A133" s="132">
        <v>7100</v>
      </c>
      <c r="B133" s="249" t="s">
        <v>116</v>
      </c>
      <c r="C133" s="232">
        <v>0</v>
      </c>
      <c r="D133" s="233">
        <v>0</v>
      </c>
      <c r="E133" s="233">
        <f t="shared" ref="E133:G133" si="189">E134+E135</f>
        <v>0</v>
      </c>
      <c r="F133" s="233">
        <f t="shared" ref="F133" si="190">F134+F135</f>
        <v>0</v>
      </c>
      <c r="G133" s="233">
        <f t="shared" si="189"/>
        <v>0</v>
      </c>
      <c r="H133" s="232">
        <f t="shared" si="87"/>
        <v>0</v>
      </c>
      <c r="I133" s="233">
        <v>0</v>
      </c>
      <c r="J133" s="233">
        <f t="shared" ref="J133:L133" si="191">J134+J135</f>
        <v>0</v>
      </c>
      <c r="K133" s="233">
        <f t="shared" ref="K133" si="192">K134+K135</f>
        <v>0</v>
      </c>
      <c r="L133" s="233">
        <f t="shared" si="191"/>
        <v>0</v>
      </c>
      <c r="M133" s="232">
        <f t="shared" si="88"/>
        <v>0</v>
      </c>
      <c r="N133" s="233">
        <v>0</v>
      </c>
      <c r="O133" s="233">
        <f t="shared" ref="O133:Q133" si="193">O134+O135</f>
        <v>0</v>
      </c>
      <c r="P133" s="233">
        <f t="shared" ref="P133" si="194">P134+P135</f>
        <v>0</v>
      </c>
      <c r="Q133" s="233">
        <f t="shared" si="193"/>
        <v>0</v>
      </c>
      <c r="R133" s="232">
        <f t="shared" si="89"/>
        <v>0</v>
      </c>
    </row>
    <row r="134" spans="1:18" s="89" customFormat="1" ht="24" hidden="1" customHeight="1">
      <c r="A134" s="234" t="s">
        <v>117</v>
      </c>
      <c r="B134" s="249" t="s">
        <v>118</v>
      </c>
      <c r="C134" s="232"/>
      <c r="D134" s="233">
        <v>0</v>
      </c>
      <c r="E134" s="233"/>
      <c r="F134" s="233"/>
      <c r="G134" s="233"/>
      <c r="H134" s="232">
        <f t="shared" si="87"/>
        <v>0</v>
      </c>
      <c r="I134" s="233">
        <v>0</v>
      </c>
      <c r="J134" s="233"/>
      <c r="K134" s="233"/>
      <c r="L134" s="233"/>
      <c r="M134" s="232">
        <f t="shared" si="88"/>
        <v>0</v>
      </c>
      <c r="N134" s="233">
        <v>0</v>
      </c>
      <c r="O134" s="233"/>
      <c r="P134" s="233"/>
      <c r="Q134" s="233"/>
      <c r="R134" s="232">
        <f t="shared" si="89"/>
        <v>0</v>
      </c>
    </row>
    <row r="135" spans="1:18" s="89" customFormat="1" ht="24" hidden="1" customHeight="1">
      <c r="A135" s="234">
        <v>7130</v>
      </c>
      <c r="B135" s="249" t="s">
        <v>119</v>
      </c>
      <c r="C135" s="232">
        <v>0</v>
      </c>
      <c r="D135" s="233">
        <v>0</v>
      </c>
      <c r="E135" s="233">
        <f t="shared" ref="E135:G135" si="195">SUM(E136:E138)</f>
        <v>0</v>
      </c>
      <c r="F135" s="233">
        <f t="shared" ref="F135" si="196">SUM(F136:F138)</f>
        <v>0</v>
      </c>
      <c r="G135" s="233">
        <f t="shared" si="195"/>
        <v>0</v>
      </c>
      <c r="H135" s="232">
        <f t="shared" si="87"/>
        <v>0</v>
      </c>
      <c r="I135" s="233">
        <v>0</v>
      </c>
      <c r="J135" s="233">
        <f t="shared" ref="J135:L135" si="197">SUM(J136:J138)</f>
        <v>0</v>
      </c>
      <c r="K135" s="233">
        <f t="shared" ref="K135" si="198">SUM(K136:K138)</f>
        <v>0</v>
      </c>
      <c r="L135" s="233">
        <f t="shared" si="197"/>
        <v>0</v>
      </c>
      <c r="M135" s="232">
        <f t="shared" si="88"/>
        <v>0</v>
      </c>
      <c r="N135" s="233">
        <v>0</v>
      </c>
      <c r="O135" s="233">
        <f t="shared" ref="O135:Q135" si="199">SUM(O136:O138)</f>
        <v>0</v>
      </c>
      <c r="P135" s="233">
        <f t="shared" ref="P135" si="200">SUM(P136:P138)</f>
        <v>0</v>
      </c>
      <c r="Q135" s="233">
        <f t="shared" si="199"/>
        <v>0</v>
      </c>
      <c r="R135" s="232">
        <f t="shared" si="89"/>
        <v>0</v>
      </c>
    </row>
    <row r="136" spans="1:18" s="89" customFormat="1" ht="36" hidden="1" customHeight="1">
      <c r="A136" s="236">
        <v>7131</v>
      </c>
      <c r="B136" s="249" t="s">
        <v>120</v>
      </c>
      <c r="C136" s="232"/>
      <c r="D136" s="233">
        <v>0</v>
      </c>
      <c r="E136" s="233"/>
      <c r="F136" s="233"/>
      <c r="G136" s="233"/>
      <c r="H136" s="232">
        <f t="shared" si="87"/>
        <v>0</v>
      </c>
      <c r="I136" s="233">
        <v>0</v>
      </c>
      <c r="J136" s="233"/>
      <c r="K136" s="233"/>
      <c r="L136" s="233"/>
      <c r="M136" s="232">
        <f t="shared" si="88"/>
        <v>0</v>
      </c>
      <c r="N136" s="233">
        <v>0</v>
      </c>
      <c r="O136" s="233"/>
      <c r="P136" s="233"/>
      <c r="Q136" s="233"/>
      <c r="R136" s="232">
        <f t="shared" si="89"/>
        <v>0</v>
      </c>
    </row>
    <row r="137" spans="1:18" s="29" customFormat="1" ht="36" hidden="1" customHeight="1">
      <c r="A137" s="236">
        <v>7132</v>
      </c>
      <c r="B137" s="249" t="s">
        <v>121</v>
      </c>
      <c r="C137" s="232"/>
      <c r="D137" s="233">
        <v>0</v>
      </c>
      <c r="E137" s="233"/>
      <c r="F137" s="233"/>
      <c r="G137" s="233"/>
      <c r="H137" s="232">
        <f t="shared" si="87"/>
        <v>0</v>
      </c>
      <c r="I137" s="233">
        <v>0</v>
      </c>
      <c r="J137" s="233"/>
      <c r="K137" s="233"/>
      <c r="L137" s="233"/>
      <c r="M137" s="232">
        <f t="shared" si="88"/>
        <v>0</v>
      </c>
      <c r="N137" s="233">
        <v>0</v>
      </c>
      <c r="O137" s="233"/>
      <c r="P137" s="233"/>
      <c r="Q137" s="233"/>
      <c r="R137" s="232">
        <f t="shared" si="89"/>
        <v>0</v>
      </c>
    </row>
    <row r="138" spans="1:18" s="29" customFormat="1" ht="24" hidden="1" customHeight="1">
      <c r="A138" s="236" t="s">
        <v>186</v>
      </c>
      <c r="B138" s="249" t="s">
        <v>187</v>
      </c>
      <c r="C138" s="232"/>
      <c r="D138" s="233">
        <v>0</v>
      </c>
      <c r="E138" s="233"/>
      <c r="F138" s="233"/>
      <c r="G138" s="233"/>
      <c r="H138" s="232">
        <f t="shared" ref="H138:H201" si="201">SUM(D138:G138)</f>
        <v>0</v>
      </c>
      <c r="I138" s="233">
        <v>0</v>
      </c>
      <c r="J138" s="233"/>
      <c r="K138" s="233"/>
      <c r="L138" s="233"/>
      <c r="M138" s="232">
        <f t="shared" ref="M138:M201" si="202">SUM(I138:L138)</f>
        <v>0</v>
      </c>
      <c r="N138" s="233">
        <v>0</v>
      </c>
      <c r="O138" s="233"/>
      <c r="P138" s="233"/>
      <c r="Q138" s="233"/>
      <c r="R138" s="232">
        <f t="shared" ref="R138:R201" si="203">SUM(N138:Q138)</f>
        <v>0</v>
      </c>
    </row>
    <row r="139" spans="1:18" s="29" customFormat="1" ht="24" hidden="1" customHeight="1">
      <c r="A139" s="132">
        <v>7300</v>
      </c>
      <c r="B139" s="235" t="s">
        <v>155</v>
      </c>
      <c r="C139" s="232">
        <v>0</v>
      </c>
      <c r="D139" s="233">
        <v>0</v>
      </c>
      <c r="E139" s="233">
        <f t="shared" ref="E139:G139" si="204">SUM(E140:E142)</f>
        <v>0</v>
      </c>
      <c r="F139" s="233">
        <f t="shared" ref="F139" si="205">SUM(F140:F142)</f>
        <v>0</v>
      </c>
      <c r="G139" s="233">
        <f t="shared" si="204"/>
        <v>0</v>
      </c>
      <c r="H139" s="232">
        <f t="shared" si="201"/>
        <v>0</v>
      </c>
      <c r="I139" s="233">
        <v>0</v>
      </c>
      <c r="J139" s="233">
        <f t="shared" ref="J139:L139" si="206">SUM(J140:J142)</f>
        <v>0</v>
      </c>
      <c r="K139" s="233">
        <f t="shared" ref="K139" si="207">SUM(K140:K142)</f>
        <v>0</v>
      </c>
      <c r="L139" s="233">
        <f t="shared" si="206"/>
        <v>0</v>
      </c>
      <c r="M139" s="232">
        <f t="shared" si="202"/>
        <v>0</v>
      </c>
      <c r="N139" s="233">
        <v>0</v>
      </c>
      <c r="O139" s="233">
        <f t="shared" ref="O139:Q139" si="208">SUM(O140:O142)</f>
        <v>0</v>
      </c>
      <c r="P139" s="233">
        <f t="shared" ref="P139" si="209">SUM(P140:P142)</f>
        <v>0</v>
      </c>
      <c r="Q139" s="233">
        <f t="shared" si="208"/>
        <v>0</v>
      </c>
      <c r="R139" s="232">
        <f t="shared" si="203"/>
        <v>0</v>
      </c>
    </row>
    <row r="140" spans="1:18" s="4" customFormat="1" ht="24" hidden="1" customHeight="1">
      <c r="A140" s="234" t="s">
        <v>188</v>
      </c>
      <c r="B140" s="249" t="s">
        <v>170</v>
      </c>
      <c r="C140" s="251"/>
      <c r="D140" s="252">
        <v>0</v>
      </c>
      <c r="E140" s="252"/>
      <c r="F140" s="252"/>
      <c r="G140" s="252"/>
      <c r="H140" s="232">
        <f t="shared" si="201"/>
        <v>0</v>
      </c>
      <c r="I140" s="252">
        <v>0</v>
      </c>
      <c r="J140" s="252"/>
      <c r="K140" s="252"/>
      <c r="L140" s="252"/>
      <c r="M140" s="232">
        <f t="shared" si="202"/>
        <v>0</v>
      </c>
      <c r="N140" s="252">
        <v>0</v>
      </c>
      <c r="O140" s="252"/>
      <c r="P140" s="252"/>
      <c r="Q140" s="252"/>
      <c r="R140" s="232">
        <f t="shared" si="203"/>
        <v>0</v>
      </c>
    </row>
    <row r="141" spans="1:18" ht="36" hidden="1" customHeight="1">
      <c r="A141" s="234" t="s">
        <v>189</v>
      </c>
      <c r="B141" s="249" t="s">
        <v>156</v>
      </c>
      <c r="C141" s="251"/>
      <c r="D141" s="252">
        <v>0</v>
      </c>
      <c r="E141" s="252"/>
      <c r="F141" s="252"/>
      <c r="G141" s="252"/>
      <c r="H141" s="232">
        <f t="shared" si="201"/>
        <v>0</v>
      </c>
      <c r="I141" s="252">
        <v>0</v>
      </c>
      <c r="J141" s="252"/>
      <c r="K141" s="252"/>
      <c r="L141" s="252"/>
      <c r="M141" s="232">
        <f t="shared" si="202"/>
        <v>0</v>
      </c>
      <c r="N141" s="252">
        <v>0</v>
      </c>
      <c r="O141" s="252"/>
      <c r="P141" s="252"/>
      <c r="Q141" s="252"/>
      <c r="R141" s="232">
        <f t="shared" si="203"/>
        <v>0</v>
      </c>
    </row>
    <row r="142" spans="1:18" ht="36" hidden="1" customHeight="1">
      <c r="A142" s="234">
        <v>7350</v>
      </c>
      <c r="B142" s="249" t="s">
        <v>163</v>
      </c>
      <c r="C142" s="251"/>
      <c r="D142" s="252">
        <v>0</v>
      </c>
      <c r="E142" s="252"/>
      <c r="F142" s="252"/>
      <c r="G142" s="252"/>
      <c r="H142" s="232">
        <f t="shared" si="201"/>
        <v>0</v>
      </c>
      <c r="I142" s="252">
        <v>0</v>
      </c>
      <c r="J142" s="252"/>
      <c r="K142" s="252"/>
      <c r="L142" s="252"/>
      <c r="M142" s="232">
        <f t="shared" si="202"/>
        <v>0</v>
      </c>
      <c r="N142" s="252">
        <v>0</v>
      </c>
      <c r="O142" s="252"/>
      <c r="P142" s="252"/>
      <c r="Q142" s="252"/>
      <c r="R142" s="232">
        <f t="shared" si="203"/>
        <v>0</v>
      </c>
    </row>
    <row r="143" spans="1:18" ht="24" hidden="1" customHeight="1">
      <c r="A143" s="132">
        <v>7400</v>
      </c>
      <c r="B143" s="235" t="s">
        <v>161</v>
      </c>
      <c r="C143" s="232">
        <v>0</v>
      </c>
      <c r="D143" s="233">
        <v>0</v>
      </c>
      <c r="E143" s="233">
        <f t="shared" ref="E143:G143" si="210">SUM(E144:E145)</f>
        <v>0</v>
      </c>
      <c r="F143" s="233">
        <f t="shared" ref="F143" si="211">SUM(F144:F145)</f>
        <v>0</v>
      </c>
      <c r="G143" s="233">
        <f t="shared" si="210"/>
        <v>0</v>
      </c>
      <c r="H143" s="232">
        <f t="shared" si="201"/>
        <v>0</v>
      </c>
      <c r="I143" s="233">
        <v>0</v>
      </c>
      <c r="J143" s="233">
        <f t="shared" ref="J143:L143" si="212">SUM(J144:J145)</f>
        <v>0</v>
      </c>
      <c r="K143" s="233">
        <f t="shared" ref="K143" si="213">SUM(K144:K145)</f>
        <v>0</v>
      </c>
      <c r="L143" s="233">
        <f t="shared" si="212"/>
        <v>0</v>
      </c>
      <c r="M143" s="232">
        <f t="shared" si="202"/>
        <v>0</v>
      </c>
      <c r="N143" s="233">
        <v>0</v>
      </c>
      <c r="O143" s="233">
        <f t="shared" ref="O143:Q143" si="214">SUM(O144:O145)</f>
        <v>0</v>
      </c>
      <c r="P143" s="233">
        <f t="shared" ref="P143" si="215">SUM(P144:P145)</f>
        <v>0</v>
      </c>
      <c r="Q143" s="233">
        <f t="shared" si="214"/>
        <v>0</v>
      </c>
      <c r="R143" s="232">
        <f t="shared" si="203"/>
        <v>0</v>
      </c>
    </row>
    <row r="144" spans="1:18" ht="24" hidden="1" customHeight="1">
      <c r="A144" s="234">
        <v>7460</v>
      </c>
      <c r="B144" s="235" t="s">
        <v>162</v>
      </c>
      <c r="C144" s="251"/>
      <c r="D144" s="252">
        <v>0</v>
      </c>
      <c r="E144" s="252"/>
      <c r="F144" s="252"/>
      <c r="G144" s="252"/>
      <c r="H144" s="232">
        <f t="shared" si="201"/>
        <v>0</v>
      </c>
      <c r="I144" s="252">
        <v>0</v>
      </c>
      <c r="J144" s="252"/>
      <c r="K144" s="252"/>
      <c r="L144" s="252"/>
      <c r="M144" s="232">
        <f t="shared" si="202"/>
        <v>0</v>
      </c>
      <c r="N144" s="252">
        <v>0</v>
      </c>
      <c r="O144" s="252"/>
      <c r="P144" s="252"/>
      <c r="Q144" s="252"/>
      <c r="R144" s="232">
        <f t="shared" si="203"/>
        <v>0</v>
      </c>
    </row>
    <row r="145" spans="1:18" ht="36" hidden="1" customHeight="1">
      <c r="A145" s="234">
        <v>7470</v>
      </c>
      <c r="B145" s="249" t="s">
        <v>167</v>
      </c>
      <c r="C145" s="251"/>
      <c r="D145" s="252">
        <v>0</v>
      </c>
      <c r="E145" s="252"/>
      <c r="F145" s="252"/>
      <c r="G145" s="252"/>
      <c r="H145" s="232">
        <f t="shared" si="201"/>
        <v>0</v>
      </c>
      <c r="I145" s="252">
        <v>0</v>
      </c>
      <c r="J145" s="252"/>
      <c r="K145" s="252"/>
      <c r="L145" s="252"/>
      <c r="M145" s="232">
        <f t="shared" si="202"/>
        <v>0</v>
      </c>
      <c r="N145" s="252">
        <v>0</v>
      </c>
      <c r="O145" s="252"/>
      <c r="P145" s="252"/>
      <c r="Q145" s="252"/>
      <c r="R145" s="232">
        <f t="shared" si="203"/>
        <v>0</v>
      </c>
    </row>
    <row r="146" spans="1:18" ht="12" hidden="1" customHeight="1">
      <c r="A146" s="132">
        <v>7500</v>
      </c>
      <c r="B146" s="249" t="s">
        <v>157</v>
      </c>
      <c r="C146" s="232"/>
      <c r="D146" s="233">
        <v>0</v>
      </c>
      <c r="E146" s="233"/>
      <c r="F146" s="233"/>
      <c r="G146" s="233"/>
      <c r="H146" s="232">
        <f t="shared" si="201"/>
        <v>0</v>
      </c>
      <c r="I146" s="233">
        <v>0</v>
      </c>
      <c r="J146" s="233"/>
      <c r="K146" s="233"/>
      <c r="L146" s="233"/>
      <c r="M146" s="232">
        <f t="shared" si="202"/>
        <v>0</v>
      </c>
      <c r="N146" s="233">
        <v>0</v>
      </c>
      <c r="O146" s="233"/>
      <c r="P146" s="233"/>
      <c r="Q146" s="233"/>
      <c r="R146" s="232">
        <f t="shared" si="203"/>
        <v>0</v>
      </c>
    </row>
    <row r="147" spans="1:18" s="4" customFormat="1" ht="12">
      <c r="A147" s="140" t="s">
        <v>133</v>
      </c>
      <c r="B147" s="100" t="s">
        <v>122</v>
      </c>
      <c r="C147" s="253">
        <v>18120</v>
      </c>
      <c r="D147" s="254">
        <v>18120</v>
      </c>
      <c r="E147" s="254">
        <f t="shared" ref="E147:G147" si="216">E148+E149</f>
        <v>0</v>
      </c>
      <c r="F147" s="254">
        <f t="shared" ref="F147" si="217">F148+F149</f>
        <v>0</v>
      </c>
      <c r="G147" s="254">
        <f t="shared" si="216"/>
        <v>0</v>
      </c>
      <c r="H147" s="232">
        <f t="shared" si="201"/>
        <v>18120</v>
      </c>
      <c r="I147" s="254">
        <v>18120</v>
      </c>
      <c r="J147" s="254">
        <f t="shared" ref="J147:L147" si="218">J148+J149</f>
        <v>0</v>
      </c>
      <c r="K147" s="254">
        <f t="shared" ref="K147" si="219">K148+K149</f>
        <v>0</v>
      </c>
      <c r="L147" s="254">
        <f t="shared" si="218"/>
        <v>0</v>
      </c>
      <c r="M147" s="232">
        <f t="shared" si="202"/>
        <v>18120</v>
      </c>
      <c r="N147" s="254">
        <v>18120</v>
      </c>
      <c r="O147" s="254">
        <f t="shared" ref="O147:Q147" si="220">O148+O149</f>
        <v>0</v>
      </c>
      <c r="P147" s="254">
        <f t="shared" ref="P147" si="221">P148+P149</f>
        <v>0</v>
      </c>
      <c r="Q147" s="254">
        <f t="shared" si="220"/>
        <v>0</v>
      </c>
      <c r="R147" s="232">
        <f t="shared" si="203"/>
        <v>18120</v>
      </c>
    </row>
    <row r="148" spans="1:18" s="6" customFormat="1" ht="12">
      <c r="A148" s="140">
        <v>5000</v>
      </c>
      <c r="B148" s="100" t="s">
        <v>123</v>
      </c>
      <c r="C148" s="232">
        <v>18120</v>
      </c>
      <c r="D148" s="233">
        <v>18120</v>
      </c>
      <c r="E148" s="244"/>
      <c r="F148" s="244"/>
      <c r="G148" s="244"/>
      <c r="H148" s="232">
        <f t="shared" si="201"/>
        <v>18120</v>
      </c>
      <c r="I148" s="233">
        <v>18120</v>
      </c>
      <c r="J148" s="244"/>
      <c r="K148" s="244"/>
      <c r="L148" s="244"/>
      <c r="M148" s="232">
        <f t="shared" si="202"/>
        <v>18120</v>
      </c>
      <c r="N148" s="233">
        <v>18120</v>
      </c>
      <c r="O148" s="244"/>
      <c r="P148" s="244"/>
      <c r="Q148" s="244"/>
      <c r="R148" s="232">
        <f t="shared" si="203"/>
        <v>18120</v>
      </c>
    </row>
    <row r="149" spans="1:18" s="6" customFormat="1" ht="12" hidden="1" customHeight="1">
      <c r="A149" s="140">
        <v>9000</v>
      </c>
      <c r="B149" s="255" t="s">
        <v>164</v>
      </c>
      <c r="C149" s="232">
        <v>0</v>
      </c>
      <c r="D149" s="233">
        <v>0</v>
      </c>
      <c r="E149" s="233">
        <f t="shared" ref="E149:G149" si="222">E150+E156+E160+E163</f>
        <v>0</v>
      </c>
      <c r="F149" s="233">
        <f t="shared" ref="F149" si="223">F150+F156+F160+F163</f>
        <v>0</v>
      </c>
      <c r="G149" s="233">
        <f t="shared" si="222"/>
        <v>0</v>
      </c>
      <c r="H149" s="232">
        <f t="shared" si="201"/>
        <v>0</v>
      </c>
      <c r="I149" s="233">
        <v>0</v>
      </c>
      <c r="J149" s="233">
        <f t="shared" ref="J149:L149" si="224">J150+J156+J160+J163</f>
        <v>0</v>
      </c>
      <c r="K149" s="233">
        <f t="shared" ref="K149" si="225">K150+K156+K160+K163</f>
        <v>0</v>
      </c>
      <c r="L149" s="233">
        <f t="shared" si="224"/>
        <v>0</v>
      </c>
      <c r="M149" s="232">
        <f t="shared" si="202"/>
        <v>0</v>
      </c>
      <c r="N149" s="233">
        <v>0</v>
      </c>
      <c r="O149" s="233">
        <f t="shared" ref="O149:Q149" si="226">O150+O156+O160+O163</f>
        <v>0</v>
      </c>
      <c r="P149" s="233">
        <f t="shared" ref="P149" si="227">P150+P156+P160+P163</f>
        <v>0</v>
      </c>
      <c r="Q149" s="233">
        <f t="shared" si="226"/>
        <v>0</v>
      </c>
      <c r="R149" s="232">
        <f t="shared" si="203"/>
        <v>0</v>
      </c>
    </row>
    <row r="150" spans="1:18" s="6" customFormat="1" ht="12" hidden="1" customHeight="1">
      <c r="A150" s="256">
        <v>9100</v>
      </c>
      <c r="B150" s="249" t="s">
        <v>124</v>
      </c>
      <c r="C150" s="232">
        <v>0</v>
      </c>
      <c r="D150" s="233">
        <v>0</v>
      </c>
      <c r="E150" s="233">
        <f t="shared" ref="E150:G150" si="228">SUM(E151:E152)</f>
        <v>0</v>
      </c>
      <c r="F150" s="233">
        <f t="shared" ref="F150" si="229">SUM(F151:F152)</f>
        <v>0</v>
      </c>
      <c r="G150" s="233">
        <f t="shared" si="228"/>
        <v>0</v>
      </c>
      <c r="H150" s="232">
        <f t="shared" si="201"/>
        <v>0</v>
      </c>
      <c r="I150" s="233">
        <v>0</v>
      </c>
      <c r="J150" s="233">
        <f t="shared" ref="J150:L150" si="230">SUM(J151:J152)</f>
        <v>0</v>
      </c>
      <c r="K150" s="233">
        <f t="shared" ref="K150" si="231">SUM(K151:K152)</f>
        <v>0</v>
      </c>
      <c r="L150" s="233">
        <f t="shared" si="230"/>
        <v>0</v>
      </c>
      <c r="M150" s="232">
        <f t="shared" si="202"/>
        <v>0</v>
      </c>
      <c r="N150" s="233">
        <v>0</v>
      </c>
      <c r="O150" s="233">
        <f t="shared" ref="O150:Q150" si="232">SUM(O151:O152)</f>
        <v>0</v>
      </c>
      <c r="P150" s="233">
        <f t="shared" ref="P150" si="233">SUM(P151:P152)</f>
        <v>0</v>
      </c>
      <c r="Q150" s="233">
        <f t="shared" si="232"/>
        <v>0</v>
      </c>
      <c r="R150" s="232">
        <f t="shared" si="203"/>
        <v>0</v>
      </c>
    </row>
    <row r="151" spans="1:18" s="6" customFormat="1" ht="24" hidden="1" customHeight="1">
      <c r="A151" s="234" t="s">
        <v>125</v>
      </c>
      <c r="B151" s="249" t="s">
        <v>203</v>
      </c>
      <c r="C151" s="232"/>
      <c r="D151" s="233">
        <v>0</v>
      </c>
      <c r="E151" s="233"/>
      <c r="F151" s="233"/>
      <c r="G151" s="233"/>
      <c r="H151" s="232">
        <f t="shared" si="201"/>
        <v>0</v>
      </c>
      <c r="I151" s="233">
        <v>0</v>
      </c>
      <c r="J151" s="233"/>
      <c r="K151" s="233"/>
      <c r="L151" s="233"/>
      <c r="M151" s="232">
        <f t="shared" si="202"/>
        <v>0</v>
      </c>
      <c r="N151" s="233">
        <v>0</v>
      </c>
      <c r="O151" s="233"/>
      <c r="P151" s="233"/>
      <c r="Q151" s="233"/>
      <c r="R151" s="232">
        <f t="shared" si="203"/>
        <v>0</v>
      </c>
    </row>
    <row r="152" spans="1:18" s="6" customFormat="1" ht="24" hidden="1" customHeight="1">
      <c r="A152" s="234">
        <v>9140</v>
      </c>
      <c r="B152" s="249" t="s">
        <v>204</v>
      </c>
      <c r="C152" s="232">
        <v>0</v>
      </c>
      <c r="D152" s="233">
        <v>0</v>
      </c>
      <c r="E152" s="233">
        <f t="shared" ref="E152:G152" si="234">SUM(E153:E155)</f>
        <v>0</v>
      </c>
      <c r="F152" s="233">
        <f t="shared" ref="F152" si="235">SUM(F153:F155)</f>
        <v>0</v>
      </c>
      <c r="G152" s="233">
        <f t="shared" si="234"/>
        <v>0</v>
      </c>
      <c r="H152" s="232">
        <f t="shared" si="201"/>
        <v>0</v>
      </c>
      <c r="I152" s="233">
        <v>0</v>
      </c>
      <c r="J152" s="233">
        <f t="shared" ref="J152:L152" si="236">SUM(J153:J155)</f>
        <v>0</v>
      </c>
      <c r="K152" s="233">
        <f t="shared" ref="K152" si="237">SUM(K153:K155)</f>
        <v>0</v>
      </c>
      <c r="L152" s="233">
        <f t="shared" si="236"/>
        <v>0</v>
      </c>
      <c r="M152" s="232">
        <f t="shared" si="202"/>
        <v>0</v>
      </c>
      <c r="N152" s="233">
        <v>0</v>
      </c>
      <c r="O152" s="233">
        <f t="shared" ref="O152:Q152" si="238">SUM(O153:O155)</f>
        <v>0</v>
      </c>
      <c r="P152" s="233">
        <f t="shared" ref="P152" si="239">SUM(P153:P155)</f>
        <v>0</v>
      </c>
      <c r="Q152" s="233">
        <f t="shared" si="238"/>
        <v>0</v>
      </c>
      <c r="R152" s="232">
        <f t="shared" si="203"/>
        <v>0</v>
      </c>
    </row>
    <row r="153" spans="1:18" s="6" customFormat="1" ht="36" hidden="1" customHeight="1">
      <c r="A153" s="236">
        <v>9141</v>
      </c>
      <c r="B153" s="235" t="s">
        <v>190</v>
      </c>
      <c r="C153" s="251"/>
      <c r="D153" s="252">
        <v>0</v>
      </c>
      <c r="E153" s="252"/>
      <c r="F153" s="252"/>
      <c r="G153" s="252"/>
      <c r="H153" s="232">
        <f t="shared" si="201"/>
        <v>0</v>
      </c>
      <c r="I153" s="252">
        <v>0</v>
      </c>
      <c r="J153" s="252"/>
      <c r="K153" s="252"/>
      <c r="L153" s="252"/>
      <c r="M153" s="232">
        <f t="shared" si="202"/>
        <v>0</v>
      </c>
      <c r="N153" s="252">
        <v>0</v>
      </c>
      <c r="O153" s="252"/>
      <c r="P153" s="252"/>
      <c r="Q153" s="252"/>
      <c r="R153" s="232">
        <f t="shared" si="203"/>
        <v>0</v>
      </c>
    </row>
    <row r="154" spans="1:18" s="6" customFormat="1" ht="36" hidden="1" customHeight="1">
      <c r="A154" s="236">
        <v>9142</v>
      </c>
      <c r="B154" s="235" t="s">
        <v>191</v>
      </c>
      <c r="C154" s="251"/>
      <c r="D154" s="252">
        <v>0</v>
      </c>
      <c r="E154" s="252"/>
      <c r="F154" s="252"/>
      <c r="G154" s="252"/>
      <c r="H154" s="232">
        <f t="shared" si="201"/>
        <v>0</v>
      </c>
      <c r="I154" s="252">
        <v>0</v>
      </c>
      <c r="J154" s="252"/>
      <c r="K154" s="252"/>
      <c r="L154" s="252"/>
      <c r="M154" s="232">
        <f t="shared" si="202"/>
        <v>0</v>
      </c>
      <c r="N154" s="252">
        <v>0</v>
      </c>
      <c r="O154" s="252"/>
      <c r="P154" s="252"/>
      <c r="Q154" s="252"/>
      <c r="R154" s="232">
        <f t="shared" si="203"/>
        <v>0</v>
      </c>
    </row>
    <row r="155" spans="1:18" s="6" customFormat="1" ht="24" hidden="1" customHeight="1">
      <c r="A155" s="236">
        <v>9149</v>
      </c>
      <c r="B155" s="235" t="s">
        <v>192</v>
      </c>
      <c r="C155" s="251"/>
      <c r="D155" s="252">
        <v>0</v>
      </c>
      <c r="E155" s="252"/>
      <c r="F155" s="252"/>
      <c r="G155" s="252"/>
      <c r="H155" s="232">
        <f t="shared" si="201"/>
        <v>0</v>
      </c>
      <c r="I155" s="252">
        <v>0</v>
      </c>
      <c r="J155" s="252"/>
      <c r="K155" s="252"/>
      <c r="L155" s="252"/>
      <c r="M155" s="232">
        <f t="shared" si="202"/>
        <v>0</v>
      </c>
      <c r="N155" s="252">
        <v>0</v>
      </c>
      <c r="O155" s="252"/>
      <c r="P155" s="252"/>
      <c r="Q155" s="252"/>
      <c r="R155" s="232">
        <f t="shared" si="203"/>
        <v>0</v>
      </c>
    </row>
    <row r="156" spans="1:18" s="6" customFormat="1" ht="24" hidden="1" customHeight="1">
      <c r="A156" s="256">
        <v>9500</v>
      </c>
      <c r="B156" s="235" t="s">
        <v>165</v>
      </c>
      <c r="C156" s="232">
        <v>0</v>
      </c>
      <c r="D156" s="233">
        <v>0</v>
      </c>
      <c r="E156" s="233">
        <f t="shared" ref="E156:G156" si="240">SUM(E157:E159)</f>
        <v>0</v>
      </c>
      <c r="F156" s="233">
        <f t="shared" ref="F156" si="241">SUM(F157:F159)</f>
        <v>0</v>
      </c>
      <c r="G156" s="233">
        <f t="shared" si="240"/>
        <v>0</v>
      </c>
      <c r="H156" s="232">
        <f t="shared" si="201"/>
        <v>0</v>
      </c>
      <c r="I156" s="233">
        <v>0</v>
      </c>
      <c r="J156" s="233">
        <f t="shared" ref="J156:L156" si="242">SUM(J157:J159)</f>
        <v>0</v>
      </c>
      <c r="K156" s="233">
        <f t="shared" ref="K156" si="243">SUM(K157:K159)</f>
        <v>0</v>
      </c>
      <c r="L156" s="233">
        <f t="shared" si="242"/>
        <v>0</v>
      </c>
      <c r="M156" s="232">
        <f t="shared" si="202"/>
        <v>0</v>
      </c>
      <c r="N156" s="233">
        <v>0</v>
      </c>
      <c r="O156" s="233">
        <f t="shared" ref="O156:Q156" si="244">SUM(O157:O159)</f>
        <v>0</v>
      </c>
      <c r="P156" s="233">
        <f t="shared" ref="P156" si="245">SUM(P157:P159)</f>
        <v>0</v>
      </c>
      <c r="Q156" s="233">
        <f t="shared" si="244"/>
        <v>0</v>
      </c>
      <c r="R156" s="232">
        <f t="shared" si="203"/>
        <v>0</v>
      </c>
    </row>
    <row r="157" spans="1:18" s="6" customFormat="1" ht="24" hidden="1" customHeight="1">
      <c r="A157" s="234" t="s">
        <v>193</v>
      </c>
      <c r="B157" s="235" t="s">
        <v>171</v>
      </c>
      <c r="C157" s="232"/>
      <c r="D157" s="233">
        <v>0</v>
      </c>
      <c r="E157" s="233"/>
      <c r="F157" s="233"/>
      <c r="G157" s="233"/>
      <c r="H157" s="232">
        <f t="shared" si="201"/>
        <v>0</v>
      </c>
      <c r="I157" s="233">
        <v>0</v>
      </c>
      <c r="J157" s="233"/>
      <c r="K157" s="233"/>
      <c r="L157" s="233"/>
      <c r="M157" s="232">
        <f t="shared" si="202"/>
        <v>0</v>
      </c>
      <c r="N157" s="233">
        <v>0</v>
      </c>
      <c r="O157" s="233"/>
      <c r="P157" s="233"/>
      <c r="Q157" s="233"/>
      <c r="R157" s="232">
        <f t="shared" si="203"/>
        <v>0</v>
      </c>
    </row>
    <row r="158" spans="1:18" s="6" customFormat="1" ht="36" hidden="1" customHeight="1">
      <c r="A158" s="234">
        <v>9580</v>
      </c>
      <c r="B158" s="235" t="s">
        <v>166</v>
      </c>
      <c r="C158" s="251"/>
      <c r="D158" s="252">
        <v>0</v>
      </c>
      <c r="E158" s="252"/>
      <c r="F158" s="252"/>
      <c r="G158" s="252"/>
      <c r="H158" s="232">
        <f t="shared" si="201"/>
        <v>0</v>
      </c>
      <c r="I158" s="252">
        <v>0</v>
      </c>
      <c r="J158" s="252"/>
      <c r="K158" s="252"/>
      <c r="L158" s="252"/>
      <c r="M158" s="232">
        <f t="shared" si="202"/>
        <v>0</v>
      </c>
      <c r="N158" s="252">
        <v>0</v>
      </c>
      <c r="O158" s="252"/>
      <c r="P158" s="252"/>
      <c r="Q158" s="252"/>
      <c r="R158" s="232">
        <f t="shared" si="203"/>
        <v>0</v>
      </c>
    </row>
    <row r="159" spans="1:18" s="6" customFormat="1" ht="36" hidden="1" customHeight="1">
      <c r="A159" s="234">
        <v>9590</v>
      </c>
      <c r="B159" s="249" t="s">
        <v>172</v>
      </c>
      <c r="C159" s="251"/>
      <c r="D159" s="252">
        <v>0</v>
      </c>
      <c r="E159" s="252"/>
      <c r="F159" s="252"/>
      <c r="G159" s="252"/>
      <c r="H159" s="232">
        <f t="shared" si="201"/>
        <v>0</v>
      </c>
      <c r="I159" s="252">
        <v>0</v>
      </c>
      <c r="J159" s="252"/>
      <c r="K159" s="252"/>
      <c r="L159" s="252"/>
      <c r="M159" s="232">
        <f t="shared" si="202"/>
        <v>0</v>
      </c>
      <c r="N159" s="252">
        <v>0</v>
      </c>
      <c r="O159" s="252"/>
      <c r="P159" s="252"/>
      <c r="Q159" s="252"/>
      <c r="R159" s="232">
        <f t="shared" si="203"/>
        <v>0</v>
      </c>
    </row>
    <row r="160" spans="1:18" s="6" customFormat="1" ht="24" hidden="1" customHeight="1">
      <c r="A160" s="256">
        <v>9700</v>
      </c>
      <c r="B160" s="257" t="s">
        <v>194</v>
      </c>
      <c r="C160" s="232">
        <v>0</v>
      </c>
      <c r="D160" s="233">
        <v>0</v>
      </c>
      <c r="E160" s="233">
        <f t="shared" ref="E160:G160" si="246">SUM(E161:E162)</f>
        <v>0</v>
      </c>
      <c r="F160" s="233">
        <f t="shared" ref="F160" si="247">SUM(F161:F162)</f>
        <v>0</v>
      </c>
      <c r="G160" s="233">
        <f t="shared" si="246"/>
        <v>0</v>
      </c>
      <c r="H160" s="232">
        <f t="shared" si="201"/>
        <v>0</v>
      </c>
      <c r="I160" s="233">
        <v>0</v>
      </c>
      <c r="J160" s="233">
        <f t="shared" ref="J160:L160" si="248">SUM(J161:J162)</f>
        <v>0</v>
      </c>
      <c r="K160" s="233">
        <f t="shared" ref="K160" si="249">SUM(K161:K162)</f>
        <v>0</v>
      </c>
      <c r="L160" s="233">
        <f t="shared" si="248"/>
        <v>0</v>
      </c>
      <c r="M160" s="232">
        <f t="shared" si="202"/>
        <v>0</v>
      </c>
      <c r="N160" s="233">
        <v>0</v>
      </c>
      <c r="O160" s="233">
        <f t="shared" ref="O160:Q160" si="250">SUM(O161:O162)</f>
        <v>0</v>
      </c>
      <c r="P160" s="233">
        <f t="shared" ref="P160" si="251">SUM(P161:P162)</f>
        <v>0</v>
      </c>
      <c r="Q160" s="233">
        <f t="shared" si="250"/>
        <v>0</v>
      </c>
      <c r="R160" s="232">
        <f t="shared" si="203"/>
        <v>0</v>
      </c>
    </row>
    <row r="161" spans="1:18" s="6" customFormat="1" ht="12" hidden="1" customHeight="1">
      <c r="A161" s="234">
        <v>9710</v>
      </c>
      <c r="B161" s="258" t="s">
        <v>195</v>
      </c>
      <c r="C161" s="251"/>
      <c r="D161" s="252">
        <v>0</v>
      </c>
      <c r="E161" s="252"/>
      <c r="F161" s="252"/>
      <c r="G161" s="252"/>
      <c r="H161" s="232">
        <f t="shared" si="201"/>
        <v>0</v>
      </c>
      <c r="I161" s="252">
        <v>0</v>
      </c>
      <c r="J161" s="252"/>
      <c r="K161" s="252"/>
      <c r="L161" s="252"/>
      <c r="M161" s="232">
        <f t="shared" si="202"/>
        <v>0</v>
      </c>
      <c r="N161" s="252">
        <v>0</v>
      </c>
      <c r="O161" s="252"/>
      <c r="P161" s="252"/>
      <c r="Q161" s="252"/>
      <c r="R161" s="232">
        <f t="shared" si="203"/>
        <v>0</v>
      </c>
    </row>
    <row r="162" spans="1:18" s="6" customFormat="1" ht="36" hidden="1" customHeight="1">
      <c r="A162" s="259">
        <v>9720</v>
      </c>
      <c r="B162" s="257" t="s">
        <v>196</v>
      </c>
      <c r="C162" s="251"/>
      <c r="D162" s="252">
        <v>0</v>
      </c>
      <c r="E162" s="252"/>
      <c r="F162" s="252"/>
      <c r="G162" s="252"/>
      <c r="H162" s="232">
        <f t="shared" si="201"/>
        <v>0</v>
      </c>
      <c r="I162" s="252">
        <v>0</v>
      </c>
      <c r="J162" s="252"/>
      <c r="K162" s="252"/>
      <c r="L162" s="252"/>
      <c r="M162" s="232">
        <f t="shared" si="202"/>
        <v>0</v>
      </c>
      <c r="N162" s="252">
        <v>0</v>
      </c>
      <c r="O162" s="252"/>
      <c r="P162" s="252"/>
      <c r="Q162" s="252"/>
      <c r="R162" s="232">
        <f t="shared" si="203"/>
        <v>0</v>
      </c>
    </row>
    <row r="163" spans="1:18" s="6" customFormat="1" ht="24" hidden="1" customHeight="1">
      <c r="A163" s="256">
        <v>9600</v>
      </c>
      <c r="B163" s="249" t="s">
        <v>134</v>
      </c>
      <c r="C163" s="251"/>
      <c r="D163" s="252">
        <v>0</v>
      </c>
      <c r="E163" s="252"/>
      <c r="F163" s="252"/>
      <c r="G163" s="252"/>
      <c r="H163" s="232">
        <f t="shared" si="201"/>
        <v>0</v>
      </c>
      <c r="I163" s="252">
        <v>0</v>
      </c>
      <c r="J163" s="252"/>
      <c r="K163" s="252"/>
      <c r="L163" s="252"/>
      <c r="M163" s="232">
        <f t="shared" si="202"/>
        <v>0</v>
      </c>
      <c r="N163" s="252">
        <v>0</v>
      </c>
      <c r="O163" s="252"/>
      <c r="P163" s="252"/>
      <c r="Q163" s="252"/>
      <c r="R163" s="232">
        <f t="shared" si="203"/>
        <v>0</v>
      </c>
    </row>
    <row r="164" spans="1:18" s="6" customFormat="1" ht="30.6" hidden="1" customHeight="1">
      <c r="A164" s="130" t="s">
        <v>197</v>
      </c>
      <c r="B164" s="260" t="s">
        <v>47</v>
      </c>
      <c r="C164" s="261"/>
      <c r="D164" s="262">
        <v>0</v>
      </c>
      <c r="E164" s="262">
        <f t="shared" ref="E164:G164" si="252">E94-E119</f>
        <v>0</v>
      </c>
      <c r="F164" s="262">
        <f t="shared" ref="F164" si="253">F94-F119</f>
        <v>0</v>
      </c>
      <c r="G164" s="262">
        <f t="shared" si="252"/>
        <v>0</v>
      </c>
      <c r="H164" s="232">
        <f t="shared" si="201"/>
        <v>0</v>
      </c>
      <c r="I164" s="262">
        <v>0</v>
      </c>
      <c r="J164" s="262">
        <f t="shared" ref="J164:L164" si="254">J94-J119</f>
        <v>0</v>
      </c>
      <c r="K164" s="262">
        <f t="shared" ref="K164" si="255">K94-K119</f>
        <v>0</v>
      </c>
      <c r="L164" s="262">
        <f t="shared" si="254"/>
        <v>0</v>
      </c>
      <c r="M164" s="232">
        <f t="shared" si="202"/>
        <v>0</v>
      </c>
      <c r="N164" s="262">
        <v>0</v>
      </c>
      <c r="O164" s="262">
        <f t="shared" ref="O164:Q164" si="256">O94-O119</f>
        <v>0</v>
      </c>
      <c r="P164" s="262">
        <f t="shared" ref="P164" si="257">P94-P119</f>
        <v>0</v>
      </c>
      <c r="Q164" s="262">
        <f t="shared" si="256"/>
        <v>0</v>
      </c>
      <c r="R164" s="232">
        <f t="shared" si="203"/>
        <v>0</v>
      </c>
    </row>
    <row r="165" spans="1:18" s="6" customFormat="1" ht="12" hidden="1" customHeight="1">
      <c r="A165" s="263" t="s">
        <v>48</v>
      </c>
      <c r="B165" s="260" t="s">
        <v>49</v>
      </c>
      <c r="C165" s="261">
        <v>0</v>
      </c>
      <c r="D165" s="262">
        <v>0</v>
      </c>
      <c r="E165" s="262">
        <f t="shared" ref="E165:G165" si="258">E166+E169+E173+E172</f>
        <v>0</v>
      </c>
      <c r="F165" s="262">
        <f t="shared" ref="F165" si="259">F166+F169+F173+F172</f>
        <v>0</v>
      </c>
      <c r="G165" s="262">
        <f t="shared" si="258"/>
        <v>0</v>
      </c>
      <c r="H165" s="232">
        <f t="shared" si="201"/>
        <v>0</v>
      </c>
      <c r="I165" s="262">
        <v>0</v>
      </c>
      <c r="J165" s="262">
        <f t="shared" ref="J165:L165" si="260">J166+J169+J173+J172</f>
        <v>0</v>
      </c>
      <c r="K165" s="262">
        <f t="shared" ref="K165" si="261">K166+K169+K173+K172</f>
        <v>0</v>
      </c>
      <c r="L165" s="262">
        <f t="shared" si="260"/>
        <v>0</v>
      </c>
      <c r="M165" s="232">
        <f t="shared" si="202"/>
        <v>0</v>
      </c>
      <c r="N165" s="262">
        <v>0</v>
      </c>
      <c r="O165" s="262">
        <f t="shared" ref="O165:Q165" si="262">O166+O169+O173+O172</f>
        <v>0</v>
      </c>
      <c r="P165" s="262">
        <f t="shared" ref="P165" si="263">P166+P169+P173+P172</f>
        <v>0</v>
      </c>
      <c r="Q165" s="262">
        <f t="shared" si="262"/>
        <v>0</v>
      </c>
      <c r="R165" s="232">
        <f t="shared" si="203"/>
        <v>0</v>
      </c>
    </row>
    <row r="166" spans="1:18" s="6" customFormat="1" ht="12" hidden="1" customHeight="1">
      <c r="A166" s="256" t="s">
        <v>50</v>
      </c>
      <c r="B166" s="249" t="s">
        <v>51</v>
      </c>
      <c r="C166" s="230">
        <v>0</v>
      </c>
      <c r="D166" s="231">
        <v>0</v>
      </c>
      <c r="E166" s="231">
        <f t="shared" ref="E166:G166" si="264">E167+E168</f>
        <v>0</v>
      </c>
      <c r="F166" s="231">
        <f t="shared" ref="F166" si="265">F167+F168</f>
        <v>0</v>
      </c>
      <c r="G166" s="231">
        <f t="shared" si="264"/>
        <v>0</v>
      </c>
      <c r="H166" s="232">
        <f t="shared" si="201"/>
        <v>0</v>
      </c>
      <c r="I166" s="231">
        <v>0</v>
      </c>
      <c r="J166" s="231">
        <f t="shared" ref="J166:L166" si="266">J167+J168</f>
        <v>0</v>
      </c>
      <c r="K166" s="231">
        <f t="shared" ref="K166" si="267">K167+K168</f>
        <v>0</v>
      </c>
      <c r="L166" s="231">
        <f t="shared" si="266"/>
        <v>0</v>
      </c>
      <c r="M166" s="232">
        <f t="shared" si="202"/>
        <v>0</v>
      </c>
      <c r="N166" s="231">
        <v>0</v>
      </c>
      <c r="O166" s="231">
        <f t="shared" ref="O166:Q166" si="268">O167+O168</f>
        <v>0</v>
      </c>
      <c r="P166" s="231">
        <f t="shared" ref="P166" si="269">P167+P168</f>
        <v>0</v>
      </c>
      <c r="Q166" s="231">
        <f t="shared" si="268"/>
        <v>0</v>
      </c>
      <c r="R166" s="232">
        <f t="shared" si="203"/>
        <v>0</v>
      </c>
    </row>
    <row r="167" spans="1:18" s="6" customFormat="1" ht="12" hidden="1" customHeight="1">
      <c r="A167" s="256" t="s">
        <v>52</v>
      </c>
      <c r="B167" s="249" t="s">
        <v>53</v>
      </c>
      <c r="C167" s="230"/>
      <c r="D167" s="231">
        <v>0</v>
      </c>
      <c r="E167" s="231"/>
      <c r="F167" s="231"/>
      <c r="G167" s="231"/>
      <c r="H167" s="232">
        <f t="shared" si="201"/>
        <v>0</v>
      </c>
      <c r="I167" s="231">
        <v>0</v>
      </c>
      <c r="J167" s="231"/>
      <c r="K167" s="231"/>
      <c r="L167" s="231"/>
      <c r="M167" s="232">
        <f t="shared" si="202"/>
        <v>0</v>
      </c>
      <c r="N167" s="231">
        <v>0</v>
      </c>
      <c r="O167" s="231"/>
      <c r="P167" s="231"/>
      <c r="Q167" s="231"/>
      <c r="R167" s="232">
        <f t="shared" si="203"/>
        <v>0</v>
      </c>
    </row>
    <row r="168" spans="1:18" s="6" customFormat="1" ht="12" hidden="1" customHeight="1">
      <c r="A168" s="256" t="s">
        <v>54</v>
      </c>
      <c r="B168" s="249" t="s">
        <v>55</v>
      </c>
      <c r="C168" s="230"/>
      <c r="D168" s="231">
        <v>0</v>
      </c>
      <c r="E168" s="231"/>
      <c r="F168" s="231"/>
      <c r="G168" s="231"/>
      <c r="H168" s="232">
        <f t="shared" si="201"/>
        <v>0</v>
      </c>
      <c r="I168" s="231">
        <v>0</v>
      </c>
      <c r="J168" s="231"/>
      <c r="K168" s="231"/>
      <c r="L168" s="231"/>
      <c r="M168" s="232">
        <f t="shared" si="202"/>
        <v>0</v>
      </c>
      <c r="N168" s="231">
        <v>0</v>
      </c>
      <c r="O168" s="231"/>
      <c r="P168" s="231"/>
      <c r="Q168" s="231"/>
      <c r="R168" s="232">
        <f t="shared" si="203"/>
        <v>0</v>
      </c>
    </row>
    <row r="169" spans="1:18" s="6" customFormat="1" ht="12" hidden="1" customHeight="1">
      <c r="A169" s="256" t="s">
        <v>56</v>
      </c>
      <c r="B169" s="249" t="s">
        <v>57</v>
      </c>
      <c r="C169" s="230">
        <v>0</v>
      </c>
      <c r="D169" s="231">
        <v>0</v>
      </c>
      <c r="E169" s="231">
        <f t="shared" ref="E169:G169" si="270">E170+E171</f>
        <v>0</v>
      </c>
      <c r="F169" s="231">
        <f t="shared" ref="F169" si="271">F170+F171</f>
        <v>0</v>
      </c>
      <c r="G169" s="231">
        <f t="shared" si="270"/>
        <v>0</v>
      </c>
      <c r="H169" s="232">
        <f t="shared" si="201"/>
        <v>0</v>
      </c>
      <c r="I169" s="231">
        <v>0</v>
      </c>
      <c r="J169" s="231">
        <f t="shared" ref="J169:L169" si="272">J170+J171</f>
        <v>0</v>
      </c>
      <c r="K169" s="231">
        <f t="shared" ref="K169" si="273">K170+K171</f>
        <v>0</v>
      </c>
      <c r="L169" s="231">
        <f t="shared" si="272"/>
        <v>0</v>
      </c>
      <c r="M169" s="232">
        <f t="shared" si="202"/>
        <v>0</v>
      </c>
      <c r="N169" s="231">
        <v>0</v>
      </c>
      <c r="O169" s="231">
        <f t="shared" ref="O169:Q169" si="274">O170+O171</f>
        <v>0</v>
      </c>
      <c r="P169" s="231">
        <f t="shared" ref="P169" si="275">P170+P171</f>
        <v>0</v>
      </c>
      <c r="Q169" s="231">
        <f t="shared" si="274"/>
        <v>0</v>
      </c>
      <c r="R169" s="232">
        <f t="shared" si="203"/>
        <v>0</v>
      </c>
    </row>
    <row r="170" spans="1:18" s="6" customFormat="1" ht="12" hidden="1" customHeight="1">
      <c r="A170" s="256" t="s">
        <v>58</v>
      </c>
      <c r="B170" s="249" t="s">
        <v>59</v>
      </c>
      <c r="C170" s="230"/>
      <c r="D170" s="231">
        <v>0</v>
      </c>
      <c r="E170" s="231"/>
      <c r="F170" s="231"/>
      <c r="G170" s="231"/>
      <c r="H170" s="232">
        <f t="shared" si="201"/>
        <v>0</v>
      </c>
      <c r="I170" s="231">
        <v>0</v>
      </c>
      <c r="J170" s="231"/>
      <c r="K170" s="231"/>
      <c r="L170" s="231"/>
      <c r="M170" s="232">
        <f t="shared" si="202"/>
        <v>0</v>
      </c>
      <c r="N170" s="231">
        <v>0</v>
      </c>
      <c r="O170" s="231"/>
      <c r="P170" s="231"/>
      <c r="Q170" s="231"/>
      <c r="R170" s="232">
        <f t="shared" si="203"/>
        <v>0</v>
      </c>
    </row>
    <row r="171" spans="1:18" s="6" customFormat="1" ht="12" hidden="1" customHeight="1">
      <c r="A171" s="256" t="s">
        <v>60</v>
      </c>
      <c r="B171" s="249" t="s">
        <v>61</v>
      </c>
      <c r="C171" s="230"/>
      <c r="D171" s="231">
        <v>0</v>
      </c>
      <c r="E171" s="231"/>
      <c r="F171" s="231"/>
      <c r="G171" s="231"/>
      <c r="H171" s="232">
        <f t="shared" si="201"/>
        <v>0</v>
      </c>
      <c r="I171" s="231">
        <v>0</v>
      </c>
      <c r="J171" s="231"/>
      <c r="K171" s="231"/>
      <c r="L171" s="231"/>
      <c r="M171" s="232">
        <f t="shared" si="202"/>
        <v>0</v>
      </c>
      <c r="N171" s="231">
        <v>0</v>
      </c>
      <c r="O171" s="231"/>
      <c r="P171" s="231"/>
      <c r="Q171" s="231"/>
      <c r="R171" s="232">
        <f t="shared" si="203"/>
        <v>0</v>
      </c>
    </row>
    <row r="172" spans="1:18" s="6" customFormat="1" ht="12" hidden="1" customHeight="1">
      <c r="A172" s="256" t="s">
        <v>198</v>
      </c>
      <c r="B172" s="264" t="s">
        <v>168</v>
      </c>
      <c r="C172" s="230"/>
      <c r="D172" s="231">
        <v>0</v>
      </c>
      <c r="E172" s="231"/>
      <c r="F172" s="231"/>
      <c r="G172" s="231"/>
      <c r="H172" s="232">
        <f t="shared" si="201"/>
        <v>0</v>
      </c>
      <c r="I172" s="231">
        <v>0</v>
      </c>
      <c r="J172" s="231"/>
      <c r="K172" s="231"/>
      <c r="L172" s="231"/>
      <c r="M172" s="232">
        <f t="shared" si="202"/>
        <v>0</v>
      </c>
      <c r="N172" s="231">
        <v>0</v>
      </c>
      <c r="O172" s="231"/>
      <c r="P172" s="231"/>
      <c r="Q172" s="231"/>
      <c r="R172" s="232">
        <f t="shared" si="203"/>
        <v>0</v>
      </c>
    </row>
    <row r="173" spans="1:18" s="6" customFormat="1" ht="12" hidden="1" customHeight="1">
      <c r="A173" s="144" t="s">
        <v>62</v>
      </c>
      <c r="B173" s="101" t="s">
        <v>63</v>
      </c>
      <c r="C173" s="232">
        <v>0</v>
      </c>
      <c r="D173" s="233">
        <v>0</v>
      </c>
      <c r="E173" s="233">
        <f t="shared" ref="E173:G173" si="276">E174+E175+E176</f>
        <v>0</v>
      </c>
      <c r="F173" s="233">
        <f t="shared" ref="F173" si="277">F174+F175+F176</f>
        <v>0</v>
      </c>
      <c r="G173" s="233">
        <f t="shared" si="276"/>
        <v>0</v>
      </c>
      <c r="H173" s="232">
        <f t="shared" si="201"/>
        <v>0</v>
      </c>
      <c r="I173" s="233">
        <v>0</v>
      </c>
      <c r="J173" s="233">
        <f t="shared" ref="J173:L173" si="278">J174+J175+J176</f>
        <v>0</v>
      </c>
      <c r="K173" s="233">
        <f t="shared" ref="K173" si="279">K174+K175+K176</f>
        <v>0</v>
      </c>
      <c r="L173" s="233">
        <f t="shared" si="278"/>
        <v>0</v>
      </c>
      <c r="M173" s="232">
        <f t="shared" si="202"/>
        <v>0</v>
      </c>
      <c r="N173" s="233">
        <v>0</v>
      </c>
      <c r="O173" s="233">
        <f t="shared" ref="O173:Q173" si="280">O174+O175+O176</f>
        <v>0</v>
      </c>
      <c r="P173" s="233">
        <f t="shared" ref="P173" si="281">P174+P175+P176</f>
        <v>0</v>
      </c>
      <c r="Q173" s="233">
        <f t="shared" si="280"/>
        <v>0</v>
      </c>
      <c r="R173" s="232">
        <f t="shared" si="203"/>
        <v>0</v>
      </c>
    </row>
    <row r="174" spans="1:18" s="6" customFormat="1" ht="24" hidden="1" customHeight="1">
      <c r="A174" s="144" t="s">
        <v>64</v>
      </c>
      <c r="B174" s="249" t="s">
        <v>65</v>
      </c>
      <c r="C174" s="230"/>
      <c r="D174" s="231">
        <v>0</v>
      </c>
      <c r="E174" s="231"/>
      <c r="F174" s="231"/>
      <c r="G174" s="231"/>
      <c r="H174" s="232">
        <f t="shared" si="201"/>
        <v>0</v>
      </c>
      <c r="I174" s="231">
        <v>0</v>
      </c>
      <c r="J174" s="231"/>
      <c r="K174" s="231"/>
      <c r="L174" s="231"/>
      <c r="M174" s="232">
        <f t="shared" si="202"/>
        <v>0</v>
      </c>
      <c r="N174" s="231">
        <v>0</v>
      </c>
      <c r="O174" s="231"/>
      <c r="P174" s="231"/>
      <c r="Q174" s="231"/>
      <c r="R174" s="232">
        <f t="shared" si="203"/>
        <v>0</v>
      </c>
    </row>
    <row r="175" spans="1:18" s="6" customFormat="1" ht="24" hidden="1" customHeight="1">
      <c r="A175" s="144" t="s">
        <v>66</v>
      </c>
      <c r="B175" s="249" t="s">
        <v>67</v>
      </c>
      <c r="C175" s="230"/>
      <c r="D175" s="231">
        <v>0</v>
      </c>
      <c r="E175" s="231"/>
      <c r="F175" s="231"/>
      <c r="G175" s="231"/>
      <c r="H175" s="232">
        <f t="shared" si="201"/>
        <v>0</v>
      </c>
      <c r="I175" s="231">
        <v>0</v>
      </c>
      <c r="J175" s="231"/>
      <c r="K175" s="231"/>
      <c r="L175" s="231"/>
      <c r="M175" s="232">
        <f t="shared" si="202"/>
        <v>0</v>
      </c>
      <c r="N175" s="231">
        <v>0</v>
      </c>
      <c r="O175" s="231"/>
      <c r="P175" s="231"/>
      <c r="Q175" s="231"/>
      <c r="R175" s="232">
        <f t="shared" si="203"/>
        <v>0</v>
      </c>
    </row>
    <row r="176" spans="1:18" s="6" customFormat="1" ht="24" hidden="1" customHeight="1">
      <c r="A176" s="144" t="s">
        <v>68</v>
      </c>
      <c r="B176" s="101" t="s">
        <v>69</v>
      </c>
      <c r="C176" s="230"/>
      <c r="D176" s="231">
        <v>0</v>
      </c>
      <c r="E176" s="231"/>
      <c r="F176" s="231"/>
      <c r="G176" s="231"/>
      <c r="H176" s="232">
        <f t="shared" si="201"/>
        <v>0</v>
      </c>
      <c r="I176" s="231">
        <v>0</v>
      </c>
      <c r="J176" s="231"/>
      <c r="K176" s="231"/>
      <c r="L176" s="231"/>
      <c r="M176" s="232">
        <f t="shared" si="202"/>
        <v>0</v>
      </c>
      <c r="N176" s="231">
        <v>0</v>
      </c>
      <c r="O176" s="231"/>
      <c r="P176" s="231"/>
      <c r="Q176" s="231"/>
      <c r="R176" s="232">
        <f t="shared" si="203"/>
        <v>0</v>
      </c>
    </row>
    <row r="177" spans="1:18" s="6" customFormat="1" ht="22.8">
      <c r="A177" s="265"/>
      <c r="B177" s="266" t="s">
        <v>200</v>
      </c>
      <c r="C177" s="267"/>
      <c r="D177" s="347">
        <v>0</v>
      </c>
      <c r="E177" s="268"/>
      <c r="F177" s="268"/>
      <c r="G177" s="268"/>
      <c r="H177" s="269">
        <f t="shared" si="201"/>
        <v>0</v>
      </c>
      <c r="I177" s="347">
        <v>0</v>
      </c>
      <c r="J177" s="268"/>
      <c r="K177" s="268"/>
      <c r="L177" s="268"/>
      <c r="M177" s="269">
        <f t="shared" si="202"/>
        <v>0</v>
      </c>
      <c r="N177" s="347">
        <v>0</v>
      </c>
      <c r="O177" s="268"/>
      <c r="P177" s="268"/>
      <c r="Q177" s="268"/>
      <c r="R177" s="269">
        <f t="shared" si="203"/>
        <v>0</v>
      </c>
    </row>
    <row r="178" spans="1:18" s="6" customFormat="1" ht="20.399999999999999">
      <c r="A178" s="129" t="s">
        <v>201</v>
      </c>
      <c r="B178" s="99" t="s">
        <v>88</v>
      </c>
      <c r="C178" s="227">
        <v>0</v>
      </c>
      <c r="D178" s="228">
        <v>0</v>
      </c>
      <c r="E178" s="228">
        <f t="shared" ref="E178:G178" si="282">E179+E180+E182+E200</f>
        <v>0</v>
      </c>
      <c r="F178" s="228">
        <f t="shared" ref="F178" si="283">F179+F180+F182+F200</f>
        <v>0</v>
      </c>
      <c r="G178" s="228">
        <f t="shared" si="282"/>
        <v>0</v>
      </c>
      <c r="H178" s="229">
        <f t="shared" si="201"/>
        <v>0</v>
      </c>
      <c r="I178" s="228">
        <v>0</v>
      </c>
      <c r="J178" s="228">
        <f t="shared" ref="J178:L178" si="284">J179+J180+J182+J200</f>
        <v>0</v>
      </c>
      <c r="K178" s="228">
        <f t="shared" ref="K178" si="285">K179+K180+K182+K200</f>
        <v>0</v>
      </c>
      <c r="L178" s="228">
        <f t="shared" si="284"/>
        <v>0</v>
      </c>
      <c r="M178" s="229">
        <f t="shared" si="202"/>
        <v>0</v>
      </c>
      <c r="N178" s="228">
        <v>0</v>
      </c>
      <c r="O178" s="228">
        <f t="shared" ref="O178:Q178" si="286">O179+O180+O182+O200</f>
        <v>0</v>
      </c>
      <c r="P178" s="228">
        <f t="shared" ref="P178" si="287">P179+P180+P182+P200</f>
        <v>0</v>
      </c>
      <c r="Q178" s="228">
        <f t="shared" si="286"/>
        <v>0</v>
      </c>
      <c r="R178" s="229">
        <f t="shared" si="203"/>
        <v>0</v>
      </c>
    </row>
    <row r="179" spans="1:18" s="6" customFormat="1" ht="22.8">
      <c r="A179" s="130" t="s">
        <v>177</v>
      </c>
      <c r="B179" s="100" t="s">
        <v>90</v>
      </c>
      <c r="C179" s="230"/>
      <c r="D179" s="231">
        <v>0</v>
      </c>
      <c r="E179" s="231"/>
      <c r="F179" s="231"/>
      <c r="G179" s="231"/>
      <c r="H179" s="232">
        <f t="shared" si="201"/>
        <v>0</v>
      </c>
      <c r="I179" s="231">
        <v>0</v>
      </c>
      <c r="J179" s="231"/>
      <c r="K179" s="231"/>
      <c r="L179" s="231"/>
      <c r="M179" s="232">
        <f t="shared" si="202"/>
        <v>0</v>
      </c>
      <c r="N179" s="231">
        <v>0</v>
      </c>
      <c r="O179" s="231"/>
      <c r="P179" s="231"/>
      <c r="Q179" s="231"/>
      <c r="R179" s="232">
        <f t="shared" si="203"/>
        <v>0</v>
      </c>
    </row>
    <row r="180" spans="1:18" s="6" customFormat="1" ht="12">
      <c r="A180" s="130" t="s">
        <v>91</v>
      </c>
      <c r="B180" s="100" t="s">
        <v>92</v>
      </c>
      <c r="C180" s="230"/>
      <c r="D180" s="231">
        <v>0</v>
      </c>
      <c r="E180" s="231"/>
      <c r="F180" s="231"/>
      <c r="G180" s="231"/>
      <c r="H180" s="232">
        <f t="shared" si="201"/>
        <v>0</v>
      </c>
      <c r="I180" s="231">
        <v>0</v>
      </c>
      <c r="J180" s="231"/>
      <c r="K180" s="231"/>
      <c r="L180" s="231"/>
      <c r="M180" s="232">
        <f t="shared" si="202"/>
        <v>0</v>
      </c>
      <c r="N180" s="231">
        <v>0</v>
      </c>
      <c r="O180" s="231"/>
      <c r="P180" s="231"/>
      <c r="Q180" s="231"/>
      <c r="R180" s="232">
        <f t="shared" si="203"/>
        <v>0</v>
      </c>
    </row>
    <row r="181" spans="1:18" s="29" customFormat="1" ht="12">
      <c r="A181" s="131">
        <v>21210</v>
      </c>
      <c r="B181" s="101" t="s">
        <v>93</v>
      </c>
      <c r="C181" s="230"/>
      <c r="D181" s="231">
        <v>0</v>
      </c>
      <c r="E181" s="231"/>
      <c r="F181" s="231"/>
      <c r="G181" s="231"/>
      <c r="H181" s="232">
        <f t="shared" si="201"/>
        <v>0</v>
      </c>
      <c r="I181" s="231">
        <v>0</v>
      </c>
      <c r="J181" s="231"/>
      <c r="K181" s="231"/>
      <c r="L181" s="231"/>
      <c r="M181" s="232">
        <f t="shared" si="202"/>
        <v>0</v>
      </c>
      <c r="N181" s="231">
        <v>0</v>
      </c>
      <c r="O181" s="231"/>
      <c r="P181" s="231"/>
      <c r="Q181" s="231"/>
      <c r="R181" s="232">
        <f t="shared" si="203"/>
        <v>0</v>
      </c>
    </row>
    <row r="182" spans="1:18" s="89" customFormat="1" ht="20.399999999999999">
      <c r="A182" s="130" t="s">
        <v>178</v>
      </c>
      <c r="B182" s="100" t="s">
        <v>94</v>
      </c>
      <c r="C182" s="232">
        <v>0</v>
      </c>
      <c r="D182" s="233">
        <v>0</v>
      </c>
      <c r="E182" s="233">
        <f t="shared" ref="E182:G182" si="288">E183+E189</f>
        <v>0</v>
      </c>
      <c r="F182" s="233">
        <f t="shared" ref="F182" si="289">F183+F189</f>
        <v>0</v>
      </c>
      <c r="G182" s="233">
        <f t="shared" si="288"/>
        <v>0</v>
      </c>
      <c r="H182" s="232">
        <f t="shared" si="201"/>
        <v>0</v>
      </c>
      <c r="I182" s="233">
        <v>0</v>
      </c>
      <c r="J182" s="233">
        <f t="shared" ref="J182:L182" si="290">J183+J189</f>
        <v>0</v>
      </c>
      <c r="K182" s="233">
        <f t="shared" ref="K182" si="291">K183+K189</f>
        <v>0</v>
      </c>
      <c r="L182" s="233">
        <f t="shared" si="290"/>
        <v>0</v>
      </c>
      <c r="M182" s="232">
        <f t="shared" si="202"/>
        <v>0</v>
      </c>
      <c r="N182" s="233">
        <v>0</v>
      </c>
      <c r="O182" s="233">
        <f t="shared" ref="O182:Q182" si="292">O183+O189</f>
        <v>0</v>
      </c>
      <c r="P182" s="233">
        <f t="shared" ref="P182" si="293">P183+P189</f>
        <v>0</v>
      </c>
      <c r="Q182" s="233">
        <f t="shared" si="292"/>
        <v>0</v>
      </c>
      <c r="R182" s="232">
        <f t="shared" si="203"/>
        <v>0</v>
      </c>
    </row>
    <row r="183" spans="1:18" s="89" customFormat="1" ht="12">
      <c r="A183" s="132">
        <v>18000</v>
      </c>
      <c r="B183" s="101" t="s">
        <v>95</v>
      </c>
      <c r="C183" s="232">
        <v>0</v>
      </c>
      <c r="D183" s="233">
        <v>0</v>
      </c>
      <c r="E183" s="233">
        <f t="shared" ref="E183:L184" si="294">E184</f>
        <v>0</v>
      </c>
      <c r="F183" s="233">
        <f t="shared" si="294"/>
        <v>0</v>
      </c>
      <c r="G183" s="233">
        <f t="shared" si="294"/>
        <v>0</v>
      </c>
      <c r="H183" s="232">
        <f t="shared" si="201"/>
        <v>0</v>
      </c>
      <c r="I183" s="233">
        <v>0</v>
      </c>
      <c r="J183" s="233">
        <f t="shared" si="294"/>
        <v>0</v>
      </c>
      <c r="K183" s="233">
        <f t="shared" si="294"/>
        <v>0</v>
      </c>
      <c r="L183" s="233">
        <f t="shared" si="294"/>
        <v>0</v>
      </c>
      <c r="M183" s="232">
        <f t="shared" si="202"/>
        <v>0</v>
      </c>
      <c r="N183" s="233">
        <v>0</v>
      </c>
      <c r="O183" s="233">
        <f t="shared" ref="O183:Q184" si="295">O184</f>
        <v>0</v>
      </c>
      <c r="P183" s="233">
        <f t="shared" si="295"/>
        <v>0</v>
      </c>
      <c r="Q183" s="233">
        <f t="shared" si="295"/>
        <v>0</v>
      </c>
      <c r="R183" s="232">
        <f t="shared" si="203"/>
        <v>0</v>
      </c>
    </row>
    <row r="184" spans="1:18" s="89" customFormat="1" ht="12">
      <c r="A184" s="132">
        <v>18100</v>
      </c>
      <c r="B184" s="101" t="s">
        <v>96</v>
      </c>
      <c r="C184" s="232">
        <v>0</v>
      </c>
      <c r="D184" s="233">
        <v>0</v>
      </c>
      <c r="E184" s="233">
        <f t="shared" si="294"/>
        <v>0</v>
      </c>
      <c r="F184" s="233">
        <f t="shared" si="294"/>
        <v>0</v>
      </c>
      <c r="G184" s="233">
        <f t="shared" si="294"/>
        <v>0</v>
      </c>
      <c r="H184" s="232">
        <f t="shared" si="201"/>
        <v>0</v>
      </c>
      <c r="I184" s="233">
        <v>0</v>
      </c>
      <c r="J184" s="233">
        <f t="shared" si="294"/>
        <v>0</v>
      </c>
      <c r="K184" s="233">
        <f t="shared" si="294"/>
        <v>0</v>
      </c>
      <c r="L184" s="233">
        <f t="shared" si="294"/>
        <v>0</v>
      </c>
      <c r="M184" s="232">
        <f t="shared" si="202"/>
        <v>0</v>
      </c>
      <c r="N184" s="233">
        <v>0</v>
      </c>
      <c r="O184" s="233">
        <f t="shared" si="295"/>
        <v>0</v>
      </c>
      <c r="P184" s="233">
        <f t="shared" si="295"/>
        <v>0</v>
      </c>
      <c r="Q184" s="233">
        <f t="shared" si="295"/>
        <v>0</v>
      </c>
      <c r="R184" s="232">
        <f t="shared" si="203"/>
        <v>0</v>
      </c>
    </row>
    <row r="185" spans="1:18" s="89" customFormat="1" ht="24">
      <c r="A185" s="234">
        <v>18130</v>
      </c>
      <c r="B185" s="235" t="s">
        <v>159</v>
      </c>
      <c r="C185" s="232">
        <v>0</v>
      </c>
      <c r="D185" s="233">
        <v>0</v>
      </c>
      <c r="E185" s="233">
        <f t="shared" ref="E185:G185" si="296">SUM(E186:E188)</f>
        <v>0</v>
      </c>
      <c r="F185" s="233">
        <f t="shared" ref="F185" si="297">SUM(F186:F188)</f>
        <v>0</v>
      </c>
      <c r="G185" s="233">
        <f t="shared" si="296"/>
        <v>0</v>
      </c>
      <c r="H185" s="232">
        <f t="shared" si="201"/>
        <v>0</v>
      </c>
      <c r="I185" s="233">
        <v>0</v>
      </c>
      <c r="J185" s="233">
        <f t="shared" ref="J185:L185" si="298">SUM(J186:J188)</f>
        <v>0</v>
      </c>
      <c r="K185" s="233">
        <f t="shared" ref="K185" si="299">SUM(K186:K188)</f>
        <v>0</v>
      </c>
      <c r="L185" s="233">
        <f t="shared" si="298"/>
        <v>0</v>
      </c>
      <c r="M185" s="232">
        <f t="shared" si="202"/>
        <v>0</v>
      </c>
      <c r="N185" s="233">
        <v>0</v>
      </c>
      <c r="O185" s="233">
        <f t="shared" ref="O185:Q185" si="300">SUM(O186:O188)</f>
        <v>0</v>
      </c>
      <c r="P185" s="233">
        <f t="shared" ref="P185" si="301">SUM(P186:P188)</f>
        <v>0</v>
      </c>
      <c r="Q185" s="233">
        <f t="shared" si="300"/>
        <v>0</v>
      </c>
      <c r="R185" s="232">
        <f t="shared" si="203"/>
        <v>0</v>
      </c>
    </row>
    <row r="186" spans="1:18" s="89" customFormat="1" ht="24">
      <c r="A186" s="236">
        <v>18131</v>
      </c>
      <c r="B186" s="235" t="s">
        <v>160</v>
      </c>
      <c r="C186" s="232"/>
      <c r="D186" s="233">
        <v>0</v>
      </c>
      <c r="E186" s="233"/>
      <c r="F186" s="233"/>
      <c r="G186" s="233"/>
      <c r="H186" s="232">
        <f t="shared" si="201"/>
        <v>0</v>
      </c>
      <c r="I186" s="233">
        <v>0</v>
      </c>
      <c r="J186" s="233"/>
      <c r="K186" s="233"/>
      <c r="L186" s="233"/>
      <c r="M186" s="232">
        <f t="shared" si="202"/>
        <v>0</v>
      </c>
      <c r="N186" s="233">
        <v>0</v>
      </c>
      <c r="O186" s="233"/>
      <c r="P186" s="233"/>
      <c r="Q186" s="233"/>
      <c r="R186" s="232">
        <f t="shared" si="203"/>
        <v>0</v>
      </c>
    </row>
    <row r="187" spans="1:18" s="89" customFormat="1" ht="24">
      <c r="A187" s="236">
        <v>18132</v>
      </c>
      <c r="B187" s="235" t="s">
        <v>169</v>
      </c>
      <c r="C187" s="232"/>
      <c r="D187" s="233">
        <v>0</v>
      </c>
      <c r="E187" s="233"/>
      <c r="F187" s="233"/>
      <c r="G187" s="233"/>
      <c r="H187" s="232">
        <f t="shared" si="201"/>
        <v>0</v>
      </c>
      <c r="I187" s="233">
        <v>0</v>
      </c>
      <c r="J187" s="233"/>
      <c r="K187" s="233"/>
      <c r="L187" s="233"/>
      <c r="M187" s="232">
        <f t="shared" si="202"/>
        <v>0</v>
      </c>
      <c r="N187" s="233">
        <v>0</v>
      </c>
      <c r="O187" s="233"/>
      <c r="P187" s="233"/>
      <c r="Q187" s="233"/>
      <c r="R187" s="232">
        <f t="shared" si="203"/>
        <v>0</v>
      </c>
    </row>
    <row r="188" spans="1:18" s="89" customFormat="1" ht="24">
      <c r="A188" s="236">
        <v>18139</v>
      </c>
      <c r="B188" s="235" t="s">
        <v>179</v>
      </c>
      <c r="C188" s="232"/>
      <c r="D188" s="233">
        <v>0</v>
      </c>
      <c r="E188" s="233"/>
      <c r="F188" s="233"/>
      <c r="G188" s="233"/>
      <c r="H188" s="232">
        <f t="shared" si="201"/>
        <v>0</v>
      </c>
      <c r="I188" s="233">
        <v>0</v>
      </c>
      <c r="J188" s="233"/>
      <c r="K188" s="233"/>
      <c r="L188" s="233"/>
      <c r="M188" s="232">
        <f t="shared" si="202"/>
        <v>0</v>
      </c>
      <c r="N188" s="233">
        <v>0</v>
      </c>
      <c r="O188" s="233"/>
      <c r="P188" s="233"/>
      <c r="Q188" s="233"/>
      <c r="R188" s="232">
        <f t="shared" si="203"/>
        <v>0</v>
      </c>
    </row>
    <row r="189" spans="1:18" s="89" customFormat="1" ht="12">
      <c r="A189" s="135" t="s">
        <v>180</v>
      </c>
      <c r="B189" s="109" t="s">
        <v>173</v>
      </c>
      <c r="C189" s="237">
        <v>0</v>
      </c>
      <c r="D189" s="238">
        <v>0</v>
      </c>
      <c r="E189" s="238">
        <f t="shared" ref="E189:L189" si="302">E190</f>
        <v>0</v>
      </c>
      <c r="F189" s="238">
        <f t="shared" si="302"/>
        <v>0</v>
      </c>
      <c r="G189" s="238">
        <f t="shared" si="302"/>
        <v>0</v>
      </c>
      <c r="H189" s="232">
        <f t="shared" si="201"/>
        <v>0</v>
      </c>
      <c r="I189" s="238">
        <v>0</v>
      </c>
      <c r="J189" s="238">
        <f t="shared" si="302"/>
        <v>0</v>
      </c>
      <c r="K189" s="238">
        <f t="shared" si="302"/>
        <v>0</v>
      </c>
      <c r="L189" s="238">
        <f t="shared" si="302"/>
        <v>0</v>
      </c>
      <c r="M189" s="232">
        <f t="shared" si="202"/>
        <v>0</v>
      </c>
      <c r="N189" s="238">
        <v>0</v>
      </c>
      <c r="O189" s="238">
        <f t="shared" ref="O189:Q189" si="303">O190</f>
        <v>0</v>
      </c>
      <c r="P189" s="238">
        <f t="shared" si="303"/>
        <v>0</v>
      </c>
      <c r="Q189" s="238">
        <f t="shared" si="303"/>
        <v>0</v>
      </c>
      <c r="R189" s="232">
        <f t="shared" si="203"/>
        <v>0</v>
      </c>
    </row>
    <row r="190" spans="1:18" s="89" customFormat="1" ht="12">
      <c r="A190" s="135">
        <v>19500</v>
      </c>
      <c r="B190" s="235" t="s">
        <v>174</v>
      </c>
      <c r="C190" s="232">
        <v>0</v>
      </c>
      <c r="D190" s="233">
        <v>0</v>
      </c>
      <c r="E190" s="233">
        <f t="shared" ref="E190:G190" si="304">SUM(E191:E193)</f>
        <v>0</v>
      </c>
      <c r="F190" s="233">
        <f t="shared" ref="F190" si="305">SUM(F191:F193)</f>
        <v>0</v>
      </c>
      <c r="G190" s="233">
        <f t="shared" si="304"/>
        <v>0</v>
      </c>
      <c r="H190" s="232">
        <f t="shared" si="201"/>
        <v>0</v>
      </c>
      <c r="I190" s="233">
        <v>0</v>
      </c>
      <c r="J190" s="233">
        <f t="shared" ref="J190:L190" si="306">SUM(J191:J193)</f>
        <v>0</v>
      </c>
      <c r="K190" s="233">
        <f t="shared" ref="K190" si="307">SUM(K191:K193)</f>
        <v>0</v>
      </c>
      <c r="L190" s="233">
        <f t="shared" si="306"/>
        <v>0</v>
      </c>
      <c r="M190" s="232">
        <f t="shared" si="202"/>
        <v>0</v>
      </c>
      <c r="N190" s="233">
        <v>0</v>
      </c>
      <c r="O190" s="233">
        <f t="shared" ref="O190:Q190" si="308">SUM(O191:O193)</f>
        <v>0</v>
      </c>
      <c r="P190" s="233">
        <f t="shared" ref="P190" si="309">SUM(P191:P193)</f>
        <v>0</v>
      </c>
      <c r="Q190" s="233">
        <f t="shared" si="308"/>
        <v>0</v>
      </c>
      <c r="R190" s="232">
        <f t="shared" si="203"/>
        <v>0</v>
      </c>
    </row>
    <row r="191" spans="1:18" s="89" customFormat="1" ht="24">
      <c r="A191" s="136">
        <v>19550</v>
      </c>
      <c r="B191" s="235" t="s">
        <v>175</v>
      </c>
      <c r="C191" s="232"/>
      <c r="D191" s="233">
        <v>0</v>
      </c>
      <c r="E191" s="233"/>
      <c r="F191" s="233"/>
      <c r="G191" s="233"/>
      <c r="H191" s="232">
        <f t="shared" si="201"/>
        <v>0</v>
      </c>
      <c r="I191" s="233">
        <v>0</v>
      </c>
      <c r="J191" s="233"/>
      <c r="K191" s="233"/>
      <c r="L191" s="233"/>
      <c r="M191" s="232">
        <f t="shared" si="202"/>
        <v>0</v>
      </c>
      <c r="N191" s="233">
        <v>0</v>
      </c>
      <c r="O191" s="233"/>
      <c r="P191" s="233"/>
      <c r="Q191" s="233"/>
      <c r="R191" s="232">
        <f t="shared" si="203"/>
        <v>0</v>
      </c>
    </row>
    <row r="192" spans="1:18" s="89" customFormat="1" ht="36">
      <c r="A192" s="136">
        <v>19560</v>
      </c>
      <c r="B192" s="235" t="s">
        <v>181</v>
      </c>
      <c r="C192" s="232"/>
      <c r="D192" s="233">
        <v>0</v>
      </c>
      <c r="E192" s="233"/>
      <c r="F192" s="233"/>
      <c r="G192" s="233"/>
      <c r="H192" s="232">
        <f t="shared" si="201"/>
        <v>0</v>
      </c>
      <c r="I192" s="233">
        <v>0</v>
      </c>
      <c r="J192" s="233"/>
      <c r="K192" s="233"/>
      <c r="L192" s="233"/>
      <c r="M192" s="232">
        <f t="shared" si="202"/>
        <v>0</v>
      </c>
      <c r="N192" s="233">
        <v>0</v>
      </c>
      <c r="O192" s="233"/>
      <c r="P192" s="233"/>
      <c r="Q192" s="233"/>
      <c r="R192" s="232">
        <f t="shared" si="203"/>
        <v>0</v>
      </c>
    </row>
    <row r="193" spans="1:18" s="89" customFormat="1" ht="60">
      <c r="A193" s="136">
        <v>19570</v>
      </c>
      <c r="B193" s="235" t="s">
        <v>182</v>
      </c>
      <c r="C193" s="232"/>
      <c r="D193" s="233">
        <v>0</v>
      </c>
      <c r="E193" s="233"/>
      <c r="F193" s="233"/>
      <c r="G193" s="233"/>
      <c r="H193" s="232">
        <f t="shared" si="201"/>
        <v>0</v>
      </c>
      <c r="I193" s="233">
        <v>0</v>
      </c>
      <c r="J193" s="233"/>
      <c r="K193" s="233"/>
      <c r="L193" s="233"/>
      <c r="M193" s="232">
        <f t="shared" si="202"/>
        <v>0</v>
      </c>
      <c r="N193" s="233">
        <v>0</v>
      </c>
      <c r="O193" s="233"/>
      <c r="P193" s="233"/>
      <c r="Q193" s="233"/>
      <c r="R193" s="232">
        <f t="shared" si="203"/>
        <v>0</v>
      </c>
    </row>
    <row r="194" spans="1:18" s="6" customFormat="1" ht="24">
      <c r="A194" s="240" t="s">
        <v>222</v>
      </c>
      <c r="B194" s="241" t="s">
        <v>216</v>
      </c>
      <c r="C194" s="232">
        <f>C195</f>
        <v>0</v>
      </c>
      <c r="D194" s="233">
        <v>0</v>
      </c>
      <c r="E194" s="232">
        <f t="shared" ref="E194:L194" si="310">E195</f>
        <v>0</v>
      </c>
      <c r="F194" s="232">
        <f t="shared" si="310"/>
        <v>0</v>
      </c>
      <c r="G194" s="232">
        <f t="shared" si="310"/>
        <v>0</v>
      </c>
      <c r="H194" s="232">
        <f t="shared" si="201"/>
        <v>0</v>
      </c>
      <c r="I194" s="233">
        <v>0</v>
      </c>
      <c r="J194" s="232">
        <f t="shared" si="310"/>
        <v>0</v>
      </c>
      <c r="K194" s="232">
        <f t="shared" si="310"/>
        <v>0</v>
      </c>
      <c r="L194" s="232">
        <f t="shared" si="310"/>
        <v>0</v>
      </c>
      <c r="M194" s="232">
        <f t="shared" si="202"/>
        <v>0</v>
      </c>
      <c r="N194" s="233">
        <v>0</v>
      </c>
      <c r="O194" s="232">
        <f t="shared" ref="O194:Q194" si="311">O195</f>
        <v>0</v>
      </c>
      <c r="P194" s="232">
        <f t="shared" si="311"/>
        <v>0</v>
      </c>
      <c r="Q194" s="232">
        <f t="shared" si="311"/>
        <v>0</v>
      </c>
      <c r="R194" s="232">
        <f t="shared" si="203"/>
        <v>0</v>
      </c>
    </row>
    <row r="195" spans="1:18" s="6" customFormat="1" ht="36">
      <c r="A195" s="240">
        <v>17100</v>
      </c>
      <c r="B195" s="241" t="s">
        <v>217</v>
      </c>
      <c r="C195" s="232">
        <f>SUM(C196:C199)</f>
        <v>0</v>
      </c>
      <c r="D195" s="233">
        <v>0</v>
      </c>
      <c r="E195" s="232">
        <f t="shared" ref="E195:G195" si="312">SUM(E196:E199)</f>
        <v>0</v>
      </c>
      <c r="F195" s="232">
        <f t="shared" ref="F195" si="313">SUM(F196:F199)</f>
        <v>0</v>
      </c>
      <c r="G195" s="232">
        <f t="shared" si="312"/>
        <v>0</v>
      </c>
      <c r="H195" s="232">
        <f t="shared" si="201"/>
        <v>0</v>
      </c>
      <c r="I195" s="233">
        <v>0</v>
      </c>
      <c r="J195" s="232">
        <f t="shared" ref="J195:L195" si="314">SUM(J196:J199)</f>
        <v>0</v>
      </c>
      <c r="K195" s="232">
        <f t="shared" ref="K195" si="315">SUM(K196:K199)</f>
        <v>0</v>
      </c>
      <c r="L195" s="232">
        <f t="shared" si="314"/>
        <v>0</v>
      </c>
      <c r="M195" s="232">
        <f t="shared" si="202"/>
        <v>0</v>
      </c>
      <c r="N195" s="233">
        <v>0</v>
      </c>
      <c r="O195" s="232">
        <f t="shared" ref="O195:Q195" si="316">SUM(O196:O199)</f>
        <v>0</v>
      </c>
      <c r="P195" s="232">
        <f t="shared" ref="P195" si="317">SUM(P196:P199)</f>
        <v>0</v>
      </c>
      <c r="Q195" s="232">
        <f t="shared" si="316"/>
        <v>0</v>
      </c>
      <c r="R195" s="232">
        <f t="shared" si="203"/>
        <v>0</v>
      </c>
    </row>
    <row r="196" spans="1:18" s="6" customFormat="1" ht="48">
      <c r="A196" s="242">
        <v>17110</v>
      </c>
      <c r="B196" s="241" t="s">
        <v>218</v>
      </c>
      <c r="C196" s="232"/>
      <c r="D196" s="233">
        <v>0</v>
      </c>
      <c r="E196" s="233"/>
      <c r="F196" s="233"/>
      <c r="G196" s="233"/>
      <c r="H196" s="232">
        <f t="shared" si="201"/>
        <v>0</v>
      </c>
      <c r="I196" s="233">
        <v>0</v>
      </c>
      <c r="J196" s="233"/>
      <c r="K196" s="233"/>
      <c r="L196" s="233"/>
      <c r="M196" s="232">
        <f t="shared" si="202"/>
        <v>0</v>
      </c>
      <c r="N196" s="233">
        <v>0</v>
      </c>
      <c r="O196" s="233"/>
      <c r="P196" s="233"/>
      <c r="Q196" s="233"/>
      <c r="R196" s="232">
        <f t="shared" si="203"/>
        <v>0</v>
      </c>
    </row>
    <row r="197" spans="1:18" s="6" customFormat="1" ht="48">
      <c r="A197" s="242">
        <v>17120</v>
      </c>
      <c r="B197" s="241" t="s">
        <v>219</v>
      </c>
      <c r="C197" s="232"/>
      <c r="D197" s="233">
        <v>0</v>
      </c>
      <c r="E197" s="233"/>
      <c r="F197" s="233"/>
      <c r="G197" s="233"/>
      <c r="H197" s="232">
        <f t="shared" si="201"/>
        <v>0</v>
      </c>
      <c r="I197" s="233">
        <v>0</v>
      </c>
      <c r="J197" s="233"/>
      <c r="K197" s="233"/>
      <c r="L197" s="233"/>
      <c r="M197" s="232">
        <f t="shared" si="202"/>
        <v>0</v>
      </c>
      <c r="N197" s="233">
        <v>0</v>
      </c>
      <c r="O197" s="233"/>
      <c r="P197" s="233"/>
      <c r="Q197" s="233"/>
      <c r="R197" s="232">
        <f t="shared" si="203"/>
        <v>0</v>
      </c>
    </row>
    <row r="198" spans="1:18" s="6" customFormat="1" ht="96">
      <c r="A198" s="242">
        <v>17130</v>
      </c>
      <c r="B198" s="241" t="s">
        <v>220</v>
      </c>
      <c r="C198" s="232"/>
      <c r="D198" s="233">
        <v>0</v>
      </c>
      <c r="E198" s="233"/>
      <c r="F198" s="233"/>
      <c r="G198" s="233"/>
      <c r="H198" s="232">
        <f t="shared" si="201"/>
        <v>0</v>
      </c>
      <c r="I198" s="233">
        <v>0</v>
      </c>
      <c r="J198" s="233"/>
      <c r="K198" s="233"/>
      <c r="L198" s="233"/>
      <c r="M198" s="232">
        <f t="shared" si="202"/>
        <v>0</v>
      </c>
      <c r="N198" s="233">
        <v>0</v>
      </c>
      <c r="O198" s="233"/>
      <c r="P198" s="233"/>
      <c r="Q198" s="233"/>
      <c r="R198" s="232">
        <f t="shared" si="203"/>
        <v>0</v>
      </c>
    </row>
    <row r="199" spans="1:18" s="6" customFormat="1" ht="96">
      <c r="A199" s="242">
        <v>17140</v>
      </c>
      <c r="B199" s="241" t="s">
        <v>221</v>
      </c>
      <c r="C199" s="232"/>
      <c r="D199" s="233">
        <v>0</v>
      </c>
      <c r="E199" s="233"/>
      <c r="F199" s="233"/>
      <c r="G199" s="233"/>
      <c r="H199" s="232">
        <f t="shared" si="201"/>
        <v>0</v>
      </c>
      <c r="I199" s="233">
        <v>0</v>
      </c>
      <c r="J199" s="233"/>
      <c r="K199" s="233"/>
      <c r="L199" s="233"/>
      <c r="M199" s="232">
        <f t="shared" si="202"/>
        <v>0</v>
      </c>
      <c r="N199" s="233">
        <v>0</v>
      </c>
      <c r="O199" s="233"/>
      <c r="P199" s="233"/>
      <c r="Q199" s="233"/>
      <c r="R199" s="232">
        <f t="shared" si="203"/>
        <v>0</v>
      </c>
    </row>
    <row r="200" spans="1:18" s="89" customFormat="1" ht="12">
      <c r="A200" s="137">
        <v>21700</v>
      </c>
      <c r="B200" s="100" t="s">
        <v>97</v>
      </c>
      <c r="C200" s="232">
        <v>0</v>
      </c>
      <c r="D200" s="233">
        <v>0</v>
      </c>
      <c r="E200" s="233">
        <f t="shared" ref="E200:G200" si="318">E201+E202</f>
        <v>0</v>
      </c>
      <c r="F200" s="233">
        <f t="shared" ref="F200" si="319">F201+F202</f>
        <v>0</v>
      </c>
      <c r="G200" s="233">
        <f t="shared" si="318"/>
        <v>0</v>
      </c>
      <c r="H200" s="232">
        <f t="shared" si="201"/>
        <v>0</v>
      </c>
      <c r="I200" s="233">
        <v>0</v>
      </c>
      <c r="J200" s="233">
        <f t="shared" ref="J200:L200" si="320">J201+J202</f>
        <v>0</v>
      </c>
      <c r="K200" s="233">
        <f t="shared" ref="K200" si="321">K201+K202</f>
        <v>0</v>
      </c>
      <c r="L200" s="233">
        <f t="shared" si="320"/>
        <v>0</v>
      </c>
      <c r="M200" s="232">
        <f t="shared" si="202"/>
        <v>0</v>
      </c>
      <c r="N200" s="233">
        <v>0</v>
      </c>
      <c r="O200" s="233">
        <f t="shared" ref="O200:Q200" si="322">O201+O202</f>
        <v>0</v>
      </c>
      <c r="P200" s="233">
        <f t="shared" ref="P200" si="323">P201+P202</f>
        <v>0</v>
      </c>
      <c r="Q200" s="233">
        <f t="shared" si="322"/>
        <v>0</v>
      </c>
      <c r="R200" s="232">
        <f t="shared" si="203"/>
        <v>0</v>
      </c>
    </row>
    <row r="201" spans="1:18" s="89" customFormat="1" ht="24">
      <c r="A201" s="138">
        <v>21710</v>
      </c>
      <c r="B201" s="101" t="s">
        <v>98</v>
      </c>
      <c r="C201" s="232"/>
      <c r="D201" s="233">
        <v>0</v>
      </c>
      <c r="E201" s="233"/>
      <c r="F201" s="233"/>
      <c r="G201" s="233"/>
      <c r="H201" s="232">
        <f t="shared" si="201"/>
        <v>0</v>
      </c>
      <c r="I201" s="233">
        <v>0</v>
      </c>
      <c r="J201" s="233"/>
      <c r="K201" s="233"/>
      <c r="L201" s="233"/>
      <c r="M201" s="232">
        <f t="shared" si="202"/>
        <v>0</v>
      </c>
      <c r="N201" s="233">
        <v>0</v>
      </c>
      <c r="O201" s="233"/>
      <c r="P201" s="233"/>
      <c r="Q201" s="233"/>
      <c r="R201" s="232">
        <f t="shared" si="203"/>
        <v>0</v>
      </c>
    </row>
    <row r="202" spans="1:18" s="29" customFormat="1" ht="24">
      <c r="A202" s="138">
        <v>21720</v>
      </c>
      <c r="B202" s="101" t="s">
        <v>99</v>
      </c>
      <c r="C202" s="232"/>
      <c r="D202" s="233">
        <v>0</v>
      </c>
      <c r="E202" s="233"/>
      <c r="F202" s="233"/>
      <c r="G202" s="233"/>
      <c r="H202" s="232">
        <f t="shared" ref="H202:H260" si="324">SUM(D202:G202)</f>
        <v>0</v>
      </c>
      <c r="I202" s="233">
        <v>0</v>
      </c>
      <c r="J202" s="233"/>
      <c r="K202" s="233"/>
      <c r="L202" s="233"/>
      <c r="M202" s="232">
        <f t="shared" ref="M202:M260" si="325">SUM(I202:L202)</f>
        <v>0</v>
      </c>
      <c r="N202" s="233">
        <v>0</v>
      </c>
      <c r="O202" s="233"/>
      <c r="P202" s="233"/>
      <c r="Q202" s="233"/>
      <c r="R202" s="232">
        <f t="shared" ref="R202:R260" si="326">SUM(N202:Q202)</f>
        <v>0</v>
      </c>
    </row>
    <row r="203" spans="1:18" s="29" customFormat="1" ht="11.4">
      <c r="A203" s="129" t="s">
        <v>100</v>
      </c>
      <c r="B203" s="99" t="s">
        <v>101</v>
      </c>
      <c r="C203" s="229">
        <v>0</v>
      </c>
      <c r="D203" s="243">
        <v>0</v>
      </c>
      <c r="E203" s="243">
        <f t="shared" ref="E203:G203" si="327">E204+E231</f>
        <v>0</v>
      </c>
      <c r="F203" s="243">
        <f t="shared" ref="F203" si="328">F204+F231</f>
        <v>0</v>
      </c>
      <c r="G203" s="243">
        <f t="shared" si="327"/>
        <v>0</v>
      </c>
      <c r="H203" s="270">
        <f t="shared" si="324"/>
        <v>0</v>
      </c>
      <c r="I203" s="243">
        <v>0</v>
      </c>
      <c r="J203" s="243">
        <f t="shared" ref="J203:L203" si="329">J204+J231</f>
        <v>0</v>
      </c>
      <c r="K203" s="243">
        <f t="shared" ref="K203" si="330">K204+K231</f>
        <v>0</v>
      </c>
      <c r="L203" s="243">
        <f t="shared" si="329"/>
        <v>0</v>
      </c>
      <c r="M203" s="270">
        <f t="shared" si="325"/>
        <v>0</v>
      </c>
      <c r="N203" s="243">
        <v>0</v>
      </c>
      <c r="O203" s="243">
        <f t="shared" ref="O203:Q203" si="331">O204+O231</f>
        <v>0</v>
      </c>
      <c r="P203" s="243">
        <f t="shared" ref="P203" si="332">P204+P231</f>
        <v>0</v>
      </c>
      <c r="Q203" s="243">
        <f t="shared" si="331"/>
        <v>0</v>
      </c>
      <c r="R203" s="270">
        <f t="shared" si="326"/>
        <v>0</v>
      </c>
    </row>
    <row r="204" spans="1:18" s="29" customFormat="1" ht="20.399999999999999">
      <c r="A204" s="130" t="s">
        <v>102</v>
      </c>
      <c r="B204" s="100" t="s">
        <v>103</v>
      </c>
      <c r="C204" s="232">
        <v>0</v>
      </c>
      <c r="D204" s="233">
        <v>0</v>
      </c>
      <c r="E204" s="233">
        <f t="shared" ref="E204:G204" si="333">E205+E209+E210+E213+E216</f>
        <v>0</v>
      </c>
      <c r="F204" s="233">
        <f t="shared" ref="F204" si="334">F205+F209+F210+F213+F216</f>
        <v>0</v>
      </c>
      <c r="G204" s="233">
        <f t="shared" si="333"/>
        <v>0</v>
      </c>
      <c r="H204" s="232">
        <f t="shared" si="324"/>
        <v>0</v>
      </c>
      <c r="I204" s="233">
        <v>0</v>
      </c>
      <c r="J204" s="233">
        <f t="shared" ref="J204:L204" si="335">J205+J209+J210+J213+J216</f>
        <v>0</v>
      </c>
      <c r="K204" s="233">
        <f t="shared" ref="K204" si="336">K205+K209+K210+K213+K216</f>
        <v>0</v>
      </c>
      <c r="L204" s="233">
        <f t="shared" si="335"/>
        <v>0</v>
      </c>
      <c r="M204" s="232">
        <f t="shared" si="325"/>
        <v>0</v>
      </c>
      <c r="N204" s="233">
        <v>0</v>
      </c>
      <c r="O204" s="233">
        <f t="shared" ref="O204:Q204" si="337">O205+O209+O210+O213+O216</f>
        <v>0</v>
      </c>
      <c r="P204" s="233">
        <f t="shared" ref="P204" si="338">P205+P209+P210+P213+P216</f>
        <v>0</v>
      </c>
      <c r="Q204" s="233">
        <f t="shared" si="337"/>
        <v>0</v>
      </c>
      <c r="R204" s="232">
        <f t="shared" si="326"/>
        <v>0</v>
      </c>
    </row>
    <row r="205" spans="1:18" s="29" customFormat="1" ht="12">
      <c r="A205" s="130" t="s">
        <v>104</v>
      </c>
      <c r="B205" s="100" t="s">
        <v>105</v>
      </c>
      <c r="C205" s="232">
        <v>0</v>
      </c>
      <c r="D205" s="233">
        <v>0</v>
      </c>
      <c r="E205" s="233">
        <f t="shared" ref="E205:G205" si="339">E206+E208</f>
        <v>0</v>
      </c>
      <c r="F205" s="233">
        <f t="shared" ref="F205" si="340">F206+F208</f>
        <v>0</v>
      </c>
      <c r="G205" s="233">
        <f t="shared" si="339"/>
        <v>0</v>
      </c>
      <c r="H205" s="232">
        <f t="shared" si="324"/>
        <v>0</v>
      </c>
      <c r="I205" s="233">
        <v>0</v>
      </c>
      <c r="J205" s="233">
        <f t="shared" ref="J205:L205" si="341">J206+J208</f>
        <v>0</v>
      </c>
      <c r="K205" s="233">
        <f t="shared" ref="K205" si="342">K206+K208</f>
        <v>0</v>
      </c>
      <c r="L205" s="233">
        <f t="shared" si="341"/>
        <v>0</v>
      </c>
      <c r="M205" s="232">
        <f t="shared" si="325"/>
        <v>0</v>
      </c>
      <c r="N205" s="233">
        <v>0</v>
      </c>
      <c r="O205" s="233">
        <f t="shared" ref="O205:Q205" si="343">O206+O208</f>
        <v>0</v>
      </c>
      <c r="P205" s="233">
        <f t="shared" ref="P205" si="344">P206+P208</f>
        <v>0</v>
      </c>
      <c r="Q205" s="233">
        <f t="shared" si="343"/>
        <v>0</v>
      </c>
      <c r="R205" s="232">
        <f t="shared" si="326"/>
        <v>0</v>
      </c>
    </row>
    <row r="206" spans="1:18" s="29" customFormat="1" ht="12">
      <c r="A206" s="132">
        <v>1000</v>
      </c>
      <c r="B206" s="101" t="s">
        <v>106</v>
      </c>
      <c r="C206" s="232"/>
      <c r="D206" s="233">
        <v>0</v>
      </c>
      <c r="E206" s="244"/>
      <c r="F206" s="244"/>
      <c r="G206" s="244"/>
      <c r="H206" s="232">
        <f t="shared" si="324"/>
        <v>0</v>
      </c>
      <c r="I206" s="233">
        <v>0</v>
      </c>
      <c r="J206" s="244"/>
      <c r="K206" s="244"/>
      <c r="L206" s="244"/>
      <c r="M206" s="232">
        <f t="shared" si="325"/>
        <v>0</v>
      </c>
      <c r="N206" s="233">
        <v>0</v>
      </c>
      <c r="O206" s="244"/>
      <c r="P206" s="244"/>
      <c r="Q206" s="244"/>
      <c r="R206" s="232">
        <f t="shared" si="326"/>
        <v>0</v>
      </c>
    </row>
    <row r="207" spans="1:18" s="29" customFormat="1" ht="12">
      <c r="A207" s="139">
        <v>1100</v>
      </c>
      <c r="B207" s="101" t="s">
        <v>107</v>
      </c>
      <c r="C207" s="232"/>
      <c r="D207" s="233">
        <v>0</v>
      </c>
      <c r="E207" s="244"/>
      <c r="F207" s="244"/>
      <c r="G207" s="244"/>
      <c r="H207" s="232">
        <f t="shared" si="324"/>
        <v>0</v>
      </c>
      <c r="I207" s="233">
        <v>0</v>
      </c>
      <c r="J207" s="244"/>
      <c r="K207" s="244"/>
      <c r="L207" s="244"/>
      <c r="M207" s="232">
        <f t="shared" si="325"/>
        <v>0</v>
      </c>
      <c r="N207" s="233">
        <v>0</v>
      </c>
      <c r="O207" s="244"/>
      <c r="P207" s="244"/>
      <c r="Q207" s="244"/>
      <c r="R207" s="232">
        <f t="shared" si="326"/>
        <v>0</v>
      </c>
    </row>
    <row r="208" spans="1:18" s="29" customFormat="1" ht="12">
      <c r="A208" s="132">
        <v>2000</v>
      </c>
      <c r="B208" s="101" t="s">
        <v>108</v>
      </c>
      <c r="C208" s="232"/>
      <c r="D208" s="233">
        <v>0</v>
      </c>
      <c r="E208" s="244"/>
      <c r="F208" s="244"/>
      <c r="G208" s="244"/>
      <c r="H208" s="232">
        <f t="shared" si="324"/>
        <v>0</v>
      </c>
      <c r="I208" s="233">
        <v>0</v>
      </c>
      <c r="J208" s="244"/>
      <c r="K208" s="244"/>
      <c r="L208" s="244"/>
      <c r="M208" s="232">
        <f t="shared" si="325"/>
        <v>0</v>
      </c>
      <c r="N208" s="233">
        <v>0</v>
      </c>
      <c r="O208" s="244"/>
      <c r="P208" s="244"/>
      <c r="Q208" s="244"/>
      <c r="R208" s="232">
        <f t="shared" si="326"/>
        <v>0</v>
      </c>
    </row>
    <row r="209" spans="1:18" s="29" customFormat="1" ht="12">
      <c r="A209" s="140">
        <v>4000</v>
      </c>
      <c r="B209" s="100" t="s">
        <v>132</v>
      </c>
      <c r="C209" s="232"/>
      <c r="D209" s="233">
        <v>0</v>
      </c>
      <c r="E209" s="244"/>
      <c r="F209" s="244"/>
      <c r="G209" s="244"/>
      <c r="H209" s="232">
        <f t="shared" si="324"/>
        <v>0</v>
      </c>
      <c r="I209" s="233">
        <v>0</v>
      </c>
      <c r="J209" s="244"/>
      <c r="K209" s="244"/>
      <c r="L209" s="244"/>
      <c r="M209" s="232">
        <f t="shared" si="325"/>
        <v>0</v>
      </c>
      <c r="N209" s="233">
        <v>0</v>
      </c>
      <c r="O209" s="244"/>
      <c r="P209" s="244"/>
      <c r="Q209" s="244"/>
      <c r="R209" s="232">
        <f t="shared" si="326"/>
        <v>0</v>
      </c>
    </row>
    <row r="210" spans="1:18" s="29" customFormat="1" ht="12">
      <c r="A210" s="140" t="s">
        <v>109</v>
      </c>
      <c r="B210" s="100" t="s">
        <v>110</v>
      </c>
      <c r="C210" s="232">
        <v>0</v>
      </c>
      <c r="D210" s="233">
        <v>0</v>
      </c>
      <c r="E210" s="233">
        <f t="shared" ref="E210:G210" si="345">E211+E212</f>
        <v>0</v>
      </c>
      <c r="F210" s="233">
        <f t="shared" ref="F210" si="346">F211+F212</f>
        <v>0</v>
      </c>
      <c r="G210" s="233">
        <f t="shared" si="345"/>
        <v>0</v>
      </c>
      <c r="H210" s="232">
        <f t="shared" si="324"/>
        <v>0</v>
      </c>
      <c r="I210" s="233">
        <v>0</v>
      </c>
      <c r="J210" s="233">
        <f t="shared" ref="J210:L210" si="347">J211+J212</f>
        <v>0</v>
      </c>
      <c r="K210" s="233">
        <f t="shared" ref="K210" si="348">K211+K212</f>
        <v>0</v>
      </c>
      <c r="L210" s="233">
        <f t="shared" si="347"/>
        <v>0</v>
      </c>
      <c r="M210" s="232">
        <f t="shared" si="325"/>
        <v>0</v>
      </c>
      <c r="N210" s="233">
        <v>0</v>
      </c>
      <c r="O210" s="233">
        <f t="shared" ref="O210:Q210" si="349">O211+O212</f>
        <v>0</v>
      </c>
      <c r="P210" s="233">
        <f t="shared" ref="P210" si="350">P211+P212</f>
        <v>0</v>
      </c>
      <c r="Q210" s="233">
        <f t="shared" si="349"/>
        <v>0</v>
      </c>
      <c r="R210" s="232">
        <f t="shared" si="326"/>
        <v>0</v>
      </c>
    </row>
    <row r="211" spans="1:18" s="29" customFormat="1" ht="12">
      <c r="A211" s="132">
        <v>3000</v>
      </c>
      <c r="B211" s="101" t="s">
        <v>111</v>
      </c>
      <c r="C211" s="245"/>
      <c r="D211" s="345">
        <v>0</v>
      </c>
      <c r="E211" s="246"/>
      <c r="F211" s="246"/>
      <c r="G211" s="246"/>
      <c r="H211" s="232">
        <f t="shared" si="324"/>
        <v>0</v>
      </c>
      <c r="I211" s="345">
        <v>0</v>
      </c>
      <c r="J211" s="246"/>
      <c r="K211" s="246"/>
      <c r="L211" s="246"/>
      <c r="M211" s="232">
        <f t="shared" si="325"/>
        <v>0</v>
      </c>
      <c r="N211" s="345">
        <v>0</v>
      </c>
      <c r="O211" s="246"/>
      <c r="P211" s="246"/>
      <c r="Q211" s="246"/>
      <c r="R211" s="232">
        <f t="shared" si="326"/>
        <v>0</v>
      </c>
    </row>
    <row r="212" spans="1:18" s="29" customFormat="1" ht="12">
      <c r="A212" s="132">
        <v>6000</v>
      </c>
      <c r="B212" s="101" t="s">
        <v>112</v>
      </c>
      <c r="C212" s="247"/>
      <c r="D212" s="346">
        <v>0</v>
      </c>
      <c r="E212" s="248"/>
      <c r="F212" s="248"/>
      <c r="G212" s="248"/>
      <c r="H212" s="232">
        <f t="shared" si="324"/>
        <v>0</v>
      </c>
      <c r="I212" s="346">
        <v>0</v>
      </c>
      <c r="J212" s="248"/>
      <c r="K212" s="248"/>
      <c r="L212" s="248"/>
      <c r="M212" s="232">
        <f t="shared" si="325"/>
        <v>0</v>
      </c>
      <c r="N212" s="346">
        <v>0</v>
      </c>
      <c r="O212" s="248"/>
      <c r="P212" s="248"/>
      <c r="Q212" s="248"/>
      <c r="R212" s="232">
        <f t="shared" si="326"/>
        <v>0</v>
      </c>
    </row>
    <row r="213" spans="1:18" s="29" customFormat="1" ht="22.8">
      <c r="A213" s="140" t="s">
        <v>113</v>
      </c>
      <c r="B213" s="100" t="s">
        <v>183</v>
      </c>
      <c r="C213" s="232">
        <v>0</v>
      </c>
      <c r="D213" s="233">
        <v>0</v>
      </c>
      <c r="E213" s="233">
        <f t="shared" ref="E213:G213" si="351">E214+E215</f>
        <v>0</v>
      </c>
      <c r="F213" s="233">
        <f t="shared" ref="F213" si="352">F214+F215</f>
        <v>0</v>
      </c>
      <c r="G213" s="233">
        <f t="shared" si="351"/>
        <v>0</v>
      </c>
      <c r="H213" s="232">
        <f t="shared" si="324"/>
        <v>0</v>
      </c>
      <c r="I213" s="233">
        <v>0</v>
      </c>
      <c r="J213" s="233">
        <f t="shared" ref="J213:L213" si="353">J214+J215</f>
        <v>0</v>
      </c>
      <c r="K213" s="233">
        <f t="shared" ref="K213" si="354">K214+K215</f>
        <v>0</v>
      </c>
      <c r="L213" s="233">
        <f t="shared" si="353"/>
        <v>0</v>
      </c>
      <c r="M213" s="232">
        <f t="shared" si="325"/>
        <v>0</v>
      </c>
      <c r="N213" s="233">
        <v>0</v>
      </c>
      <c r="O213" s="233">
        <f t="shared" ref="O213:Q213" si="355">O214+O215</f>
        <v>0</v>
      </c>
      <c r="P213" s="233">
        <f t="shared" ref="P213" si="356">P214+P215</f>
        <v>0</v>
      </c>
      <c r="Q213" s="233">
        <f t="shared" si="355"/>
        <v>0</v>
      </c>
      <c r="R213" s="232">
        <f t="shared" si="326"/>
        <v>0</v>
      </c>
    </row>
    <row r="214" spans="1:18" s="29" customFormat="1" ht="12">
      <c r="A214" s="132">
        <v>7600</v>
      </c>
      <c r="B214" s="249" t="s">
        <v>184</v>
      </c>
      <c r="C214" s="232"/>
      <c r="D214" s="233">
        <v>0</v>
      </c>
      <c r="E214" s="244"/>
      <c r="F214" s="244"/>
      <c r="G214" s="244"/>
      <c r="H214" s="232">
        <f t="shared" si="324"/>
        <v>0</v>
      </c>
      <c r="I214" s="233">
        <v>0</v>
      </c>
      <c r="J214" s="244"/>
      <c r="K214" s="244"/>
      <c r="L214" s="244"/>
      <c r="M214" s="232">
        <f t="shared" si="325"/>
        <v>0</v>
      </c>
      <c r="N214" s="233">
        <v>0</v>
      </c>
      <c r="O214" s="244"/>
      <c r="P214" s="244"/>
      <c r="Q214" s="244"/>
      <c r="R214" s="232">
        <f t="shared" si="326"/>
        <v>0</v>
      </c>
    </row>
    <row r="215" spans="1:18" s="29" customFormat="1" ht="12">
      <c r="A215" s="132">
        <v>7700</v>
      </c>
      <c r="B215" s="250" t="s">
        <v>114</v>
      </c>
      <c r="C215" s="232"/>
      <c r="D215" s="233">
        <v>0</v>
      </c>
      <c r="E215" s="244"/>
      <c r="F215" s="244"/>
      <c r="G215" s="244"/>
      <c r="H215" s="232">
        <f t="shared" si="324"/>
        <v>0</v>
      </c>
      <c r="I215" s="233">
        <v>0</v>
      </c>
      <c r="J215" s="244"/>
      <c r="K215" s="244"/>
      <c r="L215" s="244"/>
      <c r="M215" s="232">
        <f t="shared" si="325"/>
        <v>0</v>
      </c>
      <c r="N215" s="233">
        <v>0</v>
      </c>
      <c r="O215" s="244"/>
      <c r="P215" s="244"/>
      <c r="Q215" s="244"/>
      <c r="R215" s="232">
        <f t="shared" si="326"/>
        <v>0</v>
      </c>
    </row>
    <row r="216" spans="1:18" s="29" customFormat="1" ht="20.399999999999999">
      <c r="A216" s="140" t="s">
        <v>185</v>
      </c>
      <c r="B216" s="100" t="s">
        <v>115</v>
      </c>
      <c r="C216" s="232">
        <v>0</v>
      </c>
      <c r="D216" s="233">
        <v>0</v>
      </c>
      <c r="E216" s="233">
        <f t="shared" ref="E216:G216" si="357">E217+E223+E227+E230</f>
        <v>0</v>
      </c>
      <c r="F216" s="233">
        <f t="shared" ref="F216" si="358">F217+F223+F227+F230</f>
        <v>0</v>
      </c>
      <c r="G216" s="233">
        <f t="shared" si="357"/>
        <v>0</v>
      </c>
      <c r="H216" s="232">
        <f t="shared" si="324"/>
        <v>0</v>
      </c>
      <c r="I216" s="233">
        <v>0</v>
      </c>
      <c r="J216" s="233">
        <f t="shared" ref="J216:L216" si="359">J217+J223+J227+J230</f>
        <v>0</v>
      </c>
      <c r="K216" s="233">
        <f t="shared" ref="K216" si="360">K217+K223+K227+K230</f>
        <v>0</v>
      </c>
      <c r="L216" s="233">
        <f t="shared" si="359"/>
        <v>0</v>
      </c>
      <c r="M216" s="232">
        <f t="shared" si="325"/>
        <v>0</v>
      </c>
      <c r="N216" s="233">
        <v>0</v>
      </c>
      <c r="O216" s="233">
        <f t="shared" ref="O216:Q216" si="361">O217+O223+O227+O230</f>
        <v>0</v>
      </c>
      <c r="P216" s="233">
        <f t="shared" ref="P216" si="362">P217+P223+P227+P230</f>
        <v>0</v>
      </c>
      <c r="Q216" s="233">
        <f t="shared" si="361"/>
        <v>0</v>
      </c>
      <c r="R216" s="232">
        <f t="shared" si="326"/>
        <v>0</v>
      </c>
    </row>
    <row r="217" spans="1:18" s="29" customFormat="1" ht="12">
      <c r="A217" s="132">
        <v>7100</v>
      </c>
      <c r="B217" s="249" t="s">
        <v>116</v>
      </c>
      <c r="C217" s="232">
        <v>0</v>
      </c>
      <c r="D217" s="233">
        <v>0</v>
      </c>
      <c r="E217" s="233">
        <f t="shared" ref="E217:G217" si="363">E218+E219</f>
        <v>0</v>
      </c>
      <c r="F217" s="233">
        <f t="shared" ref="F217" si="364">F218+F219</f>
        <v>0</v>
      </c>
      <c r="G217" s="233">
        <f t="shared" si="363"/>
        <v>0</v>
      </c>
      <c r="H217" s="232">
        <f t="shared" si="324"/>
        <v>0</v>
      </c>
      <c r="I217" s="233">
        <v>0</v>
      </c>
      <c r="J217" s="233">
        <f t="shared" ref="J217:L217" si="365">J218+J219</f>
        <v>0</v>
      </c>
      <c r="K217" s="233">
        <f t="shared" ref="K217" si="366">K218+K219</f>
        <v>0</v>
      </c>
      <c r="L217" s="233">
        <f t="shared" si="365"/>
        <v>0</v>
      </c>
      <c r="M217" s="232">
        <f t="shared" si="325"/>
        <v>0</v>
      </c>
      <c r="N217" s="233">
        <v>0</v>
      </c>
      <c r="O217" s="233">
        <f t="shared" ref="O217:Q217" si="367">O218+O219</f>
        <v>0</v>
      </c>
      <c r="P217" s="233">
        <f t="shared" ref="P217" si="368">P218+P219</f>
        <v>0</v>
      </c>
      <c r="Q217" s="233">
        <f t="shared" si="367"/>
        <v>0</v>
      </c>
      <c r="R217" s="232">
        <f t="shared" si="326"/>
        <v>0</v>
      </c>
    </row>
    <row r="218" spans="1:18" s="29" customFormat="1" ht="24">
      <c r="A218" s="234" t="s">
        <v>117</v>
      </c>
      <c r="B218" s="249" t="s">
        <v>118</v>
      </c>
      <c r="C218" s="232"/>
      <c r="D218" s="233">
        <v>0</v>
      </c>
      <c r="E218" s="233"/>
      <c r="F218" s="233"/>
      <c r="G218" s="233"/>
      <c r="H218" s="232">
        <f t="shared" si="324"/>
        <v>0</v>
      </c>
      <c r="I218" s="233">
        <v>0</v>
      </c>
      <c r="J218" s="233"/>
      <c r="K218" s="233"/>
      <c r="L218" s="233"/>
      <c r="M218" s="232">
        <f t="shared" si="325"/>
        <v>0</v>
      </c>
      <c r="N218" s="233">
        <v>0</v>
      </c>
      <c r="O218" s="233"/>
      <c r="P218" s="233"/>
      <c r="Q218" s="233"/>
      <c r="R218" s="232">
        <f t="shared" si="326"/>
        <v>0</v>
      </c>
    </row>
    <row r="219" spans="1:18" s="29" customFormat="1" ht="24">
      <c r="A219" s="234">
        <v>7130</v>
      </c>
      <c r="B219" s="249" t="s">
        <v>119</v>
      </c>
      <c r="C219" s="232">
        <v>0</v>
      </c>
      <c r="D219" s="233">
        <v>0</v>
      </c>
      <c r="E219" s="233">
        <f t="shared" ref="E219:G219" si="369">SUM(E220:E222)</f>
        <v>0</v>
      </c>
      <c r="F219" s="233">
        <f t="shared" ref="F219" si="370">SUM(F220:F222)</f>
        <v>0</v>
      </c>
      <c r="G219" s="233">
        <f t="shared" si="369"/>
        <v>0</v>
      </c>
      <c r="H219" s="232">
        <f t="shared" si="324"/>
        <v>0</v>
      </c>
      <c r="I219" s="233">
        <v>0</v>
      </c>
      <c r="J219" s="233">
        <f t="shared" ref="J219:L219" si="371">SUM(J220:J222)</f>
        <v>0</v>
      </c>
      <c r="K219" s="233">
        <f t="shared" ref="K219" si="372">SUM(K220:K222)</f>
        <v>0</v>
      </c>
      <c r="L219" s="233">
        <f t="shared" si="371"/>
        <v>0</v>
      </c>
      <c r="M219" s="232">
        <f t="shared" si="325"/>
        <v>0</v>
      </c>
      <c r="N219" s="233">
        <v>0</v>
      </c>
      <c r="O219" s="233">
        <f t="shared" ref="O219:Q219" si="373">SUM(O220:O222)</f>
        <v>0</v>
      </c>
      <c r="P219" s="233">
        <f t="shared" ref="P219" si="374">SUM(P220:P222)</f>
        <v>0</v>
      </c>
      <c r="Q219" s="233">
        <f t="shared" si="373"/>
        <v>0</v>
      </c>
      <c r="R219" s="232">
        <f t="shared" si="326"/>
        <v>0</v>
      </c>
    </row>
    <row r="220" spans="1:18" s="29" customFormat="1" ht="36">
      <c r="A220" s="236">
        <v>7131</v>
      </c>
      <c r="B220" s="249" t="s">
        <v>120</v>
      </c>
      <c r="C220" s="232"/>
      <c r="D220" s="233">
        <v>0</v>
      </c>
      <c r="E220" s="233"/>
      <c r="F220" s="233"/>
      <c r="G220" s="233"/>
      <c r="H220" s="232">
        <f t="shared" si="324"/>
        <v>0</v>
      </c>
      <c r="I220" s="233">
        <v>0</v>
      </c>
      <c r="J220" s="233"/>
      <c r="K220" s="233"/>
      <c r="L220" s="233"/>
      <c r="M220" s="232">
        <f t="shared" si="325"/>
        <v>0</v>
      </c>
      <c r="N220" s="233">
        <v>0</v>
      </c>
      <c r="O220" s="233"/>
      <c r="P220" s="233"/>
      <c r="Q220" s="233"/>
      <c r="R220" s="232">
        <f t="shared" si="326"/>
        <v>0</v>
      </c>
    </row>
    <row r="221" spans="1:18" s="29" customFormat="1" ht="36">
      <c r="A221" s="236">
        <v>7132</v>
      </c>
      <c r="B221" s="249" t="s">
        <v>121</v>
      </c>
      <c r="C221" s="232"/>
      <c r="D221" s="233">
        <v>0</v>
      </c>
      <c r="E221" s="233"/>
      <c r="F221" s="233"/>
      <c r="G221" s="233"/>
      <c r="H221" s="232">
        <f t="shared" si="324"/>
        <v>0</v>
      </c>
      <c r="I221" s="233">
        <v>0</v>
      </c>
      <c r="J221" s="233"/>
      <c r="K221" s="233"/>
      <c r="L221" s="233"/>
      <c r="M221" s="232">
        <f t="shared" si="325"/>
        <v>0</v>
      </c>
      <c r="N221" s="233">
        <v>0</v>
      </c>
      <c r="O221" s="233"/>
      <c r="P221" s="233"/>
      <c r="Q221" s="233"/>
      <c r="R221" s="232">
        <f t="shared" si="326"/>
        <v>0</v>
      </c>
    </row>
    <row r="222" spans="1:18" s="29" customFormat="1" ht="24">
      <c r="A222" s="236" t="s">
        <v>186</v>
      </c>
      <c r="B222" s="249" t="s">
        <v>187</v>
      </c>
      <c r="C222" s="232"/>
      <c r="D222" s="233">
        <v>0</v>
      </c>
      <c r="E222" s="233"/>
      <c r="F222" s="233"/>
      <c r="G222" s="233"/>
      <c r="H222" s="232">
        <f t="shared" si="324"/>
        <v>0</v>
      </c>
      <c r="I222" s="233">
        <v>0</v>
      </c>
      <c r="J222" s="233"/>
      <c r="K222" s="233"/>
      <c r="L222" s="233"/>
      <c r="M222" s="232">
        <f t="shared" si="325"/>
        <v>0</v>
      </c>
      <c r="N222" s="233">
        <v>0</v>
      </c>
      <c r="O222" s="233"/>
      <c r="P222" s="233"/>
      <c r="Q222" s="233"/>
      <c r="R222" s="232">
        <f t="shared" si="326"/>
        <v>0</v>
      </c>
    </row>
    <row r="223" spans="1:18" s="29" customFormat="1" ht="24">
      <c r="A223" s="132">
        <v>7300</v>
      </c>
      <c r="B223" s="235" t="s">
        <v>155</v>
      </c>
      <c r="C223" s="232">
        <v>0</v>
      </c>
      <c r="D223" s="233">
        <v>0</v>
      </c>
      <c r="E223" s="233">
        <f t="shared" ref="E223:G223" si="375">SUM(E224:E226)</f>
        <v>0</v>
      </c>
      <c r="F223" s="233">
        <f t="shared" ref="F223" si="376">SUM(F224:F226)</f>
        <v>0</v>
      </c>
      <c r="G223" s="233">
        <f t="shared" si="375"/>
        <v>0</v>
      </c>
      <c r="H223" s="232">
        <f t="shared" si="324"/>
        <v>0</v>
      </c>
      <c r="I223" s="233">
        <v>0</v>
      </c>
      <c r="J223" s="233">
        <f t="shared" ref="J223:L223" si="377">SUM(J224:J226)</f>
        <v>0</v>
      </c>
      <c r="K223" s="233">
        <f t="shared" ref="K223" si="378">SUM(K224:K226)</f>
        <v>0</v>
      </c>
      <c r="L223" s="233">
        <f t="shared" si="377"/>
        <v>0</v>
      </c>
      <c r="M223" s="232">
        <f t="shared" si="325"/>
        <v>0</v>
      </c>
      <c r="N223" s="233">
        <v>0</v>
      </c>
      <c r="O223" s="233">
        <f t="shared" ref="O223:Q223" si="379">SUM(O224:O226)</f>
        <v>0</v>
      </c>
      <c r="P223" s="233">
        <f t="shared" ref="P223" si="380">SUM(P224:P226)</f>
        <v>0</v>
      </c>
      <c r="Q223" s="233">
        <f t="shared" si="379"/>
        <v>0</v>
      </c>
      <c r="R223" s="232">
        <f t="shared" si="326"/>
        <v>0</v>
      </c>
    </row>
    <row r="224" spans="1:18" s="29" customFormat="1" ht="24">
      <c r="A224" s="234" t="s">
        <v>188</v>
      </c>
      <c r="B224" s="249" t="s">
        <v>170</v>
      </c>
      <c r="C224" s="251"/>
      <c r="D224" s="252">
        <v>0</v>
      </c>
      <c r="E224" s="252"/>
      <c r="F224" s="252"/>
      <c r="G224" s="252"/>
      <c r="H224" s="232">
        <f t="shared" si="324"/>
        <v>0</v>
      </c>
      <c r="I224" s="252">
        <v>0</v>
      </c>
      <c r="J224" s="252"/>
      <c r="K224" s="252"/>
      <c r="L224" s="252"/>
      <c r="M224" s="232">
        <f t="shared" si="325"/>
        <v>0</v>
      </c>
      <c r="N224" s="252">
        <v>0</v>
      </c>
      <c r="O224" s="252"/>
      <c r="P224" s="252"/>
      <c r="Q224" s="252"/>
      <c r="R224" s="232">
        <f t="shared" si="326"/>
        <v>0</v>
      </c>
    </row>
    <row r="225" spans="1:18" s="29" customFormat="1" ht="36">
      <c r="A225" s="234" t="s">
        <v>189</v>
      </c>
      <c r="B225" s="249" t="s">
        <v>156</v>
      </c>
      <c r="C225" s="251"/>
      <c r="D225" s="252">
        <v>0</v>
      </c>
      <c r="E225" s="252"/>
      <c r="F225" s="252"/>
      <c r="G225" s="252"/>
      <c r="H225" s="232">
        <f t="shared" si="324"/>
        <v>0</v>
      </c>
      <c r="I225" s="252">
        <v>0</v>
      </c>
      <c r="J225" s="252"/>
      <c r="K225" s="252"/>
      <c r="L225" s="252"/>
      <c r="M225" s="232">
        <f t="shared" si="325"/>
        <v>0</v>
      </c>
      <c r="N225" s="252">
        <v>0</v>
      </c>
      <c r="O225" s="252"/>
      <c r="P225" s="252"/>
      <c r="Q225" s="252"/>
      <c r="R225" s="232">
        <f t="shared" si="326"/>
        <v>0</v>
      </c>
    </row>
    <row r="226" spans="1:18" s="29" customFormat="1" ht="36">
      <c r="A226" s="234">
        <v>7350</v>
      </c>
      <c r="B226" s="249" t="s">
        <v>163</v>
      </c>
      <c r="C226" s="251"/>
      <c r="D226" s="252">
        <v>0</v>
      </c>
      <c r="E226" s="252"/>
      <c r="F226" s="252"/>
      <c r="G226" s="252"/>
      <c r="H226" s="232">
        <f t="shared" si="324"/>
        <v>0</v>
      </c>
      <c r="I226" s="252">
        <v>0</v>
      </c>
      <c r="J226" s="252"/>
      <c r="K226" s="252"/>
      <c r="L226" s="252"/>
      <c r="M226" s="232">
        <f t="shared" si="325"/>
        <v>0</v>
      </c>
      <c r="N226" s="252">
        <v>0</v>
      </c>
      <c r="O226" s="252"/>
      <c r="P226" s="252"/>
      <c r="Q226" s="252"/>
      <c r="R226" s="232">
        <f t="shared" si="326"/>
        <v>0</v>
      </c>
    </row>
    <row r="227" spans="1:18" s="29" customFormat="1" ht="24">
      <c r="A227" s="132">
        <v>7400</v>
      </c>
      <c r="B227" s="235" t="s">
        <v>161</v>
      </c>
      <c r="C227" s="232">
        <v>0</v>
      </c>
      <c r="D227" s="233">
        <v>0</v>
      </c>
      <c r="E227" s="233">
        <f t="shared" ref="E227:G227" si="381">SUM(E228:E229)</f>
        <v>0</v>
      </c>
      <c r="F227" s="233">
        <f t="shared" ref="F227" si="382">SUM(F228:F229)</f>
        <v>0</v>
      </c>
      <c r="G227" s="233">
        <f t="shared" si="381"/>
        <v>0</v>
      </c>
      <c r="H227" s="232">
        <f t="shared" si="324"/>
        <v>0</v>
      </c>
      <c r="I227" s="233">
        <v>0</v>
      </c>
      <c r="J227" s="233">
        <f t="shared" ref="J227:L227" si="383">SUM(J228:J229)</f>
        <v>0</v>
      </c>
      <c r="K227" s="233">
        <f t="shared" ref="K227" si="384">SUM(K228:K229)</f>
        <v>0</v>
      </c>
      <c r="L227" s="233">
        <f t="shared" si="383"/>
        <v>0</v>
      </c>
      <c r="M227" s="232">
        <f t="shared" si="325"/>
        <v>0</v>
      </c>
      <c r="N227" s="233">
        <v>0</v>
      </c>
      <c r="O227" s="233">
        <f t="shared" ref="O227:Q227" si="385">SUM(O228:O229)</f>
        <v>0</v>
      </c>
      <c r="P227" s="233">
        <f t="shared" ref="P227" si="386">SUM(P228:P229)</f>
        <v>0</v>
      </c>
      <c r="Q227" s="233">
        <f t="shared" si="385"/>
        <v>0</v>
      </c>
      <c r="R227" s="232">
        <f t="shared" si="326"/>
        <v>0</v>
      </c>
    </row>
    <row r="228" spans="1:18" s="29" customFormat="1" ht="24">
      <c r="A228" s="234">
        <v>7460</v>
      </c>
      <c r="B228" s="235" t="s">
        <v>162</v>
      </c>
      <c r="C228" s="251"/>
      <c r="D228" s="252">
        <v>0</v>
      </c>
      <c r="E228" s="252"/>
      <c r="F228" s="252"/>
      <c r="G228" s="252"/>
      <c r="H228" s="232">
        <f t="shared" si="324"/>
        <v>0</v>
      </c>
      <c r="I228" s="252">
        <v>0</v>
      </c>
      <c r="J228" s="252"/>
      <c r="K228" s="252"/>
      <c r="L228" s="252"/>
      <c r="M228" s="232">
        <f t="shared" si="325"/>
        <v>0</v>
      </c>
      <c r="N228" s="252">
        <v>0</v>
      </c>
      <c r="O228" s="252"/>
      <c r="P228" s="252"/>
      <c r="Q228" s="252"/>
      <c r="R228" s="232">
        <f t="shared" si="326"/>
        <v>0</v>
      </c>
    </row>
    <row r="229" spans="1:18" s="29" customFormat="1" ht="36">
      <c r="A229" s="234">
        <v>7470</v>
      </c>
      <c r="B229" s="249" t="s">
        <v>167</v>
      </c>
      <c r="C229" s="251"/>
      <c r="D229" s="252">
        <v>0</v>
      </c>
      <c r="E229" s="252"/>
      <c r="F229" s="252"/>
      <c r="G229" s="252"/>
      <c r="H229" s="232">
        <f t="shared" si="324"/>
        <v>0</v>
      </c>
      <c r="I229" s="252">
        <v>0</v>
      </c>
      <c r="J229" s="252"/>
      <c r="K229" s="252"/>
      <c r="L229" s="252"/>
      <c r="M229" s="232">
        <f t="shared" si="325"/>
        <v>0</v>
      </c>
      <c r="N229" s="252">
        <v>0</v>
      </c>
      <c r="O229" s="252"/>
      <c r="P229" s="252"/>
      <c r="Q229" s="252"/>
      <c r="R229" s="232">
        <f t="shared" si="326"/>
        <v>0</v>
      </c>
    </row>
    <row r="230" spans="1:18" s="29" customFormat="1" ht="12">
      <c r="A230" s="132">
        <v>7500</v>
      </c>
      <c r="B230" s="249" t="s">
        <v>157</v>
      </c>
      <c r="C230" s="232"/>
      <c r="D230" s="233">
        <v>0</v>
      </c>
      <c r="E230" s="233"/>
      <c r="F230" s="233"/>
      <c r="G230" s="233"/>
      <c r="H230" s="232">
        <f t="shared" si="324"/>
        <v>0</v>
      </c>
      <c r="I230" s="233">
        <v>0</v>
      </c>
      <c r="J230" s="233"/>
      <c r="K230" s="233"/>
      <c r="L230" s="233"/>
      <c r="M230" s="232">
        <f t="shared" si="325"/>
        <v>0</v>
      </c>
      <c r="N230" s="233">
        <v>0</v>
      </c>
      <c r="O230" s="233"/>
      <c r="P230" s="233"/>
      <c r="Q230" s="233"/>
      <c r="R230" s="232">
        <f t="shared" si="326"/>
        <v>0</v>
      </c>
    </row>
    <row r="231" spans="1:18" s="29" customFormat="1" ht="12">
      <c r="A231" s="140" t="s">
        <v>133</v>
      </c>
      <c r="B231" s="100" t="s">
        <v>122</v>
      </c>
      <c r="C231" s="253">
        <v>0</v>
      </c>
      <c r="D231" s="254">
        <v>0</v>
      </c>
      <c r="E231" s="254">
        <f t="shared" ref="E231:G231" si="387">E232+E233</f>
        <v>0</v>
      </c>
      <c r="F231" s="254">
        <f t="shared" ref="F231" si="388">F232+F233</f>
        <v>0</v>
      </c>
      <c r="G231" s="254">
        <f t="shared" si="387"/>
        <v>0</v>
      </c>
      <c r="H231" s="232">
        <f t="shared" si="324"/>
        <v>0</v>
      </c>
      <c r="I231" s="254">
        <v>0</v>
      </c>
      <c r="J231" s="254">
        <f t="shared" ref="J231:L231" si="389">J232+J233</f>
        <v>0</v>
      </c>
      <c r="K231" s="254">
        <f t="shared" ref="K231" si="390">K232+K233</f>
        <v>0</v>
      </c>
      <c r="L231" s="254">
        <f t="shared" si="389"/>
        <v>0</v>
      </c>
      <c r="M231" s="232">
        <f t="shared" si="325"/>
        <v>0</v>
      </c>
      <c r="N231" s="254">
        <v>0</v>
      </c>
      <c r="O231" s="254">
        <f t="shared" ref="O231:Q231" si="391">O232+O233</f>
        <v>0</v>
      </c>
      <c r="P231" s="254">
        <f t="shared" ref="P231" si="392">P232+P233</f>
        <v>0</v>
      </c>
      <c r="Q231" s="254">
        <f t="shared" si="391"/>
        <v>0</v>
      </c>
      <c r="R231" s="232">
        <f t="shared" si="326"/>
        <v>0</v>
      </c>
    </row>
    <row r="232" spans="1:18" s="29" customFormat="1" ht="12">
      <c r="A232" s="140">
        <v>5000</v>
      </c>
      <c r="B232" s="100" t="s">
        <v>123</v>
      </c>
      <c r="C232" s="232"/>
      <c r="D232" s="233">
        <v>0</v>
      </c>
      <c r="E232" s="244"/>
      <c r="F232" s="244"/>
      <c r="G232" s="244"/>
      <c r="H232" s="232">
        <f t="shared" si="324"/>
        <v>0</v>
      </c>
      <c r="I232" s="233">
        <v>0</v>
      </c>
      <c r="J232" s="244"/>
      <c r="K232" s="244"/>
      <c r="L232" s="244"/>
      <c r="M232" s="232">
        <f t="shared" si="325"/>
        <v>0</v>
      </c>
      <c r="N232" s="233">
        <v>0</v>
      </c>
      <c r="O232" s="244"/>
      <c r="P232" s="244"/>
      <c r="Q232" s="244"/>
      <c r="R232" s="232">
        <f t="shared" si="326"/>
        <v>0</v>
      </c>
    </row>
    <row r="233" spans="1:18" s="29" customFormat="1" ht="12">
      <c r="A233" s="140">
        <v>9000</v>
      </c>
      <c r="B233" s="255" t="s">
        <v>164</v>
      </c>
      <c r="C233" s="232">
        <v>0</v>
      </c>
      <c r="D233" s="233">
        <v>0</v>
      </c>
      <c r="E233" s="233">
        <f t="shared" ref="E233:G233" si="393">E234+E240+E244+E247</f>
        <v>0</v>
      </c>
      <c r="F233" s="233">
        <f t="shared" ref="F233" si="394">F234+F240+F244+F247</f>
        <v>0</v>
      </c>
      <c r="G233" s="233">
        <f t="shared" si="393"/>
        <v>0</v>
      </c>
      <c r="H233" s="232">
        <f t="shared" si="324"/>
        <v>0</v>
      </c>
      <c r="I233" s="233">
        <v>0</v>
      </c>
      <c r="J233" s="233">
        <f t="shared" ref="J233:L233" si="395">J234+J240+J244+J247</f>
        <v>0</v>
      </c>
      <c r="K233" s="233">
        <f t="shared" ref="K233" si="396">K234+K240+K244+K247</f>
        <v>0</v>
      </c>
      <c r="L233" s="233">
        <f t="shared" si="395"/>
        <v>0</v>
      </c>
      <c r="M233" s="232">
        <f t="shared" si="325"/>
        <v>0</v>
      </c>
      <c r="N233" s="233">
        <v>0</v>
      </c>
      <c r="O233" s="233">
        <f t="shared" ref="O233:Q233" si="397">O234+O240+O244+O247</f>
        <v>0</v>
      </c>
      <c r="P233" s="233">
        <f t="shared" ref="P233" si="398">P234+P240+P244+P247</f>
        <v>0</v>
      </c>
      <c r="Q233" s="233">
        <f t="shared" si="397"/>
        <v>0</v>
      </c>
      <c r="R233" s="232">
        <f t="shared" si="326"/>
        <v>0</v>
      </c>
    </row>
    <row r="234" spans="1:18" s="29" customFormat="1" ht="12">
      <c r="A234" s="256">
        <v>9100</v>
      </c>
      <c r="B234" s="249" t="s">
        <v>124</v>
      </c>
      <c r="C234" s="232">
        <v>0</v>
      </c>
      <c r="D234" s="233">
        <v>0</v>
      </c>
      <c r="E234" s="233">
        <f t="shared" ref="E234:G234" si="399">SUM(E235:E236)</f>
        <v>0</v>
      </c>
      <c r="F234" s="233">
        <f t="shared" ref="F234" si="400">SUM(F235:F236)</f>
        <v>0</v>
      </c>
      <c r="G234" s="233">
        <f t="shared" si="399"/>
        <v>0</v>
      </c>
      <c r="H234" s="232">
        <f t="shared" si="324"/>
        <v>0</v>
      </c>
      <c r="I234" s="233">
        <v>0</v>
      </c>
      <c r="J234" s="233">
        <f t="shared" ref="J234:L234" si="401">SUM(J235:J236)</f>
        <v>0</v>
      </c>
      <c r="K234" s="233">
        <f t="shared" ref="K234" si="402">SUM(K235:K236)</f>
        <v>0</v>
      </c>
      <c r="L234" s="233">
        <f t="shared" si="401"/>
        <v>0</v>
      </c>
      <c r="M234" s="232">
        <f t="shared" si="325"/>
        <v>0</v>
      </c>
      <c r="N234" s="233">
        <v>0</v>
      </c>
      <c r="O234" s="233">
        <f t="shared" ref="O234:Q234" si="403">SUM(O235:O236)</f>
        <v>0</v>
      </c>
      <c r="P234" s="233">
        <f t="shared" ref="P234" si="404">SUM(P235:P236)</f>
        <v>0</v>
      </c>
      <c r="Q234" s="233">
        <f t="shared" si="403"/>
        <v>0</v>
      </c>
      <c r="R234" s="232">
        <f t="shared" si="326"/>
        <v>0</v>
      </c>
    </row>
    <row r="235" spans="1:18" s="29" customFormat="1" ht="24">
      <c r="A235" s="234" t="s">
        <v>125</v>
      </c>
      <c r="B235" s="249" t="s">
        <v>203</v>
      </c>
      <c r="C235" s="232"/>
      <c r="D235" s="233">
        <v>0</v>
      </c>
      <c r="E235" s="233"/>
      <c r="F235" s="233"/>
      <c r="G235" s="233"/>
      <c r="H235" s="232">
        <f t="shared" si="324"/>
        <v>0</v>
      </c>
      <c r="I235" s="233">
        <v>0</v>
      </c>
      <c r="J235" s="233"/>
      <c r="K235" s="233"/>
      <c r="L235" s="233"/>
      <c r="M235" s="232">
        <f t="shared" si="325"/>
        <v>0</v>
      </c>
      <c r="N235" s="233">
        <v>0</v>
      </c>
      <c r="O235" s="233"/>
      <c r="P235" s="233"/>
      <c r="Q235" s="233"/>
      <c r="R235" s="232">
        <f t="shared" si="326"/>
        <v>0</v>
      </c>
    </row>
    <row r="236" spans="1:18" s="29" customFormat="1" ht="24">
      <c r="A236" s="234">
        <v>9140</v>
      </c>
      <c r="B236" s="249" t="s">
        <v>204</v>
      </c>
      <c r="C236" s="232">
        <v>0</v>
      </c>
      <c r="D236" s="233">
        <v>0</v>
      </c>
      <c r="E236" s="233">
        <f t="shared" ref="E236:G236" si="405">SUM(E237:E239)</f>
        <v>0</v>
      </c>
      <c r="F236" s="233">
        <f t="shared" ref="F236" si="406">SUM(F237:F239)</f>
        <v>0</v>
      </c>
      <c r="G236" s="233">
        <f t="shared" si="405"/>
        <v>0</v>
      </c>
      <c r="H236" s="232">
        <f t="shared" si="324"/>
        <v>0</v>
      </c>
      <c r="I236" s="233">
        <v>0</v>
      </c>
      <c r="J236" s="233">
        <f t="shared" ref="J236:L236" si="407">SUM(J237:J239)</f>
        <v>0</v>
      </c>
      <c r="K236" s="233">
        <f t="shared" ref="K236" si="408">SUM(K237:K239)</f>
        <v>0</v>
      </c>
      <c r="L236" s="233">
        <f t="shared" si="407"/>
        <v>0</v>
      </c>
      <c r="M236" s="232">
        <f t="shared" si="325"/>
        <v>0</v>
      </c>
      <c r="N236" s="233">
        <v>0</v>
      </c>
      <c r="O236" s="233">
        <f t="shared" ref="O236:Q236" si="409">SUM(O237:O239)</f>
        <v>0</v>
      </c>
      <c r="P236" s="233">
        <f t="shared" ref="P236" si="410">SUM(P237:P239)</f>
        <v>0</v>
      </c>
      <c r="Q236" s="233">
        <f t="shared" si="409"/>
        <v>0</v>
      </c>
      <c r="R236" s="232">
        <f t="shared" si="326"/>
        <v>0</v>
      </c>
    </row>
    <row r="237" spans="1:18" s="29" customFormat="1" ht="36">
      <c r="A237" s="236">
        <v>9141</v>
      </c>
      <c r="B237" s="235" t="s">
        <v>190</v>
      </c>
      <c r="C237" s="251"/>
      <c r="D237" s="252">
        <v>0</v>
      </c>
      <c r="E237" s="252"/>
      <c r="F237" s="252"/>
      <c r="G237" s="252"/>
      <c r="H237" s="232">
        <f t="shared" si="324"/>
        <v>0</v>
      </c>
      <c r="I237" s="252">
        <v>0</v>
      </c>
      <c r="J237" s="252"/>
      <c r="K237" s="252"/>
      <c r="L237" s="252"/>
      <c r="M237" s="232">
        <f t="shared" si="325"/>
        <v>0</v>
      </c>
      <c r="N237" s="252">
        <v>0</v>
      </c>
      <c r="O237" s="252"/>
      <c r="P237" s="252"/>
      <c r="Q237" s="252"/>
      <c r="R237" s="232">
        <f t="shared" si="326"/>
        <v>0</v>
      </c>
    </row>
    <row r="238" spans="1:18" s="29" customFormat="1" ht="36">
      <c r="A238" s="236">
        <v>9142</v>
      </c>
      <c r="B238" s="235" t="s">
        <v>191</v>
      </c>
      <c r="C238" s="251"/>
      <c r="D238" s="252">
        <v>0</v>
      </c>
      <c r="E238" s="252"/>
      <c r="F238" s="252"/>
      <c r="G238" s="252"/>
      <c r="H238" s="232">
        <f t="shared" si="324"/>
        <v>0</v>
      </c>
      <c r="I238" s="252">
        <v>0</v>
      </c>
      <c r="J238" s="252"/>
      <c r="K238" s="252"/>
      <c r="L238" s="252"/>
      <c r="M238" s="232">
        <f t="shared" si="325"/>
        <v>0</v>
      </c>
      <c r="N238" s="252">
        <v>0</v>
      </c>
      <c r="O238" s="252"/>
      <c r="P238" s="252"/>
      <c r="Q238" s="252"/>
      <c r="R238" s="232">
        <f t="shared" si="326"/>
        <v>0</v>
      </c>
    </row>
    <row r="239" spans="1:18" s="29" customFormat="1" ht="24">
      <c r="A239" s="236">
        <v>9149</v>
      </c>
      <c r="B239" s="235" t="s">
        <v>192</v>
      </c>
      <c r="C239" s="251"/>
      <c r="D239" s="252">
        <v>0</v>
      </c>
      <c r="E239" s="252"/>
      <c r="F239" s="252"/>
      <c r="G239" s="252"/>
      <c r="H239" s="232">
        <f t="shared" si="324"/>
        <v>0</v>
      </c>
      <c r="I239" s="252">
        <v>0</v>
      </c>
      <c r="J239" s="252"/>
      <c r="K239" s="252"/>
      <c r="L239" s="252"/>
      <c r="M239" s="232">
        <f t="shared" si="325"/>
        <v>0</v>
      </c>
      <c r="N239" s="252">
        <v>0</v>
      </c>
      <c r="O239" s="252"/>
      <c r="P239" s="252"/>
      <c r="Q239" s="252"/>
      <c r="R239" s="232">
        <f t="shared" si="326"/>
        <v>0</v>
      </c>
    </row>
    <row r="240" spans="1:18" s="29" customFormat="1" ht="24">
      <c r="A240" s="256">
        <v>9500</v>
      </c>
      <c r="B240" s="235" t="s">
        <v>165</v>
      </c>
      <c r="C240" s="232">
        <v>0</v>
      </c>
      <c r="D240" s="233">
        <v>0</v>
      </c>
      <c r="E240" s="233">
        <f t="shared" ref="E240:G240" si="411">SUM(E241:E243)</f>
        <v>0</v>
      </c>
      <c r="F240" s="233">
        <f t="shared" ref="F240" si="412">SUM(F241:F243)</f>
        <v>0</v>
      </c>
      <c r="G240" s="233">
        <f t="shared" si="411"/>
        <v>0</v>
      </c>
      <c r="H240" s="232">
        <f t="shared" si="324"/>
        <v>0</v>
      </c>
      <c r="I240" s="233">
        <v>0</v>
      </c>
      <c r="J240" s="233">
        <f t="shared" ref="J240:L240" si="413">SUM(J241:J243)</f>
        <v>0</v>
      </c>
      <c r="K240" s="233">
        <f t="shared" ref="K240" si="414">SUM(K241:K243)</f>
        <v>0</v>
      </c>
      <c r="L240" s="233">
        <f t="shared" si="413"/>
        <v>0</v>
      </c>
      <c r="M240" s="232">
        <f t="shared" si="325"/>
        <v>0</v>
      </c>
      <c r="N240" s="233">
        <v>0</v>
      </c>
      <c r="O240" s="233">
        <f t="shared" ref="O240:Q240" si="415">SUM(O241:O243)</f>
        <v>0</v>
      </c>
      <c r="P240" s="233">
        <f t="shared" ref="P240" si="416">SUM(P241:P243)</f>
        <v>0</v>
      </c>
      <c r="Q240" s="233">
        <f t="shared" si="415"/>
        <v>0</v>
      </c>
      <c r="R240" s="232">
        <f t="shared" si="326"/>
        <v>0</v>
      </c>
    </row>
    <row r="241" spans="1:18" s="29" customFormat="1" ht="24">
      <c r="A241" s="234" t="s">
        <v>193</v>
      </c>
      <c r="B241" s="235" t="s">
        <v>171</v>
      </c>
      <c r="C241" s="232"/>
      <c r="D241" s="233">
        <v>0</v>
      </c>
      <c r="E241" s="233"/>
      <c r="F241" s="233"/>
      <c r="G241" s="233"/>
      <c r="H241" s="232">
        <f t="shared" si="324"/>
        <v>0</v>
      </c>
      <c r="I241" s="233">
        <v>0</v>
      </c>
      <c r="J241" s="233"/>
      <c r="K241" s="233"/>
      <c r="L241" s="233"/>
      <c r="M241" s="232">
        <f t="shared" si="325"/>
        <v>0</v>
      </c>
      <c r="N241" s="233">
        <v>0</v>
      </c>
      <c r="O241" s="233"/>
      <c r="P241" s="233"/>
      <c r="Q241" s="233"/>
      <c r="R241" s="232">
        <f t="shared" si="326"/>
        <v>0</v>
      </c>
    </row>
    <row r="242" spans="1:18" s="29" customFormat="1" ht="36">
      <c r="A242" s="234">
        <v>9580</v>
      </c>
      <c r="B242" s="235" t="s">
        <v>166</v>
      </c>
      <c r="C242" s="251"/>
      <c r="D242" s="252">
        <v>0</v>
      </c>
      <c r="E242" s="252"/>
      <c r="F242" s="252"/>
      <c r="G242" s="252"/>
      <c r="H242" s="232">
        <f t="shared" si="324"/>
        <v>0</v>
      </c>
      <c r="I242" s="252">
        <v>0</v>
      </c>
      <c r="J242" s="252"/>
      <c r="K242" s="252"/>
      <c r="L242" s="252"/>
      <c r="M242" s="232">
        <f t="shared" si="325"/>
        <v>0</v>
      </c>
      <c r="N242" s="252">
        <v>0</v>
      </c>
      <c r="O242" s="252"/>
      <c r="P242" s="252"/>
      <c r="Q242" s="252"/>
      <c r="R242" s="232">
        <f t="shared" si="326"/>
        <v>0</v>
      </c>
    </row>
    <row r="243" spans="1:18" s="29" customFormat="1" ht="36">
      <c r="A243" s="234">
        <v>9590</v>
      </c>
      <c r="B243" s="249" t="s">
        <v>172</v>
      </c>
      <c r="C243" s="251"/>
      <c r="D243" s="252">
        <v>0</v>
      </c>
      <c r="E243" s="252"/>
      <c r="F243" s="252"/>
      <c r="G243" s="252"/>
      <c r="H243" s="232">
        <f t="shared" si="324"/>
        <v>0</v>
      </c>
      <c r="I243" s="252">
        <v>0</v>
      </c>
      <c r="J243" s="252"/>
      <c r="K243" s="252"/>
      <c r="L243" s="252"/>
      <c r="M243" s="232">
        <f t="shared" si="325"/>
        <v>0</v>
      </c>
      <c r="N243" s="252">
        <v>0</v>
      </c>
      <c r="O243" s="252"/>
      <c r="P243" s="252"/>
      <c r="Q243" s="252"/>
      <c r="R243" s="232">
        <f t="shared" si="326"/>
        <v>0</v>
      </c>
    </row>
    <row r="244" spans="1:18" s="29" customFormat="1" ht="24">
      <c r="A244" s="256">
        <v>9700</v>
      </c>
      <c r="B244" s="257" t="s">
        <v>194</v>
      </c>
      <c r="C244" s="232">
        <v>0</v>
      </c>
      <c r="D244" s="233">
        <v>0</v>
      </c>
      <c r="E244" s="233">
        <f t="shared" ref="E244:G244" si="417">SUM(E245:E246)</f>
        <v>0</v>
      </c>
      <c r="F244" s="233">
        <f t="shared" ref="F244" si="418">SUM(F245:F246)</f>
        <v>0</v>
      </c>
      <c r="G244" s="233">
        <f t="shared" si="417"/>
        <v>0</v>
      </c>
      <c r="H244" s="232">
        <f t="shared" si="324"/>
        <v>0</v>
      </c>
      <c r="I244" s="233">
        <v>0</v>
      </c>
      <c r="J244" s="233">
        <f t="shared" ref="J244:L244" si="419">SUM(J245:J246)</f>
        <v>0</v>
      </c>
      <c r="K244" s="233">
        <f t="shared" ref="K244" si="420">SUM(K245:K246)</f>
        <v>0</v>
      </c>
      <c r="L244" s="233">
        <f t="shared" si="419"/>
        <v>0</v>
      </c>
      <c r="M244" s="232">
        <f t="shared" si="325"/>
        <v>0</v>
      </c>
      <c r="N244" s="233">
        <v>0</v>
      </c>
      <c r="O244" s="233">
        <f t="shared" ref="O244:Q244" si="421">SUM(O245:O246)</f>
        <v>0</v>
      </c>
      <c r="P244" s="233">
        <f t="shared" ref="P244" si="422">SUM(P245:P246)</f>
        <v>0</v>
      </c>
      <c r="Q244" s="233">
        <f t="shared" si="421"/>
        <v>0</v>
      </c>
      <c r="R244" s="232">
        <f t="shared" si="326"/>
        <v>0</v>
      </c>
    </row>
    <row r="245" spans="1:18" s="29" customFormat="1" ht="24">
      <c r="A245" s="234">
        <v>9710</v>
      </c>
      <c r="B245" s="258" t="s">
        <v>195</v>
      </c>
      <c r="C245" s="251"/>
      <c r="D245" s="252">
        <v>0</v>
      </c>
      <c r="E245" s="252"/>
      <c r="F245" s="252"/>
      <c r="G245" s="252"/>
      <c r="H245" s="232">
        <f t="shared" si="324"/>
        <v>0</v>
      </c>
      <c r="I245" s="252">
        <v>0</v>
      </c>
      <c r="J245" s="252"/>
      <c r="K245" s="252"/>
      <c r="L245" s="252"/>
      <c r="M245" s="232">
        <f t="shared" si="325"/>
        <v>0</v>
      </c>
      <c r="N245" s="252">
        <v>0</v>
      </c>
      <c r="O245" s="252"/>
      <c r="P245" s="252"/>
      <c r="Q245" s="252"/>
      <c r="R245" s="232">
        <f t="shared" si="326"/>
        <v>0</v>
      </c>
    </row>
    <row r="246" spans="1:18" s="29" customFormat="1" ht="36">
      <c r="A246" s="259">
        <v>9720</v>
      </c>
      <c r="B246" s="257" t="s">
        <v>196</v>
      </c>
      <c r="C246" s="251"/>
      <c r="D246" s="252">
        <v>0</v>
      </c>
      <c r="E246" s="252"/>
      <c r="F246" s="252"/>
      <c r="G246" s="252"/>
      <c r="H246" s="232">
        <f t="shared" si="324"/>
        <v>0</v>
      </c>
      <c r="I246" s="252">
        <v>0</v>
      </c>
      <c r="J246" s="252"/>
      <c r="K246" s="252"/>
      <c r="L246" s="252"/>
      <c r="M246" s="232">
        <f t="shared" si="325"/>
        <v>0</v>
      </c>
      <c r="N246" s="252">
        <v>0</v>
      </c>
      <c r="O246" s="252"/>
      <c r="P246" s="252"/>
      <c r="Q246" s="252"/>
      <c r="R246" s="232">
        <f t="shared" si="326"/>
        <v>0</v>
      </c>
    </row>
    <row r="247" spans="1:18" s="29" customFormat="1" ht="24">
      <c r="A247" s="256">
        <v>9600</v>
      </c>
      <c r="B247" s="249" t="s">
        <v>134</v>
      </c>
      <c r="C247" s="251"/>
      <c r="D247" s="252">
        <v>0</v>
      </c>
      <c r="E247" s="252"/>
      <c r="F247" s="252"/>
      <c r="G247" s="252"/>
      <c r="H247" s="232">
        <f t="shared" si="324"/>
        <v>0</v>
      </c>
      <c r="I247" s="252">
        <v>0</v>
      </c>
      <c r="J247" s="252"/>
      <c r="K247" s="252"/>
      <c r="L247" s="252"/>
      <c r="M247" s="232">
        <f t="shared" si="325"/>
        <v>0</v>
      </c>
      <c r="N247" s="252">
        <v>0</v>
      </c>
      <c r="O247" s="252"/>
      <c r="P247" s="252"/>
      <c r="Q247" s="252"/>
      <c r="R247" s="232">
        <f t="shared" si="326"/>
        <v>0</v>
      </c>
    </row>
    <row r="248" spans="1:18" s="29" customFormat="1" ht="30.6">
      <c r="A248" s="130" t="s">
        <v>197</v>
      </c>
      <c r="B248" s="260" t="s">
        <v>47</v>
      </c>
      <c r="C248" s="261"/>
      <c r="D248" s="262">
        <v>0</v>
      </c>
      <c r="E248" s="262">
        <f t="shared" ref="E248:G248" si="423">E178-E203</f>
        <v>0</v>
      </c>
      <c r="F248" s="262">
        <f t="shared" ref="F248" si="424">F178-F203</f>
        <v>0</v>
      </c>
      <c r="G248" s="262">
        <f t="shared" si="423"/>
        <v>0</v>
      </c>
      <c r="H248" s="232">
        <f t="shared" si="324"/>
        <v>0</v>
      </c>
      <c r="I248" s="262">
        <v>0</v>
      </c>
      <c r="J248" s="262">
        <f t="shared" ref="J248:L248" si="425">J178-J203</f>
        <v>0</v>
      </c>
      <c r="K248" s="262">
        <f t="shared" ref="K248" si="426">K178-K203</f>
        <v>0</v>
      </c>
      <c r="L248" s="262">
        <f t="shared" si="425"/>
        <v>0</v>
      </c>
      <c r="M248" s="232">
        <f t="shared" si="325"/>
        <v>0</v>
      </c>
      <c r="N248" s="262">
        <v>0</v>
      </c>
      <c r="O248" s="262">
        <f t="shared" ref="O248:Q248" si="427">O178-O203</f>
        <v>0</v>
      </c>
      <c r="P248" s="262">
        <f t="shared" ref="P248" si="428">P178-P203</f>
        <v>0</v>
      </c>
      <c r="Q248" s="262">
        <f t="shared" si="427"/>
        <v>0</v>
      </c>
      <c r="R248" s="232">
        <f t="shared" si="326"/>
        <v>0</v>
      </c>
    </row>
    <row r="249" spans="1:18" s="29" customFormat="1" ht="12">
      <c r="A249" s="263" t="s">
        <v>48</v>
      </c>
      <c r="B249" s="260" t="s">
        <v>49</v>
      </c>
      <c r="C249" s="261">
        <v>0</v>
      </c>
      <c r="D249" s="262">
        <v>0</v>
      </c>
      <c r="E249" s="262">
        <f t="shared" ref="E249:G249" si="429">E250+E253+E257+E256</f>
        <v>0</v>
      </c>
      <c r="F249" s="262">
        <f t="shared" ref="F249" si="430">F250+F253+F257+F256</f>
        <v>0</v>
      </c>
      <c r="G249" s="262">
        <f t="shared" si="429"/>
        <v>0</v>
      </c>
      <c r="H249" s="232">
        <f t="shared" si="324"/>
        <v>0</v>
      </c>
      <c r="I249" s="262">
        <v>0</v>
      </c>
      <c r="J249" s="262">
        <f t="shared" ref="J249:L249" si="431">J250+J253+J257+J256</f>
        <v>0</v>
      </c>
      <c r="K249" s="262">
        <f t="shared" ref="K249" si="432">K250+K253+K257+K256</f>
        <v>0</v>
      </c>
      <c r="L249" s="262">
        <f t="shared" si="431"/>
        <v>0</v>
      </c>
      <c r="M249" s="232">
        <f t="shared" si="325"/>
        <v>0</v>
      </c>
      <c r="N249" s="262">
        <v>0</v>
      </c>
      <c r="O249" s="262">
        <f t="shared" ref="O249:Q249" si="433">O250+O253+O257+O256</f>
        <v>0</v>
      </c>
      <c r="P249" s="262">
        <f t="shared" ref="P249" si="434">P250+P253+P257+P256</f>
        <v>0</v>
      </c>
      <c r="Q249" s="262">
        <f t="shared" si="433"/>
        <v>0</v>
      </c>
      <c r="R249" s="232">
        <f t="shared" si="326"/>
        <v>0</v>
      </c>
    </row>
    <row r="250" spans="1:18" s="29" customFormat="1" ht="12">
      <c r="A250" s="256" t="s">
        <v>50</v>
      </c>
      <c r="B250" s="249" t="s">
        <v>51</v>
      </c>
      <c r="C250" s="230">
        <v>0</v>
      </c>
      <c r="D250" s="231">
        <v>0</v>
      </c>
      <c r="E250" s="231">
        <f t="shared" ref="E250:G250" si="435">E251+E252</f>
        <v>0</v>
      </c>
      <c r="F250" s="231">
        <f t="shared" ref="F250" si="436">F251+F252</f>
        <v>0</v>
      </c>
      <c r="G250" s="231">
        <f t="shared" si="435"/>
        <v>0</v>
      </c>
      <c r="H250" s="232">
        <f t="shared" si="324"/>
        <v>0</v>
      </c>
      <c r="I250" s="231">
        <v>0</v>
      </c>
      <c r="J250" s="231">
        <f t="shared" ref="J250:L250" si="437">J251+J252</f>
        <v>0</v>
      </c>
      <c r="K250" s="231">
        <f t="shared" ref="K250" si="438">K251+K252</f>
        <v>0</v>
      </c>
      <c r="L250" s="231">
        <f t="shared" si="437"/>
        <v>0</v>
      </c>
      <c r="M250" s="232">
        <f t="shared" si="325"/>
        <v>0</v>
      </c>
      <c r="N250" s="231">
        <v>0</v>
      </c>
      <c r="O250" s="231">
        <f t="shared" ref="O250:Q250" si="439">O251+O252</f>
        <v>0</v>
      </c>
      <c r="P250" s="231">
        <f t="shared" ref="P250" si="440">P251+P252</f>
        <v>0</v>
      </c>
      <c r="Q250" s="231">
        <f t="shared" si="439"/>
        <v>0</v>
      </c>
      <c r="R250" s="232">
        <f t="shared" si="326"/>
        <v>0</v>
      </c>
    </row>
    <row r="251" spans="1:18" s="29" customFormat="1" ht="12">
      <c r="A251" s="256" t="s">
        <v>52</v>
      </c>
      <c r="B251" s="249" t="s">
        <v>53</v>
      </c>
      <c r="C251" s="230"/>
      <c r="D251" s="231">
        <v>0</v>
      </c>
      <c r="E251" s="231"/>
      <c r="F251" s="231"/>
      <c r="G251" s="231"/>
      <c r="H251" s="232">
        <f t="shared" si="324"/>
        <v>0</v>
      </c>
      <c r="I251" s="231">
        <v>0</v>
      </c>
      <c r="J251" s="231"/>
      <c r="K251" s="231"/>
      <c r="L251" s="231"/>
      <c r="M251" s="232">
        <f t="shared" si="325"/>
        <v>0</v>
      </c>
      <c r="N251" s="231">
        <v>0</v>
      </c>
      <c r="O251" s="231"/>
      <c r="P251" s="231"/>
      <c r="Q251" s="231"/>
      <c r="R251" s="232">
        <f t="shared" si="326"/>
        <v>0</v>
      </c>
    </row>
    <row r="252" spans="1:18" s="29" customFormat="1" ht="12">
      <c r="A252" s="256" t="s">
        <v>54</v>
      </c>
      <c r="B252" s="249" t="s">
        <v>55</v>
      </c>
      <c r="C252" s="230"/>
      <c r="D252" s="231">
        <v>0</v>
      </c>
      <c r="E252" s="231"/>
      <c r="F252" s="231"/>
      <c r="G252" s="231"/>
      <c r="H252" s="232">
        <f t="shared" si="324"/>
        <v>0</v>
      </c>
      <c r="I252" s="231">
        <v>0</v>
      </c>
      <c r="J252" s="231"/>
      <c r="K252" s="231"/>
      <c r="L252" s="231"/>
      <c r="M252" s="232">
        <f t="shared" si="325"/>
        <v>0</v>
      </c>
      <c r="N252" s="231">
        <v>0</v>
      </c>
      <c r="O252" s="231"/>
      <c r="P252" s="231"/>
      <c r="Q252" s="231"/>
      <c r="R252" s="232">
        <f t="shared" si="326"/>
        <v>0</v>
      </c>
    </row>
    <row r="253" spans="1:18" s="29" customFormat="1" ht="12">
      <c r="A253" s="256" t="s">
        <v>56</v>
      </c>
      <c r="B253" s="249" t="s">
        <v>57</v>
      </c>
      <c r="C253" s="230">
        <v>0</v>
      </c>
      <c r="D253" s="231">
        <v>0</v>
      </c>
      <c r="E253" s="231">
        <f t="shared" ref="E253:G253" si="441">E254+E255</f>
        <v>0</v>
      </c>
      <c r="F253" s="231">
        <f t="shared" ref="F253" si="442">F254+F255</f>
        <v>0</v>
      </c>
      <c r="G253" s="231">
        <f t="shared" si="441"/>
        <v>0</v>
      </c>
      <c r="H253" s="232">
        <f t="shared" si="324"/>
        <v>0</v>
      </c>
      <c r="I253" s="231">
        <v>0</v>
      </c>
      <c r="J253" s="231">
        <f t="shared" ref="J253:L253" si="443">J254+J255</f>
        <v>0</v>
      </c>
      <c r="K253" s="231">
        <f t="shared" ref="K253" si="444">K254+K255</f>
        <v>0</v>
      </c>
      <c r="L253" s="231">
        <f t="shared" si="443"/>
        <v>0</v>
      </c>
      <c r="M253" s="232">
        <f t="shared" si="325"/>
        <v>0</v>
      </c>
      <c r="N253" s="231">
        <v>0</v>
      </c>
      <c r="O253" s="231">
        <f t="shared" ref="O253:Q253" si="445">O254+O255</f>
        <v>0</v>
      </c>
      <c r="P253" s="231">
        <f t="shared" ref="P253" si="446">P254+P255</f>
        <v>0</v>
      </c>
      <c r="Q253" s="231">
        <f t="shared" si="445"/>
        <v>0</v>
      </c>
      <c r="R253" s="232">
        <f t="shared" si="326"/>
        <v>0</v>
      </c>
    </row>
    <row r="254" spans="1:18" s="29" customFormat="1" ht="12">
      <c r="A254" s="256" t="s">
        <v>58</v>
      </c>
      <c r="B254" s="249" t="s">
        <v>59</v>
      </c>
      <c r="C254" s="230"/>
      <c r="D254" s="231">
        <v>0</v>
      </c>
      <c r="E254" s="231"/>
      <c r="F254" s="231"/>
      <c r="G254" s="231"/>
      <c r="H254" s="232">
        <f t="shared" si="324"/>
        <v>0</v>
      </c>
      <c r="I254" s="231">
        <v>0</v>
      </c>
      <c r="J254" s="231"/>
      <c r="K254" s="231"/>
      <c r="L254" s="231"/>
      <c r="M254" s="232">
        <f t="shared" si="325"/>
        <v>0</v>
      </c>
      <c r="N254" s="231">
        <v>0</v>
      </c>
      <c r="O254" s="231"/>
      <c r="P254" s="231"/>
      <c r="Q254" s="231"/>
      <c r="R254" s="232">
        <f t="shared" si="326"/>
        <v>0</v>
      </c>
    </row>
    <row r="255" spans="1:18" s="29" customFormat="1" ht="12">
      <c r="A255" s="256" t="s">
        <v>60</v>
      </c>
      <c r="B255" s="249" t="s">
        <v>61</v>
      </c>
      <c r="C255" s="230"/>
      <c r="D255" s="231">
        <v>0</v>
      </c>
      <c r="E255" s="231"/>
      <c r="F255" s="231"/>
      <c r="G255" s="231"/>
      <c r="H255" s="232">
        <f t="shared" si="324"/>
        <v>0</v>
      </c>
      <c r="I255" s="231">
        <v>0</v>
      </c>
      <c r="J255" s="231"/>
      <c r="K255" s="231"/>
      <c r="L255" s="231"/>
      <c r="M255" s="232">
        <f t="shared" si="325"/>
        <v>0</v>
      </c>
      <c r="N255" s="231">
        <v>0</v>
      </c>
      <c r="O255" s="231"/>
      <c r="P255" s="231"/>
      <c r="Q255" s="231"/>
      <c r="R255" s="232">
        <f t="shared" si="326"/>
        <v>0</v>
      </c>
    </row>
    <row r="256" spans="1:18" s="29" customFormat="1" ht="12">
      <c r="A256" s="256" t="s">
        <v>198</v>
      </c>
      <c r="B256" s="264" t="s">
        <v>168</v>
      </c>
      <c r="C256" s="230"/>
      <c r="D256" s="231">
        <v>0</v>
      </c>
      <c r="E256" s="231"/>
      <c r="F256" s="231"/>
      <c r="G256" s="231"/>
      <c r="H256" s="232">
        <f t="shared" si="324"/>
        <v>0</v>
      </c>
      <c r="I256" s="231">
        <v>0</v>
      </c>
      <c r="J256" s="231"/>
      <c r="K256" s="231"/>
      <c r="L256" s="231"/>
      <c r="M256" s="232">
        <f t="shared" si="325"/>
        <v>0</v>
      </c>
      <c r="N256" s="231">
        <v>0</v>
      </c>
      <c r="O256" s="231"/>
      <c r="P256" s="231"/>
      <c r="Q256" s="231"/>
      <c r="R256" s="232">
        <f t="shared" si="326"/>
        <v>0</v>
      </c>
    </row>
    <row r="257" spans="1:18" s="29" customFormat="1" ht="12">
      <c r="A257" s="144" t="s">
        <v>62</v>
      </c>
      <c r="B257" s="101" t="s">
        <v>63</v>
      </c>
      <c r="C257" s="232">
        <v>0</v>
      </c>
      <c r="D257" s="233">
        <v>0</v>
      </c>
      <c r="E257" s="233">
        <f t="shared" ref="E257:G257" si="447">E258+E259+E260</f>
        <v>0</v>
      </c>
      <c r="F257" s="233">
        <f t="shared" ref="F257" si="448">F258+F259+F260</f>
        <v>0</v>
      </c>
      <c r="G257" s="233">
        <f t="shared" si="447"/>
        <v>0</v>
      </c>
      <c r="H257" s="232">
        <f t="shared" si="324"/>
        <v>0</v>
      </c>
      <c r="I257" s="233">
        <v>0</v>
      </c>
      <c r="J257" s="233">
        <f t="shared" ref="J257:L257" si="449">J258+J259+J260</f>
        <v>0</v>
      </c>
      <c r="K257" s="233">
        <f t="shared" ref="K257" si="450">K258+K259+K260</f>
        <v>0</v>
      </c>
      <c r="L257" s="233">
        <f t="shared" si="449"/>
        <v>0</v>
      </c>
      <c r="M257" s="232">
        <f t="shared" si="325"/>
        <v>0</v>
      </c>
      <c r="N257" s="233">
        <v>0</v>
      </c>
      <c r="O257" s="233">
        <f t="shared" ref="O257:Q257" si="451">O258+O259+O260</f>
        <v>0</v>
      </c>
      <c r="P257" s="233">
        <f t="shared" ref="P257" si="452">P258+P259+P260</f>
        <v>0</v>
      </c>
      <c r="Q257" s="233">
        <f t="shared" si="451"/>
        <v>0</v>
      </c>
      <c r="R257" s="232">
        <f t="shared" si="326"/>
        <v>0</v>
      </c>
    </row>
    <row r="258" spans="1:18" s="29" customFormat="1" ht="24">
      <c r="A258" s="144" t="s">
        <v>64</v>
      </c>
      <c r="B258" s="249" t="s">
        <v>65</v>
      </c>
      <c r="C258" s="230"/>
      <c r="D258" s="231">
        <v>0</v>
      </c>
      <c r="E258" s="231"/>
      <c r="F258" s="231"/>
      <c r="G258" s="231"/>
      <c r="H258" s="232">
        <f t="shared" si="324"/>
        <v>0</v>
      </c>
      <c r="I258" s="231">
        <v>0</v>
      </c>
      <c r="J258" s="231"/>
      <c r="K258" s="231"/>
      <c r="L258" s="231"/>
      <c r="M258" s="232">
        <f t="shared" si="325"/>
        <v>0</v>
      </c>
      <c r="N258" s="231">
        <v>0</v>
      </c>
      <c r="O258" s="231"/>
      <c r="P258" s="231"/>
      <c r="Q258" s="231"/>
      <c r="R258" s="232">
        <f t="shared" si="326"/>
        <v>0</v>
      </c>
    </row>
    <row r="259" spans="1:18" s="29" customFormat="1" ht="24">
      <c r="A259" s="144" t="s">
        <v>66</v>
      </c>
      <c r="B259" s="249" t="s">
        <v>67</v>
      </c>
      <c r="C259" s="230"/>
      <c r="D259" s="231">
        <v>0</v>
      </c>
      <c r="E259" s="231"/>
      <c r="F259" s="231"/>
      <c r="G259" s="231"/>
      <c r="H259" s="232">
        <f t="shared" si="324"/>
        <v>0</v>
      </c>
      <c r="I259" s="231">
        <v>0</v>
      </c>
      <c r="J259" s="231"/>
      <c r="K259" s="231"/>
      <c r="L259" s="231"/>
      <c r="M259" s="232">
        <f t="shared" si="325"/>
        <v>0</v>
      </c>
      <c r="N259" s="231">
        <v>0</v>
      </c>
      <c r="O259" s="231"/>
      <c r="P259" s="231"/>
      <c r="Q259" s="231"/>
      <c r="R259" s="232">
        <f t="shared" si="326"/>
        <v>0</v>
      </c>
    </row>
    <row r="260" spans="1:18" s="29" customFormat="1" ht="24">
      <c r="A260" s="144" t="s">
        <v>68</v>
      </c>
      <c r="B260" s="101" t="s">
        <v>69</v>
      </c>
      <c r="C260" s="230"/>
      <c r="D260" s="231">
        <v>0</v>
      </c>
      <c r="E260" s="231"/>
      <c r="F260" s="231"/>
      <c r="G260" s="231"/>
      <c r="H260" s="232">
        <f t="shared" si="324"/>
        <v>0</v>
      </c>
      <c r="I260" s="231">
        <v>0</v>
      </c>
      <c r="J260" s="231"/>
      <c r="K260" s="231"/>
      <c r="L260" s="231"/>
      <c r="M260" s="232">
        <f t="shared" si="325"/>
        <v>0</v>
      </c>
      <c r="N260" s="231">
        <v>0</v>
      </c>
      <c r="O260" s="231"/>
      <c r="P260" s="231"/>
      <c r="Q260" s="231"/>
      <c r="R260" s="232">
        <f t="shared" si="326"/>
        <v>0</v>
      </c>
    </row>
    <row r="261" spans="1:18" s="29" customFormat="1" ht="12">
      <c r="A261" s="271"/>
      <c r="B261" s="272"/>
      <c r="C261" s="253"/>
      <c r="D261" s="254"/>
      <c r="E261" s="253"/>
      <c r="F261" s="253"/>
      <c r="G261" s="253"/>
      <c r="H261" s="232"/>
      <c r="I261" s="254"/>
      <c r="J261" s="253"/>
      <c r="K261" s="253"/>
      <c r="L261" s="253"/>
      <c r="M261" s="232"/>
      <c r="N261" s="254"/>
      <c r="O261" s="253"/>
      <c r="P261" s="253"/>
      <c r="Q261" s="253"/>
      <c r="R261" s="232"/>
    </row>
    <row r="262" spans="1:18" ht="12">
      <c r="A262" s="33"/>
      <c r="B262" s="164"/>
      <c r="C262" s="165"/>
      <c r="D262" s="163"/>
      <c r="E262" s="165"/>
      <c r="F262" s="163"/>
      <c r="G262" s="163"/>
      <c r="H262" s="163"/>
      <c r="I262" s="163"/>
      <c r="J262" s="165"/>
      <c r="K262" s="163"/>
      <c r="L262" s="163"/>
      <c r="M262" s="163"/>
      <c r="N262" s="163"/>
      <c r="O262" s="165"/>
      <c r="P262" s="163"/>
      <c r="Q262" s="163"/>
      <c r="R262" s="163"/>
    </row>
    <row r="263" spans="1:18" ht="12">
      <c r="A263" s="33"/>
      <c r="B263" s="164"/>
      <c r="C263" s="165"/>
      <c r="D263" s="163"/>
      <c r="E263" s="165"/>
      <c r="F263" s="163"/>
      <c r="G263" s="163"/>
      <c r="H263" s="163"/>
      <c r="I263" s="163"/>
      <c r="J263" s="165"/>
      <c r="K263" s="163"/>
      <c r="L263" s="163"/>
      <c r="M263" s="163"/>
      <c r="N263" s="163"/>
      <c r="O263" s="165"/>
      <c r="P263" s="163"/>
      <c r="Q263" s="163"/>
      <c r="R263" s="163"/>
    </row>
    <row r="264" spans="1:18" ht="13.2">
      <c r="A264" s="369" t="s">
        <v>236</v>
      </c>
      <c r="B264" s="370" t="s">
        <v>237</v>
      </c>
      <c r="C264" s="165"/>
      <c r="D264" s="163"/>
      <c r="E264" s="165"/>
      <c r="F264" s="163"/>
      <c r="G264" s="163"/>
      <c r="H264" s="163"/>
      <c r="I264" s="163"/>
      <c r="J264" s="165"/>
      <c r="K264" s="163"/>
      <c r="L264" s="163"/>
      <c r="M264" s="163"/>
      <c r="N264" s="163"/>
      <c r="O264" s="165"/>
      <c r="P264" s="163"/>
      <c r="Q264" s="163"/>
      <c r="R264" s="163"/>
    </row>
    <row r="265" spans="1:18" ht="13.2">
      <c r="A265" s="371"/>
      <c r="B265" s="372" t="s">
        <v>238</v>
      </c>
      <c r="C265" s="165"/>
      <c r="D265" s="163"/>
      <c r="E265" s="165"/>
      <c r="F265" s="163"/>
      <c r="G265" s="163"/>
      <c r="H265" s="163"/>
      <c r="I265" s="163"/>
      <c r="J265" s="165"/>
      <c r="K265" s="163"/>
      <c r="L265" s="163"/>
      <c r="M265" s="163"/>
      <c r="N265" s="163"/>
      <c r="O265" s="165"/>
      <c r="P265" s="163"/>
      <c r="Q265" s="163"/>
      <c r="R265" s="163"/>
    </row>
    <row r="266" spans="1:18" ht="13.2">
      <c r="A266" s="373" t="s">
        <v>223</v>
      </c>
      <c r="B266" s="374" t="s">
        <v>434</v>
      </c>
      <c r="C266" s="165"/>
      <c r="D266" s="163"/>
      <c r="E266" s="165"/>
      <c r="F266" s="163"/>
      <c r="G266" s="163"/>
      <c r="H266" s="163"/>
      <c r="I266" s="163"/>
      <c r="J266" s="165"/>
      <c r="K266" s="163"/>
      <c r="L266" s="163"/>
      <c r="M266" s="163"/>
      <c r="N266" s="163"/>
      <c r="O266" s="165"/>
      <c r="P266" s="163"/>
      <c r="Q266" s="163"/>
      <c r="R266" s="163"/>
    </row>
    <row r="267" spans="1:18" ht="13.2">
      <c r="A267" s="375" t="s">
        <v>240</v>
      </c>
      <c r="B267" s="376" t="s">
        <v>241</v>
      </c>
      <c r="C267" s="165"/>
      <c r="D267" s="163"/>
      <c r="E267" s="165"/>
      <c r="F267" s="163"/>
      <c r="G267" s="163"/>
      <c r="H267" s="163"/>
      <c r="I267" s="163"/>
      <c r="J267" s="165"/>
      <c r="K267" s="163"/>
      <c r="L267" s="163"/>
      <c r="M267" s="163"/>
      <c r="N267" s="163"/>
      <c r="O267" s="165"/>
      <c r="P267" s="163"/>
      <c r="Q267" s="163"/>
      <c r="R267" s="163"/>
    </row>
    <row r="268" spans="1:18" ht="13.2">
      <c r="A268" s="377"/>
      <c r="B268" s="376"/>
      <c r="C268" s="165"/>
      <c r="D268" s="163"/>
      <c r="E268" s="165"/>
      <c r="F268" s="163"/>
      <c r="G268" s="163"/>
      <c r="H268" s="163"/>
      <c r="I268" s="163"/>
      <c r="J268" s="165"/>
      <c r="K268" s="163"/>
      <c r="L268" s="163"/>
      <c r="M268" s="163"/>
      <c r="N268" s="163"/>
      <c r="O268" s="165"/>
      <c r="P268" s="163"/>
      <c r="Q268" s="163"/>
      <c r="R268" s="163"/>
    </row>
    <row r="269" spans="1:18" ht="13.2">
      <c r="A269" s="378" t="s">
        <v>224</v>
      </c>
      <c r="B269" s="374" t="s">
        <v>242</v>
      </c>
      <c r="C269" s="165"/>
      <c r="D269" s="163"/>
      <c r="E269" s="165"/>
      <c r="F269" s="163"/>
      <c r="G269" s="163"/>
      <c r="H269" s="163"/>
      <c r="I269" s="163"/>
      <c r="J269" s="165"/>
      <c r="K269" s="163"/>
      <c r="L269" s="163"/>
      <c r="M269" s="163"/>
      <c r="N269" s="163"/>
      <c r="O269" s="165"/>
      <c r="P269" s="163"/>
      <c r="Q269" s="163"/>
      <c r="R269" s="163"/>
    </row>
    <row r="270" spans="1:18" ht="13.2">
      <c r="A270" s="375" t="s">
        <v>243</v>
      </c>
      <c r="B270" s="376" t="s">
        <v>244</v>
      </c>
      <c r="C270" s="165"/>
      <c r="D270" s="163"/>
      <c r="E270" s="165"/>
      <c r="F270" s="163"/>
      <c r="G270" s="163"/>
      <c r="H270" s="163"/>
      <c r="I270" s="163"/>
      <c r="J270" s="165"/>
      <c r="K270" s="163"/>
      <c r="L270" s="163"/>
      <c r="M270" s="163"/>
      <c r="N270" s="163"/>
      <c r="O270" s="165"/>
      <c r="P270" s="163"/>
      <c r="Q270" s="163"/>
      <c r="R270" s="163"/>
    </row>
    <row r="271" spans="1:18" ht="13.2">
      <c r="A271" s="377"/>
      <c r="B271" s="376"/>
      <c r="C271" s="165"/>
      <c r="D271" s="163"/>
      <c r="E271" s="165"/>
      <c r="F271" s="163"/>
      <c r="G271" s="163"/>
      <c r="H271" s="163"/>
      <c r="I271" s="163"/>
      <c r="J271" s="165"/>
      <c r="K271" s="163"/>
      <c r="L271" s="163"/>
      <c r="M271" s="163"/>
      <c r="N271" s="163"/>
      <c r="O271" s="165"/>
      <c r="P271" s="163"/>
      <c r="Q271" s="163"/>
      <c r="R271" s="163"/>
    </row>
    <row r="272" spans="1:18" ht="13.2">
      <c r="A272" s="369" t="s">
        <v>245</v>
      </c>
      <c r="B272" s="370" t="s">
        <v>140</v>
      </c>
      <c r="C272" s="165"/>
      <c r="D272" s="163"/>
      <c r="E272" s="165"/>
      <c r="F272" s="163"/>
      <c r="G272" s="163"/>
      <c r="H272" s="163"/>
      <c r="I272" s="163"/>
      <c r="J272" s="165"/>
      <c r="K272" s="163"/>
      <c r="L272" s="163"/>
      <c r="M272" s="163"/>
      <c r="N272" s="163"/>
      <c r="O272" s="165"/>
      <c r="P272" s="163"/>
      <c r="Q272" s="163"/>
      <c r="R272" s="163"/>
    </row>
    <row r="273" spans="1:18" ht="13.2">
      <c r="A273" s="371"/>
      <c r="B273" s="372" t="s">
        <v>238</v>
      </c>
      <c r="C273" s="165"/>
      <c r="D273" s="163"/>
      <c r="E273" s="165"/>
      <c r="F273" s="163"/>
      <c r="G273" s="163"/>
      <c r="H273" s="163"/>
      <c r="I273" s="163"/>
      <c r="J273" s="165"/>
      <c r="K273" s="163"/>
      <c r="L273" s="163"/>
      <c r="M273" s="163"/>
      <c r="N273" s="163"/>
      <c r="O273" s="165"/>
      <c r="P273" s="163"/>
      <c r="Q273" s="163"/>
      <c r="R273" s="163"/>
    </row>
    <row r="274" spans="1:18" ht="13.2">
      <c r="A274" s="373" t="s">
        <v>223</v>
      </c>
      <c r="B274" s="374" t="s">
        <v>434</v>
      </c>
      <c r="C274" s="165"/>
      <c r="D274" s="163"/>
      <c r="E274" s="165"/>
      <c r="F274" s="163"/>
      <c r="G274" s="163"/>
      <c r="H274" s="163"/>
      <c r="I274" s="163"/>
      <c r="J274" s="165"/>
      <c r="K274" s="163"/>
      <c r="L274" s="163"/>
      <c r="M274" s="163"/>
      <c r="N274" s="163"/>
      <c r="O274" s="165"/>
      <c r="P274" s="163"/>
      <c r="Q274" s="163"/>
      <c r="R274" s="163"/>
    </row>
    <row r="275" spans="1:18" ht="13.2">
      <c r="A275" s="375" t="s">
        <v>240</v>
      </c>
      <c r="B275" s="376" t="s">
        <v>241</v>
      </c>
      <c r="C275" s="165"/>
      <c r="D275" s="163"/>
      <c r="E275" s="165"/>
      <c r="F275" s="163"/>
      <c r="G275" s="163"/>
      <c r="H275" s="163"/>
      <c r="I275" s="163"/>
      <c r="J275" s="165"/>
      <c r="K275" s="163"/>
      <c r="L275" s="163"/>
      <c r="M275" s="163"/>
      <c r="N275" s="163"/>
      <c r="O275" s="165"/>
      <c r="P275" s="163"/>
      <c r="Q275" s="163"/>
      <c r="R275" s="163"/>
    </row>
    <row r="276" spans="1:18" ht="13.2">
      <c r="A276" s="377"/>
      <c r="B276" s="376"/>
      <c r="C276" s="165"/>
      <c r="D276" s="163"/>
      <c r="E276" s="165"/>
      <c r="F276" s="163"/>
      <c r="G276" s="163"/>
      <c r="H276" s="163"/>
      <c r="I276" s="163"/>
      <c r="J276" s="165"/>
      <c r="K276" s="163"/>
      <c r="L276" s="163"/>
      <c r="M276" s="163"/>
      <c r="N276" s="163"/>
      <c r="O276" s="165"/>
      <c r="P276" s="163"/>
      <c r="Q276" s="163"/>
      <c r="R276" s="163"/>
    </row>
    <row r="277" spans="1:18" ht="13.2">
      <c r="A277" s="378" t="s">
        <v>224</v>
      </c>
      <c r="B277" s="374" t="s">
        <v>242</v>
      </c>
      <c r="C277" s="165"/>
      <c r="D277" s="163"/>
      <c r="E277" s="165"/>
      <c r="F277" s="163"/>
      <c r="G277" s="163"/>
      <c r="H277" s="163"/>
      <c r="I277" s="163"/>
      <c r="J277" s="165"/>
      <c r="K277" s="163"/>
      <c r="L277" s="163"/>
      <c r="M277" s="163"/>
      <c r="N277" s="163"/>
      <c r="O277" s="165"/>
      <c r="P277" s="163"/>
      <c r="Q277" s="163"/>
      <c r="R277" s="163"/>
    </row>
    <row r="278" spans="1:18" ht="13.2">
      <c r="A278" s="375" t="s">
        <v>243</v>
      </c>
      <c r="B278" s="376" t="s">
        <v>244</v>
      </c>
      <c r="C278" s="165"/>
      <c r="D278" s="163"/>
      <c r="E278" s="165"/>
      <c r="F278" s="163"/>
      <c r="G278" s="163"/>
      <c r="H278" s="163"/>
      <c r="I278" s="163"/>
      <c r="J278" s="165"/>
      <c r="K278" s="163"/>
      <c r="L278" s="163"/>
      <c r="M278" s="163"/>
      <c r="N278" s="163"/>
      <c r="O278" s="165"/>
      <c r="P278" s="163"/>
      <c r="Q278" s="163"/>
      <c r="R278" s="163"/>
    </row>
    <row r="279" spans="1:18" ht="12">
      <c r="A279" s="33"/>
      <c r="B279" s="34"/>
      <c r="C279" s="165"/>
      <c r="D279" s="163"/>
      <c r="E279" s="165"/>
      <c r="F279" s="163"/>
      <c r="G279" s="163"/>
      <c r="H279" s="163"/>
      <c r="I279" s="163"/>
      <c r="J279" s="165"/>
      <c r="K279" s="163"/>
      <c r="L279" s="163"/>
      <c r="M279" s="163"/>
      <c r="N279" s="163"/>
      <c r="O279" s="165"/>
      <c r="P279" s="163"/>
      <c r="Q279" s="163"/>
      <c r="R279" s="163"/>
    </row>
    <row r="280" spans="1:18" ht="12">
      <c r="A280" s="33"/>
      <c r="B280" s="34"/>
      <c r="C280" s="165"/>
      <c r="D280" s="163"/>
      <c r="E280" s="165"/>
      <c r="F280" s="163"/>
      <c r="G280" s="163"/>
      <c r="H280" s="163"/>
      <c r="I280" s="163"/>
      <c r="J280" s="165"/>
      <c r="K280" s="163"/>
      <c r="L280" s="163"/>
      <c r="M280" s="163"/>
      <c r="N280" s="163"/>
      <c r="O280" s="165"/>
      <c r="P280" s="163"/>
      <c r="Q280" s="163"/>
      <c r="R280" s="163"/>
    </row>
    <row r="281" spans="1:18" ht="12">
      <c r="A281" s="33"/>
      <c r="B281" s="31"/>
      <c r="C281" s="165"/>
      <c r="D281" s="163"/>
      <c r="E281" s="165"/>
      <c r="F281" s="163"/>
      <c r="G281" s="163"/>
      <c r="H281" s="163"/>
      <c r="I281" s="163"/>
      <c r="J281" s="165"/>
      <c r="K281" s="163"/>
      <c r="L281" s="163"/>
      <c r="M281" s="163"/>
      <c r="N281" s="163"/>
      <c r="O281" s="165"/>
      <c r="P281" s="163"/>
      <c r="Q281" s="163"/>
      <c r="R281" s="163"/>
    </row>
    <row r="282" spans="1:18" ht="12">
      <c r="A282" s="33"/>
      <c r="B282" s="164"/>
      <c r="C282" s="165"/>
      <c r="D282" s="163"/>
      <c r="E282" s="165"/>
      <c r="F282" s="163"/>
      <c r="G282" s="163"/>
      <c r="H282" s="163"/>
      <c r="I282" s="163"/>
      <c r="J282" s="165"/>
      <c r="K282" s="163"/>
      <c r="L282" s="163"/>
      <c r="M282" s="163"/>
      <c r="N282" s="163"/>
      <c r="O282" s="165"/>
      <c r="P282" s="163"/>
      <c r="Q282" s="163"/>
      <c r="R282" s="163"/>
    </row>
    <row r="283" spans="1:18" ht="12">
      <c r="A283" s="33"/>
      <c r="B283" s="164"/>
      <c r="C283" s="165"/>
      <c r="D283" s="163"/>
      <c r="E283" s="165"/>
      <c r="F283" s="163"/>
      <c r="G283" s="163"/>
      <c r="H283" s="163"/>
      <c r="I283" s="163"/>
      <c r="J283" s="165"/>
      <c r="K283" s="163"/>
      <c r="L283" s="163"/>
      <c r="M283" s="163"/>
      <c r="N283" s="163"/>
      <c r="O283" s="165"/>
      <c r="P283" s="163"/>
      <c r="Q283" s="163"/>
      <c r="R283" s="163"/>
    </row>
    <row r="284" spans="1:18" ht="12">
      <c r="A284" s="33"/>
      <c r="B284" s="164"/>
      <c r="C284" s="165"/>
      <c r="D284" s="163"/>
      <c r="E284" s="165"/>
      <c r="F284" s="163"/>
      <c r="G284" s="163"/>
      <c r="H284" s="163"/>
      <c r="I284" s="163"/>
      <c r="J284" s="165"/>
      <c r="K284" s="163"/>
      <c r="L284" s="163"/>
      <c r="M284" s="163"/>
      <c r="N284" s="163"/>
      <c r="O284" s="165"/>
      <c r="P284" s="163"/>
      <c r="Q284" s="163"/>
      <c r="R284" s="163"/>
    </row>
    <row r="285" spans="1:18" ht="12">
      <c r="A285" s="33"/>
      <c r="B285" s="164"/>
      <c r="C285" s="165"/>
      <c r="D285" s="163"/>
      <c r="E285" s="165"/>
      <c r="F285" s="163"/>
      <c r="G285" s="163"/>
      <c r="H285" s="163"/>
      <c r="I285" s="163"/>
      <c r="J285" s="165"/>
      <c r="K285" s="163"/>
      <c r="L285" s="163"/>
      <c r="M285" s="163"/>
      <c r="N285" s="163"/>
      <c r="O285" s="165"/>
      <c r="P285" s="163"/>
      <c r="Q285" s="163"/>
      <c r="R285" s="163"/>
    </row>
    <row r="286" spans="1:18" ht="12">
      <c r="A286" s="33"/>
      <c r="B286" s="164"/>
      <c r="C286" s="165"/>
      <c r="D286" s="163"/>
      <c r="E286" s="165"/>
      <c r="F286" s="163"/>
      <c r="G286" s="163"/>
      <c r="H286" s="163"/>
      <c r="I286" s="163"/>
      <c r="J286" s="165"/>
      <c r="K286" s="163"/>
      <c r="L286" s="163"/>
      <c r="M286" s="163"/>
      <c r="N286" s="163"/>
      <c r="O286" s="165"/>
      <c r="P286" s="163"/>
      <c r="Q286" s="163"/>
      <c r="R286" s="163"/>
    </row>
    <row r="287" spans="1:18" ht="12">
      <c r="A287" s="33"/>
      <c r="B287" s="164"/>
      <c r="C287" s="165"/>
      <c r="D287" s="163"/>
      <c r="E287" s="165"/>
      <c r="F287" s="163"/>
      <c r="G287" s="163"/>
      <c r="H287" s="163"/>
      <c r="I287" s="163"/>
      <c r="J287" s="165"/>
      <c r="K287" s="163"/>
      <c r="L287" s="163"/>
      <c r="M287" s="163"/>
      <c r="N287" s="163"/>
      <c r="O287" s="165"/>
      <c r="P287" s="163"/>
      <c r="Q287" s="163"/>
      <c r="R287" s="163"/>
    </row>
    <row r="288" spans="1:18" ht="12">
      <c r="A288" s="33"/>
      <c r="B288" s="164"/>
      <c r="C288" s="165"/>
      <c r="D288" s="163"/>
      <c r="E288" s="165"/>
      <c r="F288" s="163"/>
      <c r="G288" s="163"/>
      <c r="H288" s="163"/>
      <c r="I288" s="163"/>
      <c r="J288" s="165"/>
      <c r="K288" s="163"/>
      <c r="L288" s="163"/>
      <c r="M288" s="163"/>
      <c r="N288" s="163"/>
      <c r="O288" s="165"/>
      <c r="P288" s="163"/>
      <c r="Q288" s="163"/>
      <c r="R288" s="163"/>
    </row>
    <row r="289" spans="1:18" ht="12">
      <c r="A289" s="33"/>
      <c r="B289" s="164"/>
      <c r="C289" s="165"/>
      <c r="D289" s="163"/>
      <c r="E289" s="165"/>
      <c r="F289" s="163"/>
      <c r="G289" s="163"/>
      <c r="H289" s="163"/>
      <c r="I289" s="163"/>
      <c r="J289" s="165"/>
      <c r="K289" s="163"/>
      <c r="L289" s="163"/>
      <c r="M289" s="163"/>
      <c r="N289" s="163"/>
      <c r="O289" s="165"/>
      <c r="P289" s="163"/>
      <c r="Q289" s="163"/>
      <c r="R289" s="163"/>
    </row>
    <row r="290" spans="1:18" ht="12">
      <c r="A290" s="33"/>
      <c r="B290" s="164"/>
      <c r="C290" s="165"/>
      <c r="D290" s="163"/>
      <c r="E290" s="165"/>
      <c r="F290" s="163"/>
      <c r="G290" s="163"/>
      <c r="H290" s="163"/>
      <c r="I290" s="163"/>
      <c r="J290" s="165"/>
      <c r="K290" s="163"/>
      <c r="L290" s="163"/>
      <c r="M290" s="163"/>
      <c r="N290" s="163"/>
      <c r="O290" s="165"/>
      <c r="P290" s="163"/>
      <c r="Q290" s="163"/>
      <c r="R290" s="163"/>
    </row>
    <row r="291" spans="1:18" ht="12">
      <c r="A291" s="33"/>
      <c r="B291" s="164"/>
      <c r="C291" s="165"/>
      <c r="D291" s="163"/>
      <c r="E291" s="165"/>
      <c r="F291" s="163"/>
      <c r="G291" s="163"/>
      <c r="H291" s="163"/>
      <c r="I291" s="163"/>
      <c r="J291" s="165"/>
      <c r="K291" s="163"/>
      <c r="L291" s="163"/>
      <c r="M291" s="163"/>
      <c r="N291" s="163"/>
      <c r="O291" s="165"/>
      <c r="P291" s="163"/>
      <c r="Q291" s="163"/>
      <c r="R291" s="163"/>
    </row>
    <row r="292" spans="1:18" ht="12">
      <c r="A292" s="33"/>
      <c r="B292" s="164"/>
      <c r="C292" s="165"/>
      <c r="D292" s="163"/>
      <c r="E292" s="165"/>
      <c r="F292" s="163"/>
      <c r="G292" s="163"/>
      <c r="H292" s="163"/>
      <c r="I292" s="163"/>
      <c r="J292" s="165"/>
      <c r="K292" s="163"/>
      <c r="L292" s="163"/>
      <c r="M292" s="163"/>
      <c r="N292" s="163"/>
      <c r="O292" s="165"/>
      <c r="P292" s="163"/>
      <c r="Q292" s="163"/>
      <c r="R292" s="163"/>
    </row>
    <row r="293" spans="1:18" ht="12">
      <c r="A293" s="33"/>
      <c r="B293" s="164"/>
      <c r="C293" s="165"/>
      <c r="D293" s="163"/>
      <c r="E293" s="165"/>
      <c r="F293" s="163"/>
      <c r="G293" s="163"/>
      <c r="H293" s="163"/>
      <c r="I293" s="163"/>
      <c r="J293" s="165"/>
      <c r="K293" s="163"/>
      <c r="L293" s="163"/>
      <c r="M293" s="163"/>
      <c r="N293" s="163"/>
      <c r="O293" s="165"/>
      <c r="P293" s="163"/>
      <c r="Q293" s="163"/>
      <c r="R293" s="163"/>
    </row>
    <row r="294" spans="1:18" ht="12">
      <c r="A294" s="33"/>
      <c r="B294" s="164"/>
      <c r="C294" s="165"/>
      <c r="D294" s="163"/>
      <c r="E294" s="165"/>
      <c r="F294" s="163"/>
      <c r="G294" s="163"/>
      <c r="H294" s="163"/>
      <c r="I294" s="163"/>
      <c r="J294" s="165"/>
      <c r="K294" s="163"/>
      <c r="L294" s="163"/>
      <c r="M294" s="163"/>
      <c r="N294" s="163"/>
      <c r="O294" s="165"/>
      <c r="P294" s="163"/>
      <c r="Q294" s="163"/>
      <c r="R294" s="163"/>
    </row>
    <row r="295" spans="1:18" ht="12">
      <c r="A295" s="33"/>
      <c r="B295" s="164"/>
      <c r="C295" s="165"/>
      <c r="D295" s="163"/>
      <c r="E295" s="165"/>
      <c r="F295" s="163"/>
      <c r="G295" s="163"/>
      <c r="H295" s="163"/>
      <c r="I295" s="163"/>
      <c r="J295" s="165"/>
      <c r="K295" s="163"/>
      <c r="L295" s="163"/>
      <c r="M295" s="163"/>
      <c r="N295" s="163"/>
      <c r="O295" s="165"/>
      <c r="P295" s="163"/>
      <c r="Q295" s="163"/>
      <c r="R295" s="163"/>
    </row>
    <row r="296" spans="1:18" ht="12">
      <c r="A296" s="33"/>
      <c r="B296" s="164"/>
      <c r="C296" s="165"/>
      <c r="D296" s="163"/>
      <c r="E296" s="165"/>
      <c r="F296" s="163"/>
      <c r="G296" s="163"/>
      <c r="H296" s="163"/>
      <c r="I296" s="163"/>
      <c r="J296" s="165"/>
      <c r="K296" s="163"/>
      <c r="L296" s="163"/>
      <c r="M296" s="163"/>
      <c r="N296" s="163"/>
      <c r="O296" s="165"/>
      <c r="P296" s="163"/>
      <c r="Q296" s="163"/>
      <c r="R296" s="163"/>
    </row>
    <row r="297" spans="1:18" ht="12">
      <c r="A297" s="33"/>
      <c r="B297" s="164"/>
      <c r="C297" s="165"/>
      <c r="D297" s="163"/>
      <c r="E297" s="165"/>
      <c r="F297" s="163"/>
      <c r="G297" s="163"/>
      <c r="H297" s="163"/>
      <c r="I297" s="163"/>
      <c r="J297" s="165"/>
      <c r="K297" s="163"/>
      <c r="L297" s="163"/>
      <c r="M297" s="163"/>
      <c r="N297" s="163"/>
      <c r="O297" s="165"/>
      <c r="P297" s="163"/>
      <c r="Q297" s="163"/>
      <c r="R297" s="163"/>
    </row>
    <row r="298" spans="1:18" ht="12">
      <c r="A298" s="33"/>
      <c r="B298" s="164"/>
      <c r="C298" s="165"/>
      <c r="D298" s="163"/>
      <c r="E298" s="165"/>
      <c r="F298" s="163"/>
      <c r="G298" s="163"/>
      <c r="H298" s="163"/>
      <c r="I298" s="163"/>
      <c r="J298" s="165"/>
      <c r="K298" s="163"/>
      <c r="L298" s="163"/>
      <c r="M298" s="163"/>
      <c r="N298" s="163"/>
      <c r="O298" s="165"/>
      <c r="P298" s="163"/>
      <c r="Q298" s="163"/>
      <c r="R298" s="163"/>
    </row>
    <row r="299" spans="1:18" ht="12">
      <c r="A299" s="33"/>
      <c r="B299" s="164"/>
      <c r="C299" s="165"/>
      <c r="D299" s="163"/>
      <c r="E299" s="165"/>
      <c r="F299" s="163"/>
      <c r="G299" s="163"/>
      <c r="H299" s="163"/>
      <c r="I299" s="163"/>
      <c r="J299" s="165"/>
      <c r="K299" s="163"/>
      <c r="L299" s="163"/>
      <c r="M299" s="163"/>
      <c r="N299" s="163"/>
      <c r="O299" s="165"/>
      <c r="P299" s="163"/>
      <c r="Q299" s="163"/>
      <c r="R299" s="163"/>
    </row>
    <row r="300" spans="1:18" ht="12">
      <c r="A300" s="33"/>
      <c r="B300" s="164"/>
      <c r="C300" s="165"/>
      <c r="D300" s="163"/>
      <c r="E300" s="165"/>
      <c r="F300" s="163"/>
      <c r="G300" s="163"/>
      <c r="H300" s="163"/>
      <c r="I300" s="163"/>
      <c r="J300" s="165"/>
      <c r="K300" s="163"/>
      <c r="L300" s="163"/>
      <c r="M300" s="163"/>
      <c r="N300" s="163"/>
      <c r="O300" s="165"/>
      <c r="P300" s="163"/>
      <c r="Q300" s="163"/>
      <c r="R300" s="163"/>
    </row>
    <row r="301" spans="1:18" ht="12">
      <c r="A301" s="33"/>
      <c r="B301" s="164"/>
      <c r="C301" s="165"/>
      <c r="D301" s="163"/>
      <c r="E301" s="165"/>
      <c r="F301" s="163"/>
      <c r="G301" s="163"/>
      <c r="H301" s="163"/>
      <c r="I301" s="163"/>
      <c r="J301" s="165"/>
      <c r="K301" s="163"/>
      <c r="L301" s="163"/>
      <c r="M301" s="163"/>
      <c r="N301" s="163"/>
      <c r="O301" s="165"/>
      <c r="P301" s="163"/>
      <c r="Q301" s="163"/>
      <c r="R301" s="163"/>
    </row>
    <row r="302" spans="1:18" ht="12">
      <c r="A302" s="33"/>
      <c r="B302" s="164"/>
      <c r="C302" s="165"/>
      <c r="D302" s="163"/>
      <c r="E302" s="165"/>
      <c r="F302" s="163"/>
      <c r="G302" s="163"/>
      <c r="H302" s="163"/>
      <c r="I302" s="163"/>
      <c r="J302" s="165"/>
      <c r="K302" s="163"/>
      <c r="L302" s="163"/>
      <c r="M302" s="163"/>
      <c r="N302" s="163"/>
      <c r="O302" s="165"/>
      <c r="P302" s="163"/>
      <c r="Q302" s="163"/>
      <c r="R302" s="163"/>
    </row>
    <row r="303" spans="1:18" ht="12">
      <c r="A303" s="33"/>
      <c r="B303" s="164"/>
      <c r="C303" s="165"/>
      <c r="D303" s="163"/>
      <c r="E303" s="165"/>
      <c r="F303" s="163"/>
      <c r="G303" s="163"/>
      <c r="H303" s="163"/>
      <c r="I303" s="163"/>
      <c r="J303" s="165"/>
      <c r="K303" s="163"/>
      <c r="L303" s="163"/>
      <c r="M303" s="163"/>
      <c r="N303" s="163"/>
      <c r="O303" s="165"/>
      <c r="P303" s="163"/>
      <c r="Q303" s="163"/>
      <c r="R303" s="163"/>
    </row>
    <row r="304" spans="1:18" ht="12">
      <c r="A304" s="33"/>
      <c r="B304" s="164"/>
      <c r="C304" s="165"/>
      <c r="D304" s="163"/>
      <c r="E304" s="165"/>
      <c r="F304" s="163"/>
      <c r="G304" s="163"/>
      <c r="H304" s="163"/>
      <c r="I304" s="163"/>
      <c r="J304" s="165"/>
      <c r="K304" s="163"/>
      <c r="L304" s="163"/>
      <c r="M304" s="163"/>
      <c r="N304" s="163"/>
      <c r="O304" s="165"/>
      <c r="P304" s="163"/>
      <c r="Q304" s="163"/>
      <c r="R304" s="163"/>
    </row>
    <row r="305" spans="1:18" ht="12">
      <c r="A305" s="33"/>
      <c r="B305" s="164"/>
      <c r="C305" s="165"/>
      <c r="D305" s="163"/>
      <c r="E305" s="165"/>
      <c r="F305" s="163"/>
      <c r="G305" s="163"/>
      <c r="H305" s="163"/>
      <c r="I305" s="163"/>
      <c r="J305" s="165"/>
      <c r="K305" s="163"/>
      <c r="L305" s="163"/>
      <c r="M305" s="163"/>
      <c r="N305" s="163"/>
      <c r="O305" s="165"/>
      <c r="P305" s="163"/>
      <c r="Q305" s="163"/>
      <c r="R305" s="163"/>
    </row>
    <row r="306" spans="1:18" ht="12">
      <c r="A306" s="33"/>
      <c r="B306" s="164"/>
      <c r="C306" s="165"/>
      <c r="D306" s="163"/>
      <c r="E306" s="165"/>
      <c r="F306" s="163"/>
      <c r="G306" s="163"/>
      <c r="H306" s="163"/>
      <c r="I306" s="163"/>
      <c r="J306" s="165"/>
      <c r="K306" s="163"/>
      <c r="L306" s="163"/>
      <c r="M306" s="163"/>
      <c r="N306" s="163"/>
      <c r="O306" s="165"/>
      <c r="P306" s="163"/>
      <c r="Q306" s="163"/>
      <c r="R306" s="163"/>
    </row>
    <row r="307" spans="1:18" ht="12">
      <c r="A307" s="33"/>
      <c r="B307" s="164"/>
      <c r="C307" s="165"/>
      <c r="D307" s="163"/>
      <c r="E307" s="165"/>
      <c r="F307" s="163"/>
      <c r="G307" s="163"/>
      <c r="H307" s="163"/>
      <c r="I307" s="163"/>
      <c r="J307" s="165"/>
      <c r="K307" s="163"/>
      <c r="L307" s="163"/>
      <c r="M307" s="163"/>
      <c r="N307" s="163"/>
      <c r="O307" s="165"/>
      <c r="P307" s="163"/>
      <c r="Q307" s="163"/>
      <c r="R307" s="163"/>
    </row>
    <row r="308" spans="1:18" ht="12">
      <c r="A308" s="33"/>
      <c r="B308" s="164"/>
      <c r="C308" s="165"/>
      <c r="D308" s="163"/>
      <c r="E308" s="165"/>
      <c r="F308" s="163"/>
      <c r="G308" s="163"/>
      <c r="H308" s="163"/>
      <c r="I308" s="163"/>
      <c r="J308" s="165"/>
      <c r="K308" s="163"/>
      <c r="L308" s="163"/>
      <c r="M308" s="163"/>
      <c r="N308" s="163"/>
      <c r="O308" s="165"/>
      <c r="P308" s="163"/>
      <c r="Q308" s="163"/>
      <c r="R308" s="163"/>
    </row>
    <row r="309" spans="1:18" ht="12">
      <c r="A309" s="33"/>
      <c r="B309" s="164"/>
      <c r="C309" s="165"/>
      <c r="D309" s="163"/>
      <c r="E309" s="165"/>
      <c r="F309" s="163"/>
      <c r="G309" s="163"/>
      <c r="H309" s="163"/>
      <c r="I309" s="163"/>
      <c r="J309" s="165"/>
      <c r="K309" s="163"/>
      <c r="L309" s="163"/>
      <c r="M309" s="163"/>
      <c r="N309" s="163"/>
      <c r="O309" s="165"/>
      <c r="P309" s="163"/>
      <c r="Q309" s="163"/>
      <c r="R309" s="163"/>
    </row>
    <row r="310" spans="1:18" ht="12">
      <c r="A310" s="33"/>
      <c r="B310" s="164"/>
      <c r="C310" s="165"/>
      <c r="D310" s="163"/>
      <c r="E310" s="165"/>
      <c r="F310" s="163"/>
      <c r="G310" s="163"/>
      <c r="H310" s="163"/>
      <c r="I310" s="163"/>
      <c r="J310" s="165"/>
      <c r="K310" s="163"/>
      <c r="L310" s="163"/>
      <c r="M310" s="163"/>
      <c r="N310" s="163"/>
      <c r="O310" s="165"/>
      <c r="P310" s="163"/>
      <c r="Q310" s="163"/>
      <c r="R310" s="163"/>
    </row>
    <row r="311" spans="1:18" ht="12">
      <c r="A311" s="33"/>
      <c r="B311" s="164"/>
      <c r="C311" s="165"/>
      <c r="D311" s="163"/>
      <c r="E311" s="165"/>
      <c r="F311" s="163"/>
      <c r="G311" s="163"/>
      <c r="H311" s="163"/>
      <c r="I311" s="163"/>
      <c r="J311" s="165"/>
      <c r="K311" s="163"/>
      <c r="L311" s="163"/>
      <c r="M311" s="163"/>
      <c r="N311" s="163"/>
      <c r="O311" s="165"/>
      <c r="P311" s="163"/>
      <c r="Q311" s="163"/>
      <c r="R311" s="163"/>
    </row>
    <row r="312" spans="1:18" ht="12">
      <c r="A312" s="33"/>
      <c r="B312" s="164"/>
      <c r="C312" s="165"/>
      <c r="D312" s="163"/>
      <c r="E312" s="165"/>
      <c r="F312" s="163"/>
      <c r="G312" s="163"/>
      <c r="H312" s="163"/>
      <c r="I312" s="163"/>
      <c r="J312" s="165"/>
      <c r="K312" s="163"/>
      <c r="L312" s="163"/>
      <c r="M312" s="163"/>
      <c r="N312" s="163"/>
      <c r="O312" s="165"/>
      <c r="P312" s="163"/>
      <c r="Q312" s="163"/>
      <c r="R312" s="163"/>
    </row>
    <row r="313" spans="1:18" ht="12">
      <c r="A313" s="33"/>
      <c r="B313" s="164"/>
      <c r="C313" s="165"/>
      <c r="D313" s="163"/>
      <c r="E313" s="165"/>
      <c r="F313" s="163"/>
      <c r="G313" s="163"/>
      <c r="H313" s="163"/>
      <c r="I313" s="163"/>
      <c r="J313" s="165"/>
      <c r="K313" s="163"/>
      <c r="L313" s="163"/>
      <c r="M313" s="163"/>
      <c r="N313" s="163"/>
      <c r="O313" s="165"/>
      <c r="P313" s="163"/>
      <c r="Q313" s="163"/>
      <c r="R313" s="163"/>
    </row>
    <row r="314" spans="1:18" ht="12">
      <c r="A314" s="33"/>
      <c r="B314" s="164"/>
      <c r="C314" s="165"/>
      <c r="D314" s="163"/>
      <c r="E314" s="165"/>
      <c r="F314" s="163"/>
      <c r="G314" s="163"/>
      <c r="H314" s="163"/>
      <c r="I314" s="163"/>
      <c r="J314" s="165"/>
      <c r="K314" s="163"/>
      <c r="L314" s="163"/>
      <c r="M314" s="163"/>
      <c r="N314" s="163"/>
      <c r="O314" s="165"/>
      <c r="P314" s="163"/>
      <c r="Q314" s="163"/>
      <c r="R314" s="163"/>
    </row>
    <row r="315" spans="1:18" ht="12">
      <c r="A315" s="33"/>
      <c r="B315" s="164"/>
      <c r="C315" s="165"/>
      <c r="D315" s="163"/>
      <c r="E315" s="165"/>
      <c r="F315" s="163"/>
      <c r="G315" s="163"/>
      <c r="H315" s="163"/>
      <c r="I315" s="163"/>
      <c r="J315" s="165"/>
      <c r="K315" s="163"/>
      <c r="L315" s="163"/>
      <c r="M315" s="163"/>
      <c r="N315" s="163"/>
      <c r="O315" s="165"/>
      <c r="P315" s="163"/>
      <c r="Q315" s="163"/>
      <c r="R315" s="163"/>
    </row>
    <row r="316" spans="1:18" ht="12">
      <c r="A316" s="33"/>
      <c r="B316" s="164"/>
      <c r="C316" s="165"/>
      <c r="D316" s="163"/>
      <c r="E316" s="165"/>
      <c r="F316" s="163"/>
      <c r="G316" s="163"/>
      <c r="H316" s="163"/>
      <c r="I316" s="163"/>
      <c r="J316" s="165"/>
      <c r="K316" s="163"/>
      <c r="L316" s="163"/>
      <c r="M316" s="163"/>
      <c r="N316" s="163"/>
      <c r="O316" s="165"/>
      <c r="P316" s="163"/>
      <c r="Q316" s="163"/>
      <c r="R316" s="163"/>
    </row>
    <row r="317" spans="1:18" ht="12">
      <c r="A317" s="33"/>
      <c r="B317" s="164"/>
      <c r="C317" s="165"/>
      <c r="D317" s="163"/>
      <c r="E317" s="165"/>
      <c r="F317" s="163"/>
      <c r="G317" s="163"/>
      <c r="H317" s="163"/>
      <c r="I317" s="163"/>
      <c r="J317" s="165"/>
      <c r="K317" s="163"/>
      <c r="L317" s="163"/>
      <c r="M317" s="163"/>
      <c r="N317" s="163"/>
      <c r="O317" s="165"/>
      <c r="P317" s="163"/>
      <c r="Q317" s="163"/>
      <c r="R317" s="163"/>
    </row>
    <row r="318" spans="1:18" ht="12">
      <c r="A318" s="33"/>
      <c r="B318" s="164"/>
      <c r="C318" s="165"/>
      <c r="D318" s="163"/>
      <c r="E318" s="165"/>
      <c r="F318" s="163"/>
      <c r="G318" s="163"/>
      <c r="H318" s="163"/>
      <c r="I318" s="163"/>
      <c r="J318" s="165"/>
      <c r="K318" s="163"/>
      <c r="L318" s="163"/>
      <c r="M318" s="163"/>
      <c r="N318" s="163"/>
      <c r="O318" s="165"/>
      <c r="P318" s="163"/>
      <c r="Q318" s="163"/>
      <c r="R318" s="163"/>
    </row>
    <row r="319" spans="1:18" ht="12">
      <c r="A319" s="33"/>
      <c r="B319" s="164"/>
      <c r="C319" s="165"/>
      <c r="D319" s="163"/>
      <c r="E319" s="165"/>
      <c r="F319" s="163"/>
      <c r="G319" s="163"/>
      <c r="H319" s="163"/>
      <c r="I319" s="163"/>
      <c r="J319" s="165"/>
      <c r="K319" s="163"/>
      <c r="L319" s="163"/>
      <c r="M319" s="163"/>
      <c r="N319" s="163"/>
      <c r="O319" s="165"/>
      <c r="P319" s="163"/>
      <c r="Q319" s="163"/>
      <c r="R319" s="163"/>
    </row>
    <row r="320" spans="1:18" ht="12">
      <c r="A320" s="33"/>
      <c r="B320" s="164"/>
      <c r="C320" s="165"/>
      <c r="D320" s="163"/>
      <c r="E320" s="165"/>
      <c r="F320" s="163"/>
      <c r="G320" s="163"/>
      <c r="H320" s="163"/>
      <c r="I320" s="163"/>
      <c r="J320" s="165"/>
      <c r="K320" s="163"/>
      <c r="L320" s="163"/>
      <c r="M320" s="163"/>
      <c r="N320" s="163"/>
      <c r="O320" s="165"/>
      <c r="P320" s="163"/>
      <c r="Q320" s="163"/>
      <c r="R320" s="163"/>
    </row>
    <row r="321" spans="1:18" ht="12">
      <c r="A321" s="33"/>
      <c r="B321" s="164"/>
      <c r="C321" s="165"/>
      <c r="D321" s="163"/>
      <c r="E321" s="165"/>
      <c r="F321" s="163"/>
      <c r="G321" s="163"/>
      <c r="H321" s="163"/>
      <c r="I321" s="163"/>
      <c r="J321" s="165"/>
      <c r="K321" s="163"/>
      <c r="L321" s="163"/>
      <c r="M321" s="163"/>
      <c r="N321" s="163"/>
      <c r="O321" s="165"/>
      <c r="P321" s="163"/>
      <c r="Q321" s="163"/>
      <c r="R321" s="163"/>
    </row>
    <row r="322" spans="1:18" ht="12">
      <c r="A322" s="33"/>
      <c r="B322" s="164"/>
      <c r="C322" s="165"/>
      <c r="D322" s="163"/>
      <c r="E322" s="165"/>
      <c r="F322" s="163"/>
      <c r="G322" s="163"/>
      <c r="H322" s="163"/>
      <c r="I322" s="163"/>
      <c r="J322" s="165"/>
      <c r="K322" s="163"/>
      <c r="L322" s="163"/>
      <c r="M322" s="163"/>
      <c r="N322" s="163"/>
      <c r="O322" s="165"/>
      <c r="P322" s="163"/>
      <c r="Q322" s="163"/>
      <c r="R322" s="163"/>
    </row>
    <row r="323" spans="1:18" ht="12">
      <c r="A323" s="33"/>
      <c r="B323" s="164"/>
      <c r="C323" s="165"/>
      <c r="D323" s="163"/>
      <c r="E323" s="165"/>
      <c r="F323" s="163"/>
      <c r="G323" s="163"/>
      <c r="H323" s="163"/>
      <c r="I323" s="163"/>
      <c r="J323" s="165"/>
      <c r="K323" s="163"/>
      <c r="L323" s="163"/>
      <c r="M323" s="163"/>
      <c r="N323" s="163"/>
      <c r="O323" s="165"/>
      <c r="P323" s="163"/>
      <c r="Q323" s="163"/>
      <c r="R323" s="163"/>
    </row>
    <row r="324" spans="1:18" ht="12">
      <c r="A324" s="33"/>
      <c r="B324" s="164"/>
      <c r="C324" s="165"/>
      <c r="D324" s="163"/>
      <c r="E324" s="165"/>
      <c r="F324" s="163"/>
      <c r="G324" s="163"/>
      <c r="H324" s="163"/>
      <c r="I324" s="163"/>
      <c r="J324" s="165"/>
      <c r="K324" s="163"/>
      <c r="L324" s="163"/>
      <c r="M324" s="163"/>
      <c r="N324" s="163"/>
      <c r="O324" s="165"/>
      <c r="P324" s="163"/>
      <c r="Q324" s="163"/>
      <c r="R324" s="163"/>
    </row>
    <row r="325" spans="1:18" ht="12">
      <c r="A325" s="33"/>
      <c r="B325" s="164"/>
      <c r="C325" s="165"/>
      <c r="D325" s="163"/>
      <c r="E325" s="165"/>
      <c r="F325" s="163"/>
      <c r="G325" s="163"/>
      <c r="H325" s="163"/>
      <c r="I325" s="163"/>
      <c r="J325" s="165"/>
      <c r="K325" s="163"/>
      <c r="L325" s="163"/>
      <c r="M325" s="163"/>
      <c r="N325" s="163"/>
      <c r="O325" s="165"/>
      <c r="P325" s="163"/>
      <c r="Q325" s="163"/>
      <c r="R325" s="163"/>
    </row>
    <row r="326" spans="1:18" ht="12">
      <c r="A326" s="33"/>
      <c r="B326" s="164"/>
      <c r="C326" s="165"/>
      <c r="D326" s="163"/>
      <c r="E326" s="165"/>
      <c r="F326" s="163"/>
      <c r="G326" s="163"/>
      <c r="H326" s="163"/>
      <c r="I326" s="163"/>
      <c r="J326" s="165"/>
      <c r="K326" s="163"/>
      <c r="L326" s="163"/>
      <c r="M326" s="163"/>
      <c r="N326" s="163"/>
      <c r="O326" s="165"/>
      <c r="P326" s="163"/>
      <c r="Q326" s="163"/>
      <c r="R326" s="163"/>
    </row>
    <row r="327" spans="1:18" ht="12">
      <c r="A327" s="33"/>
      <c r="B327" s="164"/>
      <c r="C327" s="165"/>
      <c r="D327" s="163"/>
      <c r="E327" s="165"/>
      <c r="F327" s="163"/>
      <c r="G327" s="163"/>
      <c r="H327" s="163"/>
      <c r="I327" s="163"/>
      <c r="J327" s="165"/>
      <c r="K327" s="163"/>
      <c r="L327" s="163"/>
      <c r="M327" s="163"/>
      <c r="N327" s="163"/>
      <c r="O327" s="165"/>
      <c r="P327" s="163"/>
      <c r="Q327" s="163"/>
      <c r="R327" s="163"/>
    </row>
    <row r="328" spans="1:18" ht="12">
      <c r="A328" s="33"/>
      <c r="B328" s="164"/>
      <c r="C328" s="165"/>
      <c r="D328" s="163"/>
      <c r="E328" s="165"/>
      <c r="F328" s="163"/>
      <c r="G328" s="163"/>
      <c r="H328" s="163"/>
      <c r="I328" s="163"/>
      <c r="J328" s="165"/>
      <c r="K328" s="163"/>
      <c r="L328" s="163"/>
      <c r="M328" s="163"/>
      <c r="N328" s="163"/>
      <c r="O328" s="165"/>
      <c r="P328" s="163"/>
      <c r="Q328" s="163"/>
      <c r="R328" s="163"/>
    </row>
    <row r="329" spans="1:18" ht="12">
      <c r="A329" s="33"/>
      <c r="B329" s="164"/>
      <c r="C329" s="165"/>
      <c r="D329" s="163"/>
      <c r="E329" s="165"/>
      <c r="F329" s="163"/>
      <c r="G329" s="163"/>
      <c r="H329" s="163"/>
      <c r="I329" s="163"/>
      <c r="J329" s="165"/>
      <c r="K329" s="163"/>
      <c r="L329" s="163"/>
      <c r="M329" s="163"/>
      <c r="N329" s="163"/>
      <c r="O329" s="165"/>
      <c r="P329" s="163"/>
      <c r="Q329" s="163"/>
      <c r="R329" s="163"/>
    </row>
    <row r="330" spans="1:18" ht="12">
      <c r="A330" s="33"/>
      <c r="B330" s="164"/>
      <c r="C330" s="165"/>
      <c r="D330" s="163"/>
      <c r="E330" s="165"/>
      <c r="F330" s="163"/>
      <c r="G330" s="163"/>
      <c r="H330" s="163"/>
      <c r="I330" s="163"/>
      <c r="J330" s="165"/>
      <c r="K330" s="163"/>
      <c r="L330" s="163"/>
      <c r="M330" s="163"/>
      <c r="N330" s="163"/>
      <c r="O330" s="165"/>
      <c r="P330" s="163"/>
      <c r="Q330" s="163"/>
      <c r="R330" s="163"/>
    </row>
    <row r="331" spans="1:18" ht="12">
      <c r="A331" s="33"/>
      <c r="B331" s="164"/>
      <c r="C331" s="165"/>
      <c r="D331" s="163"/>
      <c r="E331" s="165"/>
      <c r="F331" s="163"/>
      <c r="G331" s="163"/>
      <c r="H331" s="163"/>
      <c r="I331" s="163"/>
      <c r="J331" s="165"/>
      <c r="K331" s="163"/>
      <c r="L331" s="163"/>
      <c r="M331" s="163"/>
      <c r="N331" s="163"/>
      <c r="O331" s="165"/>
      <c r="P331" s="163"/>
      <c r="Q331" s="163"/>
      <c r="R331" s="163"/>
    </row>
    <row r="332" spans="1:18" ht="12">
      <c r="A332" s="33"/>
      <c r="B332" s="164"/>
      <c r="C332" s="165"/>
      <c r="D332" s="163"/>
      <c r="E332" s="165"/>
      <c r="F332" s="163"/>
      <c r="G332" s="163"/>
      <c r="H332" s="163"/>
      <c r="I332" s="163"/>
      <c r="J332" s="165"/>
      <c r="K332" s="163"/>
      <c r="L332" s="163"/>
      <c r="M332" s="163"/>
      <c r="N332" s="163"/>
      <c r="O332" s="165"/>
      <c r="P332" s="163"/>
      <c r="Q332" s="163"/>
      <c r="R332" s="163"/>
    </row>
    <row r="333" spans="1:18" ht="12">
      <c r="A333" s="33"/>
      <c r="B333" s="164"/>
      <c r="C333" s="165"/>
      <c r="D333" s="163"/>
      <c r="E333" s="165"/>
      <c r="F333" s="163"/>
      <c r="G333" s="163"/>
      <c r="H333" s="163"/>
      <c r="I333" s="163"/>
      <c r="J333" s="165"/>
      <c r="K333" s="163"/>
      <c r="L333" s="163"/>
      <c r="M333" s="163"/>
      <c r="N333" s="163"/>
      <c r="O333" s="165"/>
      <c r="P333" s="163"/>
      <c r="Q333" s="163"/>
      <c r="R333" s="163"/>
    </row>
    <row r="334" spans="1:18" ht="12">
      <c r="A334" s="33"/>
      <c r="B334" s="164"/>
      <c r="C334" s="165"/>
      <c r="D334" s="163"/>
      <c r="E334" s="165"/>
      <c r="F334" s="163"/>
      <c r="G334" s="163"/>
      <c r="H334" s="163"/>
      <c r="I334" s="163"/>
      <c r="J334" s="165"/>
      <c r="K334" s="163"/>
      <c r="L334" s="163"/>
      <c r="M334" s="163"/>
      <c r="N334" s="163"/>
      <c r="O334" s="165"/>
      <c r="P334" s="163"/>
      <c r="Q334" s="163"/>
      <c r="R334" s="163"/>
    </row>
    <row r="335" spans="1:18" ht="12">
      <c r="A335" s="33"/>
      <c r="B335" s="164"/>
      <c r="C335" s="165"/>
      <c r="D335" s="163"/>
      <c r="E335" s="165"/>
      <c r="F335" s="163"/>
      <c r="G335" s="163"/>
      <c r="H335" s="163"/>
      <c r="I335" s="163"/>
      <c r="J335" s="165"/>
      <c r="K335" s="163"/>
      <c r="L335" s="163"/>
      <c r="M335" s="163"/>
      <c r="N335" s="163"/>
      <c r="O335" s="165"/>
      <c r="P335" s="163"/>
      <c r="Q335" s="163"/>
      <c r="R335" s="163"/>
    </row>
    <row r="336" spans="1:18" ht="12">
      <c r="A336" s="33"/>
      <c r="B336" s="164"/>
      <c r="C336" s="165"/>
      <c r="D336" s="163"/>
      <c r="E336" s="165"/>
      <c r="F336" s="163"/>
      <c r="G336" s="163"/>
      <c r="H336" s="163"/>
      <c r="I336" s="163"/>
      <c r="J336" s="165"/>
      <c r="K336" s="163"/>
      <c r="L336" s="163"/>
      <c r="M336" s="163"/>
      <c r="N336" s="163"/>
      <c r="O336" s="165"/>
      <c r="P336" s="163"/>
      <c r="Q336" s="163"/>
      <c r="R336" s="163"/>
    </row>
    <row r="337" spans="1:18" ht="12">
      <c r="A337" s="33"/>
      <c r="B337" s="164"/>
      <c r="C337" s="165"/>
      <c r="D337" s="163"/>
      <c r="E337" s="165"/>
      <c r="F337" s="163"/>
      <c r="G337" s="163"/>
      <c r="H337" s="163"/>
      <c r="I337" s="163"/>
      <c r="J337" s="165"/>
      <c r="K337" s="163"/>
      <c r="L337" s="163"/>
      <c r="M337" s="163"/>
      <c r="N337" s="163"/>
      <c r="O337" s="165"/>
      <c r="P337" s="163"/>
      <c r="Q337" s="163"/>
      <c r="R337" s="163"/>
    </row>
    <row r="338" spans="1:18" ht="12">
      <c r="A338" s="33"/>
      <c r="B338" s="164"/>
      <c r="C338" s="165"/>
      <c r="D338" s="163"/>
      <c r="E338" s="165"/>
      <c r="F338" s="163"/>
      <c r="G338" s="163"/>
      <c r="H338" s="163"/>
      <c r="I338" s="163"/>
      <c r="J338" s="165"/>
      <c r="K338" s="163"/>
      <c r="L338" s="163"/>
      <c r="M338" s="163"/>
      <c r="N338" s="163"/>
      <c r="O338" s="165"/>
      <c r="P338" s="163"/>
      <c r="Q338" s="163"/>
      <c r="R338" s="163"/>
    </row>
    <row r="339" spans="1:18" ht="12">
      <c r="A339" s="33"/>
      <c r="B339" s="164"/>
      <c r="C339" s="165"/>
      <c r="D339" s="163"/>
      <c r="E339" s="165"/>
      <c r="F339" s="163"/>
      <c r="G339" s="163"/>
      <c r="H339" s="163"/>
      <c r="I339" s="163"/>
      <c r="J339" s="165"/>
      <c r="K339" s="163"/>
      <c r="L339" s="163"/>
      <c r="M339" s="163"/>
      <c r="N339" s="163"/>
      <c r="O339" s="165"/>
      <c r="P339" s="163"/>
      <c r="Q339" s="163"/>
      <c r="R339" s="163"/>
    </row>
    <row r="340" spans="1:18" ht="12">
      <c r="A340" s="33"/>
      <c r="B340" s="164"/>
      <c r="C340" s="165"/>
      <c r="D340" s="163"/>
      <c r="E340" s="165"/>
      <c r="F340" s="163"/>
      <c r="G340" s="163"/>
      <c r="H340" s="163"/>
      <c r="I340" s="163"/>
      <c r="J340" s="165"/>
      <c r="K340" s="163"/>
      <c r="L340" s="163"/>
      <c r="M340" s="163"/>
      <c r="N340" s="163"/>
      <c r="O340" s="165"/>
      <c r="P340" s="163"/>
      <c r="Q340" s="163"/>
      <c r="R340" s="163"/>
    </row>
    <row r="341" spans="1:18" ht="12">
      <c r="A341" s="33"/>
      <c r="B341" s="164"/>
      <c r="C341" s="165"/>
      <c r="D341" s="163"/>
      <c r="E341" s="165"/>
      <c r="F341" s="163"/>
      <c r="G341" s="163"/>
      <c r="H341" s="163"/>
      <c r="I341" s="163"/>
      <c r="J341" s="165"/>
      <c r="K341" s="163"/>
      <c r="L341" s="163"/>
      <c r="M341" s="163"/>
      <c r="N341" s="163"/>
      <c r="O341" s="165"/>
      <c r="P341" s="163"/>
      <c r="Q341" s="163"/>
      <c r="R341" s="163"/>
    </row>
    <row r="342" spans="1:18" ht="12">
      <c r="A342" s="33"/>
      <c r="B342" s="164"/>
      <c r="C342" s="165"/>
      <c r="D342" s="163"/>
      <c r="E342" s="165"/>
      <c r="F342" s="163"/>
      <c r="G342" s="163"/>
      <c r="H342" s="163"/>
      <c r="I342" s="163"/>
      <c r="J342" s="165"/>
      <c r="K342" s="163"/>
      <c r="L342" s="163"/>
      <c r="M342" s="163"/>
      <c r="N342" s="163"/>
      <c r="O342" s="165"/>
      <c r="P342" s="163"/>
      <c r="Q342" s="163"/>
      <c r="R342" s="163"/>
    </row>
    <row r="343" spans="1:18" ht="12">
      <c r="A343" s="33"/>
      <c r="B343" s="164"/>
      <c r="C343" s="165"/>
      <c r="D343" s="163"/>
      <c r="E343" s="165"/>
      <c r="F343" s="163"/>
      <c r="G343" s="163"/>
      <c r="H343" s="163"/>
      <c r="I343" s="163"/>
      <c r="J343" s="165"/>
      <c r="K343" s="163"/>
      <c r="L343" s="163"/>
      <c r="M343" s="163"/>
      <c r="N343" s="163"/>
      <c r="O343" s="165"/>
      <c r="P343" s="163"/>
      <c r="Q343" s="163"/>
      <c r="R343" s="163"/>
    </row>
    <row r="344" spans="1:18" ht="12">
      <c r="A344" s="33"/>
      <c r="B344" s="164"/>
      <c r="C344" s="165"/>
      <c r="D344" s="163"/>
      <c r="E344" s="165"/>
      <c r="F344" s="163"/>
      <c r="G344" s="163"/>
      <c r="H344" s="163"/>
      <c r="I344" s="163"/>
      <c r="J344" s="165"/>
      <c r="K344" s="163"/>
      <c r="L344" s="163"/>
      <c r="M344" s="163"/>
      <c r="N344" s="163"/>
      <c r="O344" s="165"/>
      <c r="P344" s="163"/>
      <c r="Q344" s="163"/>
      <c r="R344" s="163"/>
    </row>
    <row r="345" spans="1:18" ht="12">
      <c r="A345" s="33"/>
      <c r="B345" s="164"/>
      <c r="C345" s="165"/>
      <c r="D345" s="163"/>
      <c r="E345" s="165"/>
      <c r="F345" s="163"/>
      <c r="G345" s="163"/>
      <c r="H345" s="163"/>
      <c r="I345" s="163"/>
      <c r="J345" s="165"/>
      <c r="K345" s="163"/>
      <c r="L345" s="163"/>
      <c r="M345" s="163"/>
      <c r="N345" s="163"/>
      <c r="O345" s="165"/>
      <c r="P345" s="163"/>
      <c r="Q345" s="163"/>
      <c r="R345" s="163"/>
    </row>
    <row r="346" spans="1:18" ht="12">
      <c r="A346" s="33"/>
      <c r="B346" s="164"/>
      <c r="C346" s="165"/>
      <c r="D346" s="163"/>
      <c r="E346" s="165"/>
      <c r="F346" s="163"/>
      <c r="G346" s="163"/>
      <c r="H346" s="163"/>
      <c r="I346" s="163"/>
      <c r="J346" s="165"/>
      <c r="K346" s="163"/>
      <c r="L346" s="163"/>
      <c r="M346" s="163"/>
      <c r="N346" s="163"/>
      <c r="O346" s="165"/>
      <c r="P346" s="163"/>
      <c r="Q346" s="163"/>
      <c r="R346" s="163"/>
    </row>
    <row r="347" spans="1:18" ht="12">
      <c r="A347" s="33"/>
      <c r="B347" s="164"/>
      <c r="C347" s="165"/>
      <c r="D347" s="163"/>
      <c r="E347" s="165"/>
      <c r="F347" s="163"/>
      <c r="G347" s="163"/>
      <c r="H347" s="163"/>
      <c r="I347" s="163"/>
      <c r="J347" s="165"/>
      <c r="K347" s="163"/>
      <c r="L347" s="163"/>
      <c r="M347" s="163"/>
      <c r="N347" s="163"/>
      <c r="O347" s="165"/>
      <c r="P347" s="163"/>
      <c r="Q347" s="163"/>
      <c r="R347" s="163"/>
    </row>
    <row r="348" spans="1:18" ht="12">
      <c r="A348" s="33"/>
      <c r="B348" s="164"/>
      <c r="C348" s="165"/>
      <c r="D348" s="163"/>
      <c r="E348" s="165"/>
      <c r="F348" s="163"/>
      <c r="G348" s="163"/>
      <c r="H348" s="163"/>
      <c r="I348" s="163"/>
      <c r="J348" s="165"/>
      <c r="K348" s="163"/>
      <c r="L348" s="163"/>
      <c r="M348" s="163"/>
      <c r="N348" s="163"/>
      <c r="O348" s="165"/>
      <c r="P348" s="163"/>
      <c r="Q348" s="163"/>
      <c r="R348" s="163"/>
    </row>
    <row r="349" spans="1:18" ht="12">
      <c r="A349" s="33"/>
      <c r="B349" s="164"/>
      <c r="C349" s="165"/>
      <c r="D349" s="163"/>
      <c r="E349" s="165"/>
      <c r="F349" s="163"/>
      <c r="G349" s="163"/>
      <c r="H349" s="163"/>
      <c r="I349" s="163"/>
      <c r="J349" s="165"/>
      <c r="K349" s="163"/>
      <c r="L349" s="163"/>
      <c r="M349" s="163"/>
      <c r="N349" s="163"/>
      <c r="O349" s="165"/>
      <c r="P349" s="163"/>
      <c r="Q349" s="163"/>
      <c r="R349" s="163"/>
    </row>
    <row r="350" spans="1:18" ht="12">
      <c r="A350" s="33"/>
      <c r="B350" s="164"/>
      <c r="C350" s="165"/>
      <c r="D350" s="163"/>
      <c r="E350" s="165"/>
      <c r="F350" s="163"/>
      <c r="G350" s="163"/>
      <c r="H350" s="163"/>
      <c r="I350" s="163"/>
      <c r="J350" s="165"/>
      <c r="K350" s="163"/>
      <c r="L350" s="163"/>
      <c r="M350" s="163"/>
      <c r="N350" s="163"/>
      <c r="O350" s="165"/>
      <c r="P350" s="163"/>
      <c r="Q350" s="163"/>
      <c r="R350" s="163"/>
    </row>
    <row r="351" spans="1:18" ht="12">
      <c r="A351" s="33"/>
      <c r="B351" s="164"/>
      <c r="C351" s="165"/>
      <c r="D351" s="163"/>
      <c r="E351" s="165"/>
      <c r="F351" s="163"/>
      <c r="G351" s="163"/>
      <c r="H351" s="163"/>
      <c r="I351" s="163"/>
      <c r="J351" s="165"/>
      <c r="K351" s="163"/>
      <c r="L351" s="163"/>
      <c r="M351" s="163"/>
      <c r="N351" s="163"/>
      <c r="O351" s="165"/>
      <c r="P351" s="163"/>
      <c r="Q351" s="163"/>
      <c r="R351" s="163"/>
    </row>
    <row r="352" spans="1:18" ht="12">
      <c r="A352" s="33"/>
      <c r="B352" s="164"/>
      <c r="C352" s="165"/>
      <c r="D352" s="163"/>
      <c r="E352" s="165"/>
      <c r="F352" s="163"/>
      <c r="G352" s="163"/>
      <c r="H352" s="163"/>
      <c r="I352" s="163"/>
      <c r="J352" s="165"/>
      <c r="K352" s="163"/>
      <c r="L352" s="163"/>
      <c r="M352" s="163"/>
      <c r="N352" s="163"/>
      <c r="O352" s="165"/>
      <c r="P352" s="163"/>
      <c r="Q352" s="163"/>
      <c r="R352" s="163"/>
    </row>
    <row r="353" spans="1:18" ht="12">
      <c r="A353" s="33"/>
      <c r="B353" s="164"/>
      <c r="C353" s="165"/>
      <c r="D353" s="163"/>
      <c r="E353" s="165"/>
      <c r="F353" s="163"/>
      <c r="G353" s="163"/>
      <c r="H353" s="163"/>
      <c r="I353" s="163"/>
      <c r="J353" s="165"/>
      <c r="K353" s="163"/>
      <c r="L353" s="163"/>
      <c r="M353" s="163"/>
      <c r="N353" s="163"/>
      <c r="O353" s="165"/>
      <c r="P353" s="163"/>
      <c r="Q353" s="163"/>
      <c r="R353" s="163"/>
    </row>
    <row r="354" spans="1:18" ht="12">
      <c r="A354" s="33"/>
      <c r="B354" s="164"/>
      <c r="C354" s="165"/>
      <c r="D354" s="163"/>
      <c r="E354" s="165"/>
      <c r="F354" s="163"/>
      <c r="G354" s="163"/>
      <c r="H354" s="163"/>
      <c r="I354" s="163"/>
      <c r="J354" s="165"/>
      <c r="K354" s="163"/>
      <c r="L354" s="163"/>
      <c r="M354" s="163"/>
      <c r="N354" s="163"/>
      <c r="O354" s="165"/>
      <c r="P354" s="163"/>
      <c r="Q354" s="163"/>
      <c r="R354" s="163"/>
    </row>
    <row r="355" spans="1:18" ht="12">
      <c r="A355" s="33"/>
      <c r="B355" s="164"/>
      <c r="C355" s="165"/>
      <c r="D355" s="163"/>
      <c r="E355" s="165"/>
      <c r="F355" s="163"/>
      <c r="G355" s="163"/>
      <c r="H355" s="163"/>
      <c r="I355" s="163"/>
      <c r="J355" s="165"/>
      <c r="K355" s="163"/>
      <c r="L355" s="163"/>
      <c r="M355" s="163"/>
      <c r="N355" s="163"/>
      <c r="O355" s="165"/>
      <c r="P355" s="163"/>
      <c r="Q355" s="163"/>
      <c r="R355" s="163"/>
    </row>
    <row r="356" spans="1:18">
      <c r="A356" s="33"/>
      <c r="B356" s="34"/>
      <c r="C356" s="35"/>
      <c r="D356" s="33"/>
      <c r="E356" s="35"/>
      <c r="F356" s="33"/>
      <c r="G356" s="33"/>
      <c r="H356" s="36"/>
      <c r="I356" s="33"/>
      <c r="J356" s="35"/>
      <c r="K356" s="33"/>
      <c r="L356" s="33"/>
      <c r="M356" s="36"/>
      <c r="N356" s="33"/>
      <c r="O356" s="35"/>
      <c r="P356" s="33"/>
      <c r="Q356" s="33"/>
      <c r="R356" s="36"/>
    </row>
    <row r="357" spans="1:18">
      <c r="A357" s="33"/>
      <c r="B357" s="34"/>
      <c r="C357" s="35"/>
      <c r="D357" s="33"/>
      <c r="E357" s="35"/>
      <c r="F357" s="33"/>
      <c r="G357" s="33"/>
      <c r="H357" s="36"/>
      <c r="I357" s="33"/>
      <c r="J357" s="35"/>
      <c r="K357" s="33"/>
      <c r="L357" s="33"/>
      <c r="M357" s="36"/>
      <c r="N357" s="33"/>
      <c r="O357" s="35"/>
      <c r="P357" s="33"/>
      <c r="Q357" s="33"/>
      <c r="R357" s="36"/>
    </row>
    <row r="358" spans="1:18">
      <c r="A358" s="33"/>
      <c r="B358" s="34"/>
      <c r="C358" s="35"/>
      <c r="D358" s="33"/>
      <c r="E358" s="35"/>
      <c r="F358" s="33"/>
      <c r="G358" s="33"/>
      <c r="H358" s="36"/>
      <c r="I358" s="33"/>
      <c r="J358" s="35"/>
      <c r="K358" s="33"/>
      <c r="L358" s="33"/>
      <c r="M358" s="36"/>
      <c r="N358" s="33"/>
      <c r="O358" s="35"/>
      <c r="P358" s="33"/>
      <c r="Q358" s="33"/>
      <c r="R358" s="36"/>
    </row>
    <row r="359" spans="1:18">
      <c r="A359" s="33"/>
      <c r="B359" s="34"/>
      <c r="C359" s="35"/>
      <c r="D359" s="33"/>
      <c r="E359" s="35"/>
      <c r="F359" s="33"/>
      <c r="G359" s="33"/>
      <c r="H359" s="36"/>
      <c r="I359" s="33"/>
      <c r="J359" s="35"/>
      <c r="K359" s="33"/>
      <c r="L359" s="33"/>
      <c r="M359" s="36"/>
      <c r="N359" s="33"/>
      <c r="O359" s="35"/>
      <c r="P359" s="33"/>
      <c r="Q359" s="33"/>
      <c r="R359" s="36"/>
    </row>
    <row r="360" spans="1:18">
      <c r="A360" s="33"/>
      <c r="B360" s="34"/>
      <c r="C360" s="35"/>
      <c r="D360" s="33"/>
      <c r="E360" s="35"/>
      <c r="F360" s="33"/>
      <c r="G360" s="33"/>
      <c r="H360" s="36"/>
      <c r="I360" s="33"/>
      <c r="J360" s="35"/>
      <c r="K360" s="33"/>
      <c r="L360" s="33"/>
      <c r="M360" s="36"/>
      <c r="N360" s="33"/>
      <c r="O360" s="35"/>
      <c r="P360" s="33"/>
      <c r="Q360" s="33"/>
      <c r="R360" s="36"/>
    </row>
    <row r="361" spans="1:18">
      <c r="A361" s="33"/>
      <c r="B361" s="34"/>
      <c r="C361" s="35"/>
      <c r="D361" s="33"/>
      <c r="E361" s="35"/>
      <c r="F361" s="33"/>
      <c r="G361" s="33"/>
      <c r="H361" s="36"/>
      <c r="I361" s="33"/>
      <c r="J361" s="35"/>
      <c r="K361" s="33"/>
      <c r="L361" s="33"/>
      <c r="M361" s="36"/>
      <c r="N361" s="33"/>
      <c r="O361" s="35"/>
      <c r="P361" s="33"/>
      <c r="Q361" s="33"/>
      <c r="R361" s="36"/>
    </row>
    <row r="362" spans="1:18">
      <c r="A362" s="33"/>
      <c r="B362" s="34"/>
      <c r="C362" s="35"/>
      <c r="D362" s="33"/>
      <c r="E362" s="35"/>
      <c r="F362" s="33"/>
      <c r="G362" s="33"/>
      <c r="H362" s="36"/>
      <c r="I362" s="33"/>
      <c r="J362" s="35"/>
      <c r="K362" s="33"/>
      <c r="L362" s="33"/>
      <c r="M362" s="36"/>
      <c r="N362" s="33"/>
      <c r="O362" s="35"/>
      <c r="P362" s="33"/>
      <c r="Q362" s="33"/>
      <c r="R362" s="36"/>
    </row>
    <row r="363" spans="1:18">
      <c r="A363" s="33"/>
      <c r="B363" s="34"/>
      <c r="C363" s="35"/>
      <c r="D363" s="33"/>
      <c r="E363" s="35"/>
      <c r="F363" s="33"/>
      <c r="G363" s="33"/>
      <c r="H363" s="36"/>
      <c r="I363" s="33"/>
      <c r="J363" s="35"/>
      <c r="K363" s="33"/>
      <c r="L363" s="33"/>
      <c r="M363" s="36"/>
      <c r="N363" s="33"/>
      <c r="O363" s="35"/>
      <c r="P363" s="33"/>
      <c r="Q363" s="33"/>
      <c r="R363" s="36"/>
    </row>
    <row r="364" spans="1:18">
      <c r="A364" s="33"/>
      <c r="B364" s="34"/>
      <c r="C364" s="35"/>
      <c r="D364" s="33"/>
      <c r="E364" s="35"/>
      <c r="F364" s="33"/>
      <c r="G364" s="33"/>
      <c r="H364" s="36"/>
      <c r="I364" s="33"/>
      <c r="J364" s="35"/>
      <c r="K364" s="33"/>
      <c r="L364" s="33"/>
      <c r="M364" s="36"/>
      <c r="N364" s="33"/>
      <c r="O364" s="35"/>
      <c r="P364" s="33"/>
      <c r="Q364" s="33"/>
      <c r="R364" s="36"/>
    </row>
    <row r="365" spans="1:18">
      <c r="A365" s="33"/>
      <c r="B365" s="34"/>
      <c r="C365" s="35"/>
      <c r="D365" s="33"/>
      <c r="E365" s="35"/>
      <c r="F365" s="33"/>
      <c r="G365" s="33"/>
      <c r="H365" s="36"/>
      <c r="I365" s="33"/>
      <c r="J365" s="35"/>
      <c r="K365" s="33"/>
      <c r="L365" s="33"/>
      <c r="M365" s="36"/>
      <c r="N365" s="33"/>
      <c r="O365" s="35"/>
      <c r="P365" s="33"/>
      <c r="Q365" s="33"/>
      <c r="R365" s="36"/>
    </row>
    <row r="366" spans="1:18">
      <c r="A366" s="33"/>
      <c r="B366" s="34"/>
      <c r="C366" s="35"/>
      <c r="D366" s="33"/>
      <c r="E366" s="35"/>
      <c r="F366" s="33"/>
      <c r="G366" s="33"/>
      <c r="H366" s="36"/>
      <c r="I366" s="33"/>
      <c r="J366" s="35"/>
      <c r="K366" s="33"/>
      <c r="L366" s="33"/>
      <c r="M366" s="36"/>
      <c r="N366" s="33"/>
      <c r="O366" s="35"/>
      <c r="P366" s="33"/>
      <c r="Q366" s="33"/>
      <c r="R366" s="36"/>
    </row>
    <row r="367" spans="1:18">
      <c r="A367" s="33"/>
      <c r="B367" s="34"/>
      <c r="C367" s="35"/>
      <c r="D367" s="33"/>
      <c r="E367" s="35"/>
      <c r="F367" s="33"/>
      <c r="G367" s="33"/>
      <c r="H367" s="36"/>
      <c r="I367" s="33"/>
      <c r="J367" s="35"/>
      <c r="K367" s="33"/>
      <c r="L367" s="33"/>
      <c r="M367" s="36"/>
      <c r="N367" s="33"/>
      <c r="O367" s="35"/>
      <c r="P367" s="33"/>
      <c r="Q367" s="33"/>
      <c r="R367" s="36"/>
    </row>
    <row r="368" spans="1:18">
      <c r="A368" s="33"/>
      <c r="B368" s="34"/>
      <c r="C368" s="35"/>
      <c r="D368" s="33"/>
      <c r="E368" s="35"/>
      <c r="F368" s="33"/>
      <c r="G368" s="33"/>
      <c r="H368" s="36"/>
      <c r="I368" s="33"/>
      <c r="J368" s="35"/>
      <c r="K368" s="33"/>
      <c r="L368" s="33"/>
      <c r="M368" s="36"/>
      <c r="N368" s="33"/>
      <c r="O368" s="35"/>
      <c r="P368" s="33"/>
      <c r="Q368" s="33"/>
      <c r="R368" s="36"/>
    </row>
    <row r="369" spans="1:18">
      <c r="A369" s="33"/>
      <c r="B369" s="34"/>
      <c r="C369" s="35"/>
      <c r="D369" s="33"/>
      <c r="E369" s="35"/>
      <c r="F369" s="33"/>
      <c r="G369" s="33"/>
      <c r="H369" s="36"/>
      <c r="I369" s="33"/>
      <c r="J369" s="35"/>
      <c r="K369" s="33"/>
      <c r="L369" s="33"/>
      <c r="M369" s="36"/>
      <c r="N369" s="33"/>
      <c r="O369" s="35"/>
      <c r="P369" s="33"/>
      <c r="Q369" s="33"/>
      <c r="R369" s="36"/>
    </row>
    <row r="370" spans="1:18">
      <c r="A370" s="33"/>
      <c r="B370" s="34"/>
      <c r="C370" s="35"/>
      <c r="D370" s="33"/>
      <c r="E370" s="35"/>
      <c r="F370" s="33"/>
      <c r="G370" s="33"/>
      <c r="H370" s="36"/>
      <c r="I370" s="33"/>
      <c r="J370" s="35"/>
      <c r="K370" s="33"/>
      <c r="L370" s="33"/>
      <c r="M370" s="36"/>
      <c r="N370" s="33"/>
      <c r="O370" s="35"/>
      <c r="P370" s="33"/>
      <c r="Q370" s="33"/>
      <c r="R370" s="36"/>
    </row>
    <row r="371" spans="1:18">
      <c r="A371" s="33"/>
      <c r="B371" s="34"/>
      <c r="C371" s="35"/>
      <c r="D371" s="33"/>
      <c r="E371" s="35"/>
      <c r="F371" s="33"/>
      <c r="G371" s="33"/>
      <c r="H371" s="36"/>
      <c r="I371" s="33"/>
      <c r="J371" s="35"/>
      <c r="K371" s="33"/>
      <c r="L371" s="33"/>
      <c r="M371" s="36"/>
      <c r="N371" s="33"/>
      <c r="O371" s="35"/>
      <c r="P371" s="33"/>
      <c r="Q371" s="33"/>
      <c r="R371" s="36"/>
    </row>
    <row r="372" spans="1:18">
      <c r="A372" s="33"/>
      <c r="B372" s="34"/>
      <c r="C372" s="35"/>
      <c r="D372" s="33"/>
      <c r="E372" s="35"/>
      <c r="F372" s="33"/>
      <c r="G372" s="33"/>
      <c r="H372" s="36"/>
      <c r="I372" s="33"/>
      <c r="J372" s="35"/>
      <c r="K372" s="33"/>
      <c r="L372" s="33"/>
      <c r="M372" s="36"/>
      <c r="N372" s="33"/>
      <c r="O372" s="35"/>
      <c r="P372" s="33"/>
      <c r="Q372" s="33"/>
      <c r="R372" s="36"/>
    </row>
    <row r="373" spans="1:18">
      <c r="A373" s="33"/>
      <c r="B373" s="34"/>
      <c r="C373" s="35"/>
      <c r="D373" s="33"/>
      <c r="E373" s="35"/>
      <c r="F373" s="33"/>
      <c r="G373" s="33"/>
      <c r="H373" s="36"/>
      <c r="I373" s="33"/>
      <c r="J373" s="35"/>
      <c r="K373" s="33"/>
      <c r="L373" s="33"/>
      <c r="M373" s="36"/>
      <c r="N373" s="33"/>
      <c r="O373" s="35"/>
      <c r="P373" s="33"/>
      <c r="Q373" s="33"/>
      <c r="R373" s="36"/>
    </row>
    <row r="374" spans="1:18">
      <c r="A374" s="33"/>
      <c r="B374" s="34"/>
      <c r="C374" s="35"/>
      <c r="D374" s="33"/>
      <c r="E374" s="35"/>
      <c r="F374" s="33"/>
      <c r="G374" s="33"/>
      <c r="H374" s="36"/>
      <c r="I374" s="33"/>
      <c r="J374" s="35"/>
      <c r="K374" s="33"/>
      <c r="L374" s="33"/>
      <c r="M374" s="36"/>
      <c r="N374" s="33"/>
      <c r="O374" s="35"/>
      <c r="P374" s="33"/>
      <c r="Q374" s="33"/>
      <c r="R374" s="36"/>
    </row>
    <row r="375" spans="1:18">
      <c r="A375" s="33"/>
      <c r="B375" s="34"/>
      <c r="C375" s="35"/>
      <c r="D375" s="33"/>
      <c r="E375" s="35"/>
      <c r="F375" s="33"/>
      <c r="G375" s="33"/>
      <c r="H375" s="36"/>
      <c r="I375" s="33"/>
      <c r="J375" s="35"/>
      <c r="K375" s="33"/>
      <c r="L375" s="33"/>
      <c r="M375" s="36"/>
      <c r="N375" s="33"/>
      <c r="O375" s="35"/>
      <c r="P375" s="33"/>
      <c r="Q375" s="33"/>
      <c r="R375" s="36"/>
    </row>
    <row r="376" spans="1:18">
      <c r="A376" s="33"/>
      <c r="B376" s="34"/>
      <c r="C376" s="35"/>
      <c r="D376" s="33"/>
      <c r="E376" s="35"/>
      <c r="F376" s="33"/>
      <c r="G376" s="33"/>
      <c r="H376" s="36"/>
      <c r="I376" s="33"/>
      <c r="J376" s="35"/>
      <c r="K376" s="33"/>
      <c r="L376" s="33"/>
      <c r="M376" s="36"/>
      <c r="N376" s="33"/>
      <c r="O376" s="35"/>
      <c r="P376" s="33"/>
      <c r="Q376" s="33"/>
      <c r="R376" s="36"/>
    </row>
    <row r="377" spans="1:18">
      <c r="A377" s="33"/>
      <c r="B377" s="34"/>
      <c r="C377" s="35"/>
      <c r="D377" s="33"/>
      <c r="E377" s="35"/>
      <c r="F377" s="33"/>
      <c r="G377" s="33"/>
      <c r="H377" s="36"/>
      <c r="I377" s="33"/>
      <c r="J377" s="35"/>
      <c r="K377" s="33"/>
      <c r="L377" s="33"/>
      <c r="M377" s="36"/>
      <c r="N377" s="33"/>
      <c r="O377" s="35"/>
      <c r="P377" s="33"/>
      <c r="Q377" s="33"/>
      <c r="R377" s="36"/>
    </row>
    <row r="378" spans="1:18">
      <c r="A378" s="33"/>
      <c r="B378" s="34"/>
      <c r="C378" s="35"/>
      <c r="D378" s="33"/>
      <c r="E378" s="35"/>
      <c r="F378" s="33"/>
      <c r="G378" s="33"/>
      <c r="H378" s="36"/>
      <c r="I378" s="33"/>
      <c r="J378" s="35"/>
      <c r="K378" s="33"/>
      <c r="L378" s="33"/>
      <c r="M378" s="36"/>
      <c r="N378" s="33"/>
      <c r="O378" s="35"/>
      <c r="P378" s="33"/>
      <c r="Q378" s="33"/>
      <c r="R378" s="36"/>
    </row>
    <row r="379" spans="1:18">
      <c r="A379" s="33"/>
      <c r="B379" s="34"/>
      <c r="C379" s="35"/>
      <c r="D379" s="33"/>
      <c r="E379" s="35"/>
      <c r="F379" s="33"/>
      <c r="G379" s="33"/>
      <c r="H379" s="36"/>
      <c r="I379" s="33"/>
      <c r="J379" s="35"/>
      <c r="K379" s="33"/>
      <c r="L379" s="33"/>
      <c r="M379" s="36"/>
      <c r="N379" s="33"/>
      <c r="O379" s="35"/>
      <c r="P379" s="33"/>
      <c r="Q379" s="33"/>
      <c r="R379" s="36"/>
    </row>
    <row r="380" spans="1:18">
      <c r="A380" s="33"/>
      <c r="B380" s="34"/>
      <c r="C380" s="35"/>
      <c r="D380" s="33"/>
      <c r="E380" s="35"/>
      <c r="F380" s="33"/>
      <c r="G380" s="33"/>
      <c r="H380" s="36"/>
      <c r="I380" s="33"/>
      <c r="J380" s="35"/>
      <c r="K380" s="33"/>
      <c r="L380" s="33"/>
      <c r="M380" s="36"/>
      <c r="N380" s="33"/>
      <c r="O380" s="35"/>
      <c r="P380" s="33"/>
      <c r="Q380" s="33"/>
      <c r="R380" s="36"/>
    </row>
    <row r="381" spans="1:18">
      <c r="A381" s="33"/>
      <c r="B381" s="34"/>
      <c r="C381" s="35"/>
      <c r="D381" s="33"/>
      <c r="E381" s="35"/>
      <c r="F381" s="33"/>
      <c r="G381" s="33"/>
      <c r="H381" s="36"/>
      <c r="I381" s="33"/>
      <c r="J381" s="35"/>
      <c r="K381" s="33"/>
      <c r="L381" s="33"/>
      <c r="M381" s="36"/>
      <c r="N381" s="33"/>
      <c r="O381" s="35"/>
      <c r="P381" s="33"/>
      <c r="Q381" s="33"/>
      <c r="R381" s="36"/>
    </row>
    <row r="382" spans="1:18">
      <c r="A382" s="33"/>
      <c r="B382" s="34"/>
      <c r="C382" s="35"/>
      <c r="D382" s="33"/>
      <c r="E382" s="35"/>
      <c r="F382" s="33"/>
      <c r="G382" s="33"/>
      <c r="H382" s="36"/>
      <c r="I382" s="33"/>
      <c r="J382" s="35"/>
      <c r="K382" s="33"/>
      <c r="L382" s="33"/>
      <c r="M382" s="36"/>
      <c r="N382" s="33"/>
      <c r="O382" s="35"/>
      <c r="P382" s="33"/>
      <c r="Q382" s="33"/>
      <c r="R382" s="36"/>
    </row>
    <row r="383" spans="1:18">
      <c r="A383" s="33"/>
      <c r="B383" s="34"/>
      <c r="C383" s="35"/>
      <c r="D383" s="33"/>
      <c r="E383" s="35"/>
      <c r="F383" s="33"/>
      <c r="G383" s="33"/>
      <c r="H383" s="36"/>
      <c r="I383" s="33"/>
      <c r="J383" s="35"/>
      <c r="K383" s="33"/>
      <c r="L383" s="33"/>
      <c r="M383" s="36"/>
      <c r="N383" s="33"/>
      <c r="O383" s="35"/>
      <c r="P383" s="33"/>
      <c r="Q383" s="33"/>
      <c r="R383" s="36"/>
    </row>
    <row r="384" spans="1:18">
      <c r="A384" s="33"/>
      <c r="B384" s="34"/>
      <c r="C384" s="35"/>
      <c r="D384" s="33"/>
      <c r="E384" s="35"/>
      <c r="F384" s="33"/>
      <c r="G384" s="33"/>
      <c r="H384" s="36"/>
      <c r="I384" s="33"/>
      <c r="J384" s="35"/>
      <c r="K384" s="33"/>
      <c r="L384" s="33"/>
      <c r="M384" s="36"/>
      <c r="N384" s="33"/>
      <c r="O384" s="35"/>
      <c r="P384" s="33"/>
      <c r="Q384" s="33"/>
      <c r="R384" s="36"/>
    </row>
    <row r="385" spans="1:18">
      <c r="A385" s="33"/>
      <c r="B385" s="34"/>
      <c r="C385" s="35"/>
      <c r="D385" s="33"/>
      <c r="E385" s="35"/>
      <c r="F385" s="33"/>
      <c r="G385" s="33"/>
      <c r="H385" s="36"/>
      <c r="I385" s="33"/>
      <c r="J385" s="35"/>
      <c r="K385" s="33"/>
      <c r="L385" s="33"/>
      <c r="M385" s="36"/>
      <c r="N385" s="33"/>
      <c r="O385" s="35"/>
      <c r="P385" s="33"/>
      <c r="Q385" s="33"/>
      <c r="R385" s="36"/>
    </row>
    <row r="386" spans="1:18">
      <c r="A386" s="33"/>
      <c r="B386" s="34"/>
      <c r="C386" s="35"/>
      <c r="D386" s="33"/>
      <c r="E386" s="35"/>
      <c r="F386" s="33"/>
      <c r="G386" s="33"/>
      <c r="H386" s="36"/>
      <c r="I386" s="33"/>
      <c r="J386" s="35"/>
      <c r="K386" s="33"/>
      <c r="L386" s="33"/>
      <c r="M386" s="36"/>
      <c r="N386" s="33"/>
      <c r="O386" s="35"/>
      <c r="P386" s="33"/>
      <c r="Q386" s="33"/>
      <c r="R386" s="36"/>
    </row>
    <row r="387" spans="1:18">
      <c r="A387" s="33"/>
      <c r="B387" s="34"/>
      <c r="C387" s="35"/>
      <c r="D387" s="33"/>
      <c r="E387" s="35"/>
      <c r="F387" s="33"/>
      <c r="G387" s="33"/>
      <c r="H387" s="36"/>
      <c r="I387" s="33"/>
      <c r="J387" s="35"/>
      <c r="K387" s="33"/>
      <c r="L387" s="33"/>
      <c r="M387" s="36"/>
      <c r="N387" s="33"/>
      <c r="O387" s="35"/>
      <c r="P387" s="33"/>
      <c r="Q387" s="33"/>
      <c r="R387" s="36"/>
    </row>
    <row r="388" spans="1:18">
      <c r="A388" s="33"/>
      <c r="B388" s="34"/>
      <c r="C388" s="35"/>
      <c r="D388" s="33"/>
      <c r="E388" s="35"/>
      <c r="F388" s="33"/>
      <c r="G388" s="33"/>
      <c r="H388" s="36"/>
      <c r="I388" s="33"/>
      <c r="J388" s="35"/>
      <c r="K388" s="33"/>
      <c r="L388" s="33"/>
      <c r="M388" s="36"/>
      <c r="N388" s="33"/>
      <c r="O388" s="35"/>
      <c r="P388" s="33"/>
      <c r="Q388" s="33"/>
      <c r="R388" s="36"/>
    </row>
    <row r="389" spans="1:18">
      <c r="A389" s="33"/>
      <c r="B389" s="34"/>
      <c r="C389" s="35"/>
      <c r="D389" s="33"/>
      <c r="E389" s="35"/>
      <c r="F389" s="33"/>
      <c r="G389" s="33"/>
      <c r="H389" s="36"/>
      <c r="I389" s="33"/>
      <c r="J389" s="35"/>
      <c r="K389" s="33"/>
      <c r="L389" s="33"/>
      <c r="M389" s="36"/>
      <c r="N389" s="33"/>
      <c r="O389" s="35"/>
      <c r="P389" s="33"/>
      <c r="Q389" s="33"/>
      <c r="R389" s="36"/>
    </row>
    <row r="390" spans="1:18">
      <c r="A390" s="33"/>
      <c r="B390" s="34"/>
      <c r="C390" s="35"/>
      <c r="D390" s="33"/>
      <c r="E390" s="35"/>
      <c r="F390" s="33"/>
      <c r="G390" s="33"/>
      <c r="H390" s="36"/>
      <c r="I390" s="33"/>
      <c r="J390" s="35"/>
      <c r="K390" s="33"/>
      <c r="L390" s="33"/>
      <c r="M390" s="36"/>
      <c r="N390" s="33"/>
      <c r="O390" s="35"/>
      <c r="P390" s="33"/>
      <c r="Q390" s="33"/>
      <c r="R390" s="36"/>
    </row>
    <row r="391" spans="1:18">
      <c r="A391" s="33"/>
      <c r="B391" s="34"/>
      <c r="C391" s="35"/>
      <c r="D391" s="33"/>
      <c r="E391" s="35"/>
      <c r="F391" s="33"/>
      <c r="G391" s="33"/>
      <c r="H391" s="36"/>
      <c r="I391" s="33"/>
      <c r="J391" s="35"/>
      <c r="K391" s="33"/>
      <c r="L391" s="33"/>
      <c r="M391" s="36"/>
      <c r="N391" s="33"/>
      <c r="O391" s="35"/>
      <c r="P391" s="33"/>
      <c r="Q391" s="33"/>
      <c r="R391" s="36"/>
    </row>
    <row r="392" spans="1:18">
      <c r="A392" s="33"/>
      <c r="B392" s="34"/>
      <c r="C392" s="35"/>
      <c r="D392" s="33"/>
      <c r="E392" s="35"/>
      <c r="F392" s="33"/>
      <c r="G392" s="33"/>
      <c r="H392" s="36"/>
      <c r="I392" s="33"/>
      <c r="J392" s="35"/>
      <c r="K392" s="33"/>
      <c r="L392" s="33"/>
      <c r="M392" s="36"/>
      <c r="N392" s="33"/>
      <c r="O392" s="35"/>
      <c r="P392" s="33"/>
      <c r="Q392" s="33"/>
      <c r="R392" s="36"/>
    </row>
    <row r="393" spans="1:18">
      <c r="A393" s="33"/>
      <c r="B393" s="34"/>
      <c r="C393" s="35"/>
      <c r="D393" s="33"/>
      <c r="E393" s="35"/>
      <c r="F393" s="33"/>
      <c r="G393" s="33"/>
      <c r="H393" s="36"/>
      <c r="I393" s="33"/>
      <c r="J393" s="35"/>
      <c r="K393" s="33"/>
      <c r="L393" s="33"/>
      <c r="M393" s="36"/>
      <c r="N393" s="33"/>
      <c r="O393" s="35"/>
      <c r="P393" s="33"/>
      <c r="Q393" s="33"/>
      <c r="R393" s="36"/>
    </row>
    <row r="394" spans="1:18">
      <c r="A394" s="33"/>
      <c r="B394" s="34"/>
      <c r="C394" s="35"/>
      <c r="D394" s="33"/>
      <c r="E394" s="35"/>
      <c r="F394" s="33"/>
      <c r="G394" s="33"/>
      <c r="H394" s="36"/>
      <c r="I394" s="33"/>
      <c r="J394" s="35"/>
      <c r="K394" s="33"/>
      <c r="L394" s="33"/>
      <c r="M394" s="36"/>
      <c r="N394" s="33"/>
      <c r="O394" s="35"/>
      <c r="P394" s="33"/>
      <c r="Q394" s="33"/>
      <c r="R394" s="36"/>
    </row>
    <row r="395" spans="1:18">
      <c r="A395" s="33"/>
      <c r="B395" s="34"/>
      <c r="C395" s="35"/>
      <c r="D395" s="33"/>
      <c r="E395" s="35"/>
      <c r="F395" s="33"/>
      <c r="G395" s="33"/>
      <c r="H395" s="36"/>
      <c r="I395" s="33"/>
      <c r="J395" s="35"/>
      <c r="K395" s="33"/>
      <c r="L395" s="33"/>
      <c r="M395" s="36"/>
      <c r="N395" s="33"/>
      <c r="O395" s="35"/>
      <c r="P395" s="33"/>
      <c r="Q395" s="33"/>
      <c r="R395" s="36"/>
    </row>
    <row r="396" spans="1:18">
      <c r="A396" s="33"/>
      <c r="B396" s="34"/>
      <c r="C396" s="35"/>
      <c r="D396" s="33"/>
      <c r="E396" s="35"/>
      <c r="F396" s="33"/>
      <c r="G396" s="33"/>
      <c r="H396" s="36"/>
      <c r="I396" s="33"/>
      <c r="J396" s="35"/>
      <c r="K396" s="33"/>
      <c r="L396" s="33"/>
      <c r="M396" s="36"/>
      <c r="N396" s="33"/>
      <c r="O396" s="35"/>
      <c r="P396" s="33"/>
      <c r="Q396" s="33"/>
      <c r="R396" s="36"/>
    </row>
    <row r="397" spans="1:18">
      <c r="A397" s="33"/>
      <c r="B397" s="34"/>
      <c r="C397" s="35"/>
      <c r="D397" s="33"/>
      <c r="E397" s="35"/>
      <c r="F397" s="33"/>
      <c r="G397" s="33"/>
      <c r="H397" s="36"/>
      <c r="I397" s="33"/>
      <c r="J397" s="35"/>
      <c r="K397" s="33"/>
      <c r="L397" s="33"/>
      <c r="M397" s="36"/>
      <c r="N397" s="33"/>
      <c r="O397" s="35"/>
      <c r="P397" s="33"/>
      <c r="Q397" s="33"/>
      <c r="R397" s="36"/>
    </row>
    <row r="398" spans="1:18">
      <c r="A398" s="33"/>
      <c r="B398" s="34"/>
      <c r="C398" s="35"/>
      <c r="D398" s="33"/>
      <c r="E398" s="35"/>
      <c r="F398" s="33"/>
      <c r="G398" s="33"/>
      <c r="H398" s="36"/>
      <c r="I398" s="33"/>
      <c r="J398" s="35"/>
      <c r="K398" s="33"/>
      <c r="L398" s="33"/>
      <c r="M398" s="36"/>
      <c r="N398" s="33"/>
      <c r="O398" s="35"/>
      <c r="P398" s="33"/>
      <c r="Q398" s="33"/>
      <c r="R398" s="36"/>
    </row>
    <row r="399" spans="1:18">
      <c r="A399" s="33"/>
      <c r="B399" s="34"/>
      <c r="C399" s="35"/>
      <c r="D399" s="33"/>
      <c r="E399" s="35"/>
      <c r="F399" s="33"/>
      <c r="G399" s="33"/>
      <c r="H399" s="36"/>
      <c r="I399" s="33"/>
      <c r="J399" s="35"/>
      <c r="K399" s="33"/>
      <c r="L399" s="33"/>
      <c r="M399" s="36"/>
      <c r="N399" s="33"/>
      <c r="O399" s="35"/>
      <c r="P399" s="33"/>
      <c r="Q399" s="33"/>
      <c r="R399" s="36"/>
    </row>
    <row r="400" spans="1:18">
      <c r="A400" s="33"/>
      <c r="B400" s="34"/>
      <c r="C400" s="35"/>
      <c r="D400" s="33"/>
      <c r="E400" s="35"/>
      <c r="F400" s="33"/>
      <c r="G400" s="33"/>
      <c r="H400" s="36"/>
      <c r="I400" s="33"/>
      <c r="J400" s="35"/>
      <c r="K400" s="33"/>
      <c r="L400" s="33"/>
      <c r="M400" s="36"/>
      <c r="N400" s="33"/>
      <c r="O400" s="35"/>
      <c r="P400" s="33"/>
      <c r="Q400" s="33"/>
      <c r="R400" s="36"/>
    </row>
    <row r="401" spans="1:18">
      <c r="A401" s="33"/>
      <c r="B401" s="34"/>
      <c r="C401" s="35"/>
      <c r="D401" s="33"/>
      <c r="E401" s="35"/>
      <c r="F401" s="33"/>
      <c r="G401" s="33"/>
      <c r="H401" s="36"/>
      <c r="I401" s="33"/>
      <c r="J401" s="35"/>
      <c r="K401" s="33"/>
      <c r="L401" s="33"/>
      <c r="M401" s="36"/>
      <c r="N401" s="33"/>
      <c r="O401" s="35"/>
      <c r="P401" s="33"/>
      <c r="Q401" s="33"/>
      <c r="R401" s="36"/>
    </row>
    <row r="402" spans="1:18">
      <c r="A402" s="33"/>
      <c r="B402" s="34"/>
      <c r="C402" s="35"/>
      <c r="D402" s="33"/>
      <c r="E402" s="35"/>
      <c r="F402" s="33"/>
      <c r="G402" s="33"/>
      <c r="H402" s="36"/>
      <c r="I402" s="33"/>
      <c r="J402" s="35"/>
      <c r="K402" s="33"/>
      <c r="L402" s="33"/>
      <c r="M402" s="36"/>
      <c r="N402" s="33"/>
      <c r="O402" s="35"/>
      <c r="P402" s="33"/>
      <c r="Q402" s="33"/>
      <c r="R402" s="36"/>
    </row>
    <row r="403" spans="1:18">
      <c r="A403" s="33"/>
      <c r="B403" s="34"/>
      <c r="C403" s="35"/>
      <c r="D403" s="33"/>
      <c r="E403" s="35"/>
      <c r="F403" s="33"/>
      <c r="G403" s="33"/>
      <c r="H403" s="36"/>
      <c r="I403" s="33"/>
      <c r="J403" s="35"/>
      <c r="K403" s="33"/>
      <c r="L403" s="33"/>
      <c r="M403" s="36"/>
      <c r="N403" s="33"/>
      <c r="O403" s="35"/>
      <c r="P403" s="33"/>
      <c r="Q403" s="33"/>
      <c r="R403" s="36"/>
    </row>
    <row r="404" spans="1:18">
      <c r="A404" s="33"/>
      <c r="B404" s="34"/>
      <c r="C404" s="35"/>
      <c r="D404" s="33"/>
      <c r="E404" s="35"/>
      <c r="F404" s="33"/>
      <c r="G404" s="33"/>
      <c r="H404" s="36"/>
      <c r="I404" s="33"/>
      <c r="J404" s="35"/>
      <c r="K404" s="33"/>
      <c r="L404" s="33"/>
      <c r="M404" s="36"/>
      <c r="N404" s="33"/>
      <c r="O404" s="35"/>
      <c r="P404" s="33"/>
      <c r="Q404" s="33"/>
      <c r="R404" s="36"/>
    </row>
    <row r="405" spans="1:18">
      <c r="A405" s="33"/>
      <c r="B405" s="34"/>
      <c r="C405" s="35"/>
      <c r="D405" s="33"/>
      <c r="E405" s="35"/>
      <c r="F405" s="33"/>
      <c r="G405" s="33"/>
      <c r="H405" s="36"/>
      <c r="I405" s="33"/>
      <c r="J405" s="35"/>
      <c r="K405" s="33"/>
      <c r="L405" s="33"/>
      <c r="M405" s="36"/>
      <c r="N405" s="33"/>
      <c r="O405" s="35"/>
      <c r="P405" s="33"/>
      <c r="Q405" s="33"/>
      <c r="R405" s="36"/>
    </row>
    <row r="406" spans="1:18">
      <c r="A406" s="33"/>
      <c r="B406" s="34"/>
      <c r="C406" s="35"/>
      <c r="D406" s="33"/>
      <c r="E406" s="35"/>
      <c r="F406" s="33"/>
      <c r="G406" s="33"/>
      <c r="H406" s="36"/>
      <c r="I406" s="33"/>
      <c r="J406" s="35"/>
      <c r="K406" s="33"/>
      <c r="L406" s="33"/>
      <c r="M406" s="36"/>
      <c r="N406" s="33"/>
      <c r="O406" s="35"/>
      <c r="P406" s="33"/>
      <c r="Q406" s="33"/>
      <c r="R406" s="36"/>
    </row>
    <row r="407" spans="1:18">
      <c r="A407" s="33"/>
      <c r="B407" s="34"/>
      <c r="C407" s="35"/>
      <c r="D407" s="33"/>
      <c r="E407" s="35"/>
      <c r="F407" s="33"/>
      <c r="G407" s="33"/>
      <c r="H407" s="36"/>
      <c r="I407" s="33"/>
      <c r="J407" s="35"/>
      <c r="K407" s="33"/>
      <c r="L407" s="33"/>
      <c r="M407" s="36"/>
      <c r="N407" s="33"/>
      <c r="O407" s="35"/>
      <c r="P407" s="33"/>
      <c r="Q407" s="33"/>
      <c r="R407" s="36"/>
    </row>
    <row r="408" spans="1:18">
      <c r="A408" s="33"/>
      <c r="B408" s="34"/>
      <c r="C408" s="35"/>
      <c r="D408" s="33"/>
      <c r="E408" s="35"/>
      <c r="F408" s="33"/>
      <c r="G408" s="33"/>
      <c r="H408" s="36"/>
      <c r="I408" s="33"/>
      <c r="J408" s="35"/>
      <c r="K408" s="33"/>
      <c r="L408" s="33"/>
      <c r="M408" s="36"/>
      <c r="N408" s="33"/>
      <c r="O408" s="35"/>
      <c r="P408" s="33"/>
      <c r="Q408" s="33"/>
      <c r="R408" s="36"/>
    </row>
    <row r="409" spans="1:18">
      <c r="A409" s="33"/>
      <c r="B409" s="34"/>
      <c r="C409" s="35"/>
      <c r="D409" s="33"/>
      <c r="E409" s="35"/>
      <c r="F409" s="33"/>
      <c r="G409" s="33"/>
      <c r="H409" s="36"/>
      <c r="I409" s="33"/>
      <c r="J409" s="35"/>
      <c r="K409" s="33"/>
      <c r="L409" s="33"/>
      <c r="M409" s="36"/>
      <c r="N409" s="33"/>
      <c r="O409" s="35"/>
      <c r="P409" s="33"/>
      <c r="Q409" s="33"/>
      <c r="R409" s="36"/>
    </row>
  </sheetData>
  <mergeCells count="23">
    <mergeCell ref="B2:H2"/>
    <mergeCell ref="A5:A7"/>
    <mergeCell ref="B5:B7"/>
    <mergeCell ref="C5:C7"/>
    <mergeCell ref="B3:H3"/>
    <mergeCell ref="H5:H7"/>
    <mergeCell ref="F6:F7"/>
    <mergeCell ref="M5:M7"/>
    <mergeCell ref="D5:D7"/>
    <mergeCell ref="E5:G5"/>
    <mergeCell ref="E6:E7"/>
    <mergeCell ref="G6:G7"/>
    <mergeCell ref="I5:I7"/>
    <mergeCell ref="J5:L5"/>
    <mergeCell ref="J6:J7"/>
    <mergeCell ref="L6:L7"/>
    <mergeCell ref="K6:K7"/>
    <mergeCell ref="N5:N7"/>
    <mergeCell ref="O5:Q5"/>
    <mergeCell ref="R5:R7"/>
    <mergeCell ref="O6:O7"/>
    <mergeCell ref="Q6:Q7"/>
    <mergeCell ref="P6:P7"/>
  </mergeCells>
  <phoneticPr fontId="27" type="noConversion"/>
  <pageMargins left="0.27559055118110237" right="0.19685039370078741" top="0.23622047244094491" bottom="0.27559055118110237" header="0.15748031496062992" footer="0.15748031496062992"/>
  <pageSetup paperSize="9" scale="60" orientation="landscape" r:id="rId1"/>
  <headerFooter alignWithMargins="0">
    <oddFooter>&amp;L&amp;F&amp;C&amp;P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rgb="FFFFC000"/>
  </sheetPr>
  <dimension ref="A1:R427"/>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B282" sqref="B282"/>
    </sheetView>
  </sheetViews>
  <sheetFormatPr defaultColWidth="9.109375" defaultRowHeight="10.199999999999999"/>
  <cols>
    <col min="1" max="1" width="11.44140625" style="21" bestFit="1" customWidth="1"/>
    <col min="2" max="2" width="37.6640625" style="1" customWidth="1"/>
    <col min="3" max="3" width="11.33203125" style="22" customWidth="1"/>
    <col min="4" max="4" width="12.109375" style="21"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577"/>
      <c r="J2" s="577"/>
      <c r="K2" s="577"/>
      <c r="L2" s="577"/>
      <c r="M2" s="220"/>
      <c r="N2" s="577"/>
      <c r="O2" s="577"/>
      <c r="P2" s="577"/>
      <c r="Q2" s="577"/>
      <c r="R2" s="220"/>
    </row>
    <row r="3" spans="1:18" s="1" customFormat="1" ht="13.95" customHeight="1">
      <c r="A3" s="221"/>
      <c r="B3" s="1400" t="s">
        <v>489</v>
      </c>
      <c r="C3" s="1400"/>
      <c r="D3" s="1400"/>
      <c r="E3" s="1400"/>
      <c r="F3" s="1400"/>
      <c r="G3" s="1400"/>
      <c r="H3" s="1400"/>
      <c r="I3" s="578"/>
      <c r="J3" s="578"/>
      <c r="K3" s="578"/>
      <c r="L3" s="578"/>
      <c r="M3" s="220"/>
      <c r="N3" s="578"/>
      <c r="O3" s="578"/>
      <c r="P3" s="578"/>
      <c r="Q3" s="578"/>
      <c r="R3" s="220"/>
    </row>
    <row r="4" spans="1:18" s="1" customFormat="1" ht="13.95" customHeight="1">
      <c r="A4" s="221"/>
      <c r="B4" s="578"/>
      <c r="C4" s="222"/>
      <c r="D4" s="578"/>
      <c r="E4" s="578"/>
      <c r="F4" s="578"/>
      <c r="G4" s="578"/>
      <c r="H4" s="578"/>
      <c r="I4" s="578"/>
      <c r="J4" s="578"/>
      <c r="K4" s="578"/>
      <c r="L4" s="578"/>
      <c r="M4" s="578"/>
      <c r="N4" s="578"/>
      <c r="O4" s="578"/>
      <c r="P4" s="578"/>
      <c r="Q4" s="578"/>
      <c r="R4" s="578"/>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ht="13.95" customHeigh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8"/>
      <c r="B9" s="392" t="s">
        <v>87</v>
      </c>
      <c r="C9" s="387"/>
      <c r="D9" s="387"/>
      <c r="E9" s="226"/>
      <c r="F9" s="226"/>
      <c r="G9" s="226"/>
      <c r="H9" s="226"/>
      <c r="I9" s="365"/>
      <c r="J9" s="226"/>
      <c r="K9" s="226"/>
      <c r="L9" s="226"/>
      <c r="M9" s="226"/>
      <c r="N9" s="365"/>
      <c r="O9" s="226"/>
      <c r="P9" s="226"/>
      <c r="Q9" s="226"/>
      <c r="R9" s="226"/>
    </row>
    <row r="10" spans="1:18" s="4" customFormat="1" ht="20.399999999999999">
      <c r="A10" s="129" t="s">
        <v>201</v>
      </c>
      <c r="B10" s="123" t="s">
        <v>88</v>
      </c>
      <c r="C10" s="200">
        <v>11445616</v>
      </c>
      <c r="D10" s="167">
        <v>11538276</v>
      </c>
      <c r="E10" s="228">
        <f>E11+E12+E14+E32</f>
        <v>0</v>
      </c>
      <c r="F10" s="228">
        <f t="shared" ref="F10:G10" si="0">F11+F12+F14+F32</f>
        <v>0</v>
      </c>
      <c r="G10" s="228">
        <f t="shared" si="0"/>
        <v>1437539</v>
      </c>
      <c r="H10" s="229">
        <f t="shared" ref="H10:H73" si="1">SUM(D10:G10)</f>
        <v>12975815</v>
      </c>
      <c r="I10" s="228">
        <v>11538276</v>
      </c>
      <c r="J10" s="228">
        <f>J11+J12+J14+J32</f>
        <v>0</v>
      </c>
      <c r="K10" s="228">
        <f t="shared" ref="K10:L10" si="2">K11+K12+K14+K32</f>
        <v>0</v>
      </c>
      <c r="L10" s="228">
        <f t="shared" si="2"/>
        <v>2109451</v>
      </c>
      <c r="M10" s="229">
        <f t="shared" ref="M10:M73" si="3">SUM(I10:L10)</f>
        <v>13647727</v>
      </c>
      <c r="N10" s="228">
        <v>11445616</v>
      </c>
      <c r="O10" s="228">
        <f>O11+O12+O14+O32</f>
        <v>0</v>
      </c>
      <c r="P10" s="228">
        <f t="shared" ref="P10:Q10" si="4">P11+P12+P14+P32</f>
        <v>0</v>
      </c>
      <c r="Q10" s="227">
        <f t="shared" si="4"/>
        <v>1294208</v>
      </c>
      <c r="R10" s="229">
        <f t="shared" ref="R10:R73" si="5">SUM(N10:Q10)</f>
        <v>12739824</v>
      </c>
    </row>
    <row r="11" spans="1:18" ht="22.8">
      <c r="A11" s="130" t="s">
        <v>177</v>
      </c>
      <c r="B11" s="124" t="s">
        <v>90</v>
      </c>
      <c r="C11" s="198">
        <v>4024</v>
      </c>
      <c r="D11" s="119">
        <v>4024</v>
      </c>
      <c r="E11" s="231"/>
      <c r="F11" s="231"/>
      <c r="G11" s="231"/>
      <c r="H11" s="232">
        <f t="shared" si="1"/>
        <v>4024</v>
      </c>
      <c r="I11" s="231">
        <v>4024</v>
      </c>
      <c r="J11" s="231"/>
      <c r="K11" s="231"/>
      <c r="L11" s="231"/>
      <c r="M11" s="232">
        <f t="shared" si="3"/>
        <v>4024</v>
      </c>
      <c r="N11" s="231">
        <v>4024</v>
      </c>
      <c r="O11" s="231"/>
      <c r="P11" s="231"/>
      <c r="Q11" s="230"/>
      <c r="R11" s="232">
        <f t="shared" si="5"/>
        <v>4024</v>
      </c>
    </row>
    <row r="12" spans="1:18" ht="12" hidden="1" customHeight="1">
      <c r="A12" s="130" t="s">
        <v>91</v>
      </c>
      <c r="B12" s="124" t="s">
        <v>92</v>
      </c>
      <c r="C12" s="98"/>
      <c r="D12" s="169">
        <v>0</v>
      </c>
      <c r="E12" s="231"/>
      <c r="F12" s="231"/>
      <c r="G12" s="231"/>
      <c r="H12" s="232">
        <f t="shared" si="1"/>
        <v>0</v>
      </c>
      <c r="I12" s="231">
        <v>0</v>
      </c>
      <c r="J12" s="231"/>
      <c r="K12" s="231"/>
      <c r="L12" s="231"/>
      <c r="M12" s="232">
        <f t="shared" si="3"/>
        <v>0</v>
      </c>
      <c r="N12" s="231">
        <v>0</v>
      </c>
      <c r="O12" s="231"/>
      <c r="P12" s="231"/>
      <c r="Q12" s="230"/>
      <c r="R12" s="232">
        <f t="shared" si="5"/>
        <v>0</v>
      </c>
    </row>
    <row r="13" spans="1:18" ht="24" hidden="1" customHeight="1">
      <c r="A13" s="131">
        <v>21210</v>
      </c>
      <c r="B13" s="125" t="s">
        <v>93</v>
      </c>
      <c r="C13" s="98"/>
      <c r="D13" s="169">
        <v>0</v>
      </c>
      <c r="E13" s="231"/>
      <c r="F13" s="231"/>
      <c r="G13" s="231"/>
      <c r="H13" s="232">
        <f t="shared" si="1"/>
        <v>0</v>
      </c>
      <c r="I13" s="231">
        <v>0</v>
      </c>
      <c r="J13" s="231"/>
      <c r="K13" s="231"/>
      <c r="L13" s="231"/>
      <c r="M13" s="232">
        <f t="shared" si="3"/>
        <v>0</v>
      </c>
      <c r="N13" s="231">
        <v>0</v>
      </c>
      <c r="O13" s="231"/>
      <c r="P13" s="231"/>
      <c r="Q13" s="230"/>
      <c r="R13" s="232">
        <f t="shared" si="5"/>
        <v>0</v>
      </c>
    </row>
    <row r="14" spans="1:18" ht="21" hidden="1" customHeight="1">
      <c r="A14" s="130" t="s">
        <v>178</v>
      </c>
      <c r="B14" s="124" t="s">
        <v>94</v>
      </c>
      <c r="C14" s="170">
        <v>0</v>
      </c>
      <c r="D14" s="171">
        <v>0</v>
      </c>
      <c r="E14" s="233">
        <f>E15+E21</f>
        <v>0</v>
      </c>
      <c r="F14" s="233">
        <f t="shared" ref="F14:G14" si="6">F15+F21</f>
        <v>0</v>
      </c>
      <c r="G14" s="233">
        <f t="shared" si="6"/>
        <v>0</v>
      </c>
      <c r="H14" s="232">
        <f t="shared" si="1"/>
        <v>0</v>
      </c>
      <c r="I14" s="233">
        <v>0</v>
      </c>
      <c r="J14" s="233">
        <f>J15+J21</f>
        <v>0</v>
      </c>
      <c r="K14" s="233">
        <f t="shared" ref="K14:L14" si="7">K15+K21</f>
        <v>0</v>
      </c>
      <c r="L14" s="233">
        <f t="shared" si="7"/>
        <v>0</v>
      </c>
      <c r="M14" s="232">
        <f t="shared" si="3"/>
        <v>0</v>
      </c>
      <c r="N14" s="233">
        <v>0</v>
      </c>
      <c r="O14" s="233">
        <f>O15+O21</f>
        <v>0</v>
      </c>
      <c r="P14" s="233">
        <f t="shared" ref="P14:Q14" si="8">P15+P21</f>
        <v>0</v>
      </c>
      <c r="Q14" s="232">
        <f t="shared" si="8"/>
        <v>0</v>
      </c>
      <c r="R14" s="232">
        <f t="shared" si="5"/>
        <v>0</v>
      </c>
    </row>
    <row r="15" spans="1:18" ht="12" hidden="1" customHeight="1">
      <c r="A15" s="132">
        <v>18000</v>
      </c>
      <c r="B15" s="125" t="s">
        <v>95</v>
      </c>
      <c r="C15" s="170">
        <v>0</v>
      </c>
      <c r="D15" s="171">
        <v>0</v>
      </c>
      <c r="E15" s="233">
        <f t="shared" ref="E15:L16" si="9">E16</f>
        <v>0</v>
      </c>
      <c r="F15" s="233">
        <f t="shared" si="9"/>
        <v>0</v>
      </c>
      <c r="G15" s="233">
        <f t="shared" si="9"/>
        <v>0</v>
      </c>
      <c r="H15" s="232">
        <f t="shared" si="1"/>
        <v>0</v>
      </c>
      <c r="I15" s="233">
        <v>0</v>
      </c>
      <c r="J15" s="233">
        <f t="shared" si="9"/>
        <v>0</v>
      </c>
      <c r="K15" s="233">
        <f t="shared" si="9"/>
        <v>0</v>
      </c>
      <c r="L15" s="233">
        <f t="shared" si="9"/>
        <v>0</v>
      </c>
      <c r="M15" s="232">
        <f t="shared" si="3"/>
        <v>0</v>
      </c>
      <c r="N15" s="233">
        <v>0</v>
      </c>
      <c r="O15" s="233">
        <f t="shared" ref="O15:Q16" si="10">O16</f>
        <v>0</v>
      </c>
      <c r="P15" s="233">
        <f t="shared" si="10"/>
        <v>0</v>
      </c>
      <c r="Q15" s="232">
        <f t="shared" si="10"/>
        <v>0</v>
      </c>
      <c r="R15" s="232">
        <f t="shared" si="5"/>
        <v>0</v>
      </c>
    </row>
    <row r="16" spans="1:18" ht="12" hidden="1" customHeight="1">
      <c r="A16" s="132">
        <v>18100</v>
      </c>
      <c r="B16" s="125" t="s">
        <v>96</v>
      </c>
      <c r="C16" s="170">
        <v>0</v>
      </c>
      <c r="D16" s="171">
        <v>0</v>
      </c>
      <c r="E16" s="233">
        <f>E17</f>
        <v>0</v>
      </c>
      <c r="F16" s="233">
        <f t="shared" si="9"/>
        <v>0</v>
      </c>
      <c r="G16" s="233">
        <f t="shared" si="9"/>
        <v>0</v>
      </c>
      <c r="H16" s="232">
        <f t="shared" si="1"/>
        <v>0</v>
      </c>
      <c r="I16" s="233">
        <v>0</v>
      </c>
      <c r="J16" s="233">
        <f>J17</f>
        <v>0</v>
      </c>
      <c r="K16" s="233">
        <f t="shared" si="9"/>
        <v>0</v>
      </c>
      <c r="L16" s="233">
        <f t="shared" si="9"/>
        <v>0</v>
      </c>
      <c r="M16" s="232">
        <f t="shared" si="3"/>
        <v>0</v>
      </c>
      <c r="N16" s="233">
        <v>0</v>
      </c>
      <c r="O16" s="233">
        <f>O17</f>
        <v>0</v>
      </c>
      <c r="P16" s="233">
        <f t="shared" si="10"/>
        <v>0</v>
      </c>
      <c r="Q16" s="232">
        <f t="shared" si="10"/>
        <v>0</v>
      </c>
      <c r="R16" s="232">
        <f t="shared" si="5"/>
        <v>0</v>
      </c>
    </row>
    <row r="17" spans="1:18" s="4" customFormat="1" ht="24" hidden="1" customHeight="1">
      <c r="A17" s="133">
        <v>18130</v>
      </c>
      <c r="B17" s="172" t="s">
        <v>159</v>
      </c>
      <c r="C17" s="170">
        <v>0</v>
      </c>
      <c r="D17" s="171">
        <v>0</v>
      </c>
      <c r="E17" s="233">
        <f>SUM(E18:E20)</f>
        <v>0</v>
      </c>
      <c r="F17" s="233">
        <f t="shared" ref="F17:G17" si="11">SUM(F18:F20)</f>
        <v>0</v>
      </c>
      <c r="G17" s="233">
        <f t="shared" si="11"/>
        <v>0</v>
      </c>
      <c r="H17" s="232">
        <f t="shared" si="1"/>
        <v>0</v>
      </c>
      <c r="I17" s="233">
        <v>0</v>
      </c>
      <c r="J17" s="233">
        <f>SUM(J18:J20)</f>
        <v>0</v>
      </c>
      <c r="K17" s="233">
        <f t="shared" ref="K17:L17" si="12">SUM(K18:K20)</f>
        <v>0</v>
      </c>
      <c r="L17" s="233">
        <f t="shared" si="12"/>
        <v>0</v>
      </c>
      <c r="M17" s="232">
        <f t="shared" si="3"/>
        <v>0</v>
      </c>
      <c r="N17" s="233">
        <v>0</v>
      </c>
      <c r="O17" s="233">
        <f>SUM(O18:O20)</f>
        <v>0</v>
      </c>
      <c r="P17" s="233">
        <f t="shared" ref="P17:Q17" si="13">SUM(P18:P20)</f>
        <v>0</v>
      </c>
      <c r="Q17" s="232">
        <f t="shared" si="13"/>
        <v>0</v>
      </c>
      <c r="R17" s="232">
        <f t="shared" si="5"/>
        <v>0</v>
      </c>
    </row>
    <row r="18" spans="1:18" s="6" customFormat="1" ht="36" hidden="1" customHeight="1">
      <c r="A18" s="134">
        <v>18131</v>
      </c>
      <c r="B18" s="172" t="s">
        <v>160</v>
      </c>
      <c r="C18" s="170"/>
      <c r="D18" s="171">
        <v>0</v>
      </c>
      <c r="E18" s="233"/>
      <c r="F18" s="233"/>
      <c r="G18" s="233"/>
      <c r="H18" s="232">
        <f t="shared" si="1"/>
        <v>0</v>
      </c>
      <c r="I18" s="233">
        <v>0</v>
      </c>
      <c r="J18" s="233"/>
      <c r="K18" s="233"/>
      <c r="L18" s="233"/>
      <c r="M18" s="232">
        <f t="shared" si="3"/>
        <v>0</v>
      </c>
      <c r="N18" s="233">
        <v>0</v>
      </c>
      <c r="O18" s="233"/>
      <c r="P18" s="233"/>
      <c r="Q18" s="232"/>
      <c r="R18" s="232">
        <f t="shared" si="5"/>
        <v>0</v>
      </c>
    </row>
    <row r="19" spans="1:18" s="6" customFormat="1" ht="24" hidden="1" customHeight="1">
      <c r="A19" s="134">
        <v>18132</v>
      </c>
      <c r="B19" s="172" t="s">
        <v>169</v>
      </c>
      <c r="C19" s="170"/>
      <c r="D19" s="171">
        <v>0</v>
      </c>
      <c r="E19" s="233"/>
      <c r="F19" s="233"/>
      <c r="G19" s="233"/>
      <c r="H19" s="232">
        <f t="shared" si="1"/>
        <v>0</v>
      </c>
      <c r="I19" s="233">
        <v>0</v>
      </c>
      <c r="J19" s="233"/>
      <c r="K19" s="233"/>
      <c r="L19" s="233"/>
      <c r="M19" s="232">
        <f t="shared" si="3"/>
        <v>0</v>
      </c>
      <c r="N19" s="233">
        <v>0</v>
      </c>
      <c r="O19" s="233"/>
      <c r="P19" s="233"/>
      <c r="Q19" s="232"/>
      <c r="R19" s="232">
        <f t="shared" si="5"/>
        <v>0</v>
      </c>
    </row>
    <row r="20" spans="1:18" s="6" customFormat="1" ht="24" hidden="1" customHeight="1">
      <c r="A20" s="134">
        <v>18139</v>
      </c>
      <c r="B20" s="172" t="s">
        <v>179</v>
      </c>
      <c r="C20" s="170"/>
      <c r="D20" s="171">
        <v>0</v>
      </c>
      <c r="E20" s="233"/>
      <c r="F20" s="233"/>
      <c r="G20" s="233"/>
      <c r="H20" s="232">
        <f t="shared" si="1"/>
        <v>0</v>
      </c>
      <c r="I20" s="233">
        <v>0</v>
      </c>
      <c r="J20" s="233"/>
      <c r="K20" s="233"/>
      <c r="L20" s="233"/>
      <c r="M20" s="232">
        <f t="shared" si="3"/>
        <v>0</v>
      </c>
      <c r="N20" s="233">
        <v>0</v>
      </c>
      <c r="O20" s="233"/>
      <c r="P20" s="233"/>
      <c r="Q20" s="232"/>
      <c r="R20" s="232">
        <f t="shared" si="5"/>
        <v>0</v>
      </c>
    </row>
    <row r="21" spans="1:18" s="6" customFormat="1" ht="12" hidden="1" customHeight="1">
      <c r="A21" s="135" t="s">
        <v>180</v>
      </c>
      <c r="B21" s="173" t="s">
        <v>173</v>
      </c>
      <c r="C21" s="201">
        <v>0</v>
      </c>
      <c r="D21" s="174">
        <v>0</v>
      </c>
      <c r="E21" s="238">
        <f t="shared" ref="E21:L21" si="14">E22</f>
        <v>0</v>
      </c>
      <c r="F21" s="238">
        <f t="shared" si="14"/>
        <v>0</v>
      </c>
      <c r="G21" s="238">
        <f t="shared" si="14"/>
        <v>0</v>
      </c>
      <c r="H21" s="232">
        <f t="shared" si="1"/>
        <v>0</v>
      </c>
      <c r="I21" s="238">
        <v>0</v>
      </c>
      <c r="J21" s="238">
        <f t="shared" si="14"/>
        <v>0</v>
      </c>
      <c r="K21" s="238">
        <f t="shared" si="14"/>
        <v>0</v>
      </c>
      <c r="L21" s="238">
        <f t="shared" si="14"/>
        <v>0</v>
      </c>
      <c r="M21" s="232">
        <f t="shared" si="3"/>
        <v>0</v>
      </c>
      <c r="N21" s="238">
        <v>0</v>
      </c>
      <c r="O21" s="238">
        <f t="shared" ref="O21:Q21" si="15">O22</f>
        <v>0</v>
      </c>
      <c r="P21" s="238">
        <f t="shared" si="15"/>
        <v>0</v>
      </c>
      <c r="Q21" s="237">
        <f t="shared" si="15"/>
        <v>0</v>
      </c>
      <c r="R21" s="232">
        <f t="shared" si="5"/>
        <v>0</v>
      </c>
    </row>
    <row r="22" spans="1:18" s="6" customFormat="1" ht="24" hidden="1" customHeight="1">
      <c r="A22" s="135">
        <v>19500</v>
      </c>
      <c r="B22" s="172" t="s">
        <v>174</v>
      </c>
      <c r="C22" s="170">
        <v>0</v>
      </c>
      <c r="D22" s="171">
        <v>0</v>
      </c>
      <c r="E22" s="233">
        <f>SUM(E23:E25)</f>
        <v>0</v>
      </c>
      <c r="F22" s="233">
        <f t="shared" ref="F22:G22" si="16">SUM(F23:F25)</f>
        <v>0</v>
      </c>
      <c r="G22" s="233">
        <f t="shared" si="16"/>
        <v>0</v>
      </c>
      <c r="H22" s="232">
        <f t="shared" si="1"/>
        <v>0</v>
      </c>
      <c r="I22" s="233">
        <v>0</v>
      </c>
      <c r="J22" s="233">
        <f>SUM(J23:J25)</f>
        <v>0</v>
      </c>
      <c r="K22" s="233">
        <f t="shared" ref="K22:L22" si="17">SUM(K23:K25)</f>
        <v>0</v>
      </c>
      <c r="L22" s="233">
        <f t="shared" si="17"/>
        <v>0</v>
      </c>
      <c r="M22" s="232">
        <f t="shared" si="3"/>
        <v>0</v>
      </c>
      <c r="N22" s="233">
        <v>0</v>
      </c>
      <c r="O22" s="233">
        <f>SUM(O23:O25)</f>
        <v>0</v>
      </c>
      <c r="P22" s="233">
        <f t="shared" ref="P22:Q22" si="18">SUM(P23:P25)</f>
        <v>0</v>
      </c>
      <c r="Q22" s="232">
        <f t="shared" si="18"/>
        <v>0</v>
      </c>
      <c r="R22" s="232">
        <f t="shared" si="5"/>
        <v>0</v>
      </c>
    </row>
    <row r="23" spans="1:18" s="6" customFormat="1" ht="24" hidden="1" customHeight="1">
      <c r="A23" s="136">
        <v>19550</v>
      </c>
      <c r="B23" s="172" t="s">
        <v>175</v>
      </c>
      <c r="C23" s="170"/>
      <c r="D23" s="171">
        <v>0</v>
      </c>
      <c r="E23" s="233"/>
      <c r="F23" s="233"/>
      <c r="G23" s="233"/>
      <c r="H23" s="232">
        <f t="shared" si="1"/>
        <v>0</v>
      </c>
      <c r="I23" s="233">
        <v>0</v>
      </c>
      <c r="J23" s="233"/>
      <c r="K23" s="233"/>
      <c r="L23" s="233"/>
      <c r="M23" s="232">
        <f t="shared" si="3"/>
        <v>0</v>
      </c>
      <c r="N23" s="233">
        <v>0</v>
      </c>
      <c r="O23" s="233"/>
      <c r="P23" s="233"/>
      <c r="Q23" s="232"/>
      <c r="R23" s="232">
        <f t="shared" si="5"/>
        <v>0</v>
      </c>
    </row>
    <row r="24" spans="1:18" s="6" customFormat="1" ht="36" hidden="1" customHeight="1">
      <c r="A24" s="136">
        <v>19560</v>
      </c>
      <c r="B24" s="172" t="s">
        <v>181</v>
      </c>
      <c r="C24" s="170"/>
      <c r="D24" s="171">
        <v>0</v>
      </c>
      <c r="E24" s="233"/>
      <c r="F24" s="233"/>
      <c r="G24" s="233"/>
      <c r="H24" s="232">
        <f t="shared" si="1"/>
        <v>0</v>
      </c>
      <c r="I24" s="233">
        <v>0</v>
      </c>
      <c r="J24" s="233"/>
      <c r="K24" s="233"/>
      <c r="L24" s="233"/>
      <c r="M24" s="232">
        <f t="shared" si="3"/>
        <v>0</v>
      </c>
      <c r="N24" s="233">
        <v>0</v>
      </c>
      <c r="O24" s="233"/>
      <c r="P24" s="233"/>
      <c r="Q24" s="232"/>
      <c r="R24" s="232">
        <f t="shared" si="5"/>
        <v>0</v>
      </c>
    </row>
    <row r="25" spans="1:18" s="6" customFormat="1" ht="72" hidden="1" customHeight="1">
      <c r="A25" s="136">
        <v>19570</v>
      </c>
      <c r="B25" s="172" t="s">
        <v>182</v>
      </c>
      <c r="C25" s="170"/>
      <c r="D25" s="171">
        <v>0</v>
      </c>
      <c r="E25" s="233"/>
      <c r="F25" s="233"/>
      <c r="G25" s="233"/>
      <c r="H25" s="232">
        <f t="shared" si="1"/>
        <v>0</v>
      </c>
      <c r="I25" s="233">
        <v>0</v>
      </c>
      <c r="J25" s="233"/>
      <c r="K25" s="233"/>
      <c r="L25" s="233"/>
      <c r="M25" s="232">
        <f t="shared" si="3"/>
        <v>0</v>
      </c>
      <c r="N25" s="233">
        <v>0</v>
      </c>
      <c r="O25" s="233"/>
      <c r="P25" s="233"/>
      <c r="Q25" s="232"/>
      <c r="R25" s="232">
        <f t="shared" si="5"/>
        <v>0</v>
      </c>
    </row>
    <row r="26" spans="1:18" s="6" customFormat="1" ht="36" hidden="1" customHeight="1">
      <c r="A26" s="209" t="s">
        <v>222</v>
      </c>
      <c r="B26" s="208" t="s">
        <v>216</v>
      </c>
      <c r="C26" s="106">
        <f>C27</f>
        <v>0</v>
      </c>
      <c r="D26" s="106">
        <v>0</v>
      </c>
      <c r="E26" s="232">
        <f t="shared" ref="E26:L26" si="19">E27</f>
        <v>0</v>
      </c>
      <c r="F26" s="232">
        <f t="shared" si="19"/>
        <v>0</v>
      </c>
      <c r="G26" s="232">
        <f t="shared" si="19"/>
        <v>0</v>
      </c>
      <c r="H26" s="232">
        <f t="shared" si="1"/>
        <v>0</v>
      </c>
      <c r="I26" s="233">
        <v>0</v>
      </c>
      <c r="J26" s="232">
        <f t="shared" si="19"/>
        <v>0</v>
      </c>
      <c r="K26" s="232">
        <f t="shared" si="19"/>
        <v>0</v>
      </c>
      <c r="L26" s="233">
        <f t="shared" si="19"/>
        <v>0</v>
      </c>
      <c r="M26" s="232">
        <f t="shared" si="3"/>
        <v>0</v>
      </c>
      <c r="N26" s="233">
        <v>0</v>
      </c>
      <c r="O26" s="232">
        <f t="shared" ref="O26:Q26" si="20">O27</f>
        <v>0</v>
      </c>
      <c r="P26" s="232">
        <f t="shared" si="20"/>
        <v>0</v>
      </c>
      <c r="Q26" s="232">
        <f t="shared" si="20"/>
        <v>0</v>
      </c>
      <c r="R26" s="232">
        <f t="shared" si="5"/>
        <v>0</v>
      </c>
    </row>
    <row r="27" spans="1:18" s="6" customFormat="1" ht="36" hidden="1" customHeight="1">
      <c r="A27" s="209">
        <v>17100</v>
      </c>
      <c r="B27" s="208" t="s">
        <v>217</v>
      </c>
      <c r="C27" s="106">
        <f>SUM(C28:C31)</f>
        <v>0</v>
      </c>
      <c r="D27" s="106">
        <v>0</v>
      </c>
      <c r="E27" s="232">
        <f t="shared" ref="E27:G27" si="21">SUM(E28:E31)</f>
        <v>0</v>
      </c>
      <c r="F27" s="232">
        <f t="shared" si="21"/>
        <v>0</v>
      </c>
      <c r="G27" s="232">
        <f t="shared" si="21"/>
        <v>0</v>
      </c>
      <c r="H27" s="232">
        <f t="shared" si="1"/>
        <v>0</v>
      </c>
      <c r="I27" s="233">
        <v>0</v>
      </c>
      <c r="J27" s="232">
        <f t="shared" ref="J27:L27" si="22">SUM(J28:J31)</f>
        <v>0</v>
      </c>
      <c r="K27" s="232">
        <f t="shared" si="22"/>
        <v>0</v>
      </c>
      <c r="L27" s="233">
        <f t="shared" si="22"/>
        <v>0</v>
      </c>
      <c r="M27" s="232">
        <f t="shared" si="3"/>
        <v>0</v>
      </c>
      <c r="N27" s="233">
        <v>0</v>
      </c>
      <c r="O27" s="232">
        <f t="shared" ref="O27:Q27" si="23">SUM(O28:O31)</f>
        <v>0</v>
      </c>
      <c r="P27" s="232">
        <f t="shared" si="23"/>
        <v>0</v>
      </c>
      <c r="Q27" s="232">
        <f t="shared" si="23"/>
        <v>0</v>
      </c>
      <c r="R27" s="232">
        <f t="shared" si="5"/>
        <v>0</v>
      </c>
    </row>
    <row r="28" spans="1:18" s="6" customFormat="1" ht="60" hidden="1" customHeight="1">
      <c r="A28" s="149">
        <v>17110</v>
      </c>
      <c r="B28" s="208" t="s">
        <v>218</v>
      </c>
      <c r="C28" s="106"/>
      <c r="D28" s="107">
        <v>0</v>
      </c>
      <c r="E28" s="233"/>
      <c r="F28" s="233"/>
      <c r="G28" s="233"/>
      <c r="H28" s="232">
        <f t="shared" si="1"/>
        <v>0</v>
      </c>
      <c r="I28" s="233">
        <v>0</v>
      </c>
      <c r="J28" s="233"/>
      <c r="K28" s="233"/>
      <c r="L28" s="233"/>
      <c r="M28" s="232">
        <f t="shared" si="3"/>
        <v>0</v>
      </c>
      <c r="N28" s="233">
        <v>0</v>
      </c>
      <c r="O28" s="233"/>
      <c r="P28" s="233"/>
      <c r="Q28" s="232"/>
      <c r="R28" s="232">
        <f t="shared" si="5"/>
        <v>0</v>
      </c>
    </row>
    <row r="29" spans="1:18" s="6" customFormat="1" ht="60" hidden="1" customHeight="1">
      <c r="A29" s="149">
        <v>17120</v>
      </c>
      <c r="B29" s="208" t="s">
        <v>219</v>
      </c>
      <c r="C29" s="106"/>
      <c r="D29" s="107">
        <v>0</v>
      </c>
      <c r="E29" s="233"/>
      <c r="F29" s="233"/>
      <c r="G29" s="233"/>
      <c r="H29" s="232">
        <f t="shared" si="1"/>
        <v>0</v>
      </c>
      <c r="I29" s="233">
        <v>0</v>
      </c>
      <c r="J29" s="233"/>
      <c r="K29" s="233"/>
      <c r="L29" s="233"/>
      <c r="M29" s="232">
        <f t="shared" si="3"/>
        <v>0</v>
      </c>
      <c r="N29" s="233">
        <v>0</v>
      </c>
      <c r="O29" s="233"/>
      <c r="P29" s="233"/>
      <c r="Q29" s="232"/>
      <c r="R29" s="232">
        <f t="shared" si="5"/>
        <v>0</v>
      </c>
    </row>
    <row r="30" spans="1:18" s="6" customFormat="1" ht="108" hidden="1" customHeight="1">
      <c r="A30" s="149">
        <v>17130</v>
      </c>
      <c r="B30" s="208" t="s">
        <v>220</v>
      </c>
      <c r="C30" s="106"/>
      <c r="D30" s="107">
        <v>0</v>
      </c>
      <c r="E30" s="233"/>
      <c r="F30" s="233"/>
      <c r="G30" s="233"/>
      <c r="H30" s="232">
        <f t="shared" si="1"/>
        <v>0</v>
      </c>
      <c r="I30" s="233">
        <v>0</v>
      </c>
      <c r="J30" s="233"/>
      <c r="K30" s="233"/>
      <c r="L30" s="233"/>
      <c r="M30" s="232">
        <f t="shared" si="3"/>
        <v>0</v>
      </c>
      <c r="N30" s="233">
        <v>0</v>
      </c>
      <c r="O30" s="233"/>
      <c r="P30" s="233"/>
      <c r="Q30" s="232"/>
      <c r="R30" s="232">
        <f t="shared" si="5"/>
        <v>0</v>
      </c>
    </row>
    <row r="31" spans="1:18" s="6" customFormat="1" ht="108" hidden="1" customHeight="1">
      <c r="A31" s="149">
        <v>17140</v>
      </c>
      <c r="B31" s="208" t="s">
        <v>221</v>
      </c>
      <c r="C31" s="106"/>
      <c r="D31" s="107">
        <v>0</v>
      </c>
      <c r="E31" s="233"/>
      <c r="F31" s="233"/>
      <c r="G31" s="233"/>
      <c r="H31" s="232">
        <f t="shared" si="1"/>
        <v>0</v>
      </c>
      <c r="I31" s="233">
        <v>0</v>
      </c>
      <c r="J31" s="233"/>
      <c r="K31" s="233"/>
      <c r="L31" s="233"/>
      <c r="M31" s="232">
        <f t="shared" si="3"/>
        <v>0</v>
      </c>
      <c r="N31" s="233">
        <v>0</v>
      </c>
      <c r="O31" s="233"/>
      <c r="P31" s="233"/>
      <c r="Q31" s="232"/>
      <c r="R31" s="232">
        <f t="shared" si="5"/>
        <v>0</v>
      </c>
    </row>
    <row r="32" spans="1:18" s="6" customFormat="1" ht="12">
      <c r="A32" s="137">
        <v>21700</v>
      </c>
      <c r="B32" s="124" t="s">
        <v>97</v>
      </c>
      <c r="C32" s="162">
        <v>11441592</v>
      </c>
      <c r="D32" s="114">
        <v>11534252</v>
      </c>
      <c r="E32" s="233">
        <f>E33+E34</f>
        <v>0</v>
      </c>
      <c r="F32" s="233">
        <f t="shared" ref="F32:G32" si="24">F33+F34</f>
        <v>0</v>
      </c>
      <c r="G32" s="233">
        <f t="shared" si="24"/>
        <v>1437539</v>
      </c>
      <c r="H32" s="232">
        <f t="shared" si="1"/>
        <v>12971791</v>
      </c>
      <c r="I32" s="233">
        <v>11534252</v>
      </c>
      <c r="J32" s="233">
        <f>J33+J34</f>
        <v>0</v>
      </c>
      <c r="K32" s="233">
        <f t="shared" ref="K32:L32" si="25">K33+K34</f>
        <v>0</v>
      </c>
      <c r="L32" s="233">
        <f t="shared" si="25"/>
        <v>2109451</v>
      </c>
      <c r="M32" s="232">
        <f t="shared" si="3"/>
        <v>13643703</v>
      </c>
      <c r="N32" s="233">
        <v>11441592</v>
      </c>
      <c r="O32" s="233">
        <f>O33+O34</f>
        <v>0</v>
      </c>
      <c r="P32" s="233">
        <f t="shared" ref="P32:Q32" si="26">P33+P34</f>
        <v>0</v>
      </c>
      <c r="Q32" s="232">
        <f t="shared" si="26"/>
        <v>1294208</v>
      </c>
      <c r="R32" s="232">
        <f t="shared" si="5"/>
        <v>12735800</v>
      </c>
    </row>
    <row r="33" spans="1:18" s="6" customFormat="1" ht="24">
      <c r="A33" s="138">
        <v>21710</v>
      </c>
      <c r="B33" s="125" t="s">
        <v>98</v>
      </c>
      <c r="C33" s="170">
        <v>11441592</v>
      </c>
      <c r="D33" s="171">
        <v>11534252</v>
      </c>
      <c r="E33" s="233"/>
      <c r="F33" s="233"/>
      <c r="G33" s="233">
        <v>1437539</v>
      </c>
      <c r="H33" s="232">
        <f t="shared" si="1"/>
        <v>12971791</v>
      </c>
      <c r="I33" s="233">
        <v>11534252</v>
      </c>
      <c r="J33" s="233"/>
      <c r="K33" s="233"/>
      <c r="L33" s="233">
        <v>2109451</v>
      </c>
      <c r="M33" s="232">
        <f t="shared" si="3"/>
        <v>13643703</v>
      </c>
      <c r="N33" s="233">
        <v>11441592</v>
      </c>
      <c r="O33" s="233"/>
      <c r="P33" s="233"/>
      <c r="Q33" s="232">
        <v>1294208</v>
      </c>
      <c r="R33" s="232">
        <f t="shared" si="5"/>
        <v>12735800</v>
      </c>
    </row>
    <row r="34" spans="1:18" s="6" customFormat="1" ht="24" hidden="1" customHeight="1">
      <c r="A34" s="138">
        <v>21720</v>
      </c>
      <c r="B34" s="125" t="s">
        <v>99</v>
      </c>
      <c r="C34" s="170"/>
      <c r="D34" s="171">
        <v>0</v>
      </c>
      <c r="E34" s="233"/>
      <c r="F34" s="233"/>
      <c r="G34" s="233"/>
      <c r="H34" s="232">
        <f t="shared" si="1"/>
        <v>0</v>
      </c>
      <c r="I34" s="233">
        <v>0</v>
      </c>
      <c r="J34" s="233"/>
      <c r="K34" s="233"/>
      <c r="L34" s="233"/>
      <c r="M34" s="232">
        <f t="shared" si="3"/>
        <v>0</v>
      </c>
      <c r="N34" s="233">
        <v>0</v>
      </c>
      <c r="O34" s="233"/>
      <c r="P34" s="233"/>
      <c r="Q34" s="232"/>
      <c r="R34" s="232">
        <f t="shared" si="5"/>
        <v>0</v>
      </c>
    </row>
    <row r="35" spans="1:18" s="6" customFormat="1" ht="11.4">
      <c r="A35" s="129" t="s">
        <v>100</v>
      </c>
      <c r="B35" s="123" t="s">
        <v>101</v>
      </c>
      <c r="C35" s="168">
        <v>11445616</v>
      </c>
      <c r="D35" s="175">
        <v>11538276</v>
      </c>
      <c r="E35" s="243">
        <f t="shared" ref="E35:G35" si="27">E36+E63</f>
        <v>0</v>
      </c>
      <c r="F35" s="243">
        <f t="shared" si="27"/>
        <v>0</v>
      </c>
      <c r="G35" s="243">
        <f t="shared" si="27"/>
        <v>1437539</v>
      </c>
      <c r="H35" s="229">
        <f t="shared" si="1"/>
        <v>12975815</v>
      </c>
      <c r="I35" s="243">
        <v>11538276</v>
      </c>
      <c r="J35" s="243">
        <f t="shared" ref="J35:L35" si="28">J36+J63</f>
        <v>0</v>
      </c>
      <c r="K35" s="243">
        <f t="shared" si="28"/>
        <v>0</v>
      </c>
      <c r="L35" s="243">
        <f t="shared" si="28"/>
        <v>2109451</v>
      </c>
      <c r="M35" s="229">
        <f t="shared" si="3"/>
        <v>13647727</v>
      </c>
      <c r="N35" s="243">
        <v>11445616</v>
      </c>
      <c r="O35" s="243">
        <f t="shared" ref="O35:Q35" si="29">O36+O63</f>
        <v>0</v>
      </c>
      <c r="P35" s="243">
        <f t="shared" si="29"/>
        <v>0</v>
      </c>
      <c r="Q35" s="229">
        <f t="shared" si="29"/>
        <v>1294208</v>
      </c>
      <c r="R35" s="229">
        <f t="shared" si="5"/>
        <v>12739824</v>
      </c>
    </row>
    <row r="36" spans="1:18" s="6" customFormat="1" ht="20.399999999999999">
      <c r="A36" s="130" t="s">
        <v>102</v>
      </c>
      <c r="B36" s="124" t="s">
        <v>103</v>
      </c>
      <c r="C36" s="162">
        <v>11444616</v>
      </c>
      <c r="D36" s="162">
        <v>11537276</v>
      </c>
      <c r="E36" s="233">
        <f>E37+E41+E42+E45+E48</f>
        <v>0</v>
      </c>
      <c r="F36" s="233">
        <f t="shared" ref="F36:G36" si="30">F37+F41+F42+F45+F48</f>
        <v>0</v>
      </c>
      <c r="G36" s="233">
        <f t="shared" si="30"/>
        <v>1437539</v>
      </c>
      <c r="H36" s="232">
        <f t="shared" si="1"/>
        <v>12974815</v>
      </c>
      <c r="I36" s="233">
        <v>11537276</v>
      </c>
      <c r="J36" s="233">
        <f>J37+J41+J42+J45+J48</f>
        <v>0</v>
      </c>
      <c r="K36" s="233">
        <f t="shared" ref="K36:L36" si="31">K37+K41+K42+K45+K48</f>
        <v>0</v>
      </c>
      <c r="L36" s="233">
        <f t="shared" si="31"/>
        <v>2109451</v>
      </c>
      <c r="M36" s="232">
        <f t="shared" si="3"/>
        <v>13646727</v>
      </c>
      <c r="N36" s="233">
        <v>11444616</v>
      </c>
      <c r="O36" s="233">
        <f>O37+O41+O42+O45+O48</f>
        <v>0</v>
      </c>
      <c r="P36" s="233">
        <f t="shared" ref="P36:Q36" si="32">P37+P41+P42+P45+P48</f>
        <v>0</v>
      </c>
      <c r="Q36" s="232">
        <f t="shared" si="32"/>
        <v>1294208</v>
      </c>
      <c r="R36" s="232">
        <f t="shared" si="5"/>
        <v>12738824</v>
      </c>
    </row>
    <row r="37" spans="1:18" s="6" customFormat="1" ht="12">
      <c r="A37" s="130" t="s">
        <v>104</v>
      </c>
      <c r="B37" s="124" t="s">
        <v>105</v>
      </c>
      <c r="C37" s="162">
        <v>232247</v>
      </c>
      <c r="D37" s="162">
        <v>232247</v>
      </c>
      <c r="E37" s="233">
        <f>E38+E40</f>
        <v>0</v>
      </c>
      <c r="F37" s="233">
        <f t="shared" ref="F37:G37" si="33">F38+F40</f>
        <v>0</v>
      </c>
      <c r="G37" s="233">
        <f t="shared" si="33"/>
        <v>43541</v>
      </c>
      <c r="H37" s="232">
        <f t="shared" si="1"/>
        <v>275788</v>
      </c>
      <c r="I37" s="233">
        <v>232247</v>
      </c>
      <c r="J37" s="233">
        <f>J38+J40</f>
        <v>0</v>
      </c>
      <c r="K37" s="233">
        <f t="shared" ref="K37:L37" si="34">K38+K40</f>
        <v>0</v>
      </c>
      <c r="L37" s="233">
        <f t="shared" si="34"/>
        <v>43541</v>
      </c>
      <c r="M37" s="232">
        <f t="shared" si="3"/>
        <v>275788</v>
      </c>
      <c r="N37" s="233">
        <v>232247</v>
      </c>
      <c r="O37" s="233">
        <f>O38+O40</f>
        <v>0</v>
      </c>
      <c r="P37" s="233">
        <f t="shared" ref="P37:Q37" si="35">P38+P40</f>
        <v>0</v>
      </c>
      <c r="Q37" s="232">
        <f t="shared" si="35"/>
        <v>43541</v>
      </c>
      <c r="R37" s="232">
        <f t="shared" si="5"/>
        <v>275788</v>
      </c>
    </row>
    <row r="38" spans="1:18" s="6" customFormat="1" ht="12">
      <c r="A38" s="132">
        <v>1000</v>
      </c>
      <c r="B38" s="125" t="s">
        <v>106</v>
      </c>
      <c r="C38" s="170">
        <v>155844</v>
      </c>
      <c r="D38" s="170">
        <v>155844</v>
      </c>
      <c r="E38" s="244"/>
      <c r="F38" s="244"/>
      <c r="G38" s="233">
        <v>43541</v>
      </c>
      <c r="H38" s="232">
        <f t="shared" si="1"/>
        <v>199385</v>
      </c>
      <c r="I38" s="233">
        <v>155844</v>
      </c>
      <c r="J38" s="244"/>
      <c r="K38" s="244"/>
      <c r="L38" s="233">
        <v>43541</v>
      </c>
      <c r="M38" s="232">
        <f t="shared" si="3"/>
        <v>199385</v>
      </c>
      <c r="N38" s="233">
        <v>155844</v>
      </c>
      <c r="O38" s="244"/>
      <c r="P38" s="244"/>
      <c r="Q38" s="232">
        <v>43541</v>
      </c>
      <c r="R38" s="232">
        <f t="shared" si="5"/>
        <v>199385</v>
      </c>
    </row>
    <row r="39" spans="1:18" s="6" customFormat="1" ht="12">
      <c r="A39" s="139">
        <v>1100</v>
      </c>
      <c r="B39" s="125" t="s">
        <v>107</v>
      </c>
      <c r="C39" s="170">
        <v>125000</v>
      </c>
      <c r="D39" s="170">
        <v>125000</v>
      </c>
      <c r="E39" s="244"/>
      <c r="F39" s="244"/>
      <c r="G39" s="233">
        <v>33052</v>
      </c>
      <c r="H39" s="232">
        <f t="shared" si="1"/>
        <v>158052</v>
      </c>
      <c r="I39" s="233">
        <v>125000</v>
      </c>
      <c r="J39" s="244"/>
      <c r="K39" s="244"/>
      <c r="L39" s="233">
        <v>33052</v>
      </c>
      <c r="M39" s="232">
        <f t="shared" si="3"/>
        <v>158052</v>
      </c>
      <c r="N39" s="233">
        <v>125000</v>
      </c>
      <c r="O39" s="244"/>
      <c r="P39" s="244"/>
      <c r="Q39" s="232">
        <v>33052</v>
      </c>
      <c r="R39" s="232">
        <f t="shared" si="5"/>
        <v>158052</v>
      </c>
    </row>
    <row r="40" spans="1:18" s="6" customFormat="1" ht="12">
      <c r="A40" s="132">
        <v>2000</v>
      </c>
      <c r="B40" s="125" t="s">
        <v>108</v>
      </c>
      <c r="C40" s="170">
        <v>76403</v>
      </c>
      <c r="D40" s="170">
        <v>76403</v>
      </c>
      <c r="E40" s="244"/>
      <c r="F40" s="244"/>
      <c r="G40" s="233"/>
      <c r="H40" s="232">
        <f t="shared" si="1"/>
        <v>76403</v>
      </c>
      <c r="I40" s="233">
        <v>76403</v>
      </c>
      <c r="J40" s="244"/>
      <c r="K40" s="244"/>
      <c r="L40" s="233"/>
      <c r="M40" s="232">
        <f t="shared" si="3"/>
        <v>76403</v>
      </c>
      <c r="N40" s="233">
        <v>76403</v>
      </c>
      <c r="O40" s="244"/>
      <c r="P40" s="244"/>
      <c r="Q40" s="232"/>
      <c r="R40" s="232">
        <f t="shared" si="5"/>
        <v>76403</v>
      </c>
    </row>
    <row r="41" spans="1:18" s="6" customFormat="1" ht="12" hidden="1" customHeight="1">
      <c r="A41" s="140">
        <v>4000</v>
      </c>
      <c r="B41" s="124" t="s">
        <v>132</v>
      </c>
      <c r="C41" s="170"/>
      <c r="D41" s="170">
        <v>0</v>
      </c>
      <c r="E41" s="244"/>
      <c r="F41" s="244"/>
      <c r="G41" s="233"/>
      <c r="H41" s="232">
        <f t="shared" si="1"/>
        <v>0</v>
      </c>
      <c r="I41" s="233">
        <v>0</v>
      </c>
      <c r="J41" s="244"/>
      <c r="K41" s="244"/>
      <c r="L41" s="233"/>
      <c r="M41" s="232">
        <f t="shared" si="3"/>
        <v>0</v>
      </c>
      <c r="N41" s="233">
        <v>0</v>
      </c>
      <c r="O41" s="244"/>
      <c r="P41" s="244"/>
      <c r="Q41" s="232"/>
      <c r="R41" s="232">
        <f t="shared" si="5"/>
        <v>0</v>
      </c>
    </row>
    <row r="42" spans="1:18" s="6" customFormat="1" ht="12">
      <c r="A42" s="140" t="s">
        <v>109</v>
      </c>
      <c r="B42" s="124" t="s">
        <v>110</v>
      </c>
      <c r="C42" s="162">
        <v>11210963</v>
      </c>
      <c r="D42" s="162">
        <v>11303623</v>
      </c>
      <c r="E42" s="233">
        <f>E43+E44</f>
        <v>0</v>
      </c>
      <c r="F42" s="233">
        <f t="shared" ref="F42:G42" si="36">F43+F44</f>
        <v>0</v>
      </c>
      <c r="G42" s="233">
        <f t="shared" si="36"/>
        <v>1393998</v>
      </c>
      <c r="H42" s="232">
        <f t="shared" si="1"/>
        <v>12697621</v>
      </c>
      <c r="I42" s="233">
        <v>11303623</v>
      </c>
      <c r="J42" s="233">
        <f>J43+J44</f>
        <v>0</v>
      </c>
      <c r="K42" s="233">
        <f t="shared" ref="K42:L42" si="37">K43+K44</f>
        <v>0</v>
      </c>
      <c r="L42" s="233">
        <f t="shared" si="37"/>
        <v>2065910</v>
      </c>
      <c r="M42" s="232">
        <f t="shared" si="3"/>
        <v>13369533</v>
      </c>
      <c r="N42" s="233">
        <v>11210963</v>
      </c>
      <c r="O42" s="233">
        <f>O43+O44</f>
        <v>0</v>
      </c>
      <c r="P42" s="233">
        <f t="shared" ref="P42:Q42" si="38">P43+P44</f>
        <v>0</v>
      </c>
      <c r="Q42" s="232">
        <f t="shared" si="38"/>
        <v>1250667</v>
      </c>
      <c r="R42" s="232">
        <f t="shared" si="5"/>
        <v>12461630</v>
      </c>
    </row>
    <row r="43" spans="1:18" s="6" customFormat="1" ht="12">
      <c r="A43" s="132">
        <v>3000</v>
      </c>
      <c r="B43" s="125" t="s">
        <v>111</v>
      </c>
      <c r="C43" s="202">
        <v>11210963</v>
      </c>
      <c r="D43" s="202">
        <v>11303623</v>
      </c>
      <c r="E43" s="246"/>
      <c r="F43" s="246"/>
      <c r="G43" s="345">
        <v>1393998</v>
      </c>
      <c r="H43" s="232">
        <f t="shared" si="1"/>
        <v>12697621</v>
      </c>
      <c r="I43" s="345">
        <v>11303623</v>
      </c>
      <c r="J43" s="246"/>
      <c r="K43" s="246"/>
      <c r="L43" s="345">
        <v>2065910</v>
      </c>
      <c r="M43" s="232">
        <f t="shared" si="3"/>
        <v>13369533</v>
      </c>
      <c r="N43" s="345">
        <v>11210963</v>
      </c>
      <c r="O43" s="246"/>
      <c r="P43" s="246"/>
      <c r="Q43" s="245">
        <v>1250667</v>
      </c>
      <c r="R43" s="232">
        <f t="shared" si="5"/>
        <v>12461630</v>
      </c>
    </row>
    <row r="44" spans="1:18" s="6" customFormat="1" ht="12" hidden="1" customHeight="1">
      <c r="A44" s="132">
        <v>6000</v>
      </c>
      <c r="B44" s="125" t="s">
        <v>112</v>
      </c>
      <c r="C44" s="203"/>
      <c r="D44" s="203">
        <v>0</v>
      </c>
      <c r="E44" s="248"/>
      <c r="F44" s="248"/>
      <c r="G44" s="346"/>
      <c r="H44" s="232">
        <f t="shared" si="1"/>
        <v>0</v>
      </c>
      <c r="I44" s="346">
        <v>0</v>
      </c>
      <c r="J44" s="248"/>
      <c r="K44" s="248"/>
      <c r="L44" s="346"/>
      <c r="M44" s="232">
        <f t="shared" si="3"/>
        <v>0</v>
      </c>
      <c r="N44" s="346">
        <v>0</v>
      </c>
      <c r="O44" s="248"/>
      <c r="P44" s="248"/>
      <c r="Q44" s="247"/>
      <c r="R44" s="232">
        <f t="shared" si="5"/>
        <v>0</v>
      </c>
    </row>
    <row r="45" spans="1:18" s="6" customFormat="1" ht="22.8">
      <c r="A45" s="140" t="s">
        <v>113</v>
      </c>
      <c r="B45" s="124" t="s">
        <v>183</v>
      </c>
      <c r="C45" s="162">
        <v>1406</v>
      </c>
      <c r="D45" s="162">
        <v>1406</v>
      </c>
      <c r="E45" s="233">
        <f>E46+E47</f>
        <v>0</v>
      </c>
      <c r="F45" s="233">
        <f t="shared" ref="F45:G45" si="39">F46+F47</f>
        <v>0</v>
      </c>
      <c r="G45" s="233">
        <f t="shared" si="39"/>
        <v>0</v>
      </c>
      <c r="H45" s="232">
        <f t="shared" si="1"/>
        <v>1406</v>
      </c>
      <c r="I45" s="233">
        <v>1406</v>
      </c>
      <c r="J45" s="233">
        <f>J46+J47</f>
        <v>0</v>
      </c>
      <c r="K45" s="233">
        <f t="shared" ref="K45:L45" si="40">K46+K47</f>
        <v>0</v>
      </c>
      <c r="L45" s="233">
        <f t="shared" si="40"/>
        <v>0</v>
      </c>
      <c r="M45" s="232">
        <f t="shared" si="3"/>
        <v>1406</v>
      </c>
      <c r="N45" s="233">
        <v>1406</v>
      </c>
      <c r="O45" s="233">
        <f>O46+O47</f>
        <v>0</v>
      </c>
      <c r="P45" s="233">
        <f t="shared" ref="P45:Q45" si="41">P46+P47</f>
        <v>0</v>
      </c>
      <c r="Q45" s="232">
        <f t="shared" si="41"/>
        <v>0</v>
      </c>
      <c r="R45" s="232">
        <f t="shared" si="5"/>
        <v>1406</v>
      </c>
    </row>
    <row r="46" spans="1:18" s="6" customFormat="1" ht="12" hidden="1" customHeight="1">
      <c r="A46" s="132">
        <v>7600</v>
      </c>
      <c r="B46" s="179" t="s">
        <v>184</v>
      </c>
      <c r="C46" s="170"/>
      <c r="D46" s="170">
        <v>0</v>
      </c>
      <c r="E46" s="244"/>
      <c r="F46" s="244"/>
      <c r="G46" s="233"/>
      <c r="H46" s="232">
        <f t="shared" si="1"/>
        <v>0</v>
      </c>
      <c r="I46" s="233">
        <v>0</v>
      </c>
      <c r="J46" s="244"/>
      <c r="K46" s="244"/>
      <c r="L46" s="233"/>
      <c r="M46" s="232">
        <f t="shared" si="3"/>
        <v>0</v>
      </c>
      <c r="N46" s="233">
        <v>0</v>
      </c>
      <c r="O46" s="244"/>
      <c r="P46" s="244"/>
      <c r="Q46" s="232"/>
      <c r="R46" s="232">
        <f t="shared" si="5"/>
        <v>0</v>
      </c>
    </row>
    <row r="47" spans="1:18" s="6" customFormat="1" ht="12">
      <c r="A47" s="132">
        <v>7700</v>
      </c>
      <c r="B47" s="126" t="s">
        <v>114</v>
      </c>
      <c r="C47" s="170">
        <v>1406</v>
      </c>
      <c r="D47" s="170">
        <v>1406</v>
      </c>
      <c r="E47" s="244"/>
      <c r="F47" s="244"/>
      <c r="G47" s="233"/>
      <c r="H47" s="232">
        <f t="shared" si="1"/>
        <v>1406</v>
      </c>
      <c r="I47" s="233">
        <v>1406</v>
      </c>
      <c r="J47" s="244"/>
      <c r="K47" s="244"/>
      <c r="L47" s="233"/>
      <c r="M47" s="232">
        <f t="shared" si="3"/>
        <v>1406</v>
      </c>
      <c r="N47" s="233">
        <v>1406</v>
      </c>
      <c r="O47" s="244"/>
      <c r="P47" s="244"/>
      <c r="Q47" s="232"/>
      <c r="R47" s="232">
        <f t="shared" si="5"/>
        <v>1406</v>
      </c>
    </row>
    <row r="48" spans="1:18" s="6" customFormat="1" ht="21" hidden="1" customHeight="1">
      <c r="A48" s="140" t="s">
        <v>185</v>
      </c>
      <c r="B48" s="124" t="s">
        <v>115</v>
      </c>
      <c r="C48" s="170">
        <v>0</v>
      </c>
      <c r="D48" s="170">
        <v>0</v>
      </c>
      <c r="E48" s="233">
        <f t="shared" ref="E48:G48" si="42">E49+E55+E59+E62</f>
        <v>0</v>
      </c>
      <c r="F48" s="233">
        <f t="shared" si="42"/>
        <v>0</v>
      </c>
      <c r="G48" s="233">
        <f t="shared" si="42"/>
        <v>0</v>
      </c>
      <c r="H48" s="232">
        <f t="shared" si="1"/>
        <v>0</v>
      </c>
      <c r="I48" s="233">
        <v>0</v>
      </c>
      <c r="J48" s="233">
        <f t="shared" ref="J48:L48" si="43">J49+J55+J59+J62</f>
        <v>0</v>
      </c>
      <c r="K48" s="233">
        <f t="shared" si="43"/>
        <v>0</v>
      </c>
      <c r="L48" s="233">
        <f t="shared" si="43"/>
        <v>0</v>
      </c>
      <c r="M48" s="232">
        <f t="shared" si="3"/>
        <v>0</v>
      </c>
      <c r="N48" s="233">
        <v>0</v>
      </c>
      <c r="O48" s="233">
        <f t="shared" ref="O48:Q48" si="44">O49+O55+O59+O62</f>
        <v>0</v>
      </c>
      <c r="P48" s="233">
        <f t="shared" si="44"/>
        <v>0</v>
      </c>
      <c r="Q48" s="232">
        <f t="shared" si="44"/>
        <v>0</v>
      </c>
      <c r="R48" s="232">
        <f t="shared" si="5"/>
        <v>0</v>
      </c>
    </row>
    <row r="49" spans="1:18" s="6" customFormat="1" ht="12" hidden="1" customHeight="1">
      <c r="A49" s="132">
        <v>7100</v>
      </c>
      <c r="B49" s="179" t="s">
        <v>116</v>
      </c>
      <c r="C49" s="170">
        <v>0</v>
      </c>
      <c r="D49" s="170">
        <v>0</v>
      </c>
      <c r="E49" s="233">
        <f>E50+E51</f>
        <v>0</v>
      </c>
      <c r="F49" s="233">
        <f t="shared" ref="F49:G49" si="45">F50+F51</f>
        <v>0</v>
      </c>
      <c r="G49" s="233">
        <f t="shared" si="45"/>
        <v>0</v>
      </c>
      <c r="H49" s="232">
        <f t="shared" si="1"/>
        <v>0</v>
      </c>
      <c r="I49" s="233">
        <v>0</v>
      </c>
      <c r="J49" s="233">
        <f>J50+J51</f>
        <v>0</v>
      </c>
      <c r="K49" s="233">
        <f t="shared" ref="K49:L49" si="46">K50+K51</f>
        <v>0</v>
      </c>
      <c r="L49" s="233">
        <f t="shared" si="46"/>
        <v>0</v>
      </c>
      <c r="M49" s="232">
        <f t="shared" si="3"/>
        <v>0</v>
      </c>
      <c r="N49" s="233">
        <v>0</v>
      </c>
      <c r="O49" s="233">
        <f>O50+O51</f>
        <v>0</v>
      </c>
      <c r="P49" s="233">
        <f t="shared" ref="P49:Q49" si="47">P50+P51</f>
        <v>0</v>
      </c>
      <c r="Q49" s="232">
        <f t="shared" si="47"/>
        <v>0</v>
      </c>
      <c r="R49" s="232">
        <f t="shared" si="5"/>
        <v>0</v>
      </c>
    </row>
    <row r="50" spans="1:18" s="6" customFormat="1" ht="24" hidden="1" customHeight="1">
      <c r="A50" s="133" t="s">
        <v>117</v>
      </c>
      <c r="B50" s="179" t="s">
        <v>118</v>
      </c>
      <c r="C50" s="170"/>
      <c r="D50" s="170">
        <v>0</v>
      </c>
      <c r="E50" s="233"/>
      <c r="F50" s="233"/>
      <c r="G50" s="233"/>
      <c r="H50" s="232">
        <f t="shared" si="1"/>
        <v>0</v>
      </c>
      <c r="I50" s="233">
        <v>0</v>
      </c>
      <c r="J50" s="233"/>
      <c r="K50" s="233"/>
      <c r="L50" s="233"/>
      <c r="M50" s="232">
        <f t="shared" si="3"/>
        <v>0</v>
      </c>
      <c r="N50" s="233">
        <v>0</v>
      </c>
      <c r="O50" s="233"/>
      <c r="P50" s="233"/>
      <c r="Q50" s="232"/>
      <c r="R50" s="232">
        <f t="shared" si="5"/>
        <v>0</v>
      </c>
    </row>
    <row r="51" spans="1:18" s="6" customFormat="1" ht="24" hidden="1" customHeight="1">
      <c r="A51" s="133">
        <v>7130</v>
      </c>
      <c r="B51" s="179" t="s">
        <v>119</v>
      </c>
      <c r="C51" s="170">
        <v>0</v>
      </c>
      <c r="D51" s="170">
        <v>0</v>
      </c>
      <c r="E51" s="233">
        <f>SUM(E52:E54)</f>
        <v>0</v>
      </c>
      <c r="F51" s="233">
        <f t="shared" ref="F51:G51" si="48">SUM(F52:F54)</f>
        <v>0</v>
      </c>
      <c r="G51" s="233">
        <f t="shared" si="48"/>
        <v>0</v>
      </c>
      <c r="H51" s="232">
        <f t="shared" si="1"/>
        <v>0</v>
      </c>
      <c r="I51" s="233">
        <v>0</v>
      </c>
      <c r="J51" s="233">
        <f>SUM(J52:J54)</f>
        <v>0</v>
      </c>
      <c r="K51" s="233">
        <f t="shared" ref="K51:L51" si="49">SUM(K52:K54)</f>
        <v>0</v>
      </c>
      <c r="L51" s="233">
        <f t="shared" si="49"/>
        <v>0</v>
      </c>
      <c r="M51" s="232">
        <f t="shared" si="3"/>
        <v>0</v>
      </c>
      <c r="N51" s="233">
        <v>0</v>
      </c>
      <c r="O51" s="233">
        <f>SUM(O52:O54)</f>
        <v>0</v>
      </c>
      <c r="P51" s="233">
        <f t="shared" ref="P51:Q51" si="50">SUM(P52:P54)</f>
        <v>0</v>
      </c>
      <c r="Q51" s="232">
        <f t="shared" si="50"/>
        <v>0</v>
      </c>
      <c r="R51" s="232">
        <f t="shared" si="5"/>
        <v>0</v>
      </c>
    </row>
    <row r="52" spans="1:18" s="6" customFormat="1" ht="36" hidden="1" customHeight="1">
      <c r="A52" s="134">
        <v>7131</v>
      </c>
      <c r="B52" s="179" t="s">
        <v>120</v>
      </c>
      <c r="C52" s="170"/>
      <c r="D52" s="170">
        <v>0</v>
      </c>
      <c r="E52" s="233"/>
      <c r="F52" s="233"/>
      <c r="G52" s="233"/>
      <c r="H52" s="232">
        <f t="shared" si="1"/>
        <v>0</v>
      </c>
      <c r="I52" s="233">
        <v>0</v>
      </c>
      <c r="J52" s="233"/>
      <c r="K52" s="233"/>
      <c r="L52" s="233"/>
      <c r="M52" s="232">
        <f t="shared" si="3"/>
        <v>0</v>
      </c>
      <c r="N52" s="233">
        <v>0</v>
      </c>
      <c r="O52" s="233"/>
      <c r="P52" s="233"/>
      <c r="Q52" s="232"/>
      <c r="R52" s="232">
        <f t="shared" si="5"/>
        <v>0</v>
      </c>
    </row>
    <row r="53" spans="1:18" s="6" customFormat="1" ht="36" hidden="1" customHeight="1">
      <c r="A53" s="134">
        <v>7132</v>
      </c>
      <c r="B53" s="179" t="s">
        <v>121</v>
      </c>
      <c r="C53" s="170"/>
      <c r="D53" s="170">
        <v>0</v>
      </c>
      <c r="E53" s="233"/>
      <c r="F53" s="233"/>
      <c r="G53" s="233"/>
      <c r="H53" s="232">
        <f t="shared" si="1"/>
        <v>0</v>
      </c>
      <c r="I53" s="233">
        <v>0</v>
      </c>
      <c r="J53" s="233"/>
      <c r="K53" s="233"/>
      <c r="L53" s="233"/>
      <c r="M53" s="232">
        <f t="shared" si="3"/>
        <v>0</v>
      </c>
      <c r="N53" s="233">
        <v>0</v>
      </c>
      <c r="O53" s="233"/>
      <c r="P53" s="233"/>
      <c r="Q53" s="232"/>
      <c r="R53" s="232">
        <f t="shared" si="5"/>
        <v>0</v>
      </c>
    </row>
    <row r="54" spans="1:18" s="6" customFormat="1" ht="36" hidden="1" customHeight="1">
      <c r="A54" s="134" t="s">
        <v>186</v>
      </c>
      <c r="B54" s="179" t="s">
        <v>187</v>
      </c>
      <c r="C54" s="170"/>
      <c r="D54" s="170">
        <v>0</v>
      </c>
      <c r="E54" s="233"/>
      <c r="F54" s="233"/>
      <c r="G54" s="233"/>
      <c r="H54" s="232">
        <f t="shared" si="1"/>
        <v>0</v>
      </c>
      <c r="I54" s="233">
        <v>0</v>
      </c>
      <c r="J54" s="233"/>
      <c r="K54" s="233"/>
      <c r="L54" s="233"/>
      <c r="M54" s="232">
        <f t="shared" si="3"/>
        <v>0</v>
      </c>
      <c r="N54" s="233">
        <v>0</v>
      </c>
      <c r="O54" s="233"/>
      <c r="P54" s="233"/>
      <c r="Q54" s="232"/>
      <c r="R54" s="232">
        <f t="shared" si="5"/>
        <v>0</v>
      </c>
    </row>
    <row r="55" spans="1:18" s="6" customFormat="1" ht="24" hidden="1" customHeight="1">
      <c r="A55" s="132">
        <v>7300</v>
      </c>
      <c r="B55" s="172" t="s">
        <v>155</v>
      </c>
      <c r="C55" s="170">
        <v>0</v>
      </c>
      <c r="D55" s="170">
        <v>0</v>
      </c>
      <c r="E55" s="233">
        <f>SUM(E56:E58)</f>
        <v>0</v>
      </c>
      <c r="F55" s="233">
        <f t="shared" ref="F55:G55" si="51">SUM(F56:F58)</f>
        <v>0</v>
      </c>
      <c r="G55" s="233">
        <f t="shared" si="51"/>
        <v>0</v>
      </c>
      <c r="H55" s="232">
        <f t="shared" si="1"/>
        <v>0</v>
      </c>
      <c r="I55" s="233">
        <v>0</v>
      </c>
      <c r="J55" s="233">
        <f>SUM(J56:J58)</f>
        <v>0</v>
      </c>
      <c r="K55" s="233">
        <f t="shared" ref="K55:L55" si="52">SUM(K56:K58)</f>
        <v>0</v>
      </c>
      <c r="L55" s="233">
        <f t="shared" si="52"/>
        <v>0</v>
      </c>
      <c r="M55" s="232">
        <f t="shared" si="3"/>
        <v>0</v>
      </c>
      <c r="N55" s="233">
        <v>0</v>
      </c>
      <c r="O55" s="233">
        <f>SUM(O56:O58)</f>
        <v>0</v>
      </c>
      <c r="P55" s="233">
        <f t="shared" ref="P55:Q55" si="53">SUM(P56:P58)</f>
        <v>0</v>
      </c>
      <c r="Q55" s="232">
        <f t="shared" si="53"/>
        <v>0</v>
      </c>
      <c r="R55" s="232">
        <f t="shared" si="5"/>
        <v>0</v>
      </c>
    </row>
    <row r="56" spans="1:18" s="6" customFormat="1" ht="24" hidden="1" customHeight="1">
      <c r="A56" s="133" t="s">
        <v>188</v>
      </c>
      <c r="B56" s="179" t="s">
        <v>170</v>
      </c>
      <c r="C56" s="204"/>
      <c r="D56" s="204">
        <v>0</v>
      </c>
      <c r="E56" s="252"/>
      <c r="F56" s="252"/>
      <c r="G56" s="252"/>
      <c r="H56" s="232">
        <f t="shared" si="1"/>
        <v>0</v>
      </c>
      <c r="I56" s="252">
        <v>0</v>
      </c>
      <c r="J56" s="252"/>
      <c r="K56" s="252"/>
      <c r="L56" s="252"/>
      <c r="M56" s="232">
        <f t="shared" si="3"/>
        <v>0</v>
      </c>
      <c r="N56" s="252">
        <v>0</v>
      </c>
      <c r="O56" s="252"/>
      <c r="P56" s="252"/>
      <c r="Q56" s="251"/>
      <c r="R56" s="232">
        <f t="shared" si="5"/>
        <v>0</v>
      </c>
    </row>
    <row r="57" spans="1:18" s="29" customFormat="1" ht="48" hidden="1" customHeight="1">
      <c r="A57" s="133" t="s">
        <v>189</v>
      </c>
      <c r="B57" s="179" t="s">
        <v>156</v>
      </c>
      <c r="C57" s="204"/>
      <c r="D57" s="204">
        <v>0</v>
      </c>
      <c r="E57" s="252"/>
      <c r="F57" s="252"/>
      <c r="G57" s="252"/>
      <c r="H57" s="232">
        <f t="shared" si="1"/>
        <v>0</v>
      </c>
      <c r="I57" s="252">
        <v>0</v>
      </c>
      <c r="J57" s="252"/>
      <c r="K57" s="252"/>
      <c r="L57" s="252"/>
      <c r="M57" s="232">
        <f t="shared" si="3"/>
        <v>0</v>
      </c>
      <c r="N57" s="252">
        <v>0</v>
      </c>
      <c r="O57" s="252"/>
      <c r="P57" s="252"/>
      <c r="Q57" s="251"/>
      <c r="R57" s="232">
        <f t="shared" si="5"/>
        <v>0</v>
      </c>
    </row>
    <row r="58" spans="1:18" s="89" customFormat="1" ht="36" hidden="1" customHeight="1">
      <c r="A58" s="133">
        <v>7350</v>
      </c>
      <c r="B58" s="179" t="s">
        <v>163</v>
      </c>
      <c r="C58" s="204"/>
      <c r="D58" s="204">
        <v>0</v>
      </c>
      <c r="E58" s="252"/>
      <c r="F58" s="252"/>
      <c r="G58" s="252"/>
      <c r="H58" s="232">
        <f t="shared" si="1"/>
        <v>0</v>
      </c>
      <c r="I58" s="252">
        <v>0</v>
      </c>
      <c r="J58" s="252"/>
      <c r="K58" s="252"/>
      <c r="L58" s="252"/>
      <c r="M58" s="232">
        <f t="shared" si="3"/>
        <v>0</v>
      </c>
      <c r="N58" s="252">
        <v>0</v>
      </c>
      <c r="O58" s="252"/>
      <c r="P58" s="252"/>
      <c r="Q58" s="251"/>
      <c r="R58" s="232">
        <f t="shared" si="5"/>
        <v>0</v>
      </c>
    </row>
    <row r="59" spans="1:18" s="89" customFormat="1" ht="24" hidden="1" customHeight="1">
      <c r="A59" s="132">
        <v>7400</v>
      </c>
      <c r="B59" s="172" t="s">
        <v>161</v>
      </c>
      <c r="C59" s="170">
        <v>0</v>
      </c>
      <c r="D59" s="170">
        <v>0</v>
      </c>
      <c r="E59" s="233">
        <f>SUM(E60:E61)</f>
        <v>0</v>
      </c>
      <c r="F59" s="233">
        <f t="shared" ref="F59:G59" si="54">SUM(F60:F61)</f>
        <v>0</v>
      </c>
      <c r="G59" s="233">
        <f t="shared" si="54"/>
        <v>0</v>
      </c>
      <c r="H59" s="232">
        <f t="shared" si="1"/>
        <v>0</v>
      </c>
      <c r="I59" s="233">
        <v>0</v>
      </c>
      <c r="J59" s="233">
        <f>SUM(J60:J61)</f>
        <v>0</v>
      </c>
      <c r="K59" s="233">
        <f t="shared" ref="K59:L59" si="55">SUM(K60:K61)</f>
        <v>0</v>
      </c>
      <c r="L59" s="233">
        <f t="shared" si="55"/>
        <v>0</v>
      </c>
      <c r="M59" s="232">
        <f t="shared" si="3"/>
        <v>0</v>
      </c>
      <c r="N59" s="233">
        <v>0</v>
      </c>
      <c r="O59" s="233">
        <f>SUM(O60:O61)</f>
        <v>0</v>
      </c>
      <c r="P59" s="233">
        <f t="shared" ref="P59:Q59" si="56">SUM(P60:P61)</f>
        <v>0</v>
      </c>
      <c r="Q59" s="232">
        <f t="shared" si="56"/>
        <v>0</v>
      </c>
      <c r="R59" s="232">
        <f t="shared" si="5"/>
        <v>0</v>
      </c>
    </row>
    <row r="60" spans="1:18" s="89" customFormat="1" ht="24" hidden="1" customHeight="1">
      <c r="A60" s="133">
        <v>7460</v>
      </c>
      <c r="B60" s="172" t="s">
        <v>162</v>
      </c>
      <c r="C60" s="204"/>
      <c r="D60" s="204">
        <v>0</v>
      </c>
      <c r="E60" s="252"/>
      <c r="F60" s="252"/>
      <c r="G60" s="252"/>
      <c r="H60" s="232">
        <f t="shared" si="1"/>
        <v>0</v>
      </c>
      <c r="I60" s="252">
        <v>0</v>
      </c>
      <c r="J60" s="252"/>
      <c r="K60" s="252"/>
      <c r="L60" s="252"/>
      <c r="M60" s="232">
        <f t="shared" si="3"/>
        <v>0</v>
      </c>
      <c r="N60" s="252">
        <v>0</v>
      </c>
      <c r="O60" s="252"/>
      <c r="P60" s="252"/>
      <c r="Q60" s="251"/>
      <c r="R60" s="232">
        <f t="shared" si="5"/>
        <v>0</v>
      </c>
    </row>
    <row r="61" spans="1:18" s="89" customFormat="1" ht="48" hidden="1" customHeight="1">
      <c r="A61" s="133">
        <v>7470</v>
      </c>
      <c r="B61" s="179" t="s">
        <v>167</v>
      </c>
      <c r="C61" s="204"/>
      <c r="D61" s="204">
        <v>0</v>
      </c>
      <c r="E61" s="252"/>
      <c r="F61" s="252"/>
      <c r="G61" s="252"/>
      <c r="H61" s="232">
        <f t="shared" si="1"/>
        <v>0</v>
      </c>
      <c r="I61" s="252">
        <v>0</v>
      </c>
      <c r="J61" s="252"/>
      <c r="K61" s="252"/>
      <c r="L61" s="252"/>
      <c r="M61" s="232">
        <f t="shared" si="3"/>
        <v>0</v>
      </c>
      <c r="N61" s="252">
        <v>0</v>
      </c>
      <c r="O61" s="252"/>
      <c r="P61" s="252"/>
      <c r="Q61" s="251"/>
      <c r="R61" s="232">
        <f t="shared" si="5"/>
        <v>0</v>
      </c>
    </row>
    <row r="62" spans="1:18" s="89" customFormat="1" ht="24" hidden="1" customHeight="1">
      <c r="A62" s="132">
        <v>7500</v>
      </c>
      <c r="B62" s="179" t="s">
        <v>157</v>
      </c>
      <c r="C62" s="170"/>
      <c r="D62" s="170">
        <v>0</v>
      </c>
      <c r="E62" s="233"/>
      <c r="F62" s="233"/>
      <c r="G62" s="233"/>
      <c r="H62" s="232">
        <f t="shared" si="1"/>
        <v>0</v>
      </c>
      <c r="I62" s="233">
        <v>0</v>
      </c>
      <c r="J62" s="233"/>
      <c r="K62" s="233"/>
      <c r="L62" s="233"/>
      <c r="M62" s="232">
        <f t="shared" si="3"/>
        <v>0</v>
      </c>
      <c r="N62" s="233">
        <v>0</v>
      </c>
      <c r="O62" s="233"/>
      <c r="P62" s="233"/>
      <c r="Q62" s="232"/>
      <c r="R62" s="232">
        <f t="shared" si="5"/>
        <v>0</v>
      </c>
    </row>
    <row r="63" spans="1:18" s="89" customFormat="1" ht="12">
      <c r="A63" s="140" t="s">
        <v>133</v>
      </c>
      <c r="B63" s="124" t="s">
        <v>122</v>
      </c>
      <c r="C63" s="162">
        <v>1000</v>
      </c>
      <c r="D63" s="162">
        <v>1000</v>
      </c>
      <c r="E63" s="254">
        <f>E64+E65</f>
        <v>0</v>
      </c>
      <c r="F63" s="254">
        <f t="shared" ref="F63:G63" si="57">F64+F65</f>
        <v>0</v>
      </c>
      <c r="G63" s="254">
        <f t="shared" si="57"/>
        <v>0</v>
      </c>
      <c r="H63" s="232">
        <f t="shared" si="1"/>
        <v>1000</v>
      </c>
      <c r="I63" s="254">
        <v>1000</v>
      </c>
      <c r="J63" s="254">
        <f>J64+J65</f>
        <v>0</v>
      </c>
      <c r="K63" s="254">
        <f t="shared" ref="K63:L63" si="58">K64+K65</f>
        <v>0</v>
      </c>
      <c r="L63" s="254">
        <f t="shared" si="58"/>
        <v>0</v>
      </c>
      <c r="M63" s="232">
        <f t="shared" si="3"/>
        <v>1000</v>
      </c>
      <c r="N63" s="254">
        <v>1000</v>
      </c>
      <c r="O63" s="254">
        <f>O64+O65</f>
        <v>0</v>
      </c>
      <c r="P63" s="254">
        <f t="shared" ref="P63:Q63" si="59">P64+P65</f>
        <v>0</v>
      </c>
      <c r="Q63" s="253">
        <f t="shared" si="59"/>
        <v>0</v>
      </c>
      <c r="R63" s="232">
        <f t="shared" si="5"/>
        <v>1000</v>
      </c>
    </row>
    <row r="64" spans="1:18" s="89" customFormat="1" ht="12">
      <c r="A64" s="140">
        <v>5000</v>
      </c>
      <c r="B64" s="124" t="s">
        <v>123</v>
      </c>
      <c r="C64" s="162">
        <v>1000</v>
      </c>
      <c r="D64" s="162">
        <v>1000</v>
      </c>
      <c r="E64" s="244"/>
      <c r="F64" s="244"/>
      <c r="G64" s="233"/>
      <c r="H64" s="232">
        <f t="shared" si="1"/>
        <v>1000</v>
      </c>
      <c r="I64" s="233">
        <v>1000</v>
      </c>
      <c r="J64" s="244"/>
      <c r="K64" s="244"/>
      <c r="L64" s="233"/>
      <c r="M64" s="232">
        <f t="shared" si="3"/>
        <v>1000</v>
      </c>
      <c r="N64" s="233">
        <v>1000</v>
      </c>
      <c r="O64" s="244"/>
      <c r="P64" s="244"/>
      <c r="Q64" s="232"/>
      <c r="R64" s="232">
        <f t="shared" si="5"/>
        <v>1000</v>
      </c>
    </row>
    <row r="65" spans="1:18" s="89" customFormat="1" ht="12" hidden="1" customHeight="1">
      <c r="A65" s="140">
        <v>9000</v>
      </c>
      <c r="B65" s="182" t="s">
        <v>164</v>
      </c>
      <c r="C65" s="170">
        <v>0</v>
      </c>
      <c r="D65" s="171">
        <v>0</v>
      </c>
      <c r="E65" s="233">
        <f t="shared" ref="E65:G65" si="60">E66+E72+E76+E79</f>
        <v>0</v>
      </c>
      <c r="F65" s="233">
        <f t="shared" si="60"/>
        <v>0</v>
      </c>
      <c r="G65" s="233">
        <f t="shared" si="60"/>
        <v>0</v>
      </c>
      <c r="H65" s="232">
        <f t="shared" si="1"/>
        <v>0</v>
      </c>
      <c r="I65" s="233">
        <v>0</v>
      </c>
      <c r="J65" s="233">
        <f t="shared" ref="J65:L65" si="61">J66+J72+J76+J79</f>
        <v>0</v>
      </c>
      <c r="K65" s="233">
        <f t="shared" si="61"/>
        <v>0</v>
      </c>
      <c r="L65" s="233">
        <f t="shared" si="61"/>
        <v>0</v>
      </c>
      <c r="M65" s="232">
        <f t="shared" si="3"/>
        <v>0</v>
      </c>
      <c r="N65" s="233">
        <v>0</v>
      </c>
      <c r="O65" s="233">
        <f t="shared" ref="O65:Q65" si="62">O66+O72+O76+O79</f>
        <v>0</v>
      </c>
      <c r="P65" s="233">
        <f t="shared" si="62"/>
        <v>0</v>
      </c>
      <c r="Q65" s="232">
        <f t="shared" si="62"/>
        <v>0</v>
      </c>
      <c r="R65" s="232">
        <f t="shared" si="5"/>
        <v>0</v>
      </c>
    </row>
    <row r="66" spans="1:18" s="89" customFormat="1" ht="12" hidden="1" customHeight="1">
      <c r="A66" s="141">
        <v>9100</v>
      </c>
      <c r="B66" s="179" t="s">
        <v>124</v>
      </c>
      <c r="C66" s="170">
        <v>0</v>
      </c>
      <c r="D66" s="171">
        <v>0</v>
      </c>
      <c r="E66" s="233">
        <f t="shared" ref="E66:G66" si="63">SUM(E67:E68)</f>
        <v>0</v>
      </c>
      <c r="F66" s="233">
        <f t="shared" ref="F66" si="64">SUM(F67:F68)</f>
        <v>0</v>
      </c>
      <c r="G66" s="233">
        <f t="shared" si="63"/>
        <v>0</v>
      </c>
      <c r="H66" s="232">
        <f t="shared" si="1"/>
        <v>0</v>
      </c>
      <c r="I66" s="233">
        <v>0</v>
      </c>
      <c r="J66" s="233">
        <f t="shared" ref="J66:L66" si="65">SUM(J67:J68)</f>
        <v>0</v>
      </c>
      <c r="K66" s="233">
        <f t="shared" si="65"/>
        <v>0</v>
      </c>
      <c r="L66" s="233">
        <f t="shared" si="65"/>
        <v>0</v>
      </c>
      <c r="M66" s="232">
        <f t="shared" si="3"/>
        <v>0</v>
      </c>
      <c r="N66" s="233">
        <v>0</v>
      </c>
      <c r="O66" s="233">
        <f t="shared" ref="O66:Q66" si="66">SUM(O67:O68)</f>
        <v>0</v>
      </c>
      <c r="P66" s="233">
        <f t="shared" si="66"/>
        <v>0</v>
      </c>
      <c r="Q66" s="232">
        <f t="shared" si="66"/>
        <v>0</v>
      </c>
      <c r="R66" s="232">
        <f t="shared" si="5"/>
        <v>0</v>
      </c>
    </row>
    <row r="67" spans="1:18" s="89" customFormat="1" ht="24" hidden="1" customHeight="1">
      <c r="A67" s="133" t="s">
        <v>125</v>
      </c>
      <c r="B67" s="179" t="s">
        <v>214</v>
      </c>
      <c r="C67" s="170"/>
      <c r="D67" s="171">
        <v>0</v>
      </c>
      <c r="E67" s="233"/>
      <c r="F67" s="233"/>
      <c r="G67" s="233"/>
      <c r="H67" s="232">
        <f t="shared" si="1"/>
        <v>0</v>
      </c>
      <c r="I67" s="233">
        <v>0</v>
      </c>
      <c r="J67" s="233"/>
      <c r="K67" s="233"/>
      <c r="L67" s="233"/>
      <c r="M67" s="232">
        <f t="shared" si="3"/>
        <v>0</v>
      </c>
      <c r="N67" s="233">
        <v>0</v>
      </c>
      <c r="O67" s="233"/>
      <c r="P67" s="233"/>
      <c r="Q67" s="232"/>
      <c r="R67" s="232">
        <f t="shared" si="5"/>
        <v>0</v>
      </c>
    </row>
    <row r="68" spans="1:18" s="89" customFormat="1" ht="24" hidden="1" customHeight="1">
      <c r="A68" s="133">
        <v>9140</v>
      </c>
      <c r="B68" s="179" t="s">
        <v>215</v>
      </c>
      <c r="C68" s="170">
        <v>0</v>
      </c>
      <c r="D68" s="171">
        <v>0</v>
      </c>
      <c r="E68" s="233">
        <f>SUM(E69:E71)</f>
        <v>0</v>
      </c>
      <c r="F68" s="233">
        <f t="shared" ref="F68:G68" si="67">SUM(F69:F71)</f>
        <v>0</v>
      </c>
      <c r="G68" s="233">
        <f t="shared" si="67"/>
        <v>0</v>
      </c>
      <c r="H68" s="232">
        <f t="shared" si="1"/>
        <v>0</v>
      </c>
      <c r="I68" s="233">
        <v>0</v>
      </c>
      <c r="J68" s="233">
        <f>SUM(J69:J71)</f>
        <v>0</v>
      </c>
      <c r="K68" s="233">
        <f t="shared" ref="K68:L68" si="68">SUM(K69:K71)</f>
        <v>0</v>
      </c>
      <c r="L68" s="233">
        <f t="shared" si="68"/>
        <v>0</v>
      </c>
      <c r="M68" s="232">
        <f t="shared" si="3"/>
        <v>0</v>
      </c>
      <c r="N68" s="233">
        <v>0</v>
      </c>
      <c r="O68" s="233">
        <f>SUM(O69:O71)</f>
        <v>0</v>
      </c>
      <c r="P68" s="233">
        <f t="shared" ref="P68:Q68" si="69">SUM(P69:P71)</f>
        <v>0</v>
      </c>
      <c r="Q68" s="232">
        <f t="shared" si="69"/>
        <v>0</v>
      </c>
      <c r="R68" s="232">
        <f t="shared" si="5"/>
        <v>0</v>
      </c>
    </row>
    <row r="69" spans="1:18" s="89" customFormat="1" ht="36" hidden="1" customHeight="1">
      <c r="A69" s="134">
        <v>9141</v>
      </c>
      <c r="B69" s="172" t="s">
        <v>190</v>
      </c>
      <c r="C69" s="204"/>
      <c r="D69" s="180">
        <v>0</v>
      </c>
      <c r="E69" s="252"/>
      <c r="F69" s="252"/>
      <c r="G69" s="252"/>
      <c r="H69" s="232">
        <f t="shared" si="1"/>
        <v>0</v>
      </c>
      <c r="I69" s="252">
        <v>0</v>
      </c>
      <c r="J69" s="252"/>
      <c r="K69" s="252"/>
      <c r="L69" s="252"/>
      <c r="M69" s="232">
        <f t="shared" si="3"/>
        <v>0</v>
      </c>
      <c r="N69" s="252">
        <v>0</v>
      </c>
      <c r="O69" s="252"/>
      <c r="P69" s="252"/>
      <c r="Q69" s="251"/>
      <c r="R69" s="232">
        <f t="shared" si="5"/>
        <v>0</v>
      </c>
    </row>
    <row r="70" spans="1:18" s="89" customFormat="1" ht="36" hidden="1" customHeight="1">
      <c r="A70" s="134">
        <v>9142</v>
      </c>
      <c r="B70" s="172" t="s">
        <v>191</v>
      </c>
      <c r="C70" s="204"/>
      <c r="D70" s="180">
        <v>0</v>
      </c>
      <c r="E70" s="252"/>
      <c r="F70" s="252"/>
      <c r="G70" s="252"/>
      <c r="H70" s="232">
        <f t="shared" si="1"/>
        <v>0</v>
      </c>
      <c r="I70" s="252">
        <v>0</v>
      </c>
      <c r="J70" s="252"/>
      <c r="K70" s="252"/>
      <c r="L70" s="252"/>
      <c r="M70" s="232">
        <f t="shared" si="3"/>
        <v>0</v>
      </c>
      <c r="N70" s="252">
        <v>0</v>
      </c>
      <c r="O70" s="252"/>
      <c r="P70" s="252"/>
      <c r="Q70" s="251"/>
      <c r="R70" s="232">
        <f t="shared" si="5"/>
        <v>0</v>
      </c>
    </row>
    <row r="71" spans="1:18" s="89" customFormat="1" ht="24" hidden="1" customHeight="1">
      <c r="A71" s="134">
        <v>9149</v>
      </c>
      <c r="B71" s="172" t="s">
        <v>192</v>
      </c>
      <c r="C71" s="204"/>
      <c r="D71" s="180">
        <v>0</v>
      </c>
      <c r="E71" s="252"/>
      <c r="F71" s="252"/>
      <c r="G71" s="252"/>
      <c r="H71" s="232">
        <f t="shared" si="1"/>
        <v>0</v>
      </c>
      <c r="I71" s="252">
        <v>0</v>
      </c>
      <c r="J71" s="252"/>
      <c r="K71" s="252"/>
      <c r="L71" s="252"/>
      <c r="M71" s="232">
        <f t="shared" si="3"/>
        <v>0</v>
      </c>
      <c r="N71" s="252">
        <v>0</v>
      </c>
      <c r="O71" s="252"/>
      <c r="P71" s="252"/>
      <c r="Q71" s="251"/>
      <c r="R71" s="232">
        <f t="shared" si="5"/>
        <v>0</v>
      </c>
    </row>
    <row r="72" spans="1:18" s="29" customFormat="1" ht="24" hidden="1" customHeight="1">
      <c r="A72" s="141">
        <v>9500</v>
      </c>
      <c r="B72" s="172" t="s">
        <v>165</v>
      </c>
      <c r="C72" s="170">
        <v>0</v>
      </c>
      <c r="D72" s="171">
        <v>0</v>
      </c>
      <c r="E72" s="233">
        <f>SUM(E73:E75)</f>
        <v>0</v>
      </c>
      <c r="F72" s="233">
        <f t="shared" ref="F72:G72" si="70">SUM(F73:F75)</f>
        <v>0</v>
      </c>
      <c r="G72" s="233">
        <f t="shared" si="70"/>
        <v>0</v>
      </c>
      <c r="H72" s="232">
        <f t="shared" si="1"/>
        <v>0</v>
      </c>
      <c r="I72" s="233">
        <v>0</v>
      </c>
      <c r="J72" s="233">
        <f>SUM(J73:J75)</f>
        <v>0</v>
      </c>
      <c r="K72" s="233">
        <f t="shared" ref="K72:L72" si="71">SUM(K73:K75)</f>
        <v>0</v>
      </c>
      <c r="L72" s="233">
        <f t="shared" si="71"/>
        <v>0</v>
      </c>
      <c r="M72" s="232">
        <f t="shared" si="3"/>
        <v>0</v>
      </c>
      <c r="N72" s="233">
        <v>0</v>
      </c>
      <c r="O72" s="233">
        <f>SUM(O73:O75)</f>
        <v>0</v>
      </c>
      <c r="P72" s="233">
        <f t="shared" ref="P72:Q72" si="72">SUM(P73:P75)</f>
        <v>0</v>
      </c>
      <c r="Q72" s="232">
        <f t="shared" si="72"/>
        <v>0</v>
      </c>
      <c r="R72" s="232">
        <f t="shared" si="5"/>
        <v>0</v>
      </c>
    </row>
    <row r="73" spans="1:18" s="29" customFormat="1" ht="24" hidden="1" customHeight="1">
      <c r="A73" s="133" t="s">
        <v>193</v>
      </c>
      <c r="B73" s="172" t="s">
        <v>171</v>
      </c>
      <c r="C73" s="170"/>
      <c r="D73" s="171">
        <v>0</v>
      </c>
      <c r="E73" s="233"/>
      <c r="F73" s="233"/>
      <c r="G73" s="233"/>
      <c r="H73" s="232">
        <f t="shared" si="1"/>
        <v>0</v>
      </c>
      <c r="I73" s="233">
        <v>0</v>
      </c>
      <c r="J73" s="233"/>
      <c r="K73" s="233"/>
      <c r="L73" s="233"/>
      <c r="M73" s="232">
        <f t="shared" si="3"/>
        <v>0</v>
      </c>
      <c r="N73" s="233">
        <v>0</v>
      </c>
      <c r="O73" s="233"/>
      <c r="P73" s="233"/>
      <c r="Q73" s="232"/>
      <c r="R73" s="232">
        <f t="shared" si="5"/>
        <v>0</v>
      </c>
    </row>
    <row r="74" spans="1:18" s="28" customFormat="1" ht="48" hidden="1" customHeight="1">
      <c r="A74" s="133">
        <v>9580</v>
      </c>
      <c r="B74" s="172" t="s">
        <v>166</v>
      </c>
      <c r="C74" s="204"/>
      <c r="D74" s="180">
        <v>0</v>
      </c>
      <c r="E74" s="252"/>
      <c r="F74" s="252"/>
      <c r="G74" s="252"/>
      <c r="H74" s="232">
        <f t="shared" ref="H74:H137" si="73">SUM(D74:G74)</f>
        <v>0</v>
      </c>
      <c r="I74" s="252">
        <v>0</v>
      </c>
      <c r="J74" s="252"/>
      <c r="K74" s="252"/>
      <c r="L74" s="252"/>
      <c r="M74" s="232">
        <f t="shared" ref="M74:M137" si="74">SUM(I74:L74)</f>
        <v>0</v>
      </c>
      <c r="N74" s="252">
        <v>0</v>
      </c>
      <c r="O74" s="252"/>
      <c r="P74" s="252"/>
      <c r="Q74" s="251"/>
      <c r="R74" s="232">
        <f t="shared" ref="R74:R137" si="75">SUM(N74:Q74)</f>
        <v>0</v>
      </c>
    </row>
    <row r="75" spans="1:18" s="4" customFormat="1" ht="48" hidden="1" customHeight="1">
      <c r="A75" s="133">
        <v>9590</v>
      </c>
      <c r="B75" s="179" t="s">
        <v>172</v>
      </c>
      <c r="C75" s="204"/>
      <c r="D75" s="180">
        <v>0</v>
      </c>
      <c r="E75" s="252"/>
      <c r="F75" s="252"/>
      <c r="G75" s="252"/>
      <c r="H75" s="232">
        <f t="shared" si="73"/>
        <v>0</v>
      </c>
      <c r="I75" s="252">
        <v>0</v>
      </c>
      <c r="J75" s="252"/>
      <c r="K75" s="252"/>
      <c r="L75" s="252"/>
      <c r="M75" s="232">
        <f t="shared" si="74"/>
        <v>0</v>
      </c>
      <c r="N75" s="252">
        <v>0</v>
      </c>
      <c r="O75" s="252"/>
      <c r="P75" s="252"/>
      <c r="Q75" s="251"/>
      <c r="R75" s="232">
        <f t="shared" si="75"/>
        <v>0</v>
      </c>
    </row>
    <row r="76" spans="1:18" ht="24" hidden="1" customHeight="1">
      <c r="A76" s="141">
        <v>9700</v>
      </c>
      <c r="B76" s="183" t="s">
        <v>194</v>
      </c>
      <c r="C76" s="170">
        <v>0</v>
      </c>
      <c r="D76" s="171">
        <v>0</v>
      </c>
      <c r="E76" s="233">
        <f>SUM(E77:E78)</f>
        <v>0</v>
      </c>
      <c r="F76" s="233">
        <f t="shared" ref="F76:G76" si="76">SUM(F77:F78)</f>
        <v>0</v>
      </c>
      <c r="G76" s="233">
        <f t="shared" si="76"/>
        <v>0</v>
      </c>
      <c r="H76" s="232">
        <f t="shared" si="73"/>
        <v>0</v>
      </c>
      <c r="I76" s="233">
        <v>0</v>
      </c>
      <c r="J76" s="233">
        <f>SUM(J77:J78)</f>
        <v>0</v>
      </c>
      <c r="K76" s="233">
        <f t="shared" ref="K76:L76" si="77">SUM(K77:K78)</f>
        <v>0</v>
      </c>
      <c r="L76" s="233">
        <f t="shared" si="77"/>
        <v>0</v>
      </c>
      <c r="M76" s="232">
        <f t="shared" si="74"/>
        <v>0</v>
      </c>
      <c r="N76" s="233">
        <v>0</v>
      </c>
      <c r="O76" s="233">
        <f>SUM(O77:O78)</f>
        <v>0</v>
      </c>
      <c r="P76" s="233">
        <f t="shared" ref="P76:Q76" si="78">SUM(P77:P78)</f>
        <v>0</v>
      </c>
      <c r="Q76" s="232">
        <f t="shared" si="78"/>
        <v>0</v>
      </c>
      <c r="R76" s="232">
        <f t="shared" si="75"/>
        <v>0</v>
      </c>
    </row>
    <row r="77" spans="1:18" ht="24" hidden="1" customHeight="1">
      <c r="A77" s="133">
        <v>9710</v>
      </c>
      <c r="B77" s="184" t="s">
        <v>195</v>
      </c>
      <c r="C77" s="204"/>
      <c r="D77" s="180">
        <v>0</v>
      </c>
      <c r="E77" s="252"/>
      <c r="F77" s="252"/>
      <c r="G77" s="252"/>
      <c r="H77" s="232">
        <f t="shared" si="73"/>
        <v>0</v>
      </c>
      <c r="I77" s="252">
        <v>0</v>
      </c>
      <c r="J77" s="252"/>
      <c r="K77" s="252"/>
      <c r="L77" s="252"/>
      <c r="M77" s="232">
        <f t="shared" si="74"/>
        <v>0</v>
      </c>
      <c r="N77" s="252">
        <v>0</v>
      </c>
      <c r="O77" s="252"/>
      <c r="P77" s="252"/>
      <c r="Q77" s="251"/>
      <c r="R77" s="232">
        <f t="shared" si="75"/>
        <v>0</v>
      </c>
    </row>
    <row r="78" spans="1:18" ht="48" hidden="1" customHeight="1">
      <c r="A78" s="142">
        <v>9720</v>
      </c>
      <c r="B78" s="183" t="s">
        <v>196</v>
      </c>
      <c r="C78" s="204"/>
      <c r="D78" s="180">
        <v>0</v>
      </c>
      <c r="E78" s="252"/>
      <c r="F78" s="252"/>
      <c r="G78" s="252"/>
      <c r="H78" s="232">
        <f t="shared" si="73"/>
        <v>0</v>
      </c>
      <c r="I78" s="252">
        <v>0</v>
      </c>
      <c r="J78" s="252"/>
      <c r="K78" s="252"/>
      <c r="L78" s="252"/>
      <c r="M78" s="232">
        <f t="shared" si="74"/>
        <v>0</v>
      </c>
      <c r="N78" s="252">
        <v>0</v>
      </c>
      <c r="O78" s="252"/>
      <c r="P78" s="252"/>
      <c r="Q78" s="251"/>
      <c r="R78" s="232">
        <f t="shared" si="75"/>
        <v>0</v>
      </c>
    </row>
    <row r="79" spans="1:18" ht="24" hidden="1" customHeight="1">
      <c r="A79" s="141">
        <v>9600</v>
      </c>
      <c r="B79" s="179" t="s">
        <v>134</v>
      </c>
      <c r="C79" s="204"/>
      <c r="D79" s="180">
        <v>0</v>
      </c>
      <c r="E79" s="252"/>
      <c r="F79" s="252"/>
      <c r="G79" s="252"/>
      <c r="H79" s="232">
        <f t="shared" si="73"/>
        <v>0</v>
      </c>
      <c r="I79" s="252">
        <v>0</v>
      </c>
      <c r="J79" s="252"/>
      <c r="K79" s="252"/>
      <c r="L79" s="252"/>
      <c r="M79" s="232">
        <f t="shared" si="74"/>
        <v>0</v>
      </c>
      <c r="N79" s="252">
        <v>0</v>
      </c>
      <c r="O79" s="252"/>
      <c r="P79" s="252"/>
      <c r="Q79" s="251"/>
      <c r="R79" s="232">
        <f t="shared" si="75"/>
        <v>0</v>
      </c>
    </row>
    <row r="80" spans="1:18" ht="52.5" hidden="1" customHeight="1">
      <c r="A80" s="130" t="s">
        <v>197</v>
      </c>
      <c r="B80" s="185" t="s">
        <v>47</v>
      </c>
      <c r="C80" s="206"/>
      <c r="D80" s="186">
        <v>0</v>
      </c>
      <c r="E80" s="262">
        <f>E10-E35</f>
        <v>0</v>
      </c>
      <c r="F80" s="262">
        <f t="shared" ref="F80:G80" si="79">F10-F35</f>
        <v>0</v>
      </c>
      <c r="G80" s="262">
        <f t="shared" si="79"/>
        <v>0</v>
      </c>
      <c r="H80" s="232">
        <f t="shared" si="73"/>
        <v>0</v>
      </c>
      <c r="I80" s="262">
        <v>0</v>
      </c>
      <c r="J80" s="262">
        <f>J10-J35</f>
        <v>0</v>
      </c>
      <c r="K80" s="262">
        <f t="shared" ref="K80:L80" si="80">K10-K35</f>
        <v>0</v>
      </c>
      <c r="L80" s="262">
        <f t="shared" si="80"/>
        <v>0</v>
      </c>
      <c r="M80" s="232">
        <f t="shared" si="74"/>
        <v>0</v>
      </c>
      <c r="N80" s="262">
        <v>0</v>
      </c>
      <c r="O80" s="262">
        <f>O10-O35</f>
        <v>0</v>
      </c>
      <c r="P80" s="262">
        <f t="shared" ref="P80:Q80" si="81">P10-P35</f>
        <v>0</v>
      </c>
      <c r="Q80" s="261">
        <f t="shared" si="81"/>
        <v>0</v>
      </c>
      <c r="R80" s="232">
        <f t="shared" si="75"/>
        <v>0</v>
      </c>
    </row>
    <row r="81" spans="1:18" ht="12" hidden="1" customHeight="1">
      <c r="A81" s="143" t="s">
        <v>48</v>
      </c>
      <c r="B81" s="185" t="s">
        <v>49</v>
      </c>
      <c r="C81" s="206">
        <v>0</v>
      </c>
      <c r="D81" s="186">
        <v>0</v>
      </c>
      <c r="E81" s="262">
        <f>E82+E85+E89+E88</f>
        <v>0</v>
      </c>
      <c r="F81" s="262">
        <f t="shared" ref="F81:G81" si="82">F82+F85+F89+F88</f>
        <v>0</v>
      </c>
      <c r="G81" s="262">
        <f t="shared" si="82"/>
        <v>0</v>
      </c>
      <c r="H81" s="232">
        <f t="shared" si="73"/>
        <v>0</v>
      </c>
      <c r="I81" s="262">
        <v>0</v>
      </c>
      <c r="J81" s="262">
        <f>J82+J85+J89+J88</f>
        <v>0</v>
      </c>
      <c r="K81" s="262">
        <f t="shared" ref="K81:L81" si="83">K82+K85+K89+K88</f>
        <v>0</v>
      </c>
      <c r="L81" s="262">
        <f t="shared" si="83"/>
        <v>0</v>
      </c>
      <c r="M81" s="232">
        <f t="shared" si="74"/>
        <v>0</v>
      </c>
      <c r="N81" s="262">
        <v>0</v>
      </c>
      <c r="O81" s="262">
        <f>O82+O85+O89+O88</f>
        <v>0</v>
      </c>
      <c r="P81" s="262">
        <f t="shared" ref="P81:Q81" si="84">P82+P85+P89+P88</f>
        <v>0</v>
      </c>
      <c r="Q81" s="261">
        <f t="shared" si="84"/>
        <v>0</v>
      </c>
      <c r="R81" s="232">
        <f t="shared" si="75"/>
        <v>0</v>
      </c>
    </row>
    <row r="82" spans="1:18" s="4" customFormat="1" ht="12" hidden="1" customHeight="1">
      <c r="A82" s="141" t="s">
        <v>50</v>
      </c>
      <c r="B82" s="179" t="s">
        <v>51</v>
      </c>
      <c r="C82" s="98">
        <v>0</v>
      </c>
      <c r="D82" s="169">
        <v>0</v>
      </c>
      <c r="E82" s="231">
        <f>E83+E84</f>
        <v>0</v>
      </c>
      <c r="F82" s="231">
        <f t="shared" ref="F82:G82" si="85">F83+F84</f>
        <v>0</v>
      </c>
      <c r="G82" s="231">
        <f t="shared" si="85"/>
        <v>0</v>
      </c>
      <c r="H82" s="232">
        <f t="shared" si="73"/>
        <v>0</v>
      </c>
      <c r="I82" s="231">
        <v>0</v>
      </c>
      <c r="J82" s="231">
        <f>J83+J84</f>
        <v>0</v>
      </c>
      <c r="K82" s="231">
        <f t="shared" ref="K82:L82" si="86">K83+K84</f>
        <v>0</v>
      </c>
      <c r="L82" s="231">
        <f t="shared" si="86"/>
        <v>0</v>
      </c>
      <c r="M82" s="232">
        <f t="shared" si="74"/>
        <v>0</v>
      </c>
      <c r="N82" s="231">
        <v>0</v>
      </c>
      <c r="O82" s="231">
        <f>O83+O84</f>
        <v>0</v>
      </c>
      <c r="P82" s="231">
        <f t="shared" ref="P82:Q82" si="87">P83+P84</f>
        <v>0</v>
      </c>
      <c r="Q82" s="230">
        <f t="shared" si="87"/>
        <v>0</v>
      </c>
      <c r="R82" s="232">
        <f t="shared" si="75"/>
        <v>0</v>
      </c>
    </row>
    <row r="83" spans="1:18" s="6" customFormat="1" ht="12" hidden="1" customHeight="1">
      <c r="A83" s="141" t="s">
        <v>52</v>
      </c>
      <c r="B83" s="179" t="s">
        <v>53</v>
      </c>
      <c r="C83" s="98"/>
      <c r="D83" s="169">
        <v>0</v>
      </c>
      <c r="E83" s="231"/>
      <c r="F83" s="231"/>
      <c r="G83" s="231"/>
      <c r="H83" s="232">
        <f t="shared" si="73"/>
        <v>0</v>
      </c>
      <c r="I83" s="231">
        <v>0</v>
      </c>
      <c r="J83" s="231"/>
      <c r="K83" s="231"/>
      <c r="L83" s="231"/>
      <c r="M83" s="232">
        <f t="shared" si="74"/>
        <v>0</v>
      </c>
      <c r="N83" s="231">
        <v>0</v>
      </c>
      <c r="O83" s="231"/>
      <c r="P83" s="231"/>
      <c r="Q83" s="230"/>
      <c r="R83" s="232">
        <f t="shared" si="75"/>
        <v>0</v>
      </c>
    </row>
    <row r="84" spans="1:18" s="6" customFormat="1" ht="12" hidden="1" customHeight="1">
      <c r="A84" s="141" t="s">
        <v>54</v>
      </c>
      <c r="B84" s="179" t="s">
        <v>55</v>
      </c>
      <c r="C84" s="98"/>
      <c r="D84" s="169">
        <v>0</v>
      </c>
      <c r="E84" s="231"/>
      <c r="F84" s="231"/>
      <c r="G84" s="231"/>
      <c r="H84" s="232">
        <f t="shared" si="73"/>
        <v>0</v>
      </c>
      <c r="I84" s="231">
        <v>0</v>
      </c>
      <c r="J84" s="231"/>
      <c r="K84" s="231"/>
      <c r="L84" s="231"/>
      <c r="M84" s="232">
        <f t="shared" si="74"/>
        <v>0</v>
      </c>
      <c r="N84" s="231">
        <v>0</v>
      </c>
      <c r="O84" s="231"/>
      <c r="P84" s="231"/>
      <c r="Q84" s="230"/>
      <c r="R84" s="232">
        <f t="shared" si="75"/>
        <v>0</v>
      </c>
    </row>
    <row r="85" spans="1:18" s="6" customFormat="1" ht="12" hidden="1" customHeight="1">
      <c r="A85" s="141" t="s">
        <v>56</v>
      </c>
      <c r="B85" s="179" t="s">
        <v>57</v>
      </c>
      <c r="C85" s="98">
        <v>0</v>
      </c>
      <c r="D85" s="169">
        <v>0</v>
      </c>
      <c r="E85" s="231">
        <f>E86+E87</f>
        <v>0</v>
      </c>
      <c r="F85" s="231">
        <f t="shared" ref="F85:G85" si="88">F86+F87</f>
        <v>0</v>
      </c>
      <c r="G85" s="231">
        <f t="shared" si="88"/>
        <v>0</v>
      </c>
      <c r="H85" s="232">
        <f t="shared" si="73"/>
        <v>0</v>
      </c>
      <c r="I85" s="231">
        <v>0</v>
      </c>
      <c r="J85" s="231">
        <f>J86+J87</f>
        <v>0</v>
      </c>
      <c r="K85" s="231">
        <f t="shared" ref="K85:L85" si="89">K86+K87</f>
        <v>0</v>
      </c>
      <c r="L85" s="231">
        <f t="shared" si="89"/>
        <v>0</v>
      </c>
      <c r="M85" s="232">
        <f t="shared" si="74"/>
        <v>0</v>
      </c>
      <c r="N85" s="231">
        <v>0</v>
      </c>
      <c r="O85" s="231">
        <f>O86+O87</f>
        <v>0</v>
      </c>
      <c r="P85" s="231">
        <f t="shared" ref="P85:Q85" si="90">P86+P87</f>
        <v>0</v>
      </c>
      <c r="Q85" s="230">
        <f t="shared" si="90"/>
        <v>0</v>
      </c>
      <c r="R85" s="232">
        <f t="shared" si="75"/>
        <v>0</v>
      </c>
    </row>
    <row r="86" spans="1:18" s="6" customFormat="1" ht="12" hidden="1" customHeight="1">
      <c r="A86" s="141" t="s">
        <v>58</v>
      </c>
      <c r="B86" s="179" t="s">
        <v>59</v>
      </c>
      <c r="C86" s="98"/>
      <c r="D86" s="169">
        <v>0</v>
      </c>
      <c r="E86" s="231"/>
      <c r="F86" s="231"/>
      <c r="G86" s="231"/>
      <c r="H86" s="232">
        <f t="shared" si="73"/>
        <v>0</v>
      </c>
      <c r="I86" s="231">
        <v>0</v>
      </c>
      <c r="J86" s="231"/>
      <c r="K86" s="231"/>
      <c r="L86" s="231"/>
      <c r="M86" s="232">
        <f t="shared" si="74"/>
        <v>0</v>
      </c>
      <c r="N86" s="231">
        <v>0</v>
      </c>
      <c r="O86" s="231"/>
      <c r="P86" s="231"/>
      <c r="Q86" s="230"/>
      <c r="R86" s="232">
        <f t="shared" si="75"/>
        <v>0</v>
      </c>
    </row>
    <row r="87" spans="1:18" s="6" customFormat="1" ht="12" hidden="1" customHeight="1">
      <c r="A87" s="141" t="s">
        <v>60</v>
      </c>
      <c r="B87" s="179" t="s">
        <v>61</v>
      </c>
      <c r="C87" s="98"/>
      <c r="D87" s="169">
        <v>0</v>
      </c>
      <c r="E87" s="231"/>
      <c r="F87" s="231"/>
      <c r="G87" s="231"/>
      <c r="H87" s="232">
        <f t="shared" si="73"/>
        <v>0</v>
      </c>
      <c r="I87" s="231">
        <v>0</v>
      </c>
      <c r="J87" s="231"/>
      <c r="K87" s="231"/>
      <c r="L87" s="231"/>
      <c r="M87" s="232">
        <f t="shared" si="74"/>
        <v>0</v>
      </c>
      <c r="N87" s="231">
        <v>0</v>
      </c>
      <c r="O87" s="231"/>
      <c r="P87" s="231"/>
      <c r="Q87" s="230"/>
      <c r="R87" s="232">
        <f t="shared" si="75"/>
        <v>0</v>
      </c>
    </row>
    <row r="88" spans="1:18" s="6" customFormat="1" ht="12" hidden="1" customHeight="1">
      <c r="A88" s="141" t="s">
        <v>198</v>
      </c>
      <c r="B88" s="187" t="s">
        <v>168</v>
      </c>
      <c r="C88" s="98"/>
      <c r="D88" s="169">
        <v>0</v>
      </c>
      <c r="E88" s="231"/>
      <c r="F88" s="231"/>
      <c r="G88" s="231"/>
      <c r="H88" s="232">
        <f t="shared" si="73"/>
        <v>0</v>
      </c>
      <c r="I88" s="231">
        <v>0</v>
      </c>
      <c r="J88" s="231"/>
      <c r="K88" s="231"/>
      <c r="L88" s="231"/>
      <c r="M88" s="232">
        <f t="shared" si="74"/>
        <v>0</v>
      </c>
      <c r="N88" s="231">
        <v>0</v>
      </c>
      <c r="O88" s="231"/>
      <c r="P88" s="231"/>
      <c r="Q88" s="230"/>
      <c r="R88" s="232">
        <f t="shared" si="75"/>
        <v>0</v>
      </c>
    </row>
    <row r="89" spans="1:18" s="6" customFormat="1" ht="12" hidden="1" customHeight="1">
      <c r="A89" s="144" t="s">
        <v>62</v>
      </c>
      <c r="B89" s="125" t="s">
        <v>63</v>
      </c>
      <c r="C89" s="170">
        <v>0</v>
      </c>
      <c r="D89" s="171">
        <v>0</v>
      </c>
      <c r="E89" s="233">
        <f t="shared" ref="E89:G89" si="91">E90+E91+E92</f>
        <v>0</v>
      </c>
      <c r="F89" s="233">
        <f t="shared" si="91"/>
        <v>0</v>
      </c>
      <c r="G89" s="233">
        <f t="shared" si="91"/>
        <v>0</v>
      </c>
      <c r="H89" s="232">
        <f t="shared" si="73"/>
        <v>0</v>
      </c>
      <c r="I89" s="233">
        <v>0</v>
      </c>
      <c r="J89" s="233">
        <f t="shared" ref="J89:L89" si="92">J90+J91+J92</f>
        <v>0</v>
      </c>
      <c r="K89" s="233">
        <f t="shared" si="92"/>
        <v>0</v>
      </c>
      <c r="L89" s="233">
        <f t="shared" si="92"/>
        <v>0</v>
      </c>
      <c r="M89" s="232">
        <f t="shared" si="74"/>
        <v>0</v>
      </c>
      <c r="N89" s="233">
        <v>0</v>
      </c>
      <c r="O89" s="233">
        <f t="shared" ref="O89:Q89" si="93">O90+O91+O92</f>
        <v>0</v>
      </c>
      <c r="P89" s="233">
        <f t="shared" si="93"/>
        <v>0</v>
      </c>
      <c r="Q89" s="232">
        <f t="shared" si="93"/>
        <v>0</v>
      </c>
      <c r="R89" s="232">
        <f t="shared" si="75"/>
        <v>0</v>
      </c>
    </row>
    <row r="90" spans="1:18" s="6" customFormat="1" ht="36" hidden="1" customHeight="1">
      <c r="A90" s="144" t="s">
        <v>64</v>
      </c>
      <c r="B90" s="179" t="s">
        <v>65</v>
      </c>
      <c r="C90" s="98"/>
      <c r="D90" s="169">
        <v>0</v>
      </c>
      <c r="E90" s="231"/>
      <c r="F90" s="231"/>
      <c r="G90" s="231"/>
      <c r="H90" s="232">
        <f t="shared" si="73"/>
        <v>0</v>
      </c>
      <c r="I90" s="231">
        <v>0</v>
      </c>
      <c r="J90" s="231"/>
      <c r="K90" s="231"/>
      <c r="L90" s="231"/>
      <c r="M90" s="232">
        <f t="shared" si="74"/>
        <v>0</v>
      </c>
      <c r="N90" s="231">
        <v>0</v>
      </c>
      <c r="O90" s="231"/>
      <c r="P90" s="231"/>
      <c r="Q90" s="230"/>
      <c r="R90" s="232">
        <f t="shared" si="75"/>
        <v>0</v>
      </c>
    </row>
    <row r="91" spans="1:18" s="6" customFormat="1" ht="36" hidden="1" customHeight="1">
      <c r="A91" s="144" t="s">
        <v>66</v>
      </c>
      <c r="B91" s="179" t="s">
        <v>67</v>
      </c>
      <c r="C91" s="98"/>
      <c r="D91" s="169">
        <v>0</v>
      </c>
      <c r="E91" s="231"/>
      <c r="F91" s="231"/>
      <c r="G91" s="231"/>
      <c r="H91" s="232">
        <f t="shared" si="73"/>
        <v>0</v>
      </c>
      <c r="I91" s="231">
        <v>0</v>
      </c>
      <c r="J91" s="231"/>
      <c r="K91" s="231"/>
      <c r="L91" s="231"/>
      <c r="M91" s="232">
        <f t="shared" si="74"/>
        <v>0</v>
      </c>
      <c r="N91" s="231">
        <v>0</v>
      </c>
      <c r="O91" s="231"/>
      <c r="P91" s="231"/>
      <c r="Q91" s="230"/>
      <c r="R91" s="232">
        <f t="shared" si="75"/>
        <v>0</v>
      </c>
    </row>
    <row r="92" spans="1:18" s="6" customFormat="1" ht="24" hidden="1" customHeight="1">
      <c r="A92" s="144" t="s">
        <v>68</v>
      </c>
      <c r="B92" s="125" t="s">
        <v>69</v>
      </c>
      <c r="C92" s="98"/>
      <c r="D92" s="169">
        <v>0</v>
      </c>
      <c r="E92" s="231"/>
      <c r="F92" s="231"/>
      <c r="G92" s="231"/>
      <c r="H92" s="232">
        <f t="shared" si="73"/>
        <v>0</v>
      </c>
      <c r="I92" s="231">
        <v>0</v>
      </c>
      <c r="J92" s="231"/>
      <c r="K92" s="231"/>
      <c r="L92" s="231"/>
      <c r="M92" s="232">
        <f t="shared" si="74"/>
        <v>0</v>
      </c>
      <c r="N92" s="231">
        <v>0</v>
      </c>
      <c r="O92" s="231"/>
      <c r="P92" s="231"/>
      <c r="Q92" s="230"/>
      <c r="R92" s="232">
        <f t="shared" si="75"/>
        <v>0</v>
      </c>
    </row>
    <row r="93" spans="1:18" s="6" customFormat="1" ht="12">
      <c r="A93" s="145"/>
      <c r="B93" s="188" t="s">
        <v>199</v>
      </c>
      <c r="C93" s="207"/>
      <c r="D93" s="189">
        <v>0</v>
      </c>
      <c r="E93" s="268"/>
      <c r="F93" s="268"/>
      <c r="G93" s="347"/>
      <c r="H93" s="269">
        <f t="shared" si="73"/>
        <v>0</v>
      </c>
      <c r="I93" s="347">
        <v>0</v>
      </c>
      <c r="J93" s="268"/>
      <c r="K93" s="268"/>
      <c r="L93" s="347"/>
      <c r="M93" s="269">
        <f t="shared" si="74"/>
        <v>0</v>
      </c>
      <c r="N93" s="347">
        <v>0</v>
      </c>
      <c r="O93" s="268"/>
      <c r="P93" s="268"/>
      <c r="Q93" s="269"/>
      <c r="R93" s="269">
        <f t="shared" si="75"/>
        <v>0</v>
      </c>
    </row>
    <row r="94" spans="1:18" s="6" customFormat="1" ht="20.399999999999999">
      <c r="A94" s="129" t="s">
        <v>201</v>
      </c>
      <c r="B94" s="123" t="s">
        <v>88</v>
      </c>
      <c r="C94" s="193">
        <v>11445616</v>
      </c>
      <c r="D94" s="103">
        <v>11538276</v>
      </c>
      <c r="E94" s="228">
        <f t="shared" ref="E94:G94" si="94">E95+E96+E98+E116</f>
        <v>0</v>
      </c>
      <c r="F94" s="228">
        <f t="shared" si="94"/>
        <v>0</v>
      </c>
      <c r="G94" s="228">
        <f t="shared" si="94"/>
        <v>1437539</v>
      </c>
      <c r="H94" s="229">
        <f t="shared" si="73"/>
        <v>12975815</v>
      </c>
      <c r="I94" s="228">
        <v>11538276</v>
      </c>
      <c r="J94" s="228">
        <f t="shared" ref="J94:L94" si="95">J95+J96+J98+J116</f>
        <v>0</v>
      </c>
      <c r="K94" s="228">
        <f t="shared" si="95"/>
        <v>0</v>
      </c>
      <c r="L94" s="228">
        <f t="shared" si="95"/>
        <v>2109451</v>
      </c>
      <c r="M94" s="229">
        <f t="shared" si="74"/>
        <v>13647727</v>
      </c>
      <c r="N94" s="228">
        <v>11445616</v>
      </c>
      <c r="O94" s="228">
        <f t="shared" ref="O94:Q94" si="96">O95+O96+O98+O116</f>
        <v>0</v>
      </c>
      <c r="P94" s="228">
        <f t="shared" si="96"/>
        <v>0</v>
      </c>
      <c r="Q94" s="227">
        <f t="shared" si="96"/>
        <v>1294208</v>
      </c>
      <c r="R94" s="229">
        <f t="shared" si="75"/>
        <v>12739824</v>
      </c>
    </row>
    <row r="95" spans="1:18" s="6" customFormat="1" ht="22.8">
      <c r="A95" s="130" t="s">
        <v>177</v>
      </c>
      <c r="B95" s="124" t="s">
        <v>90</v>
      </c>
      <c r="C95" s="198">
        <v>4024</v>
      </c>
      <c r="D95" s="119">
        <v>4024</v>
      </c>
      <c r="E95" s="231"/>
      <c r="F95" s="231"/>
      <c r="G95" s="231">
        <v>0</v>
      </c>
      <c r="H95" s="232">
        <f t="shared" si="73"/>
        <v>4024</v>
      </c>
      <c r="I95" s="231">
        <v>4024</v>
      </c>
      <c r="J95" s="231"/>
      <c r="K95" s="231"/>
      <c r="L95" s="231"/>
      <c r="M95" s="232">
        <f t="shared" si="74"/>
        <v>4024</v>
      </c>
      <c r="N95" s="231">
        <v>4024</v>
      </c>
      <c r="O95" s="231"/>
      <c r="P95" s="231"/>
      <c r="Q95" s="230"/>
      <c r="R95" s="232">
        <f t="shared" si="75"/>
        <v>4024</v>
      </c>
    </row>
    <row r="96" spans="1:18" s="6" customFormat="1" ht="12" hidden="1" customHeight="1">
      <c r="A96" s="130" t="s">
        <v>91</v>
      </c>
      <c r="B96" s="124" t="s">
        <v>92</v>
      </c>
      <c r="C96" s="198"/>
      <c r="D96" s="119">
        <v>0</v>
      </c>
      <c r="E96" s="231"/>
      <c r="F96" s="231"/>
      <c r="G96" s="231"/>
      <c r="H96" s="232">
        <f t="shared" si="73"/>
        <v>0</v>
      </c>
      <c r="I96" s="231">
        <v>0</v>
      </c>
      <c r="J96" s="231"/>
      <c r="K96" s="231"/>
      <c r="L96" s="231"/>
      <c r="M96" s="232">
        <f t="shared" si="74"/>
        <v>0</v>
      </c>
      <c r="N96" s="231">
        <v>0</v>
      </c>
      <c r="O96" s="231"/>
      <c r="P96" s="231"/>
      <c r="Q96" s="230"/>
      <c r="R96" s="232">
        <f t="shared" si="75"/>
        <v>0</v>
      </c>
    </row>
    <row r="97" spans="1:18" s="6" customFormat="1" ht="24" hidden="1" customHeight="1">
      <c r="A97" s="131">
        <v>21210</v>
      </c>
      <c r="B97" s="125" t="s">
        <v>93</v>
      </c>
      <c r="C97" s="198"/>
      <c r="D97" s="119">
        <v>0</v>
      </c>
      <c r="E97" s="231"/>
      <c r="F97" s="231"/>
      <c r="G97" s="231"/>
      <c r="H97" s="232">
        <f t="shared" si="73"/>
        <v>0</v>
      </c>
      <c r="I97" s="231">
        <v>0</v>
      </c>
      <c r="J97" s="231"/>
      <c r="K97" s="231"/>
      <c r="L97" s="231"/>
      <c r="M97" s="232">
        <f t="shared" si="74"/>
        <v>0</v>
      </c>
      <c r="N97" s="231">
        <v>0</v>
      </c>
      <c r="O97" s="231"/>
      <c r="P97" s="231"/>
      <c r="Q97" s="230"/>
      <c r="R97" s="232">
        <f t="shared" si="75"/>
        <v>0</v>
      </c>
    </row>
    <row r="98" spans="1:18" s="6" customFormat="1" ht="21" hidden="1" customHeight="1">
      <c r="A98" s="130" t="s">
        <v>178</v>
      </c>
      <c r="B98" s="124" t="s">
        <v>94</v>
      </c>
      <c r="C98" s="162">
        <v>0</v>
      </c>
      <c r="D98" s="114">
        <v>0</v>
      </c>
      <c r="E98" s="233">
        <f t="shared" ref="E98:G98" si="97">E99+E105</f>
        <v>0</v>
      </c>
      <c r="F98" s="233">
        <f t="shared" si="97"/>
        <v>0</v>
      </c>
      <c r="G98" s="233">
        <f t="shared" si="97"/>
        <v>0</v>
      </c>
      <c r="H98" s="232">
        <f t="shared" si="73"/>
        <v>0</v>
      </c>
      <c r="I98" s="233">
        <v>0</v>
      </c>
      <c r="J98" s="233">
        <f t="shared" ref="J98:L98" si="98">J99+J105</f>
        <v>0</v>
      </c>
      <c r="K98" s="233">
        <f t="shared" si="98"/>
        <v>0</v>
      </c>
      <c r="L98" s="233">
        <f t="shared" si="98"/>
        <v>0</v>
      </c>
      <c r="M98" s="232">
        <f t="shared" si="74"/>
        <v>0</v>
      </c>
      <c r="N98" s="233">
        <v>0</v>
      </c>
      <c r="O98" s="233">
        <f t="shared" ref="O98:Q98" si="99">O99+O105</f>
        <v>0</v>
      </c>
      <c r="P98" s="233">
        <f t="shared" si="99"/>
        <v>0</v>
      </c>
      <c r="Q98" s="232">
        <f t="shared" si="99"/>
        <v>0</v>
      </c>
      <c r="R98" s="232">
        <f t="shared" si="75"/>
        <v>0</v>
      </c>
    </row>
    <row r="99" spans="1:18" s="6" customFormat="1" ht="12" hidden="1" customHeight="1">
      <c r="A99" s="132">
        <v>18000</v>
      </c>
      <c r="B99" s="125" t="s">
        <v>95</v>
      </c>
      <c r="C99" s="162">
        <v>0</v>
      </c>
      <c r="D99" s="114">
        <v>0</v>
      </c>
      <c r="E99" s="233">
        <f t="shared" ref="E99:L100" si="100">E100</f>
        <v>0</v>
      </c>
      <c r="F99" s="233">
        <f t="shared" si="100"/>
        <v>0</v>
      </c>
      <c r="G99" s="233">
        <f t="shared" si="100"/>
        <v>0</v>
      </c>
      <c r="H99" s="232">
        <f t="shared" si="73"/>
        <v>0</v>
      </c>
      <c r="I99" s="233">
        <v>0</v>
      </c>
      <c r="J99" s="233">
        <f t="shared" si="100"/>
        <v>0</v>
      </c>
      <c r="K99" s="233">
        <f t="shared" si="100"/>
        <v>0</v>
      </c>
      <c r="L99" s="233">
        <f t="shared" si="100"/>
        <v>0</v>
      </c>
      <c r="M99" s="232">
        <f t="shared" si="74"/>
        <v>0</v>
      </c>
      <c r="N99" s="233">
        <v>0</v>
      </c>
      <c r="O99" s="233">
        <f t="shared" ref="O99:Q100" si="101">O100</f>
        <v>0</v>
      </c>
      <c r="P99" s="233">
        <f t="shared" si="101"/>
        <v>0</v>
      </c>
      <c r="Q99" s="232">
        <f t="shared" si="101"/>
        <v>0</v>
      </c>
      <c r="R99" s="232">
        <f t="shared" si="75"/>
        <v>0</v>
      </c>
    </row>
    <row r="100" spans="1:18" s="6" customFormat="1" ht="12" hidden="1" customHeight="1">
      <c r="A100" s="132">
        <v>18100</v>
      </c>
      <c r="B100" s="125" t="s">
        <v>96</v>
      </c>
      <c r="C100" s="162">
        <v>0</v>
      </c>
      <c r="D100" s="114">
        <v>0</v>
      </c>
      <c r="E100" s="233">
        <f t="shared" si="100"/>
        <v>0</v>
      </c>
      <c r="F100" s="233">
        <f t="shared" si="100"/>
        <v>0</v>
      </c>
      <c r="G100" s="233">
        <f t="shared" si="100"/>
        <v>0</v>
      </c>
      <c r="H100" s="232">
        <f t="shared" si="73"/>
        <v>0</v>
      </c>
      <c r="I100" s="233">
        <v>0</v>
      </c>
      <c r="J100" s="233">
        <f t="shared" si="100"/>
        <v>0</v>
      </c>
      <c r="K100" s="233">
        <f t="shared" si="100"/>
        <v>0</v>
      </c>
      <c r="L100" s="233">
        <f t="shared" si="100"/>
        <v>0</v>
      </c>
      <c r="M100" s="232">
        <f t="shared" si="74"/>
        <v>0</v>
      </c>
      <c r="N100" s="233">
        <v>0</v>
      </c>
      <c r="O100" s="233">
        <f t="shared" si="101"/>
        <v>0</v>
      </c>
      <c r="P100" s="233">
        <f t="shared" si="101"/>
        <v>0</v>
      </c>
      <c r="Q100" s="232">
        <f t="shared" si="101"/>
        <v>0</v>
      </c>
      <c r="R100" s="232">
        <f t="shared" si="75"/>
        <v>0</v>
      </c>
    </row>
    <row r="101" spans="1:18" s="6" customFormat="1" ht="24" hidden="1" customHeight="1">
      <c r="A101" s="133">
        <v>18130</v>
      </c>
      <c r="B101" s="172" t="s">
        <v>159</v>
      </c>
      <c r="C101" s="162">
        <v>0</v>
      </c>
      <c r="D101" s="114">
        <v>0</v>
      </c>
      <c r="E101" s="233">
        <f t="shared" ref="E101:G101" si="102">SUM(E102:E104)</f>
        <v>0</v>
      </c>
      <c r="F101" s="233">
        <f t="shared" ref="F101" si="103">SUM(F102:F104)</f>
        <v>0</v>
      </c>
      <c r="G101" s="233">
        <f t="shared" si="102"/>
        <v>0</v>
      </c>
      <c r="H101" s="232">
        <f t="shared" si="73"/>
        <v>0</v>
      </c>
      <c r="I101" s="233">
        <v>0</v>
      </c>
      <c r="J101" s="233">
        <f t="shared" ref="J101:L101" si="104">SUM(J102:J104)</f>
        <v>0</v>
      </c>
      <c r="K101" s="233">
        <f t="shared" si="104"/>
        <v>0</v>
      </c>
      <c r="L101" s="233">
        <f t="shared" si="104"/>
        <v>0</v>
      </c>
      <c r="M101" s="232">
        <f t="shared" si="74"/>
        <v>0</v>
      </c>
      <c r="N101" s="233">
        <v>0</v>
      </c>
      <c r="O101" s="233">
        <f t="shared" ref="O101:Q101" si="105">SUM(O102:O104)</f>
        <v>0</v>
      </c>
      <c r="P101" s="233">
        <f t="shared" si="105"/>
        <v>0</v>
      </c>
      <c r="Q101" s="232">
        <f t="shared" si="105"/>
        <v>0</v>
      </c>
      <c r="R101" s="232">
        <f t="shared" si="75"/>
        <v>0</v>
      </c>
    </row>
    <row r="102" spans="1:18" s="6" customFormat="1" ht="36" hidden="1" customHeight="1">
      <c r="A102" s="134">
        <v>18131</v>
      </c>
      <c r="B102" s="172" t="s">
        <v>160</v>
      </c>
      <c r="C102" s="162"/>
      <c r="D102" s="114">
        <v>0</v>
      </c>
      <c r="E102" s="233"/>
      <c r="F102" s="233"/>
      <c r="G102" s="233"/>
      <c r="H102" s="232">
        <f t="shared" si="73"/>
        <v>0</v>
      </c>
      <c r="I102" s="233">
        <v>0</v>
      </c>
      <c r="J102" s="233"/>
      <c r="K102" s="233"/>
      <c r="L102" s="233"/>
      <c r="M102" s="232">
        <f t="shared" si="74"/>
        <v>0</v>
      </c>
      <c r="N102" s="233">
        <v>0</v>
      </c>
      <c r="O102" s="233"/>
      <c r="P102" s="233"/>
      <c r="Q102" s="232"/>
      <c r="R102" s="232">
        <f t="shared" si="75"/>
        <v>0</v>
      </c>
    </row>
    <row r="103" spans="1:18" s="6" customFormat="1" ht="24" hidden="1" customHeight="1">
      <c r="A103" s="134">
        <v>18132</v>
      </c>
      <c r="B103" s="172" t="s">
        <v>169</v>
      </c>
      <c r="C103" s="162"/>
      <c r="D103" s="114">
        <v>0</v>
      </c>
      <c r="E103" s="233"/>
      <c r="F103" s="233"/>
      <c r="G103" s="233"/>
      <c r="H103" s="232">
        <f t="shared" si="73"/>
        <v>0</v>
      </c>
      <c r="I103" s="233">
        <v>0</v>
      </c>
      <c r="J103" s="233"/>
      <c r="K103" s="233"/>
      <c r="L103" s="233"/>
      <c r="M103" s="232">
        <f t="shared" si="74"/>
        <v>0</v>
      </c>
      <c r="N103" s="233">
        <v>0</v>
      </c>
      <c r="O103" s="233"/>
      <c r="P103" s="233"/>
      <c r="Q103" s="232"/>
      <c r="R103" s="232">
        <f t="shared" si="75"/>
        <v>0</v>
      </c>
    </row>
    <row r="104" spans="1:18" s="6" customFormat="1" ht="24" hidden="1" customHeight="1">
      <c r="A104" s="134">
        <v>18139</v>
      </c>
      <c r="B104" s="172" t="s">
        <v>179</v>
      </c>
      <c r="C104" s="162"/>
      <c r="D104" s="114">
        <v>0</v>
      </c>
      <c r="E104" s="233"/>
      <c r="F104" s="233"/>
      <c r="G104" s="233"/>
      <c r="H104" s="232">
        <f t="shared" si="73"/>
        <v>0</v>
      </c>
      <c r="I104" s="233">
        <v>0</v>
      </c>
      <c r="J104" s="233"/>
      <c r="K104" s="233"/>
      <c r="L104" s="233"/>
      <c r="M104" s="232">
        <f t="shared" si="74"/>
        <v>0</v>
      </c>
      <c r="N104" s="233">
        <v>0</v>
      </c>
      <c r="O104" s="233"/>
      <c r="P104" s="233"/>
      <c r="Q104" s="232"/>
      <c r="R104" s="232">
        <f t="shared" si="75"/>
        <v>0</v>
      </c>
    </row>
    <row r="105" spans="1:18" s="6" customFormat="1" ht="12" hidden="1" customHeight="1">
      <c r="A105" s="135" t="s">
        <v>180</v>
      </c>
      <c r="B105" s="173" t="s">
        <v>173</v>
      </c>
      <c r="C105" s="214">
        <v>0</v>
      </c>
      <c r="D105" s="215">
        <v>0</v>
      </c>
      <c r="E105" s="238">
        <f t="shared" ref="E105:L105" si="106">E106</f>
        <v>0</v>
      </c>
      <c r="F105" s="238">
        <f t="shared" si="106"/>
        <v>0</v>
      </c>
      <c r="G105" s="238">
        <f t="shared" si="106"/>
        <v>0</v>
      </c>
      <c r="H105" s="232">
        <f t="shared" si="73"/>
        <v>0</v>
      </c>
      <c r="I105" s="238">
        <v>0</v>
      </c>
      <c r="J105" s="238">
        <f t="shared" si="106"/>
        <v>0</v>
      </c>
      <c r="K105" s="238">
        <f t="shared" si="106"/>
        <v>0</v>
      </c>
      <c r="L105" s="238">
        <f t="shared" si="106"/>
        <v>0</v>
      </c>
      <c r="M105" s="232">
        <f t="shared" si="74"/>
        <v>0</v>
      </c>
      <c r="N105" s="238">
        <v>0</v>
      </c>
      <c r="O105" s="238">
        <f t="shared" ref="O105:Q105" si="107">O106</f>
        <v>0</v>
      </c>
      <c r="P105" s="238">
        <f t="shared" si="107"/>
        <v>0</v>
      </c>
      <c r="Q105" s="237">
        <f t="shared" si="107"/>
        <v>0</v>
      </c>
      <c r="R105" s="232">
        <f t="shared" si="75"/>
        <v>0</v>
      </c>
    </row>
    <row r="106" spans="1:18" s="6" customFormat="1" ht="24" hidden="1" customHeight="1">
      <c r="A106" s="135">
        <v>19500</v>
      </c>
      <c r="B106" s="172" t="s">
        <v>174</v>
      </c>
      <c r="C106" s="162">
        <v>0</v>
      </c>
      <c r="D106" s="114">
        <v>0</v>
      </c>
      <c r="E106" s="233">
        <f t="shared" ref="E106:G106" si="108">SUM(E107:E109)</f>
        <v>0</v>
      </c>
      <c r="F106" s="233">
        <f t="shared" si="108"/>
        <v>0</v>
      </c>
      <c r="G106" s="233">
        <f t="shared" si="108"/>
        <v>0</v>
      </c>
      <c r="H106" s="232">
        <f t="shared" si="73"/>
        <v>0</v>
      </c>
      <c r="I106" s="233">
        <v>0</v>
      </c>
      <c r="J106" s="233">
        <f t="shared" ref="J106:L106" si="109">SUM(J107:J109)</f>
        <v>0</v>
      </c>
      <c r="K106" s="233">
        <f t="shared" si="109"/>
        <v>0</v>
      </c>
      <c r="L106" s="233">
        <f t="shared" si="109"/>
        <v>0</v>
      </c>
      <c r="M106" s="232">
        <f t="shared" si="74"/>
        <v>0</v>
      </c>
      <c r="N106" s="233">
        <v>0</v>
      </c>
      <c r="O106" s="233">
        <f t="shared" ref="O106:Q106" si="110">SUM(O107:O109)</f>
        <v>0</v>
      </c>
      <c r="P106" s="233">
        <f t="shared" si="110"/>
        <v>0</v>
      </c>
      <c r="Q106" s="232">
        <f t="shared" si="110"/>
        <v>0</v>
      </c>
      <c r="R106" s="232">
        <f t="shared" si="75"/>
        <v>0</v>
      </c>
    </row>
    <row r="107" spans="1:18" s="6" customFormat="1" ht="24" hidden="1" customHeight="1">
      <c r="A107" s="136">
        <v>19550</v>
      </c>
      <c r="B107" s="172" t="s">
        <v>175</v>
      </c>
      <c r="C107" s="162"/>
      <c r="D107" s="114">
        <v>0</v>
      </c>
      <c r="E107" s="233"/>
      <c r="F107" s="233"/>
      <c r="G107" s="233"/>
      <c r="H107" s="232">
        <f t="shared" si="73"/>
        <v>0</v>
      </c>
      <c r="I107" s="233">
        <v>0</v>
      </c>
      <c r="J107" s="233"/>
      <c r="K107" s="233"/>
      <c r="L107" s="233"/>
      <c r="M107" s="232">
        <f t="shared" si="74"/>
        <v>0</v>
      </c>
      <c r="N107" s="233">
        <v>0</v>
      </c>
      <c r="O107" s="233"/>
      <c r="P107" s="233"/>
      <c r="Q107" s="232"/>
      <c r="R107" s="232">
        <f t="shared" si="75"/>
        <v>0</v>
      </c>
    </row>
    <row r="108" spans="1:18" s="6" customFormat="1" ht="36" hidden="1" customHeight="1">
      <c r="A108" s="136">
        <v>19560</v>
      </c>
      <c r="B108" s="172" t="s">
        <v>181</v>
      </c>
      <c r="C108" s="162"/>
      <c r="D108" s="114">
        <v>0</v>
      </c>
      <c r="E108" s="233"/>
      <c r="F108" s="233"/>
      <c r="G108" s="233"/>
      <c r="H108" s="232">
        <f t="shared" si="73"/>
        <v>0</v>
      </c>
      <c r="I108" s="233">
        <v>0</v>
      </c>
      <c r="J108" s="233"/>
      <c r="K108" s="233"/>
      <c r="L108" s="233"/>
      <c r="M108" s="232">
        <f t="shared" si="74"/>
        <v>0</v>
      </c>
      <c r="N108" s="233">
        <v>0</v>
      </c>
      <c r="O108" s="233"/>
      <c r="P108" s="233"/>
      <c r="Q108" s="232"/>
      <c r="R108" s="232">
        <f t="shared" si="75"/>
        <v>0</v>
      </c>
    </row>
    <row r="109" spans="1:18" s="6" customFormat="1" ht="72" hidden="1" customHeight="1">
      <c r="A109" s="136">
        <v>19570</v>
      </c>
      <c r="B109" s="172" t="s">
        <v>182</v>
      </c>
      <c r="C109" s="162"/>
      <c r="D109" s="114">
        <v>0</v>
      </c>
      <c r="E109" s="233"/>
      <c r="F109" s="233"/>
      <c r="G109" s="233"/>
      <c r="H109" s="232">
        <f t="shared" si="73"/>
        <v>0</v>
      </c>
      <c r="I109" s="233">
        <v>0</v>
      </c>
      <c r="J109" s="233"/>
      <c r="K109" s="233"/>
      <c r="L109" s="233"/>
      <c r="M109" s="232">
        <f t="shared" si="74"/>
        <v>0</v>
      </c>
      <c r="N109" s="233">
        <v>0</v>
      </c>
      <c r="O109" s="233"/>
      <c r="P109" s="233"/>
      <c r="Q109" s="232"/>
      <c r="R109" s="232">
        <f t="shared" si="75"/>
        <v>0</v>
      </c>
    </row>
    <row r="110" spans="1:18" s="6" customFormat="1" ht="36" hidden="1" customHeight="1">
      <c r="A110" s="209" t="s">
        <v>222</v>
      </c>
      <c r="B110" s="208" t="s">
        <v>216</v>
      </c>
      <c r="C110" s="162">
        <f>C111</f>
        <v>0</v>
      </c>
      <c r="D110" s="162">
        <v>0</v>
      </c>
      <c r="E110" s="232">
        <f t="shared" ref="E110:L110" si="111">E111</f>
        <v>0</v>
      </c>
      <c r="F110" s="232">
        <f t="shared" si="111"/>
        <v>0</v>
      </c>
      <c r="G110" s="233">
        <f t="shared" si="111"/>
        <v>0</v>
      </c>
      <c r="H110" s="232">
        <f t="shared" si="73"/>
        <v>0</v>
      </c>
      <c r="I110" s="233">
        <v>0</v>
      </c>
      <c r="J110" s="232">
        <f t="shared" si="111"/>
        <v>0</v>
      </c>
      <c r="K110" s="232">
        <f t="shared" si="111"/>
        <v>0</v>
      </c>
      <c r="L110" s="233">
        <f t="shared" si="111"/>
        <v>0</v>
      </c>
      <c r="M110" s="232">
        <f t="shared" si="74"/>
        <v>0</v>
      </c>
      <c r="N110" s="233">
        <v>0</v>
      </c>
      <c r="O110" s="232">
        <f t="shared" ref="O110:Q110" si="112">O111</f>
        <v>0</v>
      </c>
      <c r="P110" s="232">
        <f t="shared" si="112"/>
        <v>0</v>
      </c>
      <c r="Q110" s="232">
        <f t="shared" si="112"/>
        <v>0</v>
      </c>
      <c r="R110" s="232">
        <f t="shared" si="75"/>
        <v>0</v>
      </c>
    </row>
    <row r="111" spans="1:18" s="6" customFormat="1" ht="36" hidden="1" customHeight="1">
      <c r="A111" s="209">
        <v>17100</v>
      </c>
      <c r="B111" s="208" t="s">
        <v>217</v>
      </c>
      <c r="C111" s="162">
        <f>SUM(C112:C115)</f>
        <v>0</v>
      </c>
      <c r="D111" s="162">
        <v>0</v>
      </c>
      <c r="E111" s="232">
        <f t="shared" ref="E111:G111" si="113">SUM(E112:E115)</f>
        <v>0</v>
      </c>
      <c r="F111" s="232">
        <f t="shared" si="113"/>
        <v>0</v>
      </c>
      <c r="G111" s="233">
        <f t="shared" si="113"/>
        <v>0</v>
      </c>
      <c r="H111" s="232">
        <f t="shared" si="73"/>
        <v>0</v>
      </c>
      <c r="I111" s="233">
        <v>0</v>
      </c>
      <c r="J111" s="232">
        <f t="shared" ref="J111:L111" si="114">SUM(J112:J115)</f>
        <v>0</v>
      </c>
      <c r="K111" s="232">
        <f t="shared" si="114"/>
        <v>0</v>
      </c>
      <c r="L111" s="233">
        <f t="shared" si="114"/>
        <v>0</v>
      </c>
      <c r="M111" s="232">
        <f t="shared" si="74"/>
        <v>0</v>
      </c>
      <c r="N111" s="233">
        <v>0</v>
      </c>
      <c r="O111" s="232">
        <f t="shared" ref="O111:Q111" si="115">SUM(O112:O115)</f>
        <v>0</v>
      </c>
      <c r="P111" s="232">
        <f t="shared" si="115"/>
        <v>0</v>
      </c>
      <c r="Q111" s="232">
        <f t="shared" si="115"/>
        <v>0</v>
      </c>
      <c r="R111" s="232">
        <f t="shared" si="75"/>
        <v>0</v>
      </c>
    </row>
    <row r="112" spans="1:18" s="6" customFormat="1" ht="60" hidden="1" customHeight="1">
      <c r="A112" s="149">
        <v>17110</v>
      </c>
      <c r="B112" s="208" t="s">
        <v>218</v>
      </c>
      <c r="C112" s="162"/>
      <c r="D112" s="114">
        <v>0</v>
      </c>
      <c r="E112" s="233"/>
      <c r="F112" s="233"/>
      <c r="G112" s="233"/>
      <c r="H112" s="232">
        <f t="shared" si="73"/>
        <v>0</v>
      </c>
      <c r="I112" s="233">
        <v>0</v>
      </c>
      <c r="J112" s="233"/>
      <c r="K112" s="233"/>
      <c r="L112" s="233"/>
      <c r="M112" s="232">
        <f t="shared" si="74"/>
        <v>0</v>
      </c>
      <c r="N112" s="233">
        <v>0</v>
      </c>
      <c r="O112" s="233"/>
      <c r="P112" s="233"/>
      <c r="Q112" s="232"/>
      <c r="R112" s="232">
        <f t="shared" si="75"/>
        <v>0</v>
      </c>
    </row>
    <row r="113" spans="1:18" s="6" customFormat="1" ht="60" hidden="1" customHeight="1">
      <c r="A113" s="149">
        <v>17120</v>
      </c>
      <c r="B113" s="208" t="s">
        <v>219</v>
      </c>
      <c r="C113" s="162"/>
      <c r="D113" s="114">
        <v>0</v>
      </c>
      <c r="E113" s="233"/>
      <c r="F113" s="233"/>
      <c r="G113" s="233"/>
      <c r="H113" s="232">
        <f t="shared" si="73"/>
        <v>0</v>
      </c>
      <c r="I113" s="233">
        <v>0</v>
      </c>
      <c r="J113" s="233"/>
      <c r="K113" s="233"/>
      <c r="L113" s="233"/>
      <c r="M113" s="232">
        <f t="shared" si="74"/>
        <v>0</v>
      </c>
      <c r="N113" s="233">
        <v>0</v>
      </c>
      <c r="O113" s="233"/>
      <c r="P113" s="233"/>
      <c r="Q113" s="232"/>
      <c r="R113" s="232">
        <f t="shared" si="75"/>
        <v>0</v>
      </c>
    </row>
    <row r="114" spans="1:18" s="6" customFormat="1" ht="108" hidden="1" customHeight="1">
      <c r="A114" s="149">
        <v>17130</v>
      </c>
      <c r="B114" s="208" t="s">
        <v>220</v>
      </c>
      <c r="C114" s="162"/>
      <c r="D114" s="114">
        <v>0</v>
      </c>
      <c r="E114" s="233"/>
      <c r="F114" s="233"/>
      <c r="G114" s="233"/>
      <c r="H114" s="232">
        <f t="shared" si="73"/>
        <v>0</v>
      </c>
      <c r="I114" s="233">
        <v>0</v>
      </c>
      <c r="J114" s="233"/>
      <c r="K114" s="233"/>
      <c r="L114" s="233"/>
      <c r="M114" s="232">
        <f t="shared" si="74"/>
        <v>0</v>
      </c>
      <c r="N114" s="233">
        <v>0</v>
      </c>
      <c r="O114" s="233"/>
      <c r="P114" s="233"/>
      <c r="Q114" s="232"/>
      <c r="R114" s="232">
        <f t="shared" si="75"/>
        <v>0</v>
      </c>
    </row>
    <row r="115" spans="1:18" s="6" customFormat="1" ht="108" hidden="1" customHeight="1">
      <c r="A115" s="149">
        <v>17140</v>
      </c>
      <c r="B115" s="208" t="s">
        <v>221</v>
      </c>
      <c r="C115" s="162"/>
      <c r="D115" s="114">
        <v>0</v>
      </c>
      <c r="E115" s="233"/>
      <c r="F115" s="233"/>
      <c r="G115" s="233"/>
      <c r="H115" s="232">
        <f t="shared" si="73"/>
        <v>0</v>
      </c>
      <c r="I115" s="233">
        <v>0</v>
      </c>
      <c r="J115" s="233"/>
      <c r="K115" s="233"/>
      <c r="L115" s="233"/>
      <c r="M115" s="232">
        <f t="shared" si="74"/>
        <v>0</v>
      </c>
      <c r="N115" s="233">
        <v>0</v>
      </c>
      <c r="O115" s="233"/>
      <c r="P115" s="233"/>
      <c r="Q115" s="232"/>
      <c r="R115" s="232">
        <f t="shared" si="75"/>
        <v>0</v>
      </c>
    </row>
    <row r="116" spans="1:18" s="6" customFormat="1" ht="12">
      <c r="A116" s="137">
        <v>21700</v>
      </c>
      <c r="B116" s="124" t="s">
        <v>97</v>
      </c>
      <c r="C116" s="162">
        <v>11441592</v>
      </c>
      <c r="D116" s="114">
        <v>11534252</v>
      </c>
      <c r="E116" s="233">
        <f t="shared" ref="E116:G116" si="116">E117+E118</f>
        <v>0</v>
      </c>
      <c r="F116" s="233">
        <f t="shared" si="116"/>
        <v>0</v>
      </c>
      <c r="G116" s="233">
        <f t="shared" si="116"/>
        <v>1437539</v>
      </c>
      <c r="H116" s="232">
        <f t="shared" si="73"/>
        <v>12971791</v>
      </c>
      <c r="I116" s="233">
        <v>11534252</v>
      </c>
      <c r="J116" s="233">
        <f t="shared" ref="J116:L116" si="117">J117+J118</f>
        <v>0</v>
      </c>
      <c r="K116" s="233">
        <f t="shared" si="117"/>
        <v>0</v>
      </c>
      <c r="L116" s="233">
        <f t="shared" si="117"/>
        <v>2109451</v>
      </c>
      <c r="M116" s="232">
        <f t="shared" si="74"/>
        <v>13643703</v>
      </c>
      <c r="N116" s="233">
        <v>11441592</v>
      </c>
      <c r="O116" s="233">
        <f t="shared" ref="O116:Q116" si="118">O117+O118</f>
        <v>0</v>
      </c>
      <c r="P116" s="233">
        <f t="shared" si="118"/>
        <v>0</v>
      </c>
      <c r="Q116" s="232">
        <f t="shared" si="118"/>
        <v>1294208</v>
      </c>
      <c r="R116" s="232">
        <f t="shared" si="75"/>
        <v>12735800</v>
      </c>
    </row>
    <row r="117" spans="1:18" s="6" customFormat="1" ht="24">
      <c r="A117" s="138">
        <v>21710</v>
      </c>
      <c r="B117" s="125" t="s">
        <v>98</v>
      </c>
      <c r="C117" s="170">
        <v>11441592</v>
      </c>
      <c r="D117" s="171">
        <v>11534252</v>
      </c>
      <c r="E117" s="233"/>
      <c r="F117" s="233"/>
      <c r="G117" s="233">
        <v>1437539</v>
      </c>
      <c r="H117" s="232">
        <f t="shared" si="73"/>
        <v>12971791</v>
      </c>
      <c r="I117" s="233">
        <v>11534252</v>
      </c>
      <c r="J117" s="233"/>
      <c r="K117" s="233"/>
      <c r="L117" s="233">
        <v>2109451</v>
      </c>
      <c r="M117" s="232">
        <f t="shared" si="74"/>
        <v>13643703</v>
      </c>
      <c r="N117" s="233">
        <v>11441592</v>
      </c>
      <c r="O117" s="233"/>
      <c r="P117" s="233"/>
      <c r="Q117" s="232">
        <v>1294208</v>
      </c>
      <c r="R117" s="232">
        <f t="shared" si="75"/>
        <v>12735800</v>
      </c>
    </row>
    <row r="118" spans="1:18" s="6" customFormat="1" ht="24" hidden="1" customHeight="1">
      <c r="A118" s="138">
        <v>21720</v>
      </c>
      <c r="B118" s="125" t="s">
        <v>99</v>
      </c>
      <c r="C118" s="170"/>
      <c r="D118" s="171">
        <v>0</v>
      </c>
      <c r="E118" s="233"/>
      <c r="F118" s="233"/>
      <c r="G118" s="233"/>
      <c r="H118" s="232">
        <f t="shared" si="73"/>
        <v>0</v>
      </c>
      <c r="I118" s="233">
        <v>0</v>
      </c>
      <c r="J118" s="233"/>
      <c r="K118" s="233"/>
      <c r="L118" s="233"/>
      <c r="M118" s="232">
        <f t="shared" si="74"/>
        <v>0</v>
      </c>
      <c r="N118" s="233">
        <v>0</v>
      </c>
      <c r="O118" s="233"/>
      <c r="P118" s="233"/>
      <c r="Q118" s="232"/>
      <c r="R118" s="232">
        <f t="shared" si="75"/>
        <v>0</v>
      </c>
    </row>
    <row r="119" spans="1:18" s="6" customFormat="1" ht="11.4">
      <c r="A119" s="129" t="s">
        <v>100</v>
      </c>
      <c r="B119" s="123" t="s">
        <v>101</v>
      </c>
      <c r="C119" s="168">
        <v>11445616</v>
      </c>
      <c r="D119" s="175">
        <v>11538276</v>
      </c>
      <c r="E119" s="243">
        <f t="shared" ref="E119:G119" si="119">E120+E147</f>
        <v>0</v>
      </c>
      <c r="F119" s="243">
        <f t="shared" si="119"/>
        <v>0</v>
      </c>
      <c r="G119" s="243">
        <f t="shared" si="119"/>
        <v>1437539</v>
      </c>
      <c r="H119" s="229">
        <f t="shared" si="73"/>
        <v>12975815</v>
      </c>
      <c r="I119" s="243">
        <v>11538276</v>
      </c>
      <c r="J119" s="243">
        <f t="shared" ref="J119:L119" si="120">J120+J147</f>
        <v>0</v>
      </c>
      <c r="K119" s="243">
        <f t="shared" si="120"/>
        <v>0</v>
      </c>
      <c r="L119" s="243">
        <f t="shared" si="120"/>
        <v>2109451</v>
      </c>
      <c r="M119" s="229">
        <f t="shared" si="74"/>
        <v>13647727</v>
      </c>
      <c r="N119" s="243">
        <v>11445616</v>
      </c>
      <c r="O119" s="243">
        <f t="shared" ref="O119:Q119" si="121">O120+O147</f>
        <v>0</v>
      </c>
      <c r="P119" s="243">
        <f t="shared" si="121"/>
        <v>0</v>
      </c>
      <c r="Q119" s="229">
        <f t="shared" si="121"/>
        <v>1294208</v>
      </c>
      <c r="R119" s="229">
        <f t="shared" si="75"/>
        <v>12739824</v>
      </c>
    </row>
    <row r="120" spans="1:18" s="6" customFormat="1" ht="20.399999999999999">
      <c r="A120" s="130" t="s">
        <v>102</v>
      </c>
      <c r="B120" s="124" t="s">
        <v>103</v>
      </c>
      <c r="C120" s="162">
        <v>11444616</v>
      </c>
      <c r="D120" s="162">
        <v>11537276</v>
      </c>
      <c r="E120" s="233">
        <f t="shared" ref="E120:G120" si="122">E121+E125+E126+E129+E132</f>
        <v>0</v>
      </c>
      <c r="F120" s="233">
        <f t="shared" si="122"/>
        <v>0</v>
      </c>
      <c r="G120" s="233">
        <f t="shared" si="122"/>
        <v>1437539</v>
      </c>
      <c r="H120" s="232">
        <f t="shared" si="73"/>
        <v>12974815</v>
      </c>
      <c r="I120" s="233">
        <v>11537276</v>
      </c>
      <c r="J120" s="233">
        <f t="shared" ref="J120:L120" si="123">J121+J125+J126+J129+J132</f>
        <v>0</v>
      </c>
      <c r="K120" s="233">
        <f t="shared" si="123"/>
        <v>0</v>
      </c>
      <c r="L120" s="233">
        <f t="shared" si="123"/>
        <v>2109451</v>
      </c>
      <c r="M120" s="232">
        <f t="shared" si="74"/>
        <v>13646727</v>
      </c>
      <c r="N120" s="233">
        <v>11444616</v>
      </c>
      <c r="O120" s="233">
        <f t="shared" ref="O120:Q120" si="124">O121+O125+O126+O129+O132</f>
        <v>0</v>
      </c>
      <c r="P120" s="233">
        <f t="shared" si="124"/>
        <v>0</v>
      </c>
      <c r="Q120" s="232">
        <f t="shared" si="124"/>
        <v>1294208</v>
      </c>
      <c r="R120" s="232">
        <f t="shared" si="75"/>
        <v>12738824</v>
      </c>
    </row>
    <row r="121" spans="1:18" s="6" customFormat="1" ht="12">
      <c r="A121" s="130" t="s">
        <v>104</v>
      </c>
      <c r="B121" s="124" t="s">
        <v>105</v>
      </c>
      <c r="C121" s="162">
        <v>232247</v>
      </c>
      <c r="D121" s="162">
        <v>232247</v>
      </c>
      <c r="E121" s="233">
        <f t="shared" ref="E121:G121" si="125">E122+E124</f>
        <v>0</v>
      </c>
      <c r="F121" s="233">
        <f t="shared" si="125"/>
        <v>0</v>
      </c>
      <c r="G121" s="233">
        <f t="shared" si="125"/>
        <v>43541</v>
      </c>
      <c r="H121" s="232">
        <f t="shared" si="73"/>
        <v>275788</v>
      </c>
      <c r="I121" s="233">
        <v>232247</v>
      </c>
      <c r="J121" s="233">
        <f t="shared" ref="J121:L121" si="126">J122+J124</f>
        <v>0</v>
      </c>
      <c r="K121" s="233">
        <f t="shared" si="126"/>
        <v>0</v>
      </c>
      <c r="L121" s="233">
        <f t="shared" si="126"/>
        <v>43541</v>
      </c>
      <c r="M121" s="232">
        <f t="shared" si="74"/>
        <v>275788</v>
      </c>
      <c r="N121" s="233">
        <v>232247</v>
      </c>
      <c r="O121" s="233">
        <f t="shared" ref="O121:Q121" si="127">O122+O124</f>
        <v>0</v>
      </c>
      <c r="P121" s="233">
        <f t="shared" si="127"/>
        <v>0</v>
      </c>
      <c r="Q121" s="232">
        <f t="shared" si="127"/>
        <v>43541</v>
      </c>
      <c r="R121" s="232">
        <f t="shared" si="75"/>
        <v>275788</v>
      </c>
    </row>
    <row r="122" spans="1:18" s="29" customFormat="1" ht="12">
      <c r="A122" s="132">
        <v>1000</v>
      </c>
      <c r="B122" s="125" t="s">
        <v>106</v>
      </c>
      <c r="C122" s="170">
        <v>155844</v>
      </c>
      <c r="D122" s="170">
        <v>155844</v>
      </c>
      <c r="E122" s="244"/>
      <c r="F122" s="244"/>
      <c r="G122" s="233">
        <v>43541</v>
      </c>
      <c r="H122" s="232">
        <f t="shared" si="73"/>
        <v>199385</v>
      </c>
      <c r="I122" s="233">
        <v>155844</v>
      </c>
      <c r="J122" s="244"/>
      <c r="K122" s="244"/>
      <c r="L122" s="233">
        <v>43541</v>
      </c>
      <c r="M122" s="232">
        <f t="shared" si="74"/>
        <v>199385</v>
      </c>
      <c r="N122" s="233">
        <v>155844</v>
      </c>
      <c r="O122" s="244"/>
      <c r="P122" s="244"/>
      <c r="Q122" s="232">
        <v>43541</v>
      </c>
      <c r="R122" s="232">
        <f t="shared" si="75"/>
        <v>199385</v>
      </c>
    </row>
    <row r="123" spans="1:18" s="89" customFormat="1" ht="12">
      <c r="A123" s="139">
        <v>1100</v>
      </c>
      <c r="B123" s="125" t="s">
        <v>107</v>
      </c>
      <c r="C123" s="170">
        <v>125000</v>
      </c>
      <c r="D123" s="170">
        <v>125000</v>
      </c>
      <c r="E123" s="244"/>
      <c r="F123" s="244"/>
      <c r="G123" s="233">
        <v>33052</v>
      </c>
      <c r="H123" s="232">
        <f t="shared" si="73"/>
        <v>158052</v>
      </c>
      <c r="I123" s="233">
        <v>125000</v>
      </c>
      <c r="J123" s="244"/>
      <c r="K123" s="244"/>
      <c r="L123" s="233">
        <v>33052</v>
      </c>
      <c r="M123" s="232">
        <f t="shared" si="74"/>
        <v>158052</v>
      </c>
      <c r="N123" s="233">
        <v>125000</v>
      </c>
      <c r="O123" s="244"/>
      <c r="P123" s="244"/>
      <c r="Q123" s="232">
        <v>33052</v>
      </c>
      <c r="R123" s="232">
        <f t="shared" si="75"/>
        <v>158052</v>
      </c>
    </row>
    <row r="124" spans="1:18" s="89" customFormat="1" ht="12">
      <c r="A124" s="132">
        <v>2000</v>
      </c>
      <c r="B124" s="125" t="s">
        <v>108</v>
      </c>
      <c r="C124" s="170">
        <v>76403</v>
      </c>
      <c r="D124" s="170">
        <v>76403</v>
      </c>
      <c r="E124" s="244"/>
      <c r="F124" s="244"/>
      <c r="G124" s="233"/>
      <c r="H124" s="232">
        <f t="shared" si="73"/>
        <v>76403</v>
      </c>
      <c r="I124" s="233">
        <v>76403</v>
      </c>
      <c r="J124" s="244"/>
      <c r="K124" s="244"/>
      <c r="L124" s="233"/>
      <c r="M124" s="232">
        <f t="shared" si="74"/>
        <v>76403</v>
      </c>
      <c r="N124" s="233">
        <v>76403</v>
      </c>
      <c r="O124" s="244"/>
      <c r="P124" s="244"/>
      <c r="Q124" s="232"/>
      <c r="R124" s="232">
        <f t="shared" si="75"/>
        <v>76403</v>
      </c>
    </row>
    <row r="125" spans="1:18" s="89" customFormat="1" ht="12" hidden="1" customHeight="1">
      <c r="A125" s="140">
        <v>4000</v>
      </c>
      <c r="B125" s="124" t="s">
        <v>132</v>
      </c>
      <c r="C125" s="170"/>
      <c r="D125" s="170">
        <v>0</v>
      </c>
      <c r="E125" s="244"/>
      <c r="F125" s="244"/>
      <c r="G125" s="233"/>
      <c r="H125" s="232">
        <f t="shared" si="73"/>
        <v>0</v>
      </c>
      <c r="I125" s="233">
        <v>0</v>
      </c>
      <c r="J125" s="244"/>
      <c r="K125" s="244"/>
      <c r="L125" s="233"/>
      <c r="M125" s="232">
        <f t="shared" si="74"/>
        <v>0</v>
      </c>
      <c r="N125" s="233">
        <v>0</v>
      </c>
      <c r="O125" s="244"/>
      <c r="P125" s="244"/>
      <c r="Q125" s="232"/>
      <c r="R125" s="232">
        <f t="shared" si="75"/>
        <v>0</v>
      </c>
    </row>
    <row r="126" spans="1:18" s="89" customFormat="1" ht="12">
      <c r="A126" s="140" t="s">
        <v>109</v>
      </c>
      <c r="B126" s="124" t="s">
        <v>110</v>
      </c>
      <c r="C126" s="162">
        <v>11210963</v>
      </c>
      <c r="D126" s="162">
        <v>11303623</v>
      </c>
      <c r="E126" s="233">
        <f t="shared" ref="E126:G126" si="128">E127+E128</f>
        <v>0</v>
      </c>
      <c r="F126" s="233">
        <f t="shared" si="128"/>
        <v>0</v>
      </c>
      <c r="G126" s="233">
        <f t="shared" si="128"/>
        <v>1393998</v>
      </c>
      <c r="H126" s="232">
        <f t="shared" si="73"/>
        <v>12697621</v>
      </c>
      <c r="I126" s="233">
        <v>11303623</v>
      </c>
      <c r="J126" s="233">
        <f t="shared" ref="J126:L126" si="129">J127+J128</f>
        <v>0</v>
      </c>
      <c r="K126" s="233">
        <f t="shared" si="129"/>
        <v>0</v>
      </c>
      <c r="L126" s="233">
        <f t="shared" si="129"/>
        <v>2065910</v>
      </c>
      <c r="M126" s="232">
        <f t="shared" si="74"/>
        <v>13369533</v>
      </c>
      <c r="N126" s="233">
        <v>11210963</v>
      </c>
      <c r="O126" s="233">
        <f t="shared" ref="O126:Q126" si="130">O127+O128</f>
        <v>0</v>
      </c>
      <c r="P126" s="233">
        <f t="shared" si="130"/>
        <v>0</v>
      </c>
      <c r="Q126" s="232">
        <f t="shared" si="130"/>
        <v>1250667</v>
      </c>
      <c r="R126" s="232">
        <f t="shared" si="75"/>
        <v>12461630</v>
      </c>
    </row>
    <row r="127" spans="1:18" s="89" customFormat="1" ht="12">
      <c r="A127" s="132">
        <v>3000</v>
      </c>
      <c r="B127" s="125" t="s">
        <v>111</v>
      </c>
      <c r="C127" s="202">
        <v>11210963</v>
      </c>
      <c r="D127" s="202">
        <v>11303623</v>
      </c>
      <c r="E127" s="246"/>
      <c r="F127" s="246"/>
      <c r="G127" s="345">
        <v>1393998</v>
      </c>
      <c r="H127" s="232">
        <f t="shared" si="73"/>
        <v>12697621</v>
      </c>
      <c r="I127" s="345">
        <v>11303623</v>
      </c>
      <c r="J127" s="246"/>
      <c r="K127" s="246"/>
      <c r="L127" s="345">
        <v>2065910</v>
      </c>
      <c r="M127" s="232">
        <f t="shared" si="74"/>
        <v>13369533</v>
      </c>
      <c r="N127" s="345">
        <v>11210963</v>
      </c>
      <c r="O127" s="246"/>
      <c r="P127" s="246"/>
      <c r="Q127" s="245">
        <v>1250667</v>
      </c>
      <c r="R127" s="232">
        <f t="shared" si="75"/>
        <v>12461630</v>
      </c>
    </row>
    <row r="128" spans="1:18" s="89" customFormat="1" ht="12" hidden="1" customHeight="1">
      <c r="A128" s="132">
        <v>6000</v>
      </c>
      <c r="B128" s="125" t="s">
        <v>112</v>
      </c>
      <c r="C128" s="203"/>
      <c r="D128" s="203">
        <v>0</v>
      </c>
      <c r="E128" s="248"/>
      <c r="F128" s="248"/>
      <c r="G128" s="346"/>
      <c r="H128" s="232">
        <f t="shared" si="73"/>
        <v>0</v>
      </c>
      <c r="I128" s="346">
        <v>0</v>
      </c>
      <c r="J128" s="248"/>
      <c r="K128" s="248"/>
      <c r="L128" s="346"/>
      <c r="M128" s="232">
        <f t="shared" si="74"/>
        <v>0</v>
      </c>
      <c r="N128" s="346">
        <v>0</v>
      </c>
      <c r="O128" s="248"/>
      <c r="P128" s="248"/>
      <c r="Q128" s="247"/>
      <c r="R128" s="232">
        <f t="shared" si="75"/>
        <v>0</v>
      </c>
    </row>
    <row r="129" spans="1:18" s="89" customFormat="1" ht="22.8">
      <c r="A129" s="140" t="s">
        <v>113</v>
      </c>
      <c r="B129" s="124" t="s">
        <v>183</v>
      </c>
      <c r="C129" s="162">
        <v>1406</v>
      </c>
      <c r="D129" s="162">
        <v>1406</v>
      </c>
      <c r="E129" s="233">
        <f t="shared" ref="E129:G129" si="131">E130+E131</f>
        <v>0</v>
      </c>
      <c r="F129" s="233">
        <f t="shared" si="131"/>
        <v>0</v>
      </c>
      <c r="G129" s="233">
        <f t="shared" si="131"/>
        <v>0</v>
      </c>
      <c r="H129" s="232">
        <f t="shared" si="73"/>
        <v>1406</v>
      </c>
      <c r="I129" s="233">
        <v>1406</v>
      </c>
      <c r="J129" s="233">
        <f t="shared" ref="J129:L129" si="132">J130+J131</f>
        <v>0</v>
      </c>
      <c r="K129" s="233">
        <f t="shared" si="132"/>
        <v>0</v>
      </c>
      <c r="L129" s="233">
        <f t="shared" si="132"/>
        <v>0</v>
      </c>
      <c r="M129" s="232">
        <f t="shared" si="74"/>
        <v>1406</v>
      </c>
      <c r="N129" s="233">
        <v>1406</v>
      </c>
      <c r="O129" s="233">
        <f t="shared" ref="O129:Q129" si="133">O130+O131</f>
        <v>0</v>
      </c>
      <c r="P129" s="233">
        <f t="shared" si="133"/>
        <v>0</v>
      </c>
      <c r="Q129" s="232">
        <f t="shared" si="133"/>
        <v>0</v>
      </c>
      <c r="R129" s="232">
        <f t="shared" si="75"/>
        <v>1406</v>
      </c>
    </row>
    <row r="130" spans="1:18" s="89" customFormat="1" ht="12" hidden="1" customHeight="1">
      <c r="A130" s="132">
        <v>7600</v>
      </c>
      <c r="B130" s="179" t="s">
        <v>184</v>
      </c>
      <c r="C130" s="170"/>
      <c r="D130" s="170">
        <v>0</v>
      </c>
      <c r="E130" s="244"/>
      <c r="F130" s="244"/>
      <c r="G130" s="233"/>
      <c r="H130" s="232">
        <f t="shared" si="73"/>
        <v>0</v>
      </c>
      <c r="I130" s="233">
        <v>0</v>
      </c>
      <c r="J130" s="244"/>
      <c r="K130" s="244"/>
      <c r="L130" s="233"/>
      <c r="M130" s="232">
        <f t="shared" si="74"/>
        <v>0</v>
      </c>
      <c r="N130" s="233">
        <v>0</v>
      </c>
      <c r="O130" s="244"/>
      <c r="P130" s="244"/>
      <c r="Q130" s="232"/>
      <c r="R130" s="232">
        <f t="shared" si="75"/>
        <v>0</v>
      </c>
    </row>
    <row r="131" spans="1:18" s="89" customFormat="1" ht="12">
      <c r="A131" s="132">
        <v>7700</v>
      </c>
      <c r="B131" s="126" t="s">
        <v>114</v>
      </c>
      <c r="C131" s="170">
        <v>1406</v>
      </c>
      <c r="D131" s="170">
        <v>1406</v>
      </c>
      <c r="E131" s="244"/>
      <c r="F131" s="244"/>
      <c r="G131" s="233"/>
      <c r="H131" s="232">
        <f t="shared" si="73"/>
        <v>1406</v>
      </c>
      <c r="I131" s="233">
        <v>1406</v>
      </c>
      <c r="J131" s="244"/>
      <c r="K131" s="244"/>
      <c r="L131" s="233"/>
      <c r="M131" s="232">
        <f t="shared" si="74"/>
        <v>1406</v>
      </c>
      <c r="N131" s="233">
        <v>1406</v>
      </c>
      <c r="O131" s="244"/>
      <c r="P131" s="244"/>
      <c r="Q131" s="232"/>
      <c r="R131" s="232">
        <f t="shared" si="75"/>
        <v>1406</v>
      </c>
    </row>
    <row r="132" spans="1:18" s="89" customFormat="1" ht="21" hidden="1" customHeight="1">
      <c r="A132" s="140" t="s">
        <v>185</v>
      </c>
      <c r="B132" s="124" t="s">
        <v>115</v>
      </c>
      <c r="C132" s="170">
        <v>0</v>
      </c>
      <c r="D132" s="170">
        <v>0</v>
      </c>
      <c r="E132" s="233">
        <f t="shared" ref="E132:G132" si="134">E133+E139+E143+E146</f>
        <v>0</v>
      </c>
      <c r="F132" s="233">
        <f t="shared" si="134"/>
        <v>0</v>
      </c>
      <c r="G132" s="233">
        <f t="shared" si="134"/>
        <v>0</v>
      </c>
      <c r="H132" s="232">
        <f t="shared" si="73"/>
        <v>0</v>
      </c>
      <c r="I132" s="233">
        <v>0</v>
      </c>
      <c r="J132" s="233">
        <f t="shared" ref="J132:L132" si="135">J133+J139+J143+J146</f>
        <v>0</v>
      </c>
      <c r="K132" s="233">
        <f t="shared" si="135"/>
        <v>0</v>
      </c>
      <c r="L132" s="233">
        <f t="shared" si="135"/>
        <v>0</v>
      </c>
      <c r="M132" s="232">
        <f t="shared" si="74"/>
        <v>0</v>
      </c>
      <c r="N132" s="233">
        <v>0</v>
      </c>
      <c r="O132" s="233">
        <f t="shared" ref="O132:Q132" si="136">O133+O139+O143+O146</f>
        <v>0</v>
      </c>
      <c r="P132" s="233">
        <f t="shared" si="136"/>
        <v>0</v>
      </c>
      <c r="Q132" s="232">
        <f t="shared" si="136"/>
        <v>0</v>
      </c>
      <c r="R132" s="232">
        <f t="shared" si="75"/>
        <v>0</v>
      </c>
    </row>
    <row r="133" spans="1:18" s="89" customFormat="1" ht="12" hidden="1" customHeight="1">
      <c r="A133" s="132">
        <v>7100</v>
      </c>
      <c r="B133" s="179" t="s">
        <v>116</v>
      </c>
      <c r="C133" s="170">
        <v>0</v>
      </c>
      <c r="D133" s="170">
        <v>0</v>
      </c>
      <c r="E133" s="233">
        <f t="shared" ref="E133:G133" si="137">E134+E135</f>
        <v>0</v>
      </c>
      <c r="F133" s="233">
        <f t="shared" si="137"/>
        <v>0</v>
      </c>
      <c r="G133" s="233">
        <f t="shared" si="137"/>
        <v>0</v>
      </c>
      <c r="H133" s="232">
        <f t="shared" si="73"/>
        <v>0</v>
      </c>
      <c r="I133" s="233">
        <v>0</v>
      </c>
      <c r="J133" s="233">
        <f t="shared" ref="J133:L133" si="138">J134+J135</f>
        <v>0</v>
      </c>
      <c r="K133" s="233">
        <f t="shared" si="138"/>
        <v>0</v>
      </c>
      <c r="L133" s="233">
        <f t="shared" si="138"/>
        <v>0</v>
      </c>
      <c r="M133" s="232">
        <f t="shared" si="74"/>
        <v>0</v>
      </c>
      <c r="N133" s="233">
        <v>0</v>
      </c>
      <c r="O133" s="233">
        <f t="shared" ref="O133:Q133" si="139">O134+O135</f>
        <v>0</v>
      </c>
      <c r="P133" s="233">
        <f t="shared" si="139"/>
        <v>0</v>
      </c>
      <c r="Q133" s="232">
        <f t="shared" si="139"/>
        <v>0</v>
      </c>
      <c r="R133" s="232">
        <f t="shared" si="75"/>
        <v>0</v>
      </c>
    </row>
    <row r="134" spans="1:18" s="89" customFormat="1" ht="24" hidden="1" customHeight="1">
      <c r="A134" s="133" t="s">
        <v>117</v>
      </c>
      <c r="B134" s="179" t="s">
        <v>118</v>
      </c>
      <c r="C134" s="170"/>
      <c r="D134" s="170">
        <v>0</v>
      </c>
      <c r="E134" s="233"/>
      <c r="F134" s="233"/>
      <c r="G134" s="233"/>
      <c r="H134" s="232">
        <f t="shared" si="73"/>
        <v>0</v>
      </c>
      <c r="I134" s="233">
        <v>0</v>
      </c>
      <c r="J134" s="233"/>
      <c r="K134" s="233"/>
      <c r="L134" s="233"/>
      <c r="M134" s="232">
        <f t="shared" si="74"/>
        <v>0</v>
      </c>
      <c r="N134" s="233">
        <v>0</v>
      </c>
      <c r="O134" s="233"/>
      <c r="P134" s="233"/>
      <c r="Q134" s="232"/>
      <c r="R134" s="232">
        <f t="shared" si="75"/>
        <v>0</v>
      </c>
    </row>
    <row r="135" spans="1:18" s="89" customFormat="1" ht="24" hidden="1" customHeight="1">
      <c r="A135" s="133">
        <v>7130</v>
      </c>
      <c r="B135" s="179" t="s">
        <v>119</v>
      </c>
      <c r="C135" s="170">
        <v>0</v>
      </c>
      <c r="D135" s="170">
        <v>0</v>
      </c>
      <c r="E135" s="233">
        <f t="shared" ref="E135:G135" si="140">SUM(E136:E138)</f>
        <v>0</v>
      </c>
      <c r="F135" s="233">
        <f t="shared" ref="F135" si="141">SUM(F136:F138)</f>
        <v>0</v>
      </c>
      <c r="G135" s="233">
        <f t="shared" si="140"/>
        <v>0</v>
      </c>
      <c r="H135" s="232">
        <f t="shared" si="73"/>
        <v>0</v>
      </c>
      <c r="I135" s="233">
        <v>0</v>
      </c>
      <c r="J135" s="233">
        <f t="shared" ref="J135:L135" si="142">SUM(J136:J138)</f>
        <v>0</v>
      </c>
      <c r="K135" s="233">
        <f t="shared" si="142"/>
        <v>0</v>
      </c>
      <c r="L135" s="233">
        <f t="shared" si="142"/>
        <v>0</v>
      </c>
      <c r="M135" s="232">
        <f t="shared" si="74"/>
        <v>0</v>
      </c>
      <c r="N135" s="233">
        <v>0</v>
      </c>
      <c r="O135" s="233">
        <f t="shared" ref="O135:Q135" si="143">SUM(O136:O138)</f>
        <v>0</v>
      </c>
      <c r="P135" s="233">
        <f t="shared" si="143"/>
        <v>0</v>
      </c>
      <c r="Q135" s="232">
        <f t="shared" si="143"/>
        <v>0</v>
      </c>
      <c r="R135" s="232">
        <f t="shared" si="75"/>
        <v>0</v>
      </c>
    </row>
    <row r="136" spans="1:18" s="89" customFormat="1" ht="36" hidden="1" customHeight="1">
      <c r="A136" s="134">
        <v>7131</v>
      </c>
      <c r="B136" s="179" t="s">
        <v>120</v>
      </c>
      <c r="C136" s="170"/>
      <c r="D136" s="170">
        <v>0</v>
      </c>
      <c r="E136" s="233"/>
      <c r="F136" s="233"/>
      <c r="G136" s="233"/>
      <c r="H136" s="232">
        <f t="shared" si="73"/>
        <v>0</v>
      </c>
      <c r="I136" s="233">
        <v>0</v>
      </c>
      <c r="J136" s="233"/>
      <c r="K136" s="233"/>
      <c r="L136" s="233"/>
      <c r="M136" s="232">
        <f t="shared" si="74"/>
        <v>0</v>
      </c>
      <c r="N136" s="233">
        <v>0</v>
      </c>
      <c r="O136" s="233"/>
      <c r="P136" s="233"/>
      <c r="Q136" s="232"/>
      <c r="R136" s="232">
        <f t="shared" si="75"/>
        <v>0</v>
      </c>
    </row>
    <row r="137" spans="1:18" s="29" customFormat="1" ht="36" hidden="1" customHeight="1">
      <c r="A137" s="134">
        <v>7132</v>
      </c>
      <c r="B137" s="179" t="s">
        <v>121</v>
      </c>
      <c r="C137" s="170"/>
      <c r="D137" s="170">
        <v>0</v>
      </c>
      <c r="E137" s="233"/>
      <c r="F137" s="233"/>
      <c r="G137" s="233"/>
      <c r="H137" s="232">
        <f t="shared" si="73"/>
        <v>0</v>
      </c>
      <c r="I137" s="233">
        <v>0</v>
      </c>
      <c r="J137" s="233"/>
      <c r="K137" s="233"/>
      <c r="L137" s="233"/>
      <c r="M137" s="232">
        <f t="shared" si="74"/>
        <v>0</v>
      </c>
      <c r="N137" s="233">
        <v>0</v>
      </c>
      <c r="O137" s="233"/>
      <c r="P137" s="233"/>
      <c r="Q137" s="232"/>
      <c r="R137" s="232">
        <f t="shared" si="75"/>
        <v>0</v>
      </c>
    </row>
    <row r="138" spans="1:18" s="29" customFormat="1" ht="36" hidden="1" customHeight="1">
      <c r="A138" s="134" t="s">
        <v>186</v>
      </c>
      <c r="B138" s="179" t="s">
        <v>187</v>
      </c>
      <c r="C138" s="170"/>
      <c r="D138" s="170">
        <v>0</v>
      </c>
      <c r="E138" s="233"/>
      <c r="F138" s="233"/>
      <c r="G138" s="233"/>
      <c r="H138" s="232">
        <f t="shared" ref="H138:H201" si="144">SUM(D138:G138)</f>
        <v>0</v>
      </c>
      <c r="I138" s="233">
        <v>0</v>
      </c>
      <c r="J138" s="233"/>
      <c r="K138" s="233"/>
      <c r="L138" s="233"/>
      <c r="M138" s="232">
        <f t="shared" ref="M138:M201" si="145">SUM(I138:L138)</f>
        <v>0</v>
      </c>
      <c r="N138" s="233">
        <v>0</v>
      </c>
      <c r="O138" s="233"/>
      <c r="P138" s="233"/>
      <c r="Q138" s="232"/>
      <c r="R138" s="232">
        <f t="shared" ref="R138:R201" si="146">SUM(N138:Q138)</f>
        <v>0</v>
      </c>
    </row>
    <row r="139" spans="1:18" s="29" customFormat="1" ht="24" hidden="1" customHeight="1">
      <c r="A139" s="132">
        <v>7300</v>
      </c>
      <c r="B139" s="172" t="s">
        <v>155</v>
      </c>
      <c r="C139" s="170">
        <v>0</v>
      </c>
      <c r="D139" s="170">
        <v>0</v>
      </c>
      <c r="E139" s="233">
        <f t="shared" ref="E139:G139" si="147">SUM(E140:E142)</f>
        <v>0</v>
      </c>
      <c r="F139" s="233">
        <f t="shared" si="147"/>
        <v>0</v>
      </c>
      <c r="G139" s="233">
        <f t="shared" si="147"/>
        <v>0</v>
      </c>
      <c r="H139" s="232">
        <f t="shared" si="144"/>
        <v>0</v>
      </c>
      <c r="I139" s="233">
        <v>0</v>
      </c>
      <c r="J139" s="233">
        <f t="shared" ref="J139:L139" si="148">SUM(J140:J142)</f>
        <v>0</v>
      </c>
      <c r="K139" s="233">
        <f t="shared" si="148"/>
        <v>0</v>
      </c>
      <c r="L139" s="233">
        <f t="shared" si="148"/>
        <v>0</v>
      </c>
      <c r="M139" s="232">
        <f t="shared" si="145"/>
        <v>0</v>
      </c>
      <c r="N139" s="233">
        <v>0</v>
      </c>
      <c r="O139" s="233">
        <f t="shared" ref="O139:Q139" si="149">SUM(O140:O142)</f>
        <v>0</v>
      </c>
      <c r="P139" s="233">
        <f t="shared" si="149"/>
        <v>0</v>
      </c>
      <c r="Q139" s="232">
        <f t="shared" si="149"/>
        <v>0</v>
      </c>
      <c r="R139" s="232">
        <f t="shared" si="146"/>
        <v>0</v>
      </c>
    </row>
    <row r="140" spans="1:18" s="4" customFormat="1" ht="24" hidden="1" customHeight="1">
      <c r="A140" s="133" t="s">
        <v>188</v>
      </c>
      <c r="B140" s="179" t="s">
        <v>170</v>
      </c>
      <c r="C140" s="204"/>
      <c r="D140" s="204">
        <v>0</v>
      </c>
      <c r="E140" s="252"/>
      <c r="F140" s="252"/>
      <c r="G140" s="252"/>
      <c r="H140" s="232">
        <f t="shared" si="144"/>
        <v>0</v>
      </c>
      <c r="I140" s="252">
        <v>0</v>
      </c>
      <c r="J140" s="252"/>
      <c r="K140" s="252"/>
      <c r="L140" s="252"/>
      <c r="M140" s="232">
        <f t="shared" si="145"/>
        <v>0</v>
      </c>
      <c r="N140" s="252">
        <v>0</v>
      </c>
      <c r="O140" s="252"/>
      <c r="P140" s="252"/>
      <c r="Q140" s="251"/>
      <c r="R140" s="232">
        <f t="shared" si="146"/>
        <v>0</v>
      </c>
    </row>
    <row r="141" spans="1:18" ht="48" hidden="1" customHeight="1">
      <c r="A141" s="133" t="s">
        <v>189</v>
      </c>
      <c r="B141" s="179" t="s">
        <v>156</v>
      </c>
      <c r="C141" s="204"/>
      <c r="D141" s="204">
        <v>0</v>
      </c>
      <c r="E141" s="252"/>
      <c r="F141" s="252"/>
      <c r="G141" s="252"/>
      <c r="H141" s="232">
        <f t="shared" si="144"/>
        <v>0</v>
      </c>
      <c r="I141" s="252">
        <v>0</v>
      </c>
      <c r="J141" s="252"/>
      <c r="K141" s="252"/>
      <c r="L141" s="252"/>
      <c r="M141" s="232">
        <f t="shared" si="145"/>
        <v>0</v>
      </c>
      <c r="N141" s="252">
        <v>0</v>
      </c>
      <c r="O141" s="252"/>
      <c r="P141" s="252"/>
      <c r="Q141" s="251"/>
      <c r="R141" s="232">
        <f t="shared" si="146"/>
        <v>0</v>
      </c>
    </row>
    <row r="142" spans="1:18" ht="36" hidden="1" customHeight="1">
      <c r="A142" s="133">
        <v>7350</v>
      </c>
      <c r="B142" s="179" t="s">
        <v>163</v>
      </c>
      <c r="C142" s="204"/>
      <c r="D142" s="204">
        <v>0</v>
      </c>
      <c r="E142" s="252"/>
      <c r="F142" s="252"/>
      <c r="G142" s="252"/>
      <c r="H142" s="232">
        <f t="shared" si="144"/>
        <v>0</v>
      </c>
      <c r="I142" s="252">
        <v>0</v>
      </c>
      <c r="J142" s="252"/>
      <c r="K142" s="252"/>
      <c r="L142" s="252"/>
      <c r="M142" s="232">
        <f t="shared" si="145"/>
        <v>0</v>
      </c>
      <c r="N142" s="252">
        <v>0</v>
      </c>
      <c r="O142" s="252"/>
      <c r="P142" s="252"/>
      <c r="Q142" s="251"/>
      <c r="R142" s="232">
        <f t="shared" si="146"/>
        <v>0</v>
      </c>
    </row>
    <row r="143" spans="1:18" ht="24" hidden="1" customHeight="1">
      <c r="A143" s="132">
        <v>7400</v>
      </c>
      <c r="B143" s="172" t="s">
        <v>161</v>
      </c>
      <c r="C143" s="170">
        <v>0</v>
      </c>
      <c r="D143" s="170">
        <v>0</v>
      </c>
      <c r="E143" s="233">
        <f t="shared" ref="E143:G143" si="150">SUM(E144:E145)</f>
        <v>0</v>
      </c>
      <c r="F143" s="233">
        <f t="shared" si="150"/>
        <v>0</v>
      </c>
      <c r="G143" s="233">
        <f t="shared" si="150"/>
        <v>0</v>
      </c>
      <c r="H143" s="232">
        <f t="shared" si="144"/>
        <v>0</v>
      </c>
      <c r="I143" s="233">
        <v>0</v>
      </c>
      <c r="J143" s="233">
        <f t="shared" ref="J143:L143" si="151">SUM(J144:J145)</f>
        <v>0</v>
      </c>
      <c r="K143" s="233">
        <f t="shared" si="151"/>
        <v>0</v>
      </c>
      <c r="L143" s="233">
        <f t="shared" si="151"/>
        <v>0</v>
      </c>
      <c r="M143" s="232">
        <f t="shared" si="145"/>
        <v>0</v>
      </c>
      <c r="N143" s="233">
        <v>0</v>
      </c>
      <c r="O143" s="233">
        <f t="shared" ref="O143:Q143" si="152">SUM(O144:O145)</f>
        <v>0</v>
      </c>
      <c r="P143" s="233">
        <f t="shared" si="152"/>
        <v>0</v>
      </c>
      <c r="Q143" s="232">
        <f t="shared" si="152"/>
        <v>0</v>
      </c>
      <c r="R143" s="232">
        <f t="shared" si="146"/>
        <v>0</v>
      </c>
    </row>
    <row r="144" spans="1:18" ht="24" hidden="1" customHeight="1">
      <c r="A144" s="133">
        <v>7460</v>
      </c>
      <c r="B144" s="172" t="s">
        <v>162</v>
      </c>
      <c r="C144" s="204"/>
      <c r="D144" s="204">
        <v>0</v>
      </c>
      <c r="E144" s="252"/>
      <c r="F144" s="252"/>
      <c r="G144" s="252"/>
      <c r="H144" s="232">
        <f t="shared" si="144"/>
        <v>0</v>
      </c>
      <c r="I144" s="252">
        <v>0</v>
      </c>
      <c r="J144" s="252"/>
      <c r="K144" s="252"/>
      <c r="L144" s="252"/>
      <c r="M144" s="232">
        <f t="shared" si="145"/>
        <v>0</v>
      </c>
      <c r="N144" s="252">
        <v>0</v>
      </c>
      <c r="O144" s="252"/>
      <c r="P144" s="252"/>
      <c r="Q144" s="251"/>
      <c r="R144" s="232">
        <f t="shared" si="146"/>
        <v>0</v>
      </c>
    </row>
    <row r="145" spans="1:18" ht="48" hidden="1" customHeight="1">
      <c r="A145" s="133">
        <v>7470</v>
      </c>
      <c r="B145" s="179" t="s">
        <v>167</v>
      </c>
      <c r="C145" s="204"/>
      <c r="D145" s="204">
        <v>0</v>
      </c>
      <c r="E145" s="252"/>
      <c r="F145" s="252"/>
      <c r="G145" s="252"/>
      <c r="H145" s="232">
        <f t="shared" si="144"/>
        <v>0</v>
      </c>
      <c r="I145" s="252">
        <v>0</v>
      </c>
      <c r="J145" s="252"/>
      <c r="K145" s="252"/>
      <c r="L145" s="252"/>
      <c r="M145" s="232">
        <f t="shared" si="145"/>
        <v>0</v>
      </c>
      <c r="N145" s="252">
        <v>0</v>
      </c>
      <c r="O145" s="252"/>
      <c r="P145" s="252"/>
      <c r="Q145" s="251"/>
      <c r="R145" s="232">
        <f t="shared" si="146"/>
        <v>0</v>
      </c>
    </row>
    <row r="146" spans="1:18" ht="24" hidden="1" customHeight="1">
      <c r="A146" s="132">
        <v>7500</v>
      </c>
      <c r="B146" s="179" t="s">
        <v>157</v>
      </c>
      <c r="C146" s="170"/>
      <c r="D146" s="170">
        <v>0</v>
      </c>
      <c r="E146" s="233"/>
      <c r="F146" s="233"/>
      <c r="G146" s="233"/>
      <c r="H146" s="232">
        <f t="shared" si="144"/>
        <v>0</v>
      </c>
      <c r="I146" s="233">
        <v>0</v>
      </c>
      <c r="J146" s="233"/>
      <c r="K146" s="233"/>
      <c r="L146" s="233"/>
      <c r="M146" s="232">
        <f t="shared" si="145"/>
        <v>0</v>
      </c>
      <c r="N146" s="233">
        <v>0</v>
      </c>
      <c r="O146" s="233"/>
      <c r="P146" s="233"/>
      <c r="Q146" s="232"/>
      <c r="R146" s="232">
        <f t="shared" si="146"/>
        <v>0</v>
      </c>
    </row>
    <row r="147" spans="1:18" s="4" customFormat="1" ht="12">
      <c r="A147" s="140" t="s">
        <v>133</v>
      </c>
      <c r="B147" s="124" t="s">
        <v>122</v>
      </c>
      <c r="C147" s="162">
        <v>1000</v>
      </c>
      <c r="D147" s="162">
        <v>1000</v>
      </c>
      <c r="E147" s="254">
        <f t="shared" ref="E147:G147" si="153">E148+E149</f>
        <v>0</v>
      </c>
      <c r="F147" s="254">
        <f t="shared" si="153"/>
        <v>0</v>
      </c>
      <c r="G147" s="254">
        <f t="shared" si="153"/>
        <v>0</v>
      </c>
      <c r="H147" s="232">
        <f t="shared" si="144"/>
        <v>1000</v>
      </c>
      <c r="I147" s="254">
        <v>1000</v>
      </c>
      <c r="J147" s="254">
        <f t="shared" ref="J147:L147" si="154">J148+J149</f>
        <v>0</v>
      </c>
      <c r="K147" s="254">
        <f t="shared" si="154"/>
        <v>0</v>
      </c>
      <c r="L147" s="254">
        <f t="shared" si="154"/>
        <v>0</v>
      </c>
      <c r="M147" s="232">
        <f t="shared" si="145"/>
        <v>1000</v>
      </c>
      <c r="N147" s="254">
        <v>1000</v>
      </c>
      <c r="O147" s="254">
        <f t="shared" ref="O147:Q147" si="155">O148+O149</f>
        <v>0</v>
      </c>
      <c r="P147" s="254">
        <f t="shared" si="155"/>
        <v>0</v>
      </c>
      <c r="Q147" s="253">
        <f t="shared" si="155"/>
        <v>0</v>
      </c>
      <c r="R147" s="232">
        <f t="shared" si="146"/>
        <v>1000</v>
      </c>
    </row>
    <row r="148" spans="1:18" s="6" customFormat="1" ht="12">
      <c r="A148" s="140">
        <v>5000</v>
      </c>
      <c r="B148" s="124" t="s">
        <v>123</v>
      </c>
      <c r="C148" s="162">
        <v>1000</v>
      </c>
      <c r="D148" s="162">
        <v>1000</v>
      </c>
      <c r="E148" s="244"/>
      <c r="F148" s="244"/>
      <c r="G148" s="233"/>
      <c r="H148" s="232">
        <f t="shared" si="144"/>
        <v>1000</v>
      </c>
      <c r="I148" s="233">
        <v>1000</v>
      </c>
      <c r="J148" s="244"/>
      <c r="K148" s="244"/>
      <c r="L148" s="233"/>
      <c r="M148" s="232">
        <f t="shared" si="145"/>
        <v>1000</v>
      </c>
      <c r="N148" s="233">
        <v>1000</v>
      </c>
      <c r="O148" s="244"/>
      <c r="P148" s="244"/>
      <c r="Q148" s="232"/>
      <c r="R148" s="232">
        <f t="shared" si="146"/>
        <v>1000</v>
      </c>
    </row>
    <row r="149" spans="1:18" s="6" customFormat="1" ht="12" hidden="1" customHeight="1">
      <c r="A149" s="140">
        <v>9000</v>
      </c>
      <c r="B149" s="182" t="s">
        <v>164</v>
      </c>
      <c r="C149" s="170">
        <v>0</v>
      </c>
      <c r="D149" s="171">
        <v>0</v>
      </c>
      <c r="E149" s="233">
        <f t="shared" ref="E149:G149" si="156">E150+E156+E160+E163</f>
        <v>0</v>
      </c>
      <c r="F149" s="233">
        <f t="shared" si="156"/>
        <v>0</v>
      </c>
      <c r="G149" s="233">
        <f t="shared" si="156"/>
        <v>0</v>
      </c>
      <c r="H149" s="232">
        <f t="shared" si="144"/>
        <v>0</v>
      </c>
      <c r="I149" s="233">
        <v>0</v>
      </c>
      <c r="J149" s="233">
        <f t="shared" ref="J149:L149" si="157">J150+J156+J160+J163</f>
        <v>0</v>
      </c>
      <c r="K149" s="233">
        <f t="shared" si="157"/>
        <v>0</v>
      </c>
      <c r="L149" s="233">
        <f t="shared" si="157"/>
        <v>0</v>
      </c>
      <c r="M149" s="232">
        <f t="shared" si="145"/>
        <v>0</v>
      </c>
      <c r="N149" s="233">
        <v>0</v>
      </c>
      <c r="O149" s="233">
        <f t="shared" ref="O149:Q149" si="158">O150+O156+O160+O163</f>
        <v>0</v>
      </c>
      <c r="P149" s="233">
        <f t="shared" si="158"/>
        <v>0</v>
      </c>
      <c r="Q149" s="232">
        <f t="shared" si="158"/>
        <v>0</v>
      </c>
      <c r="R149" s="232">
        <f t="shared" si="146"/>
        <v>0</v>
      </c>
    </row>
    <row r="150" spans="1:18" s="6" customFormat="1" ht="12" hidden="1" customHeight="1">
      <c r="A150" s="141">
        <v>9100</v>
      </c>
      <c r="B150" s="179" t="s">
        <v>124</v>
      </c>
      <c r="C150" s="170">
        <v>0</v>
      </c>
      <c r="D150" s="171">
        <v>0</v>
      </c>
      <c r="E150" s="233">
        <f t="shared" ref="E150:G150" si="159">SUM(E151:E152)</f>
        <v>0</v>
      </c>
      <c r="F150" s="233">
        <f t="shared" ref="F150" si="160">SUM(F151:F152)</f>
        <v>0</v>
      </c>
      <c r="G150" s="233">
        <f t="shared" si="159"/>
        <v>0</v>
      </c>
      <c r="H150" s="232">
        <f t="shared" si="144"/>
        <v>0</v>
      </c>
      <c r="I150" s="233">
        <v>0</v>
      </c>
      <c r="J150" s="233">
        <f t="shared" ref="J150:L150" si="161">SUM(J151:J152)</f>
        <v>0</v>
      </c>
      <c r="K150" s="233">
        <f t="shared" si="161"/>
        <v>0</v>
      </c>
      <c r="L150" s="233">
        <f t="shared" si="161"/>
        <v>0</v>
      </c>
      <c r="M150" s="232">
        <f t="shared" si="145"/>
        <v>0</v>
      </c>
      <c r="N150" s="233">
        <v>0</v>
      </c>
      <c r="O150" s="233">
        <f t="shared" ref="O150:Q150" si="162">SUM(O151:O152)</f>
        <v>0</v>
      </c>
      <c r="P150" s="233">
        <f t="shared" si="162"/>
        <v>0</v>
      </c>
      <c r="Q150" s="232">
        <f t="shared" si="162"/>
        <v>0</v>
      </c>
      <c r="R150" s="232">
        <f t="shared" si="146"/>
        <v>0</v>
      </c>
    </row>
    <row r="151" spans="1:18" s="6" customFormat="1" ht="24" hidden="1" customHeight="1">
      <c r="A151" s="133" t="s">
        <v>125</v>
      </c>
      <c r="B151" s="179" t="s">
        <v>214</v>
      </c>
      <c r="C151" s="170"/>
      <c r="D151" s="171">
        <v>0</v>
      </c>
      <c r="E151" s="233"/>
      <c r="F151" s="233"/>
      <c r="G151" s="233"/>
      <c r="H151" s="232">
        <f t="shared" si="144"/>
        <v>0</v>
      </c>
      <c r="I151" s="233">
        <v>0</v>
      </c>
      <c r="J151" s="233"/>
      <c r="K151" s="233"/>
      <c r="L151" s="233"/>
      <c r="M151" s="232">
        <f t="shared" si="145"/>
        <v>0</v>
      </c>
      <c r="N151" s="233">
        <v>0</v>
      </c>
      <c r="O151" s="233"/>
      <c r="P151" s="233"/>
      <c r="Q151" s="232"/>
      <c r="R151" s="232">
        <f t="shared" si="146"/>
        <v>0</v>
      </c>
    </row>
    <row r="152" spans="1:18" s="6" customFormat="1" ht="24" hidden="1" customHeight="1">
      <c r="A152" s="133">
        <v>9140</v>
      </c>
      <c r="B152" s="179" t="s">
        <v>215</v>
      </c>
      <c r="C152" s="170">
        <v>0</v>
      </c>
      <c r="D152" s="171">
        <v>0</v>
      </c>
      <c r="E152" s="233">
        <f t="shared" ref="E152:G152" si="163">SUM(E153:E155)</f>
        <v>0</v>
      </c>
      <c r="F152" s="233">
        <f t="shared" si="163"/>
        <v>0</v>
      </c>
      <c r="G152" s="233">
        <f t="shared" si="163"/>
        <v>0</v>
      </c>
      <c r="H152" s="232">
        <f t="shared" si="144"/>
        <v>0</v>
      </c>
      <c r="I152" s="233">
        <v>0</v>
      </c>
      <c r="J152" s="233">
        <f t="shared" ref="J152:L152" si="164">SUM(J153:J155)</f>
        <v>0</v>
      </c>
      <c r="K152" s="233">
        <f t="shared" si="164"/>
        <v>0</v>
      </c>
      <c r="L152" s="233">
        <f t="shared" si="164"/>
        <v>0</v>
      </c>
      <c r="M152" s="232">
        <f t="shared" si="145"/>
        <v>0</v>
      </c>
      <c r="N152" s="233">
        <v>0</v>
      </c>
      <c r="O152" s="233">
        <f t="shared" ref="O152:Q152" si="165">SUM(O153:O155)</f>
        <v>0</v>
      </c>
      <c r="P152" s="233">
        <f t="shared" si="165"/>
        <v>0</v>
      </c>
      <c r="Q152" s="232">
        <f t="shared" si="165"/>
        <v>0</v>
      </c>
      <c r="R152" s="232">
        <f t="shared" si="146"/>
        <v>0</v>
      </c>
    </row>
    <row r="153" spans="1:18" s="6" customFormat="1" ht="36" hidden="1" customHeight="1">
      <c r="A153" s="134">
        <v>9141</v>
      </c>
      <c r="B153" s="172" t="s">
        <v>190</v>
      </c>
      <c r="C153" s="204"/>
      <c r="D153" s="180">
        <v>0</v>
      </c>
      <c r="E153" s="252"/>
      <c r="F153" s="252"/>
      <c r="G153" s="252"/>
      <c r="H153" s="232">
        <f t="shared" si="144"/>
        <v>0</v>
      </c>
      <c r="I153" s="252">
        <v>0</v>
      </c>
      <c r="J153" s="252"/>
      <c r="K153" s="252"/>
      <c r="L153" s="252"/>
      <c r="M153" s="232">
        <f t="shared" si="145"/>
        <v>0</v>
      </c>
      <c r="N153" s="252">
        <v>0</v>
      </c>
      <c r="O153" s="252"/>
      <c r="P153" s="252"/>
      <c r="Q153" s="251"/>
      <c r="R153" s="232">
        <f t="shared" si="146"/>
        <v>0</v>
      </c>
    </row>
    <row r="154" spans="1:18" s="6" customFormat="1" ht="36" hidden="1" customHeight="1">
      <c r="A154" s="134">
        <v>9142</v>
      </c>
      <c r="B154" s="172" t="s">
        <v>191</v>
      </c>
      <c r="C154" s="204"/>
      <c r="D154" s="180">
        <v>0</v>
      </c>
      <c r="E154" s="252"/>
      <c r="F154" s="252"/>
      <c r="G154" s="252"/>
      <c r="H154" s="232">
        <f t="shared" si="144"/>
        <v>0</v>
      </c>
      <c r="I154" s="252">
        <v>0</v>
      </c>
      <c r="J154" s="252"/>
      <c r="K154" s="252"/>
      <c r="L154" s="252"/>
      <c r="M154" s="232">
        <f t="shared" si="145"/>
        <v>0</v>
      </c>
      <c r="N154" s="252">
        <v>0</v>
      </c>
      <c r="O154" s="252"/>
      <c r="P154" s="252"/>
      <c r="Q154" s="251"/>
      <c r="R154" s="232">
        <f t="shared" si="146"/>
        <v>0</v>
      </c>
    </row>
    <row r="155" spans="1:18" s="6" customFormat="1" ht="24" hidden="1" customHeight="1">
      <c r="A155" s="134">
        <v>9149</v>
      </c>
      <c r="B155" s="172" t="s">
        <v>192</v>
      </c>
      <c r="C155" s="204"/>
      <c r="D155" s="180">
        <v>0</v>
      </c>
      <c r="E155" s="252"/>
      <c r="F155" s="252"/>
      <c r="G155" s="252"/>
      <c r="H155" s="232">
        <f t="shared" si="144"/>
        <v>0</v>
      </c>
      <c r="I155" s="252">
        <v>0</v>
      </c>
      <c r="J155" s="252"/>
      <c r="K155" s="252"/>
      <c r="L155" s="252"/>
      <c r="M155" s="232">
        <f t="shared" si="145"/>
        <v>0</v>
      </c>
      <c r="N155" s="252">
        <v>0</v>
      </c>
      <c r="O155" s="252"/>
      <c r="P155" s="252"/>
      <c r="Q155" s="251"/>
      <c r="R155" s="232">
        <f t="shared" si="146"/>
        <v>0</v>
      </c>
    </row>
    <row r="156" spans="1:18" s="6" customFormat="1" ht="24" hidden="1" customHeight="1">
      <c r="A156" s="141">
        <v>9500</v>
      </c>
      <c r="B156" s="172" t="s">
        <v>165</v>
      </c>
      <c r="C156" s="170">
        <v>0</v>
      </c>
      <c r="D156" s="171">
        <v>0</v>
      </c>
      <c r="E156" s="233">
        <f t="shared" ref="E156:G156" si="166">SUM(E157:E159)</f>
        <v>0</v>
      </c>
      <c r="F156" s="233">
        <f t="shared" si="166"/>
        <v>0</v>
      </c>
      <c r="G156" s="233">
        <f t="shared" si="166"/>
        <v>0</v>
      </c>
      <c r="H156" s="232">
        <f t="shared" si="144"/>
        <v>0</v>
      </c>
      <c r="I156" s="233">
        <v>0</v>
      </c>
      <c r="J156" s="233">
        <f t="shared" ref="J156:L156" si="167">SUM(J157:J159)</f>
        <v>0</v>
      </c>
      <c r="K156" s="233">
        <f t="shared" si="167"/>
        <v>0</v>
      </c>
      <c r="L156" s="233">
        <f t="shared" si="167"/>
        <v>0</v>
      </c>
      <c r="M156" s="232">
        <f t="shared" si="145"/>
        <v>0</v>
      </c>
      <c r="N156" s="233">
        <v>0</v>
      </c>
      <c r="O156" s="233">
        <f t="shared" ref="O156:Q156" si="168">SUM(O157:O159)</f>
        <v>0</v>
      </c>
      <c r="P156" s="233">
        <f t="shared" si="168"/>
        <v>0</v>
      </c>
      <c r="Q156" s="232">
        <f t="shared" si="168"/>
        <v>0</v>
      </c>
      <c r="R156" s="232">
        <f t="shared" si="146"/>
        <v>0</v>
      </c>
    </row>
    <row r="157" spans="1:18" s="6" customFormat="1" ht="24" hidden="1" customHeight="1">
      <c r="A157" s="133" t="s">
        <v>193</v>
      </c>
      <c r="B157" s="172" t="s">
        <v>171</v>
      </c>
      <c r="C157" s="170"/>
      <c r="D157" s="171">
        <v>0</v>
      </c>
      <c r="E157" s="233"/>
      <c r="F157" s="233"/>
      <c r="G157" s="233"/>
      <c r="H157" s="232">
        <f t="shared" si="144"/>
        <v>0</v>
      </c>
      <c r="I157" s="233">
        <v>0</v>
      </c>
      <c r="J157" s="233"/>
      <c r="K157" s="233"/>
      <c r="L157" s="233"/>
      <c r="M157" s="232">
        <f t="shared" si="145"/>
        <v>0</v>
      </c>
      <c r="N157" s="233">
        <v>0</v>
      </c>
      <c r="O157" s="233"/>
      <c r="P157" s="233"/>
      <c r="Q157" s="232"/>
      <c r="R157" s="232">
        <f t="shared" si="146"/>
        <v>0</v>
      </c>
    </row>
    <row r="158" spans="1:18" s="6" customFormat="1" ht="48" hidden="1" customHeight="1">
      <c r="A158" s="133">
        <v>9580</v>
      </c>
      <c r="B158" s="172" t="s">
        <v>166</v>
      </c>
      <c r="C158" s="204"/>
      <c r="D158" s="180">
        <v>0</v>
      </c>
      <c r="E158" s="252"/>
      <c r="F158" s="252"/>
      <c r="G158" s="252"/>
      <c r="H158" s="232">
        <f t="shared" si="144"/>
        <v>0</v>
      </c>
      <c r="I158" s="252">
        <v>0</v>
      </c>
      <c r="J158" s="252"/>
      <c r="K158" s="252"/>
      <c r="L158" s="252"/>
      <c r="M158" s="232">
        <f t="shared" si="145"/>
        <v>0</v>
      </c>
      <c r="N158" s="252">
        <v>0</v>
      </c>
      <c r="O158" s="252"/>
      <c r="P158" s="252"/>
      <c r="Q158" s="251"/>
      <c r="R158" s="232">
        <f t="shared" si="146"/>
        <v>0</v>
      </c>
    </row>
    <row r="159" spans="1:18" s="6" customFormat="1" ht="48" hidden="1" customHeight="1">
      <c r="A159" s="133">
        <v>9590</v>
      </c>
      <c r="B159" s="179" t="s">
        <v>172</v>
      </c>
      <c r="C159" s="204"/>
      <c r="D159" s="180">
        <v>0</v>
      </c>
      <c r="E159" s="252"/>
      <c r="F159" s="252"/>
      <c r="G159" s="252"/>
      <c r="H159" s="232">
        <f t="shared" si="144"/>
        <v>0</v>
      </c>
      <c r="I159" s="252">
        <v>0</v>
      </c>
      <c r="J159" s="252"/>
      <c r="K159" s="252"/>
      <c r="L159" s="252"/>
      <c r="M159" s="232">
        <f t="shared" si="145"/>
        <v>0</v>
      </c>
      <c r="N159" s="252">
        <v>0</v>
      </c>
      <c r="O159" s="252"/>
      <c r="P159" s="252"/>
      <c r="Q159" s="251"/>
      <c r="R159" s="232">
        <f t="shared" si="146"/>
        <v>0</v>
      </c>
    </row>
    <row r="160" spans="1:18" s="6" customFormat="1" ht="24" hidden="1" customHeight="1">
      <c r="A160" s="141">
        <v>9700</v>
      </c>
      <c r="B160" s="183" t="s">
        <v>194</v>
      </c>
      <c r="C160" s="170">
        <v>0</v>
      </c>
      <c r="D160" s="171">
        <v>0</v>
      </c>
      <c r="E160" s="233">
        <f t="shared" ref="E160:G160" si="169">SUM(E161:E162)</f>
        <v>0</v>
      </c>
      <c r="F160" s="233">
        <f t="shared" si="169"/>
        <v>0</v>
      </c>
      <c r="G160" s="233">
        <f t="shared" si="169"/>
        <v>0</v>
      </c>
      <c r="H160" s="232">
        <f t="shared" si="144"/>
        <v>0</v>
      </c>
      <c r="I160" s="233">
        <v>0</v>
      </c>
      <c r="J160" s="233">
        <f t="shared" ref="J160:L160" si="170">SUM(J161:J162)</f>
        <v>0</v>
      </c>
      <c r="K160" s="233">
        <f t="shared" si="170"/>
        <v>0</v>
      </c>
      <c r="L160" s="233">
        <f t="shared" si="170"/>
        <v>0</v>
      </c>
      <c r="M160" s="232">
        <f t="shared" si="145"/>
        <v>0</v>
      </c>
      <c r="N160" s="233">
        <v>0</v>
      </c>
      <c r="O160" s="233">
        <f t="shared" ref="O160:Q160" si="171">SUM(O161:O162)</f>
        <v>0</v>
      </c>
      <c r="P160" s="233">
        <f t="shared" si="171"/>
        <v>0</v>
      </c>
      <c r="Q160" s="232">
        <f t="shared" si="171"/>
        <v>0</v>
      </c>
      <c r="R160" s="232">
        <f t="shared" si="146"/>
        <v>0</v>
      </c>
    </row>
    <row r="161" spans="1:18" s="6" customFormat="1" ht="24" hidden="1" customHeight="1">
      <c r="A161" s="133">
        <v>9710</v>
      </c>
      <c r="B161" s="184" t="s">
        <v>195</v>
      </c>
      <c r="C161" s="204"/>
      <c r="D161" s="180">
        <v>0</v>
      </c>
      <c r="E161" s="252"/>
      <c r="F161" s="252"/>
      <c r="G161" s="252"/>
      <c r="H161" s="232">
        <f t="shared" si="144"/>
        <v>0</v>
      </c>
      <c r="I161" s="252">
        <v>0</v>
      </c>
      <c r="J161" s="252"/>
      <c r="K161" s="252"/>
      <c r="L161" s="252"/>
      <c r="M161" s="232">
        <f t="shared" si="145"/>
        <v>0</v>
      </c>
      <c r="N161" s="252">
        <v>0</v>
      </c>
      <c r="O161" s="252"/>
      <c r="P161" s="252"/>
      <c r="Q161" s="251"/>
      <c r="R161" s="232">
        <f t="shared" si="146"/>
        <v>0</v>
      </c>
    </row>
    <row r="162" spans="1:18" s="6" customFormat="1" ht="48" hidden="1" customHeight="1">
      <c r="A162" s="142">
        <v>9720</v>
      </c>
      <c r="B162" s="183" t="s">
        <v>196</v>
      </c>
      <c r="C162" s="204"/>
      <c r="D162" s="180">
        <v>0</v>
      </c>
      <c r="E162" s="252"/>
      <c r="F162" s="252"/>
      <c r="G162" s="252"/>
      <c r="H162" s="232">
        <f t="shared" si="144"/>
        <v>0</v>
      </c>
      <c r="I162" s="252">
        <v>0</v>
      </c>
      <c r="J162" s="252"/>
      <c r="K162" s="252"/>
      <c r="L162" s="252"/>
      <c r="M162" s="232">
        <f t="shared" si="145"/>
        <v>0</v>
      </c>
      <c r="N162" s="252">
        <v>0</v>
      </c>
      <c r="O162" s="252"/>
      <c r="P162" s="252"/>
      <c r="Q162" s="251"/>
      <c r="R162" s="232">
        <f t="shared" si="146"/>
        <v>0</v>
      </c>
    </row>
    <row r="163" spans="1:18" s="6" customFormat="1" ht="24" hidden="1" customHeight="1">
      <c r="A163" s="141">
        <v>9600</v>
      </c>
      <c r="B163" s="179" t="s">
        <v>134</v>
      </c>
      <c r="C163" s="204"/>
      <c r="D163" s="180">
        <v>0</v>
      </c>
      <c r="E163" s="252"/>
      <c r="F163" s="252"/>
      <c r="G163" s="252"/>
      <c r="H163" s="232">
        <f t="shared" si="144"/>
        <v>0</v>
      </c>
      <c r="I163" s="252">
        <v>0</v>
      </c>
      <c r="J163" s="252"/>
      <c r="K163" s="252"/>
      <c r="L163" s="252"/>
      <c r="M163" s="232">
        <f t="shared" si="145"/>
        <v>0</v>
      </c>
      <c r="N163" s="252">
        <v>0</v>
      </c>
      <c r="O163" s="252"/>
      <c r="P163" s="252"/>
      <c r="Q163" s="251"/>
      <c r="R163" s="232">
        <f t="shared" si="146"/>
        <v>0</v>
      </c>
    </row>
    <row r="164" spans="1:18" s="6" customFormat="1" ht="52.5" hidden="1" customHeight="1">
      <c r="A164" s="130" t="s">
        <v>197</v>
      </c>
      <c r="B164" s="185" t="s">
        <v>47</v>
      </c>
      <c r="C164" s="206"/>
      <c r="D164" s="186">
        <v>0</v>
      </c>
      <c r="E164" s="262">
        <f t="shared" ref="E164:G164" si="172">E94-E119</f>
        <v>0</v>
      </c>
      <c r="F164" s="262">
        <f t="shared" si="172"/>
        <v>0</v>
      </c>
      <c r="G164" s="262">
        <f t="shared" si="172"/>
        <v>0</v>
      </c>
      <c r="H164" s="232">
        <f t="shared" si="144"/>
        <v>0</v>
      </c>
      <c r="I164" s="262">
        <v>0</v>
      </c>
      <c r="J164" s="262">
        <f t="shared" ref="J164:L164" si="173">J94-J119</f>
        <v>0</v>
      </c>
      <c r="K164" s="262">
        <f t="shared" si="173"/>
        <v>0</v>
      </c>
      <c r="L164" s="262">
        <f t="shared" si="173"/>
        <v>0</v>
      </c>
      <c r="M164" s="232">
        <f t="shared" si="145"/>
        <v>0</v>
      </c>
      <c r="N164" s="262">
        <v>0</v>
      </c>
      <c r="O164" s="262">
        <f t="shared" ref="O164:Q164" si="174">O94-O119</f>
        <v>0</v>
      </c>
      <c r="P164" s="262">
        <f t="shared" si="174"/>
        <v>0</v>
      </c>
      <c r="Q164" s="261">
        <f t="shared" si="174"/>
        <v>0</v>
      </c>
      <c r="R164" s="232">
        <f t="shared" si="146"/>
        <v>0</v>
      </c>
    </row>
    <row r="165" spans="1:18" s="6" customFormat="1" ht="12" hidden="1" customHeight="1">
      <c r="A165" s="143" t="s">
        <v>48</v>
      </c>
      <c r="B165" s="185" t="s">
        <v>49</v>
      </c>
      <c r="C165" s="206">
        <v>0</v>
      </c>
      <c r="D165" s="186">
        <v>0</v>
      </c>
      <c r="E165" s="262">
        <f t="shared" ref="E165:G165" si="175">E166+E169+E173+E172</f>
        <v>0</v>
      </c>
      <c r="F165" s="262">
        <f t="shared" si="175"/>
        <v>0</v>
      </c>
      <c r="G165" s="262">
        <f t="shared" si="175"/>
        <v>0</v>
      </c>
      <c r="H165" s="232">
        <f t="shared" si="144"/>
        <v>0</v>
      </c>
      <c r="I165" s="262">
        <v>0</v>
      </c>
      <c r="J165" s="262">
        <f t="shared" ref="J165:L165" si="176">J166+J169+J173+J172</f>
        <v>0</v>
      </c>
      <c r="K165" s="262">
        <f t="shared" si="176"/>
        <v>0</v>
      </c>
      <c r="L165" s="262">
        <f t="shared" si="176"/>
        <v>0</v>
      </c>
      <c r="M165" s="232">
        <f t="shared" si="145"/>
        <v>0</v>
      </c>
      <c r="N165" s="262">
        <v>0</v>
      </c>
      <c r="O165" s="262">
        <f t="shared" ref="O165:Q165" si="177">O166+O169+O173+O172</f>
        <v>0</v>
      </c>
      <c r="P165" s="262">
        <f t="shared" si="177"/>
        <v>0</v>
      </c>
      <c r="Q165" s="261">
        <f t="shared" si="177"/>
        <v>0</v>
      </c>
      <c r="R165" s="232">
        <f t="shared" si="146"/>
        <v>0</v>
      </c>
    </row>
    <row r="166" spans="1:18" s="6" customFormat="1" ht="12" hidden="1" customHeight="1">
      <c r="A166" s="141" t="s">
        <v>50</v>
      </c>
      <c r="B166" s="179" t="s">
        <v>51</v>
      </c>
      <c r="C166" s="98">
        <v>0</v>
      </c>
      <c r="D166" s="169">
        <v>0</v>
      </c>
      <c r="E166" s="231">
        <f t="shared" ref="E166:G166" si="178">E167+E168</f>
        <v>0</v>
      </c>
      <c r="F166" s="231">
        <f t="shared" si="178"/>
        <v>0</v>
      </c>
      <c r="G166" s="231">
        <f t="shared" si="178"/>
        <v>0</v>
      </c>
      <c r="H166" s="232">
        <f t="shared" si="144"/>
        <v>0</v>
      </c>
      <c r="I166" s="231">
        <v>0</v>
      </c>
      <c r="J166" s="231">
        <f t="shared" ref="J166:L166" si="179">J167+J168</f>
        <v>0</v>
      </c>
      <c r="K166" s="231">
        <f t="shared" si="179"/>
        <v>0</v>
      </c>
      <c r="L166" s="231">
        <f t="shared" si="179"/>
        <v>0</v>
      </c>
      <c r="M166" s="232">
        <f t="shared" si="145"/>
        <v>0</v>
      </c>
      <c r="N166" s="231">
        <v>0</v>
      </c>
      <c r="O166" s="231">
        <f t="shared" ref="O166:Q166" si="180">O167+O168</f>
        <v>0</v>
      </c>
      <c r="P166" s="231">
        <f t="shared" si="180"/>
        <v>0</v>
      </c>
      <c r="Q166" s="230">
        <f t="shared" si="180"/>
        <v>0</v>
      </c>
      <c r="R166" s="232">
        <f t="shared" si="146"/>
        <v>0</v>
      </c>
    </row>
    <row r="167" spans="1:18" s="6" customFormat="1" ht="12" hidden="1" customHeight="1">
      <c r="A167" s="141" t="s">
        <v>52</v>
      </c>
      <c r="B167" s="179" t="s">
        <v>53</v>
      </c>
      <c r="C167" s="98"/>
      <c r="D167" s="169">
        <v>0</v>
      </c>
      <c r="E167" s="231"/>
      <c r="F167" s="231"/>
      <c r="G167" s="231"/>
      <c r="H167" s="232">
        <f t="shared" si="144"/>
        <v>0</v>
      </c>
      <c r="I167" s="231">
        <v>0</v>
      </c>
      <c r="J167" s="231"/>
      <c r="K167" s="231"/>
      <c r="L167" s="231"/>
      <c r="M167" s="232">
        <f t="shared" si="145"/>
        <v>0</v>
      </c>
      <c r="N167" s="231">
        <v>0</v>
      </c>
      <c r="O167" s="231"/>
      <c r="P167" s="231"/>
      <c r="Q167" s="230"/>
      <c r="R167" s="232">
        <f t="shared" si="146"/>
        <v>0</v>
      </c>
    </row>
    <row r="168" spans="1:18" s="6" customFormat="1" ht="12" hidden="1" customHeight="1">
      <c r="A168" s="141" t="s">
        <v>54</v>
      </c>
      <c r="B168" s="179" t="s">
        <v>55</v>
      </c>
      <c r="C168" s="98"/>
      <c r="D168" s="169">
        <v>0</v>
      </c>
      <c r="E168" s="231"/>
      <c r="F168" s="231"/>
      <c r="G168" s="231"/>
      <c r="H168" s="232">
        <f t="shared" si="144"/>
        <v>0</v>
      </c>
      <c r="I168" s="231">
        <v>0</v>
      </c>
      <c r="J168" s="231"/>
      <c r="K168" s="231"/>
      <c r="L168" s="231"/>
      <c r="M168" s="232">
        <f t="shared" si="145"/>
        <v>0</v>
      </c>
      <c r="N168" s="231">
        <v>0</v>
      </c>
      <c r="O168" s="231"/>
      <c r="P168" s="231"/>
      <c r="Q168" s="230"/>
      <c r="R168" s="232">
        <f t="shared" si="146"/>
        <v>0</v>
      </c>
    </row>
    <row r="169" spans="1:18" s="6" customFormat="1" ht="12" hidden="1" customHeight="1">
      <c r="A169" s="141" t="s">
        <v>56</v>
      </c>
      <c r="B169" s="179" t="s">
        <v>57</v>
      </c>
      <c r="C169" s="98">
        <v>0</v>
      </c>
      <c r="D169" s="169">
        <v>0</v>
      </c>
      <c r="E169" s="231">
        <f t="shared" ref="E169:G169" si="181">E170+E171</f>
        <v>0</v>
      </c>
      <c r="F169" s="231">
        <f t="shared" si="181"/>
        <v>0</v>
      </c>
      <c r="G169" s="231">
        <f t="shared" si="181"/>
        <v>0</v>
      </c>
      <c r="H169" s="232">
        <f t="shared" si="144"/>
        <v>0</v>
      </c>
      <c r="I169" s="231">
        <v>0</v>
      </c>
      <c r="J169" s="231">
        <f t="shared" ref="J169:L169" si="182">J170+J171</f>
        <v>0</v>
      </c>
      <c r="K169" s="231">
        <f t="shared" si="182"/>
        <v>0</v>
      </c>
      <c r="L169" s="231">
        <f t="shared" si="182"/>
        <v>0</v>
      </c>
      <c r="M169" s="232">
        <f t="shared" si="145"/>
        <v>0</v>
      </c>
      <c r="N169" s="231">
        <v>0</v>
      </c>
      <c r="O169" s="231">
        <f t="shared" ref="O169:Q169" si="183">O170+O171</f>
        <v>0</v>
      </c>
      <c r="P169" s="231">
        <f t="shared" si="183"/>
        <v>0</v>
      </c>
      <c r="Q169" s="230">
        <f t="shared" si="183"/>
        <v>0</v>
      </c>
      <c r="R169" s="232">
        <f t="shared" si="146"/>
        <v>0</v>
      </c>
    </row>
    <row r="170" spans="1:18" s="6" customFormat="1" ht="12" hidden="1" customHeight="1">
      <c r="A170" s="141" t="s">
        <v>58</v>
      </c>
      <c r="B170" s="179" t="s">
        <v>59</v>
      </c>
      <c r="C170" s="98"/>
      <c r="D170" s="169">
        <v>0</v>
      </c>
      <c r="E170" s="231"/>
      <c r="F170" s="231"/>
      <c r="G170" s="231"/>
      <c r="H170" s="232">
        <f t="shared" si="144"/>
        <v>0</v>
      </c>
      <c r="I170" s="231">
        <v>0</v>
      </c>
      <c r="J170" s="231"/>
      <c r="K170" s="231"/>
      <c r="L170" s="231"/>
      <c r="M170" s="232">
        <f t="shared" si="145"/>
        <v>0</v>
      </c>
      <c r="N170" s="231">
        <v>0</v>
      </c>
      <c r="O170" s="231"/>
      <c r="P170" s="231"/>
      <c r="Q170" s="230"/>
      <c r="R170" s="232">
        <f t="shared" si="146"/>
        <v>0</v>
      </c>
    </row>
    <row r="171" spans="1:18" s="6" customFormat="1" ht="12" hidden="1" customHeight="1">
      <c r="A171" s="141" t="s">
        <v>60</v>
      </c>
      <c r="B171" s="179" t="s">
        <v>61</v>
      </c>
      <c r="C171" s="98"/>
      <c r="D171" s="169">
        <v>0</v>
      </c>
      <c r="E171" s="231"/>
      <c r="F171" s="231"/>
      <c r="G171" s="231"/>
      <c r="H171" s="232">
        <f t="shared" si="144"/>
        <v>0</v>
      </c>
      <c r="I171" s="231">
        <v>0</v>
      </c>
      <c r="J171" s="231"/>
      <c r="K171" s="231"/>
      <c r="L171" s="231"/>
      <c r="M171" s="232">
        <f t="shared" si="145"/>
        <v>0</v>
      </c>
      <c r="N171" s="231">
        <v>0</v>
      </c>
      <c r="O171" s="231"/>
      <c r="P171" s="231"/>
      <c r="Q171" s="230"/>
      <c r="R171" s="232">
        <f t="shared" si="146"/>
        <v>0</v>
      </c>
    </row>
    <row r="172" spans="1:18" s="6" customFormat="1" ht="12" hidden="1" customHeight="1">
      <c r="A172" s="141" t="s">
        <v>198</v>
      </c>
      <c r="B172" s="187" t="s">
        <v>168</v>
      </c>
      <c r="C172" s="98"/>
      <c r="D172" s="169">
        <v>0</v>
      </c>
      <c r="E172" s="231"/>
      <c r="F172" s="231"/>
      <c r="G172" s="231"/>
      <c r="H172" s="232">
        <f t="shared" si="144"/>
        <v>0</v>
      </c>
      <c r="I172" s="231">
        <v>0</v>
      </c>
      <c r="J172" s="231"/>
      <c r="K172" s="231"/>
      <c r="L172" s="231"/>
      <c r="M172" s="232">
        <f t="shared" si="145"/>
        <v>0</v>
      </c>
      <c r="N172" s="231">
        <v>0</v>
      </c>
      <c r="O172" s="231"/>
      <c r="P172" s="231"/>
      <c r="Q172" s="230"/>
      <c r="R172" s="232">
        <f t="shared" si="146"/>
        <v>0</v>
      </c>
    </row>
    <row r="173" spans="1:18" s="6" customFormat="1" ht="12" hidden="1" customHeight="1">
      <c r="A173" s="144" t="s">
        <v>62</v>
      </c>
      <c r="B173" s="125" t="s">
        <v>63</v>
      </c>
      <c r="C173" s="170">
        <v>0</v>
      </c>
      <c r="D173" s="171">
        <v>0</v>
      </c>
      <c r="E173" s="233">
        <f t="shared" ref="E173:G173" si="184">E174+E175+E176</f>
        <v>0</v>
      </c>
      <c r="F173" s="233">
        <f t="shared" si="184"/>
        <v>0</v>
      </c>
      <c r="G173" s="233">
        <f t="shared" si="184"/>
        <v>0</v>
      </c>
      <c r="H173" s="232">
        <f t="shared" si="144"/>
        <v>0</v>
      </c>
      <c r="I173" s="233">
        <v>0</v>
      </c>
      <c r="J173" s="233">
        <f t="shared" ref="J173:L173" si="185">J174+J175+J176</f>
        <v>0</v>
      </c>
      <c r="K173" s="233">
        <f t="shared" si="185"/>
        <v>0</v>
      </c>
      <c r="L173" s="233">
        <f t="shared" si="185"/>
        <v>0</v>
      </c>
      <c r="M173" s="232">
        <f t="shared" si="145"/>
        <v>0</v>
      </c>
      <c r="N173" s="233">
        <v>0</v>
      </c>
      <c r="O173" s="233">
        <f t="shared" ref="O173:Q173" si="186">O174+O175+O176</f>
        <v>0</v>
      </c>
      <c r="P173" s="233">
        <f t="shared" si="186"/>
        <v>0</v>
      </c>
      <c r="Q173" s="232">
        <f t="shared" si="186"/>
        <v>0</v>
      </c>
      <c r="R173" s="232">
        <f t="shared" si="146"/>
        <v>0</v>
      </c>
    </row>
    <row r="174" spans="1:18" s="6" customFormat="1" ht="36" hidden="1" customHeight="1">
      <c r="A174" s="144" t="s">
        <v>64</v>
      </c>
      <c r="B174" s="179" t="s">
        <v>65</v>
      </c>
      <c r="C174" s="98"/>
      <c r="D174" s="169">
        <v>0</v>
      </c>
      <c r="E174" s="231"/>
      <c r="F174" s="231"/>
      <c r="G174" s="231"/>
      <c r="H174" s="232">
        <f t="shared" si="144"/>
        <v>0</v>
      </c>
      <c r="I174" s="231">
        <v>0</v>
      </c>
      <c r="J174" s="231"/>
      <c r="K174" s="231"/>
      <c r="L174" s="231"/>
      <c r="M174" s="232">
        <f t="shared" si="145"/>
        <v>0</v>
      </c>
      <c r="N174" s="231">
        <v>0</v>
      </c>
      <c r="O174" s="231"/>
      <c r="P174" s="231"/>
      <c r="Q174" s="230"/>
      <c r="R174" s="232">
        <f t="shared" si="146"/>
        <v>0</v>
      </c>
    </row>
    <row r="175" spans="1:18" s="6" customFormat="1" ht="36" hidden="1" customHeight="1">
      <c r="A175" s="144" t="s">
        <v>66</v>
      </c>
      <c r="B175" s="179" t="s">
        <v>67</v>
      </c>
      <c r="C175" s="98"/>
      <c r="D175" s="169">
        <v>0</v>
      </c>
      <c r="E175" s="231"/>
      <c r="F175" s="231"/>
      <c r="G175" s="231"/>
      <c r="H175" s="232">
        <f t="shared" si="144"/>
        <v>0</v>
      </c>
      <c r="I175" s="231">
        <v>0</v>
      </c>
      <c r="J175" s="231"/>
      <c r="K175" s="231"/>
      <c r="L175" s="231"/>
      <c r="M175" s="232">
        <f t="shared" si="145"/>
        <v>0</v>
      </c>
      <c r="N175" s="231">
        <v>0</v>
      </c>
      <c r="O175" s="231"/>
      <c r="P175" s="231"/>
      <c r="Q175" s="230"/>
      <c r="R175" s="232">
        <f t="shared" si="146"/>
        <v>0</v>
      </c>
    </row>
    <row r="176" spans="1:18" s="6" customFormat="1" ht="24" hidden="1" customHeight="1">
      <c r="A176" s="144" t="s">
        <v>68</v>
      </c>
      <c r="B176" s="125" t="s">
        <v>69</v>
      </c>
      <c r="C176" s="98"/>
      <c r="D176" s="169">
        <v>0</v>
      </c>
      <c r="E176" s="231"/>
      <c r="F176" s="231"/>
      <c r="G176" s="231"/>
      <c r="H176" s="232">
        <f t="shared" si="144"/>
        <v>0</v>
      </c>
      <c r="I176" s="231">
        <v>0</v>
      </c>
      <c r="J176" s="231"/>
      <c r="K176" s="231"/>
      <c r="L176" s="231"/>
      <c r="M176" s="232">
        <f t="shared" si="145"/>
        <v>0</v>
      </c>
      <c r="N176" s="231">
        <v>0</v>
      </c>
      <c r="O176" s="231"/>
      <c r="P176" s="231"/>
      <c r="Q176" s="230"/>
      <c r="R176" s="232">
        <f t="shared" si="146"/>
        <v>0</v>
      </c>
    </row>
    <row r="177" spans="1:18" s="6" customFormat="1" ht="34.200000000000003">
      <c r="A177" s="145"/>
      <c r="B177" s="188" t="s">
        <v>200</v>
      </c>
      <c r="C177" s="207"/>
      <c r="D177" s="189">
        <v>0</v>
      </c>
      <c r="E177" s="268"/>
      <c r="F177" s="268"/>
      <c r="G177" s="347"/>
      <c r="H177" s="269">
        <f t="shared" si="144"/>
        <v>0</v>
      </c>
      <c r="I177" s="347">
        <v>0</v>
      </c>
      <c r="J177" s="268"/>
      <c r="K177" s="268"/>
      <c r="L177" s="347"/>
      <c r="M177" s="269">
        <f t="shared" si="145"/>
        <v>0</v>
      </c>
      <c r="N177" s="347">
        <v>0</v>
      </c>
      <c r="O177" s="268"/>
      <c r="P177" s="268"/>
      <c r="Q177" s="269"/>
      <c r="R177" s="269">
        <f t="shared" si="146"/>
        <v>0</v>
      </c>
    </row>
    <row r="178" spans="1:18" s="6" customFormat="1" ht="21" hidden="1" customHeight="1">
      <c r="A178" s="129" t="s">
        <v>201</v>
      </c>
      <c r="B178" s="123" t="s">
        <v>88</v>
      </c>
      <c r="C178" s="200">
        <v>0</v>
      </c>
      <c r="D178" s="167">
        <v>0</v>
      </c>
      <c r="E178" s="228">
        <f t="shared" ref="E178:G178" si="187">E179+E180+E182+E200</f>
        <v>0</v>
      </c>
      <c r="F178" s="228">
        <f t="shared" si="187"/>
        <v>0</v>
      </c>
      <c r="G178" s="228">
        <f t="shared" si="187"/>
        <v>0</v>
      </c>
      <c r="H178" s="229">
        <f t="shared" si="144"/>
        <v>0</v>
      </c>
      <c r="I178" s="228">
        <v>0</v>
      </c>
      <c r="J178" s="228">
        <f t="shared" ref="J178:L178" si="188">J179+J180+J182+J200</f>
        <v>0</v>
      </c>
      <c r="K178" s="228">
        <f t="shared" si="188"/>
        <v>0</v>
      </c>
      <c r="L178" s="228">
        <f t="shared" si="188"/>
        <v>0</v>
      </c>
      <c r="M178" s="229">
        <f t="shared" si="145"/>
        <v>0</v>
      </c>
      <c r="N178" s="228">
        <v>0</v>
      </c>
      <c r="O178" s="228">
        <f t="shared" ref="O178:Q178" si="189">O179+O180+O182+O200</f>
        <v>0</v>
      </c>
      <c r="P178" s="228">
        <f t="shared" si="189"/>
        <v>0</v>
      </c>
      <c r="Q178" s="227">
        <f t="shared" si="189"/>
        <v>0</v>
      </c>
      <c r="R178" s="229">
        <f t="shared" si="146"/>
        <v>0</v>
      </c>
    </row>
    <row r="179" spans="1:18" s="6" customFormat="1" ht="24" hidden="1" customHeight="1">
      <c r="A179" s="130" t="s">
        <v>177</v>
      </c>
      <c r="B179" s="124" t="s">
        <v>90</v>
      </c>
      <c r="C179" s="98"/>
      <c r="D179" s="169">
        <v>0</v>
      </c>
      <c r="E179" s="231"/>
      <c r="F179" s="231"/>
      <c r="G179" s="231"/>
      <c r="H179" s="232">
        <f t="shared" si="144"/>
        <v>0</v>
      </c>
      <c r="I179" s="231">
        <v>0</v>
      </c>
      <c r="J179" s="231"/>
      <c r="K179" s="231"/>
      <c r="L179" s="231"/>
      <c r="M179" s="232">
        <f t="shared" si="145"/>
        <v>0</v>
      </c>
      <c r="N179" s="231">
        <v>0</v>
      </c>
      <c r="O179" s="231"/>
      <c r="P179" s="231"/>
      <c r="Q179" s="230"/>
      <c r="R179" s="232">
        <f t="shared" si="146"/>
        <v>0</v>
      </c>
    </row>
    <row r="180" spans="1:18" s="6" customFormat="1" ht="12" hidden="1" customHeight="1">
      <c r="A180" s="130" t="s">
        <v>91</v>
      </c>
      <c r="B180" s="124" t="s">
        <v>92</v>
      </c>
      <c r="C180" s="98"/>
      <c r="D180" s="169">
        <v>0</v>
      </c>
      <c r="E180" s="231"/>
      <c r="F180" s="231"/>
      <c r="G180" s="231"/>
      <c r="H180" s="232">
        <f t="shared" si="144"/>
        <v>0</v>
      </c>
      <c r="I180" s="231">
        <v>0</v>
      </c>
      <c r="J180" s="231"/>
      <c r="K180" s="231"/>
      <c r="L180" s="231"/>
      <c r="M180" s="232">
        <f t="shared" si="145"/>
        <v>0</v>
      </c>
      <c r="N180" s="231">
        <v>0</v>
      </c>
      <c r="O180" s="231"/>
      <c r="P180" s="231"/>
      <c r="Q180" s="230"/>
      <c r="R180" s="232">
        <f t="shared" si="146"/>
        <v>0</v>
      </c>
    </row>
    <row r="181" spans="1:18" s="29" customFormat="1" ht="24" hidden="1" customHeight="1">
      <c r="A181" s="131">
        <v>21210</v>
      </c>
      <c r="B181" s="125" t="s">
        <v>93</v>
      </c>
      <c r="C181" s="98"/>
      <c r="D181" s="169">
        <v>0</v>
      </c>
      <c r="E181" s="231"/>
      <c r="F181" s="231"/>
      <c r="G181" s="231"/>
      <c r="H181" s="232">
        <f t="shared" si="144"/>
        <v>0</v>
      </c>
      <c r="I181" s="231">
        <v>0</v>
      </c>
      <c r="J181" s="231"/>
      <c r="K181" s="231"/>
      <c r="L181" s="231"/>
      <c r="M181" s="232">
        <f t="shared" si="145"/>
        <v>0</v>
      </c>
      <c r="N181" s="231">
        <v>0</v>
      </c>
      <c r="O181" s="231"/>
      <c r="P181" s="231"/>
      <c r="Q181" s="230"/>
      <c r="R181" s="232">
        <f t="shared" si="146"/>
        <v>0</v>
      </c>
    </row>
    <row r="182" spans="1:18" s="89" customFormat="1" ht="21" hidden="1" customHeight="1">
      <c r="A182" s="130" t="s">
        <v>178</v>
      </c>
      <c r="B182" s="124" t="s">
        <v>94</v>
      </c>
      <c r="C182" s="170">
        <v>0</v>
      </c>
      <c r="D182" s="171">
        <v>0</v>
      </c>
      <c r="E182" s="233">
        <f t="shared" ref="E182:G182" si="190">E183+E189</f>
        <v>0</v>
      </c>
      <c r="F182" s="233">
        <f t="shared" si="190"/>
        <v>0</v>
      </c>
      <c r="G182" s="233">
        <f t="shared" si="190"/>
        <v>0</v>
      </c>
      <c r="H182" s="232">
        <f t="shared" si="144"/>
        <v>0</v>
      </c>
      <c r="I182" s="233">
        <v>0</v>
      </c>
      <c r="J182" s="233">
        <f t="shared" ref="J182:L182" si="191">J183+J189</f>
        <v>0</v>
      </c>
      <c r="K182" s="233">
        <f t="shared" si="191"/>
        <v>0</v>
      </c>
      <c r="L182" s="233">
        <f t="shared" si="191"/>
        <v>0</v>
      </c>
      <c r="M182" s="232">
        <f t="shared" si="145"/>
        <v>0</v>
      </c>
      <c r="N182" s="233">
        <v>0</v>
      </c>
      <c r="O182" s="233">
        <f t="shared" ref="O182:Q182" si="192">O183+O189</f>
        <v>0</v>
      </c>
      <c r="P182" s="233">
        <f t="shared" si="192"/>
        <v>0</v>
      </c>
      <c r="Q182" s="232">
        <f t="shared" si="192"/>
        <v>0</v>
      </c>
      <c r="R182" s="232">
        <f t="shared" si="146"/>
        <v>0</v>
      </c>
    </row>
    <row r="183" spans="1:18" s="89" customFormat="1" ht="12" hidden="1" customHeight="1">
      <c r="A183" s="132">
        <v>18000</v>
      </c>
      <c r="B183" s="125" t="s">
        <v>95</v>
      </c>
      <c r="C183" s="170">
        <v>0</v>
      </c>
      <c r="D183" s="171">
        <v>0</v>
      </c>
      <c r="E183" s="233">
        <f t="shared" ref="E183:L184" si="193">E184</f>
        <v>0</v>
      </c>
      <c r="F183" s="233">
        <f t="shared" si="193"/>
        <v>0</v>
      </c>
      <c r="G183" s="233">
        <f t="shared" si="193"/>
        <v>0</v>
      </c>
      <c r="H183" s="232">
        <f t="shared" si="144"/>
        <v>0</v>
      </c>
      <c r="I183" s="233">
        <v>0</v>
      </c>
      <c r="J183" s="233">
        <f t="shared" si="193"/>
        <v>0</v>
      </c>
      <c r="K183" s="233">
        <f t="shared" si="193"/>
        <v>0</v>
      </c>
      <c r="L183" s="233">
        <f t="shared" si="193"/>
        <v>0</v>
      </c>
      <c r="M183" s="232">
        <f t="shared" si="145"/>
        <v>0</v>
      </c>
      <c r="N183" s="233">
        <v>0</v>
      </c>
      <c r="O183" s="233">
        <f t="shared" ref="O183:Q184" si="194">O184</f>
        <v>0</v>
      </c>
      <c r="P183" s="233">
        <f t="shared" si="194"/>
        <v>0</v>
      </c>
      <c r="Q183" s="232">
        <f t="shared" si="194"/>
        <v>0</v>
      </c>
      <c r="R183" s="232">
        <f t="shared" si="146"/>
        <v>0</v>
      </c>
    </row>
    <row r="184" spans="1:18" s="89" customFormat="1" ht="12" hidden="1" customHeight="1">
      <c r="A184" s="132">
        <v>18100</v>
      </c>
      <c r="B184" s="125" t="s">
        <v>96</v>
      </c>
      <c r="C184" s="170">
        <v>0</v>
      </c>
      <c r="D184" s="171">
        <v>0</v>
      </c>
      <c r="E184" s="233">
        <f t="shared" si="193"/>
        <v>0</v>
      </c>
      <c r="F184" s="233">
        <f t="shared" si="193"/>
        <v>0</v>
      </c>
      <c r="G184" s="233">
        <f t="shared" si="193"/>
        <v>0</v>
      </c>
      <c r="H184" s="232">
        <f t="shared" si="144"/>
        <v>0</v>
      </c>
      <c r="I184" s="233">
        <v>0</v>
      </c>
      <c r="J184" s="233">
        <f t="shared" si="193"/>
        <v>0</v>
      </c>
      <c r="K184" s="233">
        <f t="shared" si="193"/>
        <v>0</v>
      </c>
      <c r="L184" s="233">
        <f t="shared" si="193"/>
        <v>0</v>
      </c>
      <c r="M184" s="232">
        <f t="shared" si="145"/>
        <v>0</v>
      </c>
      <c r="N184" s="233">
        <v>0</v>
      </c>
      <c r="O184" s="233">
        <f t="shared" si="194"/>
        <v>0</v>
      </c>
      <c r="P184" s="233">
        <f t="shared" si="194"/>
        <v>0</v>
      </c>
      <c r="Q184" s="232">
        <f t="shared" si="194"/>
        <v>0</v>
      </c>
      <c r="R184" s="232">
        <f t="shared" si="146"/>
        <v>0</v>
      </c>
    </row>
    <row r="185" spans="1:18" s="89" customFormat="1" ht="24" hidden="1" customHeight="1">
      <c r="A185" s="133">
        <v>18130</v>
      </c>
      <c r="B185" s="172" t="s">
        <v>159</v>
      </c>
      <c r="C185" s="170">
        <v>0</v>
      </c>
      <c r="D185" s="171">
        <v>0</v>
      </c>
      <c r="E185" s="233">
        <f t="shared" ref="E185:G185" si="195">SUM(E186:E188)</f>
        <v>0</v>
      </c>
      <c r="F185" s="233">
        <f t="shared" ref="F185" si="196">SUM(F186:F188)</f>
        <v>0</v>
      </c>
      <c r="G185" s="233">
        <f t="shared" si="195"/>
        <v>0</v>
      </c>
      <c r="H185" s="232">
        <f t="shared" si="144"/>
        <v>0</v>
      </c>
      <c r="I185" s="233">
        <v>0</v>
      </c>
      <c r="J185" s="233">
        <f t="shared" ref="J185:L185" si="197">SUM(J186:J188)</f>
        <v>0</v>
      </c>
      <c r="K185" s="233">
        <f t="shared" si="197"/>
        <v>0</v>
      </c>
      <c r="L185" s="233">
        <f t="shared" si="197"/>
        <v>0</v>
      </c>
      <c r="M185" s="232">
        <f t="shared" si="145"/>
        <v>0</v>
      </c>
      <c r="N185" s="233">
        <v>0</v>
      </c>
      <c r="O185" s="233">
        <f t="shared" ref="O185:Q185" si="198">SUM(O186:O188)</f>
        <v>0</v>
      </c>
      <c r="P185" s="233">
        <f t="shared" si="198"/>
        <v>0</v>
      </c>
      <c r="Q185" s="232">
        <f t="shared" si="198"/>
        <v>0</v>
      </c>
      <c r="R185" s="232">
        <f t="shared" si="146"/>
        <v>0</v>
      </c>
    </row>
    <row r="186" spans="1:18" s="89" customFormat="1" ht="36" hidden="1" customHeight="1">
      <c r="A186" s="134">
        <v>18131</v>
      </c>
      <c r="B186" s="172" t="s">
        <v>160</v>
      </c>
      <c r="C186" s="170"/>
      <c r="D186" s="171">
        <v>0</v>
      </c>
      <c r="E186" s="233"/>
      <c r="F186" s="233"/>
      <c r="G186" s="233"/>
      <c r="H186" s="232">
        <f t="shared" si="144"/>
        <v>0</v>
      </c>
      <c r="I186" s="233">
        <v>0</v>
      </c>
      <c r="J186" s="233"/>
      <c r="K186" s="233"/>
      <c r="L186" s="233"/>
      <c r="M186" s="232">
        <f t="shared" si="145"/>
        <v>0</v>
      </c>
      <c r="N186" s="233">
        <v>0</v>
      </c>
      <c r="O186" s="233"/>
      <c r="P186" s="233"/>
      <c r="Q186" s="232"/>
      <c r="R186" s="232">
        <f t="shared" si="146"/>
        <v>0</v>
      </c>
    </row>
    <row r="187" spans="1:18" s="89" customFormat="1" ht="24" hidden="1" customHeight="1">
      <c r="A187" s="134">
        <v>18132</v>
      </c>
      <c r="B187" s="172" t="s">
        <v>169</v>
      </c>
      <c r="C187" s="170"/>
      <c r="D187" s="171">
        <v>0</v>
      </c>
      <c r="E187" s="233"/>
      <c r="F187" s="233"/>
      <c r="G187" s="233"/>
      <c r="H187" s="232">
        <f t="shared" si="144"/>
        <v>0</v>
      </c>
      <c r="I187" s="233">
        <v>0</v>
      </c>
      <c r="J187" s="233"/>
      <c r="K187" s="233"/>
      <c r="L187" s="233"/>
      <c r="M187" s="232">
        <f t="shared" si="145"/>
        <v>0</v>
      </c>
      <c r="N187" s="233">
        <v>0</v>
      </c>
      <c r="O187" s="233"/>
      <c r="P187" s="233"/>
      <c r="Q187" s="232"/>
      <c r="R187" s="232">
        <f t="shared" si="146"/>
        <v>0</v>
      </c>
    </row>
    <row r="188" spans="1:18" s="89" customFormat="1" ht="24" hidden="1" customHeight="1">
      <c r="A188" s="134">
        <v>18139</v>
      </c>
      <c r="B188" s="172" t="s">
        <v>179</v>
      </c>
      <c r="C188" s="170"/>
      <c r="D188" s="171">
        <v>0</v>
      </c>
      <c r="E188" s="233"/>
      <c r="F188" s="233"/>
      <c r="G188" s="233"/>
      <c r="H188" s="232">
        <f t="shared" si="144"/>
        <v>0</v>
      </c>
      <c r="I188" s="233">
        <v>0</v>
      </c>
      <c r="J188" s="233"/>
      <c r="K188" s="233"/>
      <c r="L188" s="233"/>
      <c r="M188" s="232">
        <f t="shared" si="145"/>
        <v>0</v>
      </c>
      <c r="N188" s="233">
        <v>0</v>
      </c>
      <c r="O188" s="233"/>
      <c r="P188" s="233"/>
      <c r="Q188" s="232"/>
      <c r="R188" s="232">
        <f t="shared" si="146"/>
        <v>0</v>
      </c>
    </row>
    <row r="189" spans="1:18" s="89" customFormat="1" ht="12" hidden="1" customHeight="1">
      <c r="A189" s="135" t="s">
        <v>180</v>
      </c>
      <c r="B189" s="173" t="s">
        <v>173</v>
      </c>
      <c r="C189" s="201">
        <v>0</v>
      </c>
      <c r="D189" s="174">
        <v>0</v>
      </c>
      <c r="E189" s="238">
        <f t="shared" ref="E189:L189" si="199">E190</f>
        <v>0</v>
      </c>
      <c r="F189" s="238">
        <f t="shared" si="199"/>
        <v>0</v>
      </c>
      <c r="G189" s="238">
        <f t="shared" si="199"/>
        <v>0</v>
      </c>
      <c r="H189" s="232">
        <f t="shared" si="144"/>
        <v>0</v>
      </c>
      <c r="I189" s="238">
        <v>0</v>
      </c>
      <c r="J189" s="238">
        <f t="shared" si="199"/>
        <v>0</v>
      </c>
      <c r="K189" s="238">
        <f t="shared" si="199"/>
        <v>0</v>
      </c>
      <c r="L189" s="238">
        <f t="shared" si="199"/>
        <v>0</v>
      </c>
      <c r="M189" s="232">
        <f t="shared" si="145"/>
        <v>0</v>
      </c>
      <c r="N189" s="238">
        <v>0</v>
      </c>
      <c r="O189" s="238">
        <f t="shared" ref="O189:Q189" si="200">O190</f>
        <v>0</v>
      </c>
      <c r="P189" s="238">
        <f t="shared" si="200"/>
        <v>0</v>
      </c>
      <c r="Q189" s="237">
        <f t="shared" si="200"/>
        <v>0</v>
      </c>
      <c r="R189" s="232">
        <f t="shared" si="146"/>
        <v>0</v>
      </c>
    </row>
    <row r="190" spans="1:18" s="89" customFormat="1" ht="24" hidden="1" customHeight="1">
      <c r="A190" s="135">
        <v>19500</v>
      </c>
      <c r="B190" s="172" t="s">
        <v>174</v>
      </c>
      <c r="C190" s="170">
        <v>0</v>
      </c>
      <c r="D190" s="171">
        <v>0</v>
      </c>
      <c r="E190" s="233">
        <f t="shared" ref="E190:G190" si="201">SUM(E191:E193)</f>
        <v>0</v>
      </c>
      <c r="F190" s="233">
        <f t="shared" si="201"/>
        <v>0</v>
      </c>
      <c r="G190" s="233">
        <f t="shared" si="201"/>
        <v>0</v>
      </c>
      <c r="H190" s="232">
        <f t="shared" si="144"/>
        <v>0</v>
      </c>
      <c r="I190" s="233">
        <v>0</v>
      </c>
      <c r="J190" s="233">
        <f t="shared" ref="J190:L190" si="202">SUM(J191:J193)</f>
        <v>0</v>
      </c>
      <c r="K190" s="233">
        <f t="shared" si="202"/>
        <v>0</v>
      </c>
      <c r="L190" s="233">
        <f t="shared" si="202"/>
        <v>0</v>
      </c>
      <c r="M190" s="232">
        <f t="shared" si="145"/>
        <v>0</v>
      </c>
      <c r="N190" s="233">
        <v>0</v>
      </c>
      <c r="O190" s="233">
        <f t="shared" ref="O190:Q190" si="203">SUM(O191:O193)</f>
        <v>0</v>
      </c>
      <c r="P190" s="233">
        <f t="shared" si="203"/>
        <v>0</v>
      </c>
      <c r="Q190" s="232">
        <f t="shared" si="203"/>
        <v>0</v>
      </c>
      <c r="R190" s="232">
        <f t="shared" si="146"/>
        <v>0</v>
      </c>
    </row>
    <row r="191" spans="1:18" s="89" customFormat="1" ht="24" hidden="1" customHeight="1">
      <c r="A191" s="136">
        <v>19550</v>
      </c>
      <c r="B191" s="172" t="s">
        <v>175</v>
      </c>
      <c r="C191" s="170"/>
      <c r="D191" s="171">
        <v>0</v>
      </c>
      <c r="E191" s="233"/>
      <c r="F191" s="233"/>
      <c r="G191" s="233"/>
      <c r="H191" s="232">
        <f t="shared" si="144"/>
        <v>0</v>
      </c>
      <c r="I191" s="233">
        <v>0</v>
      </c>
      <c r="J191" s="233"/>
      <c r="K191" s="233"/>
      <c r="L191" s="233"/>
      <c r="M191" s="232">
        <f t="shared" si="145"/>
        <v>0</v>
      </c>
      <c r="N191" s="233">
        <v>0</v>
      </c>
      <c r="O191" s="233"/>
      <c r="P191" s="233"/>
      <c r="Q191" s="232"/>
      <c r="R191" s="232">
        <f t="shared" si="146"/>
        <v>0</v>
      </c>
    </row>
    <row r="192" spans="1:18" s="89" customFormat="1" ht="36" hidden="1" customHeight="1">
      <c r="A192" s="136">
        <v>19560</v>
      </c>
      <c r="B192" s="172" t="s">
        <v>181</v>
      </c>
      <c r="C192" s="170"/>
      <c r="D192" s="171">
        <v>0</v>
      </c>
      <c r="E192" s="233"/>
      <c r="F192" s="233"/>
      <c r="G192" s="233"/>
      <c r="H192" s="232">
        <f t="shared" si="144"/>
        <v>0</v>
      </c>
      <c r="I192" s="233">
        <v>0</v>
      </c>
      <c r="J192" s="233"/>
      <c r="K192" s="233"/>
      <c r="L192" s="233"/>
      <c r="M192" s="232">
        <f t="shared" si="145"/>
        <v>0</v>
      </c>
      <c r="N192" s="233">
        <v>0</v>
      </c>
      <c r="O192" s="233"/>
      <c r="P192" s="233"/>
      <c r="Q192" s="232"/>
      <c r="R192" s="232">
        <f t="shared" si="146"/>
        <v>0</v>
      </c>
    </row>
    <row r="193" spans="1:18" s="89" customFormat="1" ht="72" hidden="1" customHeight="1">
      <c r="A193" s="136">
        <v>19570</v>
      </c>
      <c r="B193" s="172" t="s">
        <v>182</v>
      </c>
      <c r="C193" s="170"/>
      <c r="D193" s="171">
        <v>0</v>
      </c>
      <c r="E193" s="233"/>
      <c r="F193" s="233"/>
      <c r="G193" s="233"/>
      <c r="H193" s="232">
        <f t="shared" si="144"/>
        <v>0</v>
      </c>
      <c r="I193" s="233">
        <v>0</v>
      </c>
      <c r="J193" s="233"/>
      <c r="K193" s="233"/>
      <c r="L193" s="233"/>
      <c r="M193" s="232">
        <f t="shared" si="145"/>
        <v>0</v>
      </c>
      <c r="N193" s="233">
        <v>0</v>
      </c>
      <c r="O193" s="233"/>
      <c r="P193" s="233"/>
      <c r="Q193" s="232"/>
      <c r="R193" s="232">
        <f t="shared" si="146"/>
        <v>0</v>
      </c>
    </row>
    <row r="194" spans="1:18" s="6" customFormat="1" ht="36" hidden="1" customHeight="1">
      <c r="A194" s="209" t="s">
        <v>222</v>
      </c>
      <c r="B194" s="208" t="s">
        <v>216</v>
      </c>
      <c r="C194" s="106">
        <f>C195</f>
        <v>0</v>
      </c>
      <c r="D194" s="106">
        <v>0</v>
      </c>
      <c r="E194" s="232">
        <f t="shared" ref="E194:L194" si="204">E195</f>
        <v>0</v>
      </c>
      <c r="F194" s="232">
        <f t="shared" si="204"/>
        <v>0</v>
      </c>
      <c r="G194" s="232">
        <f t="shared" si="204"/>
        <v>0</v>
      </c>
      <c r="H194" s="232">
        <f t="shared" si="144"/>
        <v>0</v>
      </c>
      <c r="I194" s="233">
        <v>0</v>
      </c>
      <c r="J194" s="232">
        <f t="shared" si="204"/>
        <v>0</v>
      </c>
      <c r="K194" s="232">
        <f t="shared" si="204"/>
        <v>0</v>
      </c>
      <c r="L194" s="232">
        <f t="shared" si="204"/>
        <v>0</v>
      </c>
      <c r="M194" s="232">
        <f t="shared" si="145"/>
        <v>0</v>
      </c>
      <c r="N194" s="233">
        <v>0</v>
      </c>
      <c r="O194" s="232">
        <f t="shared" ref="O194:Q194" si="205">O195</f>
        <v>0</v>
      </c>
      <c r="P194" s="232">
        <f t="shared" si="205"/>
        <v>0</v>
      </c>
      <c r="Q194" s="232">
        <f t="shared" si="205"/>
        <v>0</v>
      </c>
      <c r="R194" s="232">
        <f t="shared" si="146"/>
        <v>0</v>
      </c>
    </row>
    <row r="195" spans="1:18" s="6" customFormat="1" ht="36" hidden="1" customHeight="1">
      <c r="A195" s="209">
        <v>17100</v>
      </c>
      <c r="B195" s="208" t="s">
        <v>217</v>
      </c>
      <c r="C195" s="106">
        <f>SUM(C196:C199)</f>
        <v>0</v>
      </c>
      <c r="D195" s="106">
        <v>0</v>
      </c>
      <c r="E195" s="232">
        <f t="shared" ref="E195:G195" si="206">SUM(E196:E199)</f>
        <v>0</v>
      </c>
      <c r="F195" s="232">
        <f t="shared" si="206"/>
        <v>0</v>
      </c>
      <c r="G195" s="232">
        <f t="shared" si="206"/>
        <v>0</v>
      </c>
      <c r="H195" s="232">
        <f t="shared" si="144"/>
        <v>0</v>
      </c>
      <c r="I195" s="233">
        <v>0</v>
      </c>
      <c r="J195" s="232">
        <f t="shared" ref="J195:L195" si="207">SUM(J196:J199)</f>
        <v>0</v>
      </c>
      <c r="K195" s="232">
        <f t="shared" si="207"/>
        <v>0</v>
      </c>
      <c r="L195" s="232">
        <f t="shared" si="207"/>
        <v>0</v>
      </c>
      <c r="M195" s="232">
        <f t="shared" si="145"/>
        <v>0</v>
      </c>
      <c r="N195" s="233">
        <v>0</v>
      </c>
      <c r="O195" s="232">
        <f t="shared" ref="O195:Q195" si="208">SUM(O196:O199)</f>
        <v>0</v>
      </c>
      <c r="P195" s="232">
        <f t="shared" si="208"/>
        <v>0</v>
      </c>
      <c r="Q195" s="232">
        <f t="shared" si="208"/>
        <v>0</v>
      </c>
      <c r="R195" s="232">
        <f t="shared" si="146"/>
        <v>0</v>
      </c>
    </row>
    <row r="196" spans="1:18" s="6" customFormat="1" ht="60" hidden="1" customHeight="1">
      <c r="A196" s="149">
        <v>17110</v>
      </c>
      <c r="B196" s="208" t="s">
        <v>218</v>
      </c>
      <c r="C196" s="106"/>
      <c r="D196" s="107">
        <v>0</v>
      </c>
      <c r="E196" s="233"/>
      <c r="F196" s="233"/>
      <c r="G196" s="233"/>
      <c r="H196" s="232">
        <f t="shared" si="144"/>
        <v>0</v>
      </c>
      <c r="I196" s="233">
        <v>0</v>
      </c>
      <c r="J196" s="233"/>
      <c r="K196" s="233"/>
      <c r="L196" s="233"/>
      <c r="M196" s="232">
        <f t="shared" si="145"/>
        <v>0</v>
      </c>
      <c r="N196" s="233">
        <v>0</v>
      </c>
      <c r="O196" s="233"/>
      <c r="P196" s="233"/>
      <c r="Q196" s="232"/>
      <c r="R196" s="232">
        <f t="shared" si="146"/>
        <v>0</v>
      </c>
    </row>
    <row r="197" spans="1:18" s="6" customFormat="1" ht="60" hidden="1" customHeight="1">
      <c r="A197" s="149">
        <v>17120</v>
      </c>
      <c r="B197" s="208" t="s">
        <v>219</v>
      </c>
      <c r="C197" s="106"/>
      <c r="D197" s="107">
        <v>0</v>
      </c>
      <c r="E197" s="233"/>
      <c r="F197" s="233"/>
      <c r="G197" s="233"/>
      <c r="H197" s="232">
        <f t="shared" si="144"/>
        <v>0</v>
      </c>
      <c r="I197" s="233">
        <v>0</v>
      </c>
      <c r="J197" s="233"/>
      <c r="K197" s="233"/>
      <c r="L197" s="233"/>
      <c r="M197" s="232">
        <f t="shared" si="145"/>
        <v>0</v>
      </c>
      <c r="N197" s="233">
        <v>0</v>
      </c>
      <c r="O197" s="233"/>
      <c r="P197" s="233"/>
      <c r="Q197" s="232"/>
      <c r="R197" s="232">
        <f t="shared" si="146"/>
        <v>0</v>
      </c>
    </row>
    <row r="198" spans="1:18" s="6" customFormat="1" ht="108" hidden="1" customHeight="1">
      <c r="A198" s="149">
        <v>17130</v>
      </c>
      <c r="B198" s="208" t="s">
        <v>220</v>
      </c>
      <c r="C198" s="106"/>
      <c r="D198" s="107">
        <v>0</v>
      </c>
      <c r="E198" s="233"/>
      <c r="F198" s="233"/>
      <c r="G198" s="233"/>
      <c r="H198" s="232">
        <f t="shared" si="144"/>
        <v>0</v>
      </c>
      <c r="I198" s="233">
        <v>0</v>
      </c>
      <c r="J198" s="233"/>
      <c r="K198" s="233"/>
      <c r="L198" s="233"/>
      <c r="M198" s="232">
        <f t="shared" si="145"/>
        <v>0</v>
      </c>
      <c r="N198" s="233">
        <v>0</v>
      </c>
      <c r="O198" s="233"/>
      <c r="P198" s="233"/>
      <c r="Q198" s="232"/>
      <c r="R198" s="232">
        <f t="shared" si="146"/>
        <v>0</v>
      </c>
    </row>
    <row r="199" spans="1:18" s="6" customFormat="1" ht="108" hidden="1" customHeight="1">
      <c r="A199" s="149">
        <v>17140</v>
      </c>
      <c r="B199" s="208" t="s">
        <v>221</v>
      </c>
      <c r="C199" s="106"/>
      <c r="D199" s="107">
        <v>0</v>
      </c>
      <c r="E199" s="233"/>
      <c r="F199" s="233"/>
      <c r="G199" s="233"/>
      <c r="H199" s="232">
        <f t="shared" si="144"/>
        <v>0</v>
      </c>
      <c r="I199" s="233">
        <v>0</v>
      </c>
      <c r="J199" s="233"/>
      <c r="K199" s="233"/>
      <c r="L199" s="233"/>
      <c r="M199" s="232">
        <f t="shared" si="145"/>
        <v>0</v>
      </c>
      <c r="N199" s="233">
        <v>0</v>
      </c>
      <c r="O199" s="233"/>
      <c r="P199" s="233"/>
      <c r="Q199" s="232"/>
      <c r="R199" s="232">
        <f t="shared" si="146"/>
        <v>0</v>
      </c>
    </row>
    <row r="200" spans="1:18" s="89" customFormat="1" ht="12" hidden="1" customHeight="1">
      <c r="A200" s="137">
        <v>21700</v>
      </c>
      <c r="B200" s="124" t="s">
        <v>97</v>
      </c>
      <c r="C200" s="170">
        <v>0</v>
      </c>
      <c r="D200" s="171">
        <v>0</v>
      </c>
      <c r="E200" s="233">
        <f t="shared" ref="E200:G200" si="209">E201+E202</f>
        <v>0</v>
      </c>
      <c r="F200" s="233">
        <f t="shared" si="209"/>
        <v>0</v>
      </c>
      <c r="G200" s="233">
        <f t="shared" si="209"/>
        <v>0</v>
      </c>
      <c r="H200" s="232">
        <f t="shared" si="144"/>
        <v>0</v>
      </c>
      <c r="I200" s="233">
        <v>0</v>
      </c>
      <c r="J200" s="233">
        <f t="shared" ref="J200:L200" si="210">J201+J202</f>
        <v>0</v>
      </c>
      <c r="K200" s="233">
        <f t="shared" si="210"/>
        <v>0</v>
      </c>
      <c r="L200" s="233">
        <f t="shared" si="210"/>
        <v>0</v>
      </c>
      <c r="M200" s="232">
        <f t="shared" si="145"/>
        <v>0</v>
      </c>
      <c r="N200" s="233">
        <v>0</v>
      </c>
      <c r="O200" s="233">
        <f t="shared" ref="O200:Q200" si="211">O201+O202</f>
        <v>0</v>
      </c>
      <c r="P200" s="233">
        <f t="shared" si="211"/>
        <v>0</v>
      </c>
      <c r="Q200" s="232">
        <f t="shared" si="211"/>
        <v>0</v>
      </c>
      <c r="R200" s="232">
        <f t="shared" si="146"/>
        <v>0</v>
      </c>
    </row>
    <row r="201" spans="1:18" s="89" customFormat="1" ht="24" hidden="1" customHeight="1">
      <c r="A201" s="138">
        <v>21710</v>
      </c>
      <c r="B201" s="125" t="s">
        <v>98</v>
      </c>
      <c r="C201" s="170"/>
      <c r="D201" s="171">
        <v>0</v>
      </c>
      <c r="E201" s="233"/>
      <c r="F201" s="233"/>
      <c r="G201" s="233"/>
      <c r="H201" s="232">
        <f t="shared" si="144"/>
        <v>0</v>
      </c>
      <c r="I201" s="233">
        <v>0</v>
      </c>
      <c r="J201" s="233"/>
      <c r="K201" s="233"/>
      <c r="L201" s="233"/>
      <c r="M201" s="232">
        <f t="shared" si="145"/>
        <v>0</v>
      </c>
      <c r="N201" s="233">
        <v>0</v>
      </c>
      <c r="O201" s="233"/>
      <c r="P201" s="233"/>
      <c r="Q201" s="232"/>
      <c r="R201" s="232">
        <f t="shared" si="146"/>
        <v>0</v>
      </c>
    </row>
    <row r="202" spans="1:18" s="29" customFormat="1" ht="24" hidden="1" customHeight="1">
      <c r="A202" s="138">
        <v>21720</v>
      </c>
      <c r="B202" s="125" t="s">
        <v>99</v>
      </c>
      <c r="C202" s="170"/>
      <c r="D202" s="171">
        <v>0</v>
      </c>
      <c r="E202" s="233"/>
      <c r="F202" s="233"/>
      <c r="G202" s="233"/>
      <c r="H202" s="232">
        <f t="shared" ref="H202:H260" si="212">SUM(D202:G202)</f>
        <v>0</v>
      </c>
      <c r="I202" s="233">
        <v>0</v>
      </c>
      <c r="J202" s="233"/>
      <c r="K202" s="233"/>
      <c r="L202" s="233"/>
      <c r="M202" s="232">
        <f t="shared" ref="M202:M260" si="213">SUM(I202:L202)</f>
        <v>0</v>
      </c>
      <c r="N202" s="233">
        <v>0</v>
      </c>
      <c r="O202" s="233"/>
      <c r="P202" s="233"/>
      <c r="Q202" s="232"/>
      <c r="R202" s="232">
        <f t="shared" ref="R202:R260" si="214">SUM(N202:Q202)</f>
        <v>0</v>
      </c>
    </row>
    <row r="203" spans="1:18" s="29" customFormat="1" ht="12" hidden="1" customHeight="1">
      <c r="A203" s="129" t="s">
        <v>100</v>
      </c>
      <c r="B203" s="123" t="s">
        <v>101</v>
      </c>
      <c r="C203" s="168">
        <v>0</v>
      </c>
      <c r="D203" s="175">
        <v>0</v>
      </c>
      <c r="E203" s="243">
        <f t="shared" ref="E203:G203" si="215">E204+E231</f>
        <v>0</v>
      </c>
      <c r="F203" s="243">
        <f t="shared" si="215"/>
        <v>0</v>
      </c>
      <c r="G203" s="243">
        <f t="shared" si="215"/>
        <v>0</v>
      </c>
      <c r="H203" s="270">
        <f t="shared" si="212"/>
        <v>0</v>
      </c>
      <c r="I203" s="243">
        <v>0</v>
      </c>
      <c r="J203" s="243">
        <f t="shared" ref="J203:L203" si="216">J204+J231</f>
        <v>0</v>
      </c>
      <c r="K203" s="243">
        <f t="shared" si="216"/>
        <v>0</v>
      </c>
      <c r="L203" s="243">
        <f t="shared" si="216"/>
        <v>0</v>
      </c>
      <c r="M203" s="270">
        <f t="shared" si="213"/>
        <v>0</v>
      </c>
      <c r="N203" s="243">
        <v>0</v>
      </c>
      <c r="O203" s="243">
        <f t="shared" ref="O203:Q203" si="217">O204+O231</f>
        <v>0</v>
      </c>
      <c r="P203" s="243">
        <f t="shared" si="217"/>
        <v>0</v>
      </c>
      <c r="Q203" s="229">
        <f t="shared" si="217"/>
        <v>0</v>
      </c>
      <c r="R203" s="270">
        <f t="shared" si="214"/>
        <v>0</v>
      </c>
    </row>
    <row r="204" spans="1:18" s="29" customFormat="1" ht="21" hidden="1" customHeight="1">
      <c r="A204" s="130" t="s">
        <v>102</v>
      </c>
      <c r="B204" s="124" t="s">
        <v>103</v>
      </c>
      <c r="C204" s="170">
        <v>0</v>
      </c>
      <c r="D204" s="171">
        <v>0</v>
      </c>
      <c r="E204" s="233">
        <f t="shared" ref="E204:G204" si="218">E205+E209+E210+E213+E216</f>
        <v>0</v>
      </c>
      <c r="F204" s="233">
        <f t="shared" si="218"/>
        <v>0</v>
      </c>
      <c r="G204" s="233">
        <f t="shared" si="218"/>
        <v>0</v>
      </c>
      <c r="H204" s="232">
        <f t="shared" si="212"/>
        <v>0</v>
      </c>
      <c r="I204" s="233">
        <v>0</v>
      </c>
      <c r="J204" s="233">
        <f t="shared" ref="J204:L204" si="219">J205+J209+J210+J213+J216</f>
        <v>0</v>
      </c>
      <c r="K204" s="233">
        <f t="shared" si="219"/>
        <v>0</v>
      </c>
      <c r="L204" s="233">
        <f t="shared" si="219"/>
        <v>0</v>
      </c>
      <c r="M204" s="232">
        <f t="shared" si="213"/>
        <v>0</v>
      </c>
      <c r="N204" s="233">
        <v>0</v>
      </c>
      <c r="O204" s="233">
        <f t="shared" ref="O204:Q204" si="220">O205+O209+O210+O213+O216</f>
        <v>0</v>
      </c>
      <c r="P204" s="233">
        <f t="shared" si="220"/>
        <v>0</v>
      </c>
      <c r="Q204" s="232">
        <f t="shared" si="220"/>
        <v>0</v>
      </c>
      <c r="R204" s="232">
        <f t="shared" si="214"/>
        <v>0</v>
      </c>
    </row>
    <row r="205" spans="1:18" s="29" customFormat="1" ht="12" hidden="1" customHeight="1">
      <c r="A205" s="130" t="s">
        <v>104</v>
      </c>
      <c r="B205" s="124" t="s">
        <v>105</v>
      </c>
      <c r="C205" s="170">
        <v>0</v>
      </c>
      <c r="D205" s="171">
        <v>0</v>
      </c>
      <c r="E205" s="233">
        <f t="shared" ref="E205:G205" si="221">E206+E208</f>
        <v>0</v>
      </c>
      <c r="F205" s="233">
        <f t="shared" si="221"/>
        <v>0</v>
      </c>
      <c r="G205" s="233">
        <f t="shared" si="221"/>
        <v>0</v>
      </c>
      <c r="H205" s="232">
        <f t="shared" si="212"/>
        <v>0</v>
      </c>
      <c r="I205" s="233">
        <v>0</v>
      </c>
      <c r="J205" s="233">
        <f t="shared" ref="J205:L205" si="222">J206+J208</f>
        <v>0</v>
      </c>
      <c r="K205" s="233">
        <f t="shared" si="222"/>
        <v>0</v>
      </c>
      <c r="L205" s="233">
        <f t="shared" si="222"/>
        <v>0</v>
      </c>
      <c r="M205" s="232">
        <f t="shared" si="213"/>
        <v>0</v>
      </c>
      <c r="N205" s="233">
        <v>0</v>
      </c>
      <c r="O205" s="233">
        <f t="shared" ref="O205:Q205" si="223">O206+O208</f>
        <v>0</v>
      </c>
      <c r="P205" s="233">
        <f t="shared" si="223"/>
        <v>0</v>
      </c>
      <c r="Q205" s="232">
        <f t="shared" si="223"/>
        <v>0</v>
      </c>
      <c r="R205" s="232">
        <f t="shared" si="214"/>
        <v>0</v>
      </c>
    </row>
    <row r="206" spans="1:18" s="29" customFormat="1" ht="12" hidden="1" customHeight="1">
      <c r="A206" s="132">
        <v>1000</v>
      </c>
      <c r="B206" s="125" t="s">
        <v>106</v>
      </c>
      <c r="C206" s="170"/>
      <c r="D206" s="176">
        <v>0</v>
      </c>
      <c r="E206" s="244"/>
      <c r="F206" s="244"/>
      <c r="G206" s="244"/>
      <c r="H206" s="232">
        <f t="shared" si="212"/>
        <v>0</v>
      </c>
      <c r="I206" s="233">
        <v>0</v>
      </c>
      <c r="J206" s="244"/>
      <c r="K206" s="244"/>
      <c r="L206" s="244"/>
      <c r="M206" s="232">
        <f t="shared" si="213"/>
        <v>0</v>
      </c>
      <c r="N206" s="233">
        <v>0</v>
      </c>
      <c r="O206" s="244"/>
      <c r="P206" s="244"/>
      <c r="Q206" s="232"/>
      <c r="R206" s="232">
        <f t="shared" si="214"/>
        <v>0</v>
      </c>
    </row>
    <row r="207" spans="1:18" s="29" customFormat="1" ht="12" hidden="1" customHeight="1">
      <c r="A207" s="139">
        <v>1100</v>
      </c>
      <c r="B207" s="125" t="s">
        <v>107</v>
      </c>
      <c r="C207" s="170"/>
      <c r="D207" s="176">
        <v>0</v>
      </c>
      <c r="E207" s="244"/>
      <c r="F207" s="244"/>
      <c r="G207" s="244"/>
      <c r="H207" s="232">
        <f t="shared" si="212"/>
        <v>0</v>
      </c>
      <c r="I207" s="233">
        <v>0</v>
      </c>
      <c r="J207" s="244"/>
      <c r="K207" s="244"/>
      <c r="L207" s="244"/>
      <c r="M207" s="232">
        <f t="shared" si="213"/>
        <v>0</v>
      </c>
      <c r="N207" s="233">
        <v>0</v>
      </c>
      <c r="O207" s="244"/>
      <c r="P207" s="244"/>
      <c r="Q207" s="232"/>
      <c r="R207" s="232">
        <f t="shared" si="214"/>
        <v>0</v>
      </c>
    </row>
    <row r="208" spans="1:18" s="29" customFormat="1" ht="12" hidden="1" customHeight="1">
      <c r="A208" s="132">
        <v>2000</v>
      </c>
      <c r="B208" s="125" t="s">
        <v>108</v>
      </c>
      <c r="C208" s="170"/>
      <c r="D208" s="176">
        <v>0</v>
      </c>
      <c r="E208" s="244"/>
      <c r="F208" s="244"/>
      <c r="G208" s="244"/>
      <c r="H208" s="232">
        <f t="shared" si="212"/>
        <v>0</v>
      </c>
      <c r="I208" s="233">
        <v>0</v>
      </c>
      <c r="J208" s="244"/>
      <c r="K208" s="244"/>
      <c r="L208" s="244"/>
      <c r="M208" s="232">
        <f t="shared" si="213"/>
        <v>0</v>
      </c>
      <c r="N208" s="233">
        <v>0</v>
      </c>
      <c r="O208" s="244"/>
      <c r="P208" s="244"/>
      <c r="Q208" s="232"/>
      <c r="R208" s="232">
        <f t="shared" si="214"/>
        <v>0</v>
      </c>
    </row>
    <row r="209" spans="1:18" s="29" customFormat="1" ht="12" hidden="1" customHeight="1">
      <c r="A209" s="140">
        <v>4000</v>
      </c>
      <c r="B209" s="124" t="s">
        <v>132</v>
      </c>
      <c r="C209" s="170"/>
      <c r="D209" s="176">
        <v>0</v>
      </c>
      <c r="E209" s="244"/>
      <c r="F209" s="244"/>
      <c r="G209" s="244"/>
      <c r="H209" s="232">
        <f t="shared" si="212"/>
        <v>0</v>
      </c>
      <c r="I209" s="233">
        <v>0</v>
      </c>
      <c r="J209" s="244"/>
      <c r="K209" s="244"/>
      <c r="L209" s="244"/>
      <c r="M209" s="232">
        <f t="shared" si="213"/>
        <v>0</v>
      </c>
      <c r="N209" s="233">
        <v>0</v>
      </c>
      <c r="O209" s="244"/>
      <c r="P209" s="244"/>
      <c r="Q209" s="232"/>
      <c r="R209" s="232">
        <f t="shared" si="214"/>
        <v>0</v>
      </c>
    </row>
    <row r="210" spans="1:18" s="29" customFormat="1" ht="12" hidden="1" customHeight="1">
      <c r="A210" s="140" t="s">
        <v>109</v>
      </c>
      <c r="B210" s="124" t="s">
        <v>110</v>
      </c>
      <c r="C210" s="170">
        <v>0</v>
      </c>
      <c r="D210" s="171">
        <v>0</v>
      </c>
      <c r="E210" s="233">
        <f t="shared" ref="E210:G210" si="224">E211+E212</f>
        <v>0</v>
      </c>
      <c r="F210" s="233">
        <f t="shared" si="224"/>
        <v>0</v>
      </c>
      <c r="G210" s="233">
        <f t="shared" si="224"/>
        <v>0</v>
      </c>
      <c r="H210" s="232">
        <f t="shared" si="212"/>
        <v>0</v>
      </c>
      <c r="I210" s="233">
        <v>0</v>
      </c>
      <c r="J210" s="233">
        <f t="shared" ref="J210:L210" si="225">J211+J212</f>
        <v>0</v>
      </c>
      <c r="K210" s="233">
        <f t="shared" si="225"/>
        <v>0</v>
      </c>
      <c r="L210" s="233">
        <f t="shared" si="225"/>
        <v>0</v>
      </c>
      <c r="M210" s="232">
        <f t="shared" si="213"/>
        <v>0</v>
      </c>
      <c r="N210" s="233">
        <v>0</v>
      </c>
      <c r="O210" s="233">
        <f t="shared" ref="O210:Q210" si="226">O211+O212</f>
        <v>0</v>
      </c>
      <c r="P210" s="233">
        <f t="shared" si="226"/>
        <v>0</v>
      </c>
      <c r="Q210" s="232">
        <f t="shared" si="226"/>
        <v>0</v>
      </c>
      <c r="R210" s="232">
        <f t="shared" si="214"/>
        <v>0</v>
      </c>
    </row>
    <row r="211" spans="1:18" s="29" customFormat="1" ht="12" hidden="1" customHeight="1">
      <c r="A211" s="132">
        <v>3000</v>
      </c>
      <c r="B211" s="125" t="s">
        <v>111</v>
      </c>
      <c r="C211" s="202"/>
      <c r="D211" s="177">
        <v>0</v>
      </c>
      <c r="E211" s="246"/>
      <c r="F211" s="246"/>
      <c r="G211" s="246"/>
      <c r="H211" s="232">
        <f t="shared" si="212"/>
        <v>0</v>
      </c>
      <c r="I211" s="345">
        <v>0</v>
      </c>
      <c r="J211" s="246"/>
      <c r="K211" s="246"/>
      <c r="L211" s="246"/>
      <c r="M211" s="232">
        <f t="shared" si="213"/>
        <v>0</v>
      </c>
      <c r="N211" s="345">
        <v>0</v>
      </c>
      <c r="O211" s="246"/>
      <c r="P211" s="246"/>
      <c r="Q211" s="245"/>
      <c r="R211" s="232">
        <f t="shared" si="214"/>
        <v>0</v>
      </c>
    </row>
    <row r="212" spans="1:18" s="29" customFormat="1" ht="12" hidden="1" customHeight="1">
      <c r="A212" s="132">
        <v>6000</v>
      </c>
      <c r="B212" s="125" t="s">
        <v>112</v>
      </c>
      <c r="C212" s="203"/>
      <c r="D212" s="178">
        <v>0</v>
      </c>
      <c r="E212" s="248"/>
      <c r="F212" s="248"/>
      <c r="G212" s="248"/>
      <c r="H212" s="232">
        <f t="shared" si="212"/>
        <v>0</v>
      </c>
      <c r="I212" s="346">
        <v>0</v>
      </c>
      <c r="J212" s="248"/>
      <c r="K212" s="248"/>
      <c r="L212" s="248"/>
      <c r="M212" s="232">
        <f t="shared" si="213"/>
        <v>0</v>
      </c>
      <c r="N212" s="346">
        <v>0</v>
      </c>
      <c r="O212" s="248"/>
      <c r="P212" s="248"/>
      <c r="Q212" s="247"/>
      <c r="R212" s="232">
        <f t="shared" si="214"/>
        <v>0</v>
      </c>
    </row>
    <row r="213" spans="1:18" s="29" customFormat="1" ht="24" hidden="1" customHeight="1">
      <c r="A213" s="140" t="s">
        <v>113</v>
      </c>
      <c r="B213" s="124" t="s">
        <v>183</v>
      </c>
      <c r="C213" s="170">
        <v>0</v>
      </c>
      <c r="D213" s="171">
        <v>0</v>
      </c>
      <c r="E213" s="233">
        <f t="shared" ref="E213:G213" si="227">E214+E215</f>
        <v>0</v>
      </c>
      <c r="F213" s="233">
        <f t="shared" si="227"/>
        <v>0</v>
      </c>
      <c r="G213" s="233">
        <f t="shared" si="227"/>
        <v>0</v>
      </c>
      <c r="H213" s="232">
        <f t="shared" si="212"/>
        <v>0</v>
      </c>
      <c r="I213" s="233">
        <v>0</v>
      </c>
      <c r="J213" s="233">
        <f t="shared" ref="J213:L213" si="228">J214+J215</f>
        <v>0</v>
      </c>
      <c r="K213" s="233">
        <f t="shared" si="228"/>
        <v>0</v>
      </c>
      <c r="L213" s="233">
        <f t="shared" si="228"/>
        <v>0</v>
      </c>
      <c r="M213" s="232">
        <f t="shared" si="213"/>
        <v>0</v>
      </c>
      <c r="N213" s="233">
        <v>0</v>
      </c>
      <c r="O213" s="233">
        <f t="shared" ref="O213:Q213" si="229">O214+O215</f>
        <v>0</v>
      </c>
      <c r="P213" s="233">
        <f t="shared" si="229"/>
        <v>0</v>
      </c>
      <c r="Q213" s="232">
        <f t="shared" si="229"/>
        <v>0</v>
      </c>
      <c r="R213" s="232">
        <f t="shared" si="214"/>
        <v>0</v>
      </c>
    </row>
    <row r="214" spans="1:18" s="29" customFormat="1" ht="12" hidden="1" customHeight="1">
      <c r="A214" s="132">
        <v>7600</v>
      </c>
      <c r="B214" s="179" t="s">
        <v>184</v>
      </c>
      <c r="C214" s="170"/>
      <c r="D214" s="176">
        <v>0</v>
      </c>
      <c r="E214" s="244"/>
      <c r="F214" s="244"/>
      <c r="G214" s="244"/>
      <c r="H214" s="232">
        <f t="shared" si="212"/>
        <v>0</v>
      </c>
      <c r="I214" s="233">
        <v>0</v>
      </c>
      <c r="J214" s="244"/>
      <c r="K214" s="244"/>
      <c r="L214" s="244"/>
      <c r="M214" s="232">
        <f t="shared" si="213"/>
        <v>0</v>
      </c>
      <c r="N214" s="233">
        <v>0</v>
      </c>
      <c r="O214" s="244"/>
      <c r="P214" s="244"/>
      <c r="Q214" s="232"/>
      <c r="R214" s="232">
        <f t="shared" si="214"/>
        <v>0</v>
      </c>
    </row>
    <row r="215" spans="1:18" s="29" customFormat="1" ht="12" hidden="1" customHeight="1">
      <c r="A215" s="132">
        <v>7700</v>
      </c>
      <c r="B215" s="126" t="s">
        <v>114</v>
      </c>
      <c r="C215" s="170"/>
      <c r="D215" s="176">
        <v>0</v>
      </c>
      <c r="E215" s="244"/>
      <c r="F215" s="244"/>
      <c r="G215" s="244"/>
      <c r="H215" s="232">
        <f t="shared" si="212"/>
        <v>0</v>
      </c>
      <c r="I215" s="233">
        <v>0</v>
      </c>
      <c r="J215" s="244"/>
      <c r="K215" s="244"/>
      <c r="L215" s="244"/>
      <c r="M215" s="232">
        <f t="shared" si="213"/>
        <v>0</v>
      </c>
      <c r="N215" s="233">
        <v>0</v>
      </c>
      <c r="O215" s="244"/>
      <c r="P215" s="244"/>
      <c r="Q215" s="232"/>
      <c r="R215" s="232">
        <f t="shared" si="214"/>
        <v>0</v>
      </c>
    </row>
    <row r="216" spans="1:18" s="29" customFormat="1" ht="21" hidden="1" customHeight="1">
      <c r="A216" s="140" t="s">
        <v>185</v>
      </c>
      <c r="B216" s="124" t="s">
        <v>115</v>
      </c>
      <c r="C216" s="170">
        <v>0</v>
      </c>
      <c r="D216" s="171">
        <v>0</v>
      </c>
      <c r="E216" s="233">
        <f t="shared" ref="E216:G216" si="230">E217+E223+E227+E230</f>
        <v>0</v>
      </c>
      <c r="F216" s="233">
        <f t="shared" si="230"/>
        <v>0</v>
      </c>
      <c r="G216" s="233">
        <f t="shared" si="230"/>
        <v>0</v>
      </c>
      <c r="H216" s="232">
        <f t="shared" si="212"/>
        <v>0</v>
      </c>
      <c r="I216" s="233">
        <v>0</v>
      </c>
      <c r="J216" s="233">
        <f t="shared" ref="J216:L216" si="231">J217+J223+J227+J230</f>
        <v>0</v>
      </c>
      <c r="K216" s="233">
        <f t="shared" si="231"/>
        <v>0</v>
      </c>
      <c r="L216" s="233">
        <f t="shared" si="231"/>
        <v>0</v>
      </c>
      <c r="M216" s="232">
        <f t="shared" si="213"/>
        <v>0</v>
      </c>
      <c r="N216" s="233">
        <v>0</v>
      </c>
      <c r="O216" s="233">
        <f t="shared" ref="O216:Q216" si="232">O217+O223+O227+O230</f>
        <v>0</v>
      </c>
      <c r="P216" s="233">
        <f t="shared" si="232"/>
        <v>0</v>
      </c>
      <c r="Q216" s="232">
        <f t="shared" si="232"/>
        <v>0</v>
      </c>
      <c r="R216" s="232">
        <f t="shared" si="214"/>
        <v>0</v>
      </c>
    </row>
    <row r="217" spans="1:18" s="29" customFormat="1" ht="12" hidden="1" customHeight="1">
      <c r="A217" s="132">
        <v>7100</v>
      </c>
      <c r="B217" s="179" t="s">
        <v>116</v>
      </c>
      <c r="C217" s="170">
        <v>0</v>
      </c>
      <c r="D217" s="171">
        <v>0</v>
      </c>
      <c r="E217" s="233">
        <f t="shared" ref="E217:G217" si="233">E218+E219</f>
        <v>0</v>
      </c>
      <c r="F217" s="233">
        <f t="shared" si="233"/>
        <v>0</v>
      </c>
      <c r="G217" s="233">
        <f t="shared" si="233"/>
        <v>0</v>
      </c>
      <c r="H217" s="232">
        <f t="shared" si="212"/>
        <v>0</v>
      </c>
      <c r="I217" s="233">
        <v>0</v>
      </c>
      <c r="J217" s="233">
        <f t="shared" ref="J217:L217" si="234">J218+J219</f>
        <v>0</v>
      </c>
      <c r="K217" s="233">
        <f t="shared" si="234"/>
        <v>0</v>
      </c>
      <c r="L217" s="233">
        <f t="shared" si="234"/>
        <v>0</v>
      </c>
      <c r="M217" s="232">
        <f t="shared" si="213"/>
        <v>0</v>
      </c>
      <c r="N217" s="233">
        <v>0</v>
      </c>
      <c r="O217" s="233">
        <f t="shared" ref="O217:Q217" si="235">O218+O219</f>
        <v>0</v>
      </c>
      <c r="P217" s="233">
        <f t="shared" si="235"/>
        <v>0</v>
      </c>
      <c r="Q217" s="232">
        <f t="shared" si="235"/>
        <v>0</v>
      </c>
      <c r="R217" s="232">
        <f t="shared" si="214"/>
        <v>0</v>
      </c>
    </row>
    <row r="218" spans="1:18" s="29" customFormat="1" ht="24" hidden="1" customHeight="1">
      <c r="A218" s="133" t="s">
        <v>117</v>
      </c>
      <c r="B218" s="179" t="s">
        <v>118</v>
      </c>
      <c r="C218" s="170"/>
      <c r="D218" s="171">
        <v>0</v>
      </c>
      <c r="E218" s="233"/>
      <c r="F218" s="233"/>
      <c r="G218" s="233"/>
      <c r="H218" s="232">
        <f t="shared" si="212"/>
        <v>0</v>
      </c>
      <c r="I218" s="233">
        <v>0</v>
      </c>
      <c r="J218" s="233"/>
      <c r="K218" s="233"/>
      <c r="L218" s="233"/>
      <c r="M218" s="232">
        <f t="shared" si="213"/>
        <v>0</v>
      </c>
      <c r="N218" s="233">
        <v>0</v>
      </c>
      <c r="O218" s="233"/>
      <c r="P218" s="233"/>
      <c r="Q218" s="232"/>
      <c r="R218" s="232">
        <f t="shared" si="214"/>
        <v>0</v>
      </c>
    </row>
    <row r="219" spans="1:18" s="29" customFormat="1" ht="24" hidden="1" customHeight="1">
      <c r="A219" s="133">
        <v>7130</v>
      </c>
      <c r="B219" s="179" t="s">
        <v>119</v>
      </c>
      <c r="C219" s="170">
        <v>0</v>
      </c>
      <c r="D219" s="171">
        <v>0</v>
      </c>
      <c r="E219" s="233">
        <f t="shared" ref="E219:G219" si="236">SUM(E220:E222)</f>
        <v>0</v>
      </c>
      <c r="F219" s="233">
        <f t="shared" ref="F219" si="237">SUM(F220:F222)</f>
        <v>0</v>
      </c>
      <c r="G219" s="233">
        <f t="shared" si="236"/>
        <v>0</v>
      </c>
      <c r="H219" s="232">
        <f t="shared" si="212"/>
        <v>0</v>
      </c>
      <c r="I219" s="233">
        <v>0</v>
      </c>
      <c r="J219" s="233">
        <f t="shared" ref="J219:L219" si="238">SUM(J220:J222)</f>
        <v>0</v>
      </c>
      <c r="K219" s="233">
        <f t="shared" si="238"/>
        <v>0</v>
      </c>
      <c r="L219" s="233">
        <f t="shared" si="238"/>
        <v>0</v>
      </c>
      <c r="M219" s="232">
        <f t="shared" si="213"/>
        <v>0</v>
      </c>
      <c r="N219" s="233">
        <v>0</v>
      </c>
      <c r="O219" s="233">
        <f t="shared" ref="O219:Q219" si="239">SUM(O220:O222)</f>
        <v>0</v>
      </c>
      <c r="P219" s="233">
        <f t="shared" si="239"/>
        <v>0</v>
      </c>
      <c r="Q219" s="232">
        <f t="shared" si="239"/>
        <v>0</v>
      </c>
      <c r="R219" s="232">
        <f t="shared" si="214"/>
        <v>0</v>
      </c>
    </row>
    <row r="220" spans="1:18" s="29" customFormat="1" ht="36" hidden="1" customHeight="1">
      <c r="A220" s="134">
        <v>7131</v>
      </c>
      <c r="B220" s="179" t="s">
        <v>120</v>
      </c>
      <c r="C220" s="170"/>
      <c r="D220" s="171">
        <v>0</v>
      </c>
      <c r="E220" s="233"/>
      <c r="F220" s="233"/>
      <c r="G220" s="233"/>
      <c r="H220" s="232">
        <f t="shared" si="212"/>
        <v>0</v>
      </c>
      <c r="I220" s="233">
        <v>0</v>
      </c>
      <c r="J220" s="233"/>
      <c r="K220" s="233"/>
      <c r="L220" s="233"/>
      <c r="M220" s="232">
        <f t="shared" si="213"/>
        <v>0</v>
      </c>
      <c r="N220" s="233">
        <v>0</v>
      </c>
      <c r="O220" s="233"/>
      <c r="P220" s="233"/>
      <c r="Q220" s="232"/>
      <c r="R220" s="232">
        <f t="shared" si="214"/>
        <v>0</v>
      </c>
    </row>
    <row r="221" spans="1:18" s="29" customFormat="1" ht="36" hidden="1" customHeight="1">
      <c r="A221" s="134">
        <v>7132</v>
      </c>
      <c r="B221" s="179" t="s">
        <v>121</v>
      </c>
      <c r="C221" s="170"/>
      <c r="D221" s="171">
        <v>0</v>
      </c>
      <c r="E221" s="233"/>
      <c r="F221" s="233"/>
      <c r="G221" s="233"/>
      <c r="H221" s="232">
        <f t="shared" si="212"/>
        <v>0</v>
      </c>
      <c r="I221" s="233">
        <v>0</v>
      </c>
      <c r="J221" s="233"/>
      <c r="K221" s="233"/>
      <c r="L221" s="233"/>
      <c r="M221" s="232">
        <f t="shared" si="213"/>
        <v>0</v>
      </c>
      <c r="N221" s="233">
        <v>0</v>
      </c>
      <c r="O221" s="233"/>
      <c r="P221" s="233"/>
      <c r="Q221" s="232"/>
      <c r="R221" s="232">
        <f t="shared" si="214"/>
        <v>0</v>
      </c>
    </row>
    <row r="222" spans="1:18" s="29" customFormat="1" ht="36" hidden="1" customHeight="1">
      <c r="A222" s="134" t="s">
        <v>186</v>
      </c>
      <c r="B222" s="179" t="s">
        <v>187</v>
      </c>
      <c r="C222" s="170"/>
      <c r="D222" s="171">
        <v>0</v>
      </c>
      <c r="E222" s="233"/>
      <c r="F222" s="233"/>
      <c r="G222" s="233"/>
      <c r="H222" s="232">
        <f t="shared" si="212"/>
        <v>0</v>
      </c>
      <c r="I222" s="233">
        <v>0</v>
      </c>
      <c r="J222" s="233"/>
      <c r="K222" s="233"/>
      <c r="L222" s="233"/>
      <c r="M222" s="232">
        <f t="shared" si="213"/>
        <v>0</v>
      </c>
      <c r="N222" s="233">
        <v>0</v>
      </c>
      <c r="O222" s="233"/>
      <c r="P222" s="233"/>
      <c r="Q222" s="232"/>
      <c r="R222" s="232">
        <f t="shared" si="214"/>
        <v>0</v>
      </c>
    </row>
    <row r="223" spans="1:18" s="29" customFormat="1" ht="24" hidden="1" customHeight="1">
      <c r="A223" s="132">
        <v>7300</v>
      </c>
      <c r="B223" s="172" t="s">
        <v>155</v>
      </c>
      <c r="C223" s="170">
        <v>0</v>
      </c>
      <c r="D223" s="171">
        <v>0</v>
      </c>
      <c r="E223" s="233">
        <f t="shared" ref="E223:G223" si="240">SUM(E224:E226)</f>
        <v>0</v>
      </c>
      <c r="F223" s="233">
        <f t="shared" si="240"/>
        <v>0</v>
      </c>
      <c r="G223" s="233">
        <f t="shared" si="240"/>
        <v>0</v>
      </c>
      <c r="H223" s="232">
        <f t="shared" si="212"/>
        <v>0</v>
      </c>
      <c r="I223" s="233">
        <v>0</v>
      </c>
      <c r="J223" s="233">
        <f t="shared" ref="J223:L223" si="241">SUM(J224:J226)</f>
        <v>0</v>
      </c>
      <c r="K223" s="233">
        <f t="shared" si="241"/>
        <v>0</v>
      </c>
      <c r="L223" s="233">
        <f t="shared" si="241"/>
        <v>0</v>
      </c>
      <c r="M223" s="232">
        <f t="shared" si="213"/>
        <v>0</v>
      </c>
      <c r="N223" s="233">
        <v>0</v>
      </c>
      <c r="O223" s="233">
        <f t="shared" ref="O223:Q223" si="242">SUM(O224:O226)</f>
        <v>0</v>
      </c>
      <c r="P223" s="233">
        <f t="shared" si="242"/>
        <v>0</v>
      </c>
      <c r="Q223" s="232">
        <f t="shared" si="242"/>
        <v>0</v>
      </c>
      <c r="R223" s="232">
        <f t="shared" si="214"/>
        <v>0</v>
      </c>
    </row>
    <row r="224" spans="1:18" s="29" customFormat="1" ht="24" hidden="1" customHeight="1">
      <c r="A224" s="133" t="s">
        <v>188</v>
      </c>
      <c r="B224" s="179" t="s">
        <v>170</v>
      </c>
      <c r="C224" s="204"/>
      <c r="D224" s="180">
        <v>0</v>
      </c>
      <c r="E224" s="252"/>
      <c r="F224" s="252"/>
      <c r="G224" s="252"/>
      <c r="H224" s="232">
        <f t="shared" si="212"/>
        <v>0</v>
      </c>
      <c r="I224" s="252">
        <v>0</v>
      </c>
      <c r="J224" s="252"/>
      <c r="K224" s="252"/>
      <c r="L224" s="252"/>
      <c r="M224" s="232">
        <f t="shared" si="213"/>
        <v>0</v>
      </c>
      <c r="N224" s="252">
        <v>0</v>
      </c>
      <c r="O224" s="252"/>
      <c r="P224" s="252"/>
      <c r="Q224" s="251"/>
      <c r="R224" s="232">
        <f t="shared" si="214"/>
        <v>0</v>
      </c>
    </row>
    <row r="225" spans="1:18" s="29" customFormat="1" ht="48" hidden="1" customHeight="1">
      <c r="A225" s="133" t="s">
        <v>189</v>
      </c>
      <c r="B225" s="179" t="s">
        <v>156</v>
      </c>
      <c r="C225" s="204"/>
      <c r="D225" s="180">
        <v>0</v>
      </c>
      <c r="E225" s="252"/>
      <c r="F225" s="252"/>
      <c r="G225" s="252"/>
      <c r="H225" s="232">
        <f t="shared" si="212"/>
        <v>0</v>
      </c>
      <c r="I225" s="252">
        <v>0</v>
      </c>
      <c r="J225" s="252"/>
      <c r="K225" s="252"/>
      <c r="L225" s="252"/>
      <c r="M225" s="232">
        <f t="shared" si="213"/>
        <v>0</v>
      </c>
      <c r="N225" s="252">
        <v>0</v>
      </c>
      <c r="O225" s="252"/>
      <c r="P225" s="252"/>
      <c r="Q225" s="251"/>
      <c r="R225" s="232">
        <f t="shared" si="214"/>
        <v>0</v>
      </c>
    </row>
    <row r="226" spans="1:18" s="29" customFormat="1" ht="36" hidden="1" customHeight="1">
      <c r="A226" s="133">
        <v>7350</v>
      </c>
      <c r="B226" s="179" t="s">
        <v>163</v>
      </c>
      <c r="C226" s="204"/>
      <c r="D226" s="180">
        <v>0</v>
      </c>
      <c r="E226" s="252"/>
      <c r="F226" s="252"/>
      <c r="G226" s="252"/>
      <c r="H226" s="232">
        <f t="shared" si="212"/>
        <v>0</v>
      </c>
      <c r="I226" s="252">
        <v>0</v>
      </c>
      <c r="J226" s="252"/>
      <c r="K226" s="252"/>
      <c r="L226" s="252"/>
      <c r="M226" s="232">
        <f t="shared" si="213"/>
        <v>0</v>
      </c>
      <c r="N226" s="252">
        <v>0</v>
      </c>
      <c r="O226" s="252"/>
      <c r="P226" s="252"/>
      <c r="Q226" s="251"/>
      <c r="R226" s="232">
        <f t="shared" si="214"/>
        <v>0</v>
      </c>
    </row>
    <row r="227" spans="1:18" s="29" customFormat="1" ht="24" hidden="1" customHeight="1">
      <c r="A227" s="132">
        <v>7400</v>
      </c>
      <c r="B227" s="172" t="s">
        <v>161</v>
      </c>
      <c r="C227" s="170">
        <v>0</v>
      </c>
      <c r="D227" s="171">
        <v>0</v>
      </c>
      <c r="E227" s="233">
        <f t="shared" ref="E227:G227" si="243">SUM(E228:E229)</f>
        <v>0</v>
      </c>
      <c r="F227" s="233">
        <f t="shared" si="243"/>
        <v>0</v>
      </c>
      <c r="G227" s="233">
        <f t="shared" si="243"/>
        <v>0</v>
      </c>
      <c r="H227" s="232">
        <f t="shared" si="212"/>
        <v>0</v>
      </c>
      <c r="I227" s="233">
        <v>0</v>
      </c>
      <c r="J227" s="233">
        <f t="shared" ref="J227:L227" si="244">SUM(J228:J229)</f>
        <v>0</v>
      </c>
      <c r="K227" s="233">
        <f t="shared" si="244"/>
        <v>0</v>
      </c>
      <c r="L227" s="233">
        <f t="shared" si="244"/>
        <v>0</v>
      </c>
      <c r="M227" s="232">
        <f t="shared" si="213"/>
        <v>0</v>
      </c>
      <c r="N227" s="233">
        <v>0</v>
      </c>
      <c r="O227" s="233">
        <f t="shared" ref="O227:Q227" si="245">SUM(O228:O229)</f>
        <v>0</v>
      </c>
      <c r="P227" s="233">
        <f t="shared" si="245"/>
        <v>0</v>
      </c>
      <c r="Q227" s="232">
        <f t="shared" si="245"/>
        <v>0</v>
      </c>
      <c r="R227" s="232">
        <f t="shared" si="214"/>
        <v>0</v>
      </c>
    </row>
    <row r="228" spans="1:18" s="29" customFormat="1" ht="24" hidden="1" customHeight="1">
      <c r="A228" s="133">
        <v>7460</v>
      </c>
      <c r="B228" s="172" t="s">
        <v>162</v>
      </c>
      <c r="C228" s="204"/>
      <c r="D228" s="180">
        <v>0</v>
      </c>
      <c r="E228" s="252"/>
      <c r="F228" s="252"/>
      <c r="G228" s="252"/>
      <c r="H228" s="232">
        <f t="shared" si="212"/>
        <v>0</v>
      </c>
      <c r="I228" s="252">
        <v>0</v>
      </c>
      <c r="J228" s="252"/>
      <c r="K228" s="252"/>
      <c r="L228" s="252"/>
      <c r="M228" s="232">
        <f t="shared" si="213"/>
        <v>0</v>
      </c>
      <c r="N228" s="252">
        <v>0</v>
      </c>
      <c r="O228" s="252"/>
      <c r="P228" s="252"/>
      <c r="Q228" s="251"/>
      <c r="R228" s="232">
        <f t="shared" si="214"/>
        <v>0</v>
      </c>
    </row>
    <row r="229" spans="1:18" s="29" customFormat="1" ht="48" hidden="1" customHeight="1">
      <c r="A229" s="133">
        <v>7470</v>
      </c>
      <c r="B229" s="179" t="s">
        <v>167</v>
      </c>
      <c r="C229" s="204"/>
      <c r="D229" s="180">
        <v>0</v>
      </c>
      <c r="E229" s="252"/>
      <c r="F229" s="252"/>
      <c r="G229" s="252"/>
      <c r="H229" s="232">
        <f t="shared" si="212"/>
        <v>0</v>
      </c>
      <c r="I229" s="252">
        <v>0</v>
      </c>
      <c r="J229" s="252"/>
      <c r="K229" s="252"/>
      <c r="L229" s="252"/>
      <c r="M229" s="232">
        <f t="shared" si="213"/>
        <v>0</v>
      </c>
      <c r="N229" s="252">
        <v>0</v>
      </c>
      <c r="O229" s="252"/>
      <c r="P229" s="252"/>
      <c r="Q229" s="251"/>
      <c r="R229" s="232">
        <f t="shared" si="214"/>
        <v>0</v>
      </c>
    </row>
    <row r="230" spans="1:18" s="29" customFormat="1" ht="24" hidden="1" customHeight="1">
      <c r="A230" s="132">
        <v>7500</v>
      </c>
      <c r="B230" s="179" t="s">
        <v>157</v>
      </c>
      <c r="C230" s="170"/>
      <c r="D230" s="171">
        <v>0</v>
      </c>
      <c r="E230" s="233"/>
      <c r="F230" s="233"/>
      <c r="G230" s="233"/>
      <c r="H230" s="232">
        <f t="shared" si="212"/>
        <v>0</v>
      </c>
      <c r="I230" s="233">
        <v>0</v>
      </c>
      <c r="J230" s="233"/>
      <c r="K230" s="233"/>
      <c r="L230" s="233"/>
      <c r="M230" s="232">
        <f t="shared" si="213"/>
        <v>0</v>
      </c>
      <c r="N230" s="233">
        <v>0</v>
      </c>
      <c r="O230" s="233"/>
      <c r="P230" s="233"/>
      <c r="Q230" s="232"/>
      <c r="R230" s="232">
        <f t="shared" si="214"/>
        <v>0</v>
      </c>
    </row>
    <row r="231" spans="1:18" s="29" customFormat="1" ht="12" hidden="1" customHeight="1">
      <c r="A231" s="140" t="s">
        <v>133</v>
      </c>
      <c r="B231" s="124" t="s">
        <v>122</v>
      </c>
      <c r="C231" s="205">
        <v>0</v>
      </c>
      <c r="D231" s="181">
        <v>0</v>
      </c>
      <c r="E231" s="254">
        <f t="shared" ref="E231:G231" si="246">E232+E233</f>
        <v>0</v>
      </c>
      <c r="F231" s="254">
        <f t="shared" si="246"/>
        <v>0</v>
      </c>
      <c r="G231" s="254">
        <f t="shared" si="246"/>
        <v>0</v>
      </c>
      <c r="H231" s="232">
        <f t="shared" si="212"/>
        <v>0</v>
      </c>
      <c r="I231" s="254">
        <v>0</v>
      </c>
      <c r="J231" s="254">
        <f t="shared" ref="J231:L231" si="247">J232+J233</f>
        <v>0</v>
      </c>
      <c r="K231" s="254">
        <f t="shared" si="247"/>
        <v>0</v>
      </c>
      <c r="L231" s="254">
        <f t="shared" si="247"/>
        <v>0</v>
      </c>
      <c r="M231" s="232">
        <f t="shared" si="213"/>
        <v>0</v>
      </c>
      <c r="N231" s="254">
        <v>0</v>
      </c>
      <c r="O231" s="254">
        <f t="shared" ref="O231:Q231" si="248">O232+O233</f>
        <v>0</v>
      </c>
      <c r="P231" s="254">
        <f t="shared" si="248"/>
        <v>0</v>
      </c>
      <c r="Q231" s="253">
        <f t="shared" si="248"/>
        <v>0</v>
      </c>
      <c r="R231" s="232">
        <f t="shared" si="214"/>
        <v>0</v>
      </c>
    </row>
    <row r="232" spans="1:18" s="29" customFormat="1" ht="12" hidden="1" customHeight="1">
      <c r="A232" s="140">
        <v>5000</v>
      </c>
      <c r="B232" s="124" t="s">
        <v>123</v>
      </c>
      <c r="C232" s="170"/>
      <c r="D232" s="176">
        <v>0</v>
      </c>
      <c r="E232" s="244"/>
      <c r="F232" s="244"/>
      <c r="G232" s="244"/>
      <c r="H232" s="232">
        <f t="shared" si="212"/>
        <v>0</v>
      </c>
      <c r="I232" s="233">
        <v>0</v>
      </c>
      <c r="J232" s="244"/>
      <c r="K232" s="244"/>
      <c r="L232" s="244"/>
      <c r="M232" s="232">
        <f t="shared" si="213"/>
        <v>0</v>
      </c>
      <c r="N232" s="233">
        <v>0</v>
      </c>
      <c r="O232" s="244"/>
      <c r="P232" s="244"/>
      <c r="Q232" s="232"/>
      <c r="R232" s="232">
        <f t="shared" si="214"/>
        <v>0</v>
      </c>
    </row>
    <row r="233" spans="1:18" s="29" customFormat="1" ht="12" hidden="1" customHeight="1">
      <c r="A233" s="140">
        <v>9000</v>
      </c>
      <c r="B233" s="182" t="s">
        <v>164</v>
      </c>
      <c r="C233" s="170">
        <v>0</v>
      </c>
      <c r="D233" s="171">
        <v>0</v>
      </c>
      <c r="E233" s="233">
        <f t="shared" ref="E233:G233" si="249">E234+E240+E244+E247</f>
        <v>0</v>
      </c>
      <c r="F233" s="233">
        <f t="shared" si="249"/>
        <v>0</v>
      </c>
      <c r="G233" s="233">
        <f t="shared" si="249"/>
        <v>0</v>
      </c>
      <c r="H233" s="232">
        <f t="shared" si="212"/>
        <v>0</v>
      </c>
      <c r="I233" s="233">
        <v>0</v>
      </c>
      <c r="J233" s="233">
        <f t="shared" ref="J233:L233" si="250">J234+J240+J244+J247</f>
        <v>0</v>
      </c>
      <c r="K233" s="233">
        <f t="shared" si="250"/>
        <v>0</v>
      </c>
      <c r="L233" s="233">
        <f t="shared" si="250"/>
        <v>0</v>
      </c>
      <c r="M233" s="232">
        <f t="shared" si="213"/>
        <v>0</v>
      </c>
      <c r="N233" s="233">
        <v>0</v>
      </c>
      <c r="O233" s="233">
        <f t="shared" ref="O233:Q233" si="251">O234+O240+O244+O247</f>
        <v>0</v>
      </c>
      <c r="P233" s="233">
        <f t="shared" si="251"/>
        <v>0</v>
      </c>
      <c r="Q233" s="232">
        <f t="shared" si="251"/>
        <v>0</v>
      </c>
      <c r="R233" s="232">
        <f t="shared" si="214"/>
        <v>0</v>
      </c>
    </row>
    <row r="234" spans="1:18" s="29" customFormat="1" ht="12" hidden="1" customHeight="1">
      <c r="A234" s="141">
        <v>9100</v>
      </c>
      <c r="B234" s="179" t="s">
        <v>124</v>
      </c>
      <c r="C234" s="170">
        <v>0</v>
      </c>
      <c r="D234" s="171">
        <v>0</v>
      </c>
      <c r="E234" s="233">
        <f t="shared" ref="E234:G234" si="252">SUM(E235:E236)</f>
        <v>0</v>
      </c>
      <c r="F234" s="233">
        <f t="shared" ref="F234" si="253">SUM(F235:F236)</f>
        <v>0</v>
      </c>
      <c r="G234" s="233">
        <f t="shared" si="252"/>
        <v>0</v>
      </c>
      <c r="H234" s="232">
        <f t="shared" si="212"/>
        <v>0</v>
      </c>
      <c r="I234" s="233">
        <v>0</v>
      </c>
      <c r="J234" s="233">
        <f t="shared" ref="J234:L234" si="254">SUM(J235:J236)</f>
        <v>0</v>
      </c>
      <c r="K234" s="233">
        <f t="shared" si="254"/>
        <v>0</v>
      </c>
      <c r="L234" s="233">
        <f t="shared" si="254"/>
        <v>0</v>
      </c>
      <c r="M234" s="232">
        <f t="shared" si="213"/>
        <v>0</v>
      </c>
      <c r="N234" s="233">
        <v>0</v>
      </c>
      <c r="O234" s="233">
        <f t="shared" ref="O234:Q234" si="255">SUM(O235:O236)</f>
        <v>0</v>
      </c>
      <c r="P234" s="233">
        <f t="shared" si="255"/>
        <v>0</v>
      </c>
      <c r="Q234" s="232">
        <f t="shared" si="255"/>
        <v>0</v>
      </c>
      <c r="R234" s="232">
        <f t="shared" si="214"/>
        <v>0</v>
      </c>
    </row>
    <row r="235" spans="1:18" s="29" customFormat="1" ht="24" hidden="1" customHeight="1">
      <c r="A235" s="133" t="s">
        <v>125</v>
      </c>
      <c r="B235" s="179" t="s">
        <v>214</v>
      </c>
      <c r="C235" s="170"/>
      <c r="D235" s="171">
        <v>0</v>
      </c>
      <c r="E235" s="233"/>
      <c r="F235" s="233"/>
      <c r="G235" s="233"/>
      <c r="H235" s="232">
        <f t="shared" si="212"/>
        <v>0</v>
      </c>
      <c r="I235" s="233">
        <v>0</v>
      </c>
      <c r="J235" s="233"/>
      <c r="K235" s="233"/>
      <c r="L235" s="233"/>
      <c r="M235" s="232">
        <f t="shared" si="213"/>
        <v>0</v>
      </c>
      <c r="N235" s="233">
        <v>0</v>
      </c>
      <c r="O235" s="233"/>
      <c r="P235" s="233"/>
      <c r="Q235" s="232"/>
      <c r="R235" s="232">
        <f t="shared" si="214"/>
        <v>0</v>
      </c>
    </row>
    <row r="236" spans="1:18" s="29" customFormat="1" ht="24" hidden="1" customHeight="1">
      <c r="A236" s="133">
        <v>9140</v>
      </c>
      <c r="B236" s="179" t="s">
        <v>215</v>
      </c>
      <c r="C236" s="170">
        <v>0</v>
      </c>
      <c r="D236" s="171">
        <v>0</v>
      </c>
      <c r="E236" s="233">
        <f t="shared" ref="E236:G236" si="256">SUM(E237:E239)</f>
        <v>0</v>
      </c>
      <c r="F236" s="233">
        <f t="shared" si="256"/>
        <v>0</v>
      </c>
      <c r="G236" s="233">
        <f t="shared" si="256"/>
        <v>0</v>
      </c>
      <c r="H236" s="232">
        <f t="shared" si="212"/>
        <v>0</v>
      </c>
      <c r="I236" s="233">
        <v>0</v>
      </c>
      <c r="J236" s="233">
        <f t="shared" ref="J236:L236" si="257">SUM(J237:J239)</f>
        <v>0</v>
      </c>
      <c r="K236" s="233">
        <f t="shared" si="257"/>
        <v>0</v>
      </c>
      <c r="L236" s="233">
        <f t="shared" si="257"/>
        <v>0</v>
      </c>
      <c r="M236" s="232">
        <f t="shared" si="213"/>
        <v>0</v>
      </c>
      <c r="N236" s="233">
        <v>0</v>
      </c>
      <c r="O236" s="233">
        <f t="shared" ref="O236:Q236" si="258">SUM(O237:O239)</f>
        <v>0</v>
      </c>
      <c r="P236" s="233">
        <f t="shared" si="258"/>
        <v>0</v>
      </c>
      <c r="Q236" s="232">
        <f t="shared" si="258"/>
        <v>0</v>
      </c>
      <c r="R236" s="232">
        <f t="shared" si="214"/>
        <v>0</v>
      </c>
    </row>
    <row r="237" spans="1:18" s="29" customFormat="1" ht="36" hidden="1" customHeight="1">
      <c r="A237" s="134">
        <v>9141</v>
      </c>
      <c r="B237" s="172" t="s">
        <v>190</v>
      </c>
      <c r="C237" s="204"/>
      <c r="D237" s="180">
        <v>0</v>
      </c>
      <c r="E237" s="252"/>
      <c r="F237" s="252"/>
      <c r="G237" s="252"/>
      <c r="H237" s="232">
        <f t="shared" si="212"/>
        <v>0</v>
      </c>
      <c r="I237" s="252">
        <v>0</v>
      </c>
      <c r="J237" s="252"/>
      <c r="K237" s="252"/>
      <c r="L237" s="252"/>
      <c r="M237" s="232">
        <f t="shared" si="213"/>
        <v>0</v>
      </c>
      <c r="N237" s="252">
        <v>0</v>
      </c>
      <c r="O237" s="252"/>
      <c r="P237" s="252"/>
      <c r="Q237" s="251"/>
      <c r="R237" s="232">
        <f t="shared" si="214"/>
        <v>0</v>
      </c>
    </row>
    <row r="238" spans="1:18" s="29" customFormat="1" ht="36" hidden="1" customHeight="1">
      <c r="A238" s="134">
        <v>9142</v>
      </c>
      <c r="B238" s="172" t="s">
        <v>191</v>
      </c>
      <c r="C238" s="204"/>
      <c r="D238" s="180">
        <v>0</v>
      </c>
      <c r="E238" s="252"/>
      <c r="F238" s="252"/>
      <c r="G238" s="252"/>
      <c r="H238" s="232">
        <f t="shared" si="212"/>
        <v>0</v>
      </c>
      <c r="I238" s="252">
        <v>0</v>
      </c>
      <c r="J238" s="252"/>
      <c r="K238" s="252"/>
      <c r="L238" s="252"/>
      <c r="M238" s="232">
        <f t="shared" si="213"/>
        <v>0</v>
      </c>
      <c r="N238" s="252">
        <v>0</v>
      </c>
      <c r="O238" s="252"/>
      <c r="P238" s="252"/>
      <c r="Q238" s="251"/>
      <c r="R238" s="232">
        <f t="shared" si="214"/>
        <v>0</v>
      </c>
    </row>
    <row r="239" spans="1:18" s="29" customFormat="1" ht="24" hidden="1" customHeight="1">
      <c r="A239" s="134">
        <v>9149</v>
      </c>
      <c r="B239" s="172" t="s">
        <v>192</v>
      </c>
      <c r="C239" s="204"/>
      <c r="D239" s="180">
        <v>0</v>
      </c>
      <c r="E239" s="252"/>
      <c r="F239" s="252"/>
      <c r="G239" s="252"/>
      <c r="H239" s="232">
        <f t="shared" si="212"/>
        <v>0</v>
      </c>
      <c r="I239" s="252">
        <v>0</v>
      </c>
      <c r="J239" s="252"/>
      <c r="K239" s="252"/>
      <c r="L239" s="252"/>
      <c r="M239" s="232">
        <f t="shared" si="213"/>
        <v>0</v>
      </c>
      <c r="N239" s="252">
        <v>0</v>
      </c>
      <c r="O239" s="252"/>
      <c r="P239" s="252"/>
      <c r="Q239" s="251"/>
      <c r="R239" s="232">
        <f t="shared" si="214"/>
        <v>0</v>
      </c>
    </row>
    <row r="240" spans="1:18" s="29" customFormat="1" ht="24" hidden="1" customHeight="1">
      <c r="A240" s="141">
        <v>9500</v>
      </c>
      <c r="B240" s="172" t="s">
        <v>165</v>
      </c>
      <c r="C240" s="170">
        <v>0</v>
      </c>
      <c r="D240" s="171">
        <v>0</v>
      </c>
      <c r="E240" s="233">
        <f t="shared" ref="E240:G240" si="259">SUM(E241:E243)</f>
        <v>0</v>
      </c>
      <c r="F240" s="233">
        <f t="shared" si="259"/>
        <v>0</v>
      </c>
      <c r="G240" s="233">
        <f t="shared" si="259"/>
        <v>0</v>
      </c>
      <c r="H240" s="232">
        <f t="shared" si="212"/>
        <v>0</v>
      </c>
      <c r="I240" s="233">
        <v>0</v>
      </c>
      <c r="J240" s="233">
        <f t="shared" ref="J240:L240" si="260">SUM(J241:J243)</f>
        <v>0</v>
      </c>
      <c r="K240" s="233">
        <f t="shared" si="260"/>
        <v>0</v>
      </c>
      <c r="L240" s="233">
        <f t="shared" si="260"/>
        <v>0</v>
      </c>
      <c r="M240" s="232">
        <f t="shared" si="213"/>
        <v>0</v>
      </c>
      <c r="N240" s="233">
        <v>0</v>
      </c>
      <c r="O240" s="233">
        <f t="shared" ref="O240:Q240" si="261">SUM(O241:O243)</f>
        <v>0</v>
      </c>
      <c r="P240" s="233">
        <f t="shared" si="261"/>
        <v>0</v>
      </c>
      <c r="Q240" s="232">
        <f t="shared" si="261"/>
        <v>0</v>
      </c>
      <c r="R240" s="232">
        <f t="shared" si="214"/>
        <v>0</v>
      </c>
    </row>
    <row r="241" spans="1:18" s="29" customFormat="1" ht="24" hidden="1" customHeight="1">
      <c r="A241" s="133" t="s">
        <v>193</v>
      </c>
      <c r="B241" s="172" t="s">
        <v>171</v>
      </c>
      <c r="C241" s="170"/>
      <c r="D241" s="171">
        <v>0</v>
      </c>
      <c r="E241" s="233"/>
      <c r="F241" s="233"/>
      <c r="G241" s="233"/>
      <c r="H241" s="232">
        <f t="shared" si="212"/>
        <v>0</v>
      </c>
      <c r="I241" s="233">
        <v>0</v>
      </c>
      <c r="J241" s="233"/>
      <c r="K241" s="233"/>
      <c r="L241" s="233"/>
      <c r="M241" s="232">
        <f t="shared" si="213"/>
        <v>0</v>
      </c>
      <c r="N241" s="233">
        <v>0</v>
      </c>
      <c r="O241" s="233"/>
      <c r="P241" s="233"/>
      <c r="Q241" s="232"/>
      <c r="R241" s="232">
        <f t="shared" si="214"/>
        <v>0</v>
      </c>
    </row>
    <row r="242" spans="1:18" s="29" customFormat="1" ht="48" hidden="1" customHeight="1">
      <c r="A242" s="133">
        <v>9580</v>
      </c>
      <c r="B242" s="172" t="s">
        <v>166</v>
      </c>
      <c r="C242" s="204"/>
      <c r="D242" s="180">
        <v>0</v>
      </c>
      <c r="E242" s="252"/>
      <c r="F242" s="252"/>
      <c r="G242" s="252"/>
      <c r="H242" s="232">
        <f t="shared" si="212"/>
        <v>0</v>
      </c>
      <c r="I242" s="252">
        <v>0</v>
      </c>
      <c r="J242" s="252"/>
      <c r="K242" s="252"/>
      <c r="L242" s="252"/>
      <c r="M242" s="232">
        <f t="shared" si="213"/>
        <v>0</v>
      </c>
      <c r="N242" s="252">
        <v>0</v>
      </c>
      <c r="O242" s="252"/>
      <c r="P242" s="252"/>
      <c r="Q242" s="251"/>
      <c r="R242" s="232">
        <f t="shared" si="214"/>
        <v>0</v>
      </c>
    </row>
    <row r="243" spans="1:18" s="29" customFormat="1" ht="48" hidden="1" customHeight="1">
      <c r="A243" s="133">
        <v>9590</v>
      </c>
      <c r="B243" s="179" t="s">
        <v>172</v>
      </c>
      <c r="C243" s="204"/>
      <c r="D243" s="180">
        <v>0</v>
      </c>
      <c r="E243" s="252"/>
      <c r="F243" s="252"/>
      <c r="G243" s="252"/>
      <c r="H243" s="232">
        <f t="shared" si="212"/>
        <v>0</v>
      </c>
      <c r="I243" s="252">
        <v>0</v>
      </c>
      <c r="J243" s="252"/>
      <c r="K243" s="252"/>
      <c r="L243" s="252"/>
      <c r="M243" s="232">
        <f t="shared" si="213"/>
        <v>0</v>
      </c>
      <c r="N243" s="252">
        <v>0</v>
      </c>
      <c r="O243" s="252"/>
      <c r="P243" s="252"/>
      <c r="Q243" s="251"/>
      <c r="R243" s="232">
        <f t="shared" si="214"/>
        <v>0</v>
      </c>
    </row>
    <row r="244" spans="1:18" s="29" customFormat="1" ht="24" hidden="1" customHeight="1">
      <c r="A244" s="141">
        <v>9700</v>
      </c>
      <c r="B244" s="183" t="s">
        <v>194</v>
      </c>
      <c r="C244" s="170">
        <v>0</v>
      </c>
      <c r="D244" s="171">
        <v>0</v>
      </c>
      <c r="E244" s="233">
        <f t="shared" ref="E244:G244" si="262">SUM(E245:E246)</f>
        <v>0</v>
      </c>
      <c r="F244" s="233">
        <f t="shared" si="262"/>
        <v>0</v>
      </c>
      <c r="G244" s="233">
        <f t="shared" si="262"/>
        <v>0</v>
      </c>
      <c r="H244" s="232">
        <f t="shared" si="212"/>
        <v>0</v>
      </c>
      <c r="I244" s="233">
        <v>0</v>
      </c>
      <c r="J244" s="233">
        <f t="shared" ref="J244:L244" si="263">SUM(J245:J246)</f>
        <v>0</v>
      </c>
      <c r="K244" s="233">
        <f t="shared" si="263"/>
        <v>0</v>
      </c>
      <c r="L244" s="233">
        <f t="shared" si="263"/>
        <v>0</v>
      </c>
      <c r="M244" s="232">
        <f t="shared" si="213"/>
        <v>0</v>
      </c>
      <c r="N244" s="233">
        <v>0</v>
      </c>
      <c r="O244" s="233">
        <f t="shared" ref="O244:Q244" si="264">SUM(O245:O246)</f>
        <v>0</v>
      </c>
      <c r="P244" s="233">
        <f t="shared" si="264"/>
        <v>0</v>
      </c>
      <c r="Q244" s="232">
        <f t="shared" si="264"/>
        <v>0</v>
      </c>
      <c r="R244" s="232">
        <f t="shared" si="214"/>
        <v>0</v>
      </c>
    </row>
    <row r="245" spans="1:18" s="29" customFormat="1" ht="24" hidden="1" customHeight="1">
      <c r="A245" s="133">
        <v>9710</v>
      </c>
      <c r="B245" s="184" t="s">
        <v>195</v>
      </c>
      <c r="C245" s="204"/>
      <c r="D245" s="180">
        <v>0</v>
      </c>
      <c r="E245" s="252"/>
      <c r="F245" s="252"/>
      <c r="G245" s="252"/>
      <c r="H245" s="232">
        <f t="shared" si="212"/>
        <v>0</v>
      </c>
      <c r="I245" s="252">
        <v>0</v>
      </c>
      <c r="J245" s="252"/>
      <c r="K245" s="252"/>
      <c r="L245" s="252"/>
      <c r="M245" s="232">
        <f t="shared" si="213"/>
        <v>0</v>
      </c>
      <c r="N245" s="252">
        <v>0</v>
      </c>
      <c r="O245" s="252"/>
      <c r="P245" s="252"/>
      <c r="Q245" s="251"/>
      <c r="R245" s="232">
        <f t="shared" si="214"/>
        <v>0</v>
      </c>
    </row>
    <row r="246" spans="1:18" s="29" customFormat="1" ht="48" hidden="1" customHeight="1">
      <c r="A246" s="142">
        <v>9720</v>
      </c>
      <c r="B246" s="183" t="s">
        <v>196</v>
      </c>
      <c r="C246" s="204"/>
      <c r="D246" s="180">
        <v>0</v>
      </c>
      <c r="E246" s="252"/>
      <c r="F246" s="252"/>
      <c r="G246" s="252"/>
      <c r="H246" s="232">
        <f t="shared" si="212"/>
        <v>0</v>
      </c>
      <c r="I246" s="252">
        <v>0</v>
      </c>
      <c r="J246" s="252"/>
      <c r="K246" s="252"/>
      <c r="L246" s="252"/>
      <c r="M246" s="232">
        <f t="shared" si="213"/>
        <v>0</v>
      </c>
      <c r="N246" s="252">
        <v>0</v>
      </c>
      <c r="O246" s="252"/>
      <c r="P246" s="252"/>
      <c r="Q246" s="251"/>
      <c r="R246" s="232">
        <f t="shared" si="214"/>
        <v>0</v>
      </c>
    </row>
    <row r="247" spans="1:18" s="29" customFormat="1" ht="24" hidden="1" customHeight="1">
      <c r="A247" s="141">
        <v>9600</v>
      </c>
      <c r="B247" s="179" t="s">
        <v>134</v>
      </c>
      <c r="C247" s="204"/>
      <c r="D247" s="180">
        <v>0</v>
      </c>
      <c r="E247" s="252"/>
      <c r="F247" s="252"/>
      <c r="G247" s="252"/>
      <c r="H247" s="232">
        <f t="shared" si="212"/>
        <v>0</v>
      </c>
      <c r="I247" s="252">
        <v>0</v>
      </c>
      <c r="J247" s="252"/>
      <c r="K247" s="252"/>
      <c r="L247" s="252"/>
      <c r="M247" s="232">
        <f t="shared" si="213"/>
        <v>0</v>
      </c>
      <c r="N247" s="252">
        <v>0</v>
      </c>
      <c r="O247" s="252"/>
      <c r="P247" s="252"/>
      <c r="Q247" s="251"/>
      <c r="R247" s="232">
        <f t="shared" si="214"/>
        <v>0</v>
      </c>
    </row>
    <row r="248" spans="1:18" s="29" customFormat="1" ht="52.5" hidden="1" customHeight="1">
      <c r="A248" s="130" t="s">
        <v>197</v>
      </c>
      <c r="B248" s="185" t="s">
        <v>47</v>
      </c>
      <c r="C248" s="206"/>
      <c r="D248" s="186">
        <v>0</v>
      </c>
      <c r="E248" s="262">
        <f t="shared" ref="E248:G248" si="265">E178-E203</f>
        <v>0</v>
      </c>
      <c r="F248" s="262">
        <f t="shared" si="265"/>
        <v>0</v>
      </c>
      <c r="G248" s="262">
        <f t="shared" si="265"/>
        <v>0</v>
      </c>
      <c r="H248" s="232">
        <f t="shared" si="212"/>
        <v>0</v>
      </c>
      <c r="I248" s="262">
        <v>0</v>
      </c>
      <c r="J248" s="262">
        <f t="shared" ref="J248:L248" si="266">J178-J203</f>
        <v>0</v>
      </c>
      <c r="K248" s="262">
        <f t="shared" si="266"/>
        <v>0</v>
      </c>
      <c r="L248" s="262">
        <f t="shared" si="266"/>
        <v>0</v>
      </c>
      <c r="M248" s="232">
        <f t="shared" si="213"/>
        <v>0</v>
      </c>
      <c r="N248" s="262">
        <v>0</v>
      </c>
      <c r="O248" s="262">
        <f t="shared" ref="O248:Q248" si="267">O178-O203</f>
        <v>0</v>
      </c>
      <c r="P248" s="262">
        <f t="shared" si="267"/>
        <v>0</v>
      </c>
      <c r="Q248" s="261">
        <f t="shared" si="267"/>
        <v>0</v>
      </c>
      <c r="R248" s="232">
        <f t="shared" si="214"/>
        <v>0</v>
      </c>
    </row>
    <row r="249" spans="1:18" s="29" customFormat="1" ht="12" hidden="1" customHeight="1">
      <c r="A249" s="143" t="s">
        <v>48</v>
      </c>
      <c r="B249" s="185" t="s">
        <v>49</v>
      </c>
      <c r="C249" s="206">
        <v>0</v>
      </c>
      <c r="D249" s="186">
        <v>0</v>
      </c>
      <c r="E249" s="262">
        <f t="shared" ref="E249:G249" si="268">E250+E253+E257+E256</f>
        <v>0</v>
      </c>
      <c r="F249" s="262">
        <f t="shared" si="268"/>
        <v>0</v>
      </c>
      <c r="G249" s="262">
        <f t="shared" si="268"/>
        <v>0</v>
      </c>
      <c r="H249" s="232">
        <f t="shared" si="212"/>
        <v>0</v>
      </c>
      <c r="I249" s="262">
        <v>0</v>
      </c>
      <c r="J249" s="262">
        <f t="shared" ref="J249:L249" si="269">J250+J253+J257+J256</f>
        <v>0</v>
      </c>
      <c r="K249" s="262">
        <f t="shared" si="269"/>
        <v>0</v>
      </c>
      <c r="L249" s="262">
        <f t="shared" si="269"/>
        <v>0</v>
      </c>
      <c r="M249" s="232">
        <f t="shared" si="213"/>
        <v>0</v>
      </c>
      <c r="N249" s="262">
        <v>0</v>
      </c>
      <c r="O249" s="262">
        <f t="shared" ref="O249:Q249" si="270">O250+O253+O257+O256</f>
        <v>0</v>
      </c>
      <c r="P249" s="262">
        <f t="shared" si="270"/>
        <v>0</v>
      </c>
      <c r="Q249" s="261">
        <f t="shared" si="270"/>
        <v>0</v>
      </c>
      <c r="R249" s="232">
        <f t="shared" si="214"/>
        <v>0</v>
      </c>
    </row>
    <row r="250" spans="1:18" s="29" customFormat="1" ht="12" hidden="1" customHeight="1">
      <c r="A250" s="141" t="s">
        <v>50</v>
      </c>
      <c r="B250" s="179" t="s">
        <v>51</v>
      </c>
      <c r="C250" s="98">
        <v>0</v>
      </c>
      <c r="D250" s="169">
        <v>0</v>
      </c>
      <c r="E250" s="231">
        <f t="shared" ref="E250:G250" si="271">E251+E252</f>
        <v>0</v>
      </c>
      <c r="F250" s="231">
        <f t="shared" si="271"/>
        <v>0</v>
      </c>
      <c r="G250" s="231">
        <f t="shared" si="271"/>
        <v>0</v>
      </c>
      <c r="H250" s="232">
        <f t="shared" si="212"/>
        <v>0</v>
      </c>
      <c r="I250" s="231">
        <v>0</v>
      </c>
      <c r="J250" s="231">
        <f t="shared" ref="J250:L250" si="272">J251+J252</f>
        <v>0</v>
      </c>
      <c r="K250" s="231">
        <f t="shared" si="272"/>
        <v>0</v>
      </c>
      <c r="L250" s="231">
        <f t="shared" si="272"/>
        <v>0</v>
      </c>
      <c r="M250" s="232">
        <f t="shared" si="213"/>
        <v>0</v>
      </c>
      <c r="N250" s="231">
        <v>0</v>
      </c>
      <c r="O250" s="231">
        <f t="shared" ref="O250:Q250" si="273">O251+O252</f>
        <v>0</v>
      </c>
      <c r="P250" s="231">
        <f t="shared" si="273"/>
        <v>0</v>
      </c>
      <c r="Q250" s="230">
        <f t="shared" si="273"/>
        <v>0</v>
      </c>
      <c r="R250" s="232">
        <f t="shared" si="214"/>
        <v>0</v>
      </c>
    </row>
    <row r="251" spans="1:18" s="29" customFormat="1" ht="12" hidden="1" customHeight="1">
      <c r="A251" s="141" t="s">
        <v>52</v>
      </c>
      <c r="B251" s="179" t="s">
        <v>53</v>
      </c>
      <c r="C251" s="98"/>
      <c r="D251" s="169">
        <v>0</v>
      </c>
      <c r="E251" s="231"/>
      <c r="F251" s="231"/>
      <c r="G251" s="231"/>
      <c r="H251" s="232">
        <f t="shared" si="212"/>
        <v>0</v>
      </c>
      <c r="I251" s="231">
        <v>0</v>
      </c>
      <c r="J251" s="231"/>
      <c r="K251" s="231"/>
      <c r="L251" s="231"/>
      <c r="M251" s="232">
        <f t="shared" si="213"/>
        <v>0</v>
      </c>
      <c r="N251" s="231">
        <v>0</v>
      </c>
      <c r="O251" s="231"/>
      <c r="P251" s="231"/>
      <c r="Q251" s="230"/>
      <c r="R251" s="232">
        <f t="shared" si="214"/>
        <v>0</v>
      </c>
    </row>
    <row r="252" spans="1:18" s="29" customFormat="1" ht="12" hidden="1" customHeight="1">
      <c r="A252" s="141" t="s">
        <v>54</v>
      </c>
      <c r="B252" s="179" t="s">
        <v>55</v>
      </c>
      <c r="C252" s="98"/>
      <c r="D252" s="169">
        <v>0</v>
      </c>
      <c r="E252" s="231"/>
      <c r="F252" s="231"/>
      <c r="G252" s="231"/>
      <c r="H252" s="232">
        <f t="shared" si="212"/>
        <v>0</v>
      </c>
      <c r="I252" s="231">
        <v>0</v>
      </c>
      <c r="J252" s="231"/>
      <c r="K252" s="231"/>
      <c r="L252" s="231"/>
      <c r="M252" s="232">
        <f t="shared" si="213"/>
        <v>0</v>
      </c>
      <c r="N252" s="231">
        <v>0</v>
      </c>
      <c r="O252" s="231"/>
      <c r="P252" s="231"/>
      <c r="Q252" s="230"/>
      <c r="R252" s="232">
        <f t="shared" si="214"/>
        <v>0</v>
      </c>
    </row>
    <row r="253" spans="1:18" s="29" customFormat="1" ht="12" hidden="1" customHeight="1">
      <c r="A253" s="141" t="s">
        <v>56</v>
      </c>
      <c r="B253" s="179" t="s">
        <v>57</v>
      </c>
      <c r="C253" s="98">
        <v>0</v>
      </c>
      <c r="D253" s="169">
        <v>0</v>
      </c>
      <c r="E253" s="231">
        <f t="shared" ref="E253:G253" si="274">E254+E255</f>
        <v>0</v>
      </c>
      <c r="F253" s="231">
        <f t="shared" si="274"/>
        <v>0</v>
      </c>
      <c r="G253" s="231">
        <f t="shared" si="274"/>
        <v>0</v>
      </c>
      <c r="H253" s="232">
        <f t="shared" si="212"/>
        <v>0</v>
      </c>
      <c r="I253" s="231">
        <v>0</v>
      </c>
      <c r="J253" s="231">
        <f t="shared" ref="J253:L253" si="275">J254+J255</f>
        <v>0</v>
      </c>
      <c r="K253" s="231">
        <f t="shared" si="275"/>
        <v>0</v>
      </c>
      <c r="L253" s="231">
        <f t="shared" si="275"/>
        <v>0</v>
      </c>
      <c r="M253" s="232">
        <f t="shared" si="213"/>
        <v>0</v>
      </c>
      <c r="N253" s="231">
        <v>0</v>
      </c>
      <c r="O253" s="231">
        <f t="shared" ref="O253:Q253" si="276">O254+O255</f>
        <v>0</v>
      </c>
      <c r="P253" s="231">
        <f t="shared" si="276"/>
        <v>0</v>
      </c>
      <c r="Q253" s="230">
        <f t="shared" si="276"/>
        <v>0</v>
      </c>
      <c r="R253" s="232">
        <f t="shared" si="214"/>
        <v>0</v>
      </c>
    </row>
    <row r="254" spans="1:18" s="29" customFormat="1" ht="12" hidden="1" customHeight="1">
      <c r="A254" s="141" t="s">
        <v>58</v>
      </c>
      <c r="B254" s="179" t="s">
        <v>59</v>
      </c>
      <c r="C254" s="98"/>
      <c r="D254" s="169">
        <v>0</v>
      </c>
      <c r="E254" s="231"/>
      <c r="F254" s="231"/>
      <c r="G254" s="231"/>
      <c r="H254" s="232">
        <f t="shared" si="212"/>
        <v>0</v>
      </c>
      <c r="I254" s="231">
        <v>0</v>
      </c>
      <c r="J254" s="231"/>
      <c r="K254" s="231"/>
      <c r="L254" s="231"/>
      <c r="M254" s="232">
        <f t="shared" si="213"/>
        <v>0</v>
      </c>
      <c r="N254" s="231">
        <v>0</v>
      </c>
      <c r="O254" s="231"/>
      <c r="P254" s="231"/>
      <c r="Q254" s="230"/>
      <c r="R254" s="232">
        <f t="shared" si="214"/>
        <v>0</v>
      </c>
    </row>
    <row r="255" spans="1:18" s="29" customFormat="1" ht="12" hidden="1" customHeight="1">
      <c r="A255" s="141" t="s">
        <v>60</v>
      </c>
      <c r="B255" s="179" t="s">
        <v>61</v>
      </c>
      <c r="C255" s="98"/>
      <c r="D255" s="169">
        <v>0</v>
      </c>
      <c r="E255" s="231"/>
      <c r="F255" s="231"/>
      <c r="G255" s="231"/>
      <c r="H255" s="232">
        <f t="shared" si="212"/>
        <v>0</v>
      </c>
      <c r="I255" s="231">
        <v>0</v>
      </c>
      <c r="J255" s="231"/>
      <c r="K255" s="231"/>
      <c r="L255" s="231"/>
      <c r="M255" s="232">
        <f t="shared" si="213"/>
        <v>0</v>
      </c>
      <c r="N255" s="231">
        <v>0</v>
      </c>
      <c r="O255" s="231"/>
      <c r="P255" s="231"/>
      <c r="Q255" s="230"/>
      <c r="R255" s="232">
        <f t="shared" si="214"/>
        <v>0</v>
      </c>
    </row>
    <row r="256" spans="1:18" s="29" customFormat="1" ht="12" hidden="1" customHeight="1">
      <c r="A256" s="141" t="s">
        <v>198</v>
      </c>
      <c r="B256" s="187" t="s">
        <v>168</v>
      </c>
      <c r="C256" s="98"/>
      <c r="D256" s="169">
        <v>0</v>
      </c>
      <c r="E256" s="231"/>
      <c r="F256" s="231"/>
      <c r="G256" s="231"/>
      <c r="H256" s="232">
        <f t="shared" si="212"/>
        <v>0</v>
      </c>
      <c r="I256" s="231">
        <v>0</v>
      </c>
      <c r="J256" s="231"/>
      <c r="K256" s="231"/>
      <c r="L256" s="231"/>
      <c r="M256" s="232">
        <f t="shared" si="213"/>
        <v>0</v>
      </c>
      <c r="N256" s="231">
        <v>0</v>
      </c>
      <c r="O256" s="231"/>
      <c r="P256" s="231"/>
      <c r="Q256" s="230"/>
      <c r="R256" s="232">
        <f t="shared" si="214"/>
        <v>0</v>
      </c>
    </row>
    <row r="257" spans="1:18" s="29" customFormat="1" ht="12" hidden="1" customHeight="1">
      <c r="A257" s="144" t="s">
        <v>62</v>
      </c>
      <c r="B257" s="125" t="s">
        <v>63</v>
      </c>
      <c r="C257" s="170">
        <v>0</v>
      </c>
      <c r="D257" s="171">
        <v>0</v>
      </c>
      <c r="E257" s="233">
        <f t="shared" ref="E257:G257" si="277">E258+E259+E260</f>
        <v>0</v>
      </c>
      <c r="F257" s="233">
        <f t="shared" si="277"/>
        <v>0</v>
      </c>
      <c r="G257" s="233">
        <f t="shared" si="277"/>
        <v>0</v>
      </c>
      <c r="H257" s="232">
        <f t="shared" si="212"/>
        <v>0</v>
      </c>
      <c r="I257" s="233">
        <v>0</v>
      </c>
      <c r="J257" s="233">
        <f t="shared" ref="J257:L257" si="278">J258+J259+J260</f>
        <v>0</v>
      </c>
      <c r="K257" s="233">
        <f t="shared" si="278"/>
        <v>0</v>
      </c>
      <c r="L257" s="233">
        <f t="shared" si="278"/>
        <v>0</v>
      </c>
      <c r="M257" s="232">
        <f t="shared" si="213"/>
        <v>0</v>
      </c>
      <c r="N257" s="233">
        <v>0</v>
      </c>
      <c r="O257" s="233">
        <f t="shared" ref="O257:Q257" si="279">O258+O259+O260</f>
        <v>0</v>
      </c>
      <c r="P257" s="233">
        <f t="shared" si="279"/>
        <v>0</v>
      </c>
      <c r="Q257" s="232">
        <f t="shared" si="279"/>
        <v>0</v>
      </c>
      <c r="R257" s="232">
        <f t="shared" si="214"/>
        <v>0</v>
      </c>
    </row>
    <row r="258" spans="1:18" s="29" customFormat="1" ht="36" hidden="1" customHeight="1">
      <c r="A258" s="144" t="s">
        <v>64</v>
      </c>
      <c r="B258" s="179" t="s">
        <v>65</v>
      </c>
      <c r="C258" s="98"/>
      <c r="D258" s="169">
        <v>0</v>
      </c>
      <c r="E258" s="231"/>
      <c r="F258" s="231"/>
      <c r="G258" s="231"/>
      <c r="H258" s="232">
        <f t="shared" si="212"/>
        <v>0</v>
      </c>
      <c r="I258" s="231">
        <v>0</v>
      </c>
      <c r="J258" s="231"/>
      <c r="K258" s="231"/>
      <c r="L258" s="231"/>
      <c r="M258" s="232">
        <f t="shared" si="213"/>
        <v>0</v>
      </c>
      <c r="N258" s="231">
        <v>0</v>
      </c>
      <c r="O258" s="231"/>
      <c r="P258" s="231"/>
      <c r="Q258" s="230"/>
      <c r="R258" s="232">
        <f t="shared" si="214"/>
        <v>0</v>
      </c>
    </row>
    <row r="259" spans="1:18" s="29" customFormat="1" ht="36" hidden="1" customHeight="1">
      <c r="A259" s="144" t="s">
        <v>66</v>
      </c>
      <c r="B259" s="179" t="s">
        <v>67</v>
      </c>
      <c r="C259" s="98"/>
      <c r="D259" s="169">
        <v>0</v>
      </c>
      <c r="E259" s="231"/>
      <c r="F259" s="231"/>
      <c r="G259" s="231"/>
      <c r="H259" s="232">
        <f t="shared" si="212"/>
        <v>0</v>
      </c>
      <c r="I259" s="231">
        <v>0</v>
      </c>
      <c r="J259" s="231"/>
      <c r="K259" s="231"/>
      <c r="L259" s="231"/>
      <c r="M259" s="232">
        <f t="shared" si="213"/>
        <v>0</v>
      </c>
      <c r="N259" s="231">
        <v>0</v>
      </c>
      <c r="O259" s="231"/>
      <c r="P259" s="231"/>
      <c r="Q259" s="230"/>
      <c r="R259" s="232">
        <f t="shared" si="214"/>
        <v>0</v>
      </c>
    </row>
    <row r="260" spans="1:18" s="29" customFormat="1" ht="24" hidden="1" customHeight="1">
      <c r="A260" s="144" t="s">
        <v>68</v>
      </c>
      <c r="B260" s="125" t="s">
        <v>69</v>
      </c>
      <c r="C260" s="98"/>
      <c r="D260" s="169">
        <v>0</v>
      </c>
      <c r="E260" s="231"/>
      <c r="F260" s="231"/>
      <c r="G260" s="231"/>
      <c r="H260" s="232">
        <f t="shared" si="212"/>
        <v>0</v>
      </c>
      <c r="I260" s="231">
        <v>0</v>
      </c>
      <c r="J260" s="231"/>
      <c r="K260" s="231"/>
      <c r="L260" s="231"/>
      <c r="M260" s="232">
        <f t="shared" si="213"/>
        <v>0</v>
      </c>
      <c r="N260" s="231">
        <v>0</v>
      </c>
      <c r="O260" s="231"/>
      <c r="P260" s="231"/>
      <c r="Q260" s="230"/>
      <c r="R260" s="232">
        <f t="shared" si="214"/>
        <v>0</v>
      </c>
    </row>
    <row r="261" spans="1:18" s="29" customFormat="1" ht="12">
      <c r="A261" s="271"/>
      <c r="B261" s="272"/>
      <c r="C261" s="253"/>
      <c r="D261" s="254"/>
      <c r="E261" s="253"/>
      <c r="F261" s="253"/>
      <c r="G261" s="253"/>
      <c r="H261" s="232"/>
      <c r="I261" s="254"/>
      <c r="J261" s="253"/>
      <c r="K261" s="253"/>
      <c r="L261" s="253"/>
      <c r="M261" s="232"/>
      <c r="N261" s="254"/>
      <c r="O261" s="253"/>
      <c r="P261" s="253"/>
      <c r="Q261" s="253"/>
      <c r="R261" s="232"/>
    </row>
    <row r="262" spans="1:18" ht="12">
      <c r="A262" s="33"/>
      <c r="B262" s="164"/>
      <c r="C262" s="165"/>
      <c r="D262" s="163"/>
      <c r="E262" s="165"/>
      <c r="F262" s="163"/>
      <c r="G262" s="163"/>
      <c r="H262" s="163"/>
      <c r="I262" s="163"/>
      <c r="J262" s="165"/>
      <c r="K262" s="163"/>
      <c r="L262" s="163"/>
      <c r="M262" s="163"/>
      <c r="N262" s="163"/>
      <c r="O262" s="165"/>
      <c r="P262" s="163"/>
      <c r="Q262" s="163"/>
      <c r="R262" s="163"/>
    </row>
    <row r="263" spans="1:18" ht="12">
      <c r="A263" s="33"/>
      <c r="B263" s="164"/>
      <c r="C263" s="165"/>
      <c r="D263" s="163"/>
      <c r="E263" s="165"/>
      <c r="F263" s="163"/>
      <c r="G263" s="163"/>
      <c r="H263" s="163"/>
      <c r="I263" s="163"/>
      <c r="J263" s="165"/>
      <c r="K263" s="163"/>
      <c r="L263" s="163"/>
      <c r="M263" s="163"/>
      <c r="N263" s="163"/>
      <c r="O263" s="165"/>
      <c r="P263" s="163"/>
      <c r="Q263" s="163"/>
      <c r="R263" s="163"/>
    </row>
    <row r="264" spans="1:18" ht="13.2">
      <c r="A264" s="369" t="s">
        <v>236</v>
      </c>
      <c r="B264" s="370" t="s">
        <v>237</v>
      </c>
      <c r="C264" s="165"/>
      <c r="D264" s="163"/>
      <c r="E264" s="165"/>
      <c r="F264" s="163"/>
      <c r="G264" s="163"/>
      <c r="H264" s="163"/>
      <c r="I264" s="163"/>
      <c r="J264" s="165"/>
      <c r="K264" s="163"/>
      <c r="L264" s="163"/>
      <c r="M264" s="163"/>
      <c r="N264" s="163"/>
      <c r="O264" s="165"/>
      <c r="P264" s="163"/>
      <c r="Q264" s="163"/>
      <c r="R264" s="163"/>
    </row>
    <row r="265" spans="1:18" ht="13.2">
      <c r="A265" s="371"/>
      <c r="B265" s="372" t="s">
        <v>238</v>
      </c>
      <c r="C265" s="165"/>
      <c r="D265" s="163"/>
      <c r="E265" s="165"/>
      <c r="F265" s="163"/>
      <c r="G265" s="163"/>
      <c r="H265" s="163"/>
      <c r="I265" s="163"/>
      <c r="J265" s="165"/>
      <c r="K265" s="163"/>
      <c r="L265" s="163"/>
      <c r="M265" s="163"/>
      <c r="N265" s="163"/>
      <c r="O265" s="165"/>
      <c r="P265" s="163"/>
      <c r="Q265" s="163"/>
      <c r="R265" s="163"/>
    </row>
    <row r="266" spans="1:18" ht="13.2">
      <c r="A266" s="373"/>
      <c r="B266" s="374"/>
      <c r="C266" s="165"/>
      <c r="D266" s="163"/>
      <c r="E266" s="165"/>
      <c r="F266" s="163"/>
      <c r="G266" s="163"/>
      <c r="H266" s="163"/>
      <c r="I266" s="163"/>
      <c r="J266" s="165"/>
      <c r="K266" s="163"/>
      <c r="L266" s="163"/>
      <c r="M266" s="163"/>
      <c r="N266" s="163"/>
      <c r="O266" s="165"/>
      <c r="P266" s="163"/>
      <c r="Q266" s="163"/>
      <c r="R266" s="163"/>
    </row>
    <row r="267" spans="1:18" ht="13.2">
      <c r="A267" s="375"/>
      <c r="B267" s="376"/>
      <c r="C267" s="165"/>
      <c r="D267" s="163"/>
      <c r="E267" s="165"/>
      <c r="F267" s="163"/>
      <c r="G267" s="163"/>
      <c r="H267" s="163"/>
      <c r="I267" s="163"/>
      <c r="J267" s="165"/>
      <c r="K267" s="163"/>
      <c r="L267" s="163"/>
      <c r="M267" s="163"/>
      <c r="N267" s="163"/>
      <c r="O267" s="165"/>
      <c r="P267" s="163"/>
      <c r="Q267" s="163"/>
      <c r="R267" s="163"/>
    </row>
    <row r="268" spans="1:18" ht="13.2">
      <c r="A268" s="377"/>
      <c r="B268" s="376"/>
      <c r="C268" s="165"/>
      <c r="D268" s="163"/>
      <c r="E268" s="165"/>
      <c r="F268" s="163"/>
      <c r="G268" s="163"/>
      <c r="H268" s="163"/>
      <c r="I268" s="163"/>
      <c r="J268" s="165"/>
      <c r="K268" s="163"/>
      <c r="L268" s="163"/>
      <c r="M268" s="163"/>
      <c r="N268" s="163"/>
      <c r="O268" s="165"/>
      <c r="P268" s="163"/>
      <c r="Q268" s="163"/>
      <c r="R268" s="163"/>
    </row>
    <row r="269" spans="1:18" ht="13.2">
      <c r="A269" s="378" t="s">
        <v>223</v>
      </c>
      <c r="B269" s="374" t="s">
        <v>242</v>
      </c>
      <c r="C269" s="165"/>
      <c r="D269" s="163"/>
      <c r="E269" s="165"/>
      <c r="F269" s="163"/>
      <c r="G269" s="165">
        <v>1437539</v>
      </c>
      <c r="H269" s="163"/>
      <c r="I269" s="163"/>
      <c r="J269" s="165"/>
      <c r="K269" s="163"/>
      <c r="L269" s="165">
        <v>2109451</v>
      </c>
      <c r="M269" s="163"/>
      <c r="N269" s="163"/>
      <c r="O269" s="165"/>
      <c r="P269" s="163"/>
      <c r="Q269" s="165">
        <v>1294208</v>
      </c>
      <c r="R269" s="163"/>
    </row>
    <row r="270" spans="1:18" ht="26.4">
      <c r="A270" s="375" t="s">
        <v>240</v>
      </c>
      <c r="B270" s="376" t="s">
        <v>528</v>
      </c>
      <c r="C270" s="165"/>
      <c r="D270" s="163"/>
      <c r="E270" s="165"/>
      <c r="F270" s="163"/>
      <c r="G270" s="165">
        <v>216948</v>
      </c>
      <c r="H270" s="163"/>
      <c r="I270" s="163"/>
      <c r="J270" s="165"/>
      <c r="K270" s="163"/>
      <c r="L270" s="163"/>
      <c r="M270" s="163"/>
      <c r="N270" s="163"/>
      <c r="O270" s="165"/>
      <c r="P270" s="163"/>
      <c r="Q270" s="163"/>
      <c r="R270" s="163"/>
    </row>
    <row r="271" spans="1:18" ht="13.2">
      <c r="A271" s="375" t="s">
        <v>529</v>
      </c>
      <c r="B271" s="376" t="s">
        <v>530</v>
      </c>
      <c r="C271" s="165"/>
      <c r="D271" s="163"/>
      <c r="E271" s="165"/>
      <c r="F271" s="163"/>
      <c r="G271" s="165">
        <v>102738</v>
      </c>
      <c r="H271" s="163"/>
      <c r="I271" s="163"/>
      <c r="J271" s="165"/>
      <c r="K271" s="163"/>
      <c r="L271" s="165">
        <v>935988</v>
      </c>
      <c r="M271" s="163"/>
      <c r="N271" s="163"/>
      <c r="O271" s="165"/>
      <c r="P271" s="163"/>
      <c r="Q271" s="163"/>
      <c r="R271" s="163"/>
    </row>
    <row r="272" spans="1:18" ht="39.6">
      <c r="A272" s="375" t="s">
        <v>255</v>
      </c>
      <c r="B272" s="593" t="s">
        <v>531</v>
      </c>
      <c r="C272" s="165"/>
      <c r="D272" s="163"/>
      <c r="E272" s="165"/>
      <c r="F272" s="163"/>
      <c r="G272" s="163"/>
      <c r="H272" s="163"/>
      <c r="I272" s="163"/>
      <c r="J272" s="165"/>
      <c r="K272" s="163"/>
      <c r="L272" s="165">
        <v>55610</v>
      </c>
      <c r="M272" s="163"/>
      <c r="N272" s="163"/>
      <c r="O272" s="165"/>
      <c r="P272" s="163"/>
      <c r="Q272" s="165">
        <v>176355</v>
      </c>
      <c r="R272" s="163"/>
    </row>
    <row r="273" spans="1:18" ht="13.2">
      <c r="A273" s="375"/>
      <c r="B273" s="372"/>
      <c r="C273" s="165"/>
      <c r="D273" s="163"/>
      <c r="E273" s="165"/>
      <c r="F273" s="163"/>
      <c r="G273" s="163"/>
      <c r="H273" s="163"/>
      <c r="I273" s="163"/>
      <c r="J273" s="165"/>
      <c r="K273" s="163"/>
      <c r="L273" s="163"/>
      <c r="M273" s="163"/>
      <c r="N273" s="163"/>
      <c r="O273" s="165"/>
      <c r="P273" s="163"/>
      <c r="Q273" s="163"/>
      <c r="R273" s="163"/>
    </row>
    <row r="274" spans="1:18" ht="26.4">
      <c r="A274" s="375" t="s">
        <v>532</v>
      </c>
      <c r="B274" s="594" t="s">
        <v>533</v>
      </c>
      <c r="C274" s="165"/>
      <c r="D274" s="163"/>
      <c r="E274" s="165"/>
      <c r="F274" s="163"/>
      <c r="G274" s="165">
        <v>43541</v>
      </c>
      <c r="H274" s="163"/>
      <c r="I274" s="163"/>
      <c r="J274" s="165"/>
      <c r="K274" s="163"/>
      <c r="L274" s="165">
        <v>43541</v>
      </c>
      <c r="M274" s="163"/>
      <c r="N274" s="163"/>
      <c r="O274" s="165"/>
      <c r="P274" s="163"/>
      <c r="Q274" s="165">
        <v>43541</v>
      </c>
      <c r="R274" s="163"/>
    </row>
    <row r="275" spans="1:18" ht="39.6">
      <c r="A275" s="375" t="s">
        <v>534</v>
      </c>
      <c r="B275" s="376" t="s">
        <v>535</v>
      </c>
      <c r="C275" s="165"/>
      <c r="D275" s="163"/>
      <c r="E275" s="165"/>
      <c r="F275" s="163"/>
      <c r="G275" s="165">
        <v>405000</v>
      </c>
      <c r="H275" s="163"/>
      <c r="I275" s="163"/>
      <c r="J275" s="165"/>
      <c r="K275" s="163"/>
      <c r="L275" s="165">
        <v>405000</v>
      </c>
      <c r="M275" s="163"/>
      <c r="N275" s="163"/>
      <c r="O275" s="165"/>
      <c r="P275" s="163"/>
      <c r="Q275" s="165">
        <v>405000</v>
      </c>
      <c r="R275" s="163"/>
    </row>
    <row r="276" spans="1:18" ht="39.6">
      <c r="A276" s="375" t="s">
        <v>536</v>
      </c>
      <c r="B276" s="376" t="s">
        <v>537</v>
      </c>
      <c r="C276" s="165"/>
      <c r="D276" s="163"/>
      <c r="E276" s="165"/>
      <c r="F276" s="163"/>
      <c r="G276" s="165">
        <v>50000</v>
      </c>
      <c r="H276" s="163"/>
      <c r="I276" s="163"/>
      <c r="J276" s="165"/>
      <c r="K276" s="163"/>
      <c r="L276" s="165">
        <v>50000</v>
      </c>
      <c r="M276" s="163"/>
      <c r="N276" s="163"/>
      <c r="O276" s="165"/>
      <c r="P276" s="163"/>
      <c r="Q276" s="165">
        <v>50000</v>
      </c>
      <c r="R276" s="163"/>
    </row>
    <row r="277" spans="1:18" ht="26.4">
      <c r="A277" s="375" t="s">
        <v>538</v>
      </c>
      <c r="B277" s="594" t="s">
        <v>539</v>
      </c>
      <c r="C277" s="165"/>
      <c r="D277" s="163"/>
      <c r="E277" s="165"/>
      <c r="F277" s="163"/>
      <c r="G277" s="165">
        <v>350000</v>
      </c>
      <c r="H277" s="163"/>
      <c r="I277" s="163"/>
      <c r="J277" s="165"/>
      <c r="K277" s="163"/>
      <c r="L277" s="165">
        <v>350000</v>
      </c>
      <c r="M277" s="163"/>
      <c r="N277" s="163"/>
      <c r="O277" s="165"/>
      <c r="P277" s="163"/>
      <c r="Q277" s="165">
        <v>350000</v>
      </c>
      <c r="R277" s="163"/>
    </row>
    <row r="278" spans="1:18" ht="26.4">
      <c r="A278" s="375">
        <v>1.8</v>
      </c>
      <c r="B278" s="376" t="s">
        <v>540</v>
      </c>
      <c r="C278" s="165"/>
      <c r="D278" s="163"/>
      <c r="E278" s="165"/>
      <c r="F278" s="163"/>
      <c r="G278" s="165">
        <v>269312</v>
      </c>
      <c r="H278" s="163"/>
      <c r="I278" s="163"/>
      <c r="J278" s="165"/>
      <c r="K278" s="163"/>
      <c r="L278" s="165">
        <v>269312</v>
      </c>
      <c r="M278" s="163"/>
      <c r="N278" s="163"/>
      <c r="O278" s="165"/>
      <c r="P278" s="163"/>
      <c r="Q278" s="165">
        <v>269312</v>
      </c>
      <c r="R278" s="163"/>
    </row>
    <row r="279" spans="1:18" ht="12">
      <c r="A279" s="33"/>
      <c r="B279" s="34"/>
      <c r="C279" s="165"/>
      <c r="D279" s="163"/>
      <c r="E279" s="165"/>
      <c r="F279" s="163"/>
      <c r="G279" s="163"/>
      <c r="H279" s="163"/>
      <c r="I279" s="163"/>
      <c r="J279" s="165"/>
      <c r="K279" s="163"/>
      <c r="L279" s="163"/>
      <c r="M279" s="163"/>
      <c r="N279" s="163"/>
      <c r="O279" s="165"/>
      <c r="P279" s="163"/>
      <c r="Q279" s="163"/>
      <c r="R279" s="163"/>
    </row>
    <row r="280" spans="1:18" ht="12">
      <c r="A280" s="33"/>
      <c r="B280" s="34"/>
      <c r="C280" s="165"/>
      <c r="D280" s="163"/>
      <c r="E280" s="165"/>
      <c r="F280" s="163"/>
      <c r="G280" s="163"/>
      <c r="H280" s="163"/>
      <c r="I280" s="163"/>
      <c r="J280" s="165"/>
      <c r="K280" s="163"/>
      <c r="L280" s="163"/>
      <c r="M280" s="163"/>
      <c r="N280" s="163"/>
      <c r="O280" s="165"/>
      <c r="P280" s="163"/>
      <c r="Q280" s="163"/>
      <c r="R280" s="163"/>
    </row>
    <row r="281" spans="1:18" ht="12">
      <c r="A281" s="33"/>
      <c r="B281" s="31"/>
      <c r="C281" s="165"/>
      <c r="D281" s="163"/>
      <c r="E281" s="165"/>
      <c r="F281" s="163"/>
      <c r="G281" s="163"/>
      <c r="H281" s="163"/>
      <c r="I281" s="163"/>
      <c r="J281" s="165"/>
      <c r="K281" s="163"/>
      <c r="L281" s="163"/>
      <c r="M281" s="163"/>
      <c r="N281" s="163"/>
      <c r="O281" s="165"/>
      <c r="P281" s="163"/>
      <c r="Q281" s="163"/>
      <c r="R281" s="163"/>
    </row>
    <row r="282" spans="1:18" ht="12">
      <c r="A282" s="33"/>
      <c r="B282" s="34"/>
      <c r="C282" s="35"/>
      <c r="D282" s="33"/>
      <c r="E282" s="165"/>
      <c r="F282" s="163"/>
      <c r="G282" s="163"/>
      <c r="H282" s="163"/>
      <c r="I282" s="163"/>
      <c r="J282" s="165"/>
      <c r="K282" s="163"/>
      <c r="L282" s="163"/>
      <c r="M282" s="163"/>
      <c r="N282" s="163"/>
      <c r="O282" s="165"/>
      <c r="P282" s="163"/>
      <c r="Q282" s="163"/>
      <c r="R282" s="163"/>
    </row>
    <row r="283" spans="1:18" ht="12">
      <c r="A283" s="33"/>
      <c r="B283" s="34"/>
      <c r="C283" s="35"/>
      <c r="D283" s="33"/>
      <c r="E283" s="165"/>
      <c r="F283" s="163"/>
      <c r="G283" s="163"/>
      <c r="H283" s="163"/>
      <c r="I283" s="163"/>
      <c r="J283" s="165"/>
      <c r="K283" s="163"/>
      <c r="L283" s="163"/>
      <c r="M283" s="163"/>
      <c r="N283" s="163"/>
      <c r="O283" s="165"/>
      <c r="P283" s="163"/>
      <c r="Q283" s="163"/>
      <c r="R283" s="163"/>
    </row>
    <row r="284" spans="1:18" ht="12">
      <c r="A284" s="33"/>
      <c r="B284" s="34"/>
      <c r="C284" s="35"/>
      <c r="D284" s="33"/>
      <c r="E284" s="165"/>
      <c r="F284" s="163"/>
      <c r="G284" s="163"/>
      <c r="H284" s="163"/>
      <c r="I284" s="163"/>
      <c r="J284" s="165"/>
      <c r="K284" s="163"/>
      <c r="L284" s="163"/>
      <c r="M284" s="163"/>
      <c r="N284" s="163"/>
      <c r="O284" s="165"/>
      <c r="P284" s="163"/>
      <c r="Q284" s="163"/>
      <c r="R284" s="163"/>
    </row>
    <row r="285" spans="1:18" ht="12">
      <c r="A285" s="33"/>
      <c r="B285" s="34"/>
      <c r="C285" s="35"/>
      <c r="D285" s="33"/>
      <c r="E285" s="165"/>
      <c r="F285" s="163"/>
      <c r="G285" s="163"/>
      <c r="H285" s="163"/>
      <c r="I285" s="163"/>
      <c r="J285" s="165"/>
      <c r="K285" s="163"/>
      <c r="L285" s="163"/>
      <c r="M285" s="163"/>
      <c r="N285" s="163"/>
      <c r="O285" s="165"/>
      <c r="P285" s="163"/>
      <c r="Q285" s="163"/>
      <c r="R285" s="163"/>
    </row>
    <row r="286" spans="1:18" ht="12">
      <c r="A286" s="33"/>
      <c r="B286" s="34"/>
      <c r="C286" s="35"/>
      <c r="D286" s="33"/>
      <c r="E286" s="165"/>
      <c r="F286" s="163"/>
      <c r="G286" s="163"/>
      <c r="H286" s="163"/>
      <c r="I286" s="163"/>
      <c r="J286" s="165"/>
      <c r="K286" s="163"/>
      <c r="L286" s="163"/>
      <c r="M286" s="163"/>
      <c r="N286" s="163"/>
      <c r="O286" s="165"/>
      <c r="P286" s="163"/>
      <c r="Q286" s="163"/>
      <c r="R286" s="163"/>
    </row>
    <row r="287" spans="1:18" ht="12">
      <c r="A287" s="33"/>
      <c r="B287" s="34"/>
      <c r="C287" s="35"/>
      <c r="D287" s="33"/>
      <c r="E287" s="165"/>
      <c r="F287" s="163"/>
      <c r="G287" s="163"/>
      <c r="H287" s="163"/>
      <c r="I287" s="163"/>
      <c r="J287" s="165"/>
      <c r="K287" s="163"/>
      <c r="L287" s="163"/>
      <c r="M287" s="163"/>
      <c r="N287" s="163"/>
      <c r="O287" s="165"/>
      <c r="P287" s="163"/>
      <c r="Q287" s="163"/>
      <c r="R287" s="163"/>
    </row>
    <row r="288" spans="1:18" ht="12">
      <c r="A288" s="33"/>
      <c r="B288" s="34"/>
      <c r="C288" s="35"/>
      <c r="D288" s="33"/>
      <c r="E288" s="165"/>
      <c r="F288" s="163"/>
      <c r="G288" s="163"/>
      <c r="H288" s="163"/>
      <c r="I288" s="163"/>
      <c r="J288" s="165"/>
      <c r="K288" s="163"/>
      <c r="L288" s="163"/>
      <c r="M288" s="163"/>
      <c r="N288" s="163"/>
      <c r="O288" s="165"/>
      <c r="P288" s="163"/>
      <c r="Q288" s="163"/>
      <c r="R288" s="163"/>
    </row>
    <row r="289" spans="1:18" ht="12">
      <c r="A289" s="33"/>
      <c r="B289" s="34"/>
      <c r="C289" s="35"/>
      <c r="D289" s="33"/>
      <c r="E289" s="165"/>
      <c r="F289" s="163"/>
      <c r="G289" s="163"/>
      <c r="H289" s="163"/>
      <c r="I289" s="163"/>
      <c r="J289" s="165"/>
      <c r="K289" s="163"/>
      <c r="L289" s="163"/>
      <c r="M289" s="163"/>
      <c r="N289" s="163"/>
      <c r="O289" s="165"/>
      <c r="P289" s="163"/>
      <c r="Q289" s="163"/>
      <c r="R289" s="163"/>
    </row>
    <row r="290" spans="1:18" ht="12">
      <c r="A290" s="33"/>
      <c r="B290" s="34"/>
      <c r="C290" s="35"/>
      <c r="D290" s="33"/>
      <c r="E290" s="165"/>
      <c r="F290" s="163"/>
      <c r="G290" s="163"/>
      <c r="H290" s="163"/>
      <c r="I290" s="163"/>
      <c r="J290" s="165"/>
      <c r="K290" s="163"/>
      <c r="L290" s="163"/>
      <c r="M290" s="163"/>
      <c r="N290" s="163"/>
      <c r="O290" s="165"/>
      <c r="P290" s="163"/>
      <c r="Q290" s="163"/>
      <c r="R290" s="163"/>
    </row>
    <row r="291" spans="1:18" ht="12">
      <c r="A291" s="33"/>
      <c r="B291" s="34"/>
      <c r="C291" s="35"/>
      <c r="D291" s="33"/>
      <c r="E291" s="165"/>
      <c r="F291" s="163"/>
      <c r="G291" s="163"/>
      <c r="H291" s="163"/>
      <c r="I291" s="163"/>
      <c r="J291" s="165"/>
      <c r="K291" s="163"/>
      <c r="L291" s="163"/>
      <c r="M291" s="163"/>
      <c r="N291" s="163"/>
      <c r="O291" s="165"/>
      <c r="P291" s="163"/>
      <c r="Q291" s="163"/>
      <c r="R291" s="163"/>
    </row>
    <row r="292" spans="1:18" ht="12">
      <c r="A292" s="33"/>
      <c r="B292" s="34"/>
      <c r="C292" s="35"/>
      <c r="D292" s="33"/>
      <c r="E292" s="165"/>
      <c r="F292" s="163"/>
      <c r="G292" s="163"/>
      <c r="H292" s="163"/>
      <c r="I292" s="163"/>
      <c r="J292" s="165"/>
      <c r="K292" s="163"/>
      <c r="L292" s="163"/>
      <c r="M292" s="163"/>
      <c r="N292" s="163"/>
      <c r="O292" s="165"/>
      <c r="P292" s="163"/>
      <c r="Q292" s="163"/>
      <c r="R292" s="163"/>
    </row>
    <row r="293" spans="1:18" ht="12">
      <c r="A293" s="33"/>
      <c r="B293" s="34"/>
      <c r="C293" s="35"/>
      <c r="D293" s="33"/>
      <c r="E293" s="165"/>
      <c r="F293" s="163"/>
      <c r="G293" s="163"/>
      <c r="H293" s="163"/>
      <c r="I293" s="163"/>
      <c r="J293" s="165"/>
      <c r="K293" s="163"/>
      <c r="L293" s="163"/>
      <c r="M293" s="163"/>
      <c r="N293" s="163"/>
      <c r="O293" s="165"/>
      <c r="P293" s="163"/>
      <c r="Q293" s="163"/>
      <c r="R293" s="163"/>
    </row>
    <row r="294" spans="1:18" ht="12">
      <c r="A294" s="33"/>
      <c r="B294" s="34"/>
      <c r="C294" s="35"/>
      <c r="D294" s="33"/>
      <c r="E294" s="165"/>
      <c r="F294" s="163"/>
      <c r="G294" s="163"/>
      <c r="H294" s="163"/>
      <c r="I294" s="163"/>
      <c r="J294" s="165"/>
      <c r="K294" s="163"/>
      <c r="L294" s="163"/>
      <c r="M294" s="163"/>
      <c r="N294" s="163"/>
      <c r="O294" s="165"/>
      <c r="P294" s="163"/>
      <c r="Q294" s="163"/>
      <c r="R294" s="163"/>
    </row>
    <row r="295" spans="1:18" ht="12">
      <c r="A295" s="33"/>
      <c r="B295" s="34"/>
      <c r="C295" s="35"/>
      <c r="D295" s="33"/>
      <c r="E295" s="165"/>
      <c r="F295" s="163"/>
      <c r="G295" s="163"/>
      <c r="H295" s="163"/>
      <c r="I295" s="163"/>
      <c r="J295" s="165"/>
      <c r="K295" s="163"/>
      <c r="L295" s="163"/>
      <c r="M295" s="163"/>
      <c r="N295" s="163"/>
      <c r="O295" s="165"/>
      <c r="P295" s="163"/>
      <c r="Q295" s="163"/>
      <c r="R295" s="163"/>
    </row>
    <row r="296" spans="1:18" ht="12">
      <c r="A296" s="33"/>
      <c r="B296" s="34"/>
      <c r="C296" s="35"/>
      <c r="D296" s="33"/>
      <c r="E296" s="165"/>
      <c r="F296" s="163"/>
      <c r="G296" s="163"/>
      <c r="H296" s="163"/>
      <c r="I296" s="163"/>
      <c r="J296" s="165"/>
      <c r="K296" s="163"/>
      <c r="L296" s="163"/>
      <c r="M296" s="163"/>
      <c r="N296" s="163"/>
      <c r="O296" s="165"/>
      <c r="P296" s="163"/>
      <c r="Q296" s="163"/>
      <c r="R296" s="163"/>
    </row>
    <row r="297" spans="1:18" ht="12">
      <c r="A297" s="33"/>
      <c r="B297" s="34"/>
      <c r="C297" s="35"/>
      <c r="D297" s="33"/>
      <c r="E297" s="165"/>
      <c r="F297" s="163"/>
      <c r="G297" s="163"/>
      <c r="H297" s="163"/>
      <c r="I297" s="163"/>
      <c r="J297" s="165"/>
      <c r="K297" s="163"/>
      <c r="L297" s="163"/>
      <c r="M297" s="163"/>
      <c r="N297" s="163"/>
      <c r="O297" s="165"/>
      <c r="P297" s="163"/>
      <c r="Q297" s="163"/>
      <c r="R297" s="163"/>
    </row>
    <row r="298" spans="1:18" ht="12">
      <c r="A298" s="33"/>
      <c r="B298" s="34"/>
      <c r="C298" s="35"/>
      <c r="D298" s="33"/>
      <c r="E298" s="165"/>
      <c r="F298" s="163"/>
      <c r="G298" s="163"/>
      <c r="H298" s="163"/>
      <c r="I298" s="163"/>
      <c r="J298" s="165"/>
      <c r="K298" s="163"/>
      <c r="L298" s="163"/>
      <c r="M298" s="163"/>
      <c r="N298" s="163"/>
      <c r="O298" s="165"/>
      <c r="P298" s="163"/>
      <c r="Q298" s="163"/>
      <c r="R298" s="163"/>
    </row>
    <row r="299" spans="1:18" ht="12">
      <c r="A299" s="33"/>
      <c r="B299" s="34"/>
      <c r="C299" s="35"/>
      <c r="D299" s="33"/>
      <c r="E299" s="165"/>
      <c r="F299" s="163"/>
      <c r="G299" s="163"/>
      <c r="H299" s="163"/>
      <c r="I299" s="163"/>
      <c r="J299" s="165"/>
      <c r="K299" s="163"/>
      <c r="L299" s="163"/>
      <c r="M299" s="163"/>
      <c r="N299" s="163"/>
      <c r="O299" s="165"/>
      <c r="P299" s="163"/>
      <c r="Q299" s="163"/>
      <c r="R299" s="163"/>
    </row>
    <row r="300" spans="1:18" ht="12">
      <c r="A300" s="33"/>
      <c r="B300" s="34"/>
      <c r="C300" s="35"/>
      <c r="D300" s="33"/>
      <c r="E300" s="165"/>
      <c r="F300" s="163"/>
      <c r="G300" s="163"/>
      <c r="H300" s="163"/>
      <c r="I300" s="163"/>
      <c r="J300" s="165"/>
      <c r="K300" s="163"/>
      <c r="L300" s="163"/>
      <c r="M300" s="163"/>
      <c r="N300" s="163"/>
      <c r="O300" s="165"/>
      <c r="P300" s="163"/>
      <c r="Q300" s="163"/>
      <c r="R300" s="163"/>
    </row>
    <row r="301" spans="1:18" ht="12">
      <c r="A301" s="33"/>
      <c r="B301" s="34"/>
      <c r="C301" s="35"/>
      <c r="D301" s="33"/>
      <c r="E301" s="165"/>
      <c r="F301" s="163"/>
      <c r="G301" s="163"/>
      <c r="H301" s="163"/>
      <c r="I301" s="163"/>
      <c r="J301" s="165"/>
      <c r="K301" s="163"/>
      <c r="L301" s="163"/>
      <c r="M301" s="163"/>
      <c r="N301" s="163"/>
      <c r="O301" s="165"/>
      <c r="P301" s="163"/>
      <c r="Q301" s="163"/>
      <c r="R301" s="163"/>
    </row>
    <row r="302" spans="1:18" ht="12">
      <c r="A302" s="33"/>
      <c r="B302" s="34"/>
      <c r="C302" s="35"/>
      <c r="D302" s="33"/>
      <c r="E302" s="165"/>
      <c r="F302" s="163"/>
      <c r="G302" s="163"/>
      <c r="H302" s="163"/>
      <c r="I302" s="163"/>
      <c r="J302" s="165"/>
      <c r="K302" s="163"/>
      <c r="L302" s="163"/>
      <c r="M302" s="163"/>
      <c r="N302" s="163"/>
      <c r="O302" s="165"/>
      <c r="P302" s="163"/>
      <c r="Q302" s="163"/>
      <c r="R302" s="163"/>
    </row>
    <row r="303" spans="1:18" ht="12">
      <c r="A303" s="33"/>
      <c r="B303" s="34"/>
      <c r="C303" s="35"/>
      <c r="D303" s="33"/>
      <c r="E303" s="165"/>
      <c r="F303" s="163"/>
      <c r="G303" s="163"/>
      <c r="H303" s="163"/>
      <c r="I303" s="163"/>
      <c r="J303" s="165"/>
      <c r="K303" s="163"/>
      <c r="L303" s="163"/>
      <c r="M303" s="163"/>
      <c r="N303" s="163"/>
      <c r="O303" s="165"/>
      <c r="P303" s="163"/>
      <c r="Q303" s="163"/>
      <c r="R303" s="163"/>
    </row>
    <row r="304" spans="1:18" ht="12">
      <c r="A304" s="33"/>
      <c r="B304" s="34"/>
      <c r="C304" s="35"/>
      <c r="D304" s="33"/>
      <c r="E304" s="165"/>
      <c r="F304" s="163"/>
      <c r="G304" s="163"/>
      <c r="H304" s="163"/>
      <c r="I304" s="163"/>
      <c r="J304" s="165"/>
      <c r="K304" s="163"/>
      <c r="L304" s="163"/>
      <c r="M304" s="163"/>
      <c r="N304" s="163"/>
      <c r="O304" s="165"/>
      <c r="P304" s="163"/>
      <c r="Q304" s="163"/>
      <c r="R304" s="163"/>
    </row>
    <row r="305" spans="1:18" ht="12">
      <c r="A305" s="33"/>
      <c r="B305" s="34"/>
      <c r="C305" s="35"/>
      <c r="D305" s="33"/>
      <c r="E305" s="165"/>
      <c r="F305" s="163"/>
      <c r="G305" s="163"/>
      <c r="H305" s="163"/>
      <c r="I305" s="163"/>
      <c r="J305" s="165"/>
      <c r="K305" s="163"/>
      <c r="L305" s="163"/>
      <c r="M305" s="163"/>
      <c r="N305" s="163"/>
      <c r="O305" s="165"/>
      <c r="P305" s="163"/>
      <c r="Q305" s="163"/>
      <c r="R305" s="163"/>
    </row>
    <row r="306" spans="1:18" ht="12">
      <c r="A306" s="33"/>
      <c r="B306" s="34"/>
      <c r="C306" s="35"/>
      <c r="D306" s="33"/>
      <c r="E306" s="165"/>
      <c r="F306" s="163"/>
      <c r="G306" s="163"/>
      <c r="H306" s="163"/>
      <c r="I306" s="163"/>
      <c r="J306" s="165"/>
      <c r="K306" s="163"/>
      <c r="L306" s="163"/>
      <c r="M306" s="163"/>
      <c r="N306" s="163"/>
      <c r="O306" s="165"/>
      <c r="P306" s="163"/>
      <c r="Q306" s="163"/>
      <c r="R306" s="163"/>
    </row>
    <row r="307" spans="1:18" ht="12">
      <c r="A307" s="33"/>
      <c r="B307" s="34"/>
      <c r="C307" s="35"/>
      <c r="D307" s="33"/>
      <c r="E307" s="165"/>
      <c r="F307" s="163"/>
      <c r="G307" s="163"/>
      <c r="H307" s="163"/>
      <c r="I307" s="163"/>
      <c r="J307" s="165"/>
      <c r="K307" s="163"/>
      <c r="L307" s="163"/>
      <c r="M307" s="163"/>
      <c r="N307" s="163"/>
      <c r="O307" s="165"/>
      <c r="P307" s="163"/>
      <c r="Q307" s="163"/>
      <c r="R307" s="163"/>
    </row>
    <row r="308" spans="1:18" ht="12">
      <c r="A308" s="33"/>
      <c r="B308" s="34"/>
      <c r="C308" s="35"/>
      <c r="D308" s="33"/>
      <c r="E308" s="165"/>
      <c r="F308" s="163"/>
      <c r="G308" s="163"/>
      <c r="H308" s="163"/>
      <c r="I308" s="163"/>
      <c r="J308" s="165"/>
      <c r="K308" s="163"/>
      <c r="L308" s="163"/>
      <c r="M308" s="163"/>
      <c r="N308" s="163"/>
      <c r="O308" s="165"/>
      <c r="P308" s="163"/>
      <c r="Q308" s="163"/>
      <c r="R308" s="163"/>
    </row>
    <row r="309" spans="1:18" ht="12">
      <c r="A309" s="33"/>
      <c r="B309" s="34"/>
      <c r="C309" s="35"/>
      <c r="D309" s="33"/>
      <c r="E309" s="165"/>
      <c r="F309" s="163"/>
      <c r="G309" s="163"/>
      <c r="H309" s="163"/>
      <c r="I309" s="163"/>
      <c r="J309" s="165"/>
      <c r="K309" s="163"/>
      <c r="L309" s="163"/>
      <c r="M309" s="163"/>
      <c r="N309" s="163"/>
      <c r="O309" s="165"/>
      <c r="P309" s="163"/>
      <c r="Q309" s="163"/>
      <c r="R309" s="163"/>
    </row>
    <row r="310" spans="1:18" ht="12">
      <c r="A310" s="33"/>
      <c r="B310" s="34"/>
      <c r="C310" s="35"/>
      <c r="D310" s="33"/>
      <c r="E310" s="165"/>
      <c r="F310" s="163"/>
      <c r="G310" s="163"/>
      <c r="H310" s="163"/>
      <c r="I310" s="163"/>
      <c r="J310" s="165"/>
      <c r="K310" s="163"/>
      <c r="L310" s="163"/>
      <c r="M310" s="163"/>
      <c r="N310" s="163"/>
      <c r="O310" s="165"/>
      <c r="P310" s="163"/>
      <c r="Q310" s="163"/>
      <c r="R310" s="163"/>
    </row>
    <row r="311" spans="1:18" ht="12">
      <c r="A311" s="33"/>
      <c r="B311" s="34"/>
      <c r="C311" s="35"/>
      <c r="D311" s="33"/>
      <c r="E311" s="165"/>
      <c r="F311" s="163"/>
      <c r="G311" s="163"/>
      <c r="H311" s="163"/>
      <c r="I311" s="163"/>
      <c r="J311" s="165"/>
      <c r="K311" s="163"/>
      <c r="L311" s="163"/>
      <c r="M311" s="163"/>
      <c r="N311" s="163"/>
      <c r="O311" s="165"/>
      <c r="P311" s="163"/>
      <c r="Q311" s="163"/>
      <c r="R311" s="163"/>
    </row>
    <row r="312" spans="1:18" ht="12">
      <c r="A312" s="33"/>
      <c r="B312" s="34"/>
      <c r="C312" s="35"/>
      <c r="D312" s="33"/>
      <c r="E312" s="165"/>
      <c r="F312" s="163"/>
      <c r="G312" s="163"/>
      <c r="H312" s="163"/>
      <c r="I312" s="163"/>
      <c r="J312" s="165"/>
      <c r="K312" s="163"/>
      <c r="L312" s="163"/>
      <c r="M312" s="163"/>
      <c r="N312" s="163"/>
      <c r="O312" s="165"/>
      <c r="P312" s="163"/>
      <c r="Q312" s="163"/>
      <c r="R312" s="163"/>
    </row>
    <row r="313" spans="1:18" ht="12">
      <c r="A313" s="33"/>
      <c r="B313" s="34"/>
      <c r="C313" s="35"/>
      <c r="D313" s="33"/>
      <c r="E313" s="165"/>
      <c r="F313" s="163"/>
      <c r="G313" s="163"/>
      <c r="H313" s="163"/>
      <c r="I313" s="163"/>
      <c r="J313" s="165"/>
      <c r="K313" s="163"/>
      <c r="L313" s="163"/>
      <c r="M313" s="163"/>
      <c r="N313" s="163"/>
      <c r="O313" s="165"/>
      <c r="P313" s="163"/>
      <c r="Q313" s="163"/>
      <c r="R313" s="163"/>
    </row>
    <row r="314" spans="1:18" ht="12">
      <c r="A314" s="33"/>
      <c r="B314" s="34"/>
      <c r="C314" s="35"/>
      <c r="D314" s="33"/>
      <c r="E314" s="165"/>
      <c r="F314" s="163"/>
      <c r="G314" s="163"/>
      <c r="H314" s="163"/>
      <c r="I314" s="163"/>
      <c r="J314" s="165"/>
      <c r="K314" s="163"/>
      <c r="L314" s="163"/>
      <c r="M314" s="163"/>
      <c r="N314" s="163"/>
      <c r="O314" s="165"/>
      <c r="P314" s="163"/>
      <c r="Q314" s="163"/>
      <c r="R314" s="163"/>
    </row>
    <row r="315" spans="1:18" ht="12">
      <c r="A315" s="33"/>
      <c r="B315" s="34"/>
      <c r="C315" s="35"/>
      <c r="D315" s="33"/>
      <c r="E315" s="165"/>
      <c r="F315" s="163"/>
      <c r="G315" s="163"/>
      <c r="H315" s="163"/>
      <c r="I315" s="163"/>
      <c r="J315" s="165"/>
      <c r="K315" s="163"/>
      <c r="L315" s="163"/>
      <c r="M315" s="163"/>
      <c r="N315" s="163"/>
      <c r="O315" s="165"/>
      <c r="P315" s="163"/>
      <c r="Q315" s="163"/>
      <c r="R315" s="163"/>
    </row>
    <row r="316" spans="1:18" ht="12">
      <c r="A316" s="33"/>
      <c r="B316" s="34"/>
      <c r="C316" s="35"/>
      <c r="D316" s="33"/>
      <c r="E316" s="165"/>
      <c r="F316" s="163"/>
      <c r="G316" s="163"/>
      <c r="H316" s="163"/>
      <c r="I316" s="163"/>
      <c r="J316" s="165"/>
      <c r="K316" s="163"/>
      <c r="L316" s="163"/>
      <c r="M316" s="163"/>
      <c r="N316" s="163"/>
      <c r="O316" s="165"/>
      <c r="P316" s="163"/>
      <c r="Q316" s="163"/>
      <c r="R316" s="163"/>
    </row>
    <row r="317" spans="1:18" ht="12">
      <c r="A317" s="33"/>
      <c r="B317" s="34"/>
      <c r="C317" s="35"/>
      <c r="D317" s="33"/>
      <c r="E317" s="165"/>
      <c r="F317" s="163"/>
      <c r="G317" s="163"/>
      <c r="H317" s="163"/>
      <c r="I317" s="163"/>
      <c r="J317" s="165"/>
      <c r="K317" s="163"/>
      <c r="L317" s="163"/>
      <c r="M317" s="163"/>
      <c r="N317" s="163"/>
      <c r="O317" s="165"/>
      <c r="P317" s="163"/>
      <c r="Q317" s="163"/>
      <c r="R317" s="163"/>
    </row>
    <row r="318" spans="1:18" ht="12">
      <c r="A318" s="33"/>
      <c r="B318" s="34"/>
      <c r="C318" s="35"/>
      <c r="D318" s="33"/>
      <c r="E318" s="165"/>
      <c r="F318" s="163"/>
      <c r="G318" s="163"/>
      <c r="H318" s="163"/>
      <c r="I318" s="163"/>
      <c r="J318" s="165"/>
      <c r="K318" s="163"/>
      <c r="L318" s="163"/>
      <c r="M318" s="163"/>
      <c r="N318" s="163"/>
      <c r="O318" s="165"/>
      <c r="P318" s="163"/>
      <c r="Q318" s="163"/>
      <c r="R318" s="163"/>
    </row>
    <row r="319" spans="1:18" ht="12">
      <c r="A319" s="33"/>
      <c r="B319" s="34"/>
      <c r="C319" s="35"/>
      <c r="D319" s="33"/>
      <c r="E319" s="165"/>
      <c r="F319" s="163"/>
      <c r="G319" s="163"/>
      <c r="H319" s="163"/>
      <c r="I319" s="163"/>
      <c r="J319" s="165"/>
      <c r="K319" s="163"/>
      <c r="L319" s="163"/>
      <c r="M319" s="163"/>
      <c r="N319" s="163"/>
      <c r="O319" s="165"/>
      <c r="P319" s="163"/>
      <c r="Q319" s="163"/>
      <c r="R319" s="163"/>
    </row>
    <row r="320" spans="1:18" ht="12">
      <c r="A320" s="33"/>
      <c r="B320" s="34"/>
      <c r="C320" s="35"/>
      <c r="D320" s="33"/>
      <c r="E320" s="165"/>
      <c r="F320" s="163"/>
      <c r="G320" s="163"/>
      <c r="H320" s="163"/>
      <c r="I320" s="163"/>
      <c r="J320" s="165"/>
      <c r="K320" s="163"/>
      <c r="L320" s="163"/>
      <c r="M320" s="163"/>
      <c r="N320" s="163"/>
      <c r="O320" s="165"/>
      <c r="P320" s="163"/>
      <c r="Q320" s="163"/>
      <c r="R320" s="163"/>
    </row>
    <row r="321" spans="1:18" ht="12">
      <c r="A321" s="33"/>
      <c r="B321" s="34"/>
      <c r="C321" s="35"/>
      <c r="D321" s="33"/>
      <c r="E321" s="165"/>
      <c r="F321" s="163"/>
      <c r="G321" s="163"/>
      <c r="H321" s="163"/>
      <c r="I321" s="163"/>
      <c r="J321" s="165"/>
      <c r="K321" s="163"/>
      <c r="L321" s="163"/>
      <c r="M321" s="163"/>
      <c r="N321" s="163"/>
      <c r="O321" s="165"/>
      <c r="P321" s="163"/>
      <c r="Q321" s="163"/>
      <c r="R321" s="163"/>
    </row>
    <row r="322" spans="1:18" ht="12">
      <c r="A322" s="33"/>
      <c r="B322" s="34"/>
      <c r="C322" s="35"/>
      <c r="D322" s="33"/>
      <c r="E322" s="165"/>
      <c r="F322" s="163"/>
      <c r="G322" s="163"/>
      <c r="H322" s="163"/>
      <c r="I322" s="163"/>
      <c r="J322" s="165"/>
      <c r="K322" s="163"/>
      <c r="L322" s="163"/>
      <c r="M322" s="163"/>
      <c r="N322" s="163"/>
      <c r="O322" s="165"/>
      <c r="P322" s="163"/>
      <c r="Q322" s="163"/>
      <c r="R322" s="163"/>
    </row>
    <row r="323" spans="1:18" ht="12">
      <c r="A323" s="33"/>
      <c r="B323" s="34"/>
      <c r="C323" s="35"/>
      <c r="D323" s="33"/>
      <c r="E323" s="165"/>
      <c r="F323" s="163"/>
      <c r="G323" s="163"/>
      <c r="H323" s="163"/>
      <c r="I323" s="163"/>
      <c r="J323" s="165"/>
      <c r="K323" s="163"/>
      <c r="L323" s="163"/>
      <c r="M323" s="163"/>
      <c r="N323" s="163"/>
      <c r="O323" s="165"/>
      <c r="P323" s="163"/>
      <c r="Q323" s="163"/>
      <c r="R323" s="163"/>
    </row>
    <row r="324" spans="1:18" ht="12">
      <c r="A324" s="33"/>
      <c r="B324" s="34"/>
      <c r="C324" s="35"/>
      <c r="D324" s="33"/>
      <c r="E324" s="165"/>
      <c r="F324" s="163"/>
      <c r="G324" s="163"/>
      <c r="H324" s="163"/>
      <c r="I324" s="163"/>
      <c r="J324" s="165"/>
      <c r="K324" s="163"/>
      <c r="L324" s="163"/>
      <c r="M324" s="163"/>
      <c r="N324" s="163"/>
      <c r="O324" s="165"/>
      <c r="P324" s="163"/>
      <c r="Q324" s="163"/>
      <c r="R324" s="163"/>
    </row>
    <row r="325" spans="1:18" ht="12">
      <c r="A325" s="33"/>
      <c r="B325" s="34"/>
      <c r="C325" s="35"/>
      <c r="D325" s="33"/>
      <c r="E325" s="165"/>
      <c r="F325" s="163"/>
      <c r="G325" s="163"/>
      <c r="H325" s="163"/>
      <c r="I325" s="163"/>
      <c r="J325" s="165"/>
      <c r="K325" s="163"/>
      <c r="L325" s="163"/>
      <c r="M325" s="163"/>
      <c r="N325" s="163"/>
      <c r="O325" s="165"/>
      <c r="P325" s="163"/>
      <c r="Q325" s="163"/>
      <c r="R325" s="163"/>
    </row>
    <row r="326" spans="1:18" ht="12">
      <c r="A326" s="33"/>
      <c r="B326" s="34"/>
      <c r="C326" s="35"/>
      <c r="D326" s="33"/>
      <c r="E326" s="165"/>
      <c r="F326" s="163"/>
      <c r="G326" s="163"/>
      <c r="H326" s="163"/>
      <c r="I326" s="163"/>
      <c r="J326" s="165"/>
      <c r="K326" s="163"/>
      <c r="L326" s="163"/>
      <c r="M326" s="163"/>
      <c r="N326" s="163"/>
      <c r="O326" s="165"/>
      <c r="P326" s="163"/>
      <c r="Q326" s="163"/>
      <c r="R326" s="163"/>
    </row>
    <row r="327" spans="1:18" ht="12">
      <c r="A327" s="33"/>
      <c r="B327" s="34"/>
      <c r="C327" s="35"/>
      <c r="D327" s="33"/>
      <c r="E327" s="165"/>
      <c r="F327" s="163"/>
      <c r="G327" s="163"/>
      <c r="H327" s="163"/>
      <c r="I327" s="163"/>
      <c r="J327" s="165"/>
      <c r="K327" s="163"/>
      <c r="L327" s="163"/>
      <c r="M327" s="163"/>
      <c r="N327" s="163"/>
      <c r="O327" s="165"/>
      <c r="P327" s="163"/>
      <c r="Q327" s="163"/>
      <c r="R327" s="163"/>
    </row>
    <row r="328" spans="1:18" ht="12">
      <c r="A328" s="33"/>
      <c r="B328" s="34"/>
      <c r="C328" s="35"/>
      <c r="D328" s="33"/>
      <c r="E328" s="165"/>
      <c r="F328" s="163"/>
      <c r="G328" s="163"/>
      <c r="H328" s="163"/>
      <c r="I328" s="163"/>
      <c r="J328" s="165"/>
      <c r="K328" s="163"/>
      <c r="L328" s="163"/>
      <c r="M328" s="163"/>
      <c r="N328" s="163"/>
      <c r="O328" s="165"/>
      <c r="P328" s="163"/>
      <c r="Q328" s="163"/>
      <c r="R328" s="163"/>
    </row>
    <row r="329" spans="1:18" ht="12">
      <c r="A329" s="33"/>
      <c r="B329" s="34"/>
      <c r="C329" s="35"/>
      <c r="D329" s="33"/>
      <c r="E329" s="165"/>
      <c r="F329" s="163"/>
      <c r="G329" s="163"/>
      <c r="H329" s="163"/>
      <c r="I329" s="163"/>
      <c r="J329" s="165"/>
      <c r="K329" s="163"/>
      <c r="L329" s="163"/>
      <c r="M329" s="163"/>
      <c r="N329" s="163"/>
      <c r="O329" s="165"/>
      <c r="P329" s="163"/>
      <c r="Q329" s="163"/>
      <c r="R329" s="163"/>
    </row>
    <row r="330" spans="1:18" ht="12">
      <c r="A330" s="33"/>
      <c r="B330" s="34"/>
      <c r="C330" s="35"/>
      <c r="D330" s="33"/>
      <c r="E330" s="165"/>
      <c r="F330" s="163"/>
      <c r="G330" s="163"/>
      <c r="H330" s="163"/>
      <c r="I330" s="163"/>
      <c r="J330" s="165"/>
      <c r="K330" s="163"/>
      <c r="L330" s="163"/>
      <c r="M330" s="163"/>
      <c r="N330" s="163"/>
      <c r="O330" s="165"/>
      <c r="P330" s="163"/>
      <c r="Q330" s="163"/>
      <c r="R330" s="163"/>
    </row>
    <row r="331" spans="1:18" ht="12">
      <c r="A331" s="33"/>
      <c r="B331" s="34"/>
      <c r="C331" s="35"/>
      <c r="D331" s="33"/>
      <c r="E331" s="165"/>
      <c r="F331" s="163"/>
      <c r="G331" s="163"/>
      <c r="H331" s="163"/>
      <c r="I331" s="163"/>
      <c r="J331" s="165"/>
      <c r="K331" s="163"/>
      <c r="L331" s="163"/>
      <c r="M331" s="163"/>
      <c r="N331" s="163"/>
      <c r="O331" s="165"/>
      <c r="P331" s="163"/>
      <c r="Q331" s="163"/>
      <c r="R331" s="163"/>
    </row>
    <row r="332" spans="1:18" ht="12">
      <c r="A332" s="33"/>
      <c r="B332" s="34"/>
      <c r="C332" s="35"/>
      <c r="D332" s="33"/>
      <c r="E332" s="165"/>
      <c r="F332" s="163"/>
      <c r="G332" s="163"/>
      <c r="H332" s="163"/>
      <c r="I332" s="163"/>
      <c r="J332" s="165"/>
      <c r="K332" s="163"/>
      <c r="L332" s="163"/>
      <c r="M332" s="163"/>
      <c r="N332" s="163"/>
      <c r="O332" s="165"/>
      <c r="P332" s="163"/>
      <c r="Q332" s="163"/>
      <c r="R332" s="163"/>
    </row>
    <row r="333" spans="1:18" ht="12">
      <c r="A333" s="33"/>
      <c r="B333" s="34"/>
      <c r="C333" s="35"/>
      <c r="D333" s="33"/>
      <c r="E333" s="165"/>
      <c r="F333" s="163"/>
      <c r="G333" s="163"/>
      <c r="H333" s="163"/>
      <c r="I333" s="163"/>
      <c r="J333" s="165"/>
      <c r="K333" s="163"/>
      <c r="L333" s="163"/>
      <c r="M333" s="163"/>
      <c r="N333" s="163"/>
      <c r="O333" s="165"/>
      <c r="P333" s="163"/>
      <c r="Q333" s="163"/>
      <c r="R333" s="163"/>
    </row>
    <row r="334" spans="1:18" ht="12">
      <c r="A334" s="33"/>
      <c r="B334" s="34"/>
      <c r="C334" s="35"/>
      <c r="D334" s="33"/>
      <c r="E334" s="165"/>
      <c r="F334" s="163"/>
      <c r="G334" s="163"/>
      <c r="H334" s="163"/>
      <c r="I334" s="163"/>
      <c r="J334" s="165"/>
      <c r="K334" s="163"/>
      <c r="L334" s="163"/>
      <c r="M334" s="163"/>
      <c r="N334" s="163"/>
      <c r="O334" s="165"/>
      <c r="P334" s="163"/>
      <c r="Q334" s="163"/>
      <c r="R334" s="163"/>
    </row>
    <row r="335" spans="1:18" ht="12">
      <c r="A335" s="33"/>
      <c r="B335" s="34"/>
      <c r="C335" s="35"/>
      <c r="D335" s="33"/>
      <c r="E335" s="165"/>
      <c r="F335" s="163"/>
      <c r="G335" s="163"/>
      <c r="H335" s="163"/>
      <c r="I335" s="163"/>
      <c r="J335" s="165"/>
      <c r="K335" s="163"/>
      <c r="L335" s="163"/>
      <c r="M335" s="163"/>
      <c r="N335" s="163"/>
      <c r="O335" s="165"/>
      <c r="P335" s="163"/>
      <c r="Q335" s="163"/>
      <c r="R335" s="163"/>
    </row>
    <row r="336" spans="1:18" ht="12">
      <c r="A336" s="33"/>
      <c r="B336" s="34"/>
      <c r="C336" s="35"/>
      <c r="D336" s="33"/>
      <c r="E336" s="165"/>
      <c r="F336" s="163"/>
      <c r="G336" s="163"/>
      <c r="H336" s="163"/>
      <c r="I336" s="163"/>
      <c r="J336" s="165"/>
      <c r="K336" s="163"/>
      <c r="L336" s="163"/>
      <c r="M336" s="163"/>
      <c r="N336" s="163"/>
      <c r="O336" s="165"/>
      <c r="P336" s="163"/>
      <c r="Q336" s="163"/>
      <c r="R336" s="163"/>
    </row>
    <row r="337" spans="1:18" ht="12">
      <c r="A337" s="33"/>
      <c r="B337" s="34"/>
      <c r="C337" s="35"/>
      <c r="D337" s="33"/>
      <c r="E337" s="165"/>
      <c r="F337" s="163"/>
      <c r="G337" s="163"/>
      <c r="H337" s="163"/>
      <c r="I337" s="163"/>
      <c r="J337" s="165"/>
      <c r="K337" s="163"/>
      <c r="L337" s="163"/>
      <c r="M337" s="163"/>
      <c r="N337" s="163"/>
      <c r="O337" s="165"/>
      <c r="P337" s="163"/>
      <c r="Q337" s="163"/>
      <c r="R337" s="163"/>
    </row>
    <row r="338" spans="1:18" ht="12">
      <c r="A338" s="33"/>
      <c r="B338" s="34"/>
      <c r="C338" s="35"/>
      <c r="D338" s="33"/>
      <c r="E338" s="165"/>
      <c r="F338" s="163"/>
      <c r="G338" s="163"/>
      <c r="H338" s="163"/>
      <c r="I338" s="163"/>
      <c r="J338" s="165"/>
      <c r="K338" s="163"/>
      <c r="L338" s="163"/>
      <c r="M338" s="163"/>
      <c r="N338" s="163"/>
      <c r="O338" s="165"/>
      <c r="P338" s="163"/>
      <c r="Q338" s="163"/>
      <c r="R338" s="163"/>
    </row>
    <row r="339" spans="1:18" ht="12">
      <c r="A339" s="33"/>
      <c r="B339" s="34"/>
      <c r="C339" s="35"/>
      <c r="D339" s="33"/>
      <c r="E339" s="165"/>
      <c r="F339" s="163"/>
      <c r="G339" s="163"/>
      <c r="H339" s="163"/>
      <c r="I339" s="163"/>
      <c r="J339" s="165"/>
      <c r="K339" s="163"/>
      <c r="L339" s="163"/>
      <c r="M339" s="163"/>
      <c r="N339" s="163"/>
      <c r="O339" s="165"/>
      <c r="P339" s="163"/>
      <c r="Q339" s="163"/>
      <c r="R339" s="163"/>
    </row>
    <row r="340" spans="1:18" ht="12">
      <c r="A340" s="33"/>
      <c r="B340" s="34"/>
      <c r="C340" s="35"/>
      <c r="D340" s="33"/>
      <c r="E340" s="165"/>
      <c r="F340" s="163"/>
      <c r="G340" s="163"/>
      <c r="H340" s="163"/>
      <c r="I340" s="163"/>
      <c r="J340" s="165"/>
      <c r="K340" s="163"/>
      <c r="L340" s="163"/>
      <c r="M340" s="163"/>
      <c r="N340" s="163"/>
      <c r="O340" s="165"/>
      <c r="P340" s="163"/>
      <c r="Q340" s="163"/>
      <c r="R340" s="163"/>
    </row>
    <row r="341" spans="1:18" ht="12">
      <c r="A341" s="33"/>
      <c r="B341" s="34"/>
      <c r="C341" s="35"/>
      <c r="D341" s="33"/>
      <c r="E341" s="165"/>
      <c r="F341" s="163"/>
      <c r="G341" s="163"/>
      <c r="H341" s="163"/>
      <c r="I341" s="163"/>
      <c r="J341" s="165"/>
      <c r="K341" s="163"/>
      <c r="L341" s="163"/>
      <c r="M341" s="163"/>
      <c r="N341" s="163"/>
      <c r="O341" s="165"/>
      <c r="P341" s="163"/>
      <c r="Q341" s="163"/>
      <c r="R341" s="163"/>
    </row>
    <row r="342" spans="1:18" ht="12">
      <c r="A342" s="33"/>
      <c r="B342" s="34"/>
      <c r="C342" s="35"/>
      <c r="D342" s="33"/>
      <c r="E342" s="165"/>
      <c r="F342" s="163"/>
      <c r="G342" s="163"/>
      <c r="H342" s="163"/>
      <c r="I342" s="163"/>
      <c r="J342" s="165"/>
      <c r="K342" s="163"/>
      <c r="L342" s="163"/>
      <c r="M342" s="163"/>
      <c r="N342" s="163"/>
      <c r="O342" s="165"/>
      <c r="P342" s="163"/>
      <c r="Q342" s="163"/>
      <c r="R342" s="163"/>
    </row>
    <row r="343" spans="1:18" ht="12">
      <c r="A343" s="33"/>
      <c r="B343" s="34"/>
      <c r="C343" s="35"/>
      <c r="D343" s="33"/>
      <c r="E343" s="165"/>
      <c r="F343" s="163"/>
      <c r="G343" s="163"/>
      <c r="H343" s="163"/>
      <c r="I343" s="163"/>
      <c r="J343" s="165"/>
      <c r="K343" s="163"/>
      <c r="L343" s="163"/>
      <c r="M343" s="163"/>
      <c r="N343" s="163"/>
      <c r="O343" s="165"/>
      <c r="P343" s="163"/>
      <c r="Q343" s="163"/>
      <c r="R343" s="163"/>
    </row>
    <row r="344" spans="1:18" ht="12">
      <c r="A344" s="33"/>
      <c r="B344" s="34"/>
      <c r="C344" s="35"/>
      <c r="D344" s="33"/>
      <c r="E344" s="165"/>
      <c r="F344" s="163"/>
      <c r="G344" s="163"/>
      <c r="H344" s="163"/>
      <c r="I344" s="163"/>
      <c r="J344" s="165"/>
      <c r="K344" s="163"/>
      <c r="L344" s="163"/>
      <c r="M344" s="163"/>
      <c r="N344" s="163"/>
      <c r="O344" s="165"/>
      <c r="P344" s="163"/>
      <c r="Q344" s="163"/>
      <c r="R344" s="163"/>
    </row>
    <row r="345" spans="1:18" ht="12">
      <c r="A345" s="33"/>
      <c r="B345" s="34"/>
      <c r="C345" s="35"/>
      <c r="D345" s="33"/>
      <c r="E345" s="165"/>
      <c r="F345" s="163"/>
      <c r="G345" s="163"/>
      <c r="H345" s="163"/>
      <c r="I345" s="163"/>
      <c r="J345" s="165"/>
      <c r="K345" s="163"/>
      <c r="L345" s="163"/>
      <c r="M345" s="163"/>
      <c r="N345" s="163"/>
      <c r="O345" s="165"/>
      <c r="P345" s="163"/>
      <c r="Q345" s="163"/>
      <c r="R345" s="163"/>
    </row>
    <row r="346" spans="1:18" ht="12">
      <c r="A346" s="33"/>
      <c r="B346" s="34"/>
      <c r="C346" s="35"/>
      <c r="D346" s="33"/>
      <c r="E346" s="165"/>
      <c r="F346" s="163"/>
      <c r="G346" s="163"/>
      <c r="H346" s="163"/>
      <c r="I346" s="163"/>
      <c r="J346" s="165"/>
      <c r="K346" s="163"/>
      <c r="L346" s="163"/>
      <c r="M346" s="163"/>
      <c r="N346" s="163"/>
      <c r="O346" s="165"/>
      <c r="P346" s="163"/>
      <c r="Q346" s="163"/>
      <c r="R346" s="163"/>
    </row>
    <row r="347" spans="1:18" ht="12">
      <c r="A347" s="33"/>
      <c r="B347" s="34"/>
      <c r="C347" s="35"/>
      <c r="D347" s="33"/>
      <c r="E347" s="165"/>
      <c r="F347" s="163"/>
      <c r="G347" s="163"/>
      <c r="H347" s="163"/>
      <c r="I347" s="163"/>
      <c r="J347" s="165"/>
      <c r="K347" s="163"/>
      <c r="L347" s="163"/>
      <c r="M347" s="163"/>
      <c r="N347" s="163"/>
      <c r="O347" s="165"/>
      <c r="P347" s="163"/>
      <c r="Q347" s="163"/>
      <c r="R347" s="163"/>
    </row>
    <row r="348" spans="1:18" ht="12">
      <c r="A348" s="33"/>
      <c r="B348" s="34"/>
      <c r="C348" s="35"/>
      <c r="D348" s="33"/>
      <c r="E348" s="165"/>
      <c r="F348" s="163"/>
      <c r="G348" s="163"/>
      <c r="H348" s="163"/>
      <c r="I348" s="163"/>
      <c r="J348" s="165"/>
      <c r="K348" s="163"/>
      <c r="L348" s="163"/>
      <c r="M348" s="163"/>
      <c r="N348" s="163"/>
      <c r="O348" s="165"/>
      <c r="P348" s="163"/>
      <c r="Q348" s="163"/>
      <c r="R348" s="163"/>
    </row>
    <row r="349" spans="1:18" ht="12">
      <c r="A349" s="33"/>
      <c r="B349" s="34"/>
      <c r="C349" s="35"/>
      <c r="D349" s="33"/>
      <c r="E349" s="165"/>
      <c r="F349" s="163"/>
      <c r="G349" s="163"/>
      <c r="H349" s="163"/>
      <c r="I349" s="163"/>
      <c r="J349" s="165"/>
      <c r="K349" s="163"/>
      <c r="L349" s="163"/>
      <c r="M349" s="163"/>
      <c r="N349" s="163"/>
      <c r="O349" s="165"/>
      <c r="P349" s="163"/>
      <c r="Q349" s="163"/>
      <c r="R349" s="163"/>
    </row>
    <row r="350" spans="1:18" ht="12">
      <c r="A350" s="33"/>
      <c r="B350" s="34"/>
      <c r="C350" s="35"/>
      <c r="D350" s="33"/>
      <c r="E350" s="165"/>
      <c r="F350" s="163"/>
      <c r="G350" s="163"/>
      <c r="H350" s="163"/>
      <c r="I350" s="163"/>
      <c r="J350" s="165"/>
      <c r="K350" s="163"/>
      <c r="L350" s="163"/>
      <c r="M350" s="163"/>
      <c r="N350" s="163"/>
      <c r="O350" s="165"/>
      <c r="P350" s="163"/>
      <c r="Q350" s="163"/>
      <c r="R350" s="163"/>
    </row>
    <row r="351" spans="1:18" ht="12">
      <c r="A351" s="33"/>
      <c r="B351" s="34"/>
      <c r="C351" s="35"/>
      <c r="D351" s="33"/>
      <c r="E351" s="165"/>
      <c r="F351" s="163"/>
      <c r="G351" s="163"/>
      <c r="H351" s="163"/>
      <c r="I351" s="163"/>
      <c r="J351" s="165"/>
      <c r="K351" s="163"/>
      <c r="L351" s="163"/>
      <c r="M351" s="163"/>
      <c r="N351" s="163"/>
      <c r="O351" s="165"/>
      <c r="P351" s="163"/>
      <c r="Q351" s="163"/>
      <c r="R351" s="163"/>
    </row>
    <row r="352" spans="1:18" ht="12">
      <c r="A352" s="33"/>
      <c r="B352" s="34"/>
      <c r="C352" s="35"/>
      <c r="D352" s="33"/>
      <c r="E352" s="165"/>
      <c r="F352" s="163"/>
      <c r="G352" s="163"/>
      <c r="H352" s="163"/>
      <c r="I352" s="163"/>
      <c r="J352" s="165"/>
      <c r="K352" s="163"/>
      <c r="L352" s="163"/>
      <c r="M352" s="163"/>
      <c r="N352" s="163"/>
      <c r="O352" s="165"/>
      <c r="P352" s="163"/>
      <c r="Q352" s="163"/>
      <c r="R352" s="163"/>
    </row>
    <row r="353" spans="1:18" ht="12">
      <c r="A353" s="33"/>
      <c r="B353" s="34"/>
      <c r="C353" s="35"/>
      <c r="D353" s="33"/>
      <c r="E353" s="165"/>
      <c r="F353" s="163"/>
      <c r="G353" s="163"/>
      <c r="H353" s="163"/>
      <c r="I353" s="163"/>
      <c r="J353" s="165"/>
      <c r="K353" s="163"/>
      <c r="L353" s="163"/>
      <c r="M353" s="163"/>
      <c r="N353" s="163"/>
      <c r="O353" s="165"/>
      <c r="P353" s="163"/>
      <c r="Q353" s="163"/>
      <c r="R353" s="163"/>
    </row>
    <row r="354" spans="1:18" ht="12">
      <c r="A354" s="33"/>
      <c r="B354" s="34"/>
      <c r="C354" s="35"/>
      <c r="D354" s="33"/>
      <c r="E354" s="165"/>
      <c r="F354" s="163"/>
      <c r="G354" s="163"/>
      <c r="H354" s="163"/>
      <c r="I354" s="163"/>
      <c r="J354" s="165"/>
      <c r="K354" s="163"/>
      <c r="L354" s="163"/>
      <c r="M354" s="163"/>
      <c r="N354" s="163"/>
      <c r="O354" s="165"/>
      <c r="P354" s="163"/>
      <c r="Q354" s="163"/>
      <c r="R354" s="163"/>
    </row>
    <row r="355" spans="1:18" ht="12">
      <c r="A355" s="33"/>
      <c r="B355" s="34"/>
      <c r="C355" s="35"/>
      <c r="D355" s="33"/>
      <c r="E355" s="165"/>
      <c r="F355" s="163"/>
      <c r="G355" s="163"/>
      <c r="H355" s="163"/>
      <c r="I355" s="163"/>
      <c r="J355" s="165"/>
      <c r="K355" s="163"/>
      <c r="L355" s="163"/>
      <c r="M355" s="163"/>
      <c r="N355" s="163"/>
      <c r="O355" s="165"/>
      <c r="P355" s="163"/>
      <c r="Q355" s="163"/>
      <c r="R355" s="163"/>
    </row>
    <row r="356" spans="1:18">
      <c r="A356" s="33"/>
      <c r="B356" s="34"/>
      <c r="C356" s="35"/>
      <c r="D356" s="33"/>
      <c r="E356" s="35"/>
      <c r="F356" s="33"/>
      <c r="G356" s="33"/>
      <c r="H356" s="36"/>
      <c r="I356" s="33"/>
      <c r="J356" s="35"/>
      <c r="K356" s="33"/>
      <c r="L356" s="33"/>
      <c r="M356" s="36"/>
      <c r="N356" s="33"/>
      <c r="O356" s="35"/>
      <c r="P356" s="33"/>
      <c r="Q356" s="33"/>
      <c r="R356" s="36"/>
    </row>
    <row r="357" spans="1:18">
      <c r="A357" s="33"/>
      <c r="B357" s="34"/>
      <c r="C357" s="35"/>
      <c r="D357" s="33"/>
      <c r="E357" s="35"/>
      <c r="F357" s="33"/>
      <c r="G357" s="33"/>
      <c r="H357" s="36"/>
      <c r="I357" s="33"/>
      <c r="J357" s="35"/>
      <c r="K357" s="33"/>
      <c r="L357" s="33"/>
      <c r="M357" s="36"/>
      <c r="N357" s="33"/>
      <c r="O357" s="35"/>
      <c r="P357" s="33"/>
      <c r="Q357" s="33"/>
      <c r="R357" s="36"/>
    </row>
    <row r="358" spans="1:18">
      <c r="A358" s="33"/>
      <c r="B358" s="34"/>
      <c r="C358" s="35"/>
      <c r="D358" s="33"/>
      <c r="E358" s="35"/>
      <c r="F358" s="33"/>
      <c r="G358" s="33"/>
      <c r="H358" s="36"/>
      <c r="I358" s="33"/>
      <c r="J358" s="35"/>
      <c r="K358" s="33"/>
      <c r="L358" s="33"/>
      <c r="M358" s="36"/>
      <c r="N358" s="33"/>
      <c r="O358" s="35"/>
      <c r="P358" s="33"/>
      <c r="Q358" s="33"/>
      <c r="R358" s="36"/>
    </row>
    <row r="359" spans="1:18">
      <c r="A359" s="33"/>
      <c r="B359" s="34"/>
      <c r="C359" s="35"/>
      <c r="D359" s="33"/>
      <c r="E359" s="35"/>
      <c r="F359" s="33"/>
      <c r="G359" s="33"/>
      <c r="H359" s="36"/>
      <c r="I359" s="33"/>
      <c r="J359" s="35"/>
      <c r="K359" s="33"/>
      <c r="L359" s="33"/>
      <c r="M359" s="36"/>
      <c r="N359" s="33"/>
      <c r="O359" s="35"/>
      <c r="P359" s="33"/>
      <c r="Q359" s="33"/>
      <c r="R359" s="36"/>
    </row>
    <row r="360" spans="1:18">
      <c r="A360" s="33"/>
      <c r="B360" s="34"/>
      <c r="C360" s="35"/>
      <c r="D360" s="33"/>
      <c r="E360" s="35"/>
      <c r="F360" s="33"/>
      <c r="G360" s="33"/>
      <c r="H360" s="36"/>
      <c r="I360" s="33"/>
      <c r="J360" s="35"/>
      <c r="K360" s="33"/>
      <c r="L360" s="33"/>
      <c r="M360" s="36"/>
      <c r="N360" s="33"/>
      <c r="O360" s="35"/>
      <c r="P360" s="33"/>
      <c r="Q360" s="33"/>
      <c r="R360" s="36"/>
    </row>
    <row r="361" spans="1:18">
      <c r="A361" s="33"/>
      <c r="B361" s="34"/>
      <c r="C361" s="35"/>
      <c r="D361" s="33"/>
      <c r="E361" s="35"/>
      <c r="F361" s="33"/>
      <c r="G361" s="33"/>
      <c r="H361" s="36"/>
      <c r="I361" s="33"/>
      <c r="J361" s="35"/>
      <c r="K361" s="33"/>
      <c r="L361" s="33"/>
      <c r="M361" s="36"/>
      <c r="N361" s="33"/>
      <c r="O361" s="35"/>
      <c r="P361" s="33"/>
      <c r="Q361" s="33"/>
      <c r="R361" s="36"/>
    </row>
    <row r="362" spans="1:18">
      <c r="A362" s="33"/>
      <c r="B362" s="34"/>
      <c r="C362" s="35"/>
      <c r="D362" s="33"/>
      <c r="E362" s="35"/>
      <c r="F362" s="33"/>
      <c r="G362" s="33"/>
      <c r="H362" s="36"/>
      <c r="I362" s="33"/>
      <c r="J362" s="35"/>
      <c r="K362" s="33"/>
      <c r="L362" s="33"/>
      <c r="M362" s="36"/>
      <c r="N362" s="33"/>
      <c r="O362" s="35"/>
      <c r="P362" s="33"/>
      <c r="Q362" s="33"/>
      <c r="R362" s="36"/>
    </row>
    <row r="363" spans="1:18">
      <c r="A363" s="33"/>
      <c r="B363" s="34"/>
      <c r="C363" s="35"/>
      <c r="D363" s="33"/>
      <c r="E363" s="35"/>
      <c r="F363" s="33"/>
      <c r="G363" s="33"/>
      <c r="H363" s="36"/>
      <c r="I363" s="33"/>
      <c r="J363" s="35"/>
      <c r="K363" s="33"/>
      <c r="L363" s="33"/>
      <c r="M363" s="36"/>
      <c r="N363" s="33"/>
      <c r="O363" s="35"/>
      <c r="P363" s="33"/>
      <c r="Q363" s="33"/>
      <c r="R363" s="36"/>
    </row>
    <row r="364" spans="1:18">
      <c r="A364" s="33"/>
      <c r="B364" s="34"/>
      <c r="C364" s="35"/>
      <c r="D364" s="33"/>
      <c r="E364" s="35"/>
      <c r="F364" s="33"/>
      <c r="G364" s="33"/>
      <c r="H364" s="36"/>
      <c r="I364" s="33"/>
      <c r="J364" s="35"/>
      <c r="K364" s="33"/>
      <c r="L364" s="33"/>
      <c r="M364" s="36"/>
      <c r="N364" s="33"/>
      <c r="O364" s="35"/>
      <c r="P364" s="33"/>
      <c r="Q364" s="33"/>
      <c r="R364" s="36"/>
    </row>
    <row r="365" spans="1:18">
      <c r="A365" s="33"/>
      <c r="B365" s="34"/>
      <c r="C365" s="35"/>
      <c r="D365" s="33"/>
      <c r="E365" s="35"/>
      <c r="F365" s="33"/>
      <c r="G365" s="33"/>
      <c r="H365" s="36"/>
      <c r="I365" s="33"/>
      <c r="J365" s="35"/>
      <c r="K365" s="33"/>
      <c r="L365" s="33"/>
      <c r="M365" s="36"/>
      <c r="N365" s="33"/>
      <c r="O365" s="35"/>
      <c r="P365" s="33"/>
      <c r="Q365" s="33"/>
      <c r="R365" s="36"/>
    </row>
    <row r="366" spans="1:18">
      <c r="A366" s="33"/>
      <c r="B366" s="34"/>
      <c r="C366" s="35"/>
      <c r="D366" s="33"/>
      <c r="E366" s="35"/>
      <c r="F366" s="33"/>
      <c r="G366" s="33"/>
      <c r="H366" s="36"/>
      <c r="I366" s="33"/>
      <c r="J366" s="35"/>
      <c r="K366" s="33"/>
      <c r="L366" s="33"/>
      <c r="M366" s="36"/>
      <c r="N366" s="33"/>
      <c r="O366" s="35"/>
      <c r="P366" s="33"/>
      <c r="Q366" s="33"/>
      <c r="R366" s="36"/>
    </row>
    <row r="367" spans="1:18">
      <c r="A367" s="33"/>
      <c r="B367" s="34"/>
      <c r="C367" s="35"/>
      <c r="D367" s="33"/>
      <c r="E367" s="35"/>
      <c r="F367" s="33"/>
      <c r="G367" s="33"/>
      <c r="H367" s="36"/>
      <c r="I367" s="33"/>
      <c r="J367" s="35"/>
      <c r="K367" s="33"/>
      <c r="L367" s="33"/>
      <c r="M367" s="36"/>
      <c r="N367" s="33"/>
      <c r="O367" s="35"/>
      <c r="P367" s="33"/>
      <c r="Q367" s="33"/>
      <c r="R367" s="36"/>
    </row>
    <row r="368" spans="1:18">
      <c r="A368" s="33"/>
      <c r="B368" s="34"/>
      <c r="C368" s="35"/>
      <c r="D368" s="33"/>
      <c r="E368" s="35"/>
      <c r="F368" s="33"/>
      <c r="G368" s="33"/>
      <c r="H368" s="36"/>
      <c r="I368" s="33"/>
      <c r="J368" s="35"/>
      <c r="K368" s="33"/>
      <c r="L368" s="33"/>
      <c r="M368" s="36"/>
      <c r="N368" s="33"/>
      <c r="O368" s="35"/>
      <c r="P368" s="33"/>
      <c r="Q368" s="33"/>
      <c r="R368" s="36"/>
    </row>
    <row r="369" spans="1:18">
      <c r="A369" s="33"/>
      <c r="B369" s="34"/>
      <c r="C369" s="35"/>
      <c r="D369" s="33"/>
      <c r="E369" s="35"/>
      <c r="F369" s="33"/>
      <c r="G369" s="33"/>
      <c r="H369" s="36"/>
      <c r="I369" s="33"/>
      <c r="J369" s="35"/>
      <c r="K369" s="33"/>
      <c r="L369" s="33"/>
      <c r="M369" s="36"/>
      <c r="N369" s="33"/>
      <c r="O369" s="35"/>
      <c r="P369" s="33"/>
      <c r="Q369" s="33"/>
      <c r="R369" s="36"/>
    </row>
    <row r="370" spans="1:18">
      <c r="A370" s="33"/>
      <c r="B370" s="34"/>
      <c r="C370" s="35"/>
      <c r="D370" s="33"/>
      <c r="E370" s="35"/>
      <c r="F370" s="33"/>
      <c r="G370" s="33"/>
      <c r="H370" s="36"/>
      <c r="I370" s="33"/>
      <c r="J370" s="35"/>
      <c r="K370" s="33"/>
      <c r="L370" s="33"/>
      <c r="M370" s="36"/>
      <c r="N370" s="33"/>
      <c r="O370" s="35"/>
      <c r="P370" s="33"/>
      <c r="Q370" s="33"/>
      <c r="R370" s="36"/>
    </row>
    <row r="371" spans="1:18">
      <c r="A371" s="33"/>
      <c r="B371" s="34"/>
      <c r="C371" s="35"/>
      <c r="D371" s="33"/>
      <c r="E371" s="35"/>
      <c r="F371" s="33"/>
      <c r="G371" s="33"/>
      <c r="H371" s="36"/>
      <c r="I371" s="33"/>
      <c r="J371" s="35"/>
      <c r="K371" s="33"/>
      <c r="L371" s="33"/>
      <c r="M371" s="36"/>
      <c r="N371" s="33"/>
      <c r="O371" s="35"/>
      <c r="P371" s="33"/>
      <c r="Q371" s="33"/>
      <c r="R371" s="36"/>
    </row>
    <row r="372" spans="1:18">
      <c r="A372" s="33"/>
      <c r="B372" s="34"/>
      <c r="C372" s="35"/>
      <c r="D372" s="33"/>
      <c r="E372" s="35"/>
      <c r="F372" s="33"/>
      <c r="G372" s="33"/>
      <c r="H372" s="36"/>
      <c r="I372" s="33"/>
      <c r="J372" s="35"/>
      <c r="K372" s="33"/>
      <c r="L372" s="33"/>
      <c r="M372" s="36"/>
      <c r="N372" s="33"/>
      <c r="O372" s="35"/>
      <c r="P372" s="33"/>
      <c r="Q372" s="33"/>
      <c r="R372" s="36"/>
    </row>
    <row r="373" spans="1:18">
      <c r="A373" s="33"/>
      <c r="B373" s="34"/>
      <c r="C373" s="35"/>
      <c r="D373" s="33"/>
      <c r="E373" s="35"/>
      <c r="F373" s="33"/>
      <c r="G373" s="33"/>
      <c r="H373" s="36"/>
      <c r="I373" s="33"/>
      <c r="J373" s="35"/>
      <c r="K373" s="33"/>
      <c r="L373" s="33"/>
      <c r="M373" s="36"/>
      <c r="N373" s="33"/>
      <c r="O373" s="35"/>
      <c r="P373" s="33"/>
      <c r="Q373" s="33"/>
      <c r="R373" s="36"/>
    </row>
    <row r="374" spans="1:18">
      <c r="A374" s="33"/>
      <c r="B374" s="34"/>
      <c r="C374" s="35"/>
      <c r="D374" s="33"/>
      <c r="E374" s="35"/>
      <c r="F374" s="33"/>
      <c r="G374" s="33"/>
      <c r="H374" s="36"/>
      <c r="I374" s="33"/>
      <c r="J374" s="35"/>
      <c r="K374" s="33"/>
      <c r="L374" s="33"/>
      <c r="M374" s="36"/>
      <c r="N374" s="33"/>
      <c r="O374" s="35"/>
      <c r="P374" s="33"/>
      <c r="Q374" s="33"/>
      <c r="R374" s="36"/>
    </row>
    <row r="375" spans="1:18">
      <c r="A375" s="33"/>
      <c r="B375" s="34"/>
      <c r="C375" s="35"/>
      <c r="D375" s="33"/>
      <c r="E375" s="35"/>
      <c r="F375" s="33"/>
      <c r="G375" s="33"/>
      <c r="H375" s="36"/>
      <c r="I375" s="33"/>
      <c r="J375" s="35"/>
      <c r="K375" s="33"/>
      <c r="L375" s="33"/>
      <c r="M375" s="36"/>
      <c r="N375" s="33"/>
      <c r="O375" s="35"/>
      <c r="P375" s="33"/>
      <c r="Q375" s="33"/>
      <c r="R375" s="36"/>
    </row>
    <row r="376" spans="1:18">
      <c r="A376" s="33"/>
      <c r="B376" s="34"/>
      <c r="C376" s="35"/>
      <c r="D376" s="33"/>
      <c r="E376" s="35"/>
      <c r="F376" s="33"/>
      <c r="G376" s="33"/>
      <c r="H376" s="36"/>
      <c r="I376" s="33"/>
      <c r="J376" s="35"/>
      <c r="K376" s="33"/>
      <c r="L376" s="33"/>
      <c r="M376" s="36"/>
      <c r="N376" s="33"/>
      <c r="O376" s="35"/>
      <c r="P376" s="33"/>
      <c r="Q376" s="33"/>
      <c r="R376" s="36"/>
    </row>
    <row r="377" spans="1:18">
      <c r="A377" s="33"/>
      <c r="B377" s="34"/>
      <c r="C377" s="35"/>
      <c r="D377" s="33"/>
      <c r="E377" s="35"/>
      <c r="F377" s="33"/>
      <c r="G377" s="33"/>
      <c r="H377" s="36"/>
      <c r="I377" s="33"/>
      <c r="J377" s="35"/>
      <c r="K377" s="33"/>
      <c r="L377" s="33"/>
      <c r="M377" s="36"/>
      <c r="N377" s="33"/>
      <c r="O377" s="35"/>
      <c r="P377" s="33"/>
      <c r="Q377" s="33"/>
      <c r="R377" s="36"/>
    </row>
    <row r="378" spans="1:18">
      <c r="A378" s="33"/>
      <c r="B378" s="34"/>
      <c r="C378" s="35"/>
      <c r="D378" s="33"/>
      <c r="E378" s="35"/>
      <c r="F378" s="33"/>
      <c r="G378" s="33"/>
      <c r="H378" s="36"/>
      <c r="I378" s="33"/>
      <c r="J378" s="35"/>
      <c r="K378" s="33"/>
      <c r="L378" s="33"/>
      <c r="M378" s="36"/>
      <c r="N378" s="33"/>
      <c r="O378" s="35"/>
      <c r="P378" s="33"/>
      <c r="Q378" s="33"/>
      <c r="R378" s="36"/>
    </row>
    <row r="379" spans="1:18">
      <c r="A379" s="33"/>
      <c r="B379" s="34"/>
      <c r="C379" s="35"/>
      <c r="D379" s="33"/>
      <c r="E379" s="35"/>
      <c r="F379" s="33"/>
      <c r="G379" s="33"/>
      <c r="H379" s="36"/>
      <c r="I379" s="33"/>
      <c r="J379" s="35"/>
      <c r="K379" s="33"/>
      <c r="L379" s="33"/>
      <c r="M379" s="36"/>
      <c r="N379" s="33"/>
      <c r="O379" s="35"/>
      <c r="P379" s="33"/>
      <c r="Q379" s="33"/>
      <c r="R379" s="36"/>
    </row>
    <row r="380" spans="1:18">
      <c r="A380" s="33"/>
      <c r="B380" s="34"/>
      <c r="C380" s="35"/>
      <c r="D380" s="33"/>
      <c r="E380" s="35"/>
      <c r="F380" s="33"/>
      <c r="G380" s="33"/>
      <c r="H380" s="36"/>
      <c r="I380" s="33"/>
      <c r="J380" s="35"/>
      <c r="K380" s="33"/>
      <c r="L380" s="33"/>
      <c r="M380" s="36"/>
      <c r="N380" s="33"/>
      <c r="O380" s="35"/>
      <c r="P380" s="33"/>
      <c r="Q380" s="33"/>
      <c r="R380" s="36"/>
    </row>
    <row r="381" spans="1:18">
      <c r="A381" s="33"/>
      <c r="B381" s="34"/>
      <c r="C381" s="35"/>
      <c r="D381" s="33"/>
      <c r="E381" s="35"/>
      <c r="F381" s="33"/>
      <c r="G381" s="33"/>
      <c r="H381" s="36"/>
      <c r="I381" s="33"/>
      <c r="J381" s="35"/>
      <c r="K381" s="33"/>
      <c r="L381" s="33"/>
      <c r="M381" s="36"/>
      <c r="N381" s="33"/>
      <c r="O381" s="35"/>
      <c r="P381" s="33"/>
      <c r="Q381" s="33"/>
      <c r="R381" s="36"/>
    </row>
    <row r="382" spans="1:18">
      <c r="A382" s="33"/>
      <c r="B382" s="34"/>
      <c r="C382" s="35"/>
      <c r="D382" s="33"/>
      <c r="E382" s="35"/>
      <c r="F382" s="33"/>
      <c r="G382" s="33"/>
      <c r="H382" s="36"/>
      <c r="I382" s="33"/>
      <c r="J382" s="35"/>
      <c r="K382" s="33"/>
      <c r="L382" s="33"/>
      <c r="M382" s="36"/>
      <c r="N382" s="33"/>
      <c r="O382" s="35"/>
      <c r="P382" s="33"/>
      <c r="Q382" s="33"/>
      <c r="R382" s="36"/>
    </row>
    <row r="383" spans="1:18">
      <c r="A383" s="33"/>
      <c r="B383" s="34"/>
      <c r="C383" s="35"/>
      <c r="D383" s="33"/>
      <c r="E383" s="35"/>
      <c r="F383" s="33"/>
      <c r="G383" s="33"/>
      <c r="H383" s="36"/>
      <c r="I383" s="33"/>
      <c r="J383" s="35"/>
      <c r="K383" s="33"/>
      <c r="L383" s="33"/>
      <c r="M383" s="36"/>
      <c r="N383" s="33"/>
      <c r="O383" s="35"/>
      <c r="P383" s="33"/>
      <c r="Q383" s="33"/>
      <c r="R383" s="36"/>
    </row>
    <row r="384" spans="1:18">
      <c r="A384" s="33"/>
      <c r="B384" s="34"/>
      <c r="C384" s="35"/>
      <c r="D384" s="33"/>
      <c r="E384" s="35"/>
      <c r="F384" s="33"/>
      <c r="G384" s="33"/>
      <c r="H384" s="36"/>
      <c r="I384" s="33"/>
      <c r="J384" s="35"/>
      <c r="K384" s="33"/>
      <c r="L384" s="33"/>
      <c r="M384" s="36"/>
      <c r="N384" s="33"/>
      <c r="O384" s="35"/>
      <c r="P384" s="33"/>
      <c r="Q384" s="33"/>
      <c r="R384" s="36"/>
    </row>
    <row r="385" spans="1:18">
      <c r="A385" s="33"/>
      <c r="B385" s="34"/>
      <c r="C385" s="35"/>
      <c r="D385" s="33"/>
      <c r="E385" s="35"/>
      <c r="F385" s="33"/>
      <c r="G385" s="33"/>
      <c r="H385" s="36"/>
      <c r="I385" s="33"/>
      <c r="J385" s="35"/>
      <c r="K385" s="33"/>
      <c r="L385" s="33"/>
      <c r="M385" s="36"/>
      <c r="N385" s="33"/>
      <c r="O385" s="35"/>
      <c r="P385" s="33"/>
      <c r="Q385" s="33"/>
      <c r="R385" s="36"/>
    </row>
    <row r="386" spans="1:18">
      <c r="A386" s="33"/>
      <c r="B386" s="34"/>
      <c r="C386" s="35"/>
      <c r="D386" s="33"/>
      <c r="E386" s="35"/>
      <c r="F386" s="33"/>
      <c r="G386" s="33"/>
      <c r="H386" s="36"/>
      <c r="I386" s="33"/>
      <c r="J386" s="35"/>
      <c r="K386" s="33"/>
      <c r="L386" s="33"/>
      <c r="M386" s="36"/>
      <c r="N386" s="33"/>
      <c r="O386" s="35"/>
      <c r="P386" s="33"/>
      <c r="Q386" s="33"/>
      <c r="R386" s="36"/>
    </row>
    <row r="387" spans="1:18">
      <c r="A387" s="33"/>
      <c r="B387" s="34"/>
      <c r="C387" s="35"/>
      <c r="D387" s="33"/>
      <c r="E387" s="35"/>
      <c r="F387" s="33"/>
      <c r="G387" s="33"/>
      <c r="H387" s="36"/>
      <c r="I387" s="33"/>
      <c r="J387" s="35"/>
      <c r="K387" s="33"/>
      <c r="L387" s="33"/>
      <c r="M387" s="36"/>
      <c r="N387" s="33"/>
      <c r="O387" s="35"/>
      <c r="P387" s="33"/>
      <c r="Q387" s="33"/>
      <c r="R387" s="36"/>
    </row>
    <row r="388" spans="1:18">
      <c r="A388" s="33"/>
      <c r="B388" s="34"/>
      <c r="C388" s="35"/>
      <c r="D388" s="33"/>
      <c r="E388" s="35"/>
      <c r="F388" s="33"/>
      <c r="G388" s="33"/>
      <c r="H388" s="36"/>
      <c r="I388" s="33"/>
      <c r="J388" s="35"/>
      <c r="K388" s="33"/>
      <c r="L388" s="33"/>
      <c r="M388" s="36"/>
      <c r="N388" s="33"/>
      <c r="O388" s="35"/>
      <c r="P388" s="33"/>
      <c r="Q388" s="33"/>
      <c r="R388" s="36"/>
    </row>
    <row r="389" spans="1:18">
      <c r="A389" s="33"/>
      <c r="B389" s="34"/>
      <c r="C389" s="35"/>
      <c r="D389" s="33"/>
      <c r="E389" s="35"/>
      <c r="F389" s="33"/>
      <c r="G389" s="33"/>
      <c r="H389" s="36"/>
      <c r="I389" s="33"/>
      <c r="J389" s="35"/>
      <c r="K389" s="33"/>
      <c r="L389" s="33"/>
      <c r="M389" s="36"/>
      <c r="N389" s="33"/>
      <c r="O389" s="35"/>
      <c r="P389" s="33"/>
      <c r="Q389" s="33"/>
      <c r="R389" s="36"/>
    </row>
    <row r="390" spans="1:18">
      <c r="A390" s="33"/>
      <c r="B390" s="34"/>
      <c r="C390" s="35"/>
      <c r="D390" s="33"/>
      <c r="E390" s="35"/>
      <c r="F390" s="33"/>
      <c r="G390" s="33"/>
      <c r="H390" s="36"/>
      <c r="I390" s="33"/>
      <c r="J390" s="35"/>
      <c r="K390" s="33"/>
      <c r="L390" s="33"/>
      <c r="M390" s="36"/>
      <c r="N390" s="33"/>
      <c r="O390" s="35"/>
      <c r="P390" s="33"/>
      <c r="Q390" s="33"/>
      <c r="R390" s="36"/>
    </row>
    <row r="391" spans="1:18">
      <c r="A391" s="33"/>
      <c r="B391" s="34"/>
      <c r="C391" s="35"/>
      <c r="D391" s="33"/>
      <c r="E391" s="35"/>
      <c r="F391" s="33"/>
      <c r="G391" s="33"/>
      <c r="H391" s="36"/>
      <c r="I391" s="33"/>
      <c r="J391" s="35"/>
      <c r="K391" s="33"/>
      <c r="L391" s="33"/>
      <c r="M391" s="36"/>
      <c r="N391" s="33"/>
      <c r="O391" s="35"/>
      <c r="P391" s="33"/>
      <c r="Q391" s="33"/>
      <c r="R391" s="36"/>
    </row>
    <row r="392" spans="1:18">
      <c r="A392" s="33"/>
      <c r="B392" s="34"/>
      <c r="C392" s="35"/>
      <c r="D392" s="33"/>
      <c r="E392" s="35"/>
      <c r="F392" s="33"/>
      <c r="G392" s="33"/>
      <c r="H392" s="36"/>
      <c r="I392" s="33"/>
      <c r="J392" s="35"/>
      <c r="K392" s="33"/>
      <c r="L392" s="33"/>
      <c r="M392" s="36"/>
      <c r="N392" s="33"/>
      <c r="O392" s="35"/>
      <c r="P392" s="33"/>
      <c r="Q392" s="33"/>
      <c r="R392" s="36"/>
    </row>
    <row r="393" spans="1:18">
      <c r="A393" s="33"/>
      <c r="B393" s="34"/>
      <c r="C393" s="35"/>
      <c r="D393" s="33"/>
      <c r="E393" s="35"/>
      <c r="F393" s="33"/>
      <c r="G393" s="33"/>
      <c r="H393" s="36"/>
      <c r="I393" s="33"/>
      <c r="J393" s="35"/>
      <c r="K393" s="33"/>
      <c r="L393" s="33"/>
      <c r="M393" s="36"/>
      <c r="N393" s="33"/>
      <c r="O393" s="35"/>
      <c r="P393" s="33"/>
      <c r="Q393" s="33"/>
      <c r="R393" s="36"/>
    </row>
    <row r="394" spans="1:18">
      <c r="A394" s="33"/>
      <c r="B394" s="34"/>
      <c r="C394" s="35"/>
      <c r="D394" s="33"/>
      <c r="E394" s="35"/>
      <c r="F394" s="33"/>
      <c r="G394" s="33"/>
      <c r="H394" s="36"/>
      <c r="I394" s="33"/>
      <c r="J394" s="35"/>
      <c r="K394" s="33"/>
      <c r="L394" s="33"/>
      <c r="M394" s="36"/>
      <c r="N394" s="33"/>
      <c r="O394" s="35"/>
      <c r="P394" s="33"/>
      <c r="Q394" s="33"/>
      <c r="R394" s="36"/>
    </row>
    <row r="395" spans="1:18">
      <c r="A395" s="33"/>
      <c r="B395" s="34"/>
      <c r="C395" s="35"/>
      <c r="D395" s="33"/>
      <c r="E395" s="35"/>
      <c r="F395" s="33"/>
      <c r="G395" s="33"/>
      <c r="H395" s="36"/>
      <c r="I395" s="33"/>
      <c r="J395" s="35"/>
      <c r="K395" s="33"/>
      <c r="L395" s="33"/>
      <c r="M395" s="36"/>
      <c r="N395" s="33"/>
      <c r="O395" s="35"/>
      <c r="P395" s="33"/>
      <c r="Q395" s="33"/>
      <c r="R395" s="36"/>
    </row>
    <row r="396" spans="1:18">
      <c r="A396" s="33"/>
      <c r="B396" s="34"/>
      <c r="C396" s="35"/>
      <c r="D396" s="33"/>
      <c r="E396" s="35"/>
      <c r="F396" s="33"/>
      <c r="G396" s="33"/>
      <c r="H396" s="36"/>
      <c r="I396" s="33"/>
      <c r="J396" s="35"/>
      <c r="K396" s="33"/>
      <c r="L396" s="33"/>
      <c r="M396" s="36"/>
      <c r="N396" s="33"/>
      <c r="O396" s="35"/>
      <c r="P396" s="33"/>
      <c r="Q396" s="33"/>
      <c r="R396" s="36"/>
    </row>
    <row r="397" spans="1:18">
      <c r="A397" s="33"/>
      <c r="B397" s="34"/>
      <c r="C397" s="35"/>
      <c r="D397" s="33"/>
      <c r="E397" s="35"/>
      <c r="F397" s="33"/>
      <c r="G397" s="33"/>
      <c r="H397" s="36"/>
      <c r="I397" s="33"/>
      <c r="J397" s="35"/>
      <c r="K397" s="33"/>
      <c r="L397" s="33"/>
      <c r="M397" s="36"/>
      <c r="N397" s="33"/>
      <c r="O397" s="35"/>
      <c r="P397" s="33"/>
      <c r="Q397" s="33"/>
      <c r="R397" s="36"/>
    </row>
    <row r="398" spans="1:18">
      <c r="A398" s="33"/>
      <c r="B398" s="34"/>
      <c r="C398" s="35"/>
      <c r="D398" s="33"/>
      <c r="E398" s="35"/>
      <c r="F398" s="33"/>
      <c r="G398" s="33"/>
      <c r="H398" s="36"/>
      <c r="I398" s="33"/>
      <c r="J398" s="35"/>
      <c r="K398" s="33"/>
      <c r="L398" s="33"/>
      <c r="M398" s="36"/>
      <c r="N398" s="33"/>
      <c r="O398" s="35"/>
      <c r="P398" s="33"/>
      <c r="Q398" s="33"/>
      <c r="R398" s="36"/>
    </row>
    <row r="399" spans="1:18">
      <c r="A399" s="33"/>
      <c r="B399" s="34"/>
      <c r="C399" s="35"/>
      <c r="D399" s="33"/>
      <c r="E399" s="35"/>
      <c r="F399" s="33"/>
      <c r="G399" s="33"/>
      <c r="H399" s="36"/>
      <c r="I399" s="33"/>
      <c r="J399" s="35"/>
      <c r="K399" s="33"/>
      <c r="L399" s="33"/>
      <c r="M399" s="36"/>
      <c r="N399" s="33"/>
      <c r="O399" s="35"/>
      <c r="P399" s="33"/>
      <c r="Q399" s="33"/>
      <c r="R399" s="36"/>
    </row>
    <row r="400" spans="1:18">
      <c r="A400" s="33"/>
      <c r="B400" s="34"/>
      <c r="C400" s="35"/>
      <c r="D400" s="33"/>
      <c r="E400" s="35"/>
      <c r="F400" s="33"/>
      <c r="G400" s="33"/>
      <c r="H400" s="36"/>
      <c r="I400" s="33"/>
      <c r="J400" s="35"/>
      <c r="K400" s="33"/>
      <c r="L400" s="33"/>
      <c r="M400" s="36"/>
      <c r="N400" s="33"/>
      <c r="O400" s="35"/>
      <c r="P400" s="33"/>
      <c r="Q400" s="33"/>
      <c r="R400" s="36"/>
    </row>
    <row r="401" spans="1:18">
      <c r="A401" s="33"/>
      <c r="B401" s="34"/>
      <c r="C401" s="35"/>
      <c r="D401" s="33"/>
      <c r="E401" s="35"/>
      <c r="F401" s="33"/>
      <c r="G401" s="33"/>
      <c r="H401" s="36"/>
      <c r="I401" s="33"/>
      <c r="J401" s="35"/>
      <c r="K401" s="33"/>
      <c r="L401" s="33"/>
      <c r="M401" s="36"/>
      <c r="N401" s="33"/>
      <c r="O401" s="35"/>
      <c r="P401" s="33"/>
      <c r="Q401" s="33"/>
      <c r="R401" s="36"/>
    </row>
    <row r="402" spans="1:18">
      <c r="A402" s="33"/>
      <c r="B402" s="34"/>
      <c r="C402" s="35"/>
      <c r="D402" s="33"/>
      <c r="E402" s="35"/>
      <c r="F402" s="33"/>
      <c r="G402" s="33"/>
      <c r="H402" s="36"/>
      <c r="I402" s="33"/>
      <c r="J402" s="35"/>
      <c r="K402" s="33"/>
      <c r="L402" s="33"/>
      <c r="M402" s="36"/>
      <c r="N402" s="33"/>
      <c r="O402" s="35"/>
      <c r="P402" s="33"/>
      <c r="Q402" s="33"/>
      <c r="R402" s="36"/>
    </row>
    <row r="403" spans="1:18">
      <c r="A403" s="33"/>
      <c r="B403" s="34"/>
      <c r="C403" s="35"/>
      <c r="D403" s="33"/>
      <c r="E403" s="35"/>
      <c r="F403" s="33"/>
      <c r="G403" s="33"/>
      <c r="H403" s="36"/>
      <c r="I403" s="33"/>
      <c r="J403" s="35"/>
      <c r="K403" s="33"/>
      <c r="L403" s="33"/>
      <c r="M403" s="36"/>
      <c r="N403" s="33"/>
      <c r="O403" s="35"/>
      <c r="P403" s="33"/>
      <c r="Q403" s="33"/>
      <c r="R403" s="36"/>
    </row>
    <row r="404" spans="1:18">
      <c r="A404" s="33"/>
      <c r="B404" s="34"/>
      <c r="C404" s="35"/>
      <c r="D404" s="33"/>
      <c r="E404" s="35"/>
      <c r="F404" s="33"/>
      <c r="G404" s="33"/>
      <c r="H404" s="36"/>
      <c r="I404" s="33"/>
      <c r="J404" s="35"/>
      <c r="K404" s="33"/>
      <c r="L404" s="33"/>
      <c r="M404" s="36"/>
      <c r="N404" s="33"/>
      <c r="O404" s="35"/>
      <c r="P404" s="33"/>
      <c r="Q404" s="33"/>
      <c r="R404" s="36"/>
    </row>
    <row r="405" spans="1:18">
      <c r="A405" s="33"/>
      <c r="B405" s="34"/>
      <c r="C405" s="35"/>
      <c r="D405" s="33"/>
      <c r="E405" s="35"/>
      <c r="F405" s="33"/>
      <c r="G405" s="33"/>
      <c r="H405" s="36"/>
      <c r="I405" s="33"/>
      <c r="J405" s="35"/>
      <c r="K405" s="33"/>
      <c r="L405" s="33"/>
      <c r="M405" s="36"/>
      <c r="N405" s="33"/>
      <c r="O405" s="35"/>
      <c r="P405" s="33"/>
      <c r="Q405" s="33"/>
      <c r="R405" s="36"/>
    </row>
    <row r="406" spans="1:18">
      <c r="A406" s="33"/>
      <c r="B406" s="34"/>
      <c r="C406" s="35"/>
      <c r="D406" s="33"/>
      <c r="E406" s="35"/>
      <c r="F406" s="33"/>
      <c r="G406" s="33"/>
      <c r="H406" s="36"/>
      <c r="I406" s="33"/>
      <c r="J406" s="35"/>
      <c r="K406" s="33"/>
      <c r="L406" s="33"/>
      <c r="M406" s="36"/>
      <c r="N406" s="33"/>
      <c r="O406" s="35"/>
      <c r="P406" s="33"/>
      <c r="Q406" s="33"/>
      <c r="R406" s="36"/>
    </row>
    <row r="407" spans="1:18">
      <c r="A407" s="33"/>
      <c r="B407" s="34"/>
      <c r="C407" s="35"/>
      <c r="D407" s="33"/>
      <c r="E407" s="35"/>
      <c r="F407" s="33"/>
      <c r="G407" s="33"/>
      <c r="H407" s="36"/>
      <c r="I407" s="33"/>
      <c r="J407" s="35"/>
      <c r="K407" s="33"/>
      <c r="L407" s="33"/>
      <c r="M407" s="36"/>
      <c r="N407" s="33"/>
      <c r="O407" s="35"/>
      <c r="P407" s="33"/>
      <c r="Q407" s="33"/>
      <c r="R407" s="36"/>
    </row>
    <row r="408" spans="1:18">
      <c r="A408" s="33"/>
      <c r="B408" s="34"/>
      <c r="C408" s="35"/>
      <c r="D408" s="33"/>
      <c r="E408" s="35"/>
      <c r="F408" s="33"/>
      <c r="G408" s="33"/>
      <c r="H408" s="36"/>
      <c r="I408" s="33"/>
      <c r="J408" s="35"/>
      <c r="K408" s="33"/>
      <c r="L408" s="33"/>
      <c r="M408" s="36"/>
      <c r="N408" s="33"/>
      <c r="O408" s="35"/>
      <c r="P408" s="33"/>
      <c r="Q408" s="33"/>
      <c r="R408" s="36"/>
    </row>
    <row r="409" spans="1:18">
      <c r="A409" s="33"/>
      <c r="B409" s="34"/>
      <c r="C409" s="35"/>
      <c r="D409" s="33"/>
      <c r="E409" s="35"/>
      <c r="F409" s="33"/>
      <c r="G409" s="33"/>
      <c r="H409" s="36"/>
      <c r="I409" s="33"/>
      <c r="J409" s="35"/>
      <c r="K409" s="33"/>
      <c r="L409" s="33"/>
      <c r="M409" s="36"/>
      <c r="N409" s="33"/>
      <c r="O409" s="35"/>
      <c r="P409" s="33"/>
      <c r="Q409" s="33"/>
      <c r="R409" s="36"/>
    </row>
    <row r="410" spans="1:18">
      <c r="A410" s="33"/>
      <c r="B410" s="34"/>
      <c r="C410" s="35"/>
      <c r="D410" s="33"/>
    </row>
    <row r="411" spans="1:18">
      <c r="A411" s="33"/>
      <c r="B411" s="34"/>
      <c r="C411" s="35"/>
      <c r="D411" s="33"/>
    </row>
    <row r="412" spans="1:18">
      <c r="A412" s="33"/>
      <c r="B412" s="34"/>
      <c r="C412" s="35"/>
      <c r="D412" s="33"/>
    </row>
    <row r="413" spans="1:18">
      <c r="A413" s="33"/>
      <c r="B413" s="34"/>
      <c r="C413" s="35"/>
      <c r="D413" s="33"/>
    </row>
    <row r="414" spans="1:18">
      <c r="A414" s="33"/>
      <c r="B414" s="34"/>
      <c r="C414" s="35"/>
      <c r="D414" s="33"/>
    </row>
    <row r="415" spans="1:18">
      <c r="A415" s="33"/>
      <c r="B415" s="34"/>
      <c r="C415" s="35"/>
      <c r="D415" s="33"/>
    </row>
    <row r="416" spans="1:18">
      <c r="A416" s="33"/>
      <c r="B416" s="34"/>
      <c r="C416" s="35"/>
      <c r="D416" s="33"/>
    </row>
    <row r="417" spans="1:4">
      <c r="A417" s="33"/>
      <c r="B417" s="34"/>
      <c r="C417" s="35"/>
      <c r="D417" s="33"/>
    </row>
    <row r="418" spans="1:4">
      <c r="A418" s="33"/>
      <c r="B418" s="34"/>
      <c r="C418" s="35"/>
      <c r="D418" s="33"/>
    </row>
    <row r="419" spans="1:4">
      <c r="A419" s="33"/>
      <c r="B419" s="34"/>
      <c r="C419" s="35"/>
      <c r="D419" s="33"/>
    </row>
    <row r="420" spans="1:4">
      <c r="A420" s="33"/>
      <c r="B420" s="34"/>
      <c r="C420" s="35"/>
      <c r="D420" s="33"/>
    </row>
    <row r="421" spans="1:4">
      <c r="A421" s="33"/>
      <c r="B421" s="34"/>
      <c r="C421" s="35"/>
      <c r="D421" s="33"/>
    </row>
    <row r="422" spans="1:4">
      <c r="A422" s="33"/>
      <c r="B422" s="34"/>
      <c r="C422" s="35"/>
      <c r="D422" s="33"/>
    </row>
    <row r="423" spans="1:4">
      <c r="A423" s="33"/>
      <c r="B423" s="34"/>
      <c r="C423" s="35"/>
      <c r="D423" s="33"/>
    </row>
    <row r="424" spans="1:4">
      <c r="A424" s="33"/>
      <c r="B424" s="34"/>
      <c r="C424" s="35"/>
      <c r="D424" s="33"/>
    </row>
    <row r="425" spans="1:4">
      <c r="A425" s="33"/>
      <c r="B425" s="34"/>
      <c r="C425" s="35"/>
      <c r="D425" s="33"/>
    </row>
    <row r="426" spans="1:4">
      <c r="A426" s="33"/>
      <c r="B426" s="34"/>
      <c r="C426" s="35"/>
      <c r="D426" s="33"/>
    </row>
    <row r="427" spans="1:4">
      <c r="A427" s="33"/>
      <c r="B427" s="34"/>
      <c r="C427" s="35"/>
      <c r="D427" s="33"/>
    </row>
  </sheetData>
  <mergeCells count="23">
    <mergeCell ref="A5:A7"/>
    <mergeCell ref="B5:B7"/>
    <mergeCell ref="C5:C7"/>
    <mergeCell ref="J6:J7"/>
    <mergeCell ref="J5:L5"/>
    <mergeCell ref="K6:K7"/>
    <mergeCell ref="F6:F7"/>
    <mergeCell ref="R5:R7"/>
    <mergeCell ref="L6:L7"/>
    <mergeCell ref="O6:O7"/>
    <mergeCell ref="Q6:Q7"/>
    <mergeCell ref="B2:H2"/>
    <mergeCell ref="B3:H3"/>
    <mergeCell ref="D5:D7"/>
    <mergeCell ref="E5:G5"/>
    <mergeCell ref="H5:H7"/>
    <mergeCell ref="E6:E7"/>
    <mergeCell ref="G6:G7"/>
    <mergeCell ref="I5:I7"/>
    <mergeCell ref="M5:M7"/>
    <mergeCell ref="N5:N7"/>
    <mergeCell ref="O5:Q5"/>
    <mergeCell ref="P6:P7"/>
  </mergeCells>
  <phoneticPr fontId="27" type="noConversion"/>
  <pageMargins left="0.27559055118110237" right="0.19685039370078741" top="0.39370078740157483" bottom="0.43307086614173229" header="0.23622047244094491" footer="0.23622047244094491"/>
  <pageSetup paperSize="9" scale="60" orientation="landscape" r:id="rId1"/>
  <headerFooter alignWithMargins="0">
    <oddFooter>&amp;L&amp;F&amp;C&amp;P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tabColor rgb="FFFFC000"/>
  </sheetPr>
  <dimension ref="A1:R411"/>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C9" sqref="C9"/>
    </sheetView>
  </sheetViews>
  <sheetFormatPr defaultColWidth="9.109375" defaultRowHeight="10.199999999999999"/>
  <cols>
    <col min="1" max="1" width="11.44140625" style="21" bestFit="1" customWidth="1"/>
    <col min="2" max="2" width="40.5546875" style="1" customWidth="1"/>
    <col min="3" max="3" width="11.88671875" style="22" customWidth="1"/>
    <col min="4" max="4" width="11.5546875" style="21"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9"/>
  </cols>
  <sheetData>
    <row r="1" spans="1:18" s="3" customFormat="1" ht="13.2">
      <c r="A1" s="216"/>
      <c r="B1" s="216"/>
      <c r="C1" s="216"/>
      <c r="D1" s="216"/>
      <c r="E1" s="216"/>
      <c r="F1" s="216"/>
      <c r="G1" s="216"/>
      <c r="H1" s="217"/>
      <c r="I1" s="216"/>
      <c r="J1" s="216"/>
      <c r="K1" s="216"/>
      <c r="L1" s="216"/>
      <c r="M1" s="217"/>
      <c r="N1" s="216"/>
      <c r="O1" s="216"/>
      <c r="P1" s="216"/>
      <c r="Q1" s="216"/>
      <c r="R1" s="217"/>
    </row>
    <row r="2" spans="1:18" s="3" customFormat="1" ht="13.2">
      <c r="A2" s="219"/>
      <c r="B2" s="1399"/>
      <c r="C2" s="1399"/>
      <c r="D2" s="1399"/>
      <c r="E2" s="1399"/>
      <c r="F2" s="1399"/>
      <c r="G2" s="1399"/>
      <c r="H2" s="1399"/>
      <c r="I2" s="936"/>
      <c r="J2" s="936"/>
      <c r="K2" s="936"/>
      <c r="L2" s="936"/>
      <c r="M2" s="220"/>
      <c r="N2" s="936"/>
      <c r="O2" s="936"/>
      <c r="P2" s="936"/>
      <c r="Q2" s="936"/>
      <c r="R2" s="220"/>
    </row>
    <row r="3" spans="1:18" s="1" customFormat="1" ht="13.2" customHeight="1">
      <c r="A3" s="221"/>
      <c r="B3" s="1400" t="s">
        <v>489</v>
      </c>
      <c r="C3" s="1400"/>
      <c r="D3" s="1400"/>
      <c r="E3" s="1400"/>
      <c r="F3" s="1400"/>
      <c r="G3" s="1400"/>
      <c r="H3" s="1400"/>
      <c r="I3" s="937"/>
      <c r="J3" s="937"/>
      <c r="K3" s="937"/>
      <c r="L3" s="937"/>
      <c r="M3" s="220"/>
      <c r="N3" s="937"/>
      <c r="O3" s="937"/>
      <c r="P3" s="937"/>
      <c r="Q3" s="937"/>
      <c r="R3" s="220"/>
    </row>
    <row r="4" spans="1:18" s="1" customFormat="1" ht="13.2">
      <c r="A4" s="221"/>
      <c r="B4" s="937"/>
      <c r="C4" s="222"/>
      <c r="D4" s="937"/>
      <c r="E4" s="937"/>
      <c r="F4" s="937"/>
      <c r="G4" s="937"/>
      <c r="H4" s="937"/>
      <c r="I4" s="937"/>
      <c r="J4" s="937"/>
      <c r="K4" s="937"/>
      <c r="L4" s="937"/>
      <c r="M4" s="937"/>
      <c r="N4" s="937"/>
      <c r="O4" s="937"/>
      <c r="P4" s="937"/>
      <c r="Q4" s="937"/>
      <c r="R4" s="937"/>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8"/>
      <c r="B9" s="392" t="s">
        <v>71</v>
      </c>
      <c r="C9" s="387"/>
      <c r="D9" s="387"/>
      <c r="E9" s="226"/>
      <c r="F9" s="226"/>
      <c r="G9" s="226"/>
      <c r="H9" s="226"/>
      <c r="I9" s="365"/>
      <c r="J9" s="226"/>
      <c r="K9" s="226"/>
      <c r="L9" s="226"/>
      <c r="M9" s="226"/>
      <c r="N9" s="365"/>
      <c r="O9" s="226"/>
      <c r="P9" s="226"/>
      <c r="Q9" s="226"/>
      <c r="R9" s="226"/>
    </row>
    <row r="10" spans="1:18" s="4" customFormat="1" ht="20.399999999999999">
      <c r="A10" s="129" t="s">
        <v>201</v>
      </c>
      <c r="B10" s="123" t="s">
        <v>88</v>
      </c>
      <c r="C10" s="200">
        <v>210694805</v>
      </c>
      <c r="D10" s="167">
        <v>210694805</v>
      </c>
      <c r="E10" s="228">
        <f>E11+E12+E14+E32</f>
        <v>0</v>
      </c>
      <c r="F10" s="228">
        <f t="shared" ref="F10:G10" si="0">F11+F12+F14+F32</f>
        <v>0</v>
      </c>
      <c r="G10" s="228">
        <f t="shared" si="0"/>
        <v>5174895</v>
      </c>
      <c r="H10" s="229">
        <f t="shared" ref="H10:H73" si="1">SUM(D10:G10)</f>
        <v>215869700</v>
      </c>
      <c r="I10" s="228">
        <v>210694805</v>
      </c>
      <c r="J10" s="228">
        <f>J11+J12+J14+J32</f>
        <v>0</v>
      </c>
      <c r="K10" s="228">
        <f t="shared" ref="K10:L10" si="2">K11+K12+K14+K32</f>
        <v>0</v>
      </c>
      <c r="L10" s="228">
        <f t="shared" si="2"/>
        <v>11734895</v>
      </c>
      <c r="M10" s="229">
        <f t="shared" ref="M10:M73" si="3">SUM(I10:L10)</f>
        <v>222429700</v>
      </c>
      <c r="N10" s="228">
        <v>210694805</v>
      </c>
      <c r="O10" s="228">
        <f>O11+O12+O14+O32</f>
        <v>0</v>
      </c>
      <c r="P10" s="228">
        <f t="shared" ref="P10:Q10" si="4">P11+P12+P14+P32</f>
        <v>0</v>
      </c>
      <c r="Q10" s="228">
        <f t="shared" si="4"/>
        <v>11734895</v>
      </c>
      <c r="R10" s="229">
        <f t="shared" ref="R10:R73" si="5">SUM(N10:Q10)</f>
        <v>222429700</v>
      </c>
    </row>
    <row r="11" spans="1:18" s="3" customFormat="1" ht="24" hidden="1" customHeight="1">
      <c r="A11" s="130" t="s">
        <v>177</v>
      </c>
      <c r="B11" s="124" t="s">
        <v>90</v>
      </c>
      <c r="C11" s="98">
        <v>0</v>
      </c>
      <c r="D11" s="169">
        <v>0</v>
      </c>
      <c r="E11" s="231"/>
      <c r="F11" s="231"/>
      <c r="G11" s="231"/>
      <c r="H11" s="232">
        <f t="shared" si="1"/>
        <v>0</v>
      </c>
      <c r="I11" s="231">
        <v>0</v>
      </c>
      <c r="J11" s="231"/>
      <c r="K11" s="231"/>
      <c r="L11" s="231"/>
      <c r="M11" s="232">
        <f t="shared" si="3"/>
        <v>0</v>
      </c>
      <c r="N11" s="231">
        <v>0</v>
      </c>
      <c r="O11" s="231"/>
      <c r="P11" s="231"/>
      <c r="Q11" s="231"/>
      <c r="R11" s="232">
        <f t="shared" si="5"/>
        <v>0</v>
      </c>
    </row>
    <row r="12" spans="1:18" s="3" customFormat="1" ht="12" hidden="1" customHeight="1">
      <c r="A12" s="130" t="s">
        <v>91</v>
      </c>
      <c r="B12" s="124" t="s">
        <v>92</v>
      </c>
      <c r="C12" s="98">
        <v>0</v>
      </c>
      <c r="D12" s="169">
        <v>0</v>
      </c>
      <c r="E12" s="231"/>
      <c r="F12" s="231"/>
      <c r="G12" s="231"/>
      <c r="H12" s="232">
        <f t="shared" si="1"/>
        <v>0</v>
      </c>
      <c r="I12" s="231">
        <v>0</v>
      </c>
      <c r="J12" s="231"/>
      <c r="K12" s="231"/>
      <c r="L12" s="231"/>
      <c r="M12" s="232">
        <f t="shared" si="3"/>
        <v>0</v>
      </c>
      <c r="N12" s="231">
        <v>0</v>
      </c>
      <c r="O12" s="231"/>
      <c r="P12" s="231"/>
      <c r="Q12" s="231"/>
      <c r="R12" s="232">
        <f t="shared" si="5"/>
        <v>0</v>
      </c>
    </row>
    <row r="13" spans="1:18" s="3" customFormat="1" ht="24" hidden="1" customHeight="1">
      <c r="A13" s="131">
        <v>21210</v>
      </c>
      <c r="B13" s="125" t="s">
        <v>93</v>
      </c>
      <c r="C13" s="98">
        <v>0</v>
      </c>
      <c r="D13" s="169">
        <v>0</v>
      </c>
      <c r="E13" s="231"/>
      <c r="F13" s="231"/>
      <c r="G13" s="231"/>
      <c r="H13" s="232">
        <f t="shared" si="1"/>
        <v>0</v>
      </c>
      <c r="I13" s="231">
        <v>0</v>
      </c>
      <c r="J13" s="231"/>
      <c r="K13" s="231"/>
      <c r="L13" s="231"/>
      <c r="M13" s="232">
        <f t="shared" si="3"/>
        <v>0</v>
      </c>
      <c r="N13" s="231">
        <v>0</v>
      </c>
      <c r="O13" s="231"/>
      <c r="P13" s="231"/>
      <c r="Q13" s="231"/>
      <c r="R13" s="232">
        <f t="shared" si="5"/>
        <v>0</v>
      </c>
    </row>
    <row r="14" spans="1:18" s="3" customFormat="1" ht="21" hidden="1" customHeight="1">
      <c r="A14" s="130" t="s">
        <v>178</v>
      </c>
      <c r="B14" s="124" t="s">
        <v>94</v>
      </c>
      <c r="C14" s="170">
        <v>0</v>
      </c>
      <c r="D14" s="171">
        <v>0</v>
      </c>
      <c r="E14" s="233">
        <f>E15+E21</f>
        <v>0</v>
      </c>
      <c r="F14" s="233">
        <f t="shared" ref="F14:G14" si="6">F15+F21</f>
        <v>0</v>
      </c>
      <c r="G14" s="233">
        <f t="shared" si="6"/>
        <v>0</v>
      </c>
      <c r="H14" s="232">
        <f t="shared" si="1"/>
        <v>0</v>
      </c>
      <c r="I14" s="233">
        <v>0</v>
      </c>
      <c r="J14" s="233">
        <f>J15+J21</f>
        <v>0</v>
      </c>
      <c r="K14" s="233">
        <f t="shared" ref="K14:L14" si="7">K15+K21</f>
        <v>0</v>
      </c>
      <c r="L14" s="233">
        <f t="shared" si="7"/>
        <v>0</v>
      </c>
      <c r="M14" s="232">
        <f t="shared" si="3"/>
        <v>0</v>
      </c>
      <c r="N14" s="233">
        <v>0</v>
      </c>
      <c r="O14" s="233">
        <f>O15+O21</f>
        <v>0</v>
      </c>
      <c r="P14" s="233">
        <f t="shared" ref="P14:Q14" si="8">P15+P21</f>
        <v>0</v>
      </c>
      <c r="Q14" s="233">
        <f t="shared" si="8"/>
        <v>0</v>
      </c>
      <c r="R14" s="232">
        <f t="shared" si="5"/>
        <v>0</v>
      </c>
    </row>
    <row r="15" spans="1:18" s="3" customFormat="1" ht="12" hidden="1" customHeight="1">
      <c r="A15" s="132">
        <v>18000</v>
      </c>
      <c r="B15" s="125" t="s">
        <v>95</v>
      </c>
      <c r="C15" s="170">
        <v>0</v>
      </c>
      <c r="D15" s="171">
        <v>0</v>
      </c>
      <c r="E15" s="233">
        <f t="shared" ref="E15:L16" si="9">E16</f>
        <v>0</v>
      </c>
      <c r="F15" s="233">
        <f t="shared" si="9"/>
        <v>0</v>
      </c>
      <c r="G15" s="233">
        <f t="shared" si="9"/>
        <v>0</v>
      </c>
      <c r="H15" s="232">
        <f t="shared" si="1"/>
        <v>0</v>
      </c>
      <c r="I15" s="233">
        <v>0</v>
      </c>
      <c r="J15" s="233">
        <f t="shared" si="9"/>
        <v>0</v>
      </c>
      <c r="K15" s="233">
        <f t="shared" si="9"/>
        <v>0</v>
      </c>
      <c r="L15" s="233">
        <f t="shared" si="9"/>
        <v>0</v>
      </c>
      <c r="M15" s="232">
        <f t="shared" si="3"/>
        <v>0</v>
      </c>
      <c r="N15" s="233">
        <v>0</v>
      </c>
      <c r="O15" s="233">
        <f t="shared" ref="O15:Q16" si="10">O16</f>
        <v>0</v>
      </c>
      <c r="P15" s="233">
        <f t="shared" si="10"/>
        <v>0</v>
      </c>
      <c r="Q15" s="233">
        <f t="shared" si="10"/>
        <v>0</v>
      </c>
      <c r="R15" s="232">
        <f t="shared" si="5"/>
        <v>0</v>
      </c>
    </row>
    <row r="16" spans="1:18" s="3" customFormat="1" ht="12" hidden="1" customHeight="1">
      <c r="A16" s="132">
        <v>18100</v>
      </c>
      <c r="B16" s="125" t="s">
        <v>96</v>
      </c>
      <c r="C16" s="170">
        <v>0</v>
      </c>
      <c r="D16" s="171">
        <v>0</v>
      </c>
      <c r="E16" s="233">
        <f>E17</f>
        <v>0</v>
      </c>
      <c r="F16" s="233">
        <f t="shared" si="9"/>
        <v>0</v>
      </c>
      <c r="G16" s="233">
        <f t="shared" si="9"/>
        <v>0</v>
      </c>
      <c r="H16" s="232">
        <f t="shared" si="1"/>
        <v>0</v>
      </c>
      <c r="I16" s="233">
        <v>0</v>
      </c>
      <c r="J16" s="233">
        <f>J17</f>
        <v>0</v>
      </c>
      <c r="K16" s="233">
        <f t="shared" si="9"/>
        <v>0</v>
      </c>
      <c r="L16" s="233">
        <f t="shared" si="9"/>
        <v>0</v>
      </c>
      <c r="M16" s="232">
        <f t="shared" si="3"/>
        <v>0</v>
      </c>
      <c r="N16" s="233">
        <v>0</v>
      </c>
      <c r="O16" s="233">
        <f>O17</f>
        <v>0</v>
      </c>
      <c r="P16" s="233">
        <f t="shared" si="10"/>
        <v>0</v>
      </c>
      <c r="Q16" s="233">
        <f t="shared" si="10"/>
        <v>0</v>
      </c>
      <c r="R16" s="232">
        <f t="shared" si="5"/>
        <v>0</v>
      </c>
    </row>
    <row r="17" spans="1:18" s="4" customFormat="1" ht="24" hidden="1" customHeight="1">
      <c r="A17" s="133">
        <v>18130</v>
      </c>
      <c r="B17" s="172" t="s">
        <v>159</v>
      </c>
      <c r="C17" s="170">
        <v>0</v>
      </c>
      <c r="D17" s="171">
        <v>0</v>
      </c>
      <c r="E17" s="233">
        <f>SUM(E18:E20)</f>
        <v>0</v>
      </c>
      <c r="F17" s="233">
        <f t="shared" ref="F17:G17" si="11">SUM(F18:F20)</f>
        <v>0</v>
      </c>
      <c r="G17" s="233">
        <f t="shared" si="11"/>
        <v>0</v>
      </c>
      <c r="H17" s="232">
        <f t="shared" si="1"/>
        <v>0</v>
      </c>
      <c r="I17" s="233">
        <v>0</v>
      </c>
      <c r="J17" s="233">
        <f>SUM(J18:J20)</f>
        <v>0</v>
      </c>
      <c r="K17" s="233">
        <f t="shared" ref="K17:L17" si="12">SUM(K18:K20)</f>
        <v>0</v>
      </c>
      <c r="L17" s="233">
        <f t="shared" si="12"/>
        <v>0</v>
      </c>
      <c r="M17" s="232">
        <f t="shared" si="3"/>
        <v>0</v>
      </c>
      <c r="N17" s="233">
        <v>0</v>
      </c>
      <c r="O17" s="233">
        <f>SUM(O18:O20)</f>
        <v>0</v>
      </c>
      <c r="P17" s="233">
        <f t="shared" ref="P17:Q17" si="13">SUM(P18:P20)</f>
        <v>0</v>
      </c>
      <c r="Q17" s="233">
        <f t="shared" si="13"/>
        <v>0</v>
      </c>
      <c r="R17" s="232">
        <f t="shared" si="5"/>
        <v>0</v>
      </c>
    </row>
    <row r="18" spans="1:18" s="6" customFormat="1" ht="24" hidden="1" customHeight="1">
      <c r="A18" s="134">
        <v>18131</v>
      </c>
      <c r="B18" s="172" t="s">
        <v>160</v>
      </c>
      <c r="C18" s="170">
        <v>0</v>
      </c>
      <c r="D18" s="171">
        <v>0</v>
      </c>
      <c r="E18" s="233"/>
      <c r="F18" s="233"/>
      <c r="G18" s="233"/>
      <c r="H18" s="232">
        <f t="shared" si="1"/>
        <v>0</v>
      </c>
      <c r="I18" s="233">
        <v>0</v>
      </c>
      <c r="J18" s="233"/>
      <c r="K18" s="233"/>
      <c r="L18" s="233"/>
      <c r="M18" s="232">
        <f t="shared" si="3"/>
        <v>0</v>
      </c>
      <c r="N18" s="233">
        <v>0</v>
      </c>
      <c r="O18" s="233"/>
      <c r="P18" s="233"/>
      <c r="Q18" s="233"/>
      <c r="R18" s="232">
        <f t="shared" si="5"/>
        <v>0</v>
      </c>
    </row>
    <row r="19" spans="1:18" s="6" customFormat="1" ht="24" hidden="1" customHeight="1">
      <c r="A19" s="134">
        <v>18132</v>
      </c>
      <c r="B19" s="172" t="s">
        <v>169</v>
      </c>
      <c r="C19" s="170">
        <v>0</v>
      </c>
      <c r="D19" s="171">
        <v>0</v>
      </c>
      <c r="E19" s="233"/>
      <c r="F19" s="233"/>
      <c r="G19" s="233"/>
      <c r="H19" s="232">
        <f t="shared" si="1"/>
        <v>0</v>
      </c>
      <c r="I19" s="233">
        <v>0</v>
      </c>
      <c r="J19" s="233"/>
      <c r="K19" s="233"/>
      <c r="L19" s="233"/>
      <c r="M19" s="232">
        <f t="shared" si="3"/>
        <v>0</v>
      </c>
      <c r="N19" s="233">
        <v>0</v>
      </c>
      <c r="O19" s="233"/>
      <c r="P19" s="233"/>
      <c r="Q19" s="233"/>
      <c r="R19" s="232">
        <f t="shared" si="5"/>
        <v>0</v>
      </c>
    </row>
    <row r="20" spans="1:18" s="6" customFormat="1" ht="24" hidden="1" customHeight="1">
      <c r="A20" s="134">
        <v>18139</v>
      </c>
      <c r="B20" s="172" t="s">
        <v>179</v>
      </c>
      <c r="C20" s="170">
        <v>0</v>
      </c>
      <c r="D20" s="171">
        <v>0</v>
      </c>
      <c r="E20" s="233"/>
      <c r="F20" s="233"/>
      <c r="G20" s="233"/>
      <c r="H20" s="232">
        <f t="shared" si="1"/>
        <v>0</v>
      </c>
      <c r="I20" s="233">
        <v>0</v>
      </c>
      <c r="J20" s="233"/>
      <c r="K20" s="233"/>
      <c r="L20" s="233"/>
      <c r="M20" s="232">
        <f t="shared" si="3"/>
        <v>0</v>
      </c>
      <c r="N20" s="233">
        <v>0</v>
      </c>
      <c r="O20" s="233"/>
      <c r="P20" s="233"/>
      <c r="Q20" s="233"/>
      <c r="R20" s="232">
        <f t="shared" si="5"/>
        <v>0</v>
      </c>
    </row>
    <row r="21" spans="1:18" s="6" customFormat="1" ht="12" hidden="1" customHeight="1">
      <c r="A21" s="135" t="s">
        <v>180</v>
      </c>
      <c r="B21" s="173" t="s">
        <v>173</v>
      </c>
      <c r="C21" s="201">
        <v>0</v>
      </c>
      <c r="D21" s="174">
        <v>0</v>
      </c>
      <c r="E21" s="238">
        <f t="shared" ref="E21:L21" si="14">E22</f>
        <v>0</v>
      </c>
      <c r="F21" s="238">
        <f t="shared" si="14"/>
        <v>0</v>
      </c>
      <c r="G21" s="238">
        <f t="shared" si="14"/>
        <v>0</v>
      </c>
      <c r="H21" s="232">
        <f t="shared" si="1"/>
        <v>0</v>
      </c>
      <c r="I21" s="238">
        <v>0</v>
      </c>
      <c r="J21" s="238">
        <f t="shared" si="14"/>
        <v>0</v>
      </c>
      <c r="K21" s="238">
        <f t="shared" si="14"/>
        <v>0</v>
      </c>
      <c r="L21" s="238">
        <f t="shared" si="14"/>
        <v>0</v>
      </c>
      <c r="M21" s="232">
        <f t="shared" si="3"/>
        <v>0</v>
      </c>
      <c r="N21" s="238">
        <v>0</v>
      </c>
      <c r="O21" s="238">
        <f t="shared" ref="O21:Q21" si="15">O22</f>
        <v>0</v>
      </c>
      <c r="P21" s="238">
        <f t="shared" si="15"/>
        <v>0</v>
      </c>
      <c r="Q21" s="238">
        <f t="shared" si="15"/>
        <v>0</v>
      </c>
      <c r="R21" s="232">
        <f t="shared" si="5"/>
        <v>0</v>
      </c>
    </row>
    <row r="22" spans="1:18" s="6" customFormat="1" ht="12" hidden="1" customHeight="1">
      <c r="A22" s="135">
        <v>19500</v>
      </c>
      <c r="B22" s="172" t="s">
        <v>174</v>
      </c>
      <c r="C22" s="170">
        <v>0</v>
      </c>
      <c r="D22" s="171">
        <v>0</v>
      </c>
      <c r="E22" s="233">
        <f>SUM(E23:E25)</f>
        <v>0</v>
      </c>
      <c r="F22" s="233">
        <f t="shared" ref="F22:G22" si="16">SUM(F23:F25)</f>
        <v>0</v>
      </c>
      <c r="G22" s="233">
        <f t="shared" si="16"/>
        <v>0</v>
      </c>
      <c r="H22" s="232">
        <f t="shared" si="1"/>
        <v>0</v>
      </c>
      <c r="I22" s="233">
        <v>0</v>
      </c>
      <c r="J22" s="233">
        <f>SUM(J23:J25)</f>
        <v>0</v>
      </c>
      <c r="K22" s="233">
        <f t="shared" ref="K22:L22" si="17">SUM(K23:K25)</f>
        <v>0</v>
      </c>
      <c r="L22" s="233">
        <f t="shared" si="17"/>
        <v>0</v>
      </c>
      <c r="M22" s="232">
        <f t="shared" si="3"/>
        <v>0</v>
      </c>
      <c r="N22" s="233">
        <v>0</v>
      </c>
      <c r="O22" s="233">
        <f>SUM(O23:O25)</f>
        <v>0</v>
      </c>
      <c r="P22" s="233">
        <f t="shared" ref="P22:Q22" si="18">SUM(P23:P25)</f>
        <v>0</v>
      </c>
      <c r="Q22" s="233">
        <f t="shared" si="18"/>
        <v>0</v>
      </c>
      <c r="R22" s="232">
        <f t="shared" si="5"/>
        <v>0</v>
      </c>
    </row>
    <row r="23" spans="1:18" s="6" customFormat="1" ht="24" hidden="1" customHeight="1">
      <c r="A23" s="136">
        <v>19550</v>
      </c>
      <c r="B23" s="172" t="s">
        <v>175</v>
      </c>
      <c r="C23" s="170">
        <v>0</v>
      </c>
      <c r="D23" s="171">
        <v>0</v>
      </c>
      <c r="E23" s="233"/>
      <c r="F23" s="233"/>
      <c r="G23" s="233"/>
      <c r="H23" s="232">
        <f t="shared" si="1"/>
        <v>0</v>
      </c>
      <c r="I23" s="233">
        <v>0</v>
      </c>
      <c r="J23" s="233"/>
      <c r="K23" s="233"/>
      <c r="L23" s="233"/>
      <c r="M23" s="232">
        <f t="shared" si="3"/>
        <v>0</v>
      </c>
      <c r="N23" s="233">
        <v>0</v>
      </c>
      <c r="O23" s="233"/>
      <c r="P23" s="233"/>
      <c r="Q23" s="233"/>
      <c r="R23" s="232">
        <f t="shared" si="5"/>
        <v>0</v>
      </c>
    </row>
    <row r="24" spans="1:18" s="6" customFormat="1" ht="36" hidden="1" customHeight="1">
      <c r="A24" s="136">
        <v>19560</v>
      </c>
      <c r="B24" s="172" t="s">
        <v>181</v>
      </c>
      <c r="C24" s="170">
        <v>0</v>
      </c>
      <c r="D24" s="171">
        <v>0</v>
      </c>
      <c r="E24" s="233"/>
      <c r="F24" s="233"/>
      <c r="G24" s="233"/>
      <c r="H24" s="232">
        <f t="shared" si="1"/>
        <v>0</v>
      </c>
      <c r="I24" s="233">
        <v>0</v>
      </c>
      <c r="J24" s="233"/>
      <c r="K24" s="233"/>
      <c r="L24" s="233"/>
      <c r="M24" s="232">
        <f t="shared" si="3"/>
        <v>0</v>
      </c>
      <c r="N24" s="233">
        <v>0</v>
      </c>
      <c r="O24" s="233"/>
      <c r="P24" s="233"/>
      <c r="Q24" s="233"/>
      <c r="R24" s="232">
        <f t="shared" si="5"/>
        <v>0</v>
      </c>
    </row>
    <row r="25" spans="1:18" s="6" customFormat="1" ht="60" hidden="1" customHeight="1">
      <c r="A25" s="136">
        <v>19570</v>
      </c>
      <c r="B25" s="172" t="s">
        <v>182</v>
      </c>
      <c r="C25" s="170">
        <v>0</v>
      </c>
      <c r="D25" s="171">
        <v>0</v>
      </c>
      <c r="E25" s="233"/>
      <c r="F25" s="233"/>
      <c r="G25" s="233"/>
      <c r="H25" s="232">
        <f t="shared" si="1"/>
        <v>0</v>
      </c>
      <c r="I25" s="233">
        <v>0</v>
      </c>
      <c r="J25" s="233"/>
      <c r="K25" s="233"/>
      <c r="L25" s="233"/>
      <c r="M25" s="232">
        <f t="shared" si="3"/>
        <v>0</v>
      </c>
      <c r="N25" s="233">
        <v>0</v>
      </c>
      <c r="O25" s="233"/>
      <c r="P25" s="233"/>
      <c r="Q25" s="233"/>
      <c r="R25" s="232">
        <f t="shared" si="5"/>
        <v>0</v>
      </c>
    </row>
    <row r="26" spans="1:18" s="6" customFormat="1" ht="24" hidden="1" customHeight="1">
      <c r="A26" s="209" t="s">
        <v>222</v>
      </c>
      <c r="B26" s="208" t="s">
        <v>216</v>
      </c>
      <c r="C26" s="106">
        <f>C27</f>
        <v>0</v>
      </c>
      <c r="D26" s="106">
        <v>0</v>
      </c>
      <c r="E26" s="232">
        <f t="shared" ref="E26:L26" si="19">E27</f>
        <v>0</v>
      </c>
      <c r="F26" s="232">
        <f t="shared" si="19"/>
        <v>0</v>
      </c>
      <c r="G26" s="232">
        <f t="shared" si="19"/>
        <v>0</v>
      </c>
      <c r="H26" s="232">
        <f t="shared" si="1"/>
        <v>0</v>
      </c>
      <c r="I26" s="233">
        <v>0</v>
      </c>
      <c r="J26" s="232">
        <f t="shared" si="19"/>
        <v>0</v>
      </c>
      <c r="K26" s="232">
        <f t="shared" si="19"/>
        <v>0</v>
      </c>
      <c r="L26" s="232">
        <f t="shared" si="19"/>
        <v>0</v>
      </c>
      <c r="M26" s="232">
        <f t="shared" si="3"/>
        <v>0</v>
      </c>
      <c r="N26" s="233">
        <v>0</v>
      </c>
      <c r="O26" s="232">
        <f t="shared" ref="O26:Q26" si="20">O27</f>
        <v>0</v>
      </c>
      <c r="P26" s="232">
        <f t="shared" si="20"/>
        <v>0</v>
      </c>
      <c r="Q26" s="232">
        <f t="shared" si="20"/>
        <v>0</v>
      </c>
      <c r="R26" s="232">
        <f t="shared" si="5"/>
        <v>0</v>
      </c>
    </row>
    <row r="27" spans="1:18" s="6" customFormat="1" ht="36" hidden="1" customHeight="1">
      <c r="A27" s="209">
        <v>17100</v>
      </c>
      <c r="B27" s="208" t="s">
        <v>217</v>
      </c>
      <c r="C27" s="106">
        <f>SUM(C28:C31)</f>
        <v>0</v>
      </c>
      <c r="D27" s="106">
        <v>0</v>
      </c>
      <c r="E27" s="232">
        <f t="shared" ref="E27:G27" si="21">SUM(E28:E31)</f>
        <v>0</v>
      </c>
      <c r="F27" s="232">
        <f t="shared" si="21"/>
        <v>0</v>
      </c>
      <c r="G27" s="232">
        <f t="shared" si="21"/>
        <v>0</v>
      </c>
      <c r="H27" s="232">
        <f t="shared" si="1"/>
        <v>0</v>
      </c>
      <c r="I27" s="233">
        <v>0</v>
      </c>
      <c r="J27" s="232">
        <f t="shared" ref="J27:L27" si="22">SUM(J28:J31)</f>
        <v>0</v>
      </c>
      <c r="K27" s="232">
        <f t="shared" si="22"/>
        <v>0</v>
      </c>
      <c r="L27" s="232">
        <f t="shared" si="22"/>
        <v>0</v>
      </c>
      <c r="M27" s="232">
        <f t="shared" si="3"/>
        <v>0</v>
      </c>
      <c r="N27" s="233">
        <v>0</v>
      </c>
      <c r="O27" s="232">
        <f t="shared" ref="O27:Q27" si="23">SUM(O28:O31)</f>
        <v>0</v>
      </c>
      <c r="P27" s="232">
        <f t="shared" si="23"/>
        <v>0</v>
      </c>
      <c r="Q27" s="232">
        <f t="shared" si="23"/>
        <v>0</v>
      </c>
      <c r="R27" s="232">
        <f t="shared" si="5"/>
        <v>0</v>
      </c>
    </row>
    <row r="28" spans="1:18" s="6" customFormat="1" ht="48" hidden="1" customHeight="1">
      <c r="A28" s="149">
        <v>17110</v>
      </c>
      <c r="B28" s="208" t="s">
        <v>218</v>
      </c>
      <c r="C28" s="106"/>
      <c r="D28" s="107">
        <v>0</v>
      </c>
      <c r="E28" s="233"/>
      <c r="F28" s="233"/>
      <c r="G28" s="233"/>
      <c r="H28" s="232">
        <f t="shared" si="1"/>
        <v>0</v>
      </c>
      <c r="I28" s="233">
        <v>0</v>
      </c>
      <c r="J28" s="233"/>
      <c r="K28" s="233"/>
      <c r="L28" s="233"/>
      <c r="M28" s="232">
        <f t="shared" si="3"/>
        <v>0</v>
      </c>
      <c r="N28" s="233">
        <v>0</v>
      </c>
      <c r="O28" s="233"/>
      <c r="P28" s="233"/>
      <c r="Q28" s="233"/>
      <c r="R28" s="232">
        <f t="shared" si="5"/>
        <v>0</v>
      </c>
    </row>
    <row r="29" spans="1:18" s="6" customFormat="1" ht="48" hidden="1" customHeight="1">
      <c r="A29" s="149">
        <v>17120</v>
      </c>
      <c r="B29" s="208" t="s">
        <v>219</v>
      </c>
      <c r="C29" s="106"/>
      <c r="D29" s="107">
        <v>0</v>
      </c>
      <c r="E29" s="233"/>
      <c r="F29" s="233"/>
      <c r="G29" s="233"/>
      <c r="H29" s="232">
        <f t="shared" si="1"/>
        <v>0</v>
      </c>
      <c r="I29" s="233">
        <v>0</v>
      </c>
      <c r="J29" s="233"/>
      <c r="K29" s="233"/>
      <c r="L29" s="233"/>
      <c r="M29" s="232">
        <f t="shared" si="3"/>
        <v>0</v>
      </c>
      <c r="N29" s="233">
        <v>0</v>
      </c>
      <c r="O29" s="233"/>
      <c r="P29" s="233"/>
      <c r="Q29" s="233"/>
      <c r="R29" s="232">
        <f t="shared" si="5"/>
        <v>0</v>
      </c>
    </row>
    <row r="30" spans="1:18" s="6" customFormat="1" ht="96" hidden="1" customHeight="1">
      <c r="A30" s="149">
        <v>17130</v>
      </c>
      <c r="B30" s="208" t="s">
        <v>220</v>
      </c>
      <c r="C30" s="106"/>
      <c r="D30" s="107">
        <v>0</v>
      </c>
      <c r="E30" s="233"/>
      <c r="F30" s="233"/>
      <c r="G30" s="233"/>
      <c r="H30" s="232">
        <f t="shared" si="1"/>
        <v>0</v>
      </c>
      <c r="I30" s="233">
        <v>0</v>
      </c>
      <c r="J30" s="233"/>
      <c r="K30" s="233"/>
      <c r="L30" s="233"/>
      <c r="M30" s="232">
        <f t="shared" si="3"/>
        <v>0</v>
      </c>
      <c r="N30" s="233">
        <v>0</v>
      </c>
      <c r="O30" s="233"/>
      <c r="P30" s="233"/>
      <c r="Q30" s="233"/>
      <c r="R30" s="232">
        <f t="shared" si="5"/>
        <v>0</v>
      </c>
    </row>
    <row r="31" spans="1:18" s="6" customFormat="1" ht="96" hidden="1" customHeight="1">
      <c r="A31" s="149">
        <v>17140</v>
      </c>
      <c r="B31" s="208" t="s">
        <v>221</v>
      </c>
      <c r="C31" s="106"/>
      <c r="D31" s="107">
        <v>0</v>
      </c>
      <c r="E31" s="233"/>
      <c r="F31" s="233"/>
      <c r="G31" s="233"/>
      <c r="H31" s="232">
        <f t="shared" si="1"/>
        <v>0</v>
      </c>
      <c r="I31" s="233">
        <v>0</v>
      </c>
      <c r="J31" s="233"/>
      <c r="K31" s="233"/>
      <c r="L31" s="233"/>
      <c r="M31" s="232">
        <f t="shared" si="3"/>
        <v>0</v>
      </c>
      <c r="N31" s="233">
        <v>0</v>
      </c>
      <c r="O31" s="233"/>
      <c r="P31" s="233"/>
      <c r="Q31" s="233"/>
      <c r="R31" s="232">
        <f t="shared" si="5"/>
        <v>0</v>
      </c>
    </row>
    <row r="32" spans="1:18" s="6" customFormat="1" ht="12">
      <c r="A32" s="137">
        <v>21700</v>
      </c>
      <c r="B32" s="124" t="s">
        <v>97</v>
      </c>
      <c r="C32" s="170">
        <v>210694805</v>
      </c>
      <c r="D32" s="171">
        <v>210694805</v>
      </c>
      <c r="E32" s="233">
        <f>E33+E34</f>
        <v>0</v>
      </c>
      <c r="F32" s="233">
        <f t="shared" ref="F32:G32" si="24">F33+F34</f>
        <v>0</v>
      </c>
      <c r="G32" s="233">
        <f t="shared" si="24"/>
        <v>5174895</v>
      </c>
      <c r="H32" s="232">
        <f t="shared" si="1"/>
        <v>215869700</v>
      </c>
      <c r="I32" s="233">
        <v>210694805</v>
      </c>
      <c r="J32" s="233">
        <f>J33+J34</f>
        <v>0</v>
      </c>
      <c r="K32" s="233">
        <f t="shared" ref="K32:L32" si="25">K33+K34</f>
        <v>0</v>
      </c>
      <c r="L32" s="233">
        <f t="shared" si="25"/>
        <v>11734895</v>
      </c>
      <c r="M32" s="232">
        <f t="shared" si="3"/>
        <v>222429700</v>
      </c>
      <c r="N32" s="233">
        <v>210694805</v>
      </c>
      <c r="O32" s="233">
        <f>O33+O34</f>
        <v>0</v>
      </c>
      <c r="P32" s="233">
        <f t="shared" ref="P32:Q32" si="26">P33+P34</f>
        <v>0</v>
      </c>
      <c r="Q32" s="233">
        <f t="shared" si="26"/>
        <v>11734895</v>
      </c>
      <c r="R32" s="232">
        <f t="shared" si="5"/>
        <v>222429700</v>
      </c>
    </row>
    <row r="33" spans="1:18" s="6" customFormat="1" ht="24">
      <c r="A33" s="138">
        <v>21710</v>
      </c>
      <c r="B33" s="125" t="s">
        <v>98</v>
      </c>
      <c r="C33" s="170">
        <v>210694805</v>
      </c>
      <c r="D33" s="171">
        <v>210694805</v>
      </c>
      <c r="E33" s="233"/>
      <c r="F33" s="233"/>
      <c r="G33" s="233">
        <f>G35</f>
        <v>5174895</v>
      </c>
      <c r="H33" s="232">
        <f t="shared" si="1"/>
        <v>215869700</v>
      </c>
      <c r="I33" s="233">
        <v>210694805</v>
      </c>
      <c r="J33" s="233"/>
      <c r="K33" s="233"/>
      <c r="L33" s="233">
        <f>L35</f>
        <v>11734895</v>
      </c>
      <c r="M33" s="232">
        <f t="shared" si="3"/>
        <v>222429700</v>
      </c>
      <c r="N33" s="233">
        <v>210694805</v>
      </c>
      <c r="O33" s="233"/>
      <c r="P33" s="233"/>
      <c r="Q33" s="233">
        <f>Q35</f>
        <v>11734895</v>
      </c>
      <c r="R33" s="232">
        <f t="shared" si="5"/>
        <v>222429700</v>
      </c>
    </row>
    <row r="34" spans="1:18" s="6" customFormat="1" ht="24" hidden="1" customHeight="1">
      <c r="A34" s="138">
        <v>21720</v>
      </c>
      <c r="B34" s="125" t="s">
        <v>99</v>
      </c>
      <c r="C34" s="170">
        <v>0</v>
      </c>
      <c r="D34" s="171">
        <v>0</v>
      </c>
      <c r="E34" s="233"/>
      <c r="F34" s="233"/>
      <c r="G34" s="233"/>
      <c r="H34" s="232">
        <f t="shared" si="1"/>
        <v>0</v>
      </c>
      <c r="I34" s="233">
        <v>0</v>
      </c>
      <c r="J34" s="233"/>
      <c r="K34" s="233"/>
      <c r="L34" s="233"/>
      <c r="M34" s="232">
        <f t="shared" si="3"/>
        <v>0</v>
      </c>
      <c r="N34" s="233">
        <v>0</v>
      </c>
      <c r="O34" s="233"/>
      <c r="P34" s="233"/>
      <c r="Q34" s="233"/>
      <c r="R34" s="232">
        <f t="shared" si="5"/>
        <v>0</v>
      </c>
    </row>
    <row r="35" spans="1:18" s="6" customFormat="1" ht="11.4">
      <c r="A35" s="129" t="s">
        <v>100</v>
      </c>
      <c r="B35" s="123" t="s">
        <v>101</v>
      </c>
      <c r="C35" s="168">
        <v>210694805</v>
      </c>
      <c r="D35" s="175">
        <v>210694805</v>
      </c>
      <c r="E35" s="243">
        <f t="shared" ref="E35:G35" si="27">E36+E63</f>
        <v>0</v>
      </c>
      <c r="F35" s="243">
        <f t="shared" si="27"/>
        <v>0</v>
      </c>
      <c r="G35" s="243">
        <f t="shared" si="27"/>
        <v>5174895</v>
      </c>
      <c r="H35" s="229">
        <f t="shared" si="1"/>
        <v>215869700</v>
      </c>
      <c r="I35" s="243">
        <v>210694805</v>
      </c>
      <c r="J35" s="243">
        <f t="shared" ref="J35:L35" si="28">J36+J63</f>
        <v>0</v>
      </c>
      <c r="K35" s="243">
        <f t="shared" si="28"/>
        <v>0</v>
      </c>
      <c r="L35" s="243">
        <f t="shared" si="28"/>
        <v>11734895</v>
      </c>
      <c r="M35" s="229">
        <f t="shared" si="3"/>
        <v>222429700</v>
      </c>
      <c r="N35" s="243">
        <v>210694805</v>
      </c>
      <c r="O35" s="243">
        <f t="shared" ref="O35:Q35" si="29">O36+O63</f>
        <v>0</v>
      </c>
      <c r="P35" s="243">
        <f t="shared" si="29"/>
        <v>0</v>
      </c>
      <c r="Q35" s="243">
        <f t="shared" si="29"/>
        <v>11734895</v>
      </c>
      <c r="R35" s="229">
        <f t="shared" si="5"/>
        <v>222429700</v>
      </c>
    </row>
    <row r="36" spans="1:18" s="6" customFormat="1" ht="20.399999999999999">
      <c r="A36" s="130" t="s">
        <v>102</v>
      </c>
      <c r="B36" s="124" t="s">
        <v>103</v>
      </c>
      <c r="C36" s="170">
        <v>210694805</v>
      </c>
      <c r="D36" s="171">
        <v>210694805</v>
      </c>
      <c r="E36" s="233">
        <f>E37+E41+E42+E45+E48</f>
        <v>0</v>
      </c>
      <c r="F36" s="233">
        <f t="shared" ref="F36:G36" si="30">F37+F41+F42+F45+F48</f>
        <v>0</v>
      </c>
      <c r="G36" s="233">
        <f t="shared" si="30"/>
        <v>5174895</v>
      </c>
      <c r="H36" s="232">
        <f t="shared" si="1"/>
        <v>215869700</v>
      </c>
      <c r="I36" s="233">
        <v>210694805</v>
      </c>
      <c r="J36" s="233">
        <f>J37+J41+J42+J45+J48</f>
        <v>0</v>
      </c>
      <c r="K36" s="233">
        <f t="shared" ref="K36:L36" si="31">K37+K41+K42+K45+K48</f>
        <v>0</v>
      </c>
      <c r="L36" s="233">
        <f t="shared" si="31"/>
        <v>11734895</v>
      </c>
      <c r="M36" s="232">
        <f t="shared" si="3"/>
        <v>222429700</v>
      </c>
      <c r="N36" s="233">
        <v>210694805</v>
      </c>
      <c r="O36" s="233">
        <f>O37+O41+O42+O45+O48</f>
        <v>0</v>
      </c>
      <c r="P36" s="233">
        <f t="shared" ref="P36:Q36" si="32">P37+P41+P42+P45+P48</f>
        <v>0</v>
      </c>
      <c r="Q36" s="233">
        <f t="shared" si="32"/>
        <v>11734895</v>
      </c>
      <c r="R36" s="232">
        <f t="shared" si="5"/>
        <v>222429700</v>
      </c>
    </row>
    <row r="37" spans="1:18" s="6" customFormat="1" ht="12" hidden="1" customHeight="1">
      <c r="A37" s="130" t="s">
        <v>104</v>
      </c>
      <c r="B37" s="124" t="s">
        <v>105</v>
      </c>
      <c r="C37" s="170">
        <v>0</v>
      </c>
      <c r="D37" s="171">
        <v>0</v>
      </c>
      <c r="E37" s="233">
        <f>E38+E40</f>
        <v>0</v>
      </c>
      <c r="F37" s="233">
        <f t="shared" ref="F37:G37" si="33">F38+F40</f>
        <v>0</v>
      </c>
      <c r="G37" s="233">
        <f t="shared" si="33"/>
        <v>0</v>
      </c>
      <c r="H37" s="232">
        <f t="shared" si="1"/>
        <v>0</v>
      </c>
      <c r="I37" s="233">
        <v>0</v>
      </c>
      <c r="J37" s="233">
        <f>J38+J40</f>
        <v>0</v>
      </c>
      <c r="K37" s="233">
        <f t="shared" ref="K37:L37" si="34">K38+K40</f>
        <v>0</v>
      </c>
      <c r="L37" s="233">
        <f t="shared" si="34"/>
        <v>0</v>
      </c>
      <c r="M37" s="232">
        <f t="shared" si="3"/>
        <v>0</v>
      </c>
      <c r="N37" s="233">
        <v>0</v>
      </c>
      <c r="O37" s="233">
        <f>O38+O40</f>
        <v>0</v>
      </c>
      <c r="P37" s="233">
        <f t="shared" ref="P37:Q37" si="35">P38+P40</f>
        <v>0</v>
      </c>
      <c r="Q37" s="233">
        <f t="shared" si="35"/>
        <v>0</v>
      </c>
      <c r="R37" s="232">
        <f t="shared" si="5"/>
        <v>0</v>
      </c>
    </row>
    <row r="38" spans="1:18" s="6" customFormat="1" ht="12" hidden="1" customHeight="1">
      <c r="A38" s="132">
        <v>1000</v>
      </c>
      <c r="B38" s="125" t="s">
        <v>106</v>
      </c>
      <c r="C38" s="170">
        <v>0</v>
      </c>
      <c r="D38" s="176">
        <v>0</v>
      </c>
      <c r="E38" s="244"/>
      <c r="F38" s="244"/>
      <c r="G38" s="244"/>
      <c r="H38" s="232">
        <f t="shared" si="1"/>
        <v>0</v>
      </c>
      <c r="I38" s="233">
        <v>0</v>
      </c>
      <c r="J38" s="244"/>
      <c r="K38" s="244"/>
      <c r="L38" s="244"/>
      <c r="M38" s="232">
        <f t="shared" si="3"/>
        <v>0</v>
      </c>
      <c r="N38" s="233">
        <v>0</v>
      </c>
      <c r="O38" s="244"/>
      <c r="P38" s="244"/>
      <c r="Q38" s="244"/>
      <c r="R38" s="232">
        <f t="shared" si="5"/>
        <v>0</v>
      </c>
    </row>
    <row r="39" spans="1:18" s="6" customFormat="1" ht="12" hidden="1" customHeight="1">
      <c r="A39" s="139">
        <v>1100</v>
      </c>
      <c r="B39" s="125" t="s">
        <v>107</v>
      </c>
      <c r="C39" s="170">
        <v>0</v>
      </c>
      <c r="D39" s="176">
        <v>0</v>
      </c>
      <c r="E39" s="244"/>
      <c r="F39" s="244"/>
      <c r="G39" s="244"/>
      <c r="H39" s="232">
        <f t="shared" si="1"/>
        <v>0</v>
      </c>
      <c r="I39" s="233">
        <v>0</v>
      </c>
      <c r="J39" s="244"/>
      <c r="K39" s="244"/>
      <c r="L39" s="244"/>
      <c r="M39" s="232">
        <f t="shared" si="3"/>
        <v>0</v>
      </c>
      <c r="N39" s="233">
        <v>0</v>
      </c>
      <c r="O39" s="244"/>
      <c r="P39" s="244"/>
      <c r="Q39" s="244"/>
      <c r="R39" s="232">
        <f t="shared" si="5"/>
        <v>0</v>
      </c>
    </row>
    <row r="40" spans="1:18" s="6" customFormat="1" ht="12" hidden="1" customHeight="1">
      <c r="A40" s="132">
        <v>2000</v>
      </c>
      <c r="B40" s="125" t="s">
        <v>108</v>
      </c>
      <c r="C40" s="170">
        <v>0</v>
      </c>
      <c r="D40" s="176">
        <v>0</v>
      </c>
      <c r="E40" s="244"/>
      <c r="F40" s="244"/>
      <c r="G40" s="244"/>
      <c r="H40" s="232">
        <f t="shared" si="1"/>
        <v>0</v>
      </c>
      <c r="I40" s="233">
        <v>0</v>
      </c>
      <c r="J40" s="244"/>
      <c r="K40" s="244"/>
      <c r="L40" s="244"/>
      <c r="M40" s="232">
        <f t="shared" si="3"/>
        <v>0</v>
      </c>
      <c r="N40" s="233">
        <v>0</v>
      </c>
      <c r="O40" s="244"/>
      <c r="P40" s="244"/>
      <c r="Q40" s="244"/>
      <c r="R40" s="232">
        <f t="shared" si="5"/>
        <v>0</v>
      </c>
    </row>
    <row r="41" spans="1:18" s="6" customFormat="1" ht="12" hidden="1" customHeight="1">
      <c r="A41" s="140">
        <v>4000</v>
      </c>
      <c r="B41" s="124" t="s">
        <v>132</v>
      </c>
      <c r="C41" s="170">
        <v>0</v>
      </c>
      <c r="D41" s="176">
        <v>0</v>
      </c>
      <c r="E41" s="244"/>
      <c r="F41" s="244"/>
      <c r="G41" s="244"/>
      <c r="H41" s="232">
        <f t="shared" si="1"/>
        <v>0</v>
      </c>
      <c r="I41" s="233">
        <v>0</v>
      </c>
      <c r="J41" s="244"/>
      <c r="K41" s="244"/>
      <c r="L41" s="244"/>
      <c r="M41" s="232">
        <f t="shared" si="3"/>
        <v>0</v>
      </c>
      <c r="N41" s="233">
        <v>0</v>
      </c>
      <c r="O41" s="244"/>
      <c r="P41" s="244"/>
      <c r="Q41" s="244"/>
      <c r="R41" s="232">
        <f t="shared" si="5"/>
        <v>0</v>
      </c>
    </row>
    <row r="42" spans="1:18" s="6" customFormat="1" ht="12" hidden="1" customHeight="1">
      <c r="A42" s="140" t="s">
        <v>109</v>
      </c>
      <c r="B42" s="124" t="s">
        <v>110</v>
      </c>
      <c r="C42" s="170">
        <v>0</v>
      </c>
      <c r="D42" s="171">
        <v>0</v>
      </c>
      <c r="E42" s="233">
        <f>E43+E44</f>
        <v>0</v>
      </c>
      <c r="F42" s="233">
        <f t="shared" ref="F42:G42" si="36">F43+F44</f>
        <v>0</v>
      </c>
      <c r="G42" s="233">
        <f t="shared" si="36"/>
        <v>0</v>
      </c>
      <c r="H42" s="232">
        <f t="shared" si="1"/>
        <v>0</v>
      </c>
      <c r="I42" s="233">
        <v>0</v>
      </c>
      <c r="J42" s="233">
        <f>J43+J44</f>
        <v>0</v>
      </c>
      <c r="K42" s="233">
        <f t="shared" ref="K42:L42" si="37">K43+K44</f>
        <v>0</v>
      </c>
      <c r="L42" s="233">
        <f t="shared" si="37"/>
        <v>0</v>
      </c>
      <c r="M42" s="232">
        <f t="shared" si="3"/>
        <v>0</v>
      </c>
      <c r="N42" s="233">
        <v>0</v>
      </c>
      <c r="O42" s="233">
        <f>O43+O44</f>
        <v>0</v>
      </c>
      <c r="P42" s="233">
        <f t="shared" ref="P42:Q42" si="38">P43+P44</f>
        <v>0</v>
      </c>
      <c r="Q42" s="233">
        <f t="shared" si="38"/>
        <v>0</v>
      </c>
      <c r="R42" s="232">
        <f t="shared" si="5"/>
        <v>0</v>
      </c>
    </row>
    <row r="43" spans="1:18" s="6" customFormat="1" ht="12" hidden="1" customHeight="1">
      <c r="A43" s="132">
        <v>3000</v>
      </c>
      <c r="B43" s="125" t="s">
        <v>111</v>
      </c>
      <c r="C43" s="202">
        <v>0</v>
      </c>
      <c r="D43" s="177">
        <v>0</v>
      </c>
      <c r="E43" s="246"/>
      <c r="F43" s="246"/>
      <c r="G43" s="246"/>
      <c r="H43" s="232">
        <f t="shared" si="1"/>
        <v>0</v>
      </c>
      <c r="I43" s="345">
        <v>0</v>
      </c>
      <c r="J43" s="246"/>
      <c r="K43" s="246"/>
      <c r="L43" s="246"/>
      <c r="M43" s="232">
        <f t="shared" si="3"/>
        <v>0</v>
      </c>
      <c r="N43" s="345">
        <v>0</v>
      </c>
      <c r="O43" s="246"/>
      <c r="P43" s="246"/>
      <c r="Q43" s="246"/>
      <c r="R43" s="232">
        <f t="shared" si="5"/>
        <v>0</v>
      </c>
    </row>
    <row r="44" spans="1:18" s="6" customFormat="1" ht="12" hidden="1" customHeight="1">
      <c r="A44" s="132">
        <v>6000</v>
      </c>
      <c r="B44" s="125" t="s">
        <v>112</v>
      </c>
      <c r="C44" s="203">
        <v>0</v>
      </c>
      <c r="D44" s="178">
        <v>0</v>
      </c>
      <c r="E44" s="248"/>
      <c r="F44" s="248"/>
      <c r="G44" s="248"/>
      <c r="H44" s="232">
        <f t="shared" si="1"/>
        <v>0</v>
      </c>
      <c r="I44" s="346">
        <v>0</v>
      </c>
      <c r="J44" s="248"/>
      <c r="K44" s="248"/>
      <c r="L44" s="248"/>
      <c r="M44" s="232">
        <f t="shared" si="3"/>
        <v>0</v>
      </c>
      <c r="N44" s="346">
        <v>0</v>
      </c>
      <c r="O44" s="248"/>
      <c r="P44" s="248"/>
      <c r="Q44" s="248"/>
      <c r="R44" s="232">
        <f t="shared" si="5"/>
        <v>0</v>
      </c>
    </row>
    <row r="45" spans="1:18" s="6" customFormat="1" ht="24" hidden="1" customHeight="1">
      <c r="A45" s="140" t="s">
        <v>113</v>
      </c>
      <c r="B45" s="124" t="s">
        <v>183</v>
      </c>
      <c r="C45" s="170">
        <v>0</v>
      </c>
      <c r="D45" s="171">
        <v>0</v>
      </c>
      <c r="E45" s="233">
        <f>E46+E47</f>
        <v>0</v>
      </c>
      <c r="F45" s="233">
        <f t="shared" ref="F45:G45" si="39">F46+F47</f>
        <v>0</v>
      </c>
      <c r="G45" s="233">
        <f t="shared" si="39"/>
        <v>0</v>
      </c>
      <c r="H45" s="232">
        <f t="shared" si="1"/>
        <v>0</v>
      </c>
      <c r="I45" s="233">
        <v>0</v>
      </c>
      <c r="J45" s="233">
        <f>J46+J47</f>
        <v>0</v>
      </c>
      <c r="K45" s="233">
        <f t="shared" ref="K45:L45" si="40">K46+K47</f>
        <v>0</v>
      </c>
      <c r="L45" s="233">
        <f t="shared" si="40"/>
        <v>0</v>
      </c>
      <c r="M45" s="232">
        <f t="shared" si="3"/>
        <v>0</v>
      </c>
      <c r="N45" s="233">
        <v>0</v>
      </c>
      <c r="O45" s="233">
        <f>O46+O47</f>
        <v>0</v>
      </c>
      <c r="P45" s="233">
        <f t="shared" ref="P45:Q45" si="41">P46+P47</f>
        <v>0</v>
      </c>
      <c r="Q45" s="233">
        <f t="shared" si="41"/>
        <v>0</v>
      </c>
      <c r="R45" s="232">
        <f t="shared" si="5"/>
        <v>0</v>
      </c>
    </row>
    <row r="46" spans="1:18" s="6" customFormat="1" ht="12" hidden="1" customHeight="1">
      <c r="A46" s="132">
        <v>7600</v>
      </c>
      <c r="B46" s="179" t="s">
        <v>184</v>
      </c>
      <c r="C46" s="170">
        <v>0</v>
      </c>
      <c r="D46" s="176">
        <v>0</v>
      </c>
      <c r="E46" s="244"/>
      <c r="F46" s="244"/>
      <c r="G46" s="244"/>
      <c r="H46" s="232">
        <f t="shared" si="1"/>
        <v>0</v>
      </c>
      <c r="I46" s="233">
        <v>0</v>
      </c>
      <c r="J46" s="244"/>
      <c r="K46" s="244"/>
      <c r="L46" s="244"/>
      <c r="M46" s="232">
        <f t="shared" si="3"/>
        <v>0</v>
      </c>
      <c r="N46" s="233">
        <v>0</v>
      </c>
      <c r="O46" s="244"/>
      <c r="P46" s="244"/>
      <c r="Q46" s="244"/>
      <c r="R46" s="232">
        <f t="shared" si="5"/>
        <v>0</v>
      </c>
    </row>
    <row r="47" spans="1:18" s="6" customFormat="1" ht="12" hidden="1" customHeight="1">
      <c r="A47" s="132">
        <v>7700</v>
      </c>
      <c r="B47" s="126" t="s">
        <v>114</v>
      </c>
      <c r="C47" s="170">
        <v>0</v>
      </c>
      <c r="D47" s="176">
        <v>0</v>
      </c>
      <c r="E47" s="244"/>
      <c r="F47" s="244"/>
      <c r="G47" s="244"/>
      <c r="H47" s="232">
        <f t="shared" si="1"/>
        <v>0</v>
      </c>
      <c r="I47" s="233">
        <v>0</v>
      </c>
      <c r="J47" s="244"/>
      <c r="K47" s="244"/>
      <c r="L47" s="244"/>
      <c r="M47" s="232">
        <f t="shared" si="3"/>
        <v>0</v>
      </c>
      <c r="N47" s="233">
        <v>0</v>
      </c>
      <c r="O47" s="244"/>
      <c r="P47" s="244"/>
      <c r="Q47" s="244"/>
      <c r="R47" s="232">
        <f t="shared" si="5"/>
        <v>0</v>
      </c>
    </row>
    <row r="48" spans="1:18" s="6" customFormat="1" ht="20.399999999999999">
      <c r="A48" s="140" t="s">
        <v>185</v>
      </c>
      <c r="B48" s="124" t="s">
        <v>115</v>
      </c>
      <c r="C48" s="170">
        <v>210694805</v>
      </c>
      <c r="D48" s="171">
        <v>210694805</v>
      </c>
      <c r="E48" s="233">
        <f t="shared" ref="E48:G48" si="42">E49+E55+E59+E62</f>
        <v>0</v>
      </c>
      <c r="F48" s="233">
        <f t="shared" si="42"/>
        <v>0</v>
      </c>
      <c r="G48" s="233">
        <f t="shared" si="42"/>
        <v>5174895</v>
      </c>
      <c r="H48" s="232">
        <f t="shared" si="1"/>
        <v>215869700</v>
      </c>
      <c r="I48" s="233">
        <v>210694805</v>
      </c>
      <c r="J48" s="233">
        <f t="shared" ref="J48:L48" si="43">J49+J55+J59+J62</f>
        <v>0</v>
      </c>
      <c r="K48" s="233">
        <f t="shared" si="43"/>
        <v>0</v>
      </c>
      <c r="L48" s="233">
        <f t="shared" si="43"/>
        <v>11734895</v>
      </c>
      <c r="M48" s="232">
        <f t="shared" si="3"/>
        <v>222429700</v>
      </c>
      <c r="N48" s="233">
        <v>210694805</v>
      </c>
      <c r="O48" s="233">
        <f t="shared" ref="O48:Q48" si="44">O49+O55+O59+O62</f>
        <v>0</v>
      </c>
      <c r="P48" s="233">
        <f t="shared" si="44"/>
        <v>0</v>
      </c>
      <c r="Q48" s="233">
        <f t="shared" si="44"/>
        <v>11734895</v>
      </c>
      <c r="R48" s="232">
        <f t="shared" si="5"/>
        <v>222429700</v>
      </c>
    </row>
    <row r="49" spans="1:18" s="6" customFormat="1" ht="12" hidden="1" customHeight="1">
      <c r="A49" s="132">
        <v>7100</v>
      </c>
      <c r="B49" s="179" t="s">
        <v>116</v>
      </c>
      <c r="C49" s="170">
        <v>0</v>
      </c>
      <c r="D49" s="171">
        <v>0</v>
      </c>
      <c r="E49" s="233">
        <f>E50+E51</f>
        <v>0</v>
      </c>
      <c r="F49" s="233">
        <f t="shared" ref="F49:G49" si="45">F50+F51</f>
        <v>0</v>
      </c>
      <c r="G49" s="233">
        <f t="shared" si="45"/>
        <v>0</v>
      </c>
      <c r="H49" s="232">
        <f t="shared" si="1"/>
        <v>0</v>
      </c>
      <c r="I49" s="233">
        <v>0</v>
      </c>
      <c r="J49" s="233">
        <f>J50+J51</f>
        <v>0</v>
      </c>
      <c r="K49" s="233">
        <f t="shared" ref="K49:L49" si="46">K50+K51</f>
        <v>0</v>
      </c>
      <c r="L49" s="233">
        <f t="shared" si="46"/>
        <v>0</v>
      </c>
      <c r="M49" s="232">
        <f t="shared" si="3"/>
        <v>0</v>
      </c>
      <c r="N49" s="233">
        <v>0</v>
      </c>
      <c r="O49" s="233">
        <f>O50+O51</f>
        <v>0</v>
      </c>
      <c r="P49" s="233">
        <f t="shared" ref="P49:Q49" si="47">P50+P51</f>
        <v>0</v>
      </c>
      <c r="Q49" s="233">
        <f t="shared" si="47"/>
        <v>0</v>
      </c>
      <c r="R49" s="232">
        <f t="shared" si="5"/>
        <v>0</v>
      </c>
    </row>
    <row r="50" spans="1:18" s="6" customFormat="1" ht="24" hidden="1" customHeight="1">
      <c r="A50" s="133" t="s">
        <v>117</v>
      </c>
      <c r="B50" s="179" t="s">
        <v>118</v>
      </c>
      <c r="C50" s="170">
        <v>0</v>
      </c>
      <c r="D50" s="171">
        <v>0</v>
      </c>
      <c r="E50" s="233"/>
      <c r="F50" s="233"/>
      <c r="G50" s="233"/>
      <c r="H50" s="232">
        <f t="shared" si="1"/>
        <v>0</v>
      </c>
      <c r="I50" s="233">
        <v>0</v>
      </c>
      <c r="J50" s="233"/>
      <c r="K50" s="233"/>
      <c r="L50" s="233"/>
      <c r="M50" s="232">
        <f t="shared" si="3"/>
        <v>0</v>
      </c>
      <c r="N50" s="233">
        <v>0</v>
      </c>
      <c r="O50" s="233"/>
      <c r="P50" s="233"/>
      <c r="Q50" s="233"/>
      <c r="R50" s="232">
        <f t="shared" si="5"/>
        <v>0</v>
      </c>
    </row>
    <row r="51" spans="1:18" s="6" customFormat="1" ht="24" hidden="1" customHeight="1">
      <c r="A51" s="133">
        <v>7130</v>
      </c>
      <c r="B51" s="179" t="s">
        <v>119</v>
      </c>
      <c r="C51" s="170">
        <v>0</v>
      </c>
      <c r="D51" s="171">
        <v>0</v>
      </c>
      <c r="E51" s="233">
        <f>SUM(E52:E54)</f>
        <v>0</v>
      </c>
      <c r="F51" s="233">
        <f t="shared" ref="F51:G51" si="48">SUM(F52:F54)</f>
        <v>0</v>
      </c>
      <c r="G51" s="233">
        <f t="shared" si="48"/>
        <v>0</v>
      </c>
      <c r="H51" s="232">
        <f t="shared" si="1"/>
        <v>0</v>
      </c>
      <c r="I51" s="233">
        <v>0</v>
      </c>
      <c r="J51" s="233">
        <f>SUM(J52:J54)</f>
        <v>0</v>
      </c>
      <c r="K51" s="233">
        <f t="shared" ref="K51:L51" si="49">SUM(K52:K54)</f>
        <v>0</v>
      </c>
      <c r="L51" s="233">
        <f t="shared" si="49"/>
        <v>0</v>
      </c>
      <c r="M51" s="232">
        <f t="shared" si="3"/>
        <v>0</v>
      </c>
      <c r="N51" s="233">
        <v>0</v>
      </c>
      <c r="O51" s="233">
        <f>SUM(O52:O54)</f>
        <v>0</v>
      </c>
      <c r="P51" s="233">
        <f t="shared" ref="P51:Q51" si="50">SUM(P52:P54)</f>
        <v>0</v>
      </c>
      <c r="Q51" s="233">
        <f t="shared" si="50"/>
        <v>0</v>
      </c>
      <c r="R51" s="232">
        <f t="shared" si="5"/>
        <v>0</v>
      </c>
    </row>
    <row r="52" spans="1:18" s="6" customFormat="1" ht="36" hidden="1" customHeight="1">
      <c r="A52" s="134">
        <v>7131</v>
      </c>
      <c r="B52" s="179" t="s">
        <v>120</v>
      </c>
      <c r="C52" s="170">
        <v>0</v>
      </c>
      <c r="D52" s="171">
        <v>0</v>
      </c>
      <c r="E52" s="233"/>
      <c r="F52" s="233"/>
      <c r="G52" s="233"/>
      <c r="H52" s="232">
        <f t="shared" si="1"/>
        <v>0</v>
      </c>
      <c r="I52" s="233">
        <v>0</v>
      </c>
      <c r="J52" s="233"/>
      <c r="K52" s="233"/>
      <c r="L52" s="233"/>
      <c r="M52" s="232">
        <f t="shared" si="3"/>
        <v>0</v>
      </c>
      <c r="N52" s="233">
        <v>0</v>
      </c>
      <c r="O52" s="233"/>
      <c r="P52" s="233"/>
      <c r="Q52" s="233"/>
      <c r="R52" s="232">
        <f t="shared" si="5"/>
        <v>0</v>
      </c>
    </row>
    <row r="53" spans="1:18" s="6" customFormat="1" ht="36" hidden="1" customHeight="1">
      <c r="A53" s="134">
        <v>7132</v>
      </c>
      <c r="B53" s="179" t="s">
        <v>121</v>
      </c>
      <c r="C53" s="170">
        <v>0</v>
      </c>
      <c r="D53" s="171">
        <v>0</v>
      </c>
      <c r="E53" s="233"/>
      <c r="F53" s="233"/>
      <c r="G53" s="233"/>
      <c r="H53" s="232">
        <f t="shared" si="1"/>
        <v>0</v>
      </c>
      <c r="I53" s="233">
        <v>0</v>
      </c>
      <c r="J53" s="233"/>
      <c r="K53" s="233"/>
      <c r="L53" s="233"/>
      <c r="M53" s="232">
        <f t="shared" si="3"/>
        <v>0</v>
      </c>
      <c r="N53" s="233">
        <v>0</v>
      </c>
      <c r="O53" s="233"/>
      <c r="P53" s="233"/>
      <c r="Q53" s="233"/>
      <c r="R53" s="232">
        <f t="shared" si="5"/>
        <v>0</v>
      </c>
    </row>
    <row r="54" spans="1:18" s="6" customFormat="1" ht="24" hidden="1" customHeight="1">
      <c r="A54" s="134" t="s">
        <v>186</v>
      </c>
      <c r="B54" s="179" t="s">
        <v>187</v>
      </c>
      <c r="C54" s="170">
        <v>0</v>
      </c>
      <c r="D54" s="171">
        <v>0</v>
      </c>
      <c r="E54" s="233"/>
      <c r="F54" s="233"/>
      <c r="G54" s="233"/>
      <c r="H54" s="232">
        <f t="shared" si="1"/>
        <v>0</v>
      </c>
      <c r="I54" s="233">
        <v>0</v>
      </c>
      <c r="J54" s="233"/>
      <c r="K54" s="233"/>
      <c r="L54" s="233"/>
      <c r="M54" s="232">
        <f t="shared" si="3"/>
        <v>0</v>
      </c>
      <c r="N54" s="233">
        <v>0</v>
      </c>
      <c r="O54" s="233"/>
      <c r="P54" s="233"/>
      <c r="Q54" s="233"/>
      <c r="R54" s="232">
        <f t="shared" si="5"/>
        <v>0</v>
      </c>
    </row>
    <row r="55" spans="1:18" s="6" customFormat="1" ht="24">
      <c r="A55" s="132">
        <v>7300</v>
      </c>
      <c r="B55" s="172" t="s">
        <v>155</v>
      </c>
      <c r="C55" s="170">
        <v>210694805</v>
      </c>
      <c r="D55" s="171">
        <v>210694805</v>
      </c>
      <c r="E55" s="233">
        <f>SUM(E56:E58)</f>
        <v>0</v>
      </c>
      <c r="F55" s="233">
        <f t="shared" ref="F55:G55" si="51">SUM(F56:F58)</f>
        <v>0</v>
      </c>
      <c r="G55" s="233">
        <f t="shared" si="51"/>
        <v>5174895</v>
      </c>
      <c r="H55" s="232">
        <f t="shared" si="1"/>
        <v>215869700</v>
      </c>
      <c r="I55" s="233">
        <v>210694805</v>
      </c>
      <c r="J55" s="233">
        <f>SUM(J56:J58)</f>
        <v>0</v>
      </c>
      <c r="K55" s="233">
        <f t="shared" ref="K55:L55" si="52">SUM(K56:K58)</f>
        <v>0</v>
      </c>
      <c r="L55" s="233">
        <f t="shared" si="52"/>
        <v>11734895</v>
      </c>
      <c r="M55" s="232">
        <f t="shared" si="3"/>
        <v>222429700</v>
      </c>
      <c r="N55" s="233">
        <v>210694805</v>
      </c>
      <c r="O55" s="233">
        <f>SUM(O56:O58)</f>
        <v>0</v>
      </c>
      <c r="P55" s="233">
        <f t="shared" ref="P55:Q55" si="53">SUM(P56:P58)</f>
        <v>0</v>
      </c>
      <c r="Q55" s="233">
        <f t="shared" si="53"/>
        <v>11734895</v>
      </c>
      <c r="R55" s="232">
        <f t="shared" si="5"/>
        <v>222429700</v>
      </c>
    </row>
    <row r="56" spans="1:18" s="6" customFormat="1" ht="24">
      <c r="A56" s="133" t="s">
        <v>188</v>
      </c>
      <c r="B56" s="179" t="s">
        <v>170</v>
      </c>
      <c r="C56" s="204">
        <v>210694805</v>
      </c>
      <c r="D56" s="180">
        <v>210694805</v>
      </c>
      <c r="E56" s="252"/>
      <c r="F56" s="252"/>
      <c r="G56" s="252">
        <f>G94</f>
        <v>5174895</v>
      </c>
      <c r="H56" s="232">
        <f t="shared" si="1"/>
        <v>215869700</v>
      </c>
      <c r="I56" s="252">
        <v>210694805</v>
      </c>
      <c r="J56" s="252"/>
      <c r="K56" s="252"/>
      <c r="L56" s="252">
        <f>L94</f>
        <v>11734895</v>
      </c>
      <c r="M56" s="232">
        <f t="shared" si="3"/>
        <v>222429700</v>
      </c>
      <c r="N56" s="252">
        <v>210694805</v>
      </c>
      <c r="O56" s="252"/>
      <c r="P56" s="252"/>
      <c r="Q56" s="252">
        <f>Q94</f>
        <v>11734895</v>
      </c>
      <c r="R56" s="232">
        <f t="shared" si="5"/>
        <v>222429700</v>
      </c>
    </row>
    <row r="57" spans="1:18" s="29" customFormat="1" ht="48" hidden="1" customHeight="1">
      <c r="A57" s="133" t="s">
        <v>189</v>
      </c>
      <c r="B57" s="179" t="s">
        <v>156</v>
      </c>
      <c r="C57" s="204">
        <v>0</v>
      </c>
      <c r="D57" s="180">
        <v>0</v>
      </c>
      <c r="E57" s="252"/>
      <c r="F57" s="252"/>
      <c r="G57" s="252"/>
      <c r="H57" s="232">
        <f t="shared" si="1"/>
        <v>0</v>
      </c>
      <c r="I57" s="252">
        <v>0</v>
      </c>
      <c r="J57" s="252"/>
      <c r="K57" s="252"/>
      <c r="L57" s="252"/>
      <c r="M57" s="232">
        <f t="shared" si="3"/>
        <v>0</v>
      </c>
      <c r="N57" s="252">
        <v>0</v>
      </c>
      <c r="O57" s="252"/>
      <c r="P57" s="252"/>
      <c r="Q57" s="252"/>
      <c r="R57" s="232">
        <f t="shared" si="5"/>
        <v>0</v>
      </c>
    </row>
    <row r="58" spans="1:18" s="89" customFormat="1" ht="36" hidden="1" customHeight="1">
      <c r="A58" s="133">
        <v>7350</v>
      </c>
      <c r="B58" s="179" t="s">
        <v>163</v>
      </c>
      <c r="C58" s="204">
        <v>0</v>
      </c>
      <c r="D58" s="180">
        <v>0</v>
      </c>
      <c r="E58" s="252"/>
      <c r="F58" s="252"/>
      <c r="G58" s="252"/>
      <c r="H58" s="232">
        <f t="shared" si="1"/>
        <v>0</v>
      </c>
      <c r="I58" s="252">
        <v>0</v>
      </c>
      <c r="J58" s="252"/>
      <c r="K58" s="252"/>
      <c r="L58" s="252"/>
      <c r="M58" s="232">
        <f t="shared" si="3"/>
        <v>0</v>
      </c>
      <c r="N58" s="252">
        <v>0</v>
      </c>
      <c r="O58" s="252"/>
      <c r="P58" s="252"/>
      <c r="Q58" s="252"/>
      <c r="R58" s="232">
        <f t="shared" si="5"/>
        <v>0</v>
      </c>
    </row>
    <row r="59" spans="1:18" s="89" customFormat="1" ht="24" hidden="1" customHeight="1">
      <c r="A59" s="132">
        <v>7400</v>
      </c>
      <c r="B59" s="172" t="s">
        <v>161</v>
      </c>
      <c r="C59" s="170">
        <v>0</v>
      </c>
      <c r="D59" s="171">
        <v>0</v>
      </c>
      <c r="E59" s="233">
        <f>SUM(E60:E61)</f>
        <v>0</v>
      </c>
      <c r="F59" s="233">
        <f t="shared" ref="F59:G59" si="54">SUM(F60:F61)</f>
        <v>0</v>
      </c>
      <c r="G59" s="233">
        <f t="shared" si="54"/>
        <v>0</v>
      </c>
      <c r="H59" s="232">
        <f t="shared" si="1"/>
        <v>0</v>
      </c>
      <c r="I59" s="233">
        <v>0</v>
      </c>
      <c r="J59" s="233">
        <f>SUM(J60:J61)</f>
        <v>0</v>
      </c>
      <c r="K59" s="233">
        <f t="shared" ref="K59:L59" si="55">SUM(K60:K61)</f>
        <v>0</v>
      </c>
      <c r="L59" s="233">
        <f t="shared" si="55"/>
        <v>0</v>
      </c>
      <c r="M59" s="232">
        <f t="shared" si="3"/>
        <v>0</v>
      </c>
      <c r="N59" s="233">
        <v>0</v>
      </c>
      <c r="O59" s="233">
        <f>SUM(O60:O61)</f>
        <v>0</v>
      </c>
      <c r="P59" s="233">
        <f t="shared" ref="P59:Q59" si="56">SUM(P60:P61)</f>
        <v>0</v>
      </c>
      <c r="Q59" s="233">
        <f t="shared" si="56"/>
        <v>0</v>
      </c>
      <c r="R59" s="232">
        <f t="shared" si="5"/>
        <v>0</v>
      </c>
    </row>
    <row r="60" spans="1:18" s="89" customFormat="1" ht="24" hidden="1" customHeight="1">
      <c r="A60" s="133">
        <v>7460</v>
      </c>
      <c r="B60" s="172" t="s">
        <v>162</v>
      </c>
      <c r="C60" s="204">
        <v>0</v>
      </c>
      <c r="D60" s="180">
        <v>0</v>
      </c>
      <c r="E60" s="252"/>
      <c r="F60" s="252"/>
      <c r="G60" s="252"/>
      <c r="H60" s="232">
        <f t="shared" si="1"/>
        <v>0</v>
      </c>
      <c r="I60" s="252">
        <v>0</v>
      </c>
      <c r="J60" s="252"/>
      <c r="K60" s="252"/>
      <c r="L60" s="252"/>
      <c r="M60" s="232">
        <f t="shared" si="3"/>
        <v>0</v>
      </c>
      <c r="N60" s="252">
        <v>0</v>
      </c>
      <c r="O60" s="252"/>
      <c r="P60" s="252"/>
      <c r="Q60" s="252"/>
      <c r="R60" s="232">
        <f t="shared" si="5"/>
        <v>0</v>
      </c>
    </row>
    <row r="61" spans="1:18" s="89" customFormat="1" ht="36" hidden="1" customHeight="1">
      <c r="A61" s="133">
        <v>7470</v>
      </c>
      <c r="B61" s="179" t="s">
        <v>167</v>
      </c>
      <c r="C61" s="204">
        <v>0</v>
      </c>
      <c r="D61" s="180">
        <v>0</v>
      </c>
      <c r="E61" s="252"/>
      <c r="F61" s="252"/>
      <c r="G61" s="252"/>
      <c r="H61" s="232">
        <f t="shared" si="1"/>
        <v>0</v>
      </c>
      <c r="I61" s="252">
        <v>0</v>
      </c>
      <c r="J61" s="252"/>
      <c r="K61" s="252"/>
      <c r="L61" s="252"/>
      <c r="M61" s="232">
        <f t="shared" si="3"/>
        <v>0</v>
      </c>
      <c r="N61" s="252">
        <v>0</v>
      </c>
      <c r="O61" s="252"/>
      <c r="P61" s="252"/>
      <c r="Q61" s="252"/>
      <c r="R61" s="232">
        <f t="shared" si="5"/>
        <v>0</v>
      </c>
    </row>
    <row r="62" spans="1:18" s="89" customFormat="1" ht="24" hidden="1" customHeight="1">
      <c r="A62" s="132">
        <v>7500</v>
      </c>
      <c r="B62" s="179" t="s">
        <v>157</v>
      </c>
      <c r="C62" s="170">
        <v>0</v>
      </c>
      <c r="D62" s="171">
        <v>0</v>
      </c>
      <c r="E62" s="233"/>
      <c r="F62" s="233"/>
      <c r="G62" s="233"/>
      <c r="H62" s="232">
        <f t="shared" si="1"/>
        <v>0</v>
      </c>
      <c r="I62" s="233">
        <v>0</v>
      </c>
      <c r="J62" s="233"/>
      <c r="K62" s="233"/>
      <c r="L62" s="233"/>
      <c r="M62" s="232">
        <f t="shared" si="3"/>
        <v>0</v>
      </c>
      <c r="N62" s="233">
        <v>0</v>
      </c>
      <c r="O62" s="233"/>
      <c r="P62" s="233"/>
      <c r="Q62" s="233"/>
      <c r="R62" s="232">
        <f t="shared" si="5"/>
        <v>0</v>
      </c>
    </row>
    <row r="63" spans="1:18" s="89" customFormat="1" ht="12" hidden="1" customHeight="1">
      <c r="A63" s="140" t="s">
        <v>133</v>
      </c>
      <c r="B63" s="124" t="s">
        <v>122</v>
      </c>
      <c r="C63" s="205">
        <v>0</v>
      </c>
      <c r="D63" s="181">
        <v>0</v>
      </c>
      <c r="E63" s="254">
        <f>E64+E65</f>
        <v>0</v>
      </c>
      <c r="F63" s="254">
        <f t="shared" ref="F63:G63" si="57">F64+F65</f>
        <v>0</v>
      </c>
      <c r="G63" s="254">
        <f t="shared" si="57"/>
        <v>0</v>
      </c>
      <c r="H63" s="232">
        <f t="shared" si="1"/>
        <v>0</v>
      </c>
      <c r="I63" s="254">
        <v>0</v>
      </c>
      <c r="J63" s="254">
        <f>J64+J65</f>
        <v>0</v>
      </c>
      <c r="K63" s="254">
        <f t="shared" ref="K63:L63" si="58">K64+K65</f>
        <v>0</v>
      </c>
      <c r="L63" s="254">
        <f t="shared" si="58"/>
        <v>0</v>
      </c>
      <c r="M63" s="232">
        <f t="shared" si="3"/>
        <v>0</v>
      </c>
      <c r="N63" s="254">
        <v>0</v>
      </c>
      <c r="O63" s="254">
        <f>O64+O65</f>
        <v>0</v>
      </c>
      <c r="P63" s="254">
        <f t="shared" ref="P63:Q63" si="59">P64+P65</f>
        <v>0</v>
      </c>
      <c r="Q63" s="254">
        <f t="shared" si="59"/>
        <v>0</v>
      </c>
      <c r="R63" s="232">
        <f t="shared" si="5"/>
        <v>0</v>
      </c>
    </row>
    <row r="64" spans="1:18" s="89" customFormat="1" ht="12" hidden="1" customHeight="1">
      <c r="A64" s="140">
        <v>5000</v>
      </c>
      <c r="B64" s="124" t="s">
        <v>123</v>
      </c>
      <c r="C64" s="170">
        <v>0</v>
      </c>
      <c r="D64" s="176">
        <v>0</v>
      </c>
      <c r="E64" s="244"/>
      <c r="F64" s="244"/>
      <c r="G64" s="244"/>
      <c r="H64" s="232">
        <f t="shared" si="1"/>
        <v>0</v>
      </c>
      <c r="I64" s="233">
        <v>0</v>
      </c>
      <c r="J64" s="244"/>
      <c r="K64" s="244"/>
      <c r="L64" s="244"/>
      <c r="M64" s="232">
        <f t="shared" si="3"/>
        <v>0</v>
      </c>
      <c r="N64" s="233">
        <v>0</v>
      </c>
      <c r="O64" s="244"/>
      <c r="P64" s="244"/>
      <c r="Q64" s="244"/>
      <c r="R64" s="232">
        <f t="shared" si="5"/>
        <v>0</v>
      </c>
    </row>
    <row r="65" spans="1:18" s="89" customFormat="1" ht="12" hidden="1" customHeight="1">
      <c r="A65" s="140">
        <v>9000</v>
      </c>
      <c r="B65" s="182" t="s">
        <v>164</v>
      </c>
      <c r="C65" s="170">
        <v>0</v>
      </c>
      <c r="D65" s="171">
        <v>0</v>
      </c>
      <c r="E65" s="233">
        <f t="shared" ref="E65:G65" si="60">E66+E72+E76+E79</f>
        <v>0</v>
      </c>
      <c r="F65" s="233">
        <f t="shared" si="60"/>
        <v>0</v>
      </c>
      <c r="G65" s="233">
        <f t="shared" si="60"/>
        <v>0</v>
      </c>
      <c r="H65" s="232">
        <f t="shared" si="1"/>
        <v>0</v>
      </c>
      <c r="I65" s="233">
        <v>0</v>
      </c>
      <c r="J65" s="233">
        <f t="shared" ref="J65:L65" si="61">J66+J72+J76+J79</f>
        <v>0</v>
      </c>
      <c r="K65" s="233">
        <f t="shared" si="61"/>
        <v>0</v>
      </c>
      <c r="L65" s="233">
        <f t="shared" si="61"/>
        <v>0</v>
      </c>
      <c r="M65" s="232">
        <f t="shared" si="3"/>
        <v>0</v>
      </c>
      <c r="N65" s="233">
        <v>0</v>
      </c>
      <c r="O65" s="233">
        <f t="shared" ref="O65:Q65" si="62">O66+O72+O76+O79</f>
        <v>0</v>
      </c>
      <c r="P65" s="233">
        <f t="shared" si="62"/>
        <v>0</v>
      </c>
      <c r="Q65" s="233">
        <f t="shared" si="62"/>
        <v>0</v>
      </c>
      <c r="R65" s="232">
        <f t="shared" si="5"/>
        <v>0</v>
      </c>
    </row>
    <row r="66" spans="1:18" s="89" customFormat="1" ht="12" hidden="1" customHeight="1">
      <c r="A66" s="141">
        <v>9100</v>
      </c>
      <c r="B66" s="179" t="s">
        <v>124</v>
      </c>
      <c r="C66" s="170">
        <v>0</v>
      </c>
      <c r="D66" s="171">
        <v>0</v>
      </c>
      <c r="E66" s="233">
        <f t="shared" ref="E66:G66" si="63">SUM(E67:E68)</f>
        <v>0</v>
      </c>
      <c r="F66" s="233">
        <f t="shared" ref="F66" si="64">SUM(F67:F68)</f>
        <v>0</v>
      </c>
      <c r="G66" s="233">
        <f t="shared" si="63"/>
        <v>0</v>
      </c>
      <c r="H66" s="232">
        <f t="shared" si="1"/>
        <v>0</v>
      </c>
      <c r="I66" s="233">
        <v>0</v>
      </c>
      <c r="J66" s="233">
        <f t="shared" ref="J66:L66" si="65">SUM(J67:J68)</f>
        <v>0</v>
      </c>
      <c r="K66" s="233">
        <f t="shared" si="65"/>
        <v>0</v>
      </c>
      <c r="L66" s="233">
        <f t="shared" si="65"/>
        <v>0</v>
      </c>
      <c r="M66" s="232">
        <f t="shared" si="3"/>
        <v>0</v>
      </c>
      <c r="N66" s="233">
        <v>0</v>
      </c>
      <c r="O66" s="233">
        <f t="shared" ref="O66:Q66" si="66">SUM(O67:O68)</f>
        <v>0</v>
      </c>
      <c r="P66" s="233">
        <f t="shared" si="66"/>
        <v>0</v>
      </c>
      <c r="Q66" s="233">
        <f t="shared" si="66"/>
        <v>0</v>
      </c>
      <c r="R66" s="232">
        <f t="shared" si="5"/>
        <v>0</v>
      </c>
    </row>
    <row r="67" spans="1:18" s="89" customFormat="1" ht="24" hidden="1" customHeight="1">
      <c r="A67" s="133" t="s">
        <v>125</v>
      </c>
      <c r="B67" s="179" t="s">
        <v>214</v>
      </c>
      <c r="C67" s="170">
        <v>0</v>
      </c>
      <c r="D67" s="171">
        <v>0</v>
      </c>
      <c r="E67" s="233"/>
      <c r="F67" s="233"/>
      <c r="G67" s="233"/>
      <c r="H67" s="232">
        <f t="shared" si="1"/>
        <v>0</v>
      </c>
      <c r="I67" s="233">
        <v>0</v>
      </c>
      <c r="J67" s="233"/>
      <c r="K67" s="233"/>
      <c r="L67" s="233"/>
      <c r="M67" s="232">
        <f t="shared" si="3"/>
        <v>0</v>
      </c>
      <c r="N67" s="233">
        <v>0</v>
      </c>
      <c r="O67" s="233"/>
      <c r="P67" s="233"/>
      <c r="Q67" s="233"/>
      <c r="R67" s="232">
        <f t="shared" si="5"/>
        <v>0</v>
      </c>
    </row>
    <row r="68" spans="1:18" s="89" customFormat="1" ht="24" hidden="1" customHeight="1">
      <c r="A68" s="133">
        <v>9140</v>
      </c>
      <c r="B68" s="179" t="s">
        <v>215</v>
      </c>
      <c r="C68" s="170">
        <v>0</v>
      </c>
      <c r="D68" s="171">
        <v>0</v>
      </c>
      <c r="E68" s="233">
        <f>SUM(E69:E71)</f>
        <v>0</v>
      </c>
      <c r="F68" s="233">
        <f t="shared" ref="F68:G68" si="67">SUM(F69:F71)</f>
        <v>0</v>
      </c>
      <c r="G68" s="233">
        <f t="shared" si="67"/>
        <v>0</v>
      </c>
      <c r="H68" s="232">
        <f t="shared" si="1"/>
        <v>0</v>
      </c>
      <c r="I68" s="233">
        <v>0</v>
      </c>
      <c r="J68" s="233">
        <f>SUM(J69:J71)</f>
        <v>0</v>
      </c>
      <c r="K68" s="233">
        <f t="shared" ref="K68:L68" si="68">SUM(K69:K71)</f>
        <v>0</v>
      </c>
      <c r="L68" s="233">
        <f t="shared" si="68"/>
        <v>0</v>
      </c>
      <c r="M68" s="232">
        <f t="shared" si="3"/>
        <v>0</v>
      </c>
      <c r="N68" s="233">
        <v>0</v>
      </c>
      <c r="O68" s="233">
        <f>SUM(O69:O71)</f>
        <v>0</v>
      </c>
      <c r="P68" s="233">
        <f t="shared" ref="P68:Q68" si="69">SUM(P69:P71)</f>
        <v>0</v>
      </c>
      <c r="Q68" s="233">
        <f t="shared" si="69"/>
        <v>0</v>
      </c>
      <c r="R68" s="232">
        <f t="shared" si="5"/>
        <v>0</v>
      </c>
    </row>
    <row r="69" spans="1:18" s="89" customFormat="1" ht="36" hidden="1" customHeight="1">
      <c r="A69" s="134">
        <v>9141</v>
      </c>
      <c r="B69" s="172" t="s">
        <v>190</v>
      </c>
      <c r="C69" s="204">
        <v>0</v>
      </c>
      <c r="D69" s="180">
        <v>0</v>
      </c>
      <c r="E69" s="252"/>
      <c r="F69" s="252"/>
      <c r="G69" s="252"/>
      <c r="H69" s="232">
        <f t="shared" si="1"/>
        <v>0</v>
      </c>
      <c r="I69" s="252">
        <v>0</v>
      </c>
      <c r="J69" s="252"/>
      <c r="K69" s="252"/>
      <c r="L69" s="252"/>
      <c r="M69" s="232">
        <f t="shared" si="3"/>
        <v>0</v>
      </c>
      <c r="N69" s="252">
        <v>0</v>
      </c>
      <c r="O69" s="252"/>
      <c r="P69" s="252"/>
      <c r="Q69" s="252"/>
      <c r="R69" s="232">
        <f t="shared" si="5"/>
        <v>0</v>
      </c>
    </row>
    <row r="70" spans="1:18" s="89" customFormat="1" ht="36" hidden="1" customHeight="1">
      <c r="A70" s="134">
        <v>9142</v>
      </c>
      <c r="B70" s="172" t="s">
        <v>191</v>
      </c>
      <c r="C70" s="204">
        <v>0</v>
      </c>
      <c r="D70" s="180">
        <v>0</v>
      </c>
      <c r="E70" s="252"/>
      <c r="F70" s="252"/>
      <c r="G70" s="252"/>
      <c r="H70" s="232">
        <f t="shared" si="1"/>
        <v>0</v>
      </c>
      <c r="I70" s="252">
        <v>0</v>
      </c>
      <c r="J70" s="252"/>
      <c r="K70" s="252"/>
      <c r="L70" s="252"/>
      <c r="M70" s="232">
        <f t="shared" si="3"/>
        <v>0</v>
      </c>
      <c r="N70" s="252">
        <v>0</v>
      </c>
      <c r="O70" s="252"/>
      <c r="P70" s="252"/>
      <c r="Q70" s="252"/>
      <c r="R70" s="232">
        <f t="shared" si="5"/>
        <v>0</v>
      </c>
    </row>
    <row r="71" spans="1:18" s="89" customFormat="1" ht="24" hidden="1" customHeight="1">
      <c r="A71" s="134">
        <v>9149</v>
      </c>
      <c r="B71" s="172" t="s">
        <v>192</v>
      </c>
      <c r="C71" s="204">
        <v>0</v>
      </c>
      <c r="D71" s="180">
        <v>0</v>
      </c>
      <c r="E71" s="252"/>
      <c r="F71" s="252"/>
      <c r="G71" s="252"/>
      <c r="H71" s="232">
        <f t="shared" si="1"/>
        <v>0</v>
      </c>
      <c r="I71" s="252">
        <v>0</v>
      </c>
      <c r="J71" s="252"/>
      <c r="K71" s="252"/>
      <c r="L71" s="252"/>
      <c r="M71" s="232">
        <f t="shared" si="3"/>
        <v>0</v>
      </c>
      <c r="N71" s="252">
        <v>0</v>
      </c>
      <c r="O71" s="252"/>
      <c r="P71" s="252"/>
      <c r="Q71" s="252"/>
      <c r="R71" s="232">
        <f t="shared" si="5"/>
        <v>0</v>
      </c>
    </row>
    <row r="72" spans="1:18" s="29" customFormat="1" ht="24" hidden="1" customHeight="1">
      <c r="A72" s="141">
        <v>9500</v>
      </c>
      <c r="B72" s="172" t="s">
        <v>165</v>
      </c>
      <c r="C72" s="170">
        <v>0</v>
      </c>
      <c r="D72" s="171">
        <v>0</v>
      </c>
      <c r="E72" s="233">
        <f>SUM(E73:E75)</f>
        <v>0</v>
      </c>
      <c r="F72" s="233">
        <f t="shared" ref="F72:G72" si="70">SUM(F73:F75)</f>
        <v>0</v>
      </c>
      <c r="G72" s="233">
        <f t="shared" si="70"/>
        <v>0</v>
      </c>
      <c r="H72" s="232">
        <f t="shared" si="1"/>
        <v>0</v>
      </c>
      <c r="I72" s="233">
        <v>0</v>
      </c>
      <c r="J72" s="233">
        <f>SUM(J73:J75)</f>
        <v>0</v>
      </c>
      <c r="K72" s="233">
        <f t="shared" ref="K72:L72" si="71">SUM(K73:K75)</f>
        <v>0</v>
      </c>
      <c r="L72" s="233">
        <f t="shared" si="71"/>
        <v>0</v>
      </c>
      <c r="M72" s="232">
        <f t="shared" si="3"/>
        <v>0</v>
      </c>
      <c r="N72" s="233">
        <v>0</v>
      </c>
      <c r="O72" s="233">
        <f>SUM(O73:O75)</f>
        <v>0</v>
      </c>
      <c r="P72" s="233">
        <f t="shared" ref="P72:Q72" si="72">SUM(P73:P75)</f>
        <v>0</v>
      </c>
      <c r="Q72" s="233">
        <f t="shared" si="72"/>
        <v>0</v>
      </c>
      <c r="R72" s="232">
        <f t="shared" si="5"/>
        <v>0</v>
      </c>
    </row>
    <row r="73" spans="1:18" s="29" customFormat="1" ht="24" hidden="1" customHeight="1">
      <c r="A73" s="133" t="s">
        <v>193</v>
      </c>
      <c r="B73" s="172" t="s">
        <v>171</v>
      </c>
      <c r="C73" s="170">
        <v>0</v>
      </c>
      <c r="D73" s="171">
        <v>0</v>
      </c>
      <c r="E73" s="233"/>
      <c r="F73" s="233"/>
      <c r="G73" s="233"/>
      <c r="H73" s="232">
        <f t="shared" si="1"/>
        <v>0</v>
      </c>
      <c r="I73" s="233">
        <v>0</v>
      </c>
      <c r="J73" s="233"/>
      <c r="K73" s="233"/>
      <c r="L73" s="233"/>
      <c r="M73" s="232">
        <f t="shared" si="3"/>
        <v>0</v>
      </c>
      <c r="N73" s="233">
        <v>0</v>
      </c>
      <c r="O73" s="233"/>
      <c r="P73" s="233"/>
      <c r="Q73" s="233"/>
      <c r="R73" s="232">
        <f t="shared" si="5"/>
        <v>0</v>
      </c>
    </row>
    <row r="74" spans="1:18" s="28" customFormat="1" ht="48" hidden="1" customHeight="1">
      <c r="A74" s="133">
        <v>9580</v>
      </c>
      <c r="B74" s="172" t="s">
        <v>166</v>
      </c>
      <c r="C74" s="204">
        <v>0</v>
      </c>
      <c r="D74" s="180">
        <v>0</v>
      </c>
      <c r="E74" s="252"/>
      <c r="F74" s="252"/>
      <c r="G74" s="252"/>
      <c r="H74" s="232">
        <f t="shared" ref="H74:H137" si="73">SUM(D74:G74)</f>
        <v>0</v>
      </c>
      <c r="I74" s="252">
        <v>0</v>
      </c>
      <c r="J74" s="252"/>
      <c r="K74" s="252"/>
      <c r="L74" s="252"/>
      <c r="M74" s="232">
        <f t="shared" ref="M74:M137" si="74">SUM(I74:L74)</f>
        <v>0</v>
      </c>
      <c r="N74" s="252">
        <v>0</v>
      </c>
      <c r="O74" s="252"/>
      <c r="P74" s="252"/>
      <c r="Q74" s="252"/>
      <c r="R74" s="232">
        <f t="shared" ref="R74:R137" si="75">SUM(N74:Q74)</f>
        <v>0</v>
      </c>
    </row>
    <row r="75" spans="1:18" s="4" customFormat="1" ht="36" hidden="1" customHeight="1">
      <c r="A75" s="133">
        <v>9590</v>
      </c>
      <c r="B75" s="179" t="s">
        <v>172</v>
      </c>
      <c r="C75" s="204">
        <v>0</v>
      </c>
      <c r="D75" s="180">
        <v>0</v>
      </c>
      <c r="E75" s="252"/>
      <c r="F75" s="252"/>
      <c r="G75" s="252"/>
      <c r="H75" s="232">
        <f t="shared" si="73"/>
        <v>0</v>
      </c>
      <c r="I75" s="252">
        <v>0</v>
      </c>
      <c r="J75" s="252"/>
      <c r="K75" s="252"/>
      <c r="L75" s="252"/>
      <c r="M75" s="232">
        <f t="shared" si="74"/>
        <v>0</v>
      </c>
      <c r="N75" s="252">
        <v>0</v>
      </c>
      <c r="O75" s="252"/>
      <c r="P75" s="252"/>
      <c r="Q75" s="252"/>
      <c r="R75" s="232">
        <f t="shared" si="75"/>
        <v>0</v>
      </c>
    </row>
    <row r="76" spans="1:18" s="3" customFormat="1" ht="24" hidden="1" customHeight="1">
      <c r="A76" s="141">
        <v>9700</v>
      </c>
      <c r="B76" s="183" t="s">
        <v>194</v>
      </c>
      <c r="C76" s="170">
        <v>0</v>
      </c>
      <c r="D76" s="171">
        <v>0</v>
      </c>
      <c r="E76" s="233">
        <f>SUM(E77:E78)</f>
        <v>0</v>
      </c>
      <c r="F76" s="233">
        <f t="shared" ref="F76:G76" si="76">SUM(F77:F78)</f>
        <v>0</v>
      </c>
      <c r="G76" s="233">
        <f t="shared" si="76"/>
        <v>0</v>
      </c>
      <c r="H76" s="232">
        <f t="shared" si="73"/>
        <v>0</v>
      </c>
      <c r="I76" s="233">
        <v>0</v>
      </c>
      <c r="J76" s="233">
        <f>SUM(J77:J78)</f>
        <v>0</v>
      </c>
      <c r="K76" s="233">
        <f t="shared" ref="K76:L76" si="77">SUM(K77:K78)</f>
        <v>0</v>
      </c>
      <c r="L76" s="233">
        <f t="shared" si="77"/>
        <v>0</v>
      </c>
      <c r="M76" s="232">
        <f t="shared" si="74"/>
        <v>0</v>
      </c>
      <c r="N76" s="233">
        <v>0</v>
      </c>
      <c r="O76" s="233">
        <f>SUM(O77:O78)</f>
        <v>0</v>
      </c>
      <c r="P76" s="233">
        <f t="shared" ref="P76:Q76" si="78">SUM(P77:P78)</f>
        <v>0</v>
      </c>
      <c r="Q76" s="233">
        <f t="shared" si="78"/>
        <v>0</v>
      </c>
      <c r="R76" s="232">
        <f t="shared" si="75"/>
        <v>0</v>
      </c>
    </row>
    <row r="77" spans="1:18" s="3" customFormat="1" ht="24" hidden="1" customHeight="1">
      <c r="A77" s="133">
        <v>9710</v>
      </c>
      <c r="B77" s="184" t="s">
        <v>195</v>
      </c>
      <c r="C77" s="204">
        <v>0</v>
      </c>
      <c r="D77" s="180">
        <v>0</v>
      </c>
      <c r="E77" s="252"/>
      <c r="F77" s="252"/>
      <c r="G77" s="252"/>
      <c r="H77" s="232">
        <f t="shared" si="73"/>
        <v>0</v>
      </c>
      <c r="I77" s="252">
        <v>0</v>
      </c>
      <c r="J77" s="252"/>
      <c r="K77" s="252"/>
      <c r="L77" s="252"/>
      <c r="M77" s="232">
        <f t="shared" si="74"/>
        <v>0</v>
      </c>
      <c r="N77" s="252">
        <v>0</v>
      </c>
      <c r="O77" s="252"/>
      <c r="P77" s="252"/>
      <c r="Q77" s="252"/>
      <c r="R77" s="232">
        <f t="shared" si="75"/>
        <v>0</v>
      </c>
    </row>
    <row r="78" spans="1:18" s="3" customFormat="1" ht="36" hidden="1" customHeight="1">
      <c r="A78" s="142">
        <v>9720</v>
      </c>
      <c r="B78" s="183" t="s">
        <v>196</v>
      </c>
      <c r="C78" s="204">
        <v>0</v>
      </c>
      <c r="D78" s="180">
        <v>0</v>
      </c>
      <c r="E78" s="252"/>
      <c r="F78" s="252"/>
      <c r="G78" s="252"/>
      <c r="H78" s="232">
        <f t="shared" si="73"/>
        <v>0</v>
      </c>
      <c r="I78" s="252">
        <v>0</v>
      </c>
      <c r="J78" s="252"/>
      <c r="K78" s="252"/>
      <c r="L78" s="252"/>
      <c r="M78" s="232">
        <f t="shared" si="74"/>
        <v>0</v>
      </c>
      <c r="N78" s="252">
        <v>0</v>
      </c>
      <c r="O78" s="252"/>
      <c r="P78" s="252"/>
      <c r="Q78" s="252"/>
      <c r="R78" s="232">
        <f t="shared" si="75"/>
        <v>0</v>
      </c>
    </row>
    <row r="79" spans="1:18" s="3" customFormat="1" ht="24" hidden="1" customHeight="1">
      <c r="A79" s="141">
        <v>9600</v>
      </c>
      <c r="B79" s="179" t="s">
        <v>134</v>
      </c>
      <c r="C79" s="204">
        <v>0</v>
      </c>
      <c r="D79" s="180">
        <v>0</v>
      </c>
      <c r="E79" s="252"/>
      <c r="F79" s="252"/>
      <c r="G79" s="252"/>
      <c r="H79" s="232">
        <f t="shared" si="73"/>
        <v>0</v>
      </c>
      <c r="I79" s="252">
        <v>0</v>
      </c>
      <c r="J79" s="252"/>
      <c r="K79" s="252"/>
      <c r="L79" s="252"/>
      <c r="M79" s="232">
        <f t="shared" si="74"/>
        <v>0</v>
      </c>
      <c r="N79" s="252">
        <v>0</v>
      </c>
      <c r="O79" s="252"/>
      <c r="P79" s="252"/>
      <c r="Q79" s="252"/>
      <c r="R79" s="232">
        <f t="shared" si="75"/>
        <v>0</v>
      </c>
    </row>
    <row r="80" spans="1:18" s="3" customFormat="1" ht="52.5" hidden="1" customHeight="1">
      <c r="A80" s="130" t="s">
        <v>197</v>
      </c>
      <c r="B80" s="185" t="s">
        <v>47</v>
      </c>
      <c r="C80" s="206">
        <v>0</v>
      </c>
      <c r="D80" s="186">
        <v>0</v>
      </c>
      <c r="E80" s="262">
        <f>E10-E35</f>
        <v>0</v>
      </c>
      <c r="F80" s="262">
        <f t="shared" ref="F80:G80" si="79">F10-F35</f>
        <v>0</v>
      </c>
      <c r="G80" s="262">
        <f t="shared" si="79"/>
        <v>0</v>
      </c>
      <c r="H80" s="232">
        <f t="shared" si="73"/>
        <v>0</v>
      </c>
      <c r="I80" s="262">
        <v>0</v>
      </c>
      <c r="J80" s="262">
        <f>J10-J35</f>
        <v>0</v>
      </c>
      <c r="K80" s="262">
        <f t="shared" ref="K80:L80" si="80">K10-K35</f>
        <v>0</v>
      </c>
      <c r="L80" s="262">
        <f t="shared" si="80"/>
        <v>0</v>
      </c>
      <c r="M80" s="232">
        <f t="shared" si="74"/>
        <v>0</v>
      </c>
      <c r="N80" s="262">
        <v>0</v>
      </c>
      <c r="O80" s="262">
        <f>O10-O35</f>
        <v>0</v>
      </c>
      <c r="P80" s="262">
        <f t="shared" ref="P80:Q80" si="81">P10-P35</f>
        <v>0</v>
      </c>
      <c r="Q80" s="262">
        <f t="shared" si="81"/>
        <v>0</v>
      </c>
      <c r="R80" s="232">
        <f t="shared" si="75"/>
        <v>0</v>
      </c>
    </row>
    <row r="81" spans="1:18" s="3" customFormat="1" ht="12" hidden="1" customHeight="1">
      <c r="A81" s="143" t="s">
        <v>48</v>
      </c>
      <c r="B81" s="185" t="s">
        <v>49</v>
      </c>
      <c r="C81" s="206">
        <v>0</v>
      </c>
      <c r="D81" s="186">
        <v>0</v>
      </c>
      <c r="E81" s="262">
        <f>E82+E85+E89+E88</f>
        <v>0</v>
      </c>
      <c r="F81" s="262">
        <f t="shared" ref="F81:G81" si="82">F82+F85+F89+F88</f>
        <v>0</v>
      </c>
      <c r="G81" s="262">
        <f t="shared" si="82"/>
        <v>0</v>
      </c>
      <c r="H81" s="232">
        <f t="shared" si="73"/>
        <v>0</v>
      </c>
      <c r="I81" s="262">
        <v>0</v>
      </c>
      <c r="J81" s="262">
        <f>J82+J85+J89+J88</f>
        <v>0</v>
      </c>
      <c r="K81" s="262">
        <f t="shared" ref="K81:L81" si="83">K82+K85+K89+K88</f>
        <v>0</v>
      </c>
      <c r="L81" s="262">
        <f t="shared" si="83"/>
        <v>0</v>
      </c>
      <c r="M81" s="232">
        <f t="shared" si="74"/>
        <v>0</v>
      </c>
      <c r="N81" s="262">
        <v>0</v>
      </c>
      <c r="O81" s="262">
        <f>O82+O85+O89+O88</f>
        <v>0</v>
      </c>
      <c r="P81" s="262">
        <f t="shared" ref="P81:Q81" si="84">P82+P85+P89+P88</f>
        <v>0</v>
      </c>
      <c r="Q81" s="262">
        <f t="shared" si="84"/>
        <v>0</v>
      </c>
      <c r="R81" s="232">
        <f t="shared" si="75"/>
        <v>0</v>
      </c>
    </row>
    <row r="82" spans="1:18" s="4" customFormat="1" ht="12" hidden="1" customHeight="1">
      <c r="A82" s="141" t="s">
        <v>50</v>
      </c>
      <c r="B82" s="179" t="s">
        <v>51</v>
      </c>
      <c r="C82" s="98">
        <v>0</v>
      </c>
      <c r="D82" s="169">
        <v>0</v>
      </c>
      <c r="E82" s="231">
        <f>E83+E84</f>
        <v>0</v>
      </c>
      <c r="F82" s="231">
        <f t="shared" ref="F82:G82" si="85">F83+F84</f>
        <v>0</v>
      </c>
      <c r="G82" s="231">
        <f t="shared" si="85"/>
        <v>0</v>
      </c>
      <c r="H82" s="232">
        <f t="shared" si="73"/>
        <v>0</v>
      </c>
      <c r="I82" s="231">
        <v>0</v>
      </c>
      <c r="J82" s="231">
        <f>J83+J84</f>
        <v>0</v>
      </c>
      <c r="K82" s="231">
        <f t="shared" ref="K82:L82" si="86">K83+K84</f>
        <v>0</v>
      </c>
      <c r="L82" s="231">
        <f t="shared" si="86"/>
        <v>0</v>
      </c>
      <c r="M82" s="232">
        <f t="shared" si="74"/>
        <v>0</v>
      </c>
      <c r="N82" s="231">
        <v>0</v>
      </c>
      <c r="O82" s="231">
        <f>O83+O84</f>
        <v>0</v>
      </c>
      <c r="P82" s="231">
        <f t="shared" ref="P82:Q82" si="87">P83+P84</f>
        <v>0</v>
      </c>
      <c r="Q82" s="231">
        <f t="shared" si="87"/>
        <v>0</v>
      </c>
      <c r="R82" s="232">
        <f t="shared" si="75"/>
        <v>0</v>
      </c>
    </row>
    <row r="83" spans="1:18" s="6" customFormat="1" ht="12" hidden="1" customHeight="1">
      <c r="A83" s="141" t="s">
        <v>52</v>
      </c>
      <c r="B83" s="179" t="s">
        <v>53</v>
      </c>
      <c r="C83" s="98">
        <v>0</v>
      </c>
      <c r="D83" s="169">
        <v>0</v>
      </c>
      <c r="E83" s="231"/>
      <c r="F83" s="231"/>
      <c r="G83" s="231"/>
      <c r="H83" s="232">
        <f t="shared" si="73"/>
        <v>0</v>
      </c>
      <c r="I83" s="231">
        <v>0</v>
      </c>
      <c r="J83" s="231"/>
      <c r="K83" s="231"/>
      <c r="L83" s="231"/>
      <c r="M83" s="232">
        <f t="shared" si="74"/>
        <v>0</v>
      </c>
      <c r="N83" s="231">
        <v>0</v>
      </c>
      <c r="O83" s="231"/>
      <c r="P83" s="231"/>
      <c r="Q83" s="231"/>
      <c r="R83" s="232">
        <f t="shared" si="75"/>
        <v>0</v>
      </c>
    </row>
    <row r="84" spans="1:18" s="6" customFormat="1" ht="12" hidden="1" customHeight="1">
      <c r="A84" s="141" t="s">
        <v>54</v>
      </c>
      <c r="B84" s="179" t="s">
        <v>55</v>
      </c>
      <c r="C84" s="98">
        <v>0</v>
      </c>
      <c r="D84" s="169">
        <v>0</v>
      </c>
      <c r="E84" s="231"/>
      <c r="F84" s="231"/>
      <c r="G84" s="231"/>
      <c r="H84" s="232">
        <f t="shared" si="73"/>
        <v>0</v>
      </c>
      <c r="I84" s="231">
        <v>0</v>
      </c>
      <c r="J84" s="231"/>
      <c r="K84" s="231"/>
      <c r="L84" s="231"/>
      <c r="M84" s="232">
        <f t="shared" si="74"/>
        <v>0</v>
      </c>
      <c r="N84" s="231">
        <v>0</v>
      </c>
      <c r="O84" s="231"/>
      <c r="P84" s="231"/>
      <c r="Q84" s="231"/>
      <c r="R84" s="232">
        <f t="shared" si="75"/>
        <v>0</v>
      </c>
    </row>
    <row r="85" spans="1:18" s="6" customFormat="1" ht="12" hidden="1" customHeight="1">
      <c r="A85" s="141" t="s">
        <v>56</v>
      </c>
      <c r="B85" s="179" t="s">
        <v>57</v>
      </c>
      <c r="C85" s="98">
        <v>0</v>
      </c>
      <c r="D85" s="169">
        <v>0</v>
      </c>
      <c r="E85" s="231">
        <f>E86+E87</f>
        <v>0</v>
      </c>
      <c r="F85" s="231">
        <f t="shared" ref="F85:G85" si="88">F86+F87</f>
        <v>0</v>
      </c>
      <c r="G85" s="231">
        <f t="shared" si="88"/>
        <v>0</v>
      </c>
      <c r="H85" s="232">
        <f t="shared" si="73"/>
        <v>0</v>
      </c>
      <c r="I85" s="231">
        <v>0</v>
      </c>
      <c r="J85" s="231">
        <f>J86+J87</f>
        <v>0</v>
      </c>
      <c r="K85" s="231">
        <f t="shared" ref="K85:L85" si="89">K86+K87</f>
        <v>0</v>
      </c>
      <c r="L85" s="231">
        <f t="shared" si="89"/>
        <v>0</v>
      </c>
      <c r="M85" s="232">
        <f t="shared" si="74"/>
        <v>0</v>
      </c>
      <c r="N85" s="231">
        <v>0</v>
      </c>
      <c r="O85" s="231">
        <f>O86+O87</f>
        <v>0</v>
      </c>
      <c r="P85" s="231">
        <f t="shared" ref="P85:Q85" si="90">P86+P87</f>
        <v>0</v>
      </c>
      <c r="Q85" s="231">
        <f t="shared" si="90"/>
        <v>0</v>
      </c>
      <c r="R85" s="232">
        <f t="shared" si="75"/>
        <v>0</v>
      </c>
    </row>
    <row r="86" spans="1:18" s="6" customFormat="1" ht="12" hidden="1" customHeight="1">
      <c r="A86" s="141" t="s">
        <v>58</v>
      </c>
      <c r="B86" s="179" t="s">
        <v>59</v>
      </c>
      <c r="C86" s="98">
        <v>0</v>
      </c>
      <c r="D86" s="169">
        <v>0</v>
      </c>
      <c r="E86" s="231"/>
      <c r="F86" s="231"/>
      <c r="G86" s="231"/>
      <c r="H86" s="232">
        <f t="shared" si="73"/>
        <v>0</v>
      </c>
      <c r="I86" s="231">
        <v>0</v>
      </c>
      <c r="J86" s="231"/>
      <c r="K86" s="231"/>
      <c r="L86" s="231"/>
      <c r="M86" s="232">
        <f t="shared" si="74"/>
        <v>0</v>
      </c>
      <c r="N86" s="231">
        <v>0</v>
      </c>
      <c r="O86" s="231"/>
      <c r="P86" s="231"/>
      <c r="Q86" s="231"/>
      <c r="R86" s="232">
        <f t="shared" si="75"/>
        <v>0</v>
      </c>
    </row>
    <row r="87" spans="1:18" s="6" customFormat="1" ht="12" hidden="1" customHeight="1">
      <c r="A87" s="141" t="s">
        <v>60</v>
      </c>
      <c r="B87" s="179" t="s">
        <v>61</v>
      </c>
      <c r="C87" s="98">
        <v>0</v>
      </c>
      <c r="D87" s="169">
        <v>0</v>
      </c>
      <c r="E87" s="231"/>
      <c r="F87" s="231"/>
      <c r="G87" s="231"/>
      <c r="H87" s="232">
        <f t="shared" si="73"/>
        <v>0</v>
      </c>
      <c r="I87" s="231">
        <v>0</v>
      </c>
      <c r="J87" s="231"/>
      <c r="K87" s="231"/>
      <c r="L87" s="231"/>
      <c r="M87" s="232">
        <f t="shared" si="74"/>
        <v>0</v>
      </c>
      <c r="N87" s="231">
        <v>0</v>
      </c>
      <c r="O87" s="231"/>
      <c r="P87" s="231"/>
      <c r="Q87" s="231"/>
      <c r="R87" s="232">
        <f t="shared" si="75"/>
        <v>0</v>
      </c>
    </row>
    <row r="88" spans="1:18" s="6" customFormat="1" ht="12" hidden="1" customHeight="1">
      <c r="A88" s="141" t="s">
        <v>198</v>
      </c>
      <c r="B88" s="187" t="s">
        <v>168</v>
      </c>
      <c r="C88" s="98">
        <v>0</v>
      </c>
      <c r="D88" s="169">
        <v>0</v>
      </c>
      <c r="E88" s="231"/>
      <c r="F88" s="231"/>
      <c r="G88" s="231"/>
      <c r="H88" s="232">
        <f t="shared" si="73"/>
        <v>0</v>
      </c>
      <c r="I88" s="231">
        <v>0</v>
      </c>
      <c r="J88" s="231"/>
      <c r="K88" s="231"/>
      <c r="L88" s="231"/>
      <c r="M88" s="232">
        <f t="shared" si="74"/>
        <v>0</v>
      </c>
      <c r="N88" s="231">
        <v>0</v>
      </c>
      <c r="O88" s="231"/>
      <c r="P88" s="231"/>
      <c r="Q88" s="231"/>
      <c r="R88" s="232">
        <f t="shared" si="75"/>
        <v>0</v>
      </c>
    </row>
    <row r="89" spans="1:18" s="6" customFormat="1" ht="12" hidden="1" customHeight="1">
      <c r="A89" s="144" t="s">
        <v>62</v>
      </c>
      <c r="B89" s="125" t="s">
        <v>63</v>
      </c>
      <c r="C89" s="170">
        <v>0</v>
      </c>
      <c r="D89" s="171">
        <v>0</v>
      </c>
      <c r="E89" s="233">
        <f t="shared" ref="E89:G89" si="91">E90+E91+E92</f>
        <v>0</v>
      </c>
      <c r="F89" s="233">
        <f t="shared" si="91"/>
        <v>0</v>
      </c>
      <c r="G89" s="233">
        <f t="shared" si="91"/>
        <v>0</v>
      </c>
      <c r="H89" s="232">
        <f t="shared" si="73"/>
        <v>0</v>
      </c>
      <c r="I89" s="233">
        <v>0</v>
      </c>
      <c r="J89" s="233">
        <f t="shared" ref="J89:L89" si="92">J90+J91+J92</f>
        <v>0</v>
      </c>
      <c r="K89" s="233">
        <f t="shared" si="92"/>
        <v>0</v>
      </c>
      <c r="L89" s="233">
        <f t="shared" si="92"/>
        <v>0</v>
      </c>
      <c r="M89" s="232">
        <f t="shared" si="74"/>
        <v>0</v>
      </c>
      <c r="N89" s="233">
        <v>0</v>
      </c>
      <c r="O89" s="233">
        <f t="shared" ref="O89:Q89" si="93">O90+O91+O92</f>
        <v>0</v>
      </c>
      <c r="P89" s="233">
        <f t="shared" si="93"/>
        <v>0</v>
      </c>
      <c r="Q89" s="233">
        <f t="shared" si="93"/>
        <v>0</v>
      </c>
      <c r="R89" s="232">
        <f t="shared" si="75"/>
        <v>0</v>
      </c>
    </row>
    <row r="90" spans="1:18" s="6" customFormat="1" ht="36" hidden="1" customHeight="1">
      <c r="A90" s="144" t="s">
        <v>64</v>
      </c>
      <c r="B90" s="179" t="s">
        <v>65</v>
      </c>
      <c r="C90" s="98">
        <v>0</v>
      </c>
      <c r="D90" s="169">
        <v>0</v>
      </c>
      <c r="E90" s="231"/>
      <c r="F90" s="231"/>
      <c r="G90" s="231"/>
      <c r="H90" s="232">
        <f t="shared" si="73"/>
        <v>0</v>
      </c>
      <c r="I90" s="231">
        <v>0</v>
      </c>
      <c r="J90" s="231"/>
      <c r="K90" s="231"/>
      <c r="L90" s="231"/>
      <c r="M90" s="232">
        <f t="shared" si="74"/>
        <v>0</v>
      </c>
      <c r="N90" s="231">
        <v>0</v>
      </c>
      <c r="O90" s="231"/>
      <c r="P90" s="231"/>
      <c r="Q90" s="231"/>
      <c r="R90" s="232">
        <f t="shared" si="75"/>
        <v>0</v>
      </c>
    </row>
    <row r="91" spans="1:18" s="6" customFormat="1" ht="24" hidden="1" customHeight="1">
      <c r="A91" s="144" t="s">
        <v>66</v>
      </c>
      <c r="B91" s="179" t="s">
        <v>67</v>
      </c>
      <c r="C91" s="98">
        <v>0</v>
      </c>
      <c r="D91" s="169">
        <v>0</v>
      </c>
      <c r="E91" s="231"/>
      <c r="F91" s="231"/>
      <c r="G91" s="231"/>
      <c r="H91" s="232">
        <f t="shared" si="73"/>
        <v>0</v>
      </c>
      <c r="I91" s="231">
        <v>0</v>
      </c>
      <c r="J91" s="231"/>
      <c r="K91" s="231"/>
      <c r="L91" s="231"/>
      <c r="M91" s="232">
        <f t="shared" si="74"/>
        <v>0</v>
      </c>
      <c r="N91" s="231">
        <v>0</v>
      </c>
      <c r="O91" s="231"/>
      <c r="P91" s="231"/>
      <c r="Q91" s="231"/>
      <c r="R91" s="232">
        <f t="shared" si="75"/>
        <v>0</v>
      </c>
    </row>
    <row r="92" spans="1:18" s="6" customFormat="1" ht="24" hidden="1" customHeight="1">
      <c r="A92" s="144" t="s">
        <v>68</v>
      </c>
      <c r="B92" s="125" t="s">
        <v>69</v>
      </c>
      <c r="C92" s="98">
        <v>0</v>
      </c>
      <c r="D92" s="169">
        <v>0</v>
      </c>
      <c r="E92" s="231"/>
      <c r="F92" s="231"/>
      <c r="G92" s="231"/>
      <c r="H92" s="232">
        <f t="shared" si="73"/>
        <v>0</v>
      </c>
      <c r="I92" s="231">
        <v>0</v>
      </c>
      <c r="J92" s="231"/>
      <c r="K92" s="231"/>
      <c r="L92" s="231"/>
      <c r="M92" s="232">
        <f t="shared" si="74"/>
        <v>0</v>
      </c>
      <c r="N92" s="231">
        <v>0</v>
      </c>
      <c r="O92" s="231"/>
      <c r="P92" s="231"/>
      <c r="Q92" s="231"/>
      <c r="R92" s="232">
        <f t="shared" si="75"/>
        <v>0</v>
      </c>
    </row>
    <row r="93" spans="1:18" s="6" customFormat="1" ht="12">
      <c r="A93" s="145"/>
      <c r="B93" s="188" t="s">
        <v>199</v>
      </c>
      <c r="C93" s="207"/>
      <c r="D93" s="189"/>
      <c r="E93" s="268"/>
      <c r="F93" s="268"/>
      <c r="G93" s="268"/>
      <c r="H93" s="269">
        <f t="shared" si="73"/>
        <v>0</v>
      </c>
      <c r="I93" s="347"/>
      <c r="J93" s="268"/>
      <c r="K93" s="268"/>
      <c r="L93" s="268"/>
      <c r="M93" s="269">
        <f t="shared" si="74"/>
        <v>0</v>
      </c>
      <c r="N93" s="347"/>
      <c r="O93" s="268"/>
      <c r="P93" s="268"/>
      <c r="Q93" s="268"/>
      <c r="R93" s="269">
        <f t="shared" si="75"/>
        <v>0</v>
      </c>
    </row>
    <row r="94" spans="1:18" s="6" customFormat="1" ht="20.399999999999999">
      <c r="A94" s="129" t="s">
        <v>201</v>
      </c>
      <c r="B94" s="123" t="s">
        <v>88</v>
      </c>
      <c r="C94" s="200">
        <v>210694805</v>
      </c>
      <c r="D94" s="167">
        <v>210694805</v>
      </c>
      <c r="E94" s="228">
        <f t="shared" ref="E94:G94" si="94">E95+E96+E98+E116</f>
        <v>0</v>
      </c>
      <c r="F94" s="228">
        <f t="shared" si="94"/>
        <v>0</v>
      </c>
      <c r="G94" s="228">
        <f t="shared" si="94"/>
        <v>5174895</v>
      </c>
      <c r="H94" s="229">
        <f t="shared" si="73"/>
        <v>215869700</v>
      </c>
      <c r="I94" s="228">
        <v>210694805</v>
      </c>
      <c r="J94" s="228">
        <f t="shared" ref="J94:L94" si="95">J95+J96+J98+J116</f>
        <v>0</v>
      </c>
      <c r="K94" s="228">
        <f t="shared" si="95"/>
        <v>0</v>
      </c>
      <c r="L94" s="228">
        <f t="shared" si="95"/>
        <v>11734895</v>
      </c>
      <c r="M94" s="229">
        <f t="shared" si="74"/>
        <v>222429700</v>
      </c>
      <c r="N94" s="228">
        <v>210694805</v>
      </c>
      <c r="O94" s="228">
        <f t="shared" ref="O94:Q94" si="96">O95+O96+O98+O116</f>
        <v>0</v>
      </c>
      <c r="P94" s="228">
        <f t="shared" si="96"/>
        <v>0</v>
      </c>
      <c r="Q94" s="228">
        <f t="shared" si="96"/>
        <v>11734895</v>
      </c>
      <c r="R94" s="229">
        <f t="shared" si="75"/>
        <v>222429700</v>
      </c>
    </row>
    <row r="95" spans="1:18" s="6" customFormat="1" ht="24" hidden="1" customHeight="1">
      <c r="A95" s="130" t="s">
        <v>177</v>
      </c>
      <c r="B95" s="124" t="s">
        <v>90</v>
      </c>
      <c r="C95" s="98">
        <v>0</v>
      </c>
      <c r="D95" s="169">
        <v>0</v>
      </c>
      <c r="E95" s="231"/>
      <c r="F95" s="231"/>
      <c r="G95" s="231"/>
      <c r="H95" s="232">
        <f t="shared" si="73"/>
        <v>0</v>
      </c>
      <c r="I95" s="231">
        <v>0</v>
      </c>
      <c r="J95" s="231"/>
      <c r="K95" s="231"/>
      <c r="L95" s="231"/>
      <c r="M95" s="232">
        <f t="shared" si="74"/>
        <v>0</v>
      </c>
      <c r="N95" s="231">
        <v>0</v>
      </c>
      <c r="O95" s="231"/>
      <c r="P95" s="231"/>
      <c r="Q95" s="231"/>
      <c r="R95" s="232">
        <f t="shared" si="75"/>
        <v>0</v>
      </c>
    </row>
    <row r="96" spans="1:18" s="6" customFormat="1" ht="12" hidden="1" customHeight="1">
      <c r="A96" s="130" t="s">
        <v>91</v>
      </c>
      <c r="B96" s="124" t="s">
        <v>92</v>
      </c>
      <c r="C96" s="98">
        <v>0</v>
      </c>
      <c r="D96" s="169">
        <v>0</v>
      </c>
      <c r="E96" s="231"/>
      <c r="F96" s="231"/>
      <c r="G96" s="231"/>
      <c r="H96" s="232">
        <f t="shared" si="73"/>
        <v>0</v>
      </c>
      <c r="I96" s="231">
        <v>0</v>
      </c>
      <c r="J96" s="231"/>
      <c r="K96" s="231"/>
      <c r="L96" s="231"/>
      <c r="M96" s="232">
        <f t="shared" si="74"/>
        <v>0</v>
      </c>
      <c r="N96" s="231">
        <v>0</v>
      </c>
      <c r="O96" s="231"/>
      <c r="P96" s="231"/>
      <c r="Q96" s="231"/>
      <c r="R96" s="232">
        <f t="shared" si="75"/>
        <v>0</v>
      </c>
    </row>
    <row r="97" spans="1:18" s="6" customFormat="1" ht="24" hidden="1" customHeight="1">
      <c r="A97" s="131">
        <v>21210</v>
      </c>
      <c r="B97" s="125" t="s">
        <v>93</v>
      </c>
      <c r="C97" s="98">
        <v>0</v>
      </c>
      <c r="D97" s="169">
        <v>0</v>
      </c>
      <c r="E97" s="231"/>
      <c r="F97" s="231"/>
      <c r="G97" s="231"/>
      <c r="H97" s="232">
        <f t="shared" si="73"/>
        <v>0</v>
      </c>
      <c r="I97" s="231">
        <v>0</v>
      </c>
      <c r="J97" s="231"/>
      <c r="K97" s="231"/>
      <c r="L97" s="231"/>
      <c r="M97" s="232">
        <f t="shared" si="74"/>
        <v>0</v>
      </c>
      <c r="N97" s="231">
        <v>0</v>
      </c>
      <c r="O97" s="231"/>
      <c r="P97" s="231"/>
      <c r="Q97" s="231"/>
      <c r="R97" s="232">
        <f t="shared" si="75"/>
        <v>0</v>
      </c>
    </row>
    <row r="98" spans="1:18" s="6" customFormat="1" ht="21" hidden="1" customHeight="1">
      <c r="A98" s="130" t="s">
        <v>178</v>
      </c>
      <c r="B98" s="124" t="s">
        <v>94</v>
      </c>
      <c r="C98" s="170">
        <v>0</v>
      </c>
      <c r="D98" s="171">
        <v>0</v>
      </c>
      <c r="E98" s="233">
        <f t="shared" ref="E98:G98" si="97">E99+E105</f>
        <v>0</v>
      </c>
      <c r="F98" s="233">
        <f t="shared" si="97"/>
        <v>0</v>
      </c>
      <c r="G98" s="233">
        <f t="shared" si="97"/>
        <v>0</v>
      </c>
      <c r="H98" s="232">
        <f t="shared" si="73"/>
        <v>0</v>
      </c>
      <c r="I98" s="233">
        <v>0</v>
      </c>
      <c r="J98" s="233">
        <f t="shared" ref="J98:L98" si="98">J99+J105</f>
        <v>0</v>
      </c>
      <c r="K98" s="233">
        <f t="shared" si="98"/>
        <v>0</v>
      </c>
      <c r="L98" s="233">
        <f t="shared" si="98"/>
        <v>0</v>
      </c>
      <c r="M98" s="232">
        <f t="shared" si="74"/>
        <v>0</v>
      </c>
      <c r="N98" s="233">
        <v>0</v>
      </c>
      <c r="O98" s="233">
        <f t="shared" ref="O98:Q98" si="99">O99+O105</f>
        <v>0</v>
      </c>
      <c r="P98" s="233">
        <f t="shared" si="99"/>
        <v>0</v>
      </c>
      <c r="Q98" s="233">
        <f t="shared" si="99"/>
        <v>0</v>
      </c>
      <c r="R98" s="232">
        <f t="shared" si="75"/>
        <v>0</v>
      </c>
    </row>
    <row r="99" spans="1:18" s="6" customFormat="1" ht="12" hidden="1" customHeight="1">
      <c r="A99" s="132">
        <v>18000</v>
      </c>
      <c r="B99" s="125" t="s">
        <v>95</v>
      </c>
      <c r="C99" s="170">
        <v>0</v>
      </c>
      <c r="D99" s="171">
        <v>0</v>
      </c>
      <c r="E99" s="233">
        <f t="shared" ref="E99:L100" si="100">E100</f>
        <v>0</v>
      </c>
      <c r="F99" s="233">
        <f t="shared" si="100"/>
        <v>0</v>
      </c>
      <c r="G99" s="233">
        <f t="shared" si="100"/>
        <v>0</v>
      </c>
      <c r="H99" s="232">
        <f t="shared" si="73"/>
        <v>0</v>
      </c>
      <c r="I99" s="233">
        <v>0</v>
      </c>
      <c r="J99" s="233">
        <f t="shared" si="100"/>
        <v>0</v>
      </c>
      <c r="K99" s="233">
        <f t="shared" si="100"/>
        <v>0</v>
      </c>
      <c r="L99" s="233">
        <f t="shared" si="100"/>
        <v>0</v>
      </c>
      <c r="M99" s="232">
        <f t="shared" si="74"/>
        <v>0</v>
      </c>
      <c r="N99" s="233">
        <v>0</v>
      </c>
      <c r="O99" s="233">
        <f t="shared" ref="O99:Q100" si="101">O100</f>
        <v>0</v>
      </c>
      <c r="P99" s="233">
        <f t="shared" si="101"/>
        <v>0</v>
      </c>
      <c r="Q99" s="233">
        <f t="shared" si="101"/>
        <v>0</v>
      </c>
      <c r="R99" s="232">
        <f t="shared" si="75"/>
        <v>0</v>
      </c>
    </row>
    <row r="100" spans="1:18" s="6" customFormat="1" ht="12" hidden="1" customHeight="1">
      <c r="A100" s="132">
        <v>18100</v>
      </c>
      <c r="B100" s="125" t="s">
        <v>96</v>
      </c>
      <c r="C100" s="170">
        <v>0</v>
      </c>
      <c r="D100" s="171">
        <v>0</v>
      </c>
      <c r="E100" s="233">
        <f t="shared" si="100"/>
        <v>0</v>
      </c>
      <c r="F100" s="233">
        <f t="shared" si="100"/>
        <v>0</v>
      </c>
      <c r="G100" s="233">
        <f t="shared" si="100"/>
        <v>0</v>
      </c>
      <c r="H100" s="232">
        <f t="shared" si="73"/>
        <v>0</v>
      </c>
      <c r="I100" s="233">
        <v>0</v>
      </c>
      <c r="J100" s="233">
        <f t="shared" si="100"/>
        <v>0</v>
      </c>
      <c r="K100" s="233">
        <f t="shared" si="100"/>
        <v>0</v>
      </c>
      <c r="L100" s="233">
        <f t="shared" si="100"/>
        <v>0</v>
      </c>
      <c r="M100" s="232">
        <f t="shared" si="74"/>
        <v>0</v>
      </c>
      <c r="N100" s="233">
        <v>0</v>
      </c>
      <c r="O100" s="233">
        <f t="shared" si="101"/>
        <v>0</v>
      </c>
      <c r="P100" s="233">
        <f t="shared" si="101"/>
        <v>0</v>
      </c>
      <c r="Q100" s="233">
        <f t="shared" si="101"/>
        <v>0</v>
      </c>
      <c r="R100" s="232">
        <f t="shared" si="75"/>
        <v>0</v>
      </c>
    </row>
    <row r="101" spans="1:18" s="6" customFormat="1" ht="24" hidden="1" customHeight="1">
      <c r="A101" s="133">
        <v>18130</v>
      </c>
      <c r="B101" s="172" t="s">
        <v>159</v>
      </c>
      <c r="C101" s="170">
        <v>0</v>
      </c>
      <c r="D101" s="171">
        <v>0</v>
      </c>
      <c r="E101" s="233">
        <f t="shared" ref="E101:G101" si="102">SUM(E102:E104)</f>
        <v>0</v>
      </c>
      <c r="F101" s="233">
        <f t="shared" ref="F101" si="103">SUM(F102:F104)</f>
        <v>0</v>
      </c>
      <c r="G101" s="233">
        <f t="shared" si="102"/>
        <v>0</v>
      </c>
      <c r="H101" s="232">
        <f t="shared" si="73"/>
        <v>0</v>
      </c>
      <c r="I101" s="233">
        <v>0</v>
      </c>
      <c r="J101" s="233">
        <f t="shared" ref="J101:L101" si="104">SUM(J102:J104)</f>
        <v>0</v>
      </c>
      <c r="K101" s="233">
        <f t="shared" si="104"/>
        <v>0</v>
      </c>
      <c r="L101" s="233">
        <f t="shared" si="104"/>
        <v>0</v>
      </c>
      <c r="M101" s="232">
        <f t="shared" si="74"/>
        <v>0</v>
      </c>
      <c r="N101" s="233">
        <v>0</v>
      </c>
      <c r="O101" s="233">
        <f t="shared" ref="O101:Q101" si="105">SUM(O102:O104)</f>
        <v>0</v>
      </c>
      <c r="P101" s="233">
        <f t="shared" si="105"/>
        <v>0</v>
      </c>
      <c r="Q101" s="233">
        <f t="shared" si="105"/>
        <v>0</v>
      </c>
      <c r="R101" s="232">
        <f t="shared" si="75"/>
        <v>0</v>
      </c>
    </row>
    <row r="102" spans="1:18" s="6" customFormat="1" ht="24" hidden="1" customHeight="1">
      <c r="A102" s="134">
        <v>18131</v>
      </c>
      <c r="B102" s="172" t="s">
        <v>160</v>
      </c>
      <c r="C102" s="170">
        <v>0</v>
      </c>
      <c r="D102" s="171">
        <v>0</v>
      </c>
      <c r="E102" s="233"/>
      <c r="F102" s="233"/>
      <c r="G102" s="233"/>
      <c r="H102" s="232">
        <f t="shared" si="73"/>
        <v>0</v>
      </c>
      <c r="I102" s="233">
        <v>0</v>
      </c>
      <c r="J102" s="233"/>
      <c r="K102" s="233"/>
      <c r="L102" s="233"/>
      <c r="M102" s="232">
        <f t="shared" si="74"/>
        <v>0</v>
      </c>
      <c r="N102" s="233">
        <v>0</v>
      </c>
      <c r="O102" s="233"/>
      <c r="P102" s="233"/>
      <c r="Q102" s="233"/>
      <c r="R102" s="232">
        <f t="shared" si="75"/>
        <v>0</v>
      </c>
    </row>
    <row r="103" spans="1:18" s="6" customFormat="1" ht="24" hidden="1" customHeight="1">
      <c r="A103" s="134">
        <v>18132</v>
      </c>
      <c r="B103" s="172" t="s">
        <v>169</v>
      </c>
      <c r="C103" s="170">
        <v>0</v>
      </c>
      <c r="D103" s="171">
        <v>0</v>
      </c>
      <c r="E103" s="233"/>
      <c r="F103" s="233"/>
      <c r="G103" s="233"/>
      <c r="H103" s="232">
        <f t="shared" si="73"/>
        <v>0</v>
      </c>
      <c r="I103" s="233">
        <v>0</v>
      </c>
      <c r="J103" s="233"/>
      <c r="K103" s="233"/>
      <c r="L103" s="233"/>
      <c r="M103" s="232">
        <f t="shared" si="74"/>
        <v>0</v>
      </c>
      <c r="N103" s="233">
        <v>0</v>
      </c>
      <c r="O103" s="233"/>
      <c r="P103" s="233"/>
      <c r="Q103" s="233"/>
      <c r="R103" s="232">
        <f t="shared" si="75"/>
        <v>0</v>
      </c>
    </row>
    <row r="104" spans="1:18" s="6" customFormat="1" ht="24" hidden="1" customHeight="1">
      <c r="A104" s="134">
        <v>18139</v>
      </c>
      <c r="B104" s="172" t="s">
        <v>179</v>
      </c>
      <c r="C104" s="170">
        <v>0</v>
      </c>
      <c r="D104" s="171">
        <v>0</v>
      </c>
      <c r="E104" s="233"/>
      <c r="F104" s="233"/>
      <c r="G104" s="233"/>
      <c r="H104" s="232">
        <f t="shared" si="73"/>
        <v>0</v>
      </c>
      <c r="I104" s="233">
        <v>0</v>
      </c>
      <c r="J104" s="233"/>
      <c r="K104" s="233"/>
      <c r="L104" s="233"/>
      <c r="M104" s="232">
        <f t="shared" si="74"/>
        <v>0</v>
      </c>
      <c r="N104" s="233">
        <v>0</v>
      </c>
      <c r="O104" s="233"/>
      <c r="P104" s="233"/>
      <c r="Q104" s="233"/>
      <c r="R104" s="232">
        <f t="shared" si="75"/>
        <v>0</v>
      </c>
    </row>
    <row r="105" spans="1:18" s="6" customFormat="1" ht="12" hidden="1" customHeight="1">
      <c r="A105" s="135" t="s">
        <v>180</v>
      </c>
      <c r="B105" s="173" t="s">
        <v>173</v>
      </c>
      <c r="C105" s="201">
        <v>0</v>
      </c>
      <c r="D105" s="174">
        <v>0</v>
      </c>
      <c r="E105" s="238">
        <f t="shared" ref="E105:L105" si="106">E106</f>
        <v>0</v>
      </c>
      <c r="F105" s="238">
        <f t="shared" si="106"/>
        <v>0</v>
      </c>
      <c r="G105" s="238">
        <f t="shared" si="106"/>
        <v>0</v>
      </c>
      <c r="H105" s="232">
        <f t="shared" si="73"/>
        <v>0</v>
      </c>
      <c r="I105" s="238">
        <v>0</v>
      </c>
      <c r="J105" s="238">
        <f t="shared" si="106"/>
        <v>0</v>
      </c>
      <c r="K105" s="238">
        <f t="shared" si="106"/>
        <v>0</v>
      </c>
      <c r="L105" s="238">
        <f t="shared" si="106"/>
        <v>0</v>
      </c>
      <c r="M105" s="232">
        <f t="shared" si="74"/>
        <v>0</v>
      </c>
      <c r="N105" s="238">
        <v>0</v>
      </c>
      <c r="O105" s="238">
        <f t="shared" ref="O105:Q105" si="107">O106</f>
        <v>0</v>
      </c>
      <c r="P105" s="238">
        <f t="shared" si="107"/>
        <v>0</v>
      </c>
      <c r="Q105" s="238">
        <f t="shared" si="107"/>
        <v>0</v>
      </c>
      <c r="R105" s="232">
        <f t="shared" si="75"/>
        <v>0</v>
      </c>
    </row>
    <row r="106" spans="1:18" s="6" customFormat="1" ht="12" hidden="1" customHeight="1">
      <c r="A106" s="135">
        <v>19500</v>
      </c>
      <c r="B106" s="172" t="s">
        <v>174</v>
      </c>
      <c r="C106" s="170">
        <v>0</v>
      </c>
      <c r="D106" s="171">
        <v>0</v>
      </c>
      <c r="E106" s="233">
        <f t="shared" ref="E106:G106" si="108">SUM(E107:E109)</f>
        <v>0</v>
      </c>
      <c r="F106" s="233">
        <f t="shared" si="108"/>
        <v>0</v>
      </c>
      <c r="G106" s="233">
        <f t="shared" si="108"/>
        <v>0</v>
      </c>
      <c r="H106" s="232">
        <f t="shared" si="73"/>
        <v>0</v>
      </c>
      <c r="I106" s="233">
        <v>0</v>
      </c>
      <c r="J106" s="233">
        <f t="shared" ref="J106:L106" si="109">SUM(J107:J109)</f>
        <v>0</v>
      </c>
      <c r="K106" s="233">
        <f t="shared" si="109"/>
        <v>0</v>
      </c>
      <c r="L106" s="233">
        <f t="shared" si="109"/>
        <v>0</v>
      </c>
      <c r="M106" s="232">
        <f t="shared" si="74"/>
        <v>0</v>
      </c>
      <c r="N106" s="233">
        <v>0</v>
      </c>
      <c r="O106" s="233">
        <f t="shared" ref="O106:Q106" si="110">SUM(O107:O109)</f>
        <v>0</v>
      </c>
      <c r="P106" s="233">
        <f t="shared" si="110"/>
        <v>0</v>
      </c>
      <c r="Q106" s="233">
        <f t="shared" si="110"/>
        <v>0</v>
      </c>
      <c r="R106" s="232">
        <f t="shared" si="75"/>
        <v>0</v>
      </c>
    </row>
    <row r="107" spans="1:18" s="6" customFormat="1" ht="24" hidden="1" customHeight="1">
      <c r="A107" s="136">
        <v>19550</v>
      </c>
      <c r="B107" s="172" t="s">
        <v>175</v>
      </c>
      <c r="C107" s="170">
        <v>0</v>
      </c>
      <c r="D107" s="171">
        <v>0</v>
      </c>
      <c r="E107" s="233"/>
      <c r="F107" s="233"/>
      <c r="G107" s="233"/>
      <c r="H107" s="232">
        <f t="shared" si="73"/>
        <v>0</v>
      </c>
      <c r="I107" s="233">
        <v>0</v>
      </c>
      <c r="J107" s="233"/>
      <c r="K107" s="233"/>
      <c r="L107" s="233"/>
      <c r="M107" s="232">
        <f t="shared" si="74"/>
        <v>0</v>
      </c>
      <c r="N107" s="233">
        <v>0</v>
      </c>
      <c r="O107" s="233"/>
      <c r="P107" s="233"/>
      <c r="Q107" s="233"/>
      <c r="R107" s="232">
        <f t="shared" si="75"/>
        <v>0</v>
      </c>
    </row>
    <row r="108" spans="1:18" s="6" customFormat="1" ht="36" hidden="1" customHeight="1">
      <c r="A108" s="136">
        <v>19560</v>
      </c>
      <c r="B108" s="172" t="s">
        <v>181</v>
      </c>
      <c r="C108" s="170">
        <v>0</v>
      </c>
      <c r="D108" s="171">
        <v>0</v>
      </c>
      <c r="E108" s="233"/>
      <c r="F108" s="233"/>
      <c r="G108" s="233"/>
      <c r="H108" s="232">
        <f t="shared" si="73"/>
        <v>0</v>
      </c>
      <c r="I108" s="233">
        <v>0</v>
      </c>
      <c r="J108" s="233"/>
      <c r="K108" s="233"/>
      <c r="L108" s="233"/>
      <c r="M108" s="232">
        <f t="shared" si="74"/>
        <v>0</v>
      </c>
      <c r="N108" s="233">
        <v>0</v>
      </c>
      <c r="O108" s="233"/>
      <c r="P108" s="233"/>
      <c r="Q108" s="233"/>
      <c r="R108" s="232">
        <f t="shared" si="75"/>
        <v>0</v>
      </c>
    </row>
    <row r="109" spans="1:18" s="6" customFormat="1" ht="60" hidden="1" customHeight="1">
      <c r="A109" s="136">
        <v>19570</v>
      </c>
      <c r="B109" s="172" t="s">
        <v>182</v>
      </c>
      <c r="C109" s="170">
        <v>0</v>
      </c>
      <c r="D109" s="171">
        <v>0</v>
      </c>
      <c r="E109" s="233"/>
      <c r="F109" s="233"/>
      <c r="G109" s="233"/>
      <c r="H109" s="232">
        <f t="shared" si="73"/>
        <v>0</v>
      </c>
      <c r="I109" s="233">
        <v>0</v>
      </c>
      <c r="J109" s="233"/>
      <c r="K109" s="233"/>
      <c r="L109" s="233"/>
      <c r="M109" s="232">
        <f t="shared" si="74"/>
        <v>0</v>
      </c>
      <c r="N109" s="233">
        <v>0</v>
      </c>
      <c r="O109" s="233"/>
      <c r="P109" s="233"/>
      <c r="Q109" s="233"/>
      <c r="R109" s="232">
        <f t="shared" si="75"/>
        <v>0</v>
      </c>
    </row>
    <row r="110" spans="1:18" s="6" customFormat="1" ht="24" hidden="1" customHeight="1">
      <c r="A110" s="209" t="s">
        <v>222</v>
      </c>
      <c r="B110" s="208" t="s">
        <v>216</v>
      </c>
      <c r="C110" s="106">
        <f>C111</f>
        <v>0</v>
      </c>
      <c r="D110" s="106">
        <v>0</v>
      </c>
      <c r="E110" s="232">
        <f t="shared" ref="E110:L110" si="111">E111</f>
        <v>0</v>
      </c>
      <c r="F110" s="232">
        <f t="shared" si="111"/>
        <v>0</v>
      </c>
      <c r="G110" s="232">
        <f t="shared" si="111"/>
        <v>0</v>
      </c>
      <c r="H110" s="232">
        <f t="shared" si="73"/>
        <v>0</v>
      </c>
      <c r="I110" s="233">
        <v>0</v>
      </c>
      <c r="J110" s="232">
        <f t="shared" si="111"/>
        <v>0</v>
      </c>
      <c r="K110" s="232">
        <f t="shared" si="111"/>
        <v>0</v>
      </c>
      <c r="L110" s="232">
        <f t="shared" si="111"/>
        <v>0</v>
      </c>
      <c r="M110" s="232">
        <f t="shared" si="74"/>
        <v>0</v>
      </c>
      <c r="N110" s="233">
        <v>0</v>
      </c>
      <c r="O110" s="232">
        <f t="shared" ref="O110:Q110" si="112">O111</f>
        <v>0</v>
      </c>
      <c r="P110" s="232">
        <f t="shared" si="112"/>
        <v>0</v>
      </c>
      <c r="Q110" s="232">
        <f t="shared" si="112"/>
        <v>0</v>
      </c>
      <c r="R110" s="232">
        <f t="shared" si="75"/>
        <v>0</v>
      </c>
    </row>
    <row r="111" spans="1:18" s="6" customFormat="1" ht="36" hidden="1" customHeight="1">
      <c r="A111" s="209">
        <v>17100</v>
      </c>
      <c r="B111" s="208" t="s">
        <v>217</v>
      </c>
      <c r="C111" s="106">
        <f>SUM(C112:C115)</f>
        <v>0</v>
      </c>
      <c r="D111" s="106">
        <v>0</v>
      </c>
      <c r="E111" s="232">
        <f t="shared" ref="E111:G111" si="113">SUM(E112:E115)</f>
        <v>0</v>
      </c>
      <c r="F111" s="232">
        <f t="shared" si="113"/>
        <v>0</v>
      </c>
      <c r="G111" s="232">
        <f t="shared" si="113"/>
        <v>0</v>
      </c>
      <c r="H111" s="232">
        <f t="shared" si="73"/>
        <v>0</v>
      </c>
      <c r="I111" s="233">
        <v>0</v>
      </c>
      <c r="J111" s="232">
        <f t="shared" ref="J111:L111" si="114">SUM(J112:J115)</f>
        <v>0</v>
      </c>
      <c r="K111" s="232">
        <f t="shared" si="114"/>
        <v>0</v>
      </c>
      <c r="L111" s="232">
        <f t="shared" si="114"/>
        <v>0</v>
      </c>
      <c r="M111" s="232">
        <f t="shared" si="74"/>
        <v>0</v>
      </c>
      <c r="N111" s="233">
        <v>0</v>
      </c>
      <c r="O111" s="232">
        <f t="shared" ref="O111:Q111" si="115">SUM(O112:O115)</f>
        <v>0</v>
      </c>
      <c r="P111" s="232">
        <f t="shared" si="115"/>
        <v>0</v>
      </c>
      <c r="Q111" s="232">
        <f t="shared" si="115"/>
        <v>0</v>
      </c>
      <c r="R111" s="232">
        <f t="shared" si="75"/>
        <v>0</v>
      </c>
    </row>
    <row r="112" spans="1:18" s="6" customFormat="1" ht="48" hidden="1" customHeight="1">
      <c r="A112" s="149">
        <v>17110</v>
      </c>
      <c r="B112" s="208" t="s">
        <v>218</v>
      </c>
      <c r="C112" s="106"/>
      <c r="D112" s="107">
        <v>0</v>
      </c>
      <c r="E112" s="233"/>
      <c r="F112" s="233"/>
      <c r="G112" s="233"/>
      <c r="H112" s="232">
        <f t="shared" si="73"/>
        <v>0</v>
      </c>
      <c r="I112" s="233">
        <v>0</v>
      </c>
      <c r="J112" s="233"/>
      <c r="K112" s="233"/>
      <c r="L112" s="233"/>
      <c r="M112" s="232">
        <f t="shared" si="74"/>
        <v>0</v>
      </c>
      <c r="N112" s="233">
        <v>0</v>
      </c>
      <c r="O112" s="233"/>
      <c r="P112" s="233"/>
      <c r="Q112" s="233"/>
      <c r="R112" s="232">
        <f t="shared" si="75"/>
        <v>0</v>
      </c>
    </row>
    <row r="113" spans="1:18" s="6" customFormat="1" ht="48" hidden="1" customHeight="1">
      <c r="A113" s="149">
        <v>17120</v>
      </c>
      <c r="B113" s="208" t="s">
        <v>219</v>
      </c>
      <c r="C113" s="106"/>
      <c r="D113" s="107">
        <v>0</v>
      </c>
      <c r="E113" s="233"/>
      <c r="F113" s="233"/>
      <c r="G113" s="233"/>
      <c r="H113" s="232">
        <f t="shared" si="73"/>
        <v>0</v>
      </c>
      <c r="I113" s="233">
        <v>0</v>
      </c>
      <c r="J113" s="233"/>
      <c r="K113" s="233"/>
      <c r="L113" s="233"/>
      <c r="M113" s="232">
        <f t="shared" si="74"/>
        <v>0</v>
      </c>
      <c r="N113" s="233">
        <v>0</v>
      </c>
      <c r="O113" s="233"/>
      <c r="P113" s="233"/>
      <c r="Q113" s="233"/>
      <c r="R113" s="232">
        <f t="shared" si="75"/>
        <v>0</v>
      </c>
    </row>
    <row r="114" spans="1:18" s="6" customFormat="1" ht="96" hidden="1" customHeight="1">
      <c r="A114" s="149">
        <v>17130</v>
      </c>
      <c r="B114" s="208" t="s">
        <v>220</v>
      </c>
      <c r="C114" s="106"/>
      <c r="D114" s="107">
        <v>0</v>
      </c>
      <c r="E114" s="233"/>
      <c r="F114" s="233"/>
      <c r="G114" s="233"/>
      <c r="H114" s="232">
        <f t="shared" si="73"/>
        <v>0</v>
      </c>
      <c r="I114" s="233">
        <v>0</v>
      </c>
      <c r="J114" s="233"/>
      <c r="K114" s="233"/>
      <c r="L114" s="233"/>
      <c r="M114" s="232">
        <f t="shared" si="74"/>
        <v>0</v>
      </c>
      <c r="N114" s="233">
        <v>0</v>
      </c>
      <c r="O114" s="233"/>
      <c r="P114" s="233"/>
      <c r="Q114" s="233"/>
      <c r="R114" s="232">
        <f t="shared" si="75"/>
        <v>0</v>
      </c>
    </row>
    <row r="115" spans="1:18" s="6" customFormat="1" ht="96" hidden="1" customHeight="1">
      <c r="A115" s="149">
        <v>17140</v>
      </c>
      <c r="B115" s="208" t="s">
        <v>221</v>
      </c>
      <c r="C115" s="106"/>
      <c r="D115" s="107">
        <v>0</v>
      </c>
      <c r="E115" s="233"/>
      <c r="F115" s="233"/>
      <c r="G115" s="233"/>
      <c r="H115" s="232">
        <f t="shared" si="73"/>
        <v>0</v>
      </c>
      <c r="I115" s="233">
        <v>0</v>
      </c>
      <c r="J115" s="233"/>
      <c r="K115" s="233"/>
      <c r="L115" s="233"/>
      <c r="M115" s="232">
        <f t="shared" si="74"/>
        <v>0</v>
      </c>
      <c r="N115" s="233">
        <v>0</v>
      </c>
      <c r="O115" s="233"/>
      <c r="P115" s="233"/>
      <c r="Q115" s="233"/>
      <c r="R115" s="232">
        <f t="shared" si="75"/>
        <v>0</v>
      </c>
    </row>
    <row r="116" spans="1:18" s="6" customFormat="1" ht="12">
      <c r="A116" s="137">
        <v>21700</v>
      </c>
      <c r="B116" s="124" t="s">
        <v>97</v>
      </c>
      <c r="C116" s="170">
        <v>210694805</v>
      </c>
      <c r="D116" s="171">
        <v>210694805</v>
      </c>
      <c r="E116" s="233">
        <f t="shared" ref="E116:G116" si="116">E117+E118</f>
        <v>0</v>
      </c>
      <c r="F116" s="233">
        <f t="shared" si="116"/>
        <v>0</v>
      </c>
      <c r="G116" s="233">
        <f t="shared" si="116"/>
        <v>5174895</v>
      </c>
      <c r="H116" s="232">
        <f t="shared" si="73"/>
        <v>215869700</v>
      </c>
      <c r="I116" s="233">
        <v>210694805</v>
      </c>
      <c r="J116" s="233">
        <f t="shared" ref="J116:L116" si="117">J117+J118</f>
        <v>0</v>
      </c>
      <c r="K116" s="233">
        <f t="shared" si="117"/>
        <v>0</v>
      </c>
      <c r="L116" s="233">
        <f t="shared" si="117"/>
        <v>11734895</v>
      </c>
      <c r="M116" s="232">
        <f t="shared" si="74"/>
        <v>222429700</v>
      </c>
      <c r="N116" s="233">
        <v>210694805</v>
      </c>
      <c r="O116" s="233">
        <f t="shared" ref="O116:Q116" si="118">O117+O118</f>
        <v>0</v>
      </c>
      <c r="P116" s="233">
        <f t="shared" si="118"/>
        <v>0</v>
      </c>
      <c r="Q116" s="233">
        <f t="shared" si="118"/>
        <v>11734895</v>
      </c>
      <c r="R116" s="232">
        <f t="shared" si="75"/>
        <v>222429700</v>
      </c>
    </row>
    <row r="117" spans="1:18" s="6" customFormat="1" ht="24">
      <c r="A117" s="138">
        <v>21710</v>
      </c>
      <c r="B117" s="125" t="s">
        <v>98</v>
      </c>
      <c r="C117" s="170">
        <v>210694805</v>
      </c>
      <c r="D117" s="171">
        <v>210694805</v>
      </c>
      <c r="E117" s="233"/>
      <c r="F117" s="233"/>
      <c r="G117" s="233">
        <f>G119</f>
        <v>5174895</v>
      </c>
      <c r="H117" s="232">
        <f t="shared" si="73"/>
        <v>215869700</v>
      </c>
      <c r="I117" s="233">
        <v>210694805</v>
      </c>
      <c r="J117" s="233"/>
      <c r="K117" s="233"/>
      <c r="L117" s="233">
        <f>L119</f>
        <v>11734895</v>
      </c>
      <c r="M117" s="232">
        <f t="shared" si="74"/>
        <v>222429700</v>
      </c>
      <c r="N117" s="233">
        <v>210694805</v>
      </c>
      <c r="O117" s="233"/>
      <c r="P117" s="233"/>
      <c r="Q117" s="233">
        <f>Q119</f>
        <v>11734895</v>
      </c>
      <c r="R117" s="232">
        <f t="shared" si="75"/>
        <v>222429700</v>
      </c>
    </row>
    <row r="118" spans="1:18" s="6" customFormat="1" ht="24" hidden="1" customHeight="1">
      <c r="A118" s="138">
        <v>21720</v>
      </c>
      <c r="B118" s="125" t="s">
        <v>99</v>
      </c>
      <c r="C118" s="170">
        <v>0</v>
      </c>
      <c r="D118" s="171">
        <v>0</v>
      </c>
      <c r="E118" s="233"/>
      <c r="F118" s="233"/>
      <c r="G118" s="233"/>
      <c r="H118" s="232">
        <f t="shared" si="73"/>
        <v>0</v>
      </c>
      <c r="I118" s="233">
        <v>0</v>
      </c>
      <c r="J118" s="233"/>
      <c r="K118" s="233"/>
      <c r="L118" s="233"/>
      <c r="M118" s="232">
        <f t="shared" si="74"/>
        <v>0</v>
      </c>
      <c r="N118" s="233">
        <v>0</v>
      </c>
      <c r="O118" s="233"/>
      <c r="P118" s="233"/>
      <c r="Q118" s="233"/>
      <c r="R118" s="232">
        <f t="shared" si="75"/>
        <v>0</v>
      </c>
    </row>
    <row r="119" spans="1:18" s="6" customFormat="1" ht="11.4">
      <c r="A119" s="129" t="s">
        <v>100</v>
      </c>
      <c r="B119" s="123" t="s">
        <v>101</v>
      </c>
      <c r="C119" s="168">
        <v>210694805</v>
      </c>
      <c r="D119" s="175">
        <v>210694805</v>
      </c>
      <c r="E119" s="243">
        <f t="shared" ref="E119:G119" si="119">E120+E147</f>
        <v>0</v>
      </c>
      <c r="F119" s="243">
        <f t="shared" si="119"/>
        <v>0</v>
      </c>
      <c r="G119" s="243">
        <f t="shared" si="119"/>
        <v>5174895</v>
      </c>
      <c r="H119" s="229">
        <f t="shared" si="73"/>
        <v>215869700</v>
      </c>
      <c r="I119" s="243">
        <v>210694805</v>
      </c>
      <c r="J119" s="243">
        <f t="shared" ref="J119:L119" si="120">J120+J147</f>
        <v>0</v>
      </c>
      <c r="K119" s="243">
        <f t="shared" si="120"/>
        <v>0</v>
      </c>
      <c r="L119" s="243">
        <f t="shared" si="120"/>
        <v>11734895</v>
      </c>
      <c r="M119" s="229">
        <f t="shared" si="74"/>
        <v>222429700</v>
      </c>
      <c r="N119" s="243">
        <v>210694805</v>
      </c>
      <c r="O119" s="243">
        <f t="shared" ref="O119:Q119" si="121">O120+O147</f>
        <v>0</v>
      </c>
      <c r="P119" s="243">
        <f t="shared" si="121"/>
        <v>0</v>
      </c>
      <c r="Q119" s="243">
        <f t="shared" si="121"/>
        <v>11734895</v>
      </c>
      <c r="R119" s="229">
        <f t="shared" si="75"/>
        <v>222429700</v>
      </c>
    </row>
    <row r="120" spans="1:18" s="6" customFormat="1" ht="20.399999999999999">
      <c r="A120" s="130" t="s">
        <v>102</v>
      </c>
      <c r="B120" s="124" t="s">
        <v>103</v>
      </c>
      <c r="C120" s="170">
        <v>210694805</v>
      </c>
      <c r="D120" s="171">
        <v>210694805</v>
      </c>
      <c r="E120" s="233">
        <f t="shared" ref="E120:G120" si="122">E121+E125+E126+E129+E132</f>
        <v>0</v>
      </c>
      <c r="F120" s="233">
        <f t="shared" si="122"/>
        <v>0</v>
      </c>
      <c r="G120" s="233">
        <f t="shared" si="122"/>
        <v>5174895</v>
      </c>
      <c r="H120" s="232">
        <f t="shared" si="73"/>
        <v>215869700</v>
      </c>
      <c r="I120" s="233">
        <v>210694805</v>
      </c>
      <c r="J120" s="233">
        <f t="shared" ref="J120:L120" si="123">J121+J125+J126+J129+J132</f>
        <v>0</v>
      </c>
      <c r="K120" s="233">
        <f t="shared" si="123"/>
        <v>0</v>
      </c>
      <c r="L120" s="233">
        <f t="shared" si="123"/>
        <v>11734895</v>
      </c>
      <c r="M120" s="232">
        <f t="shared" si="74"/>
        <v>222429700</v>
      </c>
      <c r="N120" s="233">
        <v>210694805</v>
      </c>
      <c r="O120" s="233">
        <f t="shared" ref="O120:Q120" si="124">O121+O125+O126+O129+O132</f>
        <v>0</v>
      </c>
      <c r="P120" s="233">
        <f t="shared" si="124"/>
        <v>0</v>
      </c>
      <c r="Q120" s="233">
        <f t="shared" si="124"/>
        <v>11734895</v>
      </c>
      <c r="R120" s="232">
        <f t="shared" si="75"/>
        <v>222429700</v>
      </c>
    </row>
    <row r="121" spans="1:18" s="6" customFormat="1" ht="12" hidden="1" customHeight="1">
      <c r="A121" s="130" t="s">
        <v>104</v>
      </c>
      <c r="B121" s="124" t="s">
        <v>105</v>
      </c>
      <c r="C121" s="170">
        <v>0</v>
      </c>
      <c r="D121" s="171">
        <v>0</v>
      </c>
      <c r="E121" s="233">
        <f t="shared" ref="E121:G121" si="125">E122+E124</f>
        <v>0</v>
      </c>
      <c r="F121" s="233">
        <f t="shared" si="125"/>
        <v>0</v>
      </c>
      <c r="G121" s="233">
        <f t="shared" si="125"/>
        <v>0</v>
      </c>
      <c r="H121" s="232">
        <f t="shared" si="73"/>
        <v>0</v>
      </c>
      <c r="I121" s="233">
        <v>0</v>
      </c>
      <c r="J121" s="233">
        <f t="shared" ref="J121:L121" si="126">J122+J124</f>
        <v>0</v>
      </c>
      <c r="K121" s="233">
        <f t="shared" si="126"/>
        <v>0</v>
      </c>
      <c r="L121" s="233">
        <f t="shared" si="126"/>
        <v>0</v>
      </c>
      <c r="M121" s="232">
        <f t="shared" si="74"/>
        <v>0</v>
      </c>
      <c r="N121" s="233">
        <v>0</v>
      </c>
      <c r="O121" s="233">
        <f t="shared" ref="O121:Q121" si="127">O122+O124</f>
        <v>0</v>
      </c>
      <c r="P121" s="233">
        <f t="shared" si="127"/>
        <v>0</v>
      </c>
      <c r="Q121" s="233">
        <f t="shared" si="127"/>
        <v>0</v>
      </c>
      <c r="R121" s="232">
        <f t="shared" si="75"/>
        <v>0</v>
      </c>
    </row>
    <row r="122" spans="1:18" s="29" customFormat="1" ht="12" hidden="1" customHeight="1">
      <c r="A122" s="132">
        <v>1000</v>
      </c>
      <c r="B122" s="125" t="s">
        <v>106</v>
      </c>
      <c r="C122" s="170">
        <v>0</v>
      </c>
      <c r="D122" s="176">
        <v>0</v>
      </c>
      <c r="E122" s="244"/>
      <c r="F122" s="244"/>
      <c r="G122" s="244"/>
      <c r="H122" s="232">
        <f t="shared" si="73"/>
        <v>0</v>
      </c>
      <c r="I122" s="233">
        <v>0</v>
      </c>
      <c r="J122" s="244"/>
      <c r="K122" s="244"/>
      <c r="L122" s="244"/>
      <c r="M122" s="232">
        <f t="shared" si="74"/>
        <v>0</v>
      </c>
      <c r="N122" s="233">
        <v>0</v>
      </c>
      <c r="O122" s="244"/>
      <c r="P122" s="244"/>
      <c r="Q122" s="244"/>
      <c r="R122" s="232">
        <f t="shared" si="75"/>
        <v>0</v>
      </c>
    </row>
    <row r="123" spans="1:18" s="89" customFormat="1" ht="12" hidden="1" customHeight="1">
      <c r="A123" s="139">
        <v>1100</v>
      </c>
      <c r="B123" s="125" t="s">
        <v>107</v>
      </c>
      <c r="C123" s="170">
        <v>0</v>
      </c>
      <c r="D123" s="176">
        <v>0</v>
      </c>
      <c r="E123" s="244"/>
      <c r="F123" s="244"/>
      <c r="G123" s="244"/>
      <c r="H123" s="232">
        <f t="shared" si="73"/>
        <v>0</v>
      </c>
      <c r="I123" s="233">
        <v>0</v>
      </c>
      <c r="J123" s="244"/>
      <c r="K123" s="244"/>
      <c r="L123" s="244"/>
      <c r="M123" s="232">
        <f t="shared" si="74"/>
        <v>0</v>
      </c>
      <c r="N123" s="233">
        <v>0</v>
      </c>
      <c r="O123" s="244"/>
      <c r="P123" s="244"/>
      <c r="Q123" s="244"/>
      <c r="R123" s="232">
        <f t="shared" si="75"/>
        <v>0</v>
      </c>
    </row>
    <row r="124" spans="1:18" s="89" customFormat="1" ht="12" hidden="1" customHeight="1">
      <c r="A124" s="132">
        <v>2000</v>
      </c>
      <c r="B124" s="125" t="s">
        <v>108</v>
      </c>
      <c r="C124" s="170">
        <v>0</v>
      </c>
      <c r="D124" s="176">
        <v>0</v>
      </c>
      <c r="E124" s="244"/>
      <c r="F124" s="244"/>
      <c r="G124" s="244"/>
      <c r="H124" s="232">
        <f t="shared" si="73"/>
        <v>0</v>
      </c>
      <c r="I124" s="233">
        <v>0</v>
      </c>
      <c r="J124" s="244"/>
      <c r="K124" s="244"/>
      <c r="L124" s="244"/>
      <c r="M124" s="232">
        <f t="shared" si="74"/>
        <v>0</v>
      </c>
      <c r="N124" s="233">
        <v>0</v>
      </c>
      <c r="O124" s="244"/>
      <c r="P124" s="244"/>
      <c r="Q124" s="244"/>
      <c r="R124" s="232">
        <f t="shared" si="75"/>
        <v>0</v>
      </c>
    </row>
    <row r="125" spans="1:18" s="89" customFormat="1" ht="12" hidden="1" customHeight="1">
      <c r="A125" s="140">
        <v>4000</v>
      </c>
      <c r="B125" s="124" t="s">
        <v>132</v>
      </c>
      <c r="C125" s="170">
        <v>0</v>
      </c>
      <c r="D125" s="176">
        <v>0</v>
      </c>
      <c r="E125" s="244"/>
      <c r="F125" s="244"/>
      <c r="G125" s="244"/>
      <c r="H125" s="232">
        <f t="shared" si="73"/>
        <v>0</v>
      </c>
      <c r="I125" s="233">
        <v>0</v>
      </c>
      <c r="J125" s="244"/>
      <c r="K125" s="244"/>
      <c r="L125" s="244"/>
      <c r="M125" s="232">
        <f t="shared" si="74"/>
        <v>0</v>
      </c>
      <c r="N125" s="233">
        <v>0</v>
      </c>
      <c r="O125" s="244"/>
      <c r="P125" s="244"/>
      <c r="Q125" s="244"/>
      <c r="R125" s="232">
        <f t="shared" si="75"/>
        <v>0</v>
      </c>
    </row>
    <row r="126" spans="1:18" s="89" customFormat="1" ht="12" hidden="1" customHeight="1">
      <c r="A126" s="140" t="s">
        <v>109</v>
      </c>
      <c r="B126" s="124" t="s">
        <v>110</v>
      </c>
      <c r="C126" s="170">
        <v>0</v>
      </c>
      <c r="D126" s="171">
        <v>0</v>
      </c>
      <c r="E126" s="233">
        <f t="shared" ref="E126:G126" si="128">E127+E128</f>
        <v>0</v>
      </c>
      <c r="F126" s="233">
        <f t="shared" si="128"/>
        <v>0</v>
      </c>
      <c r="G126" s="233">
        <f t="shared" si="128"/>
        <v>0</v>
      </c>
      <c r="H126" s="232">
        <f t="shared" si="73"/>
        <v>0</v>
      </c>
      <c r="I126" s="233">
        <v>0</v>
      </c>
      <c r="J126" s="233">
        <f t="shared" ref="J126:L126" si="129">J127+J128</f>
        <v>0</v>
      </c>
      <c r="K126" s="233">
        <f t="shared" si="129"/>
        <v>0</v>
      </c>
      <c r="L126" s="233">
        <f t="shared" si="129"/>
        <v>0</v>
      </c>
      <c r="M126" s="232">
        <f t="shared" si="74"/>
        <v>0</v>
      </c>
      <c r="N126" s="233">
        <v>0</v>
      </c>
      <c r="O126" s="233">
        <f t="shared" ref="O126:Q126" si="130">O127+O128</f>
        <v>0</v>
      </c>
      <c r="P126" s="233">
        <f t="shared" si="130"/>
        <v>0</v>
      </c>
      <c r="Q126" s="233">
        <f t="shared" si="130"/>
        <v>0</v>
      </c>
      <c r="R126" s="232">
        <f t="shared" si="75"/>
        <v>0</v>
      </c>
    </row>
    <row r="127" spans="1:18" s="89" customFormat="1" ht="12" hidden="1" customHeight="1">
      <c r="A127" s="132">
        <v>3000</v>
      </c>
      <c r="B127" s="125" t="s">
        <v>111</v>
      </c>
      <c r="C127" s="202">
        <v>0</v>
      </c>
      <c r="D127" s="177">
        <v>0</v>
      </c>
      <c r="E127" s="246"/>
      <c r="F127" s="246"/>
      <c r="G127" s="246"/>
      <c r="H127" s="232">
        <f t="shared" si="73"/>
        <v>0</v>
      </c>
      <c r="I127" s="345">
        <v>0</v>
      </c>
      <c r="J127" s="246"/>
      <c r="K127" s="246"/>
      <c r="L127" s="246"/>
      <c r="M127" s="232">
        <f t="shared" si="74"/>
        <v>0</v>
      </c>
      <c r="N127" s="345">
        <v>0</v>
      </c>
      <c r="O127" s="246"/>
      <c r="P127" s="246"/>
      <c r="Q127" s="246"/>
      <c r="R127" s="232">
        <f t="shared" si="75"/>
        <v>0</v>
      </c>
    </row>
    <row r="128" spans="1:18" s="89" customFormat="1" ht="12" hidden="1" customHeight="1">
      <c r="A128" s="132">
        <v>6000</v>
      </c>
      <c r="B128" s="125" t="s">
        <v>112</v>
      </c>
      <c r="C128" s="203">
        <v>0</v>
      </c>
      <c r="D128" s="178">
        <v>0</v>
      </c>
      <c r="E128" s="248"/>
      <c r="F128" s="248"/>
      <c r="G128" s="248"/>
      <c r="H128" s="232">
        <f t="shared" si="73"/>
        <v>0</v>
      </c>
      <c r="I128" s="346">
        <v>0</v>
      </c>
      <c r="J128" s="248"/>
      <c r="K128" s="248"/>
      <c r="L128" s="248"/>
      <c r="M128" s="232">
        <f t="shared" si="74"/>
        <v>0</v>
      </c>
      <c r="N128" s="346">
        <v>0</v>
      </c>
      <c r="O128" s="248"/>
      <c r="P128" s="248"/>
      <c r="Q128" s="248"/>
      <c r="R128" s="232">
        <f t="shared" si="75"/>
        <v>0</v>
      </c>
    </row>
    <row r="129" spans="1:18" s="89" customFormat="1" ht="24" hidden="1" customHeight="1">
      <c r="A129" s="140" t="s">
        <v>113</v>
      </c>
      <c r="B129" s="124" t="s">
        <v>183</v>
      </c>
      <c r="C129" s="170">
        <v>0</v>
      </c>
      <c r="D129" s="171">
        <v>0</v>
      </c>
      <c r="E129" s="233">
        <f t="shared" ref="E129:G129" si="131">E130+E131</f>
        <v>0</v>
      </c>
      <c r="F129" s="233">
        <f t="shared" si="131"/>
        <v>0</v>
      </c>
      <c r="G129" s="233">
        <f t="shared" si="131"/>
        <v>0</v>
      </c>
      <c r="H129" s="232">
        <f t="shared" si="73"/>
        <v>0</v>
      </c>
      <c r="I129" s="233">
        <v>0</v>
      </c>
      <c r="J129" s="233">
        <f t="shared" ref="J129:L129" si="132">J130+J131</f>
        <v>0</v>
      </c>
      <c r="K129" s="233">
        <f t="shared" si="132"/>
        <v>0</v>
      </c>
      <c r="L129" s="233">
        <f t="shared" si="132"/>
        <v>0</v>
      </c>
      <c r="M129" s="232">
        <f t="shared" si="74"/>
        <v>0</v>
      </c>
      <c r="N129" s="233">
        <v>0</v>
      </c>
      <c r="O129" s="233">
        <f t="shared" ref="O129:Q129" si="133">O130+O131</f>
        <v>0</v>
      </c>
      <c r="P129" s="233">
        <f t="shared" si="133"/>
        <v>0</v>
      </c>
      <c r="Q129" s="233">
        <f t="shared" si="133"/>
        <v>0</v>
      </c>
      <c r="R129" s="232">
        <f t="shared" si="75"/>
        <v>0</v>
      </c>
    </row>
    <row r="130" spans="1:18" s="89" customFormat="1" ht="12" hidden="1" customHeight="1">
      <c r="A130" s="132">
        <v>7600</v>
      </c>
      <c r="B130" s="179" t="s">
        <v>184</v>
      </c>
      <c r="C130" s="170">
        <v>0</v>
      </c>
      <c r="D130" s="176">
        <v>0</v>
      </c>
      <c r="E130" s="244"/>
      <c r="F130" s="244"/>
      <c r="G130" s="244"/>
      <c r="H130" s="232">
        <f t="shared" si="73"/>
        <v>0</v>
      </c>
      <c r="I130" s="233">
        <v>0</v>
      </c>
      <c r="J130" s="244"/>
      <c r="K130" s="244"/>
      <c r="L130" s="244"/>
      <c r="M130" s="232">
        <f t="shared" si="74"/>
        <v>0</v>
      </c>
      <c r="N130" s="233">
        <v>0</v>
      </c>
      <c r="O130" s="244"/>
      <c r="P130" s="244"/>
      <c r="Q130" s="244"/>
      <c r="R130" s="232">
        <f t="shared" si="75"/>
        <v>0</v>
      </c>
    </row>
    <row r="131" spans="1:18" s="89" customFormat="1" ht="12" hidden="1" customHeight="1">
      <c r="A131" s="132">
        <v>7700</v>
      </c>
      <c r="B131" s="126" t="s">
        <v>114</v>
      </c>
      <c r="C131" s="170">
        <v>0</v>
      </c>
      <c r="D131" s="176">
        <v>0</v>
      </c>
      <c r="E131" s="244"/>
      <c r="F131" s="244"/>
      <c r="G131" s="244"/>
      <c r="H131" s="232">
        <f t="shared" si="73"/>
        <v>0</v>
      </c>
      <c r="I131" s="233">
        <v>0</v>
      </c>
      <c r="J131" s="244"/>
      <c r="K131" s="244"/>
      <c r="L131" s="244"/>
      <c r="M131" s="232">
        <f t="shared" si="74"/>
        <v>0</v>
      </c>
      <c r="N131" s="233">
        <v>0</v>
      </c>
      <c r="O131" s="244"/>
      <c r="P131" s="244"/>
      <c r="Q131" s="244"/>
      <c r="R131" s="232">
        <f t="shared" si="75"/>
        <v>0</v>
      </c>
    </row>
    <row r="132" spans="1:18" s="89" customFormat="1" ht="20.399999999999999">
      <c r="A132" s="140" t="s">
        <v>185</v>
      </c>
      <c r="B132" s="124" t="s">
        <v>115</v>
      </c>
      <c r="C132" s="170">
        <v>210694805</v>
      </c>
      <c r="D132" s="171">
        <v>210694805</v>
      </c>
      <c r="E132" s="233">
        <f t="shared" ref="E132:G132" si="134">E133+E139+E143+E146</f>
        <v>0</v>
      </c>
      <c r="F132" s="233">
        <f t="shared" si="134"/>
        <v>0</v>
      </c>
      <c r="G132" s="233">
        <f t="shared" si="134"/>
        <v>5174895</v>
      </c>
      <c r="H132" s="232">
        <f t="shared" si="73"/>
        <v>215869700</v>
      </c>
      <c r="I132" s="233">
        <v>210694805</v>
      </c>
      <c r="J132" s="233">
        <f t="shared" ref="J132:L132" si="135">J133+J139+J143+J146</f>
        <v>0</v>
      </c>
      <c r="K132" s="233">
        <f t="shared" si="135"/>
        <v>0</v>
      </c>
      <c r="L132" s="233">
        <f t="shared" si="135"/>
        <v>11734895</v>
      </c>
      <c r="M132" s="232">
        <f t="shared" si="74"/>
        <v>222429700</v>
      </c>
      <c r="N132" s="233">
        <v>210694805</v>
      </c>
      <c r="O132" s="233">
        <f t="shared" ref="O132:Q132" si="136">O133+O139+O143+O146</f>
        <v>0</v>
      </c>
      <c r="P132" s="233">
        <f t="shared" si="136"/>
        <v>0</v>
      </c>
      <c r="Q132" s="233">
        <f t="shared" si="136"/>
        <v>11734895</v>
      </c>
      <c r="R132" s="232">
        <f t="shared" si="75"/>
        <v>222429700</v>
      </c>
    </row>
    <row r="133" spans="1:18" s="89" customFormat="1" ht="12" hidden="1" customHeight="1">
      <c r="A133" s="132">
        <v>7100</v>
      </c>
      <c r="B133" s="179" t="s">
        <v>116</v>
      </c>
      <c r="C133" s="170">
        <v>0</v>
      </c>
      <c r="D133" s="171">
        <v>0</v>
      </c>
      <c r="E133" s="233">
        <f t="shared" ref="E133:G133" si="137">E134+E135</f>
        <v>0</v>
      </c>
      <c r="F133" s="233">
        <f t="shared" si="137"/>
        <v>0</v>
      </c>
      <c r="G133" s="233">
        <f t="shared" si="137"/>
        <v>0</v>
      </c>
      <c r="H133" s="232">
        <f t="shared" si="73"/>
        <v>0</v>
      </c>
      <c r="I133" s="233">
        <v>0</v>
      </c>
      <c r="J133" s="233">
        <f t="shared" ref="J133:L133" si="138">J134+J135</f>
        <v>0</v>
      </c>
      <c r="K133" s="233">
        <f t="shared" si="138"/>
        <v>0</v>
      </c>
      <c r="L133" s="233">
        <f t="shared" si="138"/>
        <v>0</v>
      </c>
      <c r="M133" s="232">
        <f t="shared" si="74"/>
        <v>0</v>
      </c>
      <c r="N133" s="233">
        <v>0</v>
      </c>
      <c r="O133" s="233">
        <f t="shared" ref="O133:Q133" si="139">O134+O135</f>
        <v>0</v>
      </c>
      <c r="P133" s="233">
        <f t="shared" si="139"/>
        <v>0</v>
      </c>
      <c r="Q133" s="233">
        <f t="shared" si="139"/>
        <v>0</v>
      </c>
      <c r="R133" s="232">
        <f t="shared" si="75"/>
        <v>0</v>
      </c>
    </row>
    <row r="134" spans="1:18" s="89" customFormat="1" ht="24" hidden="1" customHeight="1">
      <c r="A134" s="133" t="s">
        <v>117</v>
      </c>
      <c r="B134" s="179" t="s">
        <v>118</v>
      </c>
      <c r="C134" s="170">
        <v>0</v>
      </c>
      <c r="D134" s="171">
        <v>0</v>
      </c>
      <c r="E134" s="233"/>
      <c r="F134" s="233"/>
      <c r="G134" s="233"/>
      <c r="H134" s="232">
        <f t="shared" si="73"/>
        <v>0</v>
      </c>
      <c r="I134" s="233">
        <v>0</v>
      </c>
      <c r="J134" s="233"/>
      <c r="K134" s="233"/>
      <c r="L134" s="233"/>
      <c r="M134" s="232">
        <f t="shared" si="74"/>
        <v>0</v>
      </c>
      <c r="N134" s="233">
        <v>0</v>
      </c>
      <c r="O134" s="233"/>
      <c r="P134" s="233"/>
      <c r="Q134" s="233"/>
      <c r="R134" s="232">
        <f t="shared" si="75"/>
        <v>0</v>
      </c>
    </row>
    <row r="135" spans="1:18" s="89" customFormat="1" ht="24" hidden="1" customHeight="1">
      <c r="A135" s="133">
        <v>7130</v>
      </c>
      <c r="B135" s="179" t="s">
        <v>119</v>
      </c>
      <c r="C135" s="170">
        <v>0</v>
      </c>
      <c r="D135" s="171">
        <v>0</v>
      </c>
      <c r="E135" s="233">
        <f t="shared" ref="E135:G135" si="140">SUM(E136:E138)</f>
        <v>0</v>
      </c>
      <c r="F135" s="233">
        <f t="shared" ref="F135" si="141">SUM(F136:F138)</f>
        <v>0</v>
      </c>
      <c r="G135" s="233">
        <f t="shared" si="140"/>
        <v>0</v>
      </c>
      <c r="H135" s="232">
        <f t="shared" si="73"/>
        <v>0</v>
      </c>
      <c r="I135" s="233">
        <v>0</v>
      </c>
      <c r="J135" s="233">
        <f t="shared" ref="J135:L135" si="142">SUM(J136:J138)</f>
        <v>0</v>
      </c>
      <c r="K135" s="233">
        <f t="shared" si="142"/>
        <v>0</v>
      </c>
      <c r="L135" s="233">
        <f t="shared" si="142"/>
        <v>0</v>
      </c>
      <c r="M135" s="232">
        <f t="shared" si="74"/>
        <v>0</v>
      </c>
      <c r="N135" s="233">
        <v>0</v>
      </c>
      <c r="O135" s="233">
        <f t="shared" ref="O135:Q135" si="143">SUM(O136:O138)</f>
        <v>0</v>
      </c>
      <c r="P135" s="233">
        <f t="shared" si="143"/>
        <v>0</v>
      </c>
      <c r="Q135" s="233">
        <f t="shared" si="143"/>
        <v>0</v>
      </c>
      <c r="R135" s="232">
        <f t="shared" si="75"/>
        <v>0</v>
      </c>
    </row>
    <row r="136" spans="1:18" s="89" customFormat="1" ht="36" hidden="1" customHeight="1">
      <c r="A136" s="134">
        <v>7131</v>
      </c>
      <c r="B136" s="179" t="s">
        <v>120</v>
      </c>
      <c r="C136" s="170">
        <v>0</v>
      </c>
      <c r="D136" s="171">
        <v>0</v>
      </c>
      <c r="E136" s="233"/>
      <c r="F136" s="233"/>
      <c r="G136" s="233"/>
      <c r="H136" s="232">
        <f t="shared" si="73"/>
        <v>0</v>
      </c>
      <c r="I136" s="233">
        <v>0</v>
      </c>
      <c r="J136" s="233"/>
      <c r="K136" s="233"/>
      <c r="L136" s="233"/>
      <c r="M136" s="232">
        <f t="shared" si="74"/>
        <v>0</v>
      </c>
      <c r="N136" s="233">
        <v>0</v>
      </c>
      <c r="O136" s="233"/>
      <c r="P136" s="233"/>
      <c r="Q136" s="233"/>
      <c r="R136" s="232">
        <f t="shared" si="75"/>
        <v>0</v>
      </c>
    </row>
    <row r="137" spans="1:18" s="29" customFormat="1" ht="36" hidden="1" customHeight="1">
      <c r="A137" s="134">
        <v>7132</v>
      </c>
      <c r="B137" s="179" t="s">
        <v>121</v>
      </c>
      <c r="C137" s="170">
        <v>0</v>
      </c>
      <c r="D137" s="171">
        <v>0</v>
      </c>
      <c r="E137" s="233"/>
      <c r="F137" s="233"/>
      <c r="G137" s="233"/>
      <c r="H137" s="232">
        <f t="shared" si="73"/>
        <v>0</v>
      </c>
      <c r="I137" s="233">
        <v>0</v>
      </c>
      <c r="J137" s="233"/>
      <c r="K137" s="233"/>
      <c r="L137" s="233"/>
      <c r="M137" s="232">
        <f t="shared" si="74"/>
        <v>0</v>
      </c>
      <c r="N137" s="233">
        <v>0</v>
      </c>
      <c r="O137" s="233"/>
      <c r="P137" s="233"/>
      <c r="Q137" s="233"/>
      <c r="R137" s="232">
        <f t="shared" si="75"/>
        <v>0</v>
      </c>
    </row>
    <row r="138" spans="1:18" s="29" customFormat="1" ht="24" hidden="1" customHeight="1">
      <c r="A138" s="134" t="s">
        <v>186</v>
      </c>
      <c r="B138" s="179" t="s">
        <v>187</v>
      </c>
      <c r="C138" s="170">
        <v>0</v>
      </c>
      <c r="D138" s="171">
        <v>0</v>
      </c>
      <c r="E138" s="233"/>
      <c r="F138" s="233"/>
      <c r="G138" s="233"/>
      <c r="H138" s="232">
        <f t="shared" ref="H138:H201" si="144">SUM(D138:G138)</f>
        <v>0</v>
      </c>
      <c r="I138" s="233">
        <v>0</v>
      </c>
      <c r="J138" s="233"/>
      <c r="K138" s="233"/>
      <c r="L138" s="233"/>
      <c r="M138" s="232">
        <f t="shared" ref="M138:M201" si="145">SUM(I138:L138)</f>
        <v>0</v>
      </c>
      <c r="N138" s="233">
        <v>0</v>
      </c>
      <c r="O138" s="233"/>
      <c r="P138" s="233"/>
      <c r="Q138" s="233"/>
      <c r="R138" s="232">
        <f t="shared" ref="R138:R201" si="146">SUM(N138:Q138)</f>
        <v>0</v>
      </c>
    </row>
    <row r="139" spans="1:18" s="29" customFormat="1" ht="24">
      <c r="A139" s="132">
        <v>7300</v>
      </c>
      <c r="B139" s="172" t="s">
        <v>155</v>
      </c>
      <c r="C139" s="170">
        <v>210694805</v>
      </c>
      <c r="D139" s="171">
        <v>210694805</v>
      </c>
      <c r="E139" s="233">
        <f t="shared" ref="E139:G139" si="147">SUM(E140:E142)</f>
        <v>0</v>
      </c>
      <c r="F139" s="233">
        <f t="shared" si="147"/>
        <v>0</v>
      </c>
      <c r="G139" s="233">
        <f t="shared" si="147"/>
        <v>5174895</v>
      </c>
      <c r="H139" s="232">
        <f t="shared" si="144"/>
        <v>215869700</v>
      </c>
      <c r="I139" s="233">
        <v>210694805</v>
      </c>
      <c r="J139" s="233">
        <f t="shared" ref="J139:L139" si="148">SUM(J140:J142)</f>
        <v>0</v>
      </c>
      <c r="K139" s="233">
        <f t="shared" si="148"/>
        <v>0</v>
      </c>
      <c r="L139" s="233">
        <f t="shared" si="148"/>
        <v>11734895</v>
      </c>
      <c r="M139" s="232">
        <f t="shared" si="145"/>
        <v>222429700</v>
      </c>
      <c r="N139" s="233">
        <v>210694805</v>
      </c>
      <c r="O139" s="233">
        <f t="shared" ref="O139:Q139" si="149">SUM(O140:O142)</f>
        <v>0</v>
      </c>
      <c r="P139" s="233">
        <f t="shared" si="149"/>
        <v>0</v>
      </c>
      <c r="Q139" s="233">
        <f t="shared" si="149"/>
        <v>11734895</v>
      </c>
      <c r="R139" s="232">
        <f t="shared" si="146"/>
        <v>222429700</v>
      </c>
    </row>
    <row r="140" spans="1:18" s="4" customFormat="1" ht="24">
      <c r="A140" s="133" t="s">
        <v>188</v>
      </c>
      <c r="B140" s="179" t="s">
        <v>170</v>
      </c>
      <c r="C140" s="204">
        <v>210694805</v>
      </c>
      <c r="D140" s="180">
        <v>210694805</v>
      </c>
      <c r="E140" s="252"/>
      <c r="F140" s="252"/>
      <c r="G140" s="252">
        <f>G272+G271+G270</f>
        <v>5174895</v>
      </c>
      <c r="H140" s="232">
        <f t="shared" si="144"/>
        <v>215869700</v>
      </c>
      <c r="I140" s="252">
        <v>210694805</v>
      </c>
      <c r="J140" s="252"/>
      <c r="K140" s="252"/>
      <c r="L140" s="252">
        <f>L272+L271+L270</f>
        <v>11734895</v>
      </c>
      <c r="M140" s="232">
        <f t="shared" si="145"/>
        <v>222429700</v>
      </c>
      <c r="N140" s="252">
        <v>210694805</v>
      </c>
      <c r="O140" s="252"/>
      <c r="P140" s="252"/>
      <c r="Q140" s="252">
        <f>Q272+Q271+Q270</f>
        <v>11734895</v>
      </c>
      <c r="R140" s="232">
        <f t="shared" si="146"/>
        <v>222429700</v>
      </c>
    </row>
    <row r="141" spans="1:18" s="3" customFormat="1" ht="48" hidden="1" customHeight="1">
      <c r="A141" s="133" t="s">
        <v>189</v>
      </c>
      <c r="B141" s="179" t="s">
        <v>156</v>
      </c>
      <c r="C141" s="204">
        <v>0</v>
      </c>
      <c r="D141" s="180">
        <v>0</v>
      </c>
      <c r="E141" s="252"/>
      <c r="F141" s="252"/>
      <c r="G141" s="252"/>
      <c r="H141" s="232">
        <f t="shared" si="144"/>
        <v>0</v>
      </c>
      <c r="I141" s="252">
        <v>0</v>
      </c>
      <c r="J141" s="252"/>
      <c r="K141" s="252"/>
      <c r="L141" s="252"/>
      <c r="M141" s="232">
        <f t="shared" si="145"/>
        <v>0</v>
      </c>
      <c r="N141" s="252">
        <v>0</v>
      </c>
      <c r="O141" s="252"/>
      <c r="P141" s="252"/>
      <c r="Q141" s="252"/>
      <c r="R141" s="232">
        <f t="shared" si="146"/>
        <v>0</v>
      </c>
    </row>
    <row r="142" spans="1:18" s="3" customFormat="1" ht="36" hidden="1" customHeight="1">
      <c r="A142" s="133">
        <v>7350</v>
      </c>
      <c r="B142" s="179" t="s">
        <v>163</v>
      </c>
      <c r="C142" s="204">
        <v>0</v>
      </c>
      <c r="D142" s="180">
        <v>0</v>
      </c>
      <c r="E142" s="252"/>
      <c r="F142" s="252"/>
      <c r="G142" s="252"/>
      <c r="H142" s="232">
        <f t="shared" si="144"/>
        <v>0</v>
      </c>
      <c r="I142" s="252">
        <v>0</v>
      </c>
      <c r="J142" s="252"/>
      <c r="K142" s="252"/>
      <c r="L142" s="252"/>
      <c r="M142" s="232">
        <f t="shared" si="145"/>
        <v>0</v>
      </c>
      <c r="N142" s="252">
        <v>0</v>
      </c>
      <c r="O142" s="252"/>
      <c r="P142" s="252"/>
      <c r="Q142" s="252"/>
      <c r="R142" s="232">
        <f t="shared" si="146"/>
        <v>0</v>
      </c>
    </row>
    <row r="143" spans="1:18" s="3" customFormat="1" ht="24" hidden="1" customHeight="1">
      <c r="A143" s="132">
        <v>7400</v>
      </c>
      <c r="B143" s="172" t="s">
        <v>161</v>
      </c>
      <c r="C143" s="170">
        <v>0</v>
      </c>
      <c r="D143" s="171">
        <v>0</v>
      </c>
      <c r="E143" s="233">
        <f t="shared" ref="E143:G143" si="150">SUM(E144:E145)</f>
        <v>0</v>
      </c>
      <c r="F143" s="233">
        <f t="shared" si="150"/>
        <v>0</v>
      </c>
      <c r="G143" s="233">
        <f t="shared" si="150"/>
        <v>0</v>
      </c>
      <c r="H143" s="232">
        <f t="shared" si="144"/>
        <v>0</v>
      </c>
      <c r="I143" s="233">
        <v>0</v>
      </c>
      <c r="J143" s="233">
        <f t="shared" ref="J143:L143" si="151">SUM(J144:J145)</f>
        <v>0</v>
      </c>
      <c r="K143" s="233">
        <f t="shared" si="151"/>
        <v>0</v>
      </c>
      <c r="L143" s="233">
        <f t="shared" si="151"/>
        <v>0</v>
      </c>
      <c r="M143" s="232">
        <f t="shared" si="145"/>
        <v>0</v>
      </c>
      <c r="N143" s="233">
        <v>0</v>
      </c>
      <c r="O143" s="233">
        <f t="shared" ref="O143:Q143" si="152">SUM(O144:O145)</f>
        <v>0</v>
      </c>
      <c r="P143" s="233">
        <f t="shared" si="152"/>
        <v>0</v>
      </c>
      <c r="Q143" s="233">
        <f t="shared" si="152"/>
        <v>0</v>
      </c>
      <c r="R143" s="232">
        <f t="shared" si="146"/>
        <v>0</v>
      </c>
    </row>
    <row r="144" spans="1:18" s="3" customFormat="1" ht="24" hidden="1" customHeight="1">
      <c r="A144" s="133">
        <v>7460</v>
      </c>
      <c r="B144" s="172" t="s">
        <v>162</v>
      </c>
      <c r="C144" s="204">
        <v>0</v>
      </c>
      <c r="D144" s="180">
        <v>0</v>
      </c>
      <c r="E144" s="252"/>
      <c r="F144" s="252"/>
      <c r="G144" s="252"/>
      <c r="H144" s="232">
        <f t="shared" si="144"/>
        <v>0</v>
      </c>
      <c r="I144" s="252">
        <v>0</v>
      </c>
      <c r="J144" s="252"/>
      <c r="K144" s="252"/>
      <c r="L144" s="252"/>
      <c r="M144" s="232">
        <f t="shared" si="145"/>
        <v>0</v>
      </c>
      <c r="N144" s="252">
        <v>0</v>
      </c>
      <c r="O144" s="252"/>
      <c r="P144" s="252"/>
      <c r="Q144" s="252"/>
      <c r="R144" s="232">
        <f t="shared" si="146"/>
        <v>0</v>
      </c>
    </row>
    <row r="145" spans="1:18" s="3" customFormat="1" ht="36" hidden="1" customHeight="1">
      <c r="A145" s="133">
        <v>7470</v>
      </c>
      <c r="B145" s="179" t="s">
        <v>167</v>
      </c>
      <c r="C145" s="204">
        <v>0</v>
      </c>
      <c r="D145" s="180">
        <v>0</v>
      </c>
      <c r="E145" s="252"/>
      <c r="F145" s="252"/>
      <c r="G145" s="252"/>
      <c r="H145" s="232">
        <f t="shared" si="144"/>
        <v>0</v>
      </c>
      <c r="I145" s="252">
        <v>0</v>
      </c>
      <c r="J145" s="252"/>
      <c r="K145" s="252"/>
      <c r="L145" s="252"/>
      <c r="M145" s="232">
        <f t="shared" si="145"/>
        <v>0</v>
      </c>
      <c r="N145" s="252">
        <v>0</v>
      </c>
      <c r="O145" s="252"/>
      <c r="P145" s="252"/>
      <c r="Q145" s="252"/>
      <c r="R145" s="232">
        <f t="shared" si="146"/>
        <v>0</v>
      </c>
    </row>
    <row r="146" spans="1:18" s="3" customFormat="1" ht="24" hidden="1" customHeight="1">
      <c r="A146" s="132">
        <v>7500</v>
      </c>
      <c r="B146" s="179" t="s">
        <v>157</v>
      </c>
      <c r="C146" s="170">
        <v>0</v>
      </c>
      <c r="D146" s="171">
        <v>0</v>
      </c>
      <c r="E146" s="233"/>
      <c r="F146" s="233"/>
      <c r="G146" s="233"/>
      <c r="H146" s="232">
        <f t="shared" si="144"/>
        <v>0</v>
      </c>
      <c r="I146" s="233">
        <v>0</v>
      </c>
      <c r="J146" s="233"/>
      <c r="K146" s="233"/>
      <c r="L146" s="233"/>
      <c r="M146" s="232">
        <f t="shared" si="145"/>
        <v>0</v>
      </c>
      <c r="N146" s="233">
        <v>0</v>
      </c>
      <c r="O146" s="233"/>
      <c r="P146" s="233"/>
      <c r="Q146" s="233"/>
      <c r="R146" s="232">
        <f t="shared" si="146"/>
        <v>0</v>
      </c>
    </row>
    <row r="147" spans="1:18" s="4" customFormat="1" ht="12" hidden="1" customHeight="1">
      <c r="A147" s="140" t="s">
        <v>133</v>
      </c>
      <c r="B147" s="124" t="s">
        <v>122</v>
      </c>
      <c r="C147" s="205">
        <v>0</v>
      </c>
      <c r="D147" s="181">
        <v>0</v>
      </c>
      <c r="E147" s="254">
        <f t="shared" ref="E147:G147" si="153">E148+E149</f>
        <v>0</v>
      </c>
      <c r="F147" s="254">
        <f t="shared" si="153"/>
        <v>0</v>
      </c>
      <c r="G147" s="254">
        <f t="shared" si="153"/>
        <v>0</v>
      </c>
      <c r="H147" s="232">
        <f t="shared" si="144"/>
        <v>0</v>
      </c>
      <c r="I147" s="254">
        <v>0</v>
      </c>
      <c r="J147" s="254">
        <f t="shared" ref="J147:L147" si="154">J148+J149</f>
        <v>0</v>
      </c>
      <c r="K147" s="254">
        <f t="shared" si="154"/>
        <v>0</v>
      </c>
      <c r="L147" s="254">
        <f t="shared" si="154"/>
        <v>0</v>
      </c>
      <c r="M147" s="232">
        <f t="shared" si="145"/>
        <v>0</v>
      </c>
      <c r="N147" s="254">
        <v>0</v>
      </c>
      <c r="O147" s="254">
        <f t="shared" ref="O147:Q147" si="155">O148+O149</f>
        <v>0</v>
      </c>
      <c r="P147" s="254">
        <f t="shared" si="155"/>
        <v>0</v>
      </c>
      <c r="Q147" s="254">
        <f t="shared" si="155"/>
        <v>0</v>
      </c>
      <c r="R147" s="232">
        <f t="shared" si="146"/>
        <v>0</v>
      </c>
    </row>
    <row r="148" spans="1:18" s="6" customFormat="1" ht="12" hidden="1" customHeight="1">
      <c r="A148" s="140">
        <v>5000</v>
      </c>
      <c r="B148" s="124" t="s">
        <v>123</v>
      </c>
      <c r="C148" s="170">
        <v>0</v>
      </c>
      <c r="D148" s="176">
        <v>0</v>
      </c>
      <c r="E148" s="244"/>
      <c r="F148" s="244"/>
      <c r="G148" s="244"/>
      <c r="H148" s="232">
        <f t="shared" si="144"/>
        <v>0</v>
      </c>
      <c r="I148" s="233">
        <v>0</v>
      </c>
      <c r="J148" s="244"/>
      <c r="K148" s="244"/>
      <c r="L148" s="244"/>
      <c r="M148" s="232">
        <f t="shared" si="145"/>
        <v>0</v>
      </c>
      <c r="N148" s="233">
        <v>0</v>
      </c>
      <c r="O148" s="244"/>
      <c r="P148" s="244"/>
      <c r="Q148" s="244"/>
      <c r="R148" s="232">
        <f t="shared" si="146"/>
        <v>0</v>
      </c>
    </row>
    <row r="149" spans="1:18" s="6" customFormat="1" ht="12" hidden="1" customHeight="1">
      <c r="A149" s="140">
        <v>9000</v>
      </c>
      <c r="B149" s="182" t="s">
        <v>164</v>
      </c>
      <c r="C149" s="170">
        <v>0</v>
      </c>
      <c r="D149" s="171">
        <v>0</v>
      </c>
      <c r="E149" s="233">
        <f t="shared" ref="E149:G149" si="156">E150+E156+E160+E163</f>
        <v>0</v>
      </c>
      <c r="F149" s="233">
        <f t="shared" si="156"/>
        <v>0</v>
      </c>
      <c r="G149" s="233">
        <f t="shared" si="156"/>
        <v>0</v>
      </c>
      <c r="H149" s="232">
        <f t="shared" si="144"/>
        <v>0</v>
      </c>
      <c r="I149" s="233">
        <v>0</v>
      </c>
      <c r="J149" s="233">
        <f t="shared" ref="J149:L149" si="157">J150+J156+J160+J163</f>
        <v>0</v>
      </c>
      <c r="K149" s="233">
        <f t="shared" si="157"/>
        <v>0</v>
      </c>
      <c r="L149" s="233">
        <f t="shared" si="157"/>
        <v>0</v>
      </c>
      <c r="M149" s="232">
        <f t="shared" si="145"/>
        <v>0</v>
      </c>
      <c r="N149" s="233">
        <v>0</v>
      </c>
      <c r="O149" s="233">
        <f t="shared" ref="O149:Q149" si="158">O150+O156+O160+O163</f>
        <v>0</v>
      </c>
      <c r="P149" s="233">
        <f t="shared" si="158"/>
        <v>0</v>
      </c>
      <c r="Q149" s="233">
        <f t="shared" si="158"/>
        <v>0</v>
      </c>
      <c r="R149" s="232">
        <f t="shared" si="146"/>
        <v>0</v>
      </c>
    </row>
    <row r="150" spans="1:18" s="6" customFormat="1" ht="12" hidden="1" customHeight="1">
      <c r="A150" s="141">
        <v>9100</v>
      </c>
      <c r="B150" s="179" t="s">
        <v>124</v>
      </c>
      <c r="C150" s="170">
        <v>0</v>
      </c>
      <c r="D150" s="171">
        <v>0</v>
      </c>
      <c r="E150" s="233">
        <f t="shared" ref="E150:G150" si="159">SUM(E151:E152)</f>
        <v>0</v>
      </c>
      <c r="F150" s="233">
        <f t="shared" ref="F150" si="160">SUM(F151:F152)</f>
        <v>0</v>
      </c>
      <c r="G150" s="233">
        <f t="shared" si="159"/>
        <v>0</v>
      </c>
      <c r="H150" s="232">
        <f t="shared" si="144"/>
        <v>0</v>
      </c>
      <c r="I150" s="233">
        <v>0</v>
      </c>
      <c r="J150" s="233">
        <f t="shared" ref="J150:L150" si="161">SUM(J151:J152)</f>
        <v>0</v>
      </c>
      <c r="K150" s="233">
        <f t="shared" si="161"/>
        <v>0</v>
      </c>
      <c r="L150" s="233">
        <f t="shared" si="161"/>
        <v>0</v>
      </c>
      <c r="M150" s="232">
        <f t="shared" si="145"/>
        <v>0</v>
      </c>
      <c r="N150" s="233">
        <v>0</v>
      </c>
      <c r="O150" s="233">
        <f t="shared" ref="O150:Q150" si="162">SUM(O151:O152)</f>
        <v>0</v>
      </c>
      <c r="P150" s="233">
        <f t="shared" si="162"/>
        <v>0</v>
      </c>
      <c r="Q150" s="233">
        <f t="shared" si="162"/>
        <v>0</v>
      </c>
      <c r="R150" s="232">
        <f t="shared" si="146"/>
        <v>0</v>
      </c>
    </row>
    <row r="151" spans="1:18" s="6" customFormat="1" ht="24" hidden="1" customHeight="1">
      <c r="A151" s="133" t="s">
        <v>125</v>
      </c>
      <c r="B151" s="179" t="s">
        <v>214</v>
      </c>
      <c r="C151" s="170">
        <v>0</v>
      </c>
      <c r="D151" s="171">
        <v>0</v>
      </c>
      <c r="E151" s="233"/>
      <c r="F151" s="233"/>
      <c r="G151" s="233"/>
      <c r="H151" s="232">
        <f t="shared" si="144"/>
        <v>0</v>
      </c>
      <c r="I151" s="233">
        <v>0</v>
      </c>
      <c r="J151" s="233"/>
      <c r="K151" s="233"/>
      <c r="L151" s="233"/>
      <c r="M151" s="232">
        <f t="shared" si="145"/>
        <v>0</v>
      </c>
      <c r="N151" s="233">
        <v>0</v>
      </c>
      <c r="O151" s="233"/>
      <c r="P151" s="233"/>
      <c r="Q151" s="233"/>
      <c r="R151" s="232">
        <f t="shared" si="146"/>
        <v>0</v>
      </c>
    </row>
    <row r="152" spans="1:18" s="6" customFormat="1" ht="24" hidden="1" customHeight="1">
      <c r="A152" s="133">
        <v>9140</v>
      </c>
      <c r="B152" s="179" t="s">
        <v>215</v>
      </c>
      <c r="C152" s="170">
        <v>0</v>
      </c>
      <c r="D152" s="171">
        <v>0</v>
      </c>
      <c r="E152" s="233">
        <f t="shared" ref="E152:G152" si="163">SUM(E153:E155)</f>
        <v>0</v>
      </c>
      <c r="F152" s="233">
        <f t="shared" si="163"/>
        <v>0</v>
      </c>
      <c r="G152" s="233">
        <f t="shared" si="163"/>
        <v>0</v>
      </c>
      <c r="H152" s="232">
        <f t="shared" si="144"/>
        <v>0</v>
      </c>
      <c r="I152" s="233">
        <v>0</v>
      </c>
      <c r="J152" s="233">
        <f t="shared" ref="J152:L152" si="164">SUM(J153:J155)</f>
        <v>0</v>
      </c>
      <c r="K152" s="233">
        <f t="shared" si="164"/>
        <v>0</v>
      </c>
      <c r="L152" s="233">
        <f t="shared" si="164"/>
        <v>0</v>
      </c>
      <c r="M152" s="232">
        <f t="shared" si="145"/>
        <v>0</v>
      </c>
      <c r="N152" s="233">
        <v>0</v>
      </c>
      <c r="O152" s="233">
        <f t="shared" ref="O152:Q152" si="165">SUM(O153:O155)</f>
        <v>0</v>
      </c>
      <c r="P152" s="233">
        <f t="shared" si="165"/>
        <v>0</v>
      </c>
      <c r="Q152" s="233">
        <f t="shared" si="165"/>
        <v>0</v>
      </c>
      <c r="R152" s="232">
        <f t="shared" si="146"/>
        <v>0</v>
      </c>
    </row>
    <row r="153" spans="1:18" s="6" customFormat="1" ht="36" hidden="1" customHeight="1">
      <c r="A153" s="134">
        <v>9141</v>
      </c>
      <c r="B153" s="172" t="s">
        <v>190</v>
      </c>
      <c r="C153" s="204">
        <v>0</v>
      </c>
      <c r="D153" s="180">
        <v>0</v>
      </c>
      <c r="E153" s="252"/>
      <c r="F153" s="252"/>
      <c r="G153" s="252"/>
      <c r="H153" s="232">
        <f t="shared" si="144"/>
        <v>0</v>
      </c>
      <c r="I153" s="252">
        <v>0</v>
      </c>
      <c r="J153" s="252"/>
      <c r="K153" s="252"/>
      <c r="L153" s="252"/>
      <c r="M153" s="232">
        <f t="shared" si="145"/>
        <v>0</v>
      </c>
      <c r="N153" s="252">
        <v>0</v>
      </c>
      <c r="O153" s="252"/>
      <c r="P153" s="252"/>
      <c r="Q153" s="252"/>
      <c r="R153" s="232">
        <f t="shared" si="146"/>
        <v>0</v>
      </c>
    </row>
    <row r="154" spans="1:18" s="6" customFormat="1" ht="36" hidden="1" customHeight="1">
      <c r="A154" s="134">
        <v>9142</v>
      </c>
      <c r="B154" s="172" t="s">
        <v>191</v>
      </c>
      <c r="C154" s="204">
        <v>0</v>
      </c>
      <c r="D154" s="180">
        <v>0</v>
      </c>
      <c r="E154" s="252"/>
      <c r="F154" s="252"/>
      <c r="G154" s="252"/>
      <c r="H154" s="232">
        <f t="shared" si="144"/>
        <v>0</v>
      </c>
      <c r="I154" s="252">
        <v>0</v>
      </c>
      <c r="J154" s="252"/>
      <c r="K154" s="252"/>
      <c r="L154" s="252"/>
      <c r="M154" s="232">
        <f t="shared" si="145"/>
        <v>0</v>
      </c>
      <c r="N154" s="252">
        <v>0</v>
      </c>
      <c r="O154" s="252"/>
      <c r="P154" s="252"/>
      <c r="Q154" s="252"/>
      <c r="R154" s="232">
        <f t="shared" si="146"/>
        <v>0</v>
      </c>
    </row>
    <row r="155" spans="1:18" s="6" customFormat="1" ht="24" hidden="1" customHeight="1">
      <c r="A155" s="134">
        <v>9149</v>
      </c>
      <c r="B155" s="172" t="s">
        <v>192</v>
      </c>
      <c r="C155" s="204">
        <v>0</v>
      </c>
      <c r="D155" s="180">
        <v>0</v>
      </c>
      <c r="E155" s="252"/>
      <c r="F155" s="252"/>
      <c r="G155" s="252"/>
      <c r="H155" s="232">
        <f t="shared" si="144"/>
        <v>0</v>
      </c>
      <c r="I155" s="252">
        <v>0</v>
      </c>
      <c r="J155" s="252"/>
      <c r="K155" s="252"/>
      <c r="L155" s="252"/>
      <c r="M155" s="232">
        <f t="shared" si="145"/>
        <v>0</v>
      </c>
      <c r="N155" s="252">
        <v>0</v>
      </c>
      <c r="O155" s="252"/>
      <c r="P155" s="252"/>
      <c r="Q155" s="252"/>
      <c r="R155" s="232">
        <f t="shared" si="146"/>
        <v>0</v>
      </c>
    </row>
    <row r="156" spans="1:18" s="6" customFormat="1" ht="24" hidden="1" customHeight="1">
      <c r="A156" s="141">
        <v>9500</v>
      </c>
      <c r="B156" s="172" t="s">
        <v>165</v>
      </c>
      <c r="C156" s="170">
        <v>0</v>
      </c>
      <c r="D156" s="171">
        <v>0</v>
      </c>
      <c r="E156" s="233">
        <f t="shared" ref="E156:G156" si="166">SUM(E157:E159)</f>
        <v>0</v>
      </c>
      <c r="F156" s="233">
        <f t="shared" si="166"/>
        <v>0</v>
      </c>
      <c r="G156" s="233">
        <f t="shared" si="166"/>
        <v>0</v>
      </c>
      <c r="H156" s="232">
        <f t="shared" si="144"/>
        <v>0</v>
      </c>
      <c r="I156" s="233">
        <v>0</v>
      </c>
      <c r="J156" s="233">
        <f t="shared" ref="J156:L156" si="167">SUM(J157:J159)</f>
        <v>0</v>
      </c>
      <c r="K156" s="233">
        <f t="shared" si="167"/>
        <v>0</v>
      </c>
      <c r="L156" s="233">
        <f t="shared" si="167"/>
        <v>0</v>
      </c>
      <c r="M156" s="232">
        <f t="shared" si="145"/>
        <v>0</v>
      </c>
      <c r="N156" s="233">
        <v>0</v>
      </c>
      <c r="O156" s="233">
        <f t="shared" ref="O156:Q156" si="168">SUM(O157:O159)</f>
        <v>0</v>
      </c>
      <c r="P156" s="233">
        <f t="shared" si="168"/>
        <v>0</v>
      </c>
      <c r="Q156" s="233">
        <f t="shared" si="168"/>
        <v>0</v>
      </c>
      <c r="R156" s="232">
        <f t="shared" si="146"/>
        <v>0</v>
      </c>
    </row>
    <row r="157" spans="1:18" s="6" customFormat="1" ht="24" hidden="1" customHeight="1">
      <c r="A157" s="133" t="s">
        <v>193</v>
      </c>
      <c r="B157" s="172" t="s">
        <v>171</v>
      </c>
      <c r="C157" s="170">
        <v>0</v>
      </c>
      <c r="D157" s="171">
        <v>0</v>
      </c>
      <c r="E157" s="233"/>
      <c r="F157" s="233"/>
      <c r="G157" s="233"/>
      <c r="H157" s="232">
        <f t="shared" si="144"/>
        <v>0</v>
      </c>
      <c r="I157" s="233">
        <v>0</v>
      </c>
      <c r="J157" s="233"/>
      <c r="K157" s="233"/>
      <c r="L157" s="233"/>
      <c r="M157" s="232">
        <f t="shared" si="145"/>
        <v>0</v>
      </c>
      <c r="N157" s="233">
        <v>0</v>
      </c>
      <c r="O157" s="233"/>
      <c r="P157" s="233"/>
      <c r="Q157" s="233"/>
      <c r="R157" s="232">
        <f t="shared" si="146"/>
        <v>0</v>
      </c>
    </row>
    <row r="158" spans="1:18" s="6" customFormat="1" ht="48" hidden="1" customHeight="1">
      <c r="A158" s="133">
        <v>9580</v>
      </c>
      <c r="B158" s="172" t="s">
        <v>166</v>
      </c>
      <c r="C158" s="204">
        <v>0</v>
      </c>
      <c r="D158" s="180">
        <v>0</v>
      </c>
      <c r="E158" s="252"/>
      <c r="F158" s="252"/>
      <c r="G158" s="252"/>
      <c r="H158" s="232">
        <f t="shared" si="144"/>
        <v>0</v>
      </c>
      <c r="I158" s="252">
        <v>0</v>
      </c>
      <c r="J158" s="252"/>
      <c r="K158" s="252"/>
      <c r="L158" s="252"/>
      <c r="M158" s="232">
        <f t="shared" si="145"/>
        <v>0</v>
      </c>
      <c r="N158" s="252">
        <v>0</v>
      </c>
      <c r="O158" s="252"/>
      <c r="P158" s="252"/>
      <c r="Q158" s="252"/>
      <c r="R158" s="232">
        <f t="shared" si="146"/>
        <v>0</v>
      </c>
    </row>
    <row r="159" spans="1:18" s="6" customFormat="1" ht="36" hidden="1" customHeight="1">
      <c r="A159" s="133">
        <v>9590</v>
      </c>
      <c r="B159" s="179" t="s">
        <v>172</v>
      </c>
      <c r="C159" s="204">
        <v>0</v>
      </c>
      <c r="D159" s="180">
        <v>0</v>
      </c>
      <c r="E159" s="252"/>
      <c r="F159" s="252"/>
      <c r="G159" s="252"/>
      <c r="H159" s="232">
        <f t="shared" si="144"/>
        <v>0</v>
      </c>
      <c r="I159" s="252">
        <v>0</v>
      </c>
      <c r="J159" s="252"/>
      <c r="K159" s="252"/>
      <c r="L159" s="252"/>
      <c r="M159" s="232">
        <f t="shared" si="145"/>
        <v>0</v>
      </c>
      <c r="N159" s="252">
        <v>0</v>
      </c>
      <c r="O159" s="252"/>
      <c r="P159" s="252"/>
      <c r="Q159" s="252"/>
      <c r="R159" s="232">
        <f t="shared" si="146"/>
        <v>0</v>
      </c>
    </row>
    <row r="160" spans="1:18" s="6" customFormat="1" ht="24" hidden="1" customHeight="1">
      <c r="A160" s="141">
        <v>9700</v>
      </c>
      <c r="B160" s="183" t="s">
        <v>194</v>
      </c>
      <c r="C160" s="170">
        <v>0</v>
      </c>
      <c r="D160" s="171">
        <v>0</v>
      </c>
      <c r="E160" s="233">
        <f t="shared" ref="E160:G160" si="169">SUM(E161:E162)</f>
        <v>0</v>
      </c>
      <c r="F160" s="233">
        <f t="shared" si="169"/>
        <v>0</v>
      </c>
      <c r="G160" s="233">
        <f t="shared" si="169"/>
        <v>0</v>
      </c>
      <c r="H160" s="232">
        <f t="shared" si="144"/>
        <v>0</v>
      </c>
      <c r="I160" s="233">
        <v>0</v>
      </c>
      <c r="J160" s="233">
        <f t="shared" ref="J160:L160" si="170">SUM(J161:J162)</f>
        <v>0</v>
      </c>
      <c r="K160" s="233">
        <f t="shared" si="170"/>
        <v>0</v>
      </c>
      <c r="L160" s="233">
        <f t="shared" si="170"/>
        <v>0</v>
      </c>
      <c r="M160" s="232">
        <f t="shared" si="145"/>
        <v>0</v>
      </c>
      <c r="N160" s="233">
        <v>0</v>
      </c>
      <c r="O160" s="233">
        <f t="shared" ref="O160:Q160" si="171">SUM(O161:O162)</f>
        <v>0</v>
      </c>
      <c r="P160" s="233">
        <f t="shared" si="171"/>
        <v>0</v>
      </c>
      <c r="Q160" s="233">
        <f t="shared" si="171"/>
        <v>0</v>
      </c>
      <c r="R160" s="232">
        <f t="shared" si="146"/>
        <v>0</v>
      </c>
    </row>
    <row r="161" spans="1:18" s="6" customFormat="1" ht="24" hidden="1" customHeight="1">
      <c r="A161" s="133">
        <v>9710</v>
      </c>
      <c r="B161" s="184" t="s">
        <v>195</v>
      </c>
      <c r="C161" s="204">
        <v>0</v>
      </c>
      <c r="D161" s="180">
        <v>0</v>
      </c>
      <c r="E161" s="252"/>
      <c r="F161" s="252"/>
      <c r="G161" s="252"/>
      <c r="H161" s="232">
        <f t="shared" si="144"/>
        <v>0</v>
      </c>
      <c r="I161" s="252">
        <v>0</v>
      </c>
      <c r="J161" s="252"/>
      <c r="K161" s="252"/>
      <c r="L161" s="252"/>
      <c r="M161" s="232">
        <f t="shared" si="145"/>
        <v>0</v>
      </c>
      <c r="N161" s="252">
        <v>0</v>
      </c>
      <c r="O161" s="252"/>
      <c r="P161" s="252"/>
      <c r="Q161" s="252"/>
      <c r="R161" s="232">
        <f t="shared" si="146"/>
        <v>0</v>
      </c>
    </row>
    <row r="162" spans="1:18" s="6" customFormat="1" ht="36" hidden="1" customHeight="1">
      <c r="A162" s="142">
        <v>9720</v>
      </c>
      <c r="B162" s="183" t="s">
        <v>196</v>
      </c>
      <c r="C162" s="204">
        <v>0</v>
      </c>
      <c r="D162" s="180">
        <v>0</v>
      </c>
      <c r="E162" s="252"/>
      <c r="F162" s="252"/>
      <c r="G162" s="252"/>
      <c r="H162" s="232">
        <f t="shared" si="144"/>
        <v>0</v>
      </c>
      <c r="I162" s="252">
        <v>0</v>
      </c>
      <c r="J162" s="252"/>
      <c r="K162" s="252"/>
      <c r="L162" s="252"/>
      <c r="M162" s="232">
        <f t="shared" si="145"/>
        <v>0</v>
      </c>
      <c r="N162" s="252">
        <v>0</v>
      </c>
      <c r="O162" s="252"/>
      <c r="P162" s="252"/>
      <c r="Q162" s="252"/>
      <c r="R162" s="232">
        <f t="shared" si="146"/>
        <v>0</v>
      </c>
    </row>
    <row r="163" spans="1:18" s="6" customFormat="1" ht="24" hidden="1" customHeight="1">
      <c r="A163" s="141">
        <v>9600</v>
      </c>
      <c r="B163" s="179" t="s">
        <v>134</v>
      </c>
      <c r="C163" s="204">
        <v>0</v>
      </c>
      <c r="D163" s="180">
        <v>0</v>
      </c>
      <c r="E163" s="252"/>
      <c r="F163" s="252"/>
      <c r="G163" s="252"/>
      <c r="H163" s="232">
        <f t="shared" si="144"/>
        <v>0</v>
      </c>
      <c r="I163" s="252">
        <v>0</v>
      </c>
      <c r="J163" s="252"/>
      <c r="K163" s="252"/>
      <c r="L163" s="252"/>
      <c r="M163" s="232">
        <f t="shared" si="145"/>
        <v>0</v>
      </c>
      <c r="N163" s="252">
        <v>0</v>
      </c>
      <c r="O163" s="252"/>
      <c r="P163" s="252"/>
      <c r="Q163" s="252"/>
      <c r="R163" s="232">
        <f t="shared" si="146"/>
        <v>0</v>
      </c>
    </row>
    <row r="164" spans="1:18" s="6" customFormat="1" ht="52.5" hidden="1" customHeight="1">
      <c r="A164" s="130" t="s">
        <v>197</v>
      </c>
      <c r="B164" s="185" t="s">
        <v>47</v>
      </c>
      <c r="C164" s="206">
        <v>0</v>
      </c>
      <c r="D164" s="186">
        <v>0</v>
      </c>
      <c r="E164" s="262">
        <f t="shared" ref="E164:G164" si="172">E94-E119</f>
        <v>0</v>
      </c>
      <c r="F164" s="262">
        <f t="shared" si="172"/>
        <v>0</v>
      </c>
      <c r="G164" s="262">
        <f t="shared" si="172"/>
        <v>0</v>
      </c>
      <c r="H164" s="232">
        <f t="shared" si="144"/>
        <v>0</v>
      </c>
      <c r="I164" s="262">
        <v>0</v>
      </c>
      <c r="J164" s="262">
        <f t="shared" ref="J164:L164" si="173">J94-J119</f>
        <v>0</v>
      </c>
      <c r="K164" s="262">
        <f t="shared" si="173"/>
        <v>0</v>
      </c>
      <c r="L164" s="262">
        <f t="shared" si="173"/>
        <v>0</v>
      </c>
      <c r="M164" s="232">
        <f t="shared" si="145"/>
        <v>0</v>
      </c>
      <c r="N164" s="262">
        <v>0</v>
      </c>
      <c r="O164" s="262">
        <f t="shared" ref="O164:Q164" si="174">O94-O119</f>
        <v>0</v>
      </c>
      <c r="P164" s="262">
        <f t="shared" si="174"/>
        <v>0</v>
      </c>
      <c r="Q164" s="262">
        <f t="shared" si="174"/>
        <v>0</v>
      </c>
      <c r="R164" s="232">
        <f t="shared" si="146"/>
        <v>0</v>
      </c>
    </row>
    <row r="165" spans="1:18" s="6" customFormat="1" ht="12" hidden="1" customHeight="1">
      <c r="A165" s="143" t="s">
        <v>48</v>
      </c>
      <c r="B165" s="185" t="s">
        <v>49</v>
      </c>
      <c r="C165" s="206">
        <v>0</v>
      </c>
      <c r="D165" s="186">
        <v>0</v>
      </c>
      <c r="E165" s="262">
        <f t="shared" ref="E165:G165" si="175">E166+E169+E173+E172</f>
        <v>0</v>
      </c>
      <c r="F165" s="262">
        <f t="shared" si="175"/>
        <v>0</v>
      </c>
      <c r="G165" s="262">
        <f t="shared" si="175"/>
        <v>0</v>
      </c>
      <c r="H165" s="232">
        <f t="shared" si="144"/>
        <v>0</v>
      </c>
      <c r="I165" s="262">
        <v>0</v>
      </c>
      <c r="J165" s="262">
        <f t="shared" ref="J165:L165" si="176">J166+J169+J173+J172</f>
        <v>0</v>
      </c>
      <c r="K165" s="262">
        <f t="shared" si="176"/>
        <v>0</v>
      </c>
      <c r="L165" s="262">
        <f t="shared" si="176"/>
        <v>0</v>
      </c>
      <c r="M165" s="232">
        <f t="shared" si="145"/>
        <v>0</v>
      </c>
      <c r="N165" s="262">
        <v>0</v>
      </c>
      <c r="O165" s="262">
        <f t="shared" ref="O165:Q165" si="177">O166+O169+O173+O172</f>
        <v>0</v>
      </c>
      <c r="P165" s="262">
        <f t="shared" si="177"/>
        <v>0</v>
      </c>
      <c r="Q165" s="262">
        <f t="shared" si="177"/>
        <v>0</v>
      </c>
      <c r="R165" s="232">
        <f t="shared" si="146"/>
        <v>0</v>
      </c>
    </row>
    <row r="166" spans="1:18" s="6" customFormat="1" ht="12" hidden="1" customHeight="1">
      <c r="A166" s="141" t="s">
        <v>50</v>
      </c>
      <c r="B166" s="179" t="s">
        <v>51</v>
      </c>
      <c r="C166" s="98">
        <v>0</v>
      </c>
      <c r="D166" s="169">
        <v>0</v>
      </c>
      <c r="E166" s="231">
        <f t="shared" ref="E166:G166" si="178">E167+E168</f>
        <v>0</v>
      </c>
      <c r="F166" s="231">
        <f t="shared" si="178"/>
        <v>0</v>
      </c>
      <c r="G166" s="231">
        <f t="shared" si="178"/>
        <v>0</v>
      </c>
      <c r="H166" s="232">
        <f t="shared" si="144"/>
        <v>0</v>
      </c>
      <c r="I166" s="231">
        <v>0</v>
      </c>
      <c r="J166" s="231">
        <f t="shared" ref="J166:L166" si="179">J167+J168</f>
        <v>0</v>
      </c>
      <c r="K166" s="231">
        <f t="shared" si="179"/>
        <v>0</v>
      </c>
      <c r="L166" s="231">
        <f t="shared" si="179"/>
        <v>0</v>
      </c>
      <c r="M166" s="232">
        <f t="shared" si="145"/>
        <v>0</v>
      </c>
      <c r="N166" s="231">
        <v>0</v>
      </c>
      <c r="O166" s="231">
        <f t="shared" ref="O166:Q166" si="180">O167+O168</f>
        <v>0</v>
      </c>
      <c r="P166" s="231">
        <f t="shared" si="180"/>
        <v>0</v>
      </c>
      <c r="Q166" s="231">
        <f t="shared" si="180"/>
        <v>0</v>
      </c>
      <c r="R166" s="232">
        <f t="shared" si="146"/>
        <v>0</v>
      </c>
    </row>
    <row r="167" spans="1:18" s="6" customFormat="1" ht="12" hidden="1" customHeight="1">
      <c r="A167" s="141" t="s">
        <v>52</v>
      </c>
      <c r="B167" s="179" t="s">
        <v>53</v>
      </c>
      <c r="C167" s="98">
        <v>0</v>
      </c>
      <c r="D167" s="169">
        <v>0</v>
      </c>
      <c r="E167" s="231"/>
      <c r="F167" s="231"/>
      <c r="G167" s="231"/>
      <c r="H167" s="232">
        <f t="shared" si="144"/>
        <v>0</v>
      </c>
      <c r="I167" s="231">
        <v>0</v>
      </c>
      <c r="J167" s="231"/>
      <c r="K167" s="231"/>
      <c r="L167" s="231"/>
      <c r="M167" s="232">
        <f t="shared" si="145"/>
        <v>0</v>
      </c>
      <c r="N167" s="231">
        <v>0</v>
      </c>
      <c r="O167" s="231"/>
      <c r="P167" s="231"/>
      <c r="Q167" s="231"/>
      <c r="R167" s="232">
        <f t="shared" si="146"/>
        <v>0</v>
      </c>
    </row>
    <row r="168" spans="1:18" s="6" customFormat="1" ht="12" hidden="1" customHeight="1">
      <c r="A168" s="141" t="s">
        <v>54</v>
      </c>
      <c r="B168" s="179" t="s">
        <v>55</v>
      </c>
      <c r="C168" s="98">
        <v>0</v>
      </c>
      <c r="D168" s="169">
        <v>0</v>
      </c>
      <c r="E168" s="231"/>
      <c r="F168" s="231"/>
      <c r="G168" s="231"/>
      <c r="H168" s="232">
        <f t="shared" si="144"/>
        <v>0</v>
      </c>
      <c r="I168" s="231">
        <v>0</v>
      </c>
      <c r="J168" s="231"/>
      <c r="K168" s="231"/>
      <c r="L168" s="231"/>
      <c r="M168" s="232">
        <f t="shared" si="145"/>
        <v>0</v>
      </c>
      <c r="N168" s="231">
        <v>0</v>
      </c>
      <c r="O168" s="231"/>
      <c r="P168" s="231"/>
      <c r="Q168" s="231"/>
      <c r="R168" s="232">
        <f t="shared" si="146"/>
        <v>0</v>
      </c>
    </row>
    <row r="169" spans="1:18" s="6" customFormat="1" ht="12" hidden="1" customHeight="1">
      <c r="A169" s="141" t="s">
        <v>56</v>
      </c>
      <c r="B169" s="179" t="s">
        <v>57</v>
      </c>
      <c r="C169" s="98">
        <v>0</v>
      </c>
      <c r="D169" s="169">
        <v>0</v>
      </c>
      <c r="E169" s="231">
        <f t="shared" ref="E169:G169" si="181">E170+E171</f>
        <v>0</v>
      </c>
      <c r="F169" s="231">
        <f t="shared" si="181"/>
        <v>0</v>
      </c>
      <c r="G169" s="231">
        <f t="shared" si="181"/>
        <v>0</v>
      </c>
      <c r="H169" s="232">
        <f t="shared" si="144"/>
        <v>0</v>
      </c>
      <c r="I169" s="231">
        <v>0</v>
      </c>
      <c r="J169" s="231">
        <f t="shared" ref="J169:L169" si="182">J170+J171</f>
        <v>0</v>
      </c>
      <c r="K169" s="231">
        <f t="shared" si="182"/>
        <v>0</v>
      </c>
      <c r="L169" s="231">
        <f t="shared" si="182"/>
        <v>0</v>
      </c>
      <c r="M169" s="232">
        <f t="shared" si="145"/>
        <v>0</v>
      </c>
      <c r="N169" s="231">
        <v>0</v>
      </c>
      <c r="O169" s="231">
        <f t="shared" ref="O169:Q169" si="183">O170+O171</f>
        <v>0</v>
      </c>
      <c r="P169" s="231">
        <f t="shared" si="183"/>
        <v>0</v>
      </c>
      <c r="Q169" s="231">
        <f t="shared" si="183"/>
        <v>0</v>
      </c>
      <c r="R169" s="232">
        <f t="shared" si="146"/>
        <v>0</v>
      </c>
    </row>
    <row r="170" spans="1:18" s="6" customFormat="1" ht="12" hidden="1" customHeight="1">
      <c r="A170" s="141" t="s">
        <v>58</v>
      </c>
      <c r="B170" s="179" t="s">
        <v>59</v>
      </c>
      <c r="C170" s="98">
        <v>0</v>
      </c>
      <c r="D170" s="169">
        <v>0</v>
      </c>
      <c r="E170" s="231"/>
      <c r="F170" s="231"/>
      <c r="G170" s="231"/>
      <c r="H170" s="232">
        <f t="shared" si="144"/>
        <v>0</v>
      </c>
      <c r="I170" s="231">
        <v>0</v>
      </c>
      <c r="J170" s="231"/>
      <c r="K170" s="231"/>
      <c r="L170" s="231"/>
      <c r="M170" s="232">
        <f t="shared" si="145"/>
        <v>0</v>
      </c>
      <c r="N170" s="231">
        <v>0</v>
      </c>
      <c r="O170" s="231"/>
      <c r="P170" s="231"/>
      <c r="Q170" s="231"/>
      <c r="R170" s="232">
        <f t="shared" si="146"/>
        <v>0</v>
      </c>
    </row>
    <row r="171" spans="1:18" s="6" customFormat="1" ht="12" hidden="1" customHeight="1">
      <c r="A171" s="141" t="s">
        <v>60</v>
      </c>
      <c r="B171" s="179" t="s">
        <v>61</v>
      </c>
      <c r="C171" s="98">
        <v>0</v>
      </c>
      <c r="D171" s="169">
        <v>0</v>
      </c>
      <c r="E171" s="231"/>
      <c r="F171" s="231"/>
      <c r="G171" s="231"/>
      <c r="H171" s="232">
        <f t="shared" si="144"/>
        <v>0</v>
      </c>
      <c r="I171" s="231">
        <v>0</v>
      </c>
      <c r="J171" s="231"/>
      <c r="K171" s="231"/>
      <c r="L171" s="231"/>
      <c r="M171" s="232">
        <f t="shared" si="145"/>
        <v>0</v>
      </c>
      <c r="N171" s="231">
        <v>0</v>
      </c>
      <c r="O171" s="231"/>
      <c r="P171" s="231"/>
      <c r="Q171" s="231"/>
      <c r="R171" s="232">
        <f t="shared" si="146"/>
        <v>0</v>
      </c>
    </row>
    <row r="172" spans="1:18" s="6" customFormat="1" ht="12" hidden="1" customHeight="1">
      <c r="A172" s="141" t="s">
        <v>198</v>
      </c>
      <c r="B172" s="187" t="s">
        <v>168</v>
      </c>
      <c r="C172" s="98">
        <v>0</v>
      </c>
      <c r="D172" s="169">
        <v>0</v>
      </c>
      <c r="E172" s="231"/>
      <c r="F172" s="231"/>
      <c r="G172" s="231"/>
      <c r="H172" s="232">
        <f t="shared" si="144"/>
        <v>0</v>
      </c>
      <c r="I172" s="231">
        <v>0</v>
      </c>
      <c r="J172" s="231"/>
      <c r="K172" s="231"/>
      <c r="L172" s="231"/>
      <c r="M172" s="232">
        <f t="shared" si="145"/>
        <v>0</v>
      </c>
      <c r="N172" s="231">
        <v>0</v>
      </c>
      <c r="O172" s="231"/>
      <c r="P172" s="231"/>
      <c r="Q172" s="231"/>
      <c r="R172" s="232">
        <f t="shared" si="146"/>
        <v>0</v>
      </c>
    </row>
    <row r="173" spans="1:18" s="6" customFormat="1" ht="12" hidden="1" customHeight="1">
      <c r="A173" s="144" t="s">
        <v>62</v>
      </c>
      <c r="B173" s="125" t="s">
        <v>63</v>
      </c>
      <c r="C173" s="170">
        <v>0</v>
      </c>
      <c r="D173" s="171">
        <v>0</v>
      </c>
      <c r="E173" s="233">
        <f t="shared" ref="E173:G173" si="184">E174+E175+E176</f>
        <v>0</v>
      </c>
      <c r="F173" s="233">
        <f t="shared" si="184"/>
        <v>0</v>
      </c>
      <c r="G173" s="233">
        <f t="shared" si="184"/>
        <v>0</v>
      </c>
      <c r="H173" s="232">
        <f t="shared" si="144"/>
        <v>0</v>
      </c>
      <c r="I173" s="233">
        <v>0</v>
      </c>
      <c r="J173" s="233">
        <f t="shared" ref="J173:L173" si="185">J174+J175+J176</f>
        <v>0</v>
      </c>
      <c r="K173" s="233">
        <f t="shared" si="185"/>
        <v>0</v>
      </c>
      <c r="L173" s="233">
        <f t="shared" si="185"/>
        <v>0</v>
      </c>
      <c r="M173" s="232">
        <f t="shared" si="145"/>
        <v>0</v>
      </c>
      <c r="N173" s="233">
        <v>0</v>
      </c>
      <c r="O173" s="233">
        <f t="shared" ref="O173:Q173" si="186">O174+O175+O176</f>
        <v>0</v>
      </c>
      <c r="P173" s="233">
        <f t="shared" si="186"/>
        <v>0</v>
      </c>
      <c r="Q173" s="233">
        <f t="shared" si="186"/>
        <v>0</v>
      </c>
      <c r="R173" s="232">
        <f t="shared" si="146"/>
        <v>0</v>
      </c>
    </row>
    <row r="174" spans="1:18" s="6" customFormat="1" ht="36" hidden="1" customHeight="1">
      <c r="A174" s="144" t="s">
        <v>64</v>
      </c>
      <c r="B174" s="179" t="s">
        <v>65</v>
      </c>
      <c r="C174" s="98">
        <v>0</v>
      </c>
      <c r="D174" s="169">
        <v>0</v>
      </c>
      <c r="E174" s="231"/>
      <c r="F174" s="231"/>
      <c r="G174" s="231"/>
      <c r="H174" s="232">
        <f t="shared" si="144"/>
        <v>0</v>
      </c>
      <c r="I174" s="231">
        <v>0</v>
      </c>
      <c r="J174" s="231"/>
      <c r="K174" s="231"/>
      <c r="L174" s="231"/>
      <c r="M174" s="232">
        <f t="shared" si="145"/>
        <v>0</v>
      </c>
      <c r="N174" s="231">
        <v>0</v>
      </c>
      <c r="O174" s="231"/>
      <c r="P174" s="231"/>
      <c r="Q174" s="231"/>
      <c r="R174" s="232">
        <f t="shared" si="146"/>
        <v>0</v>
      </c>
    </row>
    <row r="175" spans="1:18" s="6" customFormat="1" ht="24" hidden="1" customHeight="1">
      <c r="A175" s="144" t="s">
        <v>66</v>
      </c>
      <c r="B175" s="179" t="s">
        <v>67</v>
      </c>
      <c r="C175" s="98">
        <v>0</v>
      </c>
      <c r="D175" s="169">
        <v>0</v>
      </c>
      <c r="E175" s="231"/>
      <c r="F175" s="231"/>
      <c r="G175" s="231"/>
      <c r="H175" s="232">
        <f t="shared" si="144"/>
        <v>0</v>
      </c>
      <c r="I175" s="231">
        <v>0</v>
      </c>
      <c r="J175" s="231"/>
      <c r="K175" s="231"/>
      <c r="L175" s="231"/>
      <c r="M175" s="232">
        <f t="shared" si="145"/>
        <v>0</v>
      </c>
      <c r="N175" s="231">
        <v>0</v>
      </c>
      <c r="O175" s="231"/>
      <c r="P175" s="231"/>
      <c r="Q175" s="231"/>
      <c r="R175" s="232">
        <f t="shared" si="146"/>
        <v>0</v>
      </c>
    </row>
    <row r="176" spans="1:18" s="6" customFormat="1" ht="24" hidden="1" customHeight="1">
      <c r="A176" s="144" t="s">
        <v>68</v>
      </c>
      <c r="B176" s="125" t="s">
        <v>69</v>
      </c>
      <c r="C176" s="98">
        <v>0</v>
      </c>
      <c r="D176" s="169">
        <v>0</v>
      </c>
      <c r="E176" s="231"/>
      <c r="F176" s="231"/>
      <c r="G176" s="231"/>
      <c r="H176" s="232">
        <f t="shared" si="144"/>
        <v>0</v>
      </c>
      <c r="I176" s="231">
        <v>0</v>
      </c>
      <c r="J176" s="231"/>
      <c r="K176" s="231"/>
      <c r="L176" s="231"/>
      <c r="M176" s="232">
        <f t="shared" si="145"/>
        <v>0</v>
      </c>
      <c r="N176" s="231">
        <v>0</v>
      </c>
      <c r="O176" s="231"/>
      <c r="P176" s="231"/>
      <c r="Q176" s="231"/>
      <c r="R176" s="232">
        <f t="shared" si="146"/>
        <v>0</v>
      </c>
    </row>
    <row r="177" spans="1:18" s="6" customFormat="1" ht="34.200000000000003">
      <c r="A177" s="145"/>
      <c r="B177" s="188" t="s">
        <v>200</v>
      </c>
      <c r="C177" s="207"/>
      <c r="D177" s="189"/>
      <c r="E177" s="268"/>
      <c r="F177" s="268"/>
      <c r="G177" s="268"/>
      <c r="H177" s="269">
        <f t="shared" si="144"/>
        <v>0</v>
      </c>
      <c r="I177" s="347"/>
      <c r="J177" s="268"/>
      <c r="K177" s="268"/>
      <c r="L177" s="268"/>
      <c r="M177" s="269">
        <f t="shared" si="145"/>
        <v>0</v>
      </c>
      <c r="N177" s="347"/>
      <c r="O177" s="268"/>
      <c r="P177" s="268"/>
      <c r="Q177" s="268"/>
      <c r="R177" s="269">
        <f t="shared" si="146"/>
        <v>0</v>
      </c>
    </row>
    <row r="178" spans="1:18" s="6" customFormat="1" ht="21" hidden="1" customHeight="1">
      <c r="A178" s="129" t="s">
        <v>201</v>
      </c>
      <c r="B178" s="123" t="s">
        <v>88</v>
      </c>
      <c r="C178" s="200">
        <v>0</v>
      </c>
      <c r="D178" s="167">
        <v>0</v>
      </c>
      <c r="E178" s="228">
        <f t="shared" ref="E178:G178" si="187">E179+E180+E182+E200</f>
        <v>0</v>
      </c>
      <c r="F178" s="228">
        <f t="shared" si="187"/>
        <v>0</v>
      </c>
      <c r="G178" s="228">
        <f t="shared" si="187"/>
        <v>0</v>
      </c>
      <c r="H178" s="229">
        <f t="shared" si="144"/>
        <v>0</v>
      </c>
      <c r="I178" s="228">
        <v>0</v>
      </c>
      <c r="J178" s="228">
        <f t="shared" ref="J178:L178" si="188">J179+J180+J182+J200</f>
        <v>0</v>
      </c>
      <c r="K178" s="228">
        <f t="shared" si="188"/>
        <v>0</v>
      </c>
      <c r="L178" s="228">
        <f t="shared" si="188"/>
        <v>0</v>
      </c>
      <c r="M178" s="229">
        <f t="shared" si="145"/>
        <v>0</v>
      </c>
      <c r="N178" s="228">
        <v>0</v>
      </c>
      <c r="O178" s="228">
        <f t="shared" ref="O178:Q178" si="189">O179+O180+O182+O200</f>
        <v>0</v>
      </c>
      <c r="P178" s="228">
        <f t="shared" si="189"/>
        <v>0</v>
      </c>
      <c r="Q178" s="228">
        <f t="shared" si="189"/>
        <v>0</v>
      </c>
      <c r="R178" s="229">
        <f t="shared" si="146"/>
        <v>0</v>
      </c>
    </row>
    <row r="179" spans="1:18" s="6" customFormat="1" ht="24" hidden="1" customHeight="1">
      <c r="A179" s="130" t="s">
        <v>177</v>
      </c>
      <c r="B179" s="124" t="s">
        <v>90</v>
      </c>
      <c r="C179" s="98"/>
      <c r="D179" s="169">
        <v>0</v>
      </c>
      <c r="E179" s="231"/>
      <c r="F179" s="231"/>
      <c r="G179" s="231"/>
      <c r="H179" s="232">
        <f t="shared" si="144"/>
        <v>0</v>
      </c>
      <c r="I179" s="231">
        <v>0</v>
      </c>
      <c r="J179" s="231"/>
      <c r="K179" s="231"/>
      <c r="L179" s="231"/>
      <c r="M179" s="232">
        <f t="shared" si="145"/>
        <v>0</v>
      </c>
      <c r="N179" s="231">
        <v>0</v>
      </c>
      <c r="O179" s="231"/>
      <c r="P179" s="231"/>
      <c r="Q179" s="231"/>
      <c r="R179" s="232">
        <f t="shared" si="146"/>
        <v>0</v>
      </c>
    </row>
    <row r="180" spans="1:18" s="6" customFormat="1" ht="12" hidden="1" customHeight="1">
      <c r="A180" s="130" t="s">
        <v>91</v>
      </c>
      <c r="B180" s="124" t="s">
        <v>92</v>
      </c>
      <c r="C180" s="98"/>
      <c r="D180" s="169">
        <v>0</v>
      </c>
      <c r="E180" s="231"/>
      <c r="F180" s="231"/>
      <c r="G180" s="231"/>
      <c r="H180" s="232">
        <f t="shared" si="144"/>
        <v>0</v>
      </c>
      <c r="I180" s="231">
        <v>0</v>
      </c>
      <c r="J180" s="231"/>
      <c r="K180" s="231"/>
      <c r="L180" s="231"/>
      <c r="M180" s="232">
        <f t="shared" si="145"/>
        <v>0</v>
      </c>
      <c r="N180" s="231">
        <v>0</v>
      </c>
      <c r="O180" s="231"/>
      <c r="P180" s="231"/>
      <c r="Q180" s="231"/>
      <c r="R180" s="232">
        <f t="shared" si="146"/>
        <v>0</v>
      </c>
    </row>
    <row r="181" spans="1:18" s="29" customFormat="1" ht="24" hidden="1" customHeight="1">
      <c r="A181" s="131">
        <v>21210</v>
      </c>
      <c r="B181" s="125" t="s">
        <v>93</v>
      </c>
      <c r="C181" s="98"/>
      <c r="D181" s="169">
        <v>0</v>
      </c>
      <c r="E181" s="231"/>
      <c r="F181" s="231"/>
      <c r="G181" s="231"/>
      <c r="H181" s="232">
        <f t="shared" si="144"/>
        <v>0</v>
      </c>
      <c r="I181" s="231">
        <v>0</v>
      </c>
      <c r="J181" s="231"/>
      <c r="K181" s="231"/>
      <c r="L181" s="231"/>
      <c r="M181" s="232">
        <f t="shared" si="145"/>
        <v>0</v>
      </c>
      <c r="N181" s="231">
        <v>0</v>
      </c>
      <c r="O181" s="231"/>
      <c r="P181" s="231"/>
      <c r="Q181" s="231"/>
      <c r="R181" s="232">
        <f t="shared" si="146"/>
        <v>0</v>
      </c>
    </row>
    <row r="182" spans="1:18" s="89" customFormat="1" ht="21" hidden="1" customHeight="1">
      <c r="A182" s="130" t="s">
        <v>178</v>
      </c>
      <c r="B182" s="124" t="s">
        <v>94</v>
      </c>
      <c r="C182" s="170">
        <v>0</v>
      </c>
      <c r="D182" s="171">
        <v>0</v>
      </c>
      <c r="E182" s="233">
        <f t="shared" ref="E182:G182" si="190">E183+E189</f>
        <v>0</v>
      </c>
      <c r="F182" s="233">
        <f t="shared" si="190"/>
        <v>0</v>
      </c>
      <c r="G182" s="233">
        <f t="shared" si="190"/>
        <v>0</v>
      </c>
      <c r="H182" s="232">
        <f t="shared" si="144"/>
        <v>0</v>
      </c>
      <c r="I182" s="233">
        <v>0</v>
      </c>
      <c r="J182" s="233">
        <f t="shared" ref="J182:L182" si="191">J183+J189</f>
        <v>0</v>
      </c>
      <c r="K182" s="233">
        <f t="shared" si="191"/>
        <v>0</v>
      </c>
      <c r="L182" s="233">
        <f t="shared" si="191"/>
        <v>0</v>
      </c>
      <c r="M182" s="232">
        <f t="shared" si="145"/>
        <v>0</v>
      </c>
      <c r="N182" s="233">
        <v>0</v>
      </c>
      <c r="O182" s="233">
        <f t="shared" ref="O182:Q182" si="192">O183+O189</f>
        <v>0</v>
      </c>
      <c r="P182" s="233">
        <f t="shared" si="192"/>
        <v>0</v>
      </c>
      <c r="Q182" s="233">
        <f t="shared" si="192"/>
        <v>0</v>
      </c>
      <c r="R182" s="232">
        <f t="shared" si="146"/>
        <v>0</v>
      </c>
    </row>
    <row r="183" spans="1:18" s="89" customFormat="1" ht="12" hidden="1" customHeight="1">
      <c r="A183" s="132">
        <v>18000</v>
      </c>
      <c r="B183" s="125" t="s">
        <v>95</v>
      </c>
      <c r="C183" s="170">
        <v>0</v>
      </c>
      <c r="D183" s="171">
        <v>0</v>
      </c>
      <c r="E183" s="233">
        <f t="shared" ref="E183:L184" si="193">E184</f>
        <v>0</v>
      </c>
      <c r="F183" s="233">
        <f t="shared" si="193"/>
        <v>0</v>
      </c>
      <c r="G183" s="233">
        <f t="shared" si="193"/>
        <v>0</v>
      </c>
      <c r="H183" s="232">
        <f t="shared" si="144"/>
        <v>0</v>
      </c>
      <c r="I183" s="233">
        <v>0</v>
      </c>
      <c r="J183" s="233">
        <f t="shared" si="193"/>
        <v>0</v>
      </c>
      <c r="K183" s="233">
        <f t="shared" si="193"/>
        <v>0</v>
      </c>
      <c r="L183" s="233">
        <f t="shared" si="193"/>
        <v>0</v>
      </c>
      <c r="M183" s="232">
        <f t="shared" si="145"/>
        <v>0</v>
      </c>
      <c r="N183" s="233">
        <v>0</v>
      </c>
      <c r="O183" s="233">
        <f t="shared" ref="O183:Q184" si="194">O184</f>
        <v>0</v>
      </c>
      <c r="P183" s="233">
        <f t="shared" si="194"/>
        <v>0</v>
      </c>
      <c r="Q183" s="233">
        <f t="shared" si="194"/>
        <v>0</v>
      </c>
      <c r="R183" s="232">
        <f t="shared" si="146"/>
        <v>0</v>
      </c>
    </row>
    <row r="184" spans="1:18" s="89" customFormat="1" ht="12" hidden="1" customHeight="1">
      <c r="A184" s="132">
        <v>18100</v>
      </c>
      <c r="B184" s="125" t="s">
        <v>96</v>
      </c>
      <c r="C184" s="170">
        <v>0</v>
      </c>
      <c r="D184" s="171">
        <v>0</v>
      </c>
      <c r="E184" s="233">
        <f t="shared" si="193"/>
        <v>0</v>
      </c>
      <c r="F184" s="233">
        <f t="shared" si="193"/>
        <v>0</v>
      </c>
      <c r="G184" s="233">
        <f t="shared" si="193"/>
        <v>0</v>
      </c>
      <c r="H184" s="232">
        <f t="shared" si="144"/>
        <v>0</v>
      </c>
      <c r="I184" s="233">
        <v>0</v>
      </c>
      <c r="J184" s="233">
        <f t="shared" si="193"/>
        <v>0</v>
      </c>
      <c r="K184" s="233">
        <f t="shared" si="193"/>
        <v>0</v>
      </c>
      <c r="L184" s="233">
        <f t="shared" si="193"/>
        <v>0</v>
      </c>
      <c r="M184" s="232">
        <f t="shared" si="145"/>
        <v>0</v>
      </c>
      <c r="N184" s="233">
        <v>0</v>
      </c>
      <c r="O184" s="233">
        <f t="shared" si="194"/>
        <v>0</v>
      </c>
      <c r="P184" s="233">
        <f t="shared" si="194"/>
        <v>0</v>
      </c>
      <c r="Q184" s="233">
        <f t="shared" si="194"/>
        <v>0</v>
      </c>
      <c r="R184" s="232">
        <f t="shared" si="146"/>
        <v>0</v>
      </c>
    </row>
    <row r="185" spans="1:18" s="89" customFormat="1" ht="24" hidden="1" customHeight="1">
      <c r="A185" s="133">
        <v>18130</v>
      </c>
      <c r="B185" s="172" t="s">
        <v>159</v>
      </c>
      <c r="C185" s="170">
        <v>0</v>
      </c>
      <c r="D185" s="171">
        <v>0</v>
      </c>
      <c r="E185" s="233">
        <f t="shared" ref="E185:G185" si="195">SUM(E186:E188)</f>
        <v>0</v>
      </c>
      <c r="F185" s="233">
        <f t="shared" ref="F185" si="196">SUM(F186:F188)</f>
        <v>0</v>
      </c>
      <c r="G185" s="233">
        <f t="shared" si="195"/>
        <v>0</v>
      </c>
      <c r="H185" s="232">
        <f t="shared" si="144"/>
        <v>0</v>
      </c>
      <c r="I185" s="233">
        <v>0</v>
      </c>
      <c r="J185" s="233">
        <f t="shared" ref="J185:L185" si="197">SUM(J186:J188)</f>
        <v>0</v>
      </c>
      <c r="K185" s="233">
        <f t="shared" si="197"/>
        <v>0</v>
      </c>
      <c r="L185" s="233">
        <f t="shared" si="197"/>
        <v>0</v>
      </c>
      <c r="M185" s="232">
        <f t="shared" si="145"/>
        <v>0</v>
      </c>
      <c r="N185" s="233">
        <v>0</v>
      </c>
      <c r="O185" s="233">
        <f t="shared" ref="O185:Q185" si="198">SUM(O186:O188)</f>
        <v>0</v>
      </c>
      <c r="P185" s="233">
        <f t="shared" si="198"/>
        <v>0</v>
      </c>
      <c r="Q185" s="233">
        <f t="shared" si="198"/>
        <v>0</v>
      </c>
      <c r="R185" s="232">
        <f t="shared" si="146"/>
        <v>0</v>
      </c>
    </row>
    <row r="186" spans="1:18" s="89" customFormat="1" ht="24" hidden="1" customHeight="1">
      <c r="A186" s="134">
        <v>18131</v>
      </c>
      <c r="B186" s="172" t="s">
        <v>160</v>
      </c>
      <c r="C186" s="170"/>
      <c r="D186" s="171">
        <v>0</v>
      </c>
      <c r="E186" s="233"/>
      <c r="F186" s="233"/>
      <c r="G186" s="233"/>
      <c r="H186" s="232">
        <f t="shared" si="144"/>
        <v>0</v>
      </c>
      <c r="I186" s="233">
        <v>0</v>
      </c>
      <c r="J186" s="233"/>
      <c r="K186" s="233"/>
      <c r="L186" s="233"/>
      <c r="M186" s="232">
        <f t="shared" si="145"/>
        <v>0</v>
      </c>
      <c r="N186" s="233">
        <v>0</v>
      </c>
      <c r="O186" s="233"/>
      <c r="P186" s="233"/>
      <c r="Q186" s="233"/>
      <c r="R186" s="232">
        <f t="shared" si="146"/>
        <v>0</v>
      </c>
    </row>
    <row r="187" spans="1:18" s="89" customFormat="1" ht="24" hidden="1" customHeight="1">
      <c r="A187" s="134">
        <v>18132</v>
      </c>
      <c r="B187" s="172" t="s">
        <v>169</v>
      </c>
      <c r="C187" s="170"/>
      <c r="D187" s="171">
        <v>0</v>
      </c>
      <c r="E187" s="233"/>
      <c r="F187" s="233"/>
      <c r="G187" s="233"/>
      <c r="H187" s="232">
        <f t="shared" si="144"/>
        <v>0</v>
      </c>
      <c r="I187" s="233">
        <v>0</v>
      </c>
      <c r="J187" s="233"/>
      <c r="K187" s="233"/>
      <c r="L187" s="233"/>
      <c r="M187" s="232">
        <f t="shared" si="145"/>
        <v>0</v>
      </c>
      <c r="N187" s="233">
        <v>0</v>
      </c>
      <c r="O187" s="233"/>
      <c r="P187" s="233"/>
      <c r="Q187" s="233"/>
      <c r="R187" s="232">
        <f t="shared" si="146"/>
        <v>0</v>
      </c>
    </row>
    <row r="188" spans="1:18" s="89" customFormat="1" ht="24" hidden="1" customHeight="1">
      <c r="A188" s="134">
        <v>18139</v>
      </c>
      <c r="B188" s="172" t="s">
        <v>179</v>
      </c>
      <c r="C188" s="170"/>
      <c r="D188" s="171">
        <v>0</v>
      </c>
      <c r="E188" s="233"/>
      <c r="F188" s="233"/>
      <c r="G188" s="233"/>
      <c r="H188" s="232">
        <f t="shared" si="144"/>
        <v>0</v>
      </c>
      <c r="I188" s="233">
        <v>0</v>
      </c>
      <c r="J188" s="233"/>
      <c r="K188" s="233"/>
      <c r="L188" s="233"/>
      <c r="M188" s="232">
        <f t="shared" si="145"/>
        <v>0</v>
      </c>
      <c r="N188" s="233">
        <v>0</v>
      </c>
      <c r="O188" s="233"/>
      <c r="P188" s="233"/>
      <c r="Q188" s="233"/>
      <c r="R188" s="232">
        <f t="shared" si="146"/>
        <v>0</v>
      </c>
    </row>
    <row r="189" spans="1:18" s="89" customFormat="1" ht="12" hidden="1" customHeight="1">
      <c r="A189" s="135" t="s">
        <v>180</v>
      </c>
      <c r="B189" s="173" t="s">
        <v>173</v>
      </c>
      <c r="C189" s="201">
        <v>0</v>
      </c>
      <c r="D189" s="174">
        <v>0</v>
      </c>
      <c r="E189" s="238">
        <f t="shared" ref="E189:L189" si="199">E190</f>
        <v>0</v>
      </c>
      <c r="F189" s="238">
        <f t="shared" si="199"/>
        <v>0</v>
      </c>
      <c r="G189" s="238">
        <f t="shared" si="199"/>
        <v>0</v>
      </c>
      <c r="H189" s="232">
        <f t="shared" si="144"/>
        <v>0</v>
      </c>
      <c r="I189" s="238">
        <v>0</v>
      </c>
      <c r="J189" s="238">
        <f t="shared" si="199"/>
        <v>0</v>
      </c>
      <c r="K189" s="238">
        <f t="shared" si="199"/>
        <v>0</v>
      </c>
      <c r="L189" s="238">
        <f t="shared" si="199"/>
        <v>0</v>
      </c>
      <c r="M189" s="232">
        <f t="shared" si="145"/>
        <v>0</v>
      </c>
      <c r="N189" s="238">
        <v>0</v>
      </c>
      <c r="O189" s="238">
        <f t="shared" ref="O189:Q189" si="200">O190</f>
        <v>0</v>
      </c>
      <c r="P189" s="238">
        <f t="shared" si="200"/>
        <v>0</v>
      </c>
      <c r="Q189" s="238">
        <f t="shared" si="200"/>
        <v>0</v>
      </c>
      <c r="R189" s="232">
        <f t="shared" si="146"/>
        <v>0</v>
      </c>
    </row>
    <row r="190" spans="1:18" s="89" customFormat="1" ht="12" hidden="1" customHeight="1">
      <c r="A190" s="135">
        <v>19500</v>
      </c>
      <c r="B190" s="172" t="s">
        <v>174</v>
      </c>
      <c r="C190" s="170">
        <v>0</v>
      </c>
      <c r="D190" s="171">
        <v>0</v>
      </c>
      <c r="E190" s="233">
        <f t="shared" ref="E190:G190" si="201">SUM(E191:E193)</f>
        <v>0</v>
      </c>
      <c r="F190" s="233">
        <f t="shared" si="201"/>
        <v>0</v>
      </c>
      <c r="G190" s="233">
        <f t="shared" si="201"/>
        <v>0</v>
      </c>
      <c r="H190" s="232">
        <f t="shared" si="144"/>
        <v>0</v>
      </c>
      <c r="I190" s="233">
        <v>0</v>
      </c>
      <c r="J190" s="233">
        <f t="shared" ref="J190:L190" si="202">SUM(J191:J193)</f>
        <v>0</v>
      </c>
      <c r="K190" s="233">
        <f t="shared" si="202"/>
        <v>0</v>
      </c>
      <c r="L190" s="233">
        <f t="shared" si="202"/>
        <v>0</v>
      </c>
      <c r="M190" s="232">
        <f t="shared" si="145"/>
        <v>0</v>
      </c>
      <c r="N190" s="233">
        <v>0</v>
      </c>
      <c r="O190" s="233">
        <f t="shared" ref="O190:Q190" si="203">SUM(O191:O193)</f>
        <v>0</v>
      </c>
      <c r="P190" s="233">
        <f t="shared" si="203"/>
        <v>0</v>
      </c>
      <c r="Q190" s="233">
        <f t="shared" si="203"/>
        <v>0</v>
      </c>
      <c r="R190" s="232">
        <f t="shared" si="146"/>
        <v>0</v>
      </c>
    </row>
    <row r="191" spans="1:18" s="89" customFormat="1" ht="24" hidden="1" customHeight="1">
      <c r="A191" s="136">
        <v>19550</v>
      </c>
      <c r="B191" s="172" t="s">
        <v>175</v>
      </c>
      <c r="C191" s="170"/>
      <c r="D191" s="171">
        <v>0</v>
      </c>
      <c r="E191" s="233"/>
      <c r="F191" s="233"/>
      <c r="G191" s="233"/>
      <c r="H191" s="232">
        <f t="shared" si="144"/>
        <v>0</v>
      </c>
      <c r="I191" s="233">
        <v>0</v>
      </c>
      <c r="J191" s="233"/>
      <c r="K191" s="233"/>
      <c r="L191" s="233"/>
      <c r="M191" s="232">
        <f t="shared" si="145"/>
        <v>0</v>
      </c>
      <c r="N191" s="233">
        <v>0</v>
      </c>
      <c r="O191" s="233"/>
      <c r="P191" s="233"/>
      <c r="Q191" s="233"/>
      <c r="R191" s="232">
        <f t="shared" si="146"/>
        <v>0</v>
      </c>
    </row>
    <row r="192" spans="1:18" s="89" customFormat="1" ht="36" hidden="1" customHeight="1">
      <c r="A192" s="136">
        <v>19560</v>
      </c>
      <c r="B192" s="172" t="s">
        <v>181</v>
      </c>
      <c r="C192" s="170"/>
      <c r="D192" s="171">
        <v>0</v>
      </c>
      <c r="E192" s="233"/>
      <c r="F192" s="233"/>
      <c r="G192" s="233"/>
      <c r="H192" s="232">
        <f t="shared" si="144"/>
        <v>0</v>
      </c>
      <c r="I192" s="233">
        <v>0</v>
      </c>
      <c r="J192" s="233"/>
      <c r="K192" s="233"/>
      <c r="L192" s="233"/>
      <c r="M192" s="232">
        <f t="shared" si="145"/>
        <v>0</v>
      </c>
      <c r="N192" s="233">
        <v>0</v>
      </c>
      <c r="O192" s="233"/>
      <c r="P192" s="233"/>
      <c r="Q192" s="233"/>
      <c r="R192" s="232">
        <f t="shared" si="146"/>
        <v>0</v>
      </c>
    </row>
    <row r="193" spans="1:18" s="89" customFormat="1" ht="60" hidden="1" customHeight="1">
      <c r="A193" s="136">
        <v>19570</v>
      </c>
      <c r="B193" s="172" t="s">
        <v>182</v>
      </c>
      <c r="C193" s="170"/>
      <c r="D193" s="171">
        <v>0</v>
      </c>
      <c r="E193" s="233"/>
      <c r="F193" s="233"/>
      <c r="G193" s="233"/>
      <c r="H193" s="232">
        <f t="shared" si="144"/>
        <v>0</v>
      </c>
      <c r="I193" s="233">
        <v>0</v>
      </c>
      <c r="J193" s="233"/>
      <c r="K193" s="233"/>
      <c r="L193" s="233"/>
      <c r="M193" s="232">
        <f t="shared" si="145"/>
        <v>0</v>
      </c>
      <c r="N193" s="233">
        <v>0</v>
      </c>
      <c r="O193" s="233"/>
      <c r="P193" s="233"/>
      <c r="Q193" s="233"/>
      <c r="R193" s="232">
        <f t="shared" si="146"/>
        <v>0</v>
      </c>
    </row>
    <row r="194" spans="1:18" s="6" customFormat="1" ht="24" hidden="1" customHeight="1">
      <c r="A194" s="209" t="s">
        <v>222</v>
      </c>
      <c r="B194" s="208" t="s">
        <v>216</v>
      </c>
      <c r="C194" s="106">
        <f>C195</f>
        <v>0</v>
      </c>
      <c r="D194" s="106">
        <v>0</v>
      </c>
      <c r="E194" s="232">
        <f t="shared" ref="E194:L194" si="204">E195</f>
        <v>0</v>
      </c>
      <c r="F194" s="232">
        <f t="shared" si="204"/>
        <v>0</v>
      </c>
      <c r="G194" s="232">
        <f t="shared" si="204"/>
        <v>0</v>
      </c>
      <c r="H194" s="232">
        <f t="shared" si="144"/>
        <v>0</v>
      </c>
      <c r="I194" s="233">
        <v>0</v>
      </c>
      <c r="J194" s="232">
        <f t="shared" si="204"/>
        <v>0</v>
      </c>
      <c r="K194" s="232">
        <f t="shared" si="204"/>
        <v>0</v>
      </c>
      <c r="L194" s="232">
        <f t="shared" si="204"/>
        <v>0</v>
      </c>
      <c r="M194" s="232">
        <f t="shared" si="145"/>
        <v>0</v>
      </c>
      <c r="N194" s="233">
        <v>0</v>
      </c>
      <c r="O194" s="232">
        <f t="shared" ref="O194:Q194" si="205">O195</f>
        <v>0</v>
      </c>
      <c r="P194" s="232">
        <f t="shared" si="205"/>
        <v>0</v>
      </c>
      <c r="Q194" s="232">
        <f t="shared" si="205"/>
        <v>0</v>
      </c>
      <c r="R194" s="232">
        <f t="shared" si="146"/>
        <v>0</v>
      </c>
    </row>
    <row r="195" spans="1:18" s="6" customFormat="1" ht="36" hidden="1" customHeight="1">
      <c r="A195" s="209">
        <v>17100</v>
      </c>
      <c r="B195" s="208" t="s">
        <v>217</v>
      </c>
      <c r="C195" s="106">
        <f>SUM(C196:C199)</f>
        <v>0</v>
      </c>
      <c r="D195" s="106">
        <v>0</v>
      </c>
      <c r="E195" s="232">
        <f t="shared" ref="E195:G195" si="206">SUM(E196:E199)</f>
        <v>0</v>
      </c>
      <c r="F195" s="232">
        <f t="shared" si="206"/>
        <v>0</v>
      </c>
      <c r="G195" s="232">
        <f t="shared" si="206"/>
        <v>0</v>
      </c>
      <c r="H195" s="232">
        <f t="shared" si="144"/>
        <v>0</v>
      </c>
      <c r="I195" s="233">
        <v>0</v>
      </c>
      <c r="J195" s="232">
        <f t="shared" ref="J195:L195" si="207">SUM(J196:J199)</f>
        <v>0</v>
      </c>
      <c r="K195" s="232">
        <f t="shared" si="207"/>
        <v>0</v>
      </c>
      <c r="L195" s="232">
        <f t="shared" si="207"/>
        <v>0</v>
      </c>
      <c r="M195" s="232">
        <f t="shared" si="145"/>
        <v>0</v>
      </c>
      <c r="N195" s="233">
        <v>0</v>
      </c>
      <c r="O195" s="232">
        <f t="shared" ref="O195:Q195" si="208">SUM(O196:O199)</f>
        <v>0</v>
      </c>
      <c r="P195" s="232">
        <f t="shared" si="208"/>
        <v>0</v>
      </c>
      <c r="Q195" s="232">
        <f t="shared" si="208"/>
        <v>0</v>
      </c>
      <c r="R195" s="232">
        <f t="shared" si="146"/>
        <v>0</v>
      </c>
    </row>
    <row r="196" spans="1:18" s="6" customFormat="1" ht="48" hidden="1" customHeight="1">
      <c r="A196" s="149">
        <v>17110</v>
      </c>
      <c r="B196" s="208" t="s">
        <v>218</v>
      </c>
      <c r="C196" s="106"/>
      <c r="D196" s="107">
        <v>0</v>
      </c>
      <c r="E196" s="233"/>
      <c r="F196" s="233"/>
      <c r="G196" s="233"/>
      <c r="H196" s="232">
        <f t="shared" si="144"/>
        <v>0</v>
      </c>
      <c r="I196" s="233">
        <v>0</v>
      </c>
      <c r="J196" s="233"/>
      <c r="K196" s="233"/>
      <c r="L196" s="233"/>
      <c r="M196" s="232">
        <f t="shared" si="145"/>
        <v>0</v>
      </c>
      <c r="N196" s="233">
        <v>0</v>
      </c>
      <c r="O196" s="233"/>
      <c r="P196" s="233"/>
      <c r="Q196" s="233"/>
      <c r="R196" s="232">
        <f t="shared" si="146"/>
        <v>0</v>
      </c>
    </row>
    <row r="197" spans="1:18" s="6" customFormat="1" ht="48" hidden="1" customHeight="1">
      <c r="A197" s="149">
        <v>17120</v>
      </c>
      <c r="B197" s="208" t="s">
        <v>219</v>
      </c>
      <c r="C197" s="106"/>
      <c r="D197" s="107">
        <v>0</v>
      </c>
      <c r="E197" s="233"/>
      <c r="F197" s="233"/>
      <c r="G197" s="233"/>
      <c r="H197" s="232">
        <f t="shared" si="144"/>
        <v>0</v>
      </c>
      <c r="I197" s="233">
        <v>0</v>
      </c>
      <c r="J197" s="233"/>
      <c r="K197" s="233"/>
      <c r="L197" s="233"/>
      <c r="M197" s="232">
        <f t="shared" si="145"/>
        <v>0</v>
      </c>
      <c r="N197" s="233">
        <v>0</v>
      </c>
      <c r="O197" s="233"/>
      <c r="P197" s="233"/>
      <c r="Q197" s="233"/>
      <c r="R197" s="232">
        <f t="shared" si="146"/>
        <v>0</v>
      </c>
    </row>
    <row r="198" spans="1:18" s="6" customFormat="1" ht="96" hidden="1" customHeight="1">
      <c r="A198" s="149">
        <v>17130</v>
      </c>
      <c r="B198" s="208" t="s">
        <v>220</v>
      </c>
      <c r="C198" s="106"/>
      <c r="D198" s="107">
        <v>0</v>
      </c>
      <c r="E198" s="233"/>
      <c r="F198" s="233"/>
      <c r="G198" s="233"/>
      <c r="H198" s="232">
        <f t="shared" si="144"/>
        <v>0</v>
      </c>
      <c r="I198" s="233">
        <v>0</v>
      </c>
      <c r="J198" s="233"/>
      <c r="K198" s="233"/>
      <c r="L198" s="233"/>
      <c r="M198" s="232">
        <f t="shared" si="145"/>
        <v>0</v>
      </c>
      <c r="N198" s="233">
        <v>0</v>
      </c>
      <c r="O198" s="233"/>
      <c r="P198" s="233"/>
      <c r="Q198" s="233"/>
      <c r="R198" s="232">
        <f t="shared" si="146"/>
        <v>0</v>
      </c>
    </row>
    <row r="199" spans="1:18" s="6" customFormat="1" ht="96" hidden="1" customHeight="1">
      <c r="A199" s="149">
        <v>17140</v>
      </c>
      <c r="B199" s="208" t="s">
        <v>221</v>
      </c>
      <c r="C199" s="106"/>
      <c r="D199" s="107">
        <v>0</v>
      </c>
      <c r="E199" s="233"/>
      <c r="F199" s="233"/>
      <c r="G199" s="233"/>
      <c r="H199" s="232">
        <f t="shared" si="144"/>
        <v>0</v>
      </c>
      <c r="I199" s="233">
        <v>0</v>
      </c>
      <c r="J199" s="233"/>
      <c r="K199" s="233"/>
      <c r="L199" s="233"/>
      <c r="M199" s="232">
        <f t="shared" si="145"/>
        <v>0</v>
      </c>
      <c r="N199" s="233">
        <v>0</v>
      </c>
      <c r="O199" s="233"/>
      <c r="P199" s="233"/>
      <c r="Q199" s="233"/>
      <c r="R199" s="232">
        <f t="shared" si="146"/>
        <v>0</v>
      </c>
    </row>
    <row r="200" spans="1:18" s="89" customFormat="1" ht="12" hidden="1" customHeight="1">
      <c r="A200" s="137">
        <v>21700</v>
      </c>
      <c r="B200" s="124" t="s">
        <v>97</v>
      </c>
      <c r="C200" s="170">
        <v>0</v>
      </c>
      <c r="D200" s="171">
        <v>0</v>
      </c>
      <c r="E200" s="233">
        <f t="shared" ref="E200:G200" si="209">E201+E202</f>
        <v>0</v>
      </c>
      <c r="F200" s="233">
        <f t="shared" si="209"/>
        <v>0</v>
      </c>
      <c r="G200" s="233">
        <f t="shared" si="209"/>
        <v>0</v>
      </c>
      <c r="H200" s="232">
        <f t="shared" si="144"/>
        <v>0</v>
      </c>
      <c r="I200" s="233">
        <v>0</v>
      </c>
      <c r="J200" s="233">
        <f t="shared" ref="J200:L200" si="210">J201+J202</f>
        <v>0</v>
      </c>
      <c r="K200" s="233">
        <f t="shared" si="210"/>
        <v>0</v>
      </c>
      <c r="L200" s="233">
        <f t="shared" si="210"/>
        <v>0</v>
      </c>
      <c r="M200" s="232">
        <f t="shared" si="145"/>
        <v>0</v>
      </c>
      <c r="N200" s="233">
        <v>0</v>
      </c>
      <c r="O200" s="233">
        <f t="shared" ref="O200:Q200" si="211">O201+O202</f>
        <v>0</v>
      </c>
      <c r="P200" s="233">
        <f t="shared" si="211"/>
        <v>0</v>
      </c>
      <c r="Q200" s="233">
        <f t="shared" si="211"/>
        <v>0</v>
      </c>
      <c r="R200" s="232">
        <f t="shared" si="146"/>
        <v>0</v>
      </c>
    </row>
    <row r="201" spans="1:18" s="89" customFormat="1" ht="24" hidden="1" customHeight="1">
      <c r="A201" s="138">
        <v>21710</v>
      </c>
      <c r="B201" s="125" t="s">
        <v>98</v>
      </c>
      <c r="C201" s="170"/>
      <c r="D201" s="171">
        <v>0</v>
      </c>
      <c r="E201" s="233"/>
      <c r="F201" s="233"/>
      <c r="G201" s="233"/>
      <c r="H201" s="232">
        <f t="shared" si="144"/>
        <v>0</v>
      </c>
      <c r="I201" s="233">
        <v>0</v>
      </c>
      <c r="J201" s="233"/>
      <c r="K201" s="233"/>
      <c r="L201" s="233"/>
      <c r="M201" s="232">
        <f t="shared" si="145"/>
        <v>0</v>
      </c>
      <c r="N201" s="233">
        <v>0</v>
      </c>
      <c r="O201" s="233"/>
      <c r="P201" s="233"/>
      <c r="Q201" s="233"/>
      <c r="R201" s="232">
        <f t="shared" si="146"/>
        <v>0</v>
      </c>
    </row>
    <row r="202" spans="1:18" s="29" customFormat="1" ht="24" hidden="1" customHeight="1">
      <c r="A202" s="138">
        <v>21720</v>
      </c>
      <c r="B202" s="125" t="s">
        <v>99</v>
      </c>
      <c r="C202" s="170"/>
      <c r="D202" s="171">
        <v>0</v>
      </c>
      <c r="E202" s="233"/>
      <c r="F202" s="233"/>
      <c r="G202" s="233"/>
      <c r="H202" s="232">
        <f t="shared" ref="H202:H260" si="212">SUM(D202:G202)</f>
        <v>0</v>
      </c>
      <c r="I202" s="233">
        <v>0</v>
      </c>
      <c r="J202" s="233"/>
      <c r="K202" s="233"/>
      <c r="L202" s="233"/>
      <c r="M202" s="232">
        <f t="shared" ref="M202:M260" si="213">SUM(I202:L202)</f>
        <v>0</v>
      </c>
      <c r="N202" s="233">
        <v>0</v>
      </c>
      <c r="O202" s="233"/>
      <c r="P202" s="233"/>
      <c r="Q202" s="233"/>
      <c r="R202" s="232">
        <f t="shared" ref="R202:R260" si="214">SUM(N202:Q202)</f>
        <v>0</v>
      </c>
    </row>
    <row r="203" spans="1:18" s="29" customFormat="1" ht="12" hidden="1" customHeight="1">
      <c r="A203" s="129" t="s">
        <v>100</v>
      </c>
      <c r="B203" s="123" t="s">
        <v>101</v>
      </c>
      <c r="C203" s="168">
        <v>0</v>
      </c>
      <c r="D203" s="175">
        <v>0</v>
      </c>
      <c r="E203" s="243">
        <f t="shared" ref="E203:G203" si="215">E204+E231</f>
        <v>0</v>
      </c>
      <c r="F203" s="243">
        <f t="shared" si="215"/>
        <v>0</v>
      </c>
      <c r="G203" s="243">
        <f t="shared" si="215"/>
        <v>0</v>
      </c>
      <c r="H203" s="270">
        <f t="shared" si="212"/>
        <v>0</v>
      </c>
      <c r="I203" s="243">
        <v>0</v>
      </c>
      <c r="J203" s="243">
        <f t="shared" ref="J203:L203" si="216">J204+J231</f>
        <v>0</v>
      </c>
      <c r="K203" s="243">
        <f t="shared" si="216"/>
        <v>0</v>
      </c>
      <c r="L203" s="243">
        <f t="shared" si="216"/>
        <v>0</v>
      </c>
      <c r="M203" s="270">
        <f t="shared" si="213"/>
        <v>0</v>
      </c>
      <c r="N203" s="243">
        <v>0</v>
      </c>
      <c r="O203" s="243">
        <f t="shared" ref="O203:Q203" si="217">O204+O231</f>
        <v>0</v>
      </c>
      <c r="P203" s="243">
        <f t="shared" si="217"/>
        <v>0</v>
      </c>
      <c r="Q203" s="243">
        <f t="shared" si="217"/>
        <v>0</v>
      </c>
      <c r="R203" s="270">
        <f t="shared" si="214"/>
        <v>0</v>
      </c>
    </row>
    <row r="204" spans="1:18" s="29" customFormat="1" ht="21" hidden="1" customHeight="1">
      <c r="A204" s="130" t="s">
        <v>102</v>
      </c>
      <c r="B204" s="124" t="s">
        <v>103</v>
      </c>
      <c r="C204" s="170">
        <v>0</v>
      </c>
      <c r="D204" s="171">
        <v>0</v>
      </c>
      <c r="E204" s="233">
        <f t="shared" ref="E204:G204" si="218">E205+E209+E210+E213+E216</f>
        <v>0</v>
      </c>
      <c r="F204" s="233">
        <f t="shared" si="218"/>
        <v>0</v>
      </c>
      <c r="G204" s="233">
        <f t="shared" si="218"/>
        <v>0</v>
      </c>
      <c r="H204" s="232">
        <f t="shared" si="212"/>
        <v>0</v>
      </c>
      <c r="I204" s="233">
        <v>0</v>
      </c>
      <c r="J204" s="233">
        <f t="shared" ref="J204:L204" si="219">J205+J209+J210+J213+J216</f>
        <v>0</v>
      </c>
      <c r="K204" s="233">
        <f t="shared" si="219"/>
        <v>0</v>
      </c>
      <c r="L204" s="233">
        <f t="shared" si="219"/>
        <v>0</v>
      </c>
      <c r="M204" s="232">
        <f t="shared" si="213"/>
        <v>0</v>
      </c>
      <c r="N204" s="233">
        <v>0</v>
      </c>
      <c r="O204" s="233">
        <f t="shared" ref="O204:Q204" si="220">O205+O209+O210+O213+O216</f>
        <v>0</v>
      </c>
      <c r="P204" s="233">
        <f t="shared" si="220"/>
        <v>0</v>
      </c>
      <c r="Q204" s="233">
        <f t="shared" si="220"/>
        <v>0</v>
      </c>
      <c r="R204" s="232">
        <f t="shared" si="214"/>
        <v>0</v>
      </c>
    </row>
    <row r="205" spans="1:18" s="29" customFormat="1" ht="12" hidden="1" customHeight="1">
      <c r="A205" s="130" t="s">
        <v>104</v>
      </c>
      <c r="B205" s="124" t="s">
        <v>105</v>
      </c>
      <c r="C205" s="170">
        <v>0</v>
      </c>
      <c r="D205" s="171">
        <v>0</v>
      </c>
      <c r="E205" s="233">
        <f t="shared" ref="E205:G205" si="221">E206+E208</f>
        <v>0</v>
      </c>
      <c r="F205" s="233">
        <f t="shared" si="221"/>
        <v>0</v>
      </c>
      <c r="G205" s="233">
        <f t="shared" si="221"/>
        <v>0</v>
      </c>
      <c r="H205" s="232">
        <f t="shared" si="212"/>
        <v>0</v>
      </c>
      <c r="I205" s="233">
        <v>0</v>
      </c>
      <c r="J205" s="233">
        <f t="shared" ref="J205:L205" si="222">J206+J208</f>
        <v>0</v>
      </c>
      <c r="K205" s="233">
        <f t="shared" si="222"/>
        <v>0</v>
      </c>
      <c r="L205" s="233">
        <f t="shared" si="222"/>
        <v>0</v>
      </c>
      <c r="M205" s="232">
        <f t="shared" si="213"/>
        <v>0</v>
      </c>
      <c r="N205" s="233">
        <v>0</v>
      </c>
      <c r="O205" s="233">
        <f t="shared" ref="O205:Q205" si="223">O206+O208</f>
        <v>0</v>
      </c>
      <c r="P205" s="233">
        <f t="shared" si="223"/>
        <v>0</v>
      </c>
      <c r="Q205" s="233">
        <f t="shared" si="223"/>
        <v>0</v>
      </c>
      <c r="R205" s="232">
        <f t="shared" si="214"/>
        <v>0</v>
      </c>
    </row>
    <row r="206" spans="1:18" s="29" customFormat="1" ht="12" hidden="1" customHeight="1">
      <c r="A206" s="132">
        <v>1000</v>
      </c>
      <c r="B206" s="125" t="s">
        <v>106</v>
      </c>
      <c r="C206" s="170"/>
      <c r="D206" s="176">
        <v>0</v>
      </c>
      <c r="E206" s="244"/>
      <c r="F206" s="244"/>
      <c r="G206" s="244"/>
      <c r="H206" s="232">
        <f t="shared" si="212"/>
        <v>0</v>
      </c>
      <c r="I206" s="233">
        <v>0</v>
      </c>
      <c r="J206" s="244"/>
      <c r="K206" s="244"/>
      <c r="L206" s="244"/>
      <c r="M206" s="232">
        <f t="shared" si="213"/>
        <v>0</v>
      </c>
      <c r="N206" s="233">
        <v>0</v>
      </c>
      <c r="O206" s="244"/>
      <c r="P206" s="244"/>
      <c r="Q206" s="244"/>
      <c r="R206" s="232">
        <f t="shared" si="214"/>
        <v>0</v>
      </c>
    </row>
    <row r="207" spans="1:18" s="29" customFormat="1" ht="12" hidden="1" customHeight="1">
      <c r="A207" s="139">
        <v>1100</v>
      </c>
      <c r="B207" s="125" t="s">
        <v>107</v>
      </c>
      <c r="C207" s="170"/>
      <c r="D207" s="176">
        <v>0</v>
      </c>
      <c r="E207" s="244"/>
      <c r="F207" s="244"/>
      <c r="G207" s="244"/>
      <c r="H207" s="232">
        <f t="shared" si="212"/>
        <v>0</v>
      </c>
      <c r="I207" s="233">
        <v>0</v>
      </c>
      <c r="J207" s="244"/>
      <c r="K207" s="244"/>
      <c r="L207" s="244"/>
      <c r="M207" s="232">
        <f t="shared" si="213"/>
        <v>0</v>
      </c>
      <c r="N207" s="233">
        <v>0</v>
      </c>
      <c r="O207" s="244"/>
      <c r="P207" s="244"/>
      <c r="Q207" s="244"/>
      <c r="R207" s="232">
        <f t="shared" si="214"/>
        <v>0</v>
      </c>
    </row>
    <row r="208" spans="1:18" s="29" customFormat="1" ht="12" hidden="1" customHeight="1">
      <c r="A208" s="132">
        <v>2000</v>
      </c>
      <c r="B208" s="125" t="s">
        <v>108</v>
      </c>
      <c r="C208" s="170"/>
      <c r="D208" s="176">
        <v>0</v>
      </c>
      <c r="E208" s="244"/>
      <c r="F208" s="244"/>
      <c r="G208" s="244"/>
      <c r="H208" s="232">
        <f t="shared" si="212"/>
        <v>0</v>
      </c>
      <c r="I208" s="233">
        <v>0</v>
      </c>
      <c r="J208" s="244"/>
      <c r="K208" s="244"/>
      <c r="L208" s="244"/>
      <c r="M208" s="232">
        <f t="shared" si="213"/>
        <v>0</v>
      </c>
      <c r="N208" s="233">
        <v>0</v>
      </c>
      <c r="O208" s="244"/>
      <c r="P208" s="244"/>
      <c r="Q208" s="244"/>
      <c r="R208" s="232">
        <f t="shared" si="214"/>
        <v>0</v>
      </c>
    </row>
    <row r="209" spans="1:18" s="29" customFormat="1" ht="12" hidden="1" customHeight="1">
      <c r="A209" s="140">
        <v>4000</v>
      </c>
      <c r="B209" s="124" t="s">
        <v>132</v>
      </c>
      <c r="C209" s="170"/>
      <c r="D209" s="176">
        <v>0</v>
      </c>
      <c r="E209" s="244"/>
      <c r="F209" s="244"/>
      <c r="G209" s="244"/>
      <c r="H209" s="232">
        <f t="shared" si="212"/>
        <v>0</v>
      </c>
      <c r="I209" s="233">
        <v>0</v>
      </c>
      <c r="J209" s="244"/>
      <c r="K209" s="244"/>
      <c r="L209" s="244"/>
      <c r="M209" s="232">
        <f t="shared" si="213"/>
        <v>0</v>
      </c>
      <c r="N209" s="233">
        <v>0</v>
      </c>
      <c r="O209" s="244"/>
      <c r="P209" s="244"/>
      <c r="Q209" s="244"/>
      <c r="R209" s="232">
        <f t="shared" si="214"/>
        <v>0</v>
      </c>
    </row>
    <row r="210" spans="1:18" s="29" customFormat="1" ht="12" hidden="1" customHeight="1">
      <c r="A210" s="140" t="s">
        <v>109</v>
      </c>
      <c r="B210" s="124" t="s">
        <v>110</v>
      </c>
      <c r="C210" s="170">
        <v>0</v>
      </c>
      <c r="D210" s="171">
        <v>0</v>
      </c>
      <c r="E210" s="233">
        <f t="shared" ref="E210:G210" si="224">E211+E212</f>
        <v>0</v>
      </c>
      <c r="F210" s="233">
        <f t="shared" si="224"/>
        <v>0</v>
      </c>
      <c r="G210" s="233">
        <f t="shared" si="224"/>
        <v>0</v>
      </c>
      <c r="H210" s="232">
        <f t="shared" si="212"/>
        <v>0</v>
      </c>
      <c r="I210" s="233">
        <v>0</v>
      </c>
      <c r="J210" s="233">
        <f t="shared" ref="J210:L210" si="225">J211+J212</f>
        <v>0</v>
      </c>
      <c r="K210" s="233">
        <f t="shared" si="225"/>
        <v>0</v>
      </c>
      <c r="L210" s="233">
        <f t="shared" si="225"/>
        <v>0</v>
      </c>
      <c r="M210" s="232">
        <f t="shared" si="213"/>
        <v>0</v>
      </c>
      <c r="N210" s="233">
        <v>0</v>
      </c>
      <c r="O210" s="233">
        <f t="shared" ref="O210:Q210" si="226">O211+O212</f>
        <v>0</v>
      </c>
      <c r="P210" s="233">
        <f t="shared" si="226"/>
        <v>0</v>
      </c>
      <c r="Q210" s="233">
        <f t="shared" si="226"/>
        <v>0</v>
      </c>
      <c r="R210" s="232">
        <f t="shared" si="214"/>
        <v>0</v>
      </c>
    </row>
    <row r="211" spans="1:18" s="29" customFormat="1" ht="12" hidden="1" customHeight="1">
      <c r="A211" s="132">
        <v>3000</v>
      </c>
      <c r="B211" s="125" t="s">
        <v>111</v>
      </c>
      <c r="C211" s="202"/>
      <c r="D211" s="177">
        <v>0</v>
      </c>
      <c r="E211" s="246"/>
      <c r="F211" s="246"/>
      <c r="G211" s="246"/>
      <c r="H211" s="232">
        <f t="shared" si="212"/>
        <v>0</v>
      </c>
      <c r="I211" s="345">
        <v>0</v>
      </c>
      <c r="J211" s="246"/>
      <c r="K211" s="246"/>
      <c r="L211" s="246"/>
      <c r="M211" s="232">
        <f t="shared" si="213"/>
        <v>0</v>
      </c>
      <c r="N211" s="345">
        <v>0</v>
      </c>
      <c r="O211" s="246"/>
      <c r="P211" s="246"/>
      <c r="Q211" s="246"/>
      <c r="R211" s="232">
        <f t="shared" si="214"/>
        <v>0</v>
      </c>
    </row>
    <row r="212" spans="1:18" s="29" customFormat="1" ht="12" hidden="1" customHeight="1">
      <c r="A212" s="132">
        <v>6000</v>
      </c>
      <c r="B212" s="125" t="s">
        <v>112</v>
      </c>
      <c r="C212" s="203"/>
      <c r="D212" s="178">
        <v>0</v>
      </c>
      <c r="E212" s="248"/>
      <c r="F212" s="248"/>
      <c r="G212" s="248"/>
      <c r="H212" s="232">
        <f t="shared" si="212"/>
        <v>0</v>
      </c>
      <c r="I212" s="346">
        <v>0</v>
      </c>
      <c r="J212" s="248"/>
      <c r="K212" s="248"/>
      <c r="L212" s="248"/>
      <c r="M212" s="232">
        <f t="shared" si="213"/>
        <v>0</v>
      </c>
      <c r="N212" s="346">
        <v>0</v>
      </c>
      <c r="O212" s="248"/>
      <c r="P212" s="248"/>
      <c r="Q212" s="248"/>
      <c r="R212" s="232">
        <f t="shared" si="214"/>
        <v>0</v>
      </c>
    </row>
    <row r="213" spans="1:18" s="29" customFormat="1" ht="24" hidden="1" customHeight="1">
      <c r="A213" s="140" t="s">
        <v>113</v>
      </c>
      <c r="B213" s="124" t="s">
        <v>183</v>
      </c>
      <c r="C213" s="170">
        <v>0</v>
      </c>
      <c r="D213" s="171">
        <v>0</v>
      </c>
      <c r="E213" s="233">
        <f t="shared" ref="E213:G213" si="227">E214+E215</f>
        <v>0</v>
      </c>
      <c r="F213" s="233">
        <f t="shared" si="227"/>
        <v>0</v>
      </c>
      <c r="G213" s="233">
        <f t="shared" si="227"/>
        <v>0</v>
      </c>
      <c r="H213" s="232">
        <f t="shared" si="212"/>
        <v>0</v>
      </c>
      <c r="I213" s="233">
        <v>0</v>
      </c>
      <c r="J213" s="233">
        <f t="shared" ref="J213:L213" si="228">J214+J215</f>
        <v>0</v>
      </c>
      <c r="K213" s="233">
        <f t="shared" si="228"/>
        <v>0</v>
      </c>
      <c r="L213" s="233">
        <f t="shared" si="228"/>
        <v>0</v>
      </c>
      <c r="M213" s="232">
        <f t="shared" si="213"/>
        <v>0</v>
      </c>
      <c r="N213" s="233">
        <v>0</v>
      </c>
      <c r="O213" s="233">
        <f t="shared" ref="O213:Q213" si="229">O214+O215</f>
        <v>0</v>
      </c>
      <c r="P213" s="233">
        <f t="shared" si="229"/>
        <v>0</v>
      </c>
      <c r="Q213" s="233">
        <f t="shared" si="229"/>
        <v>0</v>
      </c>
      <c r="R213" s="232">
        <f t="shared" si="214"/>
        <v>0</v>
      </c>
    </row>
    <row r="214" spans="1:18" s="29" customFormat="1" ht="12" hidden="1" customHeight="1">
      <c r="A214" s="132">
        <v>7600</v>
      </c>
      <c r="B214" s="179" t="s">
        <v>184</v>
      </c>
      <c r="C214" s="170"/>
      <c r="D214" s="176">
        <v>0</v>
      </c>
      <c r="E214" s="244"/>
      <c r="F214" s="244"/>
      <c r="G214" s="244"/>
      <c r="H214" s="232">
        <f t="shared" si="212"/>
        <v>0</v>
      </c>
      <c r="I214" s="233">
        <v>0</v>
      </c>
      <c r="J214" s="244"/>
      <c r="K214" s="244"/>
      <c r="L214" s="244"/>
      <c r="M214" s="232">
        <f t="shared" si="213"/>
        <v>0</v>
      </c>
      <c r="N214" s="233">
        <v>0</v>
      </c>
      <c r="O214" s="244"/>
      <c r="P214" s="244"/>
      <c r="Q214" s="244"/>
      <c r="R214" s="232">
        <f t="shared" si="214"/>
        <v>0</v>
      </c>
    </row>
    <row r="215" spans="1:18" s="29" customFormat="1" ht="12" hidden="1" customHeight="1">
      <c r="A215" s="132">
        <v>7700</v>
      </c>
      <c r="B215" s="126" t="s">
        <v>114</v>
      </c>
      <c r="C215" s="170"/>
      <c r="D215" s="176">
        <v>0</v>
      </c>
      <c r="E215" s="244"/>
      <c r="F215" s="244"/>
      <c r="G215" s="244"/>
      <c r="H215" s="232">
        <f t="shared" si="212"/>
        <v>0</v>
      </c>
      <c r="I215" s="233">
        <v>0</v>
      </c>
      <c r="J215" s="244"/>
      <c r="K215" s="244"/>
      <c r="L215" s="244"/>
      <c r="M215" s="232">
        <f t="shared" si="213"/>
        <v>0</v>
      </c>
      <c r="N215" s="233">
        <v>0</v>
      </c>
      <c r="O215" s="244"/>
      <c r="P215" s="244"/>
      <c r="Q215" s="244"/>
      <c r="R215" s="232">
        <f t="shared" si="214"/>
        <v>0</v>
      </c>
    </row>
    <row r="216" spans="1:18" s="29" customFormat="1" ht="21" hidden="1" customHeight="1">
      <c r="A216" s="140" t="s">
        <v>185</v>
      </c>
      <c r="B216" s="124" t="s">
        <v>115</v>
      </c>
      <c r="C216" s="170">
        <v>0</v>
      </c>
      <c r="D216" s="171">
        <v>0</v>
      </c>
      <c r="E216" s="233">
        <f t="shared" ref="E216:G216" si="230">E217+E223+E227+E230</f>
        <v>0</v>
      </c>
      <c r="F216" s="233">
        <f t="shared" si="230"/>
        <v>0</v>
      </c>
      <c r="G216" s="233">
        <f t="shared" si="230"/>
        <v>0</v>
      </c>
      <c r="H216" s="232">
        <f t="shared" si="212"/>
        <v>0</v>
      </c>
      <c r="I216" s="233">
        <v>0</v>
      </c>
      <c r="J216" s="233">
        <f t="shared" ref="J216:L216" si="231">J217+J223+J227+J230</f>
        <v>0</v>
      </c>
      <c r="K216" s="233">
        <f t="shared" si="231"/>
        <v>0</v>
      </c>
      <c r="L216" s="233">
        <f t="shared" si="231"/>
        <v>0</v>
      </c>
      <c r="M216" s="232">
        <f t="shared" si="213"/>
        <v>0</v>
      </c>
      <c r="N216" s="233">
        <v>0</v>
      </c>
      <c r="O216" s="233">
        <f t="shared" ref="O216:Q216" si="232">O217+O223+O227+O230</f>
        <v>0</v>
      </c>
      <c r="P216" s="233">
        <f t="shared" si="232"/>
        <v>0</v>
      </c>
      <c r="Q216" s="233">
        <f t="shared" si="232"/>
        <v>0</v>
      </c>
      <c r="R216" s="232">
        <f t="shared" si="214"/>
        <v>0</v>
      </c>
    </row>
    <row r="217" spans="1:18" s="29" customFormat="1" ht="12" hidden="1" customHeight="1">
      <c r="A217" s="132">
        <v>7100</v>
      </c>
      <c r="B217" s="179" t="s">
        <v>116</v>
      </c>
      <c r="C217" s="170">
        <v>0</v>
      </c>
      <c r="D217" s="171">
        <v>0</v>
      </c>
      <c r="E217" s="233">
        <f t="shared" ref="E217:G217" si="233">E218+E219</f>
        <v>0</v>
      </c>
      <c r="F217" s="233">
        <f t="shared" si="233"/>
        <v>0</v>
      </c>
      <c r="G217" s="233">
        <f t="shared" si="233"/>
        <v>0</v>
      </c>
      <c r="H217" s="232">
        <f t="shared" si="212"/>
        <v>0</v>
      </c>
      <c r="I217" s="233">
        <v>0</v>
      </c>
      <c r="J217" s="233">
        <f t="shared" ref="J217:L217" si="234">J218+J219</f>
        <v>0</v>
      </c>
      <c r="K217" s="233">
        <f t="shared" si="234"/>
        <v>0</v>
      </c>
      <c r="L217" s="233">
        <f t="shared" si="234"/>
        <v>0</v>
      </c>
      <c r="M217" s="232">
        <f t="shared" si="213"/>
        <v>0</v>
      </c>
      <c r="N217" s="233">
        <v>0</v>
      </c>
      <c r="O217" s="233">
        <f t="shared" ref="O217:Q217" si="235">O218+O219</f>
        <v>0</v>
      </c>
      <c r="P217" s="233">
        <f t="shared" si="235"/>
        <v>0</v>
      </c>
      <c r="Q217" s="233">
        <f t="shared" si="235"/>
        <v>0</v>
      </c>
      <c r="R217" s="232">
        <f t="shared" si="214"/>
        <v>0</v>
      </c>
    </row>
    <row r="218" spans="1:18" s="29" customFormat="1" ht="24" hidden="1" customHeight="1">
      <c r="A218" s="133" t="s">
        <v>117</v>
      </c>
      <c r="B218" s="179" t="s">
        <v>118</v>
      </c>
      <c r="C218" s="170"/>
      <c r="D218" s="171">
        <v>0</v>
      </c>
      <c r="E218" s="233"/>
      <c r="F218" s="233"/>
      <c r="G218" s="233"/>
      <c r="H218" s="232">
        <f t="shared" si="212"/>
        <v>0</v>
      </c>
      <c r="I218" s="233">
        <v>0</v>
      </c>
      <c r="J218" s="233"/>
      <c r="K218" s="233"/>
      <c r="L218" s="233"/>
      <c r="M218" s="232">
        <f t="shared" si="213"/>
        <v>0</v>
      </c>
      <c r="N218" s="233">
        <v>0</v>
      </c>
      <c r="O218" s="233"/>
      <c r="P218" s="233"/>
      <c r="Q218" s="233"/>
      <c r="R218" s="232">
        <f t="shared" si="214"/>
        <v>0</v>
      </c>
    </row>
    <row r="219" spans="1:18" s="29" customFormat="1" ht="24" hidden="1" customHeight="1">
      <c r="A219" s="133">
        <v>7130</v>
      </c>
      <c r="B219" s="179" t="s">
        <v>119</v>
      </c>
      <c r="C219" s="170">
        <v>0</v>
      </c>
      <c r="D219" s="171">
        <v>0</v>
      </c>
      <c r="E219" s="233">
        <f t="shared" ref="E219:G219" si="236">SUM(E220:E222)</f>
        <v>0</v>
      </c>
      <c r="F219" s="233">
        <f t="shared" ref="F219" si="237">SUM(F220:F222)</f>
        <v>0</v>
      </c>
      <c r="G219" s="233">
        <f t="shared" si="236"/>
        <v>0</v>
      </c>
      <c r="H219" s="232">
        <f t="shared" si="212"/>
        <v>0</v>
      </c>
      <c r="I219" s="233">
        <v>0</v>
      </c>
      <c r="J219" s="233">
        <f t="shared" ref="J219:L219" si="238">SUM(J220:J222)</f>
        <v>0</v>
      </c>
      <c r="K219" s="233">
        <f t="shared" si="238"/>
        <v>0</v>
      </c>
      <c r="L219" s="233">
        <f t="shared" si="238"/>
        <v>0</v>
      </c>
      <c r="M219" s="232">
        <f t="shared" si="213"/>
        <v>0</v>
      </c>
      <c r="N219" s="233">
        <v>0</v>
      </c>
      <c r="O219" s="233">
        <f t="shared" ref="O219:Q219" si="239">SUM(O220:O222)</f>
        <v>0</v>
      </c>
      <c r="P219" s="233">
        <f t="shared" si="239"/>
        <v>0</v>
      </c>
      <c r="Q219" s="233">
        <f t="shared" si="239"/>
        <v>0</v>
      </c>
      <c r="R219" s="232">
        <f t="shared" si="214"/>
        <v>0</v>
      </c>
    </row>
    <row r="220" spans="1:18" s="29" customFormat="1" ht="36" hidden="1" customHeight="1">
      <c r="A220" s="134">
        <v>7131</v>
      </c>
      <c r="B220" s="179" t="s">
        <v>120</v>
      </c>
      <c r="C220" s="170"/>
      <c r="D220" s="171">
        <v>0</v>
      </c>
      <c r="E220" s="233"/>
      <c r="F220" s="233"/>
      <c r="G220" s="233"/>
      <c r="H220" s="232">
        <f t="shared" si="212"/>
        <v>0</v>
      </c>
      <c r="I220" s="233">
        <v>0</v>
      </c>
      <c r="J220" s="233"/>
      <c r="K220" s="233"/>
      <c r="L220" s="233"/>
      <c r="M220" s="232">
        <f t="shared" si="213"/>
        <v>0</v>
      </c>
      <c r="N220" s="233">
        <v>0</v>
      </c>
      <c r="O220" s="233"/>
      <c r="P220" s="233"/>
      <c r="Q220" s="233"/>
      <c r="R220" s="232">
        <f t="shared" si="214"/>
        <v>0</v>
      </c>
    </row>
    <row r="221" spans="1:18" s="29" customFormat="1" ht="36" hidden="1" customHeight="1">
      <c r="A221" s="134">
        <v>7132</v>
      </c>
      <c r="B221" s="179" t="s">
        <v>121</v>
      </c>
      <c r="C221" s="170"/>
      <c r="D221" s="171">
        <v>0</v>
      </c>
      <c r="E221" s="233"/>
      <c r="F221" s="233"/>
      <c r="G221" s="233"/>
      <c r="H221" s="232">
        <f t="shared" si="212"/>
        <v>0</v>
      </c>
      <c r="I221" s="233">
        <v>0</v>
      </c>
      <c r="J221" s="233"/>
      <c r="K221" s="233"/>
      <c r="L221" s="233"/>
      <c r="M221" s="232">
        <f t="shared" si="213"/>
        <v>0</v>
      </c>
      <c r="N221" s="233">
        <v>0</v>
      </c>
      <c r="O221" s="233"/>
      <c r="P221" s="233"/>
      <c r="Q221" s="233"/>
      <c r="R221" s="232">
        <f t="shared" si="214"/>
        <v>0</v>
      </c>
    </row>
    <row r="222" spans="1:18" s="29" customFormat="1" ht="24" hidden="1" customHeight="1">
      <c r="A222" s="134" t="s">
        <v>186</v>
      </c>
      <c r="B222" s="179" t="s">
        <v>187</v>
      </c>
      <c r="C222" s="170"/>
      <c r="D222" s="171">
        <v>0</v>
      </c>
      <c r="E222" s="233"/>
      <c r="F222" s="233"/>
      <c r="G222" s="233"/>
      <c r="H222" s="232">
        <f t="shared" si="212"/>
        <v>0</v>
      </c>
      <c r="I222" s="233">
        <v>0</v>
      </c>
      <c r="J222" s="233"/>
      <c r="K222" s="233"/>
      <c r="L222" s="233"/>
      <c r="M222" s="232">
        <f t="shared" si="213"/>
        <v>0</v>
      </c>
      <c r="N222" s="233">
        <v>0</v>
      </c>
      <c r="O222" s="233"/>
      <c r="P222" s="233"/>
      <c r="Q222" s="233"/>
      <c r="R222" s="232">
        <f t="shared" si="214"/>
        <v>0</v>
      </c>
    </row>
    <row r="223" spans="1:18" s="29" customFormat="1" ht="24" hidden="1" customHeight="1">
      <c r="A223" s="132">
        <v>7300</v>
      </c>
      <c r="B223" s="172" t="s">
        <v>155</v>
      </c>
      <c r="C223" s="170">
        <v>0</v>
      </c>
      <c r="D223" s="171">
        <v>0</v>
      </c>
      <c r="E223" s="233">
        <f t="shared" ref="E223:G223" si="240">SUM(E224:E226)</f>
        <v>0</v>
      </c>
      <c r="F223" s="233">
        <f t="shared" si="240"/>
        <v>0</v>
      </c>
      <c r="G223" s="233">
        <f t="shared" si="240"/>
        <v>0</v>
      </c>
      <c r="H223" s="232">
        <f t="shared" si="212"/>
        <v>0</v>
      </c>
      <c r="I223" s="233">
        <v>0</v>
      </c>
      <c r="J223" s="233">
        <f t="shared" ref="J223:L223" si="241">SUM(J224:J226)</f>
        <v>0</v>
      </c>
      <c r="K223" s="233">
        <f t="shared" si="241"/>
        <v>0</v>
      </c>
      <c r="L223" s="233">
        <f t="shared" si="241"/>
        <v>0</v>
      </c>
      <c r="M223" s="232">
        <f t="shared" si="213"/>
        <v>0</v>
      </c>
      <c r="N223" s="233">
        <v>0</v>
      </c>
      <c r="O223" s="233">
        <f t="shared" ref="O223:Q223" si="242">SUM(O224:O226)</f>
        <v>0</v>
      </c>
      <c r="P223" s="233">
        <f t="shared" si="242"/>
        <v>0</v>
      </c>
      <c r="Q223" s="233">
        <f t="shared" si="242"/>
        <v>0</v>
      </c>
      <c r="R223" s="232">
        <f t="shared" si="214"/>
        <v>0</v>
      </c>
    </row>
    <row r="224" spans="1:18" s="29" customFormat="1" ht="24" hidden="1" customHeight="1">
      <c r="A224" s="133" t="s">
        <v>188</v>
      </c>
      <c r="B224" s="179" t="s">
        <v>170</v>
      </c>
      <c r="C224" s="204"/>
      <c r="D224" s="180">
        <v>0</v>
      </c>
      <c r="E224" s="252"/>
      <c r="F224" s="252"/>
      <c r="G224" s="252"/>
      <c r="H224" s="232">
        <f t="shared" si="212"/>
        <v>0</v>
      </c>
      <c r="I224" s="252">
        <v>0</v>
      </c>
      <c r="J224" s="252"/>
      <c r="K224" s="252"/>
      <c r="L224" s="252"/>
      <c r="M224" s="232">
        <f t="shared" si="213"/>
        <v>0</v>
      </c>
      <c r="N224" s="252">
        <v>0</v>
      </c>
      <c r="O224" s="252"/>
      <c r="P224" s="252"/>
      <c r="Q224" s="252"/>
      <c r="R224" s="232">
        <f t="shared" si="214"/>
        <v>0</v>
      </c>
    </row>
    <row r="225" spans="1:18" s="29" customFormat="1" ht="48" hidden="1" customHeight="1">
      <c r="A225" s="133" t="s">
        <v>189</v>
      </c>
      <c r="B225" s="179" t="s">
        <v>156</v>
      </c>
      <c r="C225" s="204"/>
      <c r="D225" s="180">
        <v>0</v>
      </c>
      <c r="E225" s="252"/>
      <c r="F225" s="252"/>
      <c r="G225" s="252"/>
      <c r="H225" s="232">
        <f t="shared" si="212"/>
        <v>0</v>
      </c>
      <c r="I225" s="252">
        <v>0</v>
      </c>
      <c r="J225" s="252"/>
      <c r="K225" s="252"/>
      <c r="L225" s="252"/>
      <c r="M225" s="232">
        <f t="shared" si="213"/>
        <v>0</v>
      </c>
      <c r="N225" s="252">
        <v>0</v>
      </c>
      <c r="O225" s="252"/>
      <c r="P225" s="252"/>
      <c r="Q225" s="252"/>
      <c r="R225" s="232">
        <f t="shared" si="214"/>
        <v>0</v>
      </c>
    </row>
    <row r="226" spans="1:18" s="29" customFormat="1" ht="36" hidden="1" customHeight="1">
      <c r="A226" s="133">
        <v>7350</v>
      </c>
      <c r="B226" s="179" t="s">
        <v>163</v>
      </c>
      <c r="C226" s="204"/>
      <c r="D226" s="180">
        <v>0</v>
      </c>
      <c r="E226" s="252"/>
      <c r="F226" s="252"/>
      <c r="G226" s="252"/>
      <c r="H226" s="232">
        <f t="shared" si="212"/>
        <v>0</v>
      </c>
      <c r="I226" s="252">
        <v>0</v>
      </c>
      <c r="J226" s="252"/>
      <c r="K226" s="252"/>
      <c r="L226" s="252"/>
      <c r="M226" s="232">
        <f t="shared" si="213"/>
        <v>0</v>
      </c>
      <c r="N226" s="252">
        <v>0</v>
      </c>
      <c r="O226" s="252"/>
      <c r="P226" s="252"/>
      <c r="Q226" s="252"/>
      <c r="R226" s="232">
        <f t="shared" si="214"/>
        <v>0</v>
      </c>
    </row>
    <row r="227" spans="1:18" s="29" customFormat="1" ht="24" hidden="1" customHeight="1">
      <c r="A227" s="132">
        <v>7400</v>
      </c>
      <c r="B227" s="172" t="s">
        <v>161</v>
      </c>
      <c r="C227" s="170">
        <v>0</v>
      </c>
      <c r="D227" s="171">
        <v>0</v>
      </c>
      <c r="E227" s="233">
        <f t="shared" ref="E227:G227" si="243">SUM(E228:E229)</f>
        <v>0</v>
      </c>
      <c r="F227" s="233">
        <f t="shared" si="243"/>
        <v>0</v>
      </c>
      <c r="G227" s="233">
        <f t="shared" si="243"/>
        <v>0</v>
      </c>
      <c r="H227" s="232">
        <f t="shared" si="212"/>
        <v>0</v>
      </c>
      <c r="I227" s="233">
        <v>0</v>
      </c>
      <c r="J227" s="233">
        <f t="shared" ref="J227:L227" si="244">SUM(J228:J229)</f>
        <v>0</v>
      </c>
      <c r="K227" s="233">
        <f t="shared" si="244"/>
        <v>0</v>
      </c>
      <c r="L227" s="233">
        <f t="shared" si="244"/>
        <v>0</v>
      </c>
      <c r="M227" s="232">
        <f t="shared" si="213"/>
        <v>0</v>
      </c>
      <c r="N227" s="233">
        <v>0</v>
      </c>
      <c r="O227" s="233">
        <f t="shared" ref="O227:Q227" si="245">SUM(O228:O229)</f>
        <v>0</v>
      </c>
      <c r="P227" s="233">
        <f t="shared" si="245"/>
        <v>0</v>
      </c>
      <c r="Q227" s="233">
        <f t="shared" si="245"/>
        <v>0</v>
      </c>
      <c r="R227" s="232">
        <f t="shared" si="214"/>
        <v>0</v>
      </c>
    </row>
    <row r="228" spans="1:18" s="29" customFormat="1" ht="24" hidden="1" customHeight="1">
      <c r="A228" s="133">
        <v>7460</v>
      </c>
      <c r="B228" s="172" t="s">
        <v>162</v>
      </c>
      <c r="C228" s="204"/>
      <c r="D228" s="180">
        <v>0</v>
      </c>
      <c r="E228" s="252"/>
      <c r="F228" s="252"/>
      <c r="G228" s="252"/>
      <c r="H228" s="232">
        <f t="shared" si="212"/>
        <v>0</v>
      </c>
      <c r="I228" s="252">
        <v>0</v>
      </c>
      <c r="J228" s="252"/>
      <c r="K228" s="252"/>
      <c r="L228" s="252"/>
      <c r="M228" s="232">
        <f t="shared" si="213"/>
        <v>0</v>
      </c>
      <c r="N228" s="252">
        <v>0</v>
      </c>
      <c r="O228" s="252"/>
      <c r="P228" s="252"/>
      <c r="Q228" s="252"/>
      <c r="R228" s="232">
        <f t="shared" si="214"/>
        <v>0</v>
      </c>
    </row>
    <row r="229" spans="1:18" s="29" customFormat="1" ht="36" hidden="1" customHeight="1">
      <c r="A229" s="133">
        <v>7470</v>
      </c>
      <c r="B229" s="179" t="s">
        <v>167</v>
      </c>
      <c r="C229" s="204"/>
      <c r="D229" s="180">
        <v>0</v>
      </c>
      <c r="E229" s="252"/>
      <c r="F229" s="252"/>
      <c r="G229" s="252"/>
      <c r="H229" s="232">
        <f t="shared" si="212"/>
        <v>0</v>
      </c>
      <c r="I229" s="252">
        <v>0</v>
      </c>
      <c r="J229" s="252"/>
      <c r="K229" s="252"/>
      <c r="L229" s="252"/>
      <c r="M229" s="232">
        <f t="shared" si="213"/>
        <v>0</v>
      </c>
      <c r="N229" s="252">
        <v>0</v>
      </c>
      <c r="O229" s="252"/>
      <c r="P229" s="252"/>
      <c r="Q229" s="252"/>
      <c r="R229" s="232">
        <f t="shared" si="214"/>
        <v>0</v>
      </c>
    </row>
    <row r="230" spans="1:18" s="29" customFormat="1" ht="24" hidden="1" customHeight="1">
      <c r="A230" s="132">
        <v>7500</v>
      </c>
      <c r="B230" s="179" t="s">
        <v>157</v>
      </c>
      <c r="C230" s="170"/>
      <c r="D230" s="171">
        <v>0</v>
      </c>
      <c r="E230" s="233"/>
      <c r="F230" s="233"/>
      <c r="G230" s="233"/>
      <c r="H230" s="232">
        <f t="shared" si="212"/>
        <v>0</v>
      </c>
      <c r="I230" s="233">
        <v>0</v>
      </c>
      <c r="J230" s="233"/>
      <c r="K230" s="233"/>
      <c r="L230" s="233"/>
      <c r="M230" s="232">
        <f t="shared" si="213"/>
        <v>0</v>
      </c>
      <c r="N230" s="233">
        <v>0</v>
      </c>
      <c r="O230" s="233"/>
      <c r="P230" s="233"/>
      <c r="Q230" s="233"/>
      <c r="R230" s="232">
        <f t="shared" si="214"/>
        <v>0</v>
      </c>
    </row>
    <row r="231" spans="1:18" s="29" customFormat="1" ht="12" hidden="1" customHeight="1">
      <c r="A231" s="140" t="s">
        <v>133</v>
      </c>
      <c r="B231" s="124" t="s">
        <v>122</v>
      </c>
      <c r="C231" s="205">
        <v>0</v>
      </c>
      <c r="D231" s="181">
        <v>0</v>
      </c>
      <c r="E231" s="254">
        <f t="shared" ref="E231:G231" si="246">E232+E233</f>
        <v>0</v>
      </c>
      <c r="F231" s="254">
        <f t="shared" si="246"/>
        <v>0</v>
      </c>
      <c r="G231" s="254">
        <f t="shared" si="246"/>
        <v>0</v>
      </c>
      <c r="H231" s="232">
        <f t="shared" si="212"/>
        <v>0</v>
      </c>
      <c r="I231" s="254">
        <v>0</v>
      </c>
      <c r="J231" s="254">
        <f t="shared" ref="J231:L231" si="247">J232+J233</f>
        <v>0</v>
      </c>
      <c r="K231" s="254">
        <f t="shared" si="247"/>
        <v>0</v>
      </c>
      <c r="L231" s="254">
        <f t="shared" si="247"/>
        <v>0</v>
      </c>
      <c r="M231" s="232">
        <f t="shared" si="213"/>
        <v>0</v>
      </c>
      <c r="N231" s="254">
        <v>0</v>
      </c>
      <c r="O231" s="254">
        <f t="shared" ref="O231:Q231" si="248">O232+O233</f>
        <v>0</v>
      </c>
      <c r="P231" s="254">
        <f t="shared" si="248"/>
        <v>0</v>
      </c>
      <c r="Q231" s="254">
        <f t="shared" si="248"/>
        <v>0</v>
      </c>
      <c r="R231" s="232">
        <f t="shared" si="214"/>
        <v>0</v>
      </c>
    </row>
    <row r="232" spans="1:18" s="29" customFormat="1" ht="12" hidden="1" customHeight="1">
      <c r="A232" s="140">
        <v>5000</v>
      </c>
      <c r="B232" s="124" t="s">
        <v>123</v>
      </c>
      <c r="C232" s="170"/>
      <c r="D232" s="176">
        <v>0</v>
      </c>
      <c r="E232" s="244"/>
      <c r="F232" s="244"/>
      <c r="G232" s="244"/>
      <c r="H232" s="232">
        <f t="shared" si="212"/>
        <v>0</v>
      </c>
      <c r="I232" s="233">
        <v>0</v>
      </c>
      <c r="J232" s="244"/>
      <c r="K232" s="244"/>
      <c r="L232" s="244"/>
      <c r="M232" s="232">
        <f t="shared" si="213"/>
        <v>0</v>
      </c>
      <c r="N232" s="233">
        <v>0</v>
      </c>
      <c r="O232" s="244"/>
      <c r="P232" s="244"/>
      <c r="Q232" s="244"/>
      <c r="R232" s="232">
        <f t="shared" si="214"/>
        <v>0</v>
      </c>
    </row>
    <row r="233" spans="1:18" s="29" customFormat="1" ht="12" hidden="1" customHeight="1">
      <c r="A233" s="140">
        <v>9000</v>
      </c>
      <c r="B233" s="182" t="s">
        <v>164</v>
      </c>
      <c r="C233" s="170">
        <v>0</v>
      </c>
      <c r="D233" s="171">
        <v>0</v>
      </c>
      <c r="E233" s="233">
        <f t="shared" ref="E233:G233" si="249">E234+E240+E244+E247</f>
        <v>0</v>
      </c>
      <c r="F233" s="233">
        <f t="shared" si="249"/>
        <v>0</v>
      </c>
      <c r="G233" s="233">
        <f t="shared" si="249"/>
        <v>0</v>
      </c>
      <c r="H233" s="232">
        <f t="shared" si="212"/>
        <v>0</v>
      </c>
      <c r="I233" s="233">
        <v>0</v>
      </c>
      <c r="J233" s="233">
        <f t="shared" ref="J233:L233" si="250">J234+J240+J244+J247</f>
        <v>0</v>
      </c>
      <c r="K233" s="233">
        <f t="shared" si="250"/>
        <v>0</v>
      </c>
      <c r="L233" s="233">
        <f t="shared" si="250"/>
        <v>0</v>
      </c>
      <c r="M233" s="232">
        <f t="shared" si="213"/>
        <v>0</v>
      </c>
      <c r="N233" s="233">
        <v>0</v>
      </c>
      <c r="O233" s="233">
        <f t="shared" ref="O233:Q233" si="251">O234+O240+O244+O247</f>
        <v>0</v>
      </c>
      <c r="P233" s="233">
        <f t="shared" si="251"/>
        <v>0</v>
      </c>
      <c r="Q233" s="233">
        <f t="shared" si="251"/>
        <v>0</v>
      </c>
      <c r="R233" s="232">
        <f t="shared" si="214"/>
        <v>0</v>
      </c>
    </row>
    <row r="234" spans="1:18" s="29" customFormat="1" ht="12" hidden="1" customHeight="1">
      <c r="A234" s="141">
        <v>9100</v>
      </c>
      <c r="B234" s="179" t="s">
        <v>124</v>
      </c>
      <c r="C234" s="170">
        <v>0</v>
      </c>
      <c r="D234" s="171">
        <v>0</v>
      </c>
      <c r="E234" s="233">
        <f t="shared" ref="E234:G234" si="252">SUM(E235:E236)</f>
        <v>0</v>
      </c>
      <c r="F234" s="233">
        <f t="shared" ref="F234" si="253">SUM(F235:F236)</f>
        <v>0</v>
      </c>
      <c r="G234" s="233">
        <f t="shared" si="252"/>
        <v>0</v>
      </c>
      <c r="H234" s="232">
        <f t="shared" si="212"/>
        <v>0</v>
      </c>
      <c r="I234" s="233">
        <v>0</v>
      </c>
      <c r="J234" s="233">
        <f t="shared" ref="J234:L234" si="254">SUM(J235:J236)</f>
        <v>0</v>
      </c>
      <c r="K234" s="233">
        <f t="shared" si="254"/>
        <v>0</v>
      </c>
      <c r="L234" s="233">
        <f t="shared" si="254"/>
        <v>0</v>
      </c>
      <c r="M234" s="232">
        <f t="shared" si="213"/>
        <v>0</v>
      </c>
      <c r="N234" s="233">
        <v>0</v>
      </c>
      <c r="O234" s="233">
        <f t="shared" ref="O234:Q234" si="255">SUM(O235:O236)</f>
        <v>0</v>
      </c>
      <c r="P234" s="233">
        <f t="shared" si="255"/>
        <v>0</v>
      </c>
      <c r="Q234" s="233">
        <f t="shared" si="255"/>
        <v>0</v>
      </c>
      <c r="R234" s="232">
        <f t="shared" si="214"/>
        <v>0</v>
      </c>
    </row>
    <row r="235" spans="1:18" s="29" customFormat="1" ht="24" hidden="1" customHeight="1">
      <c r="A235" s="133" t="s">
        <v>125</v>
      </c>
      <c r="B235" s="179" t="s">
        <v>214</v>
      </c>
      <c r="C235" s="170"/>
      <c r="D235" s="171">
        <v>0</v>
      </c>
      <c r="E235" s="233"/>
      <c r="F235" s="233"/>
      <c r="G235" s="233"/>
      <c r="H235" s="232">
        <f t="shared" si="212"/>
        <v>0</v>
      </c>
      <c r="I235" s="233">
        <v>0</v>
      </c>
      <c r="J235" s="233"/>
      <c r="K235" s="233"/>
      <c r="L235" s="233"/>
      <c r="M235" s="232">
        <f t="shared" si="213"/>
        <v>0</v>
      </c>
      <c r="N235" s="233">
        <v>0</v>
      </c>
      <c r="O235" s="233"/>
      <c r="P235" s="233"/>
      <c r="Q235" s="233"/>
      <c r="R235" s="232">
        <f t="shared" si="214"/>
        <v>0</v>
      </c>
    </row>
    <row r="236" spans="1:18" s="29" customFormat="1" ht="24" hidden="1" customHeight="1">
      <c r="A236" s="133">
        <v>9140</v>
      </c>
      <c r="B236" s="179" t="s">
        <v>215</v>
      </c>
      <c r="C236" s="170">
        <v>0</v>
      </c>
      <c r="D236" s="171">
        <v>0</v>
      </c>
      <c r="E236" s="233">
        <f t="shared" ref="E236:G236" si="256">SUM(E237:E239)</f>
        <v>0</v>
      </c>
      <c r="F236" s="233">
        <f t="shared" si="256"/>
        <v>0</v>
      </c>
      <c r="G236" s="233">
        <f t="shared" si="256"/>
        <v>0</v>
      </c>
      <c r="H236" s="232">
        <f t="shared" si="212"/>
        <v>0</v>
      </c>
      <c r="I236" s="233">
        <v>0</v>
      </c>
      <c r="J236" s="233">
        <f t="shared" ref="J236:L236" si="257">SUM(J237:J239)</f>
        <v>0</v>
      </c>
      <c r="K236" s="233">
        <f t="shared" si="257"/>
        <v>0</v>
      </c>
      <c r="L236" s="233">
        <f t="shared" si="257"/>
        <v>0</v>
      </c>
      <c r="M236" s="232">
        <f t="shared" si="213"/>
        <v>0</v>
      </c>
      <c r="N236" s="233">
        <v>0</v>
      </c>
      <c r="O236" s="233">
        <f t="shared" ref="O236:Q236" si="258">SUM(O237:O239)</f>
        <v>0</v>
      </c>
      <c r="P236" s="233">
        <f t="shared" si="258"/>
        <v>0</v>
      </c>
      <c r="Q236" s="233">
        <f t="shared" si="258"/>
        <v>0</v>
      </c>
      <c r="R236" s="232">
        <f t="shared" si="214"/>
        <v>0</v>
      </c>
    </row>
    <row r="237" spans="1:18" s="29" customFormat="1" ht="36" hidden="1" customHeight="1">
      <c r="A237" s="134">
        <v>9141</v>
      </c>
      <c r="B237" s="172" t="s">
        <v>190</v>
      </c>
      <c r="C237" s="204"/>
      <c r="D237" s="180">
        <v>0</v>
      </c>
      <c r="E237" s="252"/>
      <c r="F237" s="252"/>
      <c r="G237" s="252"/>
      <c r="H237" s="232">
        <f t="shared" si="212"/>
        <v>0</v>
      </c>
      <c r="I237" s="252">
        <v>0</v>
      </c>
      <c r="J237" s="252"/>
      <c r="K237" s="252"/>
      <c r="L237" s="252"/>
      <c r="M237" s="232">
        <f t="shared" si="213"/>
        <v>0</v>
      </c>
      <c r="N237" s="252">
        <v>0</v>
      </c>
      <c r="O237" s="252"/>
      <c r="P237" s="252"/>
      <c r="Q237" s="252"/>
      <c r="R237" s="232">
        <f t="shared" si="214"/>
        <v>0</v>
      </c>
    </row>
    <row r="238" spans="1:18" s="29" customFormat="1" ht="36" hidden="1" customHeight="1">
      <c r="A238" s="134">
        <v>9142</v>
      </c>
      <c r="B238" s="172" t="s">
        <v>191</v>
      </c>
      <c r="C238" s="204"/>
      <c r="D238" s="180">
        <v>0</v>
      </c>
      <c r="E238" s="252"/>
      <c r="F238" s="252"/>
      <c r="G238" s="252"/>
      <c r="H238" s="232">
        <f t="shared" si="212"/>
        <v>0</v>
      </c>
      <c r="I238" s="252">
        <v>0</v>
      </c>
      <c r="J238" s="252"/>
      <c r="K238" s="252"/>
      <c r="L238" s="252"/>
      <c r="M238" s="232">
        <f t="shared" si="213"/>
        <v>0</v>
      </c>
      <c r="N238" s="252">
        <v>0</v>
      </c>
      <c r="O238" s="252"/>
      <c r="P238" s="252"/>
      <c r="Q238" s="252"/>
      <c r="R238" s="232">
        <f t="shared" si="214"/>
        <v>0</v>
      </c>
    </row>
    <row r="239" spans="1:18" s="29" customFormat="1" ht="24" hidden="1" customHeight="1">
      <c r="A239" s="134">
        <v>9149</v>
      </c>
      <c r="B239" s="172" t="s">
        <v>192</v>
      </c>
      <c r="C239" s="204"/>
      <c r="D239" s="180">
        <v>0</v>
      </c>
      <c r="E239" s="252"/>
      <c r="F239" s="252"/>
      <c r="G239" s="252"/>
      <c r="H239" s="232">
        <f t="shared" si="212"/>
        <v>0</v>
      </c>
      <c r="I239" s="252">
        <v>0</v>
      </c>
      <c r="J239" s="252"/>
      <c r="K239" s="252"/>
      <c r="L239" s="252"/>
      <c r="M239" s="232">
        <f t="shared" si="213"/>
        <v>0</v>
      </c>
      <c r="N239" s="252">
        <v>0</v>
      </c>
      <c r="O239" s="252"/>
      <c r="P239" s="252"/>
      <c r="Q239" s="252"/>
      <c r="R239" s="232">
        <f t="shared" si="214"/>
        <v>0</v>
      </c>
    </row>
    <row r="240" spans="1:18" s="29" customFormat="1" ht="24" hidden="1" customHeight="1">
      <c r="A240" s="141">
        <v>9500</v>
      </c>
      <c r="B240" s="172" t="s">
        <v>165</v>
      </c>
      <c r="C240" s="170">
        <v>0</v>
      </c>
      <c r="D240" s="171">
        <v>0</v>
      </c>
      <c r="E240" s="233">
        <f t="shared" ref="E240:G240" si="259">SUM(E241:E243)</f>
        <v>0</v>
      </c>
      <c r="F240" s="233">
        <f t="shared" si="259"/>
        <v>0</v>
      </c>
      <c r="G240" s="233">
        <f t="shared" si="259"/>
        <v>0</v>
      </c>
      <c r="H240" s="232">
        <f t="shared" si="212"/>
        <v>0</v>
      </c>
      <c r="I240" s="233">
        <v>0</v>
      </c>
      <c r="J240" s="233">
        <f t="shared" ref="J240:L240" si="260">SUM(J241:J243)</f>
        <v>0</v>
      </c>
      <c r="K240" s="233">
        <f t="shared" si="260"/>
        <v>0</v>
      </c>
      <c r="L240" s="233">
        <f t="shared" si="260"/>
        <v>0</v>
      </c>
      <c r="M240" s="232">
        <f t="shared" si="213"/>
        <v>0</v>
      </c>
      <c r="N240" s="233">
        <v>0</v>
      </c>
      <c r="O240" s="233">
        <f t="shared" ref="O240:Q240" si="261">SUM(O241:O243)</f>
        <v>0</v>
      </c>
      <c r="P240" s="233">
        <f t="shared" si="261"/>
        <v>0</v>
      </c>
      <c r="Q240" s="233">
        <f t="shared" si="261"/>
        <v>0</v>
      </c>
      <c r="R240" s="232">
        <f t="shared" si="214"/>
        <v>0</v>
      </c>
    </row>
    <row r="241" spans="1:18" s="29" customFormat="1" ht="24" hidden="1" customHeight="1">
      <c r="A241" s="133" t="s">
        <v>193</v>
      </c>
      <c r="B241" s="172" t="s">
        <v>171</v>
      </c>
      <c r="C241" s="170"/>
      <c r="D241" s="171">
        <v>0</v>
      </c>
      <c r="E241" s="233"/>
      <c r="F241" s="233"/>
      <c r="G241" s="233"/>
      <c r="H241" s="232">
        <f t="shared" si="212"/>
        <v>0</v>
      </c>
      <c r="I241" s="233">
        <v>0</v>
      </c>
      <c r="J241" s="233"/>
      <c r="K241" s="233"/>
      <c r="L241" s="233"/>
      <c r="M241" s="232">
        <f t="shared" si="213"/>
        <v>0</v>
      </c>
      <c r="N241" s="233">
        <v>0</v>
      </c>
      <c r="O241" s="233"/>
      <c r="P241" s="233"/>
      <c r="Q241" s="233"/>
      <c r="R241" s="232">
        <f t="shared" si="214"/>
        <v>0</v>
      </c>
    </row>
    <row r="242" spans="1:18" s="29" customFormat="1" ht="48" hidden="1" customHeight="1">
      <c r="A242" s="133">
        <v>9580</v>
      </c>
      <c r="B242" s="172" t="s">
        <v>166</v>
      </c>
      <c r="C242" s="204"/>
      <c r="D242" s="180">
        <v>0</v>
      </c>
      <c r="E242" s="252"/>
      <c r="F242" s="252"/>
      <c r="G242" s="252"/>
      <c r="H242" s="232">
        <f t="shared" si="212"/>
        <v>0</v>
      </c>
      <c r="I242" s="252">
        <v>0</v>
      </c>
      <c r="J242" s="252"/>
      <c r="K242" s="252"/>
      <c r="L242" s="252"/>
      <c r="M242" s="232">
        <f t="shared" si="213"/>
        <v>0</v>
      </c>
      <c r="N242" s="252">
        <v>0</v>
      </c>
      <c r="O242" s="252"/>
      <c r="P242" s="252"/>
      <c r="Q242" s="252"/>
      <c r="R242" s="232">
        <f t="shared" si="214"/>
        <v>0</v>
      </c>
    </row>
    <row r="243" spans="1:18" s="29" customFormat="1" ht="36" hidden="1" customHeight="1">
      <c r="A243" s="133">
        <v>9590</v>
      </c>
      <c r="B243" s="179" t="s">
        <v>172</v>
      </c>
      <c r="C243" s="204"/>
      <c r="D243" s="180">
        <v>0</v>
      </c>
      <c r="E243" s="252"/>
      <c r="F243" s="252"/>
      <c r="G243" s="252"/>
      <c r="H243" s="232">
        <f t="shared" si="212"/>
        <v>0</v>
      </c>
      <c r="I243" s="252">
        <v>0</v>
      </c>
      <c r="J243" s="252"/>
      <c r="K243" s="252"/>
      <c r="L243" s="252"/>
      <c r="M243" s="232">
        <f t="shared" si="213"/>
        <v>0</v>
      </c>
      <c r="N243" s="252">
        <v>0</v>
      </c>
      <c r="O243" s="252"/>
      <c r="P243" s="252"/>
      <c r="Q243" s="252"/>
      <c r="R243" s="232">
        <f t="shared" si="214"/>
        <v>0</v>
      </c>
    </row>
    <row r="244" spans="1:18" s="29" customFormat="1" ht="24" hidden="1" customHeight="1">
      <c r="A244" s="141">
        <v>9700</v>
      </c>
      <c r="B244" s="183" t="s">
        <v>194</v>
      </c>
      <c r="C244" s="170">
        <v>0</v>
      </c>
      <c r="D244" s="171">
        <v>0</v>
      </c>
      <c r="E244" s="233">
        <f t="shared" ref="E244:G244" si="262">SUM(E245:E246)</f>
        <v>0</v>
      </c>
      <c r="F244" s="233">
        <f t="shared" si="262"/>
        <v>0</v>
      </c>
      <c r="G244" s="233">
        <f t="shared" si="262"/>
        <v>0</v>
      </c>
      <c r="H244" s="232">
        <f t="shared" si="212"/>
        <v>0</v>
      </c>
      <c r="I244" s="233">
        <v>0</v>
      </c>
      <c r="J244" s="233">
        <f t="shared" ref="J244:L244" si="263">SUM(J245:J246)</f>
        <v>0</v>
      </c>
      <c r="K244" s="233">
        <f t="shared" si="263"/>
        <v>0</v>
      </c>
      <c r="L244" s="233">
        <f t="shared" si="263"/>
        <v>0</v>
      </c>
      <c r="M244" s="232">
        <f t="shared" si="213"/>
        <v>0</v>
      </c>
      <c r="N244" s="233">
        <v>0</v>
      </c>
      <c r="O244" s="233">
        <f t="shared" ref="O244:Q244" si="264">SUM(O245:O246)</f>
        <v>0</v>
      </c>
      <c r="P244" s="233">
        <f t="shared" si="264"/>
        <v>0</v>
      </c>
      <c r="Q244" s="233">
        <f t="shared" si="264"/>
        <v>0</v>
      </c>
      <c r="R244" s="232">
        <f t="shared" si="214"/>
        <v>0</v>
      </c>
    </row>
    <row r="245" spans="1:18" s="29" customFormat="1" ht="24" hidden="1" customHeight="1">
      <c r="A245" s="133">
        <v>9710</v>
      </c>
      <c r="B245" s="184" t="s">
        <v>195</v>
      </c>
      <c r="C245" s="204"/>
      <c r="D245" s="180">
        <v>0</v>
      </c>
      <c r="E245" s="252"/>
      <c r="F245" s="252"/>
      <c r="G245" s="252"/>
      <c r="H245" s="232">
        <f t="shared" si="212"/>
        <v>0</v>
      </c>
      <c r="I245" s="252">
        <v>0</v>
      </c>
      <c r="J245" s="252"/>
      <c r="K245" s="252"/>
      <c r="L245" s="252"/>
      <c r="M245" s="232">
        <f t="shared" si="213"/>
        <v>0</v>
      </c>
      <c r="N245" s="252">
        <v>0</v>
      </c>
      <c r="O245" s="252"/>
      <c r="P245" s="252"/>
      <c r="Q245" s="252"/>
      <c r="R245" s="232">
        <f t="shared" si="214"/>
        <v>0</v>
      </c>
    </row>
    <row r="246" spans="1:18" s="29" customFormat="1" ht="36" hidden="1" customHeight="1">
      <c r="A246" s="142">
        <v>9720</v>
      </c>
      <c r="B246" s="183" t="s">
        <v>196</v>
      </c>
      <c r="C246" s="204"/>
      <c r="D246" s="180">
        <v>0</v>
      </c>
      <c r="E246" s="252"/>
      <c r="F246" s="252"/>
      <c r="G246" s="252"/>
      <c r="H246" s="232">
        <f t="shared" si="212"/>
        <v>0</v>
      </c>
      <c r="I246" s="252">
        <v>0</v>
      </c>
      <c r="J246" s="252"/>
      <c r="K246" s="252"/>
      <c r="L246" s="252"/>
      <c r="M246" s="232">
        <f t="shared" si="213"/>
        <v>0</v>
      </c>
      <c r="N246" s="252">
        <v>0</v>
      </c>
      <c r="O246" s="252"/>
      <c r="P246" s="252"/>
      <c r="Q246" s="252"/>
      <c r="R246" s="232">
        <f t="shared" si="214"/>
        <v>0</v>
      </c>
    </row>
    <row r="247" spans="1:18" s="29" customFormat="1" ht="24" hidden="1" customHeight="1">
      <c r="A247" s="141">
        <v>9600</v>
      </c>
      <c r="B247" s="179" t="s">
        <v>134</v>
      </c>
      <c r="C247" s="204"/>
      <c r="D247" s="180">
        <v>0</v>
      </c>
      <c r="E247" s="252"/>
      <c r="F247" s="252"/>
      <c r="G247" s="252"/>
      <c r="H247" s="232">
        <f t="shared" si="212"/>
        <v>0</v>
      </c>
      <c r="I247" s="252">
        <v>0</v>
      </c>
      <c r="J247" s="252"/>
      <c r="K247" s="252"/>
      <c r="L247" s="252"/>
      <c r="M247" s="232">
        <f t="shared" si="213"/>
        <v>0</v>
      </c>
      <c r="N247" s="252">
        <v>0</v>
      </c>
      <c r="O247" s="252"/>
      <c r="P247" s="252"/>
      <c r="Q247" s="252"/>
      <c r="R247" s="232">
        <f t="shared" si="214"/>
        <v>0</v>
      </c>
    </row>
    <row r="248" spans="1:18" s="29" customFormat="1" ht="52.5" hidden="1" customHeight="1">
      <c r="A248" s="130" t="s">
        <v>197</v>
      </c>
      <c r="B248" s="185" t="s">
        <v>47</v>
      </c>
      <c r="C248" s="206"/>
      <c r="D248" s="186">
        <v>0</v>
      </c>
      <c r="E248" s="262">
        <f t="shared" ref="E248:G248" si="265">E178-E203</f>
        <v>0</v>
      </c>
      <c r="F248" s="262">
        <f t="shared" si="265"/>
        <v>0</v>
      </c>
      <c r="G248" s="262">
        <f t="shared" si="265"/>
        <v>0</v>
      </c>
      <c r="H248" s="232">
        <f t="shared" si="212"/>
        <v>0</v>
      </c>
      <c r="I248" s="262">
        <v>0</v>
      </c>
      <c r="J248" s="262">
        <f t="shared" ref="J248:L248" si="266">J178-J203</f>
        <v>0</v>
      </c>
      <c r="K248" s="262">
        <f t="shared" si="266"/>
        <v>0</v>
      </c>
      <c r="L248" s="262">
        <f t="shared" si="266"/>
        <v>0</v>
      </c>
      <c r="M248" s="232">
        <f t="shared" si="213"/>
        <v>0</v>
      </c>
      <c r="N248" s="262">
        <v>0</v>
      </c>
      <c r="O248" s="262">
        <f t="shared" ref="O248:Q248" si="267">O178-O203</f>
        <v>0</v>
      </c>
      <c r="P248" s="262">
        <f t="shared" si="267"/>
        <v>0</v>
      </c>
      <c r="Q248" s="262">
        <f t="shared" si="267"/>
        <v>0</v>
      </c>
      <c r="R248" s="232">
        <f t="shared" si="214"/>
        <v>0</v>
      </c>
    </row>
    <row r="249" spans="1:18" s="29" customFormat="1" ht="12" hidden="1" customHeight="1">
      <c r="A249" s="143" t="s">
        <v>48</v>
      </c>
      <c r="B249" s="185" t="s">
        <v>49</v>
      </c>
      <c r="C249" s="206">
        <v>0</v>
      </c>
      <c r="D249" s="186">
        <v>0</v>
      </c>
      <c r="E249" s="262">
        <f t="shared" ref="E249:G249" si="268">E250+E253+E257+E256</f>
        <v>0</v>
      </c>
      <c r="F249" s="262">
        <f t="shared" si="268"/>
        <v>0</v>
      </c>
      <c r="G249" s="262">
        <f t="shared" si="268"/>
        <v>0</v>
      </c>
      <c r="H249" s="232">
        <f t="shared" si="212"/>
        <v>0</v>
      </c>
      <c r="I249" s="262">
        <v>0</v>
      </c>
      <c r="J249" s="262">
        <f t="shared" ref="J249:L249" si="269">J250+J253+J257+J256</f>
        <v>0</v>
      </c>
      <c r="K249" s="262">
        <f t="shared" si="269"/>
        <v>0</v>
      </c>
      <c r="L249" s="262">
        <f t="shared" si="269"/>
        <v>0</v>
      </c>
      <c r="M249" s="232">
        <f t="shared" si="213"/>
        <v>0</v>
      </c>
      <c r="N249" s="262">
        <v>0</v>
      </c>
      <c r="O249" s="262">
        <f t="shared" ref="O249:Q249" si="270">O250+O253+O257+O256</f>
        <v>0</v>
      </c>
      <c r="P249" s="262">
        <f t="shared" si="270"/>
        <v>0</v>
      </c>
      <c r="Q249" s="262">
        <f t="shared" si="270"/>
        <v>0</v>
      </c>
      <c r="R249" s="232">
        <f t="shared" si="214"/>
        <v>0</v>
      </c>
    </row>
    <row r="250" spans="1:18" s="29" customFormat="1" ht="12" hidden="1" customHeight="1">
      <c r="A250" s="141" t="s">
        <v>50</v>
      </c>
      <c r="B250" s="179" t="s">
        <v>51</v>
      </c>
      <c r="C250" s="98">
        <v>0</v>
      </c>
      <c r="D250" s="169">
        <v>0</v>
      </c>
      <c r="E250" s="231">
        <f t="shared" ref="E250:G250" si="271">E251+E252</f>
        <v>0</v>
      </c>
      <c r="F250" s="231">
        <f t="shared" si="271"/>
        <v>0</v>
      </c>
      <c r="G250" s="231">
        <f t="shared" si="271"/>
        <v>0</v>
      </c>
      <c r="H250" s="232">
        <f t="shared" si="212"/>
        <v>0</v>
      </c>
      <c r="I250" s="231">
        <v>0</v>
      </c>
      <c r="J250" s="231">
        <f t="shared" ref="J250:L250" si="272">J251+J252</f>
        <v>0</v>
      </c>
      <c r="K250" s="231">
        <f t="shared" si="272"/>
        <v>0</v>
      </c>
      <c r="L250" s="231">
        <f t="shared" si="272"/>
        <v>0</v>
      </c>
      <c r="M250" s="232">
        <f t="shared" si="213"/>
        <v>0</v>
      </c>
      <c r="N250" s="231">
        <v>0</v>
      </c>
      <c r="O250" s="231">
        <f t="shared" ref="O250:Q250" si="273">O251+O252</f>
        <v>0</v>
      </c>
      <c r="P250" s="231">
        <f t="shared" si="273"/>
        <v>0</v>
      </c>
      <c r="Q250" s="231">
        <f t="shared" si="273"/>
        <v>0</v>
      </c>
      <c r="R250" s="232">
        <f t="shared" si="214"/>
        <v>0</v>
      </c>
    </row>
    <row r="251" spans="1:18" s="29" customFormat="1" ht="12" hidden="1" customHeight="1">
      <c r="A251" s="141" t="s">
        <v>52</v>
      </c>
      <c r="B251" s="179" t="s">
        <v>53</v>
      </c>
      <c r="C251" s="98"/>
      <c r="D251" s="169">
        <v>0</v>
      </c>
      <c r="E251" s="231"/>
      <c r="F251" s="231"/>
      <c r="G251" s="231"/>
      <c r="H251" s="232">
        <f t="shared" si="212"/>
        <v>0</v>
      </c>
      <c r="I251" s="231">
        <v>0</v>
      </c>
      <c r="J251" s="231"/>
      <c r="K251" s="231"/>
      <c r="L251" s="231"/>
      <c r="M251" s="232">
        <f t="shared" si="213"/>
        <v>0</v>
      </c>
      <c r="N251" s="231">
        <v>0</v>
      </c>
      <c r="O251" s="231"/>
      <c r="P251" s="231"/>
      <c r="Q251" s="231"/>
      <c r="R251" s="232">
        <f t="shared" si="214"/>
        <v>0</v>
      </c>
    </row>
    <row r="252" spans="1:18" s="29" customFormat="1" ht="12" hidden="1" customHeight="1">
      <c r="A252" s="141" t="s">
        <v>54</v>
      </c>
      <c r="B252" s="179" t="s">
        <v>55</v>
      </c>
      <c r="C252" s="98"/>
      <c r="D252" s="169">
        <v>0</v>
      </c>
      <c r="E252" s="231"/>
      <c r="F252" s="231"/>
      <c r="G252" s="231"/>
      <c r="H252" s="232">
        <f t="shared" si="212"/>
        <v>0</v>
      </c>
      <c r="I252" s="231">
        <v>0</v>
      </c>
      <c r="J252" s="231"/>
      <c r="K252" s="231"/>
      <c r="L252" s="231"/>
      <c r="M252" s="232">
        <f t="shared" si="213"/>
        <v>0</v>
      </c>
      <c r="N252" s="231">
        <v>0</v>
      </c>
      <c r="O252" s="231"/>
      <c r="P252" s="231"/>
      <c r="Q252" s="231"/>
      <c r="R252" s="232">
        <f t="shared" si="214"/>
        <v>0</v>
      </c>
    </row>
    <row r="253" spans="1:18" s="29" customFormat="1" ht="12" hidden="1" customHeight="1">
      <c r="A253" s="141" t="s">
        <v>56</v>
      </c>
      <c r="B253" s="179" t="s">
        <v>57</v>
      </c>
      <c r="C253" s="98">
        <v>0</v>
      </c>
      <c r="D253" s="169">
        <v>0</v>
      </c>
      <c r="E253" s="231">
        <f t="shared" ref="E253:G253" si="274">E254+E255</f>
        <v>0</v>
      </c>
      <c r="F253" s="231">
        <f t="shared" si="274"/>
        <v>0</v>
      </c>
      <c r="G253" s="231">
        <f t="shared" si="274"/>
        <v>0</v>
      </c>
      <c r="H253" s="232">
        <f t="shared" si="212"/>
        <v>0</v>
      </c>
      <c r="I253" s="231">
        <v>0</v>
      </c>
      <c r="J253" s="231">
        <f t="shared" ref="J253:L253" si="275">J254+J255</f>
        <v>0</v>
      </c>
      <c r="K253" s="231">
        <f t="shared" si="275"/>
        <v>0</v>
      </c>
      <c r="L253" s="231">
        <f t="shared" si="275"/>
        <v>0</v>
      </c>
      <c r="M253" s="232">
        <f t="shared" si="213"/>
        <v>0</v>
      </c>
      <c r="N253" s="231">
        <v>0</v>
      </c>
      <c r="O253" s="231">
        <f t="shared" ref="O253:Q253" si="276">O254+O255</f>
        <v>0</v>
      </c>
      <c r="P253" s="231">
        <f t="shared" si="276"/>
        <v>0</v>
      </c>
      <c r="Q253" s="231">
        <f t="shared" si="276"/>
        <v>0</v>
      </c>
      <c r="R253" s="232">
        <f t="shared" si="214"/>
        <v>0</v>
      </c>
    </row>
    <row r="254" spans="1:18" s="29" customFormat="1" ht="12" hidden="1" customHeight="1">
      <c r="A254" s="141" t="s">
        <v>58</v>
      </c>
      <c r="B254" s="179" t="s">
        <v>59</v>
      </c>
      <c r="C254" s="98"/>
      <c r="D254" s="169">
        <v>0</v>
      </c>
      <c r="E254" s="231"/>
      <c r="F254" s="231"/>
      <c r="G254" s="231"/>
      <c r="H254" s="232">
        <f t="shared" si="212"/>
        <v>0</v>
      </c>
      <c r="I254" s="231">
        <v>0</v>
      </c>
      <c r="J254" s="231"/>
      <c r="K254" s="231"/>
      <c r="L254" s="231"/>
      <c r="M254" s="232">
        <f t="shared" si="213"/>
        <v>0</v>
      </c>
      <c r="N254" s="231">
        <v>0</v>
      </c>
      <c r="O254" s="231"/>
      <c r="P254" s="231"/>
      <c r="Q254" s="231"/>
      <c r="R254" s="232">
        <f t="shared" si="214"/>
        <v>0</v>
      </c>
    </row>
    <row r="255" spans="1:18" s="29" customFormat="1" ht="12" hidden="1" customHeight="1">
      <c r="A255" s="141" t="s">
        <v>60</v>
      </c>
      <c r="B255" s="179" t="s">
        <v>61</v>
      </c>
      <c r="C255" s="98"/>
      <c r="D255" s="169">
        <v>0</v>
      </c>
      <c r="E255" s="231"/>
      <c r="F255" s="231"/>
      <c r="G255" s="231"/>
      <c r="H255" s="232">
        <f t="shared" si="212"/>
        <v>0</v>
      </c>
      <c r="I255" s="231">
        <v>0</v>
      </c>
      <c r="J255" s="231"/>
      <c r="K255" s="231"/>
      <c r="L255" s="231"/>
      <c r="M255" s="232">
        <f t="shared" si="213"/>
        <v>0</v>
      </c>
      <c r="N255" s="231">
        <v>0</v>
      </c>
      <c r="O255" s="231"/>
      <c r="P255" s="231"/>
      <c r="Q255" s="231"/>
      <c r="R255" s="232">
        <f t="shared" si="214"/>
        <v>0</v>
      </c>
    </row>
    <row r="256" spans="1:18" s="29" customFormat="1" ht="12" hidden="1" customHeight="1">
      <c r="A256" s="141" t="s">
        <v>198</v>
      </c>
      <c r="B256" s="187" t="s">
        <v>168</v>
      </c>
      <c r="C256" s="98"/>
      <c r="D256" s="169">
        <v>0</v>
      </c>
      <c r="E256" s="231"/>
      <c r="F256" s="231"/>
      <c r="G256" s="231"/>
      <c r="H256" s="232">
        <f t="shared" si="212"/>
        <v>0</v>
      </c>
      <c r="I256" s="231">
        <v>0</v>
      </c>
      <c r="J256" s="231"/>
      <c r="K256" s="231"/>
      <c r="L256" s="231"/>
      <c r="M256" s="232">
        <f t="shared" si="213"/>
        <v>0</v>
      </c>
      <c r="N256" s="231">
        <v>0</v>
      </c>
      <c r="O256" s="231"/>
      <c r="P256" s="231"/>
      <c r="Q256" s="231"/>
      <c r="R256" s="232">
        <f t="shared" si="214"/>
        <v>0</v>
      </c>
    </row>
    <row r="257" spans="1:18" s="29" customFormat="1" ht="12" hidden="1" customHeight="1">
      <c r="A257" s="144" t="s">
        <v>62</v>
      </c>
      <c r="B257" s="125" t="s">
        <v>63</v>
      </c>
      <c r="C257" s="170">
        <v>0</v>
      </c>
      <c r="D257" s="171">
        <v>0</v>
      </c>
      <c r="E257" s="233">
        <f t="shared" ref="E257:G257" si="277">E258+E259+E260</f>
        <v>0</v>
      </c>
      <c r="F257" s="233">
        <f t="shared" si="277"/>
        <v>0</v>
      </c>
      <c r="G257" s="233">
        <f t="shared" si="277"/>
        <v>0</v>
      </c>
      <c r="H257" s="232">
        <f t="shared" si="212"/>
        <v>0</v>
      </c>
      <c r="I257" s="233">
        <v>0</v>
      </c>
      <c r="J257" s="233">
        <f t="shared" ref="J257:L257" si="278">J258+J259+J260</f>
        <v>0</v>
      </c>
      <c r="K257" s="233">
        <f t="shared" si="278"/>
        <v>0</v>
      </c>
      <c r="L257" s="233">
        <f t="shared" si="278"/>
        <v>0</v>
      </c>
      <c r="M257" s="232">
        <f t="shared" si="213"/>
        <v>0</v>
      </c>
      <c r="N257" s="233">
        <v>0</v>
      </c>
      <c r="O257" s="233">
        <f t="shared" ref="O257:Q257" si="279">O258+O259+O260</f>
        <v>0</v>
      </c>
      <c r="P257" s="233">
        <f t="shared" si="279"/>
        <v>0</v>
      </c>
      <c r="Q257" s="233">
        <f t="shared" si="279"/>
        <v>0</v>
      </c>
      <c r="R257" s="232">
        <f t="shared" si="214"/>
        <v>0</v>
      </c>
    </row>
    <row r="258" spans="1:18" s="29" customFormat="1" ht="36" hidden="1" customHeight="1">
      <c r="A258" s="144" t="s">
        <v>64</v>
      </c>
      <c r="B258" s="179" t="s">
        <v>65</v>
      </c>
      <c r="C258" s="98"/>
      <c r="D258" s="169">
        <v>0</v>
      </c>
      <c r="E258" s="231"/>
      <c r="F258" s="231"/>
      <c r="G258" s="231"/>
      <c r="H258" s="232">
        <f t="shared" si="212"/>
        <v>0</v>
      </c>
      <c r="I258" s="231">
        <v>0</v>
      </c>
      <c r="J258" s="231"/>
      <c r="K258" s="231"/>
      <c r="L258" s="231"/>
      <c r="M258" s="232">
        <f t="shared" si="213"/>
        <v>0</v>
      </c>
      <c r="N258" s="231">
        <v>0</v>
      </c>
      <c r="O258" s="231"/>
      <c r="P258" s="231"/>
      <c r="Q258" s="231"/>
      <c r="R258" s="232">
        <f t="shared" si="214"/>
        <v>0</v>
      </c>
    </row>
    <row r="259" spans="1:18" s="29" customFormat="1" ht="24" hidden="1" customHeight="1">
      <c r="A259" s="144" t="s">
        <v>66</v>
      </c>
      <c r="B259" s="179" t="s">
        <v>67</v>
      </c>
      <c r="C259" s="98"/>
      <c r="D259" s="169">
        <v>0</v>
      </c>
      <c r="E259" s="231"/>
      <c r="F259" s="231"/>
      <c r="G259" s="231"/>
      <c r="H259" s="232">
        <f t="shared" si="212"/>
        <v>0</v>
      </c>
      <c r="I259" s="231">
        <v>0</v>
      </c>
      <c r="J259" s="231"/>
      <c r="K259" s="231"/>
      <c r="L259" s="231"/>
      <c r="M259" s="232">
        <f t="shared" si="213"/>
        <v>0</v>
      </c>
      <c r="N259" s="231">
        <v>0</v>
      </c>
      <c r="O259" s="231"/>
      <c r="P259" s="231"/>
      <c r="Q259" s="231"/>
      <c r="R259" s="232">
        <f t="shared" si="214"/>
        <v>0</v>
      </c>
    </row>
    <row r="260" spans="1:18" s="29" customFormat="1" ht="24" hidden="1" customHeight="1">
      <c r="A260" s="144" t="s">
        <v>68</v>
      </c>
      <c r="B260" s="125" t="s">
        <v>69</v>
      </c>
      <c r="C260" s="98"/>
      <c r="D260" s="169">
        <v>0</v>
      </c>
      <c r="E260" s="231"/>
      <c r="F260" s="231"/>
      <c r="G260" s="231"/>
      <c r="H260" s="232">
        <f t="shared" si="212"/>
        <v>0</v>
      </c>
      <c r="I260" s="231">
        <v>0</v>
      </c>
      <c r="J260" s="231"/>
      <c r="K260" s="231"/>
      <c r="L260" s="231"/>
      <c r="M260" s="232">
        <f t="shared" si="213"/>
        <v>0</v>
      </c>
      <c r="N260" s="231">
        <v>0</v>
      </c>
      <c r="O260" s="231"/>
      <c r="P260" s="231"/>
      <c r="Q260" s="231"/>
      <c r="R260" s="232">
        <f t="shared" si="214"/>
        <v>0</v>
      </c>
    </row>
    <row r="261" spans="1:18" s="29" customFormat="1" ht="12">
      <c r="A261" s="271"/>
      <c r="B261" s="272"/>
      <c r="C261" s="253"/>
      <c r="D261" s="254"/>
      <c r="E261" s="253"/>
      <c r="F261" s="253"/>
      <c r="G261" s="253"/>
      <c r="H261" s="232"/>
      <c r="I261" s="254"/>
      <c r="J261" s="253"/>
      <c r="K261" s="253"/>
      <c r="L261" s="253"/>
      <c r="M261" s="232"/>
      <c r="N261" s="254"/>
      <c r="O261" s="253"/>
      <c r="P261" s="253"/>
      <c r="Q261" s="253"/>
      <c r="R261" s="232"/>
    </row>
    <row r="262" spans="1:18" s="3" customFormat="1" ht="12">
      <c r="A262" s="33"/>
      <c r="B262" s="164"/>
      <c r="C262" s="165"/>
      <c r="D262" s="163"/>
      <c r="E262" s="165"/>
      <c r="F262" s="163"/>
      <c r="G262" s="163"/>
      <c r="H262" s="163"/>
      <c r="I262" s="163"/>
      <c r="J262" s="165"/>
      <c r="K262" s="163"/>
      <c r="L262" s="163"/>
      <c r="M262" s="163"/>
      <c r="N262" s="163"/>
      <c r="O262" s="165"/>
      <c r="P262" s="163"/>
      <c r="Q262" s="163"/>
      <c r="R262" s="163"/>
    </row>
    <row r="263" spans="1:18" s="3" customFormat="1" ht="12">
      <c r="A263" s="33"/>
      <c r="B263" s="164"/>
      <c r="C263" s="165"/>
      <c r="D263" s="163"/>
      <c r="E263" s="165"/>
      <c r="F263" s="163"/>
      <c r="G263" s="163"/>
      <c r="H263" s="163"/>
      <c r="I263" s="163"/>
      <c r="J263" s="165"/>
      <c r="K263" s="163"/>
      <c r="L263" s="163"/>
      <c r="M263" s="163"/>
      <c r="N263" s="163"/>
      <c r="O263" s="165"/>
      <c r="P263" s="163"/>
      <c r="Q263" s="163"/>
      <c r="R263" s="163"/>
    </row>
    <row r="264" spans="1:18" s="3" customFormat="1" ht="13.2">
      <c r="A264" s="369" t="s">
        <v>236</v>
      </c>
      <c r="B264" s="370" t="s">
        <v>237</v>
      </c>
      <c r="C264" s="165"/>
      <c r="D264" s="163"/>
      <c r="E264" s="165"/>
      <c r="F264" s="163"/>
      <c r="G264" s="163"/>
      <c r="H264" s="163"/>
      <c r="I264" s="163"/>
      <c r="J264" s="165"/>
      <c r="K264" s="163"/>
      <c r="L264" s="163"/>
      <c r="M264" s="163"/>
      <c r="N264" s="163"/>
      <c r="O264" s="165"/>
      <c r="P264" s="163"/>
      <c r="Q264" s="163"/>
      <c r="R264" s="163"/>
    </row>
    <row r="265" spans="1:18" s="3" customFormat="1" ht="13.2">
      <c r="A265" s="371"/>
      <c r="B265" s="372" t="s">
        <v>238</v>
      </c>
      <c r="C265" s="165"/>
      <c r="D265" s="163"/>
      <c r="E265" s="165"/>
      <c r="F265" s="163"/>
      <c r="G265" s="163"/>
      <c r="H265" s="163"/>
      <c r="I265" s="163"/>
      <c r="J265" s="165"/>
      <c r="K265" s="163"/>
      <c r="L265" s="163"/>
      <c r="M265" s="163"/>
      <c r="N265" s="163"/>
      <c r="O265" s="165"/>
      <c r="P265" s="163"/>
      <c r="Q265" s="163"/>
      <c r="R265" s="163"/>
    </row>
    <row r="266" spans="1:18" s="3" customFormat="1" ht="13.2">
      <c r="A266" s="373" t="s">
        <v>223</v>
      </c>
      <c r="B266" s="374" t="s">
        <v>239</v>
      </c>
      <c r="C266" s="165"/>
      <c r="D266" s="163"/>
      <c r="E266" s="165"/>
      <c r="F266" s="163"/>
      <c r="G266" s="163"/>
      <c r="H266" s="163"/>
      <c r="I266" s="163"/>
      <c r="J266" s="165"/>
      <c r="K266" s="163"/>
      <c r="L266" s="163"/>
      <c r="M266" s="163"/>
      <c r="N266" s="163"/>
      <c r="O266" s="165"/>
      <c r="P266" s="163"/>
      <c r="Q266" s="163"/>
      <c r="R266" s="163"/>
    </row>
    <row r="267" spans="1:18" s="3" customFormat="1" ht="13.2">
      <c r="A267" s="375" t="s">
        <v>240</v>
      </c>
      <c r="B267" s="376" t="s">
        <v>241</v>
      </c>
      <c r="C267" s="165"/>
      <c r="D267" s="163"/>
      <c r="E267" s="165"/>
      <c r="F267" s="163"/>
      <c r="G267" s="163"/>
      <c r="H267" s="163"/>
      <c r="I267" s="163"/>
      <c r="J267" s="165"/>
      <c r="K267" s="163"/>
      <c r="L267" s="163"/>
      <c r="M267" s="163"/>
      <c r="N267" s="163"/>
      <c r="O267" s="165"/>
      <c r="P267" s="163"/>
      <c r="Q267" s="163"/>
      <c r="R267" s="163"/>
    </row>
    <row r="268" spans="1:18" s="3" customFormat="1" ht="13.2">
      <c r="A268" s="377"/>
      <c r="B268" s="376"/>
      <c r="C268" s="165"/>
      <c r="D268" s="163"/>
      <c r="E268" s="165"/>
      <c r="F268" s="163"/>
      <c r="G268" s="163"/>
      <c r="H268" s="163"/>
      <c r="I268" s="163"/>
      <c r="J268" s="165"/>
      <c r="K268" s="163"/>
      <c r="L268" s="163"/>
      <c r="M268" s="163"/>
      <c r="N268" s="163"/>
      <c r="O268" s="165"/>
      <c r="P268" s="163"/>
      <c r="Q268" s="163"/>
      <c r="R268" s="163"/>
    </row>
    <row r="269" spans="1:18" s="3" customFormat="1" ht="13.2">
      <c r="A269" s="378" t="s">
        <v>224</v>
      </c>
      <c r="B269" s="374" t="s">
        <v>242</v>
      </c>
      <c r="C269" s="165"/>
      <c r="D269" s="163"/>
      <c r="E269" s="165"/>
      <c r="F269" s="163"/>
      <c r="G269" s="163"/>
      <c r="H269" s="163"/>
      <c r="I269" s="163"/>
      <c r="J269" s="165"/>
      <c r="K269" s="163"/>
      <c r="L269" s="163"/>
      <c r="M269" s="163"/>
      <c r="N269" s="163"/>
      <c r="O269" s="165"/>
      <c r="P269" s="163"/>
      <c r="Q269" s="163"/>
      <c r="R269" s="163"/>
    </row>
    <row r="270" spans="1:18" s="3" customFormat="1" ht="26.4">
      <c r="A270" s="375" t="s">
        <v>243</v>
      </c>
      <c r="B270" s="594" t="s">
        <v>1011</v>
      </c>
      <c r="C270" s="165"/>
      <c r="D270" s="163"/>
      <c r="E270" s="165"/>
      <c r="F270" s="163"/>
      <c r="G270" s="165">
        <v>1403499</v>
      </c>
      <c r="H270" s="163"/>
      <c r="I270" s="163"/>
      <c r="J270" s="165"/>
      <c r="K270" s="163"/>
      <c r="L270" s="165">
        <v>1403499</v>
      </c>
      <c r="M270" s="163"/>
      <c r="N270" s="163"/>
      <c r="O270" s="165"/>
      <c r="P270" s="163"/>
      <c r="Q270" s="165">
        <v>1403499</v>
      </c>
      <c r="R270" s="163"/>
    </row>
    <row r="271" spans="1:18" s="3" customFormat="1" ht="39.6">
      <c r="A271" s="375" t="s">
        <v>250</v>
      </c>
      <c r="B271" s="594" t="s">
        <v>1012</v>
      </c>
      <c r="C271" s="165"/>
      <c r="D271" s="163"/>
      <c r="E271" s="165"/>
      <c r="F271" s="163"/>
      <c r="G271" s="165">
        <v>3280000</v>
      </c>
      <c r="H271" s="163"/>
      <c r="I271" s="163"/>
      <c r="J271" s="165"/>
      <c r="K271" s="163"/>
      <c r="L271" s="165">
        <v>9840000</v>
      </c>
      <c r="M271" s="163"/>
      <c r="N271" s="163"/>
      <c r="O271" s="165"/>
      <c r="P271" s="163"/>
      <c r="Q271" s="165">
        <v>9840000</v>
      </c>
      <c r="R271" s="163"/>
    </row>
    <row r="272" spans="1:18" s="3" customFormat="1" ht="26.4">
      <c r="A272" s="375" t="s">
        <v>257</v>
      </c>
      <c r="B272" s="376" t="s">
        <v>947</v>
      </c>
      <c r="C272" s="165"/>
      <c r="D272" s="163"/>
      <c r="E272" s="165"/>
      <c r="F272" s="163"/>
      <c r="G272" s="165">
        <v>491396</v>
      </c>
      <c r="H272" s="165"/>
      <c r="I272" s="165"/>
      <c r="J272" s="165"/>
      <c r="K272" s="165"/>
      <c r="L272" s="165">
        <v>491396</v>
      </c>
      <c r="M272" s="165"/>
      <c r="N272" s="165"/>
      <c r="O272" s="165"/>
      <c r="P272" s="165"/>
      <c r="Q272" s="165">
        <v>491396</v>
      </c>
      <c r="R272" s="163"/>
    </row>
    <row r="273" spans="1:18" s="3" customFormat="1" ht="13.2">
      <c r="A273" s="377"/>
      <c r="B273" s="376"/>
      <c r="C273" s="165"/>
      <c r="D273" s="163"/>
      <c r="E273" s="165"/>
      <c r="F273" s="163"/>
      <c r="G273" s="163"/>
      <c r="H273" s="163"/>
      <c r="I273" s="163"/>
      <c r="J273" s="165"/>
      <c r="K273" s="163"/>
      <c r="L273" s="163"/>
      <c r="M273" s="163"/>
      <c r="N273" s="163"/>
      <c r="O273" s="165"/>
      <c r="P273" s="163"/>
      <c r="Q273" s="163"/>
      <c r="R273" s="163"/>
    </row>
    <row r="274" spans="1:18" s="3" customFormat="1" ht="13.2">
      <c r="A274" s="369" t="s">
        <v>245</v>
      </c>
      <c r="B274" s="370" t="s">
        <v>140</v>
      </c>
      <c r="C274" s="165"/>
      <c r="D274" s="163"/>
      <c r="E274" s="165"/>
      <c r="F274" s="163"/>
      <c r="G274" s="163"/>
      <c r="H274" s="163"/>
      <c r="I274" s="163"/>
      <c r="J274" s="165"/>
      <c r="K274" s="163"/>
      <c r="L274" s="163"/>
      <c r="M274" s="163"/>
      <c r="N274" s="163"/>
      <c r="O274" s="165"/>
      <c r="P274" s="163"/>
      <c r="Q274" s="163"/>
      <c r="R274" s="163"/>
    </row>
    <row r="275" spans="1:18" s="3" customFormat="1" ht="13.2">
      <c r="A275" s="371"/>
      <c r="B275" s="372" t="s">
        <v>238</v>
      </c>
      <c r="C275" s="165"/>
      <c r="D275" s="163"/>
      <c r="E275" s="165"/>
      <c r="F275" s="163"/>
      <c r="G275" s="163"/>
      <c r="H275" s="163"/>
      <c r="I275" s="163"/>
      <c r="J275" s="165"/>
      <c r="K275" s="163"/>
      <c r="L275" s="163"/>
      <c r="M275" s="163"/>
      <c r="N275" s="163"/>
      <c r="O275" s="165"/>
      <c r="P275" s="163"/>
      <c r="Q275" s="163"/>
      <c r="R275" s="163"/>
    </row>
    <row r="276" spans="1:18" s="3" customFormat="1" ht="13.2">
      <c r="A276" s="373" t="s">
        <v>223</v>
      </c>
      <c r="B276" s="374" t="s">
        <v>239</v>
      </c>
      <c r="C276" s="165"/>
      <c r="D276" s="163"/>
      <c r="E276" s="165"/>
      <c r="F276" s="163"/>
      <c r="G276" s="163"/>
      <c r="H276" s="163"/>
      <c r="I276" s="163"/>
      <c r="J276" s="165"/>
      <c r="K276" s="163"/>
      <c r="L276" s="163"/>
      <c r="M276" s="163"/>
      <c r="N276" s="163"/>
      <c r="O276" s="165"/>
      <c r="P276" s="163"/>
      <c r="Q276" s="163"/>
      <c r="R276" s="163"/>
    </row>
    <row r="277" spans="1:18" s="3" customFormat="1" ht="13.2">
      <c r="A277" s="375" t="s">
        <v>240</v>
      </c>
      <c r="B277" s="376" t="s">
        <v>241</v>
      </c>
      <c r="C277" s="165"/>
      <c r="D277" s="163"/>
      <c r="E277" s="165"/>
      <c r="F277" s="163"/>
      <c r="G277" s="163"/>
      <c r="H277" s="163"/>
      <c r="I277" s="163"/>
      <c r="J277" s="165"/>
      <c r="K277" s="163"/>
      <c r="L277" s="163"/>
      <c r="M277" s="163"/>
      <c r="N277" s="163"/>
      <c r="O277" s="165"/>
      <c r="P277" s="163"/>
      <c r="Q277" s="163"/>
      <c r="R277" s="163"/>
    </row>
    <row r="278" spans="1:18" s="3" customFormat="1" ht="13.2">
      <c r="A278" s="377"/>
      <c r="B278" s="376"/>
      <c r="C278" s="165"/>
      <c r="D278" s="163"/>
      <c r="E278" s="165"/>
      <c r="F278" s="163"/>
      <c r="G278" s="163"/>
      <c r="H278" s="163"/>
      <c r="I278" s="163"/>
      <c r="J278" s="165"/>
      <c r="K278" s="163"/>
      <c r="L278" s="163"/>
      <c r="M278" s="163"/>
      <c r="N278" s="163"/>
      <c r="O278" s="165"/>
      <c r="P278" s="163"/>
      <c r="Q278" s="163"/>
      <c r="R278" s="163"/>
    </row>
    <row r="279" spans="1:18" s="3" customFormat="1" ht="13.2">
      <c r="A279" s="378" t="s">
        <v>224</v>
      </c>
      <c r="B279" s="374" t="s">
        <v>242</v>
      </c>
      <c r="C279" s="165"/>
      <c r="D279" s="163"/>
      <c r="E279" s="165"/>
      <c r="F279" s="163"/>
      <c r="G279" s="163"/>
      <c r="H279" s="163"/>
      <c r="I279" s="163"/>
      <c r="J279" s="165"/>
      <c r="K279" s="163"/>
      <c r="L279" s="163"/>
      <c r="M279" s="163"/>
      <c r="N279" s="163"/>
      <c r="O279" s="165"/>
      <c r="P279" s="163"/>
      <c r="Q279" s="163"/>
      <c r="R279" s="163"/>
    </row>
    <row r="280" spans="1:18" s="3" customFormat="1" ht="13.2">
      <c r="A280" s="375" t="s">
        <v>243</v>
      </c>
      <c r="B280" s="376" t="s">
        <v>244</v>
      </c>
      <c r="C280" s="165"/>
      <c r="D280" s="163"/>
      <c r="E280" s="165"/>
      <c r="F280" s="163"/>
      <c r="G280" s="163"/>
      <c r="H280" s="163"/>
      <c r="I280" s="163"/>
      <c r="J280" s="165"/>
      <c r="K280" s="163"/>
      <c r="L280" s="163"/>
      <c r="M280" s="163"/>
      <c r="N280" s="163"/>
      <c r="O280" s="165"/>
      <c r="P280" s="163"/>
      <c r="Q280" s="163"/>
      <c r="R280" s="163"/>
    </row>
    <row r="281" spans="1:18" s="3" customFormat="1" ht="12">
      <c r="A281" s="33"/>
      <c r="B281" s="34"/>
      <c r="C281" s="165"/>
      <c r="D281" s="163"/>
      <c r="E281" s="165"/>
      <c r="F281" s="163"/>
      <c r="G281" s="163"/>
      <c r="H281" s="163"/>
      <c r="I281" s="163"/>
      <c r="J281" s="165"/>
      <c r="K281" s="163"/>
      <c r="L281" s="163"/>
      <c r="M281" s="163"/>
      <c r="N281" s="163"/>
      <c r="O281" s="165"/>
      <c r="P281" s="163"/>
      <c r="Q281" s="163"/>
      <c r="R281" s="163"/>
    </row>
    <row r="282" spans="1:18" ht="12">
      <c r="A282" s="33"/>
      <c r="B282" s="34"/>
      <c r="C282" s="165"/>
      <c r="D282" s="163"/>
      <c r="E282" s="165"/>
      <c r="F282" s="163"/>
      <c r="G282" s="163"/>
      <c r="H282" s="163"/>
      <c r="I282" s="163"/>
      <c r="J282" s="165"/>
      <c r="K282" s="163"/>
      <c r="L282" s="163"/>
      <c r="M282" s="163"/>
      <c r="N282" s="163"/>
      <c r="O282" s="165"/>
      <c r="P282" s="163"/>
      <c r="Q282" s="163"/>
      <c r="R282" s="163"/>
    </row>
    <row r="283" spans="1:18" ht="12">
      <c r="A283" s="33"/>
      <c r="B283" s="31"/>
      <c r="C283" s="165"/>
      <c r="D283" s="163"/>
      <c r="E283" s="165"/>
      <c r="F283" s="163"/>
      <c r="G283" s="163"/>
      <c r="H283" s="163"/>
      <c r="I283" s="163"/>
      <c r="J283" s="165"/>
      <c r="K283" s="163"/>
      <c r="L283" s="163"/>
      <c r="M283" s="163"/>
      <c r="N283" s="163"/>
      <c r="O283" s="165"/>
      <c r="P283" s="163"/>
      <c r="Q283" s="163"/>
      <c r="R283" s="163"/>
    </row>
    <row r="284" spans="1:18" ht="12">
      <c r="A284" s="33"/>
      <c r="B284" s="34"/>
      <c r="C284" s="35"/>
      <c r="D284" s="33"/>
      <c r="E284" s="165"/>
      <c r="F284" s="163"/>
      <c r="G284" s="163"/>
      <c r="H284" s="163"/>
      <c r="I284" s="163"/>
      <c r="J284" s="165"/>
      <c r="K284" s="163"/>
      <c r="L284" s="163"/>
      <c r="M284" s="163"/>
      <c r="N284" s="163"/>
      <c r="O284" s="165"/>
      <c r="P284" s="163"/>
      <c r="Q284" s="163"/>
      <c r="R284" s="163"/>
    </row>
    <row r="285" spans="1:18" ht="12">
      <c r="A285" s="33"/>
      <c r="B285" s="34"/>
      <c r="C285" s="35"/>
      <c r="D285" s="33"/>
      <c r="E285" s="165"/>
      <c r="F285" s="163"/>
      <c r="G285" s="163"/>
      <c r="H285" s="163"/>
      <c r="I285" s="163"/>
      <c r="J285" s="165"/>
      <c r="K285" s="163"/>
      <c r="L285" s="163"/>
      <c r="M285" s="163"/>
      <c r="N285" s="163"/>
      <c r="O285" s="165"/>
      <c r="P285" s="163"/>
      <c r="Q285" s="163"/>
      <c r="R285" s="163"/>
    </row>
    <row r="286" spans="1:18" ht="12">
      <c r="A286" s="33"/>
      <c r="B286" s="34"/>
      <c r="C286" s="35"/>
      <c r="D286" s="33"/>
      <c r="E286" s="165"/>
      <c r="F286" s="163"/>
      <c r="G286" s="163"/>
      <c r="H286" s="163"/>
      <c r="I286" s="163"/>
      <c r="J286" s="165"/>
      <c r="K286" s="163"/>
      <c r="L286" s="163"/>
      <c r="M286" s="163"/>
      <c r="N286" s="163"/>
      <c r="O286" s="165"/>
      <c r="P286" s="163"/>
      <c r="Q286" s="163"/>
      <c r="R286" s="163"/>
    </row>
    <row r="287" spans="1:18" ht="12">
      <c r="A287" s="33"/>
      <c r="B287" s="34"/>
      <c r="C287" s="35"/>
      <c r="D287" s="33"/>
      <c r="E287" s="165"/>
      <c r="F287" s="163"/>
      <c r="G287" s="163"/>
      <c r="H287" s="163"/>
      <c r="I287" s="163"/>
      <c r="J287" s="165"/>
      <c r="K287" s="163"/>
      <c r="L287" s="163"/>
      <c r="M287" s="163"/>
      <c r="N287" s="163"/>
      <c r="O287" s="165"/>
      <c r="P287" s="163"/>
      <c r="Q287" s="163"/>
      <c r="R287" s="163"/>
    </row>
    <row r="288" spans="1:18" ht="12">
      <c r="A288" s="33"/>
      <c r="B288" s="34"/>
      <c r="C288" s="35"/>
      <c r="D288" s="33"/>
      <c r="E288" s="165"/>
      <c r="F288" s="163"/>
      <c r="G288" s="163"/>
      <c r="H288" s="163"/>
      <c r="I288" s="163"/>
      <c r="J288" s="165"/>
      <c r="K288" s="163"/>
      <c r="L288" s="163"/>
      <c r="M288" s="163"/>
      <c r="N288" s="163"/>
      <c r="O288" s="165"/>
      <c r="P288" s="163"/>
      <c r="Q288" s="163"/>
      <c r="R288" s="163"/>
    </row>
    <row r="289" spans="1:18" ht="12">
      <c r="A289" s="33"/>
      <c r="B289" s="34"/>
      <c r="C289" s="35"/>
      <c r="D289" s="33"/>
      <c r="E289" s="165"/>
      <c r="F289" s="163"/>
      <c r="G289" s="163"/>
      <c r="H289" s="163"/>
      <c r="I289" s="163"/>
      <c r="J289" s="165"/>
      <c r="K289" s="163"/>
      <c r="L289" s="163"/>
      <c r="M289" s="163"/>
      <c r="N289" s="163"/>
      <c r="O289" s="165"/>
      <c r="P289" s="163"/>
      <c r="Q289" s="163"/>
      <c r="R289" s="163"/>
    </row>
    <row r="290" spans="1:18" ht="12">
      <c r="A290" s="33"/>
      <c r="B290" s="34"/>
      <c r="C290" s="35"/>
      <c r="D290" s="33"/>
      <c r="E290" s="165"/>
      <c r="F290" s="163"/>
      <c r="G290" s="163"/>
      <c r="H290" s="163"/>
      <c r="I290" s="163"/>
      <c r="J290" s="165"/>
      <c r="K290" s="163"/>
      <c r="L290" s="163"/>
      <c r="M290" s="163"/>
      <c r="N290" s="163"/>
      <c r="O290" s="165"/>
      <c r="P290" s="163"/>
      <c r="Q290" s="163"/>
      <c r="R290" s="163"/>
    </row>
    <row r="291" spans="1:18" ht="12">
      <c r="A291" s="33"/>
      <c r="B291" s="34"/>
      <c r="C291" s="35"/>
      <c r="D291" s="33"/>
      <c r="E291" s="165"/>
      <c r="F291" s="163"/>
      <c r="G291" s="163"/>
      <c r="H291" s="163"/>
      <c r="I291" s="163"/>
      <c r="J291" s="165"/>
      <c r="K291" s="163"/>
      <c r="L291" s="163"/>
      <c r="M291" s="163"/>
      <c r="N291" s="163"/>
      <c r="O291" s="165"/>
      <c r="P291" s="163"/>
      <c r="Q291" s="163"/>
      <c r="R291" s="163"/>
    </row>
    <row r="292" spans="1:18" ht="12">
      <c r="A292" s="33"/>
      <c r="B292" s="34"/>
      <c r="C292" s="35"/>
      <c r="D292" s="33"/>
      <c r="E292" s="165"/>
      <c r="F292" s="163"/>
      <c r="G292" s="163"/>
      <c r="H292" s="163"/>
      <c r="I292" s="163"/>
      <c r="J292" s="165"/>
      <c r="K292" s="163"/>
      <c r="L292" s="163"/>
      <c r="M292" s="163"/>
      <c r="N292" s="163"/>
      <c r="O292" s="165"/>
      <c r="P292" s="163"/>
      <c r="Q292" s="163"/>
      <c r="R292" s="163"/>
    </row>
    <row r="293" spans="1:18" ht="12">
      <c r="A293" s="33"/>
      <c r="B293" s="34"/>
      <c r="C293" s="35"/>
      <c r="D293" s="33"/>
      <c r="E293" s="165"/>
      <c r="F293" s="163"/>
      <c r="G293" s="163"/>
      <c r="H293" s="163"/>
      <c r="I293" s="163"/>
      <c r="J293" s="165"/>
      <c r="K293" s="163"/>
      <c r="L293" s="163"/>
      <c r="M293" s="163"/>
      <c r="N293" s="163"/>
      <c r="O293" s="165"/>
      <c r="P293" s="163"/>
      <c r="Q293" s="163"/>
      <c r="R293" s="163"/>
    </row>
    <row r="294" spans="1:18" ht="12">
      <c r="A294" s="33"/>
      <c r="B294" s="34"/>
      <c r="C294" s="35"/>
      <c r="D294" s="33"/>
      <c r="E294" s="165"/>
      <c r="F294" s="163"/>
      <c r="G294" s="163"/>
      <c r="H294" s="163"/>
      <c r="I294" s="163"/>
      <c r="J294" s="165"/>
      <c r="K294" s="163"/>
      <c r="L294" s="163"/>
      <c r="M294" s="163"/>
      <c r="N294" s="163"/>
      <c r="O294" s="165"/>
      <c r="P294" s="163"/>
      <c r="Q294" s="163"/>
      <c r="R294" s="163"/>
    </row>
    <row r="295" spans="1:18" ht="12">
      <c r="A295" s="33"/>
      <c r="B295" s="34"/>
      <c r="C295" s="35"/>
      <c r="D295" s="33"/>
      <c r="E295" s="165"/>
      <c r="F295" s="163"/>
      <c r="G295" s="163"/>
      <c r="H295" s="163"/>
      <c r="I295" s="163"/>
      <c r="J295" s="165"/>
      <c r="K295" s="163"/>
      <c r="L295" s="163"/>
      <c r="M295" s="163"/>
      <c r="N295" s="163"/>
      <c r="O295" s="165"/>
      <c r="P295" s="163"/>
      <c r="Q295" s="163"/>
      <c r="R295" s="163"/>
    </row>
    <row r="296" spans="1:18" ht="12">
      <c r="A296" s="33"/>
      <c r="B296" s="34"/>
      <c r="C296" s="35"/>
      <c r="D296" s="33"/>
      <c r="E296" s="165"/>
      <c r="F296" s="163"/>
      <c r="G296" s="163"/>
      <c r="H296" s="163"/>
      <c r="I296" s="163"/>
      <c r="J296" s="165"/>
      <c r="K296" s="163"/>
      <c r="L296" s="163"/>
      <c r="M296" s="163"/>
      <c r="N296" s="163"/>
      <c r="O296" s="165"/>
      <c r="P296" s="163"/>
      <c r="Q296" s="163"/>
      <c r="R296" s="163"/>
    </row>
    <row r="297" spans="1:18" ht="12">
      <c r="A297" s="33"/>
      <c r="B297" s="34"/>
      <c r="C297" s="35"/>
      <c r="D297" s="33"/>
      <c r="E297" s="165"/>
      <c r="F297" s="163"/>
      <c r="G297" s="163"/>
      <c r="H297" s="163"/>
      <c r="I297" s="163"/>
      <c r="J297" s="165"/>
      <c r="K297" s="163"/>
      <c r="L297" s="163"/>
      <c r="M297" s="163"/>
      <c r="N297" s="163"/>
      <c r="O297" s="165"/>
      <c r="P297" s="163"/>
      <c r="Q297" s="163"/>
      <c r="R297" s="163"/>
    </row>
    <row r="298" spans="1:18" ht="12">
      <c r="A298" s="33"/>
      <c r="B298" s="34"/>
      <c r="C298" s="35"/>
      <c r="D298" s="33"/>
      <c r="E298" s="165"/>
      <c r="F298" s="163"/>
      <c r="G298" s="163"/>
      <c r="H298" s="163"/>
      <c r="I298" s="163"/>
      <c r="J298" s="165"/>
      <c r="K298" s="163"/>
      <c r="L298" s="163"/>
      <c r="M298" s="163"/>
      <c r="N298" s="163"/>
      <c r="O298" s="165"/>
      <c r="P298" s="163"/>
      <c r="Q298" s="163"/>
      <c r="R298" s="163"/>
    </row>
    <row r="299" spans="1:18" ht="12">
      <c r="A299" s="33"/>
      <c r="B299" s="34"/>
      <c r="C299" s="35"/>
      <c r="D299" s="33"/>
      <c r="E299" s="165"/>
      <c r="F299" s="163"/>
      <c r="G299" s="163"/>
      <c r="H299" s="163"/>
      <c r="I299" s="163"/>
      <c r="J299" s="165"/>
      <c r="K299" s="163"/>
      <c r="L299" s="163"/>
      <c r="M299" s="163"/>
      <c r="N299" s="163"/>
      <c r="O299" s="165"/>
      <c r="P299" s="163"/>
      <c r="Q299" s="163"/>
      <c r="R299" s="163"/>
    </row>
    <row r="300" spans="1:18" ht="12">
      <c r="A300" s="33"/>
      <c r="B300" s="34"/>
      <c r="C300" s="35"/>
      <c r="D300" s="33"/>
      <c r="E300" s="165"/>
      <c r="F300" s="163"/>
      <c r="G300" s="163"/>
      <c r="H300" s="163"/>
      <c r="I300" s="163"/>
      <c r="J300" s="165"/>
      <c r="K300" s="163"/>
      <c r="L300" s="163"/>
      <c r="M300" s="163"/>
      <c r="N300" s="163"/>
      <c r="O300" s="165"/>
      <c r="P300" s="163"/>
      <c r="Q300" s="163"/>
      <c r="R300" s="163"/>
    </row>
    <row r="301" spans="1:18" ht="12">
      <c r="A301" s="33"/>
      <c r="B301" s="34"/>
      <c r="C301" s="35"/>
      <c r="D301" s="33"/>
      <c r="E301" s="165"/>
      <c r="F301" s="163"/>
      <c r="G301" s="163"/>
      <c r="H301" s="163"/>
      <c r="I301" s="163"/>
      <c r="J301" s="165"/>
      <c r="K301" s="163"/>
      <c r="L301" s="163"/>
      <c r="M301" s="163"/>
      <c r="N301" s="163"/>
      <c r="O301" s="165"/>
      <c r="P301" s="163"/>
      <c r="Q301" s="163"/>
      <c r="R301" s="163"/>
    </row>
    <row r="302" spans="1:18" ht="12">
      <c r="A302" s="33"/>
      <c r="B302" s="34"/>
      <c r="C302" s="35"/>
      <c r="D302" s="33"/>
      <c r="E302" s="165"/>
      <c r="F302" s="163"/>
      <c r="G302" s="163"/>
      <c r="H302" s="163"/>
      <c r="I302" s="163"/>
      <c r="J302" s="165"/>
      <c r="K302" s="163"/>
      <c r="L302" s="163"/>
      <c r="M302" s="163"/>
      <c r="N302" s="163"/>
      <c r="O302" s="165"/>
      <c r="P302" s="163"/>
      <c r="Q302" s="163"/>
      <c r="R302" s="163"/>
    </row>
    <row r="303" spans="1:18" ht="12">
      <c r="A303" s="33"/>
      <c r="B303" s="34"/>
      <c r="C303" s="35"/>
      <c r="D303" s="33"/>
      <c r="E303" s="165"/>
      <c r="F303" s="163"/>
      <c r="G303" s="163"/>
      <c r="H303" s="163"/>
      <c r="I303" s="163"/>
      <c r="J303" s="165"/>
      <c r="K303" s="163"/>
      <c r="L303" s="163"/>
      <c r="M303" s="163"/>
      <c r="N303" s="163"/>
      <c r="O303" s="165"/>
      <c r="P303" s="163"/>
      <c r="Q303" s="163"/>
      <c r="R303" s="163"/>
    </row>
    <row r="304" spans="1:18" ht="12">
      <c r="A304" s="33"/>
      <c r="B304" s="34"/>
      <c r="C304" s="35"/>
      <c r="D304" s="33"/>
      <c r="E304" s="165"/>
      <c r="F304" s="163"/>
      <c r="G304" s="163"/>
      <c r="H304" s="163"/>
      <c r="I304" s="163"/>
      <c r="J304" s="165"/>
      <c r="K304" s="163"/>
      <c r="L304" s="163"/>
      <c r="M304" s="163"/>
      <c r="N304" s="163"/>
      <c r="O304" s="165"/>
      <c r="P304" s="163"/>
      <c r="Q304" s="163"/>
      <c r="R304" s="163"/>
    </row>
    <row r="305" spans="1:18" ht="12">
      <c r="A305" s="33"/>
      <c r="B305" s="34"/>
      <c r="C305" s="35"/>
      <c r="D305" s="33"/>
      <c r="E305" s="165"/>
      <c r="F305" s="163"/>
      <c r="G305" s="163"/>
      <c r="H305" s="163"/>
      <c r="I305" s="163"/>
      <c r="J305" s="165"/>
      <c r="K305" s="163"/>
      <c r="L305" s="163"/>
      <c r="M305" s="163"/>
      <c r="N305" s="163"/>
      <c r="O305" s="165"/>
      <c r="P305" s="163"/>
      <c r="Q305" s="163"/>
      <c r="R305" s="163"/>
    </row>
    <row r="306" spans="1:18" ht="12">
      <c r="A306" s="33"/>
      <c r="B306" s="34"/>
      <c r="C306" s="35"/>
      <c r="D306" s="33"/>
      <c r="E306" s="165"/>
      <c r="F306" s="163"/>
      <c r="G306" s="163"/>
      <c r="H306" s="163"/>
      <c r="I306" s="163"/>
      <c r="J306" s="165"/>
      <c r="K306" s="163"/>
      <c r="L306" s="163"/>
      <c r="M306" s="163"/>
      <c r="N306" s="163"/>
      <c r="O306" s="165"/>
      <c r="P306" s="163"/>
      <c r="Q306" s="163"/>
      <c r="R306" s="163"/>
    </row>
    <row r="307" spans="1:18" ht="12">
      <c r="A307" s="33"/>
      <c r="B307" s="34"/>
      <c r="C307" s="35"/>
      <c r="D307" s="33"/>
      <c r="E307" s="165"/>
      <c r="F307" s="163"/>
      <c r="G307" s="163"/>
      <c r="H307" s="163"/>
      <c r="I307" s="163"/>
      <c r="J307" s="165"/>
      <c r="K307" s="163"/>
      <c r="L307" s="163"/>
      <c r="M307" s="163"/>
      <c r="N307" s="163"/>
      <c r="O307" s="165"/>
      <c r="P307" s="163"/>
      <c r="Q307" s="163"/>
      <c r="R307" s="163"/>
    </row>
    <row r="308" spans="1:18" ht="12">
      <c r="A308" s="33"/>
      <c r="B308" s="34"/>
      <c r="C308" s="35"/>
      <c r="D308" s="33"/>
      <c r="E308" s="165"/>
      <c r="F308" s="163"/>
      <c r="G308" s="163"/>
      <c r="H308" s="163"/>
      <c r="I308" s="163"/>
      <c r="J308" s="165"/>
      <c r="K308" s="163"/>
      <c r="L308" s="163"/>
      <c r="M308" s="163"/>
      <c r="N308" s="163"/>
      <c r="O308" s="165"/>
      <c r="P308" s="163"/>
      <c r="Q308" s="163"/>
      <c r="R308" s="163"/>
    </row>
    <row r="309" spans="1:18" ht="12">
      <c r="A309" s="33"/>
      <c r="B309" s="34"/>
      <c r="C309" s="35"/>
      <c r="D309" s="33"/>
      <c r="E309" s="165"/>
      <c r="F309" s="163"/>
      <c r="G309" s="163"/>
      <c r="H309" s="163"/>
      <c r="I309" s="163"/>
      <c r="J309" s="165"/>
      <c r="K309" s="163"/>
      <c r="L309" s="163"/>
      <c r="M309" s="163"/>
      <c r="N309" s="163"/>
      <c r="O309" s="165"/>
      <c r="P309" s="163"/>
      <c r="Q309" s="163"/>
      <c r="R309" s="163"/>
    </row>
    <row r="310" spans="1:18" ht="12">
      <c r="A310" s="33"/>
      <c r="B310" s="34"/>
      <c r="C310" s="35"/>
      <c r="D310" s="33"/>
      <c r="E310" s="165"/>
      <c r="F310" s="163"/>
      <c r="G310" s="163"/>
      <c r="H310" s="163"/>
      <c r="I310" s="163"/>
      <c r="J310" s="165"/>
      <c r="K310" s="163"/>
      <c r="L310" s="163"/>
      <c r="M310" s="163"/>
      <c r="N310" s="163"/>
      <c r="O310" s="165"/>
      <c r="P310" s="163"/>
      <c r="Q310" s="163"/>
      <c r="R310" s="163"/>
    </row>
    <row r="311" spans="1:18" ht="12">
      <c r="A311" s="33"/>
      <c r="B311" s="34"/>
      <c r="C311" s="35"/>
      <c r="D311" s="33"/>
      <c r="E311" s="165"/>
      <c r="F311" s="163"/>
      <c r="G311" s="163"/>
      <c r="H311" s="163"/>
      <c r="I311" s="163"/>
      <c r="J311" s="165"/>
      <c r="K311" s="163"/>
      <c r="L311" s="163"/>
      <c r="M311" s="163"/>
      <c r="N311" s="163"/>
      <c r="O311" s="165"/>
      <c r="P311" s="163"/>
      <c r="Q311" s="163"/>
      <c r="R311" s="163"/>
    </row>
    <row r="312" spans="1:18" ht="12">
      <c r="A312" s="33"/>
      <c r="B312" s="34"/>
      <c r="C312" s="35"/>
      <c r="D312" s="33"/>
      <c r="E312" s="165"/>
      <c r="F312" s="163"/>
      <c r="G312" s="163"/>
      <c r="H312" s="163"/>
      <c r="I312" s="163"/>
      <c r="J312" s="165"/>
      <c r="K312" s="163"/>
      <c r="L312" s="163"/>
      <c r="M312" s="163"/>
      <c r="N312" s="163"/>
      <c r="O312" s="165"/>
      <c r="P312" s="163"/>
      <c r="Q312" s="163"/>
      <c r="R312" s="163"/>
    </row>
    <row r="313" spans="1:18" ht="12">
      <c r="A313" s="33"/>
      <c r="B313" s="34"/>
      <c r="C313" s="35"/>
      <c r="D313" s="33"/>
      <c r="E313" s="165"/>
      <c r="F313" s="163"/>
      <c r="G313" s="163"/>
      <c r="H313" s="163"/>
      <c r="I313" s="163"/>
      <c r="J313" s="165"/>
      <c r="K313" s="163"/>
      <c r="L313" s="163"/>
      <c r="M313" s="163"/>
      <c r="N313" s="163"/>
      <c r="O313" s="165"/>
      <c r="P313" s="163"/>
      <c r="Q313" s="163"/>
      <c r="R313" s="163"/>
    </row>
    <row r="314" spans="1:18" ht="12">
      <c r="A314" s="33"/>
      <c r="B314" s="34"/>
      <c r="C314" s="35"/>
      <c r="D314" s="33"/>
      <c r="E314" s="165"/>
      <c r="F314" s="163"/>
      <c r="G314" s="163"/>
      <c r="H314" s="163"/>
      <c r="I314" s="163"/>
      <c r="J314" s="165"/>
      <c r="K314" s="163"/>
      <c r="L314" s="163"/>
      <c r="M314" s="163"/>
      <c r="N314" s="163"/>
      <c r="O314" s="165"/>
      <c r="P314" s="163"/>
      <c r="Q314" s="163"/>
      <c r="R314" s="163"/>
    </row>
    <row r="315" spans="1:18" ht="12">
      <c r="A315" s="33"/>
      <c r="B315" s="34"/>
      <c r="C315" s="35"/>
      <c r="D315" s="33"/>
      <c r="E315" s="165"/>
      <c r="F315" s="163"/>
      <c r="G315" s="163"/>
      <c r="H315" s="163"/>
      <c r="I315" s="163"/>
      <c r="J315" s="165"/>
      <c r="K315" s="163"/>
      <c r="L315" s="163"/>
      <c r="M315" s="163"/>
      <c r="N315" s="163"/>
      <c r="O315" s="165"/>
      <c r="P315" s="163"/>
      <c r="Q315" s="163"/>
      <c r="R315" s="163"/>
    </row>
    <row r="316" spans="1:18" ht="12">
      <c r="A316" s="33"/>
      <c r="B316" s="34"/>
      <c r="C316" s="35"/>
      <c r="D316" s="33"/>
      <c r="E316" s="165"/>
      <c r="F316" s="163"/>
      <c r="G316" s="163"/>
      <c r="H316" s="163"/>
      <c r="I316" s="163"/>
      <c r="J316" s="165"/>
      <c r="K316" s="163"/>
      <c r="L316" s="163"/>
      <c r="M316" s="163"/>
      <c r="N316" s="163"/>
      <c r="O316" s="165"/>
      <c r="P316" s="163"/>
      <c r="Q316" s="163"/>
      <c r="R316" s="163"/>
    </row>
    <row r="317" spans="1:18" ht="12">
      <c r="A317" s="33"/>
      <c r="B317" s="34"/>
      <c r="C317" s="35"/>
      <c r="D317" s="33"/>
      <c r="E317" s="165"/>
      <c r="F317" s="163"/>
      <c r="G317" s="163"/>
      <c r="H317" s="163"/>
      <c r="I317" s="163"/>
      <c r="J317" s="165"/>
      <c r="K317" s="163"/>
      <c r="L317" s="163"/>
      <c r="M317" s="163"/>
      <c r="N317" s="163"/>
      <c r="O317" s="165"/>
      <c r="P317" s="163"/>
      <c r="Q317" s="163"/>
      <c r="R317" s="163"/>
    </row>
    <row r="318" spans="1:18" ht="12">
      <c r="A318" s="33"/>
      <c r="B318" s="34"/>
      <c r="C318" s="35"/>
      <c r="D318" s="33"/>
      <c r="E318" s="165"/>
      <c r="F318" s="163"/>
      <c r="G318" s="163"/>
      <c r="H318" s="163"/>
      <c r="I318" s="163"/>
      <c r="J318" s="165"/>
      <c r="K318" s="163"/>
      <c r="L318" s="163"/>
      <c r="M318" s="163"/>
      <c r="N318" s="163"/>
      <c r="O318" s="165"/>
      <c r="P318" s="163"/>
      <c r="Q318" s="163"/>
      <c r="R318" s="163"/>
    </row>
    <row r="319" spans="1:18" ht="12">
      <c r="A319" s="33"/>
      <c r="B319" s="34"/>
      <c r="C319" s="35"/>
      <c r="D319" s="33"/>
      <c r="E319" s="165"/>
      <c r="F319" s="163"/>
      <c r="G319" s="163"/>
      <c r="H319" s="163"/>
      <c r="I319" s="163"/>
      <c r="J319" s="165"/>
      <c r="K319" s="163"/>
      <c r="L319" s="163"/>
      <c r="M319" s="163"/>
      <c r="N319" s="163"/>
      <c r="O319" s="165"/>
      <c r="P319" s="163"/>
      <c r="Q319" s="163"/>
      <c r="R319" s="163"/>
    </row>
    <row r="320" spans="1:18" ht="12">
      <c r="A320" s="33"/>
      <c r="B320" s="34"/>
      <c r="C320" s="35"/>
      <c r="D320" s="33"/>
      <c r="E320" s="165"/>
      <c r="F320" s="163"/>
      <c r="G320" s="163"/>
      <c r="H320" s="163"/>
      <c r="I320" s="163"/>
      <c r="J320" s="165"/>
      <c r="K320" s="163"/>
      <c r="L320" s="163"/>
      <c r="M320" s="163"/>
      <c r="N320" s="163"/>
      <c r="O320" s="165"/>
      <c r="P320" s="163"/>
      <c r="Q320" s="163"/>
      <c r="R320" s="163"/>
    </row>
    <row r="321" spans="1:18" ht="12">
      <c r="A321" s="33"/>
      <c r="B321" s="34"/>
      <c r="C321" s="35"/>
      <c r="D321" s="33"/>
      <c r="E321" s="165"/>
      <c r="F321" s="163"/>
      <c r="G321" s="163"/>
      <c r="H321" s="163"/>
      <c r="I321" s="163"/>
      <c r="J321" s="165"/>
      <c r="K321" s="163"/>
      <c r="L321" s="163"/>
      <c r="M321" s="163"/>
      <c r="N321" s="163"/>
      <c r="O321" s="165"/>
      <c r="P321" s="163"/>
      <c r="Q321" s="163"/>
      <c r="R321" s="163"/>
    </row>
    <row r="322" spans="1:18" ht="12">
      <c r="A322" s="33"/>
      <c r="B322" s="34"/>
      <c r="C322" s="35"/>
      <c r="D322" s="33"/>
      <c r="E322" s="165"/>
      <c r="F322" s="163"/>
      <c r="G322" s="163"/>
      <c r="H322" s="163"/>
      <c r="I322" s="163"/>
      <c r="J322" s="165"/>
      <c r="K322" s="163"/>
      <c r="L322" s="163"/>
      <c r="M322" s="163"/>
      <c r="N322" s="163"/>
      <c r="O322" s="165"/>
      <c r="P322" s="163"/>
      <c r="Q322" s="163"/>
      <c r="R322" s="163"/>
    </row>
    <row r="323" spans="1:18" ht="12">
      <c r="A323" s="33"/>
      <c r="B323" s="34"/>
      <c r="C323" s="35"/>
      <c r="D323" s="33"/>
      <c r="E323" s="165"/>
      <c r="F323" s="163"/>
      <c r="G323" s="163"/>
      <c r="H323" s="163"/>
      <c r="I323" s="163"/>
      <c r="J323" s="165"/>
      <c r="K323" s="163"/>
      <c r="L323" s="163"/>
      <c r="M323" s="163"/>
      <c r="N323" s="163"/>
      <c r="O323" s="165"/>
      <c r="P323" s="163"/>
      <c r="Q323" s="163"/>
      <c r="R323" s="163"/>
    </row>
    <row r="324" spans="1:18" ht="12">
      <c r="A324" s="33"/>
      <c r="B324" s="34"/>
      <c r="C324" s="35"/>
      <c r="D324" s="33"/>
      <c r="E324" s="165"/>
      <c r="F324" s="163"/>
      <c r="G324" s="163"/>
      <c r="H324" s="163"/>
      <c r="I324" s="163"/>
      <c r="J324" s="165"/>
      <c r="K324" s="163"/>
      <c r="L324" s="163"/>
      <c r="M324" s="163"/>
      <c r="N324" s="163"/>
      <c r="O324" s="165"/>
      <c r="P324" s="163"/>
      <c r="Q324" s="163"/>
      <c r="R324" s="163"/>
    </row>
    <row r="325" spans="1:18" ht="12">
      <c r="A325" s="33"/>
      <c r="B325" s="34"/>
      <c r="C325" s="35"/>
      <c r="D325" s="33"/>
      <c r="E325" s="165"/>
      <c r="F325" s="163"/>
      <c r="G325" s="163"/>
      <c r="H325" s="163"/>
      <c r="I325" s="163"/>
      <c r="J325" s="165"/>
      <c r="K325" s="163"/>
      <c r="L325" s="163"/>
      <c r="M325" s="163"/>
      <c r="N325" s="163"/>
      <c r="O325" s="165"/>
      <c r="P325" s="163"/>
      <c r="Q325" s="163"/>
      <c r="R325" s="163"/>
    </row>
    <row r="326" spans="1:18" ht="12">
      <c r="A326" s="33"/>
      <c r="B326" s="34"/>
      <c r="C326" s="35"/>
      <c r="D326" s="33"/>
      <c r="E326" s="165"/>
      <c r="F326" s="163"/>
      <c r="G326" s="163"/>
      <c r="H326" s="163"/>
      <c r="I326" s="163"/>
      <c r="J326" s="165"/>
      <c r="K326" s="163"/>
      <c r="L326" s="163"/>
      <c r="M326" s="163"/>
      <c r="N326" s="163"/>
      <c r="O326" s="165"/>
      <c r="P326" s="163"/>
      <c r="Q326" s="163"/>
      <c r="R326" s="163"/>
    </row>
    <row r="327" spans="1:18" ht="12">
      <c r="A327" s="33"/>
      <c r="B327" s="34"/>
      <c r="C327" s="35"/>
      <c r="D327" s="33"/>
      <c r="E327" s="165"/>
      <c r="F327" s="163"/>
      <c r="G327" s="163"/>
      <c r="H327" s="163"/>
      <c r="I327" s="163"/>
      <c r="J327" s="165"/>
      <c r="K327" s="163"/>
      <c r="L327" s="163"/>
      <c r="M327" s="163"/>
      <c r="N327" s="163"/>
      <c r="O327" s="165"/>
      <c r="P327" s="163"/>
      <c r="Q327" s="163"/>
      <c r="R327" s="163"/>
    </row>
    <row r="328" spans="1:18" ht="12">
      <c r="A328" s="33"/>
      <c r="B328" s="34"/>
      <c r="C328" s="35"/>
      <c r="D328" s="33"/>
      <c r="E328" s="165"/>
      <c r="F328" s="163"/>
      <c r="G328" s="163"/>
      <c r="H328" s="163"/>
      <c r="I328" s="163"/>
      <c r="J328" s="165"/>
      <c r="K328" s="163"/>
      <c r="L328" s="163"/>
      <c r="M328" s="163"/>
      <c r="N328" s="163"/>
      <c r="O328" s="165"/>
      <c r="P328" s="163"/>
      <c r="Q328" s="163"/>
      <c r="R328" s="163"/>
    </row>
    <row r="329" spans="1:18" ht="12">
      <c r="A329" s="33"/>
      <c r="B329" s="34"/>
      <c r="C329" s="35"/>
      <c r="D329" s="33"/>
      <c r="E329" s="165"/>
      <c r="F329" s="163"/>
      <c r="G329" s="163"/>
      <c r="H329" s="163"/>
      <c r="I329" s="163"/>
      <c r="J329" s="165"/>
      <c r="K329" s="163"/>
      <c r="L329" s="163"/>
      <c r="M329" s="163"/>
      <c r="N329" s="163"/>
      <c r="O329" s="165"/>
      <c r="P329" s="163"/>
      <c r="Q329" s="163"/>
      <c r="R329" s="163"/>
    </row>
    <row r="330" spans="1:18" ht="12">
      <c r="A330" s="33"/>
      <c r="B330" s="34"/>
      <c r="C330" s="35"/>
      <c r="D330" s="33"/>
      <c r="E330" s="165"/>
      <c r="F330" s="163"/>
      <c r="G330" s="163"/>
      <c r="H330" s="163"/>
      <c r="I330" s="163"/>
      <c r="J330" s="165"/>
      <c r="K330" s="163"/>
      <c r="L330" s="163"/>
      <c r="M330" s="163"/>
      <c r="N330" s="163"/>
      <c r="O330" s="165"/>
      <c r="P330" s="163"/>
      <c r="Q330" s="163"/>
      <c r="R330" s="163"/>
    </row>
    <row r="331" spans="1:18" ht="12">
      <c r="A331" s="33"/>
      <c r="B331" s="34"/>
      <c r="C331" s="35"/>
      <c r="D331" s="33"/>
      <c r="E331" s="165"/>
      <c r="F331" s="163"/>
      <c r="G331" s="163"/>
      <c r="H331" s="163"/>
      <c r="I331" s="163"/>
      <c r="J331" s="165"/>
      <c r="K331" s="163"/>
      <c r="L331" s="163"/>
      <c r="M331" s="163"/>
      <c r="N331" s="163"/>
      <c r="O331" s="165"/>
      <c r="P331" s="163"/>
      <c r="Q331" s="163"/>
      <c r="R331" s="163"/>
    </row>
    <row r="332" spans="1:18" ht="12">
      <c r="A332" s="33"/>
      <c r="B332" s="34"/>
      <c r="C332" s="35"/>
      <c r="D332" s="33"/>
      <c r="E332" s="165"/>
      <c r="F332" s="163"/>
      <c r="G332" s="163"/>
      <c r="H332" s="163"/>
      <c r="I332" s="163"/>
      <c r="J332" s="165"/>
      <c r="K332" s="163"/>
      <c r="L332" s="163"/>
      <c r="M332" s="163"/>
      <c r="N332" s="163"/>
      <c r="O332" s="165"/>
      <c r="P332" s="163"/>
      <c r="Q332" s="163"/>
      <c r="R332" s="163"/>
    </row>
    <row r="333" spans="1:18" ht="12">
      <c r="A333" s="33"/>
      <c r="B333" s="34"/>
      <c r="C333" s="35"/>
      <c r="D333" s="33"/>
      <c r="E333" s="165"/>
      <c r="F333" s="163"/>
      <c r="G333" s="163"/>
      <c r="H333" s="163"/>
      <c r="I333" s="163"/>
      <c r="J333" s="165"/>
      <c r="K333" s="163"/>
      <c r="L333" s="163"/>
      <c r="M333" s="163"/>
      <c r="N333" s="163"/>
      <c r="O333" s="165"/>
      <c r="P333" s="163"/>
      <c r="Q333" s="163"/>
      <c r="R333" s="163"/>
    </row>
    <row r="334" spans="1:18" ht="12">
      <c r="A334" s="33"/>
      <c r="B334" s="34"/>
      <c r="C334" s="35"/>
      <c r="D334" s="33"/>
      <c r="E334" s="165"/>
      <c r="F334" s="163"/>
      <c r="G334" s="163"/>
      <c r="H334" s="163"/>
      <c r="I334" s="163"/>
      <c r="J334" s="165"/>
      <c r="K334" s="163"/>
      <c r="L334" s="163"/>
      <c r="M334" s="163"/>
      <c r="N334" s="163"/>
      <c r="O334" s="165"/>
      <c r="P334" s="163"/>
      <c r="Q334" s="163"/>
      <c r="R334" s="163"/>
    </row>
    <row r="335" spans="1:18" ht="12">
      <c r="A335" s="33"/>
      <c r="B335" s="34"/>
      <c r="C335" s="35"/>
      <c r="D335" s="33"/>
      <c r="E335" s="165"/>
      <c r="F335" s="163"/>
      <c r="G335" s="163"/>
      <c r="H335" s="163"/>
      <c r="I335" s="163"/>
      <c r="J335" s="165"/>
      <c r="K335" s="163"/>
      <c r="L335" s="163"/>
      <c r="M335" s="163"/>
      <c r="N335" s="163"/>
      <c r="O335" s="165"/>
      <c r="P335" s="163"/>
      <c r="Q335" s="163"/>
      <c r="R335" s="163"/>
    </row>
    <row r="336" spans="1:18" ht="12">
      <c r="A336" s="33"/>
      <c r="B336" s="34"/>
      <c r="C336" s="35"/>
      <c r="D336" s="33"/>
      <c r="E336" s="165"/>
      <c r="F336" s="163"/>
      <c r="G336" s="163"/>
      <c r="H336" s="163"/>
      <c r="I336" s="163"/>
      <c r="J336" s="165"/>
      <c r="K336" s="163"/>
      <c r="L336" s="163"/>
      <c r="M336" s="163"/>
      <c r="N336" s="163"/>
      <c r="O336" s="165"/>
      <c r="P336" s="163"/>
      <c r="Q336" s="163"/>
      <c r="R336" s="163"/>
    </row>
    <row r="337" spans="1:18" ht="12">
      <c r="A337" s="33"/>
      <c r="B337" s="34"/>
      <c r="C337" s="35"/>
      <c r="D337" s="33"/>
      <c r="E337" s="165"/>
      <c r="F337" s="163"/>
      <c r="G337" s="163"/>
      <c r="H337" s="163"/>
      <c r="I337" s="163"/>
      <c r="J337" s="165"/>
      <c r="K337" s="163"/>
      <c r="L337" s="163"/>
      <c r="M337" s="163"/>
      <c r="N337" s="163"/>
      <c r="O337" s="165"/>
      <c r="P337" s="163"/>
      <c r="Q337" s="163"/>
      <c r="R337" s="163"/>
    </row>
    <row r="338" spans="1:18" ht="12">
      <c r="A338" s="33"/>
      <c r="B338" s="34"/>
      <c r="C338" s="35"/>
      <c r="D338" s="33"/>
      <c r="E338" s="165"/>
      <c r="F338" s="163"/>
      <c r="G338" s="163"/>
      <c r="H338" s="163"/>
      <c r="I338" s="163"/>
      <c r="J338" s="165"/>
      <c r="K338" s="163"/>
      <c r="L338" s="163"/>
      <c r="M338" s="163"/>
      <c r="N338" s="163"/>
      <c r="O338" s="165"/>
      <c r="P338" s="163"/>
      <c r="Q338" s="163"/>
      <c r="R338" s="163"/>
    </row>
    <row r="339" spans="1:18" ht="12">
      <c r="A339" s="33"/>
      <c r="B339" s="34"/>
      <c r="C339" s="35"/>
      <c r="D339" s="33"/>
      <c r="E339" s="165"/>
      <c r="F339" s="163"/>
      <c r="G339" s="163"/>
      <c r="H339" s="163"/>
      <c r="I339" s="163"/>
      <c r="J339" s="165"/>
      <c r="K339" s="163"/>
      <c r="L339" s="163"/>
      <c r="M339" s="163"/>
      <c r="N339" s="163"/>
      <c r="O339" s="165"/>
      <c r="P339" s="163"/>
      <c r="Q339" s="163"/>
      <c r="R339" s="163"/>
    </row>
    <row r="340" spans="1:18" ht="12">
      <c r="A340" s="33"/>
      <c r="B340" s="34"/>
      <c r="C340" s="35"/>
      <c r="D340" s="33"/>
      <c r="E340" s="165"/>
      <c r="F340" s="163"/>
      <c r="G340" s="163"/>
      <c r="H340" s="163"/>
      <c r="I340" s="163"/>
      <c r="J340" s="165"/>
      <c r="K340" s="163"/>
      <c r="L340" s="163"/>
      <c r="M340" s="163"/>
      <c r="N340" s="163"/>
      <c r="O340" s="165"/>
      <c r="P340" s="163"/>
      <c r="Q340" s="163"/>
      <c r="R340" s="163"/>
    </row>
    <row r="341" spans="1:18" ht="12">
      <c r="A341" s="33"/>
      <c r="B341" s="34"/>
      <c r="C341" s="35"/>
      <c r="D341" s="33"/>
      <c r="E341" s="165"/>
      <c r="F341" s="163"/>
      <c r="G341" s="163"/>
      <c r="H341" s="163"/>
      <c r="I341" s="163"/>
      <c r="J341" s="165"/>
      <c r="K341" s="163"/>
      <c r="L341" s="163"/>
      <c r="M341" s="163"/>
      <c r="N341" s="163"/>
      <c r="O341" s="165"/>
      <c r="P341" s="163"/>
      <c r="Q341" s="163"/>
      <c r="R341" s="163"/>
    </row>
    <row r="342" spans="1:18" ht="12">
      <c r="A342" s="33"/>
      <c r="B342" s="34"/>
      <c r="C342" s="35"/>
      <c r="D342" s="33"/>
      <c r="E342" s="165"/>
      <c r="F342" s="163"/>
      <c r="G342" s="163"/>
      <c r="H342" s="163"/>
      <c r="I342" s="163"/>
      <c r="J342" s="165"/>
      <c r="K342" s="163"/>
      <c r="L342" s="163"/>
      <c r="M342" s="163"/>
      <c r="N342" s="163"/>
      <c r="O342" s="165"/>
      <c r="P342" s="163"/>
      <c r="Q342" s="163"/>
      <c r="R342" s="163"/>
    </row>
    <row r="343" spans="1:18" ht="12">
      <c r="A343" s="33"/>
      <c r="B343" s="34"/>
      <c r="C343" s="35"/>
      <c r="D343" s="33"/>
      <c r="E343" s="165"/>
      <c r="F343" s="163"/>
      <c r="G343" s="163"/>
      <c r="H343" s="163"/>
      <c r="I343" s="163"/>
      <c r="J343" s="165"/>
      <c r="K343" s="163"/>
      <c r="L343" s="163"/>
      <c r="M343" s="163"/>
      <c r="N343" s="163"/>
      <c r="O343" s="165"/>
      <c r="P343" s="163"/>
      <c r="Q343" s="163"/>
      <c r="R343" s="163"/>
    </row>
    <row r="344" spans="1:18" ht="12">
      <c r="A344" s="33"/>
      <c r="B344" s="34"/>
      <c r="C344" s="35"/>
      <c r="D344" s="33"/>
      <c r="E344" s="165"/>
      <c r="F344" s="163"/>
      <c r="G344" s="163"/>
      <c r="H344" s="163"/>
      <c r="I344" s="163"/>
      <c r="J344" s="165"/>
      <c r="K344" s="163"/>
      <c r="L344" s="163"/>
      <c r="M344" s="163"/>
      <c r="N344" s="163"/>
      <c r="O344" s="165"/>
      <c r="P344" s="163"/>
      <c r="Q344" s="163"/>
      <c r="R344" s="163"/>
    </row>
    <row r="345" spans="1:18" ht="12">
      <c r="A345" s="33"/>
      <c r="B345" s="34"/>
      <c r="C345" s="35"/>
      <c r="D345" s="33"/>
      <c r="E345" s="165"/>
      <c r="F345" s="163"/>
      <c r="G345" s="163"/>
      <c r="H345" s="163"/>
      <c r="I345" s="163"/>
      <c r="J345" s="165"/>
      <c r="K345" s="163"/>
      <c r="L345" s="163"/>
      <c r="M345" s="163"/>
      <c r="N345" s="163"/>
      <c r="O345" s="165"/>
      <c r="P345" s="163"/>
      <c r="Q345" s="163"/>
      <c r="R345" s="163"/>
    </row>
    <row r="346" spans="1:18" ht="12">
      <c r="A346" s="33"/>
      <c r="B346" s="34"/>
      <c r="C346" s="35"/>
      <c r="D346" s="33"/>
      <c r="E346" s="165"/>
      <c r="F346" s="163"/>
      <c r="G346" s="163"/>
      <c r="H346" s="163"/>
      <c r="I346" s="163"/>
      <c r="J346" s="165"/>
      <c r="K346" s="163"/>
      <c r="L346" s="163"/>
      <c r="M346" s="163"/>
      <c r="N346" s="163"/>
      <c r="O346" s="165"/>
      <c r="P346" s="163"/>
      <c r="Q346" s="163"/>
      <c r="R346" s="163"/>
    </row>
    <row r="347" spans="1:18" ht="12">
      <c r="A347" s="33"/>
      <c r="B347" s="34"/>
      <c r="C347" s="35"/>
      <c r="D347" s="33"/>
      <c r="E347" s="165"/>
      <c r="F347" s="163"/>
      <c r="G347" s="163"/>
      <c r="H347" s="163"/>
      <c r="I347" s="163"/>
      <c r="J347" s="165"/>
      <c r="K347" s="163"/>
      <c r="L347" s="163"/>
      <c r="M347" s="163"/>
      <c r="N347" s="163"/>
      <c r="O347" s="165"/>
      <c r="P347" s="163"/>
      <c r="Q347" s="163"/>
      <c r="R347" s="163"/>
    </row>
    <row r="348" spans="1:18" ht="12">
      <c r="A348" s="33"/>
      <c r="B348" s="34"/>
      <c r="C348" s="35"/>
      <c r="D348" s="33"/>
      <c r="E348" s="165"/>
      <c r="F348" s="163"/>
      <c r="G348" s="163"/>
      <c r="H348" s="163"/>
      <c r="I348" s="163"/>
      <c r="J348" s="165"/>
      <c r="K348" s="163"/>
      <c r="L348" s="163"/>
      <c r="M348" s="163"/>
      <c r="N348" s="163"/>
      <c r="O348" s="165"/>
      <c r="P348" s="163"/>
      <c r="Q348" s="163"/>
      <c r="R348" s="163"/>
    </row>
    <row r="349" spans="1:18" ht="12">
      <c r="A349" s="33"/>
      <c r="B349" s="34"/>
      <c r="C349" s="35"/>
      <c r="D349" s="33"/>
      <c r="E349" s="165"/>
      <c r="F349" s="163"/>
      <c r="G349" s="163"/>
      <c r="H349" s="163"/>
      <c r="I349" s="163"/>
      <c r="J349" s="165"/>
      <c r="K349" s="163"/>
      <c r="L349" s="163"/>
      <c r="M349" s="163"/>
      <c r="N349" s="163"/>
      <c r="O349" s="165"/>
      <c r="P349" s="163"/>
      <c r="Q349" s="163"/>
      <c r="R349" s="163"/>
    </row>
    <row r="350" spans="1:18" ht="12">
      <c r="A350" s="33"/>
      <c r="B350" s="34"/>
      <c r="C350" s="35"/>
      <c r="D350" s="33"/>
      <c r="E350" s="165"/>
      <c r="F350" s="163"/>
      <c r="G350" s="163"/>
      <c r="H350" s="163"/>
      <c r="I350" s="163"/>
      <c r="J350" s="165"/>
      <c r="K350" s="163"/>
      <c r="L350" s="163"/>
      <c r="M350" s="163"/>
      <c r="N350" s="163"/>
      <c r="O350" s="165"/>
      <c r="P350" s="163"/>
      <c r="Q350" s="163"/>
      <c r="R350" s="163"/>
    </row>
    <row r="351" spans="1:18" ht="12">
      <c r="A351" s="33"/>
      <c r="B351" s="34"/>
      <c r="C351" s="35"/>
      <c r="D351" s="33"/>
      <c r="E351" s="165"/>
      <c r="F351" s="163"/>
      <c r="G351" s="163"/>
      <c r="H351" s="163"/>
      <c r="I351" s="163"/>
      <c r="J351" s="165"/>
      <c r="K351" s="163"/>
      <c r="L351" s="163"/>
      <c r="M351" s="163"/>
      <c r="N351" s="163"/>
      <c r="O351" s="165"/>
      <c r="P351" s="163"/>
      <c r="Q351" s="163"/>
      <c r="R351" s="163"/>
    </row>
    <row r="352" spans="1:18" ht="12">
      <c r="A352" s="33"/>
      <c r="B352" s="34"/>
      <c r="C352" s="35"/>
      <c r="D352" s="33"/>
      <c r="E352" s="165"/>
      <c r="F352" s="163"/>
      <c r="G352" s="163"/>
      <c r="H352" s="163"/>
      <c r="I352" s="163"/>
      <c r="J352" s="165"/>
      <c r="K352" s="163"/>
      <c r="L352" s="163"/>
      <c r="M352" s="163"/>
      <c r="N352" s="163"/>
      <c r="O352" s="165"/>
      <c r="P352" s="163"/>
      <c r="Q352" s="163"/>
      <c r="R352" s="163"/>
    </row>
    <row r="353" spans="1:18" ht="12">
      <c r="A353" s="33"/>
      <c r="B353" s="34"/>
      <c r="C353" s="35"/>
      <c r="D353" s="33"/>
      <c r="E353" s="165"/>
      <c r="F353" s="163"/>
      <c r="G353" s="163"/>
      <c r="H353" s="163"/>
      <c r="I353" s="163"/>
      <c r="J353" s="165"/>
      <c r="K353" s="163"/>
      <c r="L353" s="163"/>
      <c r="M353" s="163"/>
      <c r="N353" s="163"/>
      <c r="O353" s="165"/>
      <c r="P353" s="163"/>
      <c r="Q353" s="163"/>
      <c r="R353" s="163"/>
    </row>
    <row r="354" spans="1:18" ht="12">
      <c r="A354" s="33"/>
      <c r="B354" s="34"/>
      <c r="C354" s="35"/>
      <c r="D354" s="33"/>
      <c r="E354" s="165"/>
      <c r="F354" s="163"/>
      <c r="G354" s="163"/>
      <c r="H354" s="163"/>
      <c r="I354" s="163"/>
      <c r="J354" s="165"/>
      <c r="K354" s="163"/>
      <c r="L354" s="163"/>
      <c r="M354" s="163"/>
      <c r="N354" s="163"/>
      <c r="O354" s="165"/>
      <c r="P354" s="163"/>
      <c r="Q354" s="163"/>
      <c r="R354" s="163"/>
    </row>
    <row r="355" spans="1:18" ht="12">
      <c r="A355" s="33"/>
      <c r="B355" s="34"/>
      <c r="C355" s="35"/>
      <c r="D355" s="33"/>
      <c r="E355" s="165"/>
      <c r="F355" s="163"/>
      <c r="G355" s="163"/>
      <c r="H355" s="163"/>
      <c r="I355" s="163"/>
      <c r="J355" s="165"/>
      <c r="K355" s="163"/>
      <c r="L355" s="163"/>
      <c r="M355" s="163"/>
      <c r="N355" s="163"/>
      <c r="O355" s="165"/>
      <c r="P355" s="163"/>
      <c r="Q355" s="163"/>
      <c r="R355" s="163"/>
    </row>
    <row r="356" spans="1:18" ht="12">
      <c r="A356" s="33"/>
      <c r="B356" s="34"/>
      <c r="C356" s="35"/>
      <c r="D356" s="33"/>
      <c r="E356" s="165"/>
      <c r="F356" s="163"/>
      <c r="G356" s="163"/>
      <c r="H356" s="163"/>
      <c r="I356" s="163"/>
      <c r="J356" s="165"/>
      <c r="K356" s="163"/>
      <c r="L356" s="163"/>
      <c r="M356" s="163"/>
      <c r="N356" s="163"/>
      <c r="O356" s="165"/>
      <c r="P356" s="163"/>
      <c r="Q356" s="163"/>
      <c r="R356" s="163"/>
    </row>
    <row r="357" spans="1:18" ht="12">
      <c r="A357" s="33"/>
      <c r="B357" s="34"/>
      <c r="C357" s="35"/>
      <c r="D357" s="33"/>
      <c r="E357" s="165"/>
      <c r="F357" s="163"/>
      <c r="G357" s="163"/>
      <c r="H357" s="163"/>
      <c r="I357" s="163"/>
      <c r="J357" s="165"/>
      <c r="K357" s="163"/>
      <c r="L357" s="163"/>
      <c r="M357" s="163"/>
      <c r="N357" s="163"/>
      <c r="O357" s="165"/>
      <c r="P357" s="163"/>
      <c r="Q357" s="163"/>
      <c r="R357" s="163"/>
    </row>
    <row r="358" spans="1:18">
      <c r="A358" s="33"/>
      <c r="B358" s="34"/>
      <c r="C358" s="35"/>
      <c r="D358" s="33"/>
      <c r="E358" s="35"/>
      <c r="F358" s="33"/>
      <c r="G358" s="33"/>
      <c r="H358" s="36"/>
      <c r="I358" s="33"/>
      <c r="J358" s="35"/>
      <c r="K358" s="33"/>
      <c r="L358" s="33"/>
      <c r="M358" s="36"/>
      <c r="N358" s="33"/>
      <c r="O358" s="35"/>
      <c r="P358" s="33"/>
      <c r="Q358" s="33"/>
      <c r="R358" s="36"/>
    </row>
    <row r="359" spans="1:18">
      <c r="A359" s="33"/>
      <c r="B359" s="34"/>
      <c r="C359" s="35"/>
      <c r="D359" s="33"/>
      <c r="E359" s="35"/>
      <c r="F359" s="33"/>
      <c r="G359" s="33"/>
      <c r="H359" s="36"/>
      <c r="I359" s="33"/>
      <c r="J359" s="35"/>
      <c r="K359" s="33"/>
      <c r="L359" s="33"/>
      <c r="M359" s="36"/>
      <c r="N359" s="33"/>
      <c r="O359" s="35"/>
      <c r="P359" s="33"/>
      <c r="Q359" s="33"/>
      <c r="R359" s="36"/>
    </row>
    <row r="360" spans="1:18">
      <c r="A360" s="33"/>
      <c r="B360" s="34"/>
      <c r="C360" s="35"/>
      <c r="D360" s="33"/>
      <c r="E360" s="35"/>
      <c r="F360" s="33"/>
      <c r="G360" s="33"/>
      <c r="H360" s="36"/>
      <c r="I360" s="33"/>
      <c r="J360" s="35"/>
      <c r="K360" s="33"/>
      <c r="L360" s="33"/>
      <c r="M360" s="36"/>
      <c r="N360" s="33"/>
      <c r="O360" s="35"/>
      <c r="P360" s="33"/>
      <c r="Q360" s="33"/>
      <c r="R360" s="36"/>
    </row>
    <row r="361" spans="1:18">
      <c r="A361" s="33"/>
      <c r="B361" s="34"/>
      <c r="C361" s="35"/>
      <c r="D361" s="33"/>
      <c r="E361" s="35"/>
      <c r="F361" s="33"/>
      <c r="G361" s="33"/>
      <c r="H361" s="36"/>
      <c r="I361" s="33"/>
      <c r="J361" s="35"/>
      <c r="K361" s="33"/>
      <c r="L361" s="33"/>
      <c r="M361" s="36"/>
      <c r="N361" s="33"/>
      <c r="O361" s="35"/>
      <c r="P361" s="33"/>
      <c r="Q361" s="33"/>
      <c r="R361" s="36"/>
    </row>
    <row r="362" spans="1:18">
      <c r="A362" s="33"/>
      <c r="B362" s="34"/>
      <c r="C362" s="35"/>
      <c r="D362" s="33"/>
      <c r="E362" s="35"/>
      <c r="F362" s="33"/>
      <c r="G362" s="33"/>
      <c r="H362" s="36"/>
      <c r="I362" s="33"/>
      <c r="J362" s="35"/>
      <c r="K362" s="33"/>
      <c r="L362" s="33"/>
      <c r="M362" s="36"/>
      <c r="N362" s="33"/>
      <c r="O362" s="35"/>
      <c r="P362" s="33"/>
      <c r="Q362" s="33"/>
      <c r="R362" s="36"/>
    </row>
    <row r="363" spans="1:18">
      <c r="A363" s="33"/>
      <c r="B363" s="34"/>
      <c r="C363" s="35"/>
      <c r="D363" s="33"/>
      <c r="E363" s="35"/>
      <c r="F363" s="33"/>
      <c r="G363" s="33"/>
      <c r="H363" s="36"/>
      <c r="I363" s="33"/>
      <c r="J363" s="35"/>
      <c r="K363" s="33"/>
      <c r="L363" s="33"/>
      <c r="M363" s="36"/>
      <c r="N363" s="33"/>
      <c r="O363" s="35"/>
      <c r="P363" s="33"/>
      <c r="Q363" s="33"/>
      <c r="R363" s="36"/>
    </row>
    <row r="364" spans="1:18">
      <c r="A364" s="33"/>
      <c r="B364" s="34"/>
      <c r="C364" s="35"/>
      <c r="D364" s="33"/>
      <c r="E364" s="35"/>
      <c r="F364" s="33"/>
      <c r="G364" s="33"/>
      <c r="H364" s="36"/>
      <c r="I364" s="33"/>
      <c r="J364" s="35"/>
      <c r="K364" s="33"/>
      <c r="L364" s="33"/>
      <c r="M364" s="36"/>
      <c r="N364" s="33"/>
      <c r="O364" s="35"/>
      <c r="P364" s="33"/>
      <c r="Q364" s="33"/>
      <c r="R364" s="36"/>
    </row>
    <row r="365" spans="1:18">
      <c r="A365" s="33"/>
      <c r="B365" s="34"/>
      <c r="C365" s="35"/>
      <c r="D365" s="33"/>
      <c r="E365" s="35"/>
      <c r="F365" s="33"/>
      <c r="G365" s="33"/>
      <c r="H365" s="36"/>
      <c r="I365" s="33"/>
      <c r="J365" s="35"/>
      <c r="K365" s="33"/>
      <c r="L365" s="33"/>
      <c r="M365" s="36"/>
      <c r="N365" s="33"/>
      <c r="O365" s="35"/>
      <c r="P365" s="33"/>
      <c r="Q365" s="33"/>
      <c r="R365" s="36"/>
    </row>
    <row r="366" spans="1:18">
      <c r="A366" s="33"/>
      <c r="B366" s="34"/>
      <c r="C366" s="35"/>
      <c r="D366" s="33"/>
      <c r="E366" s="35"/>
      <c r="F366" s="33"/>
      <c r="G366" s="33"/>
      <c r="H366" s="36"/>
      <c r="I366" s="33"/>
      <c r="J366" s="35"/>
      <c r="K366" s="33"/>
      <c r="L366" s="33"/>
      <c r="M366" s="36"/>
      <c r="N366" s="33"/>
      <c r="O366" s="35"/>
      <c r="P366" s="33"/>
      <c r="Q366" s="33"/>
      <c r="R366" s="36"/>
    </row>
    <row r="367" spans="1:18">
      <c r="A367" s="33"/>
      <c r="B367" s="34"/>
      <c r="C367" s="35"/>
      <c r="D367" s="33"/>
      <c r="E367" s="35"/>
      <c r="F367" s="33"/>
      <c r="G367" s="33"/>
      <c r="H367" s="36"/>
      <c r="I367" s="33"/>
      <c r="J367" s="35"/>
      <c r="K367" s="33"/>
      <c r="L367" s="33"/>
      <c r="M367" s="36"/>
      <c r="N367" s="33"/>
      <c r="O367" s="35"/>
      <c r="P367" s="33"/>
      <c r="Q367" s="33"/>
      <c r="R367" s="36"/>
    </row>
    <row r="368" spans="1:18">
      <c r="A368" s="33"/>
      <c r="B368" s="34"/>
      <c r="C368" s="35"/>
      <c r="D368" s="33"/>
      <c r="E368" s="35"/>
      <c r="F368" s="33"/>
      <c r="G368" s="33"/>
      <c r="H368" s="36"/>
      <c r="I368" s="33"/>
      <c r="J368" s="35"/>
      <c r="K368" s="33"/>
      <c r="L368" s="33"/>
      <c r="M368" s="36"/>
      <c r="N368" s="33"/>
      <c r="O368" s="35"/>
      <c r="P368" s="33"/>
      <c r="Q368" s="33"/>
      <c r="R368" s="36"/>
    </row>
    <row r="369" spans="1:18">
      <c r="A369" s="33"/>
      <c r="B369" s="34"/>
      <c r="C369" s="35"/>
      <c r="D369" s="33"/>
      <c r="E369" s="35"/>
      <c r="F369" s="33"/>
      <c r="G369" s="33"/>
      <c r="H369" s="36"/>
      <c r="I369" s="33"/>
      <c r="J369" s="35"/>
      <c r="K369" s="33"/>
      <c r="L369" s="33"/>
      <c r="M369" s="36"/>
      <c r="N369" s="33"/>
      <c r="O369" s="35"/>
      <c r="P369" s="33"/>
      <c r="Q369" s="33"/>
      <c r="R369" s="36"/>
    </row>
    <row r="370" spans="1:18">
      <c r="A370" s="33"/>
      <c r="B370" s="34"/>
      <c r="C370" s="35"/>
      <c r="D370" s="33"/>
      <c r="E370" s="35"/>
      <c r="F370" s="33"/>
      <c r="G370" s="33"/>
      <c r="H370" s="36"/>
      <c r="I370" s="33"/>
      <c r="J370" s="35"/>
      <c r="K370" s="33"/>
      <c r="L370" s="33"/>
      <c r="M370" s="36"/>
      <c r="N370" s="33"/>
      <c r="O370" s="35"/>
      <c r="P370" s="33"/>
      <c r="Q370" s="33"/>
      <c r="R370" s="36"/>
    </row>
    <row r="371" spans="1:18">
      <c r="A371" s="33"/>
      <c r="B371" s="34"/>
      <c r="C371" s="35"/>
      <c r="D371" s="33"/>
      <c r="E371" s="35"/>
      <c r="F371" s="33"/>
      <c r="G371" s="33"/>
      <c r="H371" s="36"/>
      <c r="I371" s="33"/>
      <c r="J371" s="35"/>
      <c r="K371" s="33"/>
      <c r="L371" s="33"/>
      <c r="M371" s="36"/>
      <c r="N371" s="33"/>
      <c r="O371" s="35"/>
      <c r="P371" s="33"/>
      <c r="Q371" s="33"/>
      <c r="R371" s="36"/>
    </row>
    <row r="372" spans="1:18">
      <c r="A372" s="33"/>
      <c r="B372" s="34"/>
      <c r="C372" s="35"/>
      <c r="D372" s="33"/>
      <c r="E372" s="35"/>
      <c r="F372" s="33"/>
      <c r="G372" s="33"/>
      <c r="H372" s="36"/>
      <c r="I372" s="33"/>
      <c r="J372" s="35"/>
      <c r="K372" s="33"/>
      <c r="L372" s="33"/>
      <c r="M372" s="36"/>
      <c r="N372" s="33"/>
      <c r="O372" s="35"/>
      <c r="P372" s="33"/>
      <c r="Q372" s="33"/>
      <c r="R372" s="36"/>
    </row>
    <row r="373" spans="1:18">
      <c r="A373" s="33"/>
      <c r="B373" s="34"/>
      <c r="C373" s="35"/>
      <c r="D373" s="33"/>
      <c r="E373" s="35"/>
      <c r="F373" s="33"/>
      <c r="G373" s="33"/>
      <c r="H373" s="36"/>
      <c r="I373" s="33"/>
      <c r="J373" s="35"/>
      <c r="K373" s="33"/>
      <c r="L373" s="33"/>
      <c r="M373" s="36"/>
      <c r="N373" s="33"/>
      <c r="O373" s="35"/>
      <c r="P373" s="33"/>
      <c r="Q373" s="33"/>
      <c r="R373" s="36"/>
    </row>
    <row r="374" spans="1:18">
      <c r="A374" s="33"/>
      <c r="B374" s="34"/>
      <c r="C374" s="35"/>
      <c r="D374" s="33"/>
      <c r="E374" s="35"/>
      <c r="F374" s="33"/>
      <c r="G374" s="33"/>
      <c r="H374" s="36"/>
      <c r="I374" s="33"/>
      <c r="J374" s="35"/>
      <c r="K374" s="33"/>
      <c r="L374" s="33"/>
      <c r="M374" s="36"/>
      <c r="N374" s="33"/>
      <c r="O374" s="35"/>
      <c r="P374" s="33"/>
      <c r="Q374" s="33"/>
      <c r="R374" s="36"/>
    </row>
    <row r="375" spans="1:18">
      <c r="A375" s="33"/>
      <c r="B375" s="34"/>
      <c r="C375" s="35"/>
      <c r="D375" s="33"/>
      <c r="E375" s="35"/>
      <c r="F375" s="33"/>
      <c r="G375" s="33"/>
      <c r="H375" s="36"/>
      <c r="I375" s="33"/>
      <c r="J375" s="35"/>
      <c r="K375" s="33"/>
      <c r="L375" s="33"/>
      <c r="M375" s="36"/>
      <c r="N375" s="33"/>
      <c r="O375" s="35"/>
      <c r="P375" s="33"/>
      <c r="Q375" s="33"/>
      <c r="R375" s="36"/>
    </row>
    <row r="376" spans="1:18">
      <c r="A376" s="33"/>
      <c r="B376" s="34"/>
      <c r="C376" s="35"/>
      <c r="D376" s="33"/>
      <c r="E376" s="35"/>
      <c r="F376" s="33"/>
      <c r="G376" s="33"/>
      <c r="H376" s="36"/>
      <c r="I376" s="33"/>
      <c r="J376" s="35"/>
      <c r="K376" s="33"/>
      <c r="L376" s="33"/>
      <c r="M376" s="36"/>
      <c r="N376" s="33"/>
      <c r="O376" s="35"/>
      <c r="P376" s="33"/>
      <c r="Q376" s="33"/>
      <c r="R376" s="36"/>
    </row>
    <row r="377" spans="1:18">
      <c r="A377" s="33"/>
      <c r="B377" s="34"/>
      <c r="C377" s="35"/>
      <c r="D377" s="33"/>
      <c r="E377" s="35"/>
      <c r="F377" s="33"/>
      <c r="G377" s="33"/>
      <c r="H377" s="36"/>
      <c r="I377" s="33"/>
      <c r="J377" s="35"/>
      <c r="K377" s="33"/>
      <c r="L377" s="33"/>
      <c r="M377" s="36"/>
      <c r="N377" s="33"/>
      <c r="O377" s="35"/>
      <c r="P377" s="33"/>
      <c r="Q377" s="33"/>
      <c r="R377" s="36"/>
    </row>
    <row r="378" spans="1:18">
      <c r="A378" s="33"/>
      <c r="B378" s="34"/>
      <c r="C378" s="35"/>
      <c r="D378" s="33"/>
      <c r="E378" s="35"/>
      <c r="F378" s="33"/>
      <c r="G378" s="33"/>
      <c r="H378" s="36"/>
      <c r="I378" s="33"/>
      <c r="J378" s="35"/>
      <c r="K378" s="33"/>
      <c r="L378" s="33"/>
      <c r="M378" s="36"/>
      <c r="N378" s="33"/>
      <c r="O378" s="35"/>
      <c r="P378" s="33"/>
      <c r="Q378" s="33"/>
      <c r="R378" s="36"/>
    </row>
    <row r="379" spans="1:18">
      <c r="A379" s="33"/>
      <c r="B379" s="34"/>
      <c r="C379" s="35"/>
      <c r="D379" s="33"/>
      <c r="E379" s="35"/>
      <c r="F379" s="33"/>
      <c r="G379" s="33"/>
      <c r="H379" s="36"/>
      <c r="I379" s="33"/>
      <c r="J379" s="35"/>
      <c r="K379" s="33"/>
      <c r="L379" s="33"/>
      <c r="M379" s="36"/>
      <c r="N379" s="33"/>
      <c r="O379" s="35"/>
      <c r="P379" s="33"/>
      <c r="Q379" s="33"/>
      <c r="R379" s="36"/>
    </row>
    <row r="380" spans="1:18">
      <c r="A380" s="33"/>
      <c r="B380" s="34"/>
      <c r="C380" s="35"/>
      <c r="D380" s="33"/>
      <c r="E380" s="35"/>
      <c r="F380" s="33"/>
      <c r="G380" s="33"/>
      <c r="H380" s="36"/>
      <c r="I380" s="33"/>
      <c r="J380" s="35"/>
      <c r="K380" s="33"/>
      <c r="L380" s="33"/>
      <c r="M380" s="36"/>
      <c r="N380" s="33"/>
      <c r="O380" s="35"/>
      <c r="P380" s="33"/>
      <c r="Q380" s="33"/>
      <c r="R380" s="36"/>
    </row>
    <row r="381" spans="1:18">
      <c r="A381" s="33"/>
      <c r="B381" s="34"/>
      <c r="C381" s="35"/>
      <c r="D381" s="33"/>
      <c r="E381" s="35"/>
      <c r="F381" s="33"/>
      <c r="G381" s="33"/>
      <c r="H381" s="36"/>
      <c r="I381" s="33"/>
      <c r="J381" s="35"/>
      <c r="K381" s="33"/>
      <c r="L381" s="33"/>
      <c r="M381" s="36"/>
      <c r="N381" s="33"/>
      <c r="O381" s="35"/>
      <c r="P381" s="33"/>
      <c r="Q381" s="33"/>
      <c r="R381" s="36"/>
    </row>
    <row r="382" spans="1:18">
      <c r="A382" s="33"/>
      <c r="B382" s="34"/>
      <c r="C382" s="35"/>
      <c r="D382" s="33"/>
      <c r="E382" s="35"/>
      <c r="F382" s="33"/>
      <c r="G382" s="33"/>
      <c r="H382" s="36"/>
      <c r="I382" s="33"/>
      <c r="J382" s="35"/>
      <c r="K382" s="33"/>
      <c r="L382" s="33"/>
      <c r="M382" s="36"/>
      <c r="N382" s="33"/>
      <c r="O382" s="35"/>
      <c r="P382" s="33"/>
      <c r="Q382" s="33"/>
      <c r="R382" s="36"/>
    </row>
    <row r="383" spans="1:18">
      <c r="A383" s="33"/>
      <c r="B383" s="34"/>
      <c r="C383" s="35"/>
      <c r="D383" s="33"/>
      <c r="E383" s="35"/>
      <c r="F383" s="33"/>
      <c r="G383" s="33"/>
      <c r="H383" s="36"/>
      <c r="I383" s="33"/>
      <c r="J383" s="35"/>
      <c r="K383" s="33"/>
      <c r="L383" s="33"/>
      <c r="M383" s="36"/>
      <c r="N383" s="33"/>
      <c r="O383" s="35"/>
      <c r="P383" s="33"/>
      <c r="Q383" s="33"/>
      <c r="R383" s="36"/>
    </row>
    <row r="384" spans="1:18">
      <c r="A384" s="33"/>
      <c r="B384" s="34"/>
      <c r="C384" s="35"/>
      <c r="D384" s="33"/>
      <c r="E384" s="35"/>
      <c r="F384" s="33"/>
      <c r="G384" s="33"/>
      <c r="H384" s="36"/>
      <c r="I384" s="33"/>
      <c r="J384" s="35"/>
      <c r="K384" s="33"/>
      <c r="L384" s="33"/>
      <c r="M384" s="36"/>
      <c r="N384" s="33"/>
      <c r="O384" s="35"/>
      <c r="P384" s="33"/>
      <c r="Q384" s="33"/>
      <c r="R384" s="36"/>
    </row>
    <row r="385" spans="1:18">
      <c r="A385" s="33"/>
      <c r="B385" s="34"/>
      <c r="C385" s="35"/>
      <c r="D385" s="33"/>
      <c r="E385" s="35"/>
      <c r="F385" s="33"/>
      <c r="G385" s="33"/>
      <c r="H385" s="36"/>
      <c r="I385" s="33"/>
      <c r="J385" s="35"/>
      <c r="K385" s="33"/>
      <c r="L385" s="33"/>
      <c r="M385" s="36"/>
      <c r="N385" s="33"/>
      <c r="O385" s="35"/>
      <c r="P385" s="33"/>
      <c r="Q385" s="33"/>
      <c r="R385" s="36"/>
    </row>
    <row r="386" spans="1:18">
      <c r="A386" s="33"/>
      <c r="B386" s="34"/>
      <c r="C386" s="35"/>
      <c r="D386" s="33"/>
      <c r="E386" s="35"/>
      <c r="F386" s="33"/>
      <c r="G386" s="33"/>
      <c r="H386" s="36"/>
      <c r="I386" s="33"/>
      <c r="J386" s="35"/>
      <c r="K386" s="33"/>
      <c r="L386" s="33"/>
      <c r="M386" s="36"/>
      <c r="N386" s="33"/>
      <c r="O386" s="35"/>
      <c r="P386" s="33"/>
      <c r="Q386" s="33"/>
      <c r="R386" s="36"/>
    </row>
    <row r="387" spans="1:18">
      <c r="A387" s="33"/>
      <c r="B387" s="34"/>
      <c r="C387" s="35"/>
      <c r="D387" s="33"/>
      <c r="E387" s="35"/>
      <c r="F387" s="33"/>
      <c r="G387" s="33"/>
      <c r="H387" s="36"/>
      <c r="I387" s="33"/>
      <c r="J387" s="35"/>
      <c r="K387" s="33"/>
      <c r="L387" s="33"/>
      <c r="M387" s="36"/>
      <c r="N387" s="33"/>
      <c r="O387" s="35"/>
      <c r="P387" s="33"/>
      <c r="Q387" s="33"/>
      <c r="R387" s="36"/>
    </row>
    <row r="388" spans="1:18">
      <c r="A388" s="33"/>
      <c r="B388" s="34"/>
      <c r="C388" s="35"/>
      <c r="D388" s="33"/>
      <c r="E388" s="35"/>
      <c r="F388" s="33"/>
      <c r="G388" s="33"/>
      <c r="H388" s="36"/>
      <c r="I388" s="33"/>
      <c r="J388" s="35"/>
      <c r="K388" s="33"/>
      <c r="L388" s="33"/>
      <c r="M388" s="36"/>
      <c r="N388" s="33"/>
      <c r="O388" s="35"/>
      <c r="P388" s="33"/>
      <c r="Q388" s="33"/>
      <c r="R388" s="36"/>
    </row>
    <row r="389" spans="1:18">
      <c r="A389" s="33"/>
      <c r="B389" s="34"/>
      <c r="C389" s="35"/>
      <c r="D389" s="33"/>
      <c r="E389" s="35"/>
      <c r="F389" s="33"/>
      <c r="G389" s="33"/>
      <c r="H389" s="36"/>
      <c r="I389" s="33"/>
      <c r="J389" s="35"/>
      <c r="K389" s="33"/>
      <c r="L389" s="33"/>
      <c r="M389" s="36"/>
      <c r="N389" s="33"/>
      <c r="O389" s="35"/>
      <c r="P389" s="33"/>
      <c r="Q389" s="33"/>
      <c r="R389" s="36"/>
    </row>
    <row r="390" spans="1:18">
      <c r="A390" s="33"/>
      <c r="B390" s="34"/>
      <c r="C390" s="35"/>
      <c r="D390" s="33"/>
      <c r="E390" s="35"/>
      <c r="F390" s="33"/>
      <c r="G390" s="33"/>
      <c r="H390" s="36"/>
      <c r="I390" s="33"/>
      <c r="J390" s="35"/>
      <c r="K390" s="33"/>
      <c r="L390" s="33"/>
      <c r="M390" s="36"/>
      <c r="N390" s="33"/>
      <c r="O390" s="35"/>
      <c r="P390" s="33"/>
      <c r="Q390" s="33"/>
      <c r="R390" s="36"/>
    </row>
    <row r="391" spans="1:18">
      <c r="A391" s="33"/>
      <c r="B391" s="34"/>
      <c r="C391" s="35"/>
      <c r="D391" s="33"/>
      <c r="E391" s="35"/>
      <c r="F391" s="33"/>
      <c r="G391" s="33"/>
      <c r="H391" s="36"/>
      <c r="I391" s="33"/>
      <c r="J391" s="35"/>
      <c r="K391" s="33"/>
      <c r="L391" s="33"/>
      <c r="M391" s="36"/>
      <c r="N391" s="33"/>
      <c r="O391" s="35"/>
      <c r="P391" s="33"/>
      <c r="Q391" s="33"/>
      <c r="R391" s="36"/>
    </row>
    <row r="392" spans="1:18">
      <c r="A392" s="33"/>
      <c r="B392" s="34"/>
      <c r="C392" s="35"/>
      <c r="D392" s="33"/>
      <c r="E392" s="35"/>
      <c r="F392" s="33"/>
      <c r="G392" s="33"/>
      <c r="H392" s="36"/>
      <c r="I392" s="33"/>
      <c r="J392" s="35"/>
      <c r="K392" s="33"/>
      <c r="L392" s="33"/>
      <c r="M392" s="36"/>
      <c r="N392" s="33"/>
      <c r="O392" s="35"/>
      <c r="P392" s="33"/>
      <c r="Q392" s="33"/>
      <c r="R392" s="36"/>
    </row>
    <row r="393" spans="1:18">
      <c r="A393" s="33"/>
      <c r="B393" s="34"/>
      <c r="C393" s="35"/>
      <c r="D393" s="33"/>
      <c r="E393" s="35"/>
      <c r="F393" s="33"/>
      <c r="G393" s="33"/>
      <c r="H393" s="36"/>
      <c r="I393" s="33"/>
      <c r="J393" s="35"/>
      <c r="K393" s="33"/>
      <c r="L393" s="33"/>
      <c r="M393" s="36"/>
      <c r="N393" s="33"/>
      <c r="O393" s="35"/>
      <c r="P393" s="33"/>
      <c r="Q393" s="33"/>
      <c r="R393" s="36"/>
    </row>
    <row r="394" spans="1:18">
      <c r="A394" s="33"/>
      <c r="B394" s="34"/>
      <c r="C394" s="35"/>
      <c r="D394" s="33"/>
      <c r="E394" s="35"/>
      <c r="F394" s="33"/>
      <c r="G394" s="33"/>
      <c r="H394" s="36"/>
      <c r="I394" s="33"/>
      <c r="J394" s="35"/>
      <c r="K394" s="33"/>
      <c r="L394" s="33"/>
      <c r="M394" s="36"/>
      <c r="N394" s="33"/>
      <c r="O394" s="35"/>
      <c r="P394" s="33"/>
      <c r="Q394" s="33"/>
      <c r="R394" s="36"/>
    </row>
    <row r="395" spans="1:18">
      <c r="A395" s="33"/>
      <c r="B395" s="34"/>
      <c r="C395" s="35"/>
      <c r="D395" s="33"/>
      <c r="E395" s="35"/>
      <c r="F395" s="33"/>
      <c r="G395" s="33"/>
      <c r="H395" s="36"/>
      <c r="I395" s="33"/>
      <c r="J395" s="35"/>
      <c r="K395" s="33"/>
      <c r="L395" s="33"/>
      <c r="M395" s="36"/>
      <c r="N395" s="33"/>
      <c r="O395" s="35"/>
      <c r="P395" s="33"/>
      <c r="Q395" s="33"/>
      <c r="R395" s="36"/>
    </row>
    <row r="396" spans="1:18">
      <c r="E396" s="35"/>
      <c r="F396" s="33"/>
      <c r="G396" s="33"/>
      <c r="H396" s="36"/>
      <c r="I396" s="33"/>
      <c r="J396" s="35"/>
      <c r="K396" s="33"/>
      <c r="L396" s="33"/>
      <c r="M396" s="36"/>
      <c r="N396" s="33"/>
      <c r="O396" s="35"/>
      <c r="P396" s="33"/>
      <c r="Q396" s="33"/>
      <c r="R396" s="36"/>
    </row>
    <row r="397" spans="1:18">
      <c r="E397" s="35"/>
      <c r="F397" s="33"/>
      <c r="G397" s="33"/>
      <c r="H397" s="36"/>
      <c r="I397" s="33"/>
      <c r="J397" s="35"/>
      <c r="K397" s="33"/>
      <c r="L397" s="33"/>
      <c r="M397" s="36"/>
      <c r="N397" s="33"/>
      <c r="O397" s="35"/>
      <c r="P397" s="33"/>
      <c r="Q397" s="33"/>
      <c r="R397" s="36"/>
    </row>
    <row r="398" spans="1:18">
      <c r="E398" s="35"/>
      <c r="F398" s="33"/>
      <c r="G398" s="33"/>
      <c r="H398" s="36"/>
      <c r="I398" s="33"/>
      <c r="J398" s="35"/>
      <c r="K398" s="33"/>
      <c r="L398" s="33"/>
      <c r="M398" s="36"/>
      <c r="N398" s="33"/>
      <c r="O398" s="35"/>
      <c r="P398" s="33"/>
      <c r="Q398" s="33"/>
      <c r="R398" s="36"/>
    </row>
    <row r="399" spans="1:18">
      <c r="E399" s="35"/>
      <c r="F399" s="33"/>
      <c r="G399" s="33"/>
      <c r="H399" s="36"/>
      <c r="I399" s="33"/>
      <c r="J399" s="35"/>
      <c r="K399" s="33"/>
      <c r="L399" s="33"/>
      <c r="M399" s="36"/>
      <c r="N399" s="33"/>
      <c r="O399" s="35"/>
      <c r="P399" s="33"/>
      <c r="Q399" s="33"/>
      <c r="R399" s="36"/>
    </row>
    <row r="400" spans="1:18">
      <c r="E400" s="35"/>
      <c r="F400" s="33"/>
      <c r="G400" s="33"/>
      <c r="H400" s="36"/>
      <c r="I400" s="33"/>
      <c r="J400" s="35"/>
      <c r="K400" s="33"/>
      <c r="L400" s="33"/>
      <c r="M400" s="36"/>
      <c r="N400" s="33"/>
      <c r="O400" s="35"/>
      <c r="P400" s="33"/>
      <c r="Q400" s="33"/>
      <c r="R400" s="36"/>
    </row>
    <row r="401" spans="5:18">
      <c r="E401" s="35"/>
      <c r="F401" s="33"/>
      <c r="G401" s="33"/>
      <c r="H401" s="36"/>
      <c r="I401" s="33"/>
      <c r="J401" s="35"/>
      <c r="K401" s="33"/>
      <c r="L401" s="33"/>
      <c r="M401" s="36"/>
      <c r="N401" s="33"/>
      <c r="O401" s="35"/>
      <c r="P401" s="33"/>
      <c r="Q401" s="33"/>
      <c r="R401" s="36"/>
    </row>
    <row r="402" spans="5:18">
      <c r="E402" s="35"/>
      <c r="F402" s="33"/>
      <c r="G402" s="33"/>
      <c r="H402" s="36"/>
      <c r="I402" s="33"/>
      <c r="J402" s="35"/>
      <c r="K402" s="33"/>
      <c r="L402" s="33"/>
      <c r="M402" s="36"/>
      <c r="N402" s="33"/>
      <c r="O402" s="35"/>
      <c r="P402" s="33"/>
      <c r="Q402" s="33"/>
      <c r="R402" s="36"/>
    </row>
    <row r="403" spans="5:18">
      <c r="E403" s="35"/>
      <c r="F403" s="33"/>
      <c r="G403" s="33"/>
      <c r="H403" s="36"/>
      <c r="I403" s="33"/>
      <c r="J403" s="35"/>
      <c r="K403" s="33"/>
      <c r="L403" s="33"/>
      <c r="M403" s="36"/>
      <c r="N403" s="33"/>
      <c r="O403" s="35"/>
      <c r="P403" s="33"/>
      <c r="Q403" s="33"/>
      <c r="R403" s="36"/>
    </row>
    <row r="404" spans="5:18">
      <c r="E404" s="35"/>
      <c r="F404" s="33"/>
      <c r="G404" s="33"/>
      <c r="H404" s="36"/>
      <c r="I404" s="33"/>
      <c r="J404" s="35"/>
      <c r="K404" s="33"/>
      <c r="L404" s="33"/>
      <c r="M404" s="36"/>
      <c r="N404" s="33"/>
      <c r="O404" s="35"/>
      <c r="P404" s="33"/>
      <c r="Q404" s="33"/>
      <c r="R404" s="36"/>
    </row>
    <row r="405" spans="5:18">
      <c r="E405" s="35"/>
      <c r="F405" s="33"/>
      <c r="G405" s="33"/>
      <c r="H405" s="36"/>
      <c r="I405" s="33"/>
      <c r="J405" s="35"/>
      <c r="K405" s="33"/>
      <c r="L405" s="33"/>
      <c r="M405" s="36"/>
      <c r="N405" s="33"/>
      <c r="O405" s="35"/>
      <c r="P405" s="33"/>
      <c r="Q405" s="33"/>
      <c r="R405" s="36"/>
    </row>
    <row r="406" spans="5:18">
      <c r="E406" s="35"/>
      <c r="F406" s="33"/>
      <c r="G406" s="33"/>
      <c r="H406" s="36"/>
      <c r="I406" s="33"/>
      <c r="J406" s="35"/>
      <c r="K406" s="33"/>
      <c r="L406" s="33"/>
      <c r="M406" s="36"/>
      <c r="N406" s="33"/>
      <c r="O406" s="35"/>
      <c r="P406" s="33"/>
      <c r="Q406" s="33"/>
      <c r="R406" s="36"/>
    </row>
    <row r="407" spans="5:18">
      <c r="E407" s="35"/>
      <c r="F407" s="33"/>
      <c r="G407" s="33"/>
      <c r="H407" s="36"/>
      <c r="I407" s="33"/>
      <c r="J407" s="35"/>
      <c r="K407" s="33"/>
      <c r="L407" s="33"/>
      <c r="M407" s="36"/>
      <c r="N407" s="33"/>
      <c r="O407" s="35"/>
      <c r="P407" s="33"/>
      <c r="Q407" s="33"/>
      <c r="R407" s="36"/>
    </row>
    <row r="408" spans="5:18">
      <c r="E408" s="35"/>
      <c r="F408" s="33"/>
      <c r="G408" s="33"/>
      <c r="H408" s="36"/>
      <c r="I408" s="33"/>
      <c r="J408" s="35"/>
      <c r="K408" s="33"/>
      <c r="L408" s="33"/>
      <c r="M408" s="36"/>
      <c r="N408" s="33"/>
      <c r="O408" s="35"/>
      <c r="P408" s="33"/>
      <c r="Q408" s="33"/>
      <c r="R408" s="36"/>
    </row>
    <row r="409" spans="5:18">
      <c r="E409" s="35"/>
      <c r="F409" s="33"/>
      <c r="G409" s="33"/>
      <c r="H409" s="36"/>
      <c r="I409" s="33"/>
      <c r="J409" s="35"/>
      <c r="K409" s="33"/>
      <c r="L409" s="33"/>
      <c r="M409" s="36"/>
      <c r="N409" s="33"/>
      <c r="O409" s="35"/>
      <c r="P409" s="33"/>
      <c r="Q409" s="33"/>
      <c r="R409" s="36"/>
    </row>
    <row r="410" spans="5:18">
      <c r="E410" s="35"/>
      <c r="F410" s="33"/>
      <c r="G410" s="33"/>
      <c r="H410" s="36"/>
      <c r="I410" s="33"/>
      <c r="J410" s="35"/>
      <c r="K410" s="33"/>
      <c r="L410" s="33"/>
      <c r="M410" s="36"/>
      <c r="N410" s="33"/>
      <c r="O410" s="35"/>
      <c r="P410" s="33"/>
      <c r="Q410" s="33"/>
      <c r="R410" s="36"/>
    </row>
    <row r="411" spans="5:18">
      <c r="E411" s="35"/>
      <c r="F411" s="33"/>
      <c r="G411" s="33"/>
      <c r="H411" s="36"/>
      <c r="I411" s="33"/>
      <c r="J411" s="35"/>
      <c r="K411" s="33"/>
      <c r="L411" s="33"/>
      <c r="M411" s="36"/>
      <c r="N411" s="33"/>
      <c r="O411" s="35"/>
      <c r="P411" s="33"/>
      <c r="Q411" s="33"/>
      <c r="R411" s="36"/>
    </row>
  </sheetData>
  <mergeCells count="23">
    <mergeCell ref="O5:Q5"/>
    <mergeCell ref="A5:A7"/>
    <mergeCell ref="B5:B7"/>
    <mergeCell ref="C5:C7"/>
    <mergeCell ref="R5:R7"/>
    <mergeCell ref="L6:L7"/>
    <mergeCell ref="O6:O7"/>
    <mergeCell ref="Q6:Q7"/>
    <mergeCell ref="J6:J7"/>
    <mergeCell ref="I5:I7"/>
    <mergeCell ref="J5:L5"/>
    <mergeCell ref="M5:M7"/>
    <mergeCell ref="N5:N7"/>
    <mergeCell ref="P6:P7"/>
    <mergeCell ref="K6:K7"/>
    <mergeCell ref="F6:F7"/>
    <mergeCell ref="B2:H2"/>
    <mergeCell ref="B3:H3"/>
    <mergeCell ref="D5:D7"/>
    <mergeCell ref="E5:G5"/>
    <mergeCell ref="H5:H7"/>
    <mergeCell ref="E6:E7"/>
    <mergeCell ref="G6:G7"/>
  </mergeCells>
  <phoneticPr fontId="27" type="noConversion"/>
  <pageMargins left="0.27559055118110237" right="0.27559055118110237" top="0.39370078740157483" bottom="0.43307086614173229" header="0.23622047244094491" footer="0.23622047244094491"/>
  <pageSetup paperSize="9" scale="60" orientation="landscape" r:id="rId1"/>
  <headerFooter alignWithMargins="0">
    <oddFooter>&amp;L&amp;F&amp;C&amp;P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rgb="FFFFC000"/>
  </sheetPr>
  <dimension ref="A1:R522"/>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M266" sqref="M266"/>
    </sheetView>
  </sheetViews>
  <sheetFormatPr defaultColWidth="9.109375" defaultRowHeight="10.199999999999999"/>
  <cols>
    <col min="1" max="1" width="11.44140625" style="21" bestFit="1" customWidth="1"/>
    <col min="2" max="2" width="37.6640625" style="1" customWidth="1"/>
    <col min="3" max="3" width="11.33203125" style="22" customWidth="1"/>
    <col min="4" max="4" width="10.88671875" style="21"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363"/>
      <c r="J2" s="363"/>
      <c r="K2" s="566"/>
      <c r="L2" s="363"/>
      <c r="M2" s="220"/>
      <c r="N2" s="363"/>
      <c r="O2" s="363"/>
      <c r="P2" s="566"/>
      <c r="Q2" s="363"/>
      <c r="R2" s="220"/>
    </row>
    <row r="3" spans="1:18" s="1" customFormat="1" ht="13.2">
      <c r="A3" s="221"/>
      <c r="B3" s="1400" t="s">
        <v>489</v>
      </c>
      <c r="C3" s="1400"/>
      <c r="D3" s="1400"/>
      <c r="E3" s="1400"/>
      <c r="F3" s="1400"/>
      <c r="G3" s="1400"/>
      <c r="H3" s="1400"/>
      <c r="I3" s="567"/>
      <c r="J3" s="567"/>
      <c r="K3" s="567"/>
      <c r="L3" s="567"/>
      <c r="M3" s="220"/>
      <c r="N3" s="567"/>
      <c r="O3" s="567"/>
      <c r="P3" s="567"/>
      <c r="Q3" s="567"/>
      <c r="R3" s="220"/>
    </row>
    <row r="4" spans="1:18" s="1" customFormat="1" ht="13.2">
      <c r="A4" s="221"/>
      <c r="B4" s="567"/>
      <c r="C4" s="222"/>
      <c r="D4" s="567"/>
      <c r="E4" s="567"/>
      <c r="F4" s="567"/>
      <c r="G4" s="567"/>
      <c r="H4" s="567"/>
      <c r="I4" s="567"/>
      <c r="J4" s="567"/>
      <c r="K4" s="567"/>
      <c r="L4" s="567"/>
      <c r="M4" s="567"/>
      <c r="N4" s="567"/>
      <c r="O4" s="567"/>
      <c r="P4" s="567"/>
      <c r="Q4" s="567"/>
      <c r="R4" s="567"/>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8"/>
      <c r="B9" s="392" t="s">
        <v>40</v>
      </c>
      <c r="C9" s="387"/>
      <c r="D9" s="387"/>
      <c r="E9" s="226"/>
      <c r="F9" s="226"/>
      <c r="G9" s="226"/>
      <c r="H9" s="226"/>
      <c r="I9" s="365"/>
      <c r="J9" s="226"/>
      <c r="K9" s="226"/>
      <c r="L9" s="226"/>
      <c r="M9" s="226"/>
      <c r="N9" s="365"/>
      <c r="O9" s="226"/>
      <c r="P9" s="226"/>
      <c r="Q9" s="226"/>
      <c r="R9" s="226"/>
    </row>
    <row r="10" spans="1:18" s="4" customFormat="1" ht="20.399999999999999">
      <c r="A10" s="129" t="s">
        <v>201</v>
      </c>
      <c r="B10" s="123" t="s">
        <v>88</v>
      </c>
      <c r="C10" s="200">
        <v>15491371</v>
      </c>
      <c r="D10" s="167">
        <v>15491371</v>
      </c>
      <c r="E10" s="228">
        <f>E11+E12+E14+E32</f>
        <v>0</v>
      </c>
      <c r="F10" s="228">
        <f t="shared" ref="F10:G10" si="0">F11+F12+F14+F32</f>
        <v>0</v>
      </c>
      <c r="G10" s="228">
        <f t="shared" si="0"/>
        <v>0</v>
      </c>
      <c r="H10" s="229">
        <f t="shared" ref="H10:H73" si="1">SUM(D10:G10)</f>
        <v>15491371</v>
      </c>
      <c r="I10" s="228">
        <v>9777097</v>
      </c>
      <c r="J10" s="228">
        <f>J11+J12+J14+J32</f>
        <v>0</v>
      </c>
      <c r="K10" s="228">
        <f t="shared" ref="K10:L10" si="2">K11+K12+K14+K32</f>
        <v>0</v>
      </c>
      <c r="L10" s="228">
        <f t="shared" si="2"/>
        <v>0</v>
      </c>
      <c r="M10" s="229">
        <f t="shared" ref="M10:M73" si="3">SUM(I10:L10)</f>
        <v>9777097</v>
      </c>
      <c r="N10" s="228">
        <v>9777097</v>
      </c>
      <c r="O10" s="228">
        <f>O11+O12+O14+O32</f>
        <v>0</v>
      </c>
      <c r="P10" s="228">
        <f t="shared" ref="P10:Q10" si="4">P11+P12+P14+P32</f>
        <v>0</v>
      </c>
      <c r="Q10" s="228">
        <f t="shared" si="4"/>
        <v>0</v>
      </c>
      <c r="R10" s="229">
        <f t="shared" ref="R10:R73" si="5">SUM(N10:Q10)</f>
        <v>9777097</v>
      </c>
    </row>
    <row r="11" spans="1:18" ht="24" hidden="1" customHeight="1">
      <c r="A11" s="130" t="s">
        <v>177</v>
      </c>
      <c r="B11" s="124" t="s">
        <v>90</v>
      </c>
      <c r="C11" s="98"/>
      <c r="D11" s="169">
        <v>0</v>
      </c>
      <c r="E11" s="231"/>
      <c r="F11" s="231"/>
      <c r="G11" s="231"/>
      <c r="H11" s="232">
        <f t="shared" si="1"/>
        <v>0</v>
      </c>
      <c r="I11" s="231">
        <v>0</v>
      </c>
      <c r="J11" s="231"/>
      <c r="K11" s="231"/>
      <c r="L11" s="231"/>
      <c r="M11" s="232">
        <f t="shared" si="3"/>
        <v>0</v>
      </c>
      <c r="N11" s="231">
        <v>0</v>
      </c>
      <c r="O11" s="231"/>
      <c r="P11" s="231"/>
      <c r="Q11" s="231"/>
      <c r="R11" s="232">
        <f t="shared" si="5"/>
        <v>0</v>
      </c>
    </row>
    <row r="12" spans="1:18" ht="12" hidden="1" customHeight="1">
      <c r="A12" s="130" t="s">
        <v>91</v>
      </c>
      <c r="B12" s="124" t="s">
        <v>92</v>
      </c>
      <c r="C12" s="98"/>
      <c r="D12" s="169">
        <v>0</v>
      </c>
      <c r="E12" s="231"/>
      <c r="F12" s="231"/>
      <c r="G12" s="231"/>
      <c r="H12" s="232">
        <f t="shared" si="1"/>
        <v>0</v>
      </c>
      <c r="I12" s="231">
        <v>0</v>
      </c>
      <c r="J12" s="231"/>
      <c r="K12" s="231"/>
      <c r="L12" s="231"/>
      <c r="M12" s="232">
        <f t="shared" si="3"/>
        <v>0</v>
      </c>
      <c r="N12" s="231">
        <v>0</v>
      </c>
      <c r="O12" s="231"/>
      <c r="P12" s="231"/>
      <c r="Q12" s="231"/>
      <c r="R12" s="232">
        <f t="shared" si="5"/>
        <v>0</v>
      </c>
    </row>
    <row r="13" spans="1:18" ht="24" hidden="1" customHeight="1">
      <c r="A13" s="131">
        <v>21210</v>
      </c>
      <c r="B13" s="125" t="s">
        <v>93</v>
      </c>
      <c r="C13" s="98"/>
      <c r="D13" s="169">
        <v>0</v>
      </c>
      <c r="E13" s="231"/>
      <c r="F13" s="231"/>
      <c r="G13" s="231"/>
      <c r="H13" s="232">
        <f t="shared" si="1"/>
        <v>0</v>
      </c>
      <c r="I13" s="231">
        <v>0</v>
      </c>
      <c r="J13" s="231"/>
      <c r="K13" s="231"/>
      <c r="L13" s="231"/>
      <c r="M13" s="232">
        <f t="shared" si="3"/>
        <v>0</v>
      </c>
      <c r="N13" s="231">
        <v>0</v>
      </c>
      <c r="O13" s="231"/>
      <c r="P13" s="231"/>
      <c r="Q13" s="231"/>
      <c r="R13" s="232">
        <f t="shared" si="5"/>
        <v>0</v>
      </c>
    </row>
    <row r="14" spans="1:18" ht="21" hidden="1" customHeight="1">
      <c r="A14" s="130" t="s">
        <v>178</v>
      </c>
      <c r="B14" s="124" t="s">
        <v>94</v>
      </c>
      <c r="C14" s="170">
        <v>0</v>
      </c>
      <c r="D14" s="171">
        <v>0</v>
      </c>
      <c r="E14" s="233">
        <f>E15+E21</f>
        <v>0</v>
      </c>
      <c r="F14" s="233">
        <f t="shared" ref="F14:G14" si="6">F15+F21</f>
        <v>0</v>
      </c>
      <c r="G14" s="233">
        <f t="shared" si="6"/>
        <v>0</v>
      </c>
      <c r="H14" s="232">
        <f t="shared" si="1"/>
        <v>0</v>
      </c>
      <c r="I14" s="233">
        <v>0</v>
      </c>
      <c r="J14" s="233">
        <f>J15+J21</f>
        <v>0</v>
      </c>
      <c r="K14" s="233">
        <f t="shared" ref="K14:L14" si="7">K15+K21</f>
        <v>0</v>
      </c>
      <c r="L14" s="233">
        <f t="shared" si="7"/>
        <v>0</v>
      </c>
      <c r="M14" s="232">
        <f t="shared" si="3"/>
        <v>0</v>
      </c>
      <c r="N14" s="233">
        <v>0</v>
      </c>
      <c r="O14" s="233">
        <f>O15+O21</f>
        <v>0</v>
      </c>
      <c r="P14" s="233">
        <f t="shared" ref="P14:Q14" si="8">P15+P21</f>
        <v>0</v>
      </c>
      <c r="Q14" s="233">
        <f t="shared" si="8"/>
        <v>0</v>
      </c>
      <c r="R14" s="232">
        <f t="shared" si="5"/>
        <v>0</v>
      </c>
    </row>
    <row r="15" spans="1:18" ht="12" hidden="1" customHeight="1">
      <c r="A15" s="132">
        <v>18000</v>
      </c>
      <c r="B15" s="125" t="s">
        <v>95</v>
      </c>
      <c r="C15" s="170">
        <v>0</v>
      </c>
      <c r="D15" s="171">
        <v>0</v>
      </c>
      <c r="E15" s="233">
        <f t="shared" ref="E15:L16" si="9">E16</f>
        <v>0</v>
      </c>
      <c r="F15" s="233">
        <f t="shared" si="9"/>
        <v>0</v>
      </c>
      <c r="G15" s="233">
        <f t="shared" si="9"/>
        <v>0</v>
      </c>
      <c r="H15" s="232">
        <f t="shared" si="1"/>
        <v>0</v>
      </c>
      <c r="I15" s="233">
        <v>0</v>
      </c>
      <c r="J15" s="233">
        <f t="shared" si="9"/>
        <v>0</v>
      </c>
      <c r="K15" s="233">
        <f t="shared" si="9"/>
        <v>0</v>
      </c>
      <c r="L15" s="233">
        <f t="shared" si="9"/>
        <v>0</v>
      </c>
      <c r="M15" s="232">
        <f t="shared" si="3"/>
        <v>0</v>
      </c>
      <c r="N15" s="233">
        <v>0</v>
      </c>
      <c r="O15" s="233">
        <f t="shared" ref="O15:Q16" si="10">O16</f>
        <v>0</v>
      </c>
      <c r="P15" s="233">
        <f t="shared" si="10"/>
        <v>0</v>
      </c>
      <c r="Q15" s="233">
        <f t="shared" si="10"/>
        <v>0</v>
      </c>
      <c r="R15" s="232">
        <f t="shared" si="5"/>
        <v>0</v>
      </c>
    </row>
    <row r="16" spans="1:18" ht="12" hidden="1" customHeight="1">
      <c r="A16" s="132">
        <v>18100</v>
      </c>
      <c r="B16" s="125" t="s">
        <v>96</v>
      </c>
      <c r="C16" s="170">
        <v>0</v>
      </c>
      <c r="D16" s="171">
        <v>0</v>
      </c>
      <c r="E16" s="233">
        <f>E17</f>
        <v>0</v>
      </c>
      <c r="F16" s="233">
        <f t="shared" si="9"/>
        <v>0</v>
      </c>
      <c r="G16" s="233">
        <f t="shared" si="9"/>
        <v>0</v>
      </c>
      <c r="H16" s="232">
        <f t="shared" si="1"/>
        <v>0</v>
      </c>
      <c r="I16" s="233">
        <v>0</v>
      </c>
      <c r="J16" s="233">
        <f>J17</f>
        <v>0</v>
      </c>
      <c r="K16" s="233">
        <f t="shared" si="9"/>
        <v>0</v>
      </c>
      <c r="L16" s="233">
        <f t="shared" si="9"/>
        <v>0</v>
      </c>
      <c r="M16" s="232">
        <f t="shared" si="3"/>
        <v>0</v>
      </c>
      <c r="N16" s="233">
        <v>0</v>
      </c>
      <c r="O16" s="233">
        <f>O17</f>
        <v>0</v>
      </c>
      <c r="P16" s="233">
        <f t="shared" si="10"/>
        <v>0</v>
      </c>
      <c r="Q16" s="233">
        <f t="shared" si="10"/>
        <v>0</v>
      </c>
      <c r="R16" s="232">
        <f t="shared" si="5"/>
        <v>0</v>
      </c>
    </row>
    <row r="17" spans="1:18" s="4" customFormat="1" ht="24" hidden="1" customHeight="1">
      <c r="A17" s="133">
        <v>18130</v>
      </c>
      <c r="B17" s="172" t="s">
        <v>159</v>
      </c>
      <c r="C17" s="170">
        <v>0</v>
      </c>
      <c r="D17" s="171">
        <v>0</v>
      </c>
      <c r="E17" s="233">
        <f>SUM(E18:E20)</f>
        <v>0</v>
      </c>
      <c r="F17" s="233">
        <f t="shared" ref="F17:G17" si="11">SUM(F18:F20)</f>
        <v>0</v>
      </c>
      <c r="G17" s="233">
        <f t="shared" si="11"/>
        <v>0</v>
      </c>
      <c r="H17" s="232">
        <f t="shared" si="1"/>
        <v>0</v>
      </c>
      <c r="I17" s="233">
        <v>0</v>
      </c>
      <c r="J17" s="233">
        <f>SUM(J18:J20)</f>
        <v>0</v>
      </c>
      <c r="K17" s="233">
        <f t="shared" ref="K17:L17" si="12">SUM(K18:K20)</f>
        <v>0</v>
      </c>
      <c r="L17" s="233">
        <f t="shared" si="12"/>
        <v>0</v>
      </c>
      <c r="M17" s="232">
        <f t="shared" si="3"/>
        <v>0</v>
      </c>
      <c r="N17" s="233">
        <v>0</v>
      </c>
      <c r="O17" s="233">
        <f>SUM(O18:O20)</f>
        <v>0</v>
      </c>
      <c r="P17" s="233">
        <f t="shared" ref="P17:Q17" si="13">SUM(P18:P20)</f>
        <v>0</v>
      </c>
      <c r="Q17" s="233">
        <f t="shared" si="13"/>
        <v>0</v>
      </c>
      <c r="R17" s="232">
        <f t="shared" si="5"/>
        <v>0</v>
      </c>
    </row>
    <row r="18" spans="1:18" s="6" customFormat="1" ht="36" hidden="1" customHeight="1">
      <c r="A18" s="134">
        <v>18131</v>
      </c>
      <c r="B18" s="172" t="s">
        <v>160</v>
      </c>
      <c r="C18" s="170"/>
      <c r="D18" s="171">
        <v>0</v>
      </c>
      <c r="E18" s="233"/>
      <c r="F18" s="233"/>
      <c r="G18" s="233"/>
      <c r="H18" s="232">
        <f t="shared" si="1"/>
        <v>0</v>
      </c>
      <c r="I18" s="233">
        <v>0</v>
      </c>
      <c r="J18" s="233"/>
      <c r="K18" s="233"/>
      <c r="L18" s="233"/>
      <c r="M18" s="232">
        <f t="shared" si="3"/>
        <v>0</v>
      </c>
      <c r="N18" s="233">
        <v>0</v>
      </c>
      <c r="O18" s="233"/>
      <c r="P18" s="233"/>
      <c r="Q18" s="233"/>
      <c r="R18" s="232">
        <f t="shared" si="5"/>
        <v>0</v>
      </c>
    </row>
    <row r="19" spans="1:18" s="6" customFormat="1" ht="24" hidden="1" customHeight="1">
      <c r="A19" s="134">
        <v>18132</v>
      </c>
      <c r="B19" s="172" t="s">
        <v>169</v>
      </c>
      <c r="C19" s="170"/>
      <c r="D19" s="171">
        <v>0</v>
      </c>
      <c r="E19" s="233"/>
      <c r="F19" s="233"/>
      <c r="G19" s="233"/>
      <c r="H19" s="232">
        <f t="shared" si="1"/>
        <v>0</v>
      </c>
      <c r="I19" s="233">
        <v>0</v>
      </c>
      <c r="J19" s="233"/>
      <c r="K19" s="233"/>
      <c r="L19" s="233"/>
      <c r="M19" s="232">
        <f t="shared" si="3"/>
        <v>0</v>
      </c>
      <c r="N19" s="233">
        <v>0</v>
      </c>
      <c r="O19" s="233"/>
      <c r="P19" s="233"/>
      <c r="Q19" s="233"/>
      <c r="R19" s="232">
        <f t="shared" si="5"/>
        <v>0</v>
      </c>
    </row>
    <row r="20" spans="1:18" s="6" customFormat="1" ht="24" hidden="1" customHeight="1">
      <c r="A20" s="134">
        <v>18139</v>
      </c>
      <c r="B20" s="172" t="s">
        <v>179</v>
      </c>
      <c r="C20" s="170"/>
      <c r="D20" s="171">
        <v>0</v>
      </c>
      <c r="E20" s="233"/>
      <c r="F20" s="233"/>
      <c r="G20" s="233"/>
      <c r="H20" s="232">
        <f t="shared" si="1"/>
        <v>0</v>
      </c>
      <c r="I20" s="233">
        <v>0</v>
      </c>
      <c r="J20" s="233"/>
      <c r="K20" s="233"/>
      <c r="L20" s="233"/>
      <c r="M20" s="232">
        <f t="shared" si="3"/>
        <v>0</v>
      </c>
      <c r="N20" s="233">
        <v>0</v>
      </c>
      <c r="O20" s="233"/>
      <c r="P20" s="233"/>
      <c r="Q20" s="233"/>
      <c r="R20" s="232">
        <f t="shared" si="5"/>
        <v>0</v>
      </c>
    </row>
    <row r="21" spans="1:18" s="6" customFormat="1" ht="12" hidden="1" customHeight="1">
      <c r="A21" s="135" t="s">
        <v>180</v>
      </c>
      <c r="B21" s="173" t="s">
        <v>173</v>
      </c>
      <c r="C21" s="201">
        <v>0</v>
      </c>
      <c r="D21" s="174">
        <v>0</v>
      </c>
      <c r="E21" s="238">
        <f t="shared" ref="E21:L21" si="14">E22</f>
        <v>0</v>
      </c>
      <c r="F21" s="238">
        <f t="shared" si="14"/>
        <v>0</v>
      </c>
      <c r="G21" s="238">
        <f t="shared" si="14"/>
        <v>0</v>
      </c>
      <c r="H21" s="232">
        <f t="shared" si="1"/>
        <v>0</v>
      </c>
      <c r="I21" s="238">
        <v>0</v>
      </c>
      <c r="J21" s="238">
        <f t="shared" si="14"/>
        <v>0</v>
      </c>
      <c r="K21" s="238">
        <f t="shared" si="14"/>
        <v>0</v>
      </c>
      <c r="L21" s="238">
        <f t="shared" si="14"/>
        <v>0</v>
      </c>
      <c r="M21" s="232">
        <f t="shared" si="3"/>
        <v>0</v>
      </c>
      <c r="N21" s="238">
        <v>0</v>
      </c>
      <c r="O21" s="238">
        <f t="shared" ref="O21:Q21" si="15">O22</f>
        <v>0</v>
      </c>
      <c r="P21" s="238">
        <f t="shared" si="15"/>
        <v>0</v>
      </c>
      <c r="Q21" s="238">
        <f t="shared" si="15"/>
        <v>0</v>
      </c>
      <c r="R21" s="232">
        <f t="shared" si="5"/>
        <v>0</v>
      </c>
    </row>
    <row r="22" spans="1:18" s="6" customFormat="1" ht="24" hidden="1" customHeight="1">
      <c r="A22" s="135">
        <v>19500</v>
      </c>
      <c r="B22" s="172" t="s">
        <v>174</v>
      </c>
      <c r="C22" s="170">
        <v>0</v>
      </c>
      <c r="D22" s="171">
        <v>0</v>
      </c>
      <c r="E22" s="233">
        <f>SUM(E23:E25)</f>
        <v>0</v>
      </c>
      <c r="F22" s="233">
        <f t="shared" ref="F22:G22" si="16">SUM(F23:F25)</f>
        <v>0</v>
      </c>
      <c r="G22" s="233">
        <f t="shared" si="16"/>
        <v>0</v>
      </c>
      <c r="H22" s="232">
        <f t="shared" si="1"/>
        <v>0</v>
      </c>
      <c r="I22" s="233">
        <v>0</v>
      </c>
      <c r="J22" s="233">
        <f>SUM(J23:J25)</f>
        <v>0</v>
      </c>
      <c r="K22" s="233">
        <f t="shared" ref="K22:L22" si="17">SUM(K23:K25)</f>
        <v>0</v>
      </c>
      <c r="L22" s="233">
        <f t="shared" si="17"/>
        <v>0</v>
      </c>
      <c r="M22" s="232">
        <f t="shared" si="3"/>
        <v>0</v>
      </c>
      <c r="N22" s="233">
        <v>0</v>
      </c>
      <c r="O22" s="233">
        <f>SUM(O23:O25)</f>
        <v>0</v>
      </c>
      <c r="P22" s="233">
        <f t="shared" ref="P22:Q22" si="18">SUM(P23:P25)</f>
        <v>0</v>
      </c>
      <c r="Q22" s="233">
        <f t="shared" si="18"/>
        <v>0</v>
      </c>
      <c r="R22" s="232">
        <f t="shared" si="5"/>
        <v>0</v>
      </c>
    </row>
    <row r="23" spans="1:18" s="6" customFormat="1" ht="24" hidden="1" customHeight="1">
      <c r="A23" s="136">
        <v>19550</v>
      </c>
      <c r="B23" s="172" t="s">
        <v>175</v>
      </c>
      <c r="C23" s="170"/>
      <c r="D23" s="171">
        <v>0</v>
      </c>
      <c r="E23" s="233"/>
      <c r="F23" s="233"/>
      <c r="G23" s="233"/>
      <c r="H23" s="232">
        <f t="shared" si="1"/>
        <v>0</v>
      </c>
      <c r="I23" s="233">
        <v>0</v>
      </c>
      <c r="J23" s="233"/>
      <c r="K23" s="233"/>
      <c r="L23" s="233"/>
      <c r="M23" s="232">
        <f t="shared" si="3"/>
        <v>0</v>
      </c>
      <c r="N23" s="233">
        <v>0</v>
      </c>
      <c r="O23" s="233"/>
      <c r="P23" s="233"/>
      <c r="Q23" s="233"/>
      <c r="R23" s="232">
        <f t="shared" si="5"/>
        <v>0</v>
      </c>
    </row>
    <row r="24" spans="1:18" s="6" customFormat="1" ht="36" hidden="1" customHeight="1">
      <c r="A24" s="136">
        <v>19560</v>
      </c>
      <c r="B24" s="172" t="s">
        <v>181</v>
      </c>
      <c r="C24" s="170"/>
      <c r="D24" s="171">
        <v>0</v>
      </c>
      <c r="E24" s="233"/>
      <c r="F24" s="233"/>
      <c r="G24" s="233"/>
      <c r="H24" s="232">
        <f t="shared" si="1"/>
        <v>0</v>
      </c>
      <c r="I24" s="233">
        <v>0</v>
      </c>
      <c r="J24" s="233"/>
      <c r="K24" s="233"/>
      <c r="L24" s="233"/>
      <c r="M24" s="232">
        <f t="shared" si="3"/>
        <v>0</v>
      </c>
      <c r="N24" s="233">
        <v>0</v>
      </c>
      <c r="O24" s="233"/>
      <c r="P24" s="233"/>
      <c r="Q24" s="233"/>
      <c r="R24" s="232">
        <f t="shared" si="5"/>
        <v>0</v>
      </c>
    </row>
    <row r="25" spans="1:18" s="6" customFormat="1" ht="72" hidden="1" customHeight="1">
      <c r="A25" s="136">
        <v>19570</v>
      </c>
      <c r="B25" s="172" t="s">
        <v>182</v>
      </c>
      <c r="C25" s="170"/>
      <c r="D25" s="171">
        <v>0</v>
      </c>
      <c r="E25" s="233"/>
      <c r="F25" s="233"/>
      <c r="G25" s="233"/>
      <c r="H25" s="232">
        <f t="shared" si="1"/>
        <v>0</v>
      </c>
      <c r="I25" s="233">
        <v>0</v>
      </c>
      <c r="J25" s="233"/>
      <c r="K25" s="233"/>
      <c r="L25" s="233"/>
      <c r="M25" s="232">
        <f t="shared" si="3"/>
        <v>0</v>
      </c>
      <c r="N25" s="233">
        <v>0</v>
      </c>
      <c r="O25" s="233"/>
      <c r="P25" s="233"/>
      <c r="Q25" s="233"/>
      <c r="R25" s="232">
        <f t="shared" si="5"/>
        <v>0</v>
      </c>
    </row>
    <row r="26" spans="1:18" s="6" customFormat="1" ht="36" hidden="1" customHeight="1">
      <c r="A26" s="209" t="s">
        <v>222</v>
      </c>
      <c r="B26" s="208" t="s">
        <v>216</v>
      </c>
      <c r="C26" s="106">
        <f>C27</f>
        <v>0</v>
      </c>
      <c r="D26" s="106">
        <v>0</v>
      </c>
      <c r="E26" s="232">
        <f t="shared" ref="E26:L26" si="19">E27</f>
        <v>0</v>
      </c>
      <c r="F26" s="232">
        <f t="shared" si="19"/>
        <v>0</v>
      </c>
      <c r="G26" s="232">
        <f t="shared" si="19"/>
        <v>0</v>
      </c>
      <c r="H26" s="232">
        <f t="shared" si="1"/>
        <v>0</v>
      </c>
      <c r="I26" s="233">
        <v>0</v>
      </c>
      <c r="J26" s="232">
        <f t="shared" si="19"/>
        <v>0</v>
      </c>
      <c r="K26" s="232">
        <f t="shared" si="19"/>
        <v>0</v>
      </c>
      <c r="L26" s="232">
        <f t="shared" si="19"/>
        <v>0</v>
      </c>
      <c r="M26" s="232">
        <f t="shared" si="3"/>
        <v>0</v>
      </c>
      <c r="N26" s="233">
        <v>0</v>
      </c>
      <c r="O26" s="232">
        <f t="shared" ref="O26:Q26" si="20">O27</f>
        <v>0</v>
      </c>
      <c r="P26" s="232">
        <f t="shared" si="20"/>
        <v>0</v>
      </c>
      <c r="Q26" s="232">
        <f t="shared" si="20"/>
        <v>0</v>
      </c>
      <c r="R26" s="232">
        <f t="shared" si="5"/>
        <v>0</v>
      </c>
    </row>
    <row r="27" spans="1:18" s="6" customFormat="1" ht="36" hidden="1" customHeight="1">
      <c r="A27" s="209">
        <v>17100</v>
      </c>
      <c r="B27" s="208" t="s">
        <v>217</v>
      </c>
      <c r="C27" s="106">
        <f>SUM(C28:C31)</f>
        <v>0</v>
      </c>
      <c r="D27" s="106">
        <v>0</v>
      </c>
      <c r="E27" s="232">
        <f t="shared" ref="E27:G27" si="21">SUM(E28:E31)</f>
        <v>0</v>
      </c>
      <c r="F27" s="232">
        <f t="shared" ref="F27" si="22">SUM(F28:F31)</f>
        <v>0</v>
      </c>
      <c r="G27" s="232">
        <f t="shared" si="21"/>
        <v>0</v>
      </c>
      <c r="H27" s="232">
        <f t="shared" si="1"/>
        <v>0</v>
      </c>
      <c r="I27" s="233">
        <v>0</v>
      </c>
      <c r="J27" s="232">
        <f t="shared" ref="J27:L27" si="23">SUM(J28:J31)</f>
        <v>0</v>
      </c>
      <c r="K27" s="232">
        <f t="shared" ref="K27" si="24">SUM(K28:K31)</f>
        <v>0</v>
      </c>
      <c r="L27" s="232">
        <f t="shared" si="23"/>
        <v>0</v>
      </c>
      <c r="M27" s="232">
        <f t="shared" si="3"/>
        <v>0</v>
      </c>
      <c r="N27" s="233">
        <v>0</v>
      </c>
      <c r="O27" s="232">
        <f t="shared" ref="O27:Q27" si="25">SUM(O28:O31)</f>
        <v>0</v>
      </c>
      <c r="P27" s="232">
        <f t="shared" ref="P27" si="26">SUM(P28:P31)</f>
        <v>0</v>
      </c>
      <c r="Q27" s="232">
        <f t="shared" si="25"/>
        <v>0</v>
      </c>
      <c r="R27" s="232">
        <f t="shared" si="5"/>
        <v>0</v>
      </c>
    </row>
    <row r="28" spans="1:18" s="6" customFormat="1" ht="60" hidden="1" customHeight="1">
      <c r="A28" s="149">
        <v>17110</v>
      </c>
      <c r="B28" s="208" t="s">
        <v>218</v>
      </c>
      <c r="C28" s="106"/>
      <c r="D28" s="107">
        <v>0</v>
      </c>
      <c r="E28" s="233"/>
      <c r="F28" s="233"/>
      <c r="G28" s="233"/>
      <c r="H28" s="232">
        <f t="shared" si="1"/>
        <v>0</v>
      </c>
      <c r="I28" s="233">
        <v>0</v>
      </c>
      <c r="J28" s="233"/>
      <c r="K28" s="233"/>
      <c r="L28" s="233"/>
      <c r="M28" s="232">
        <f t="shared" si="3"/>
        <v>0</v>
      </c>
      <c r="N28" s="233">
        <v>0</v>
      </c>
      <c r="O28" s="233"/>
      <c r="P28" s="233"/>
      <c r="Q28" s="233"/>
      <c r="R28" s="232">
        <f t="shared" si="5"/>
        <v>0</v>
      </c>
    </row>
    <row r="29" spans="1:18" s="6" customFormat="1" ht="60" hidden="1" customHeight="1">
      <c r="A29" s="149">
        <v>17120</v>
      </c>
      <c r="B29" s="208" t="s">
        <v>219</v>
      </c>
      <c r="C29" s="106"/>
      <c r="D29" s="107">
        <v>0</v>
      </c>
      <c r="E29" s="233"/>
      <c r="F29" s="233"/>
      <c r="G29" s="233"/>
      <c r="H29" s="232">
        <f t="shared" si="1"/>
        <v>0</v>
      </c>
      <c r="I29" s="233">
        <v>0</v>
      </c>
      <c r="J29" s="233"/>
      <c r="K29" s="233"/>
      <c r="L29" s="233"/>
      <c r="M29" s="232">
        <f t="shared" si="3"/>
        <v>0</v>
      </c>
      <c r="N29" s="233">
        <v>0</v>
      </c>
      <c r="O29" s="233"/>
      <c r="P29" s="233"/>
      <c r="Q29" s="233"/>
      <c r="R29" s="232">
        <f t="shared" si="5"/>
        <v>0</v>
      </c>
    </row>
    <row r="30" spans="1:18" s="6" customFormat="1" ht="108" hidden="1" customHeight="1">
      <c r="A30" s="149">
        <v>17130</v>
      </c>
      <c r="B30" s="208" t="s">
        <v>220</v>
      </c>
      <c r="C30" s="106"/>
      <c r="D30" s="107">
        <v>0</v>
      </c>
      <c r="E30" s="233"/>
      <c r="F30" s="233"/>
      <c r="G30" s="233"/>
      <c r="H30" s="232">
        <f t="shared" si="1"/>
        <v>0</v>
      </c>
      <c r="I30" s="233">
        <v>0</v>
      </c>
      <c r="J30" s="233"/>
      <c r="K30" s="233"/>
      <c r="L30" s="233"/>
      <c r="M30" s="232">
        <f t="shared" si="3"/>
        <v>0</v>
      </c>
      <c r="N30" s="233">
        <v>0</v>
      </c>
      <c r="O30" s="233"/>
      <c r="P30" s="233"/>
      <c r="Q30" s="233"/>
      <c r="R30" s="232">
        <f t="shared" si="5"/>
        <v>0</v>
      </c>
    </row>
    <row r="31" spans="1:18" s="6" customFormat="1" ht="108" hidden="1" customHeight="1">
      <c r="A31" s="149">
        <v>17140</v>
      </c>
      <c r="B31" s="208" t="s">
        <v>221</v>
      </c>
      <c r="C31" s="106"/>
      <c r="D31" s="107">
        <v>0</v>
      </c>
      <c r="E31" s="233"/>
      <c r="F31" s="233"/>
      <c r="G31" s="233"/>
      <c r="H31" s="232">
        <f t="shared" si="1"/>
        <v>0</v>
      </c>
      <c r="I31" s="233">
        <v>0</v>
      </c>
      <c r="J31" s="233"/>
      <c r="K31" s="233"/>
      <c r="L31" s="233"/>
      <c r="M31" s="232">
        <f t="shared" si="3"/>
        <v>0</v>
      </c>
      <c r="N31" s="233">
        <v>0</v>
      </c>
      <c r="O31" s="233"/>
      <c r="P31" s="233"/>
      <c r="Q31" s="233"/>
      <c r="R31" s="232">
        <f t="shared" si="5"/>
        <v>0</v>
      </c>
    </row>
    <row r="32" spans="1:18" s="6" customFormat="1" ht="12">
      <c r="A32" s="137">
        <v>21700</v>
      </c>
      <c r="B32" s="124" t="s">
        <v>97</v>
      </c>
      <c r="C32" s="170">
        <v>15491371</v>
      </c>
      <c r="D32" s="171">
        <v>15491371</v>
      </c>
      <c r="E32" s="233">
        <f>E33+E34</f>
        <v>0</v>
      </c>
      <c r="F32" s="233">
        <f t="shared" ref="F32:G32" si="27">F33+F34</f>
        <v>0</v>
      </c>
      <c r="G32" s="233">
        <f t="shared" si="27"/>
        <v>0</v>
      </c>
      <c r="H32" s="232">
        <f t="shared" si="1"/>
        <v>15491371</v>
      </c>
      <c r="I32" s="233">
        <v>9777097</v>
      </c>
      <c r="J32" s="233">
        <f>J33+J34</f>
        <v>0</v>
      </c>
      <c r="K32" s="233">
        <f t="shared" ref="K32:L32" si="28">K33+K34</f>
        <v>0</v>
      </c>
      <c r="L32" s="233">
        <f t="shared" si="28"/>
        <v>0</v>
      </c>
      <c r="M32" s="232">
        <f t="shared" si="3"/>
        <v>9777097</v>
      </c>
      <c r="N32" s="233">
        <v>9777097</v>
      </c>
      <c r="O32" s="233">
        <f>O33+O34</f>
        <v>0</v>
      </c>
      <c r="P32" s="233">
        <f t="shared" ref="P32:Q32" si="29">P33+P34</f>
        <v>0</v>
      </c>
      <c r="Q32" s="233">
        <f t="shared" si="29"/>
        <v>0</v>
      </c>
      <c r="R32" s="232">
        <f t="shared" si="5"/>
        <v>9777097</v>
      </c>
    </row>
    <row r="33" spans="1:18" s="6" customFormat="1" ht="24">
      <c r="A33" s="138">
        <v>21710</v>
      </c>
      <c r="B33" s="125" t="s">
        <v>98</v>
      </c>
      <c r="C33" s="170">
        <v>15491371</v>
      </c>
      <c r="D33" s="171">
        <v>15491371</v>
      </c>
      <c r="E33" s="233"/>
      <c r="F33" s="233"/>
      <c r="G33" s="233"/>
      <c r="H33" s="232">
        <f t="shared" si="1"/>
        <v>15491371</v>
      </c>
      <c r="I33" s="233">
        <v>9777097</v>
      </c>
      <c r="J33" s="233"/>
      <c r="K33" s="233"/>
      <c r="L33" s="233"/>
      <c r="M33" s="232">
        <f t="shared" si="3"/>
        <v>9777097</v>
      </c>
      <c r="N33" s="233">
        <v>9777097</v>
      </c>
      <c r="O33" s="233"/>
      <c r="P33" s="233"/>
      <c r="Q33" s="233"/>
      <c r="R33" s="232">
        <f t="shared" si="5"/>
        <v>9777097</v>
      </c>
    </row>
    <row r="34" spans="1:18" s="6" customFormat="1" ht="24" hidden="1" customHeight="1">
      <c r="A34" s="138">
        <v>21720</v>
      </c>
      <c r="B34" s="125" t="s">
        <v>99</v>
      </c>
      <c r="C34" s="170"/>
      <c r="D34" s="171">
        <v>0</v>
      </c>
      <c r="E34" s="233"/>
      <c r="F34" s="233"/>
      <c r="G34" s="233"/>
      <c r="H34" s="232">
        <f t="shared" si="1"/>
        <v>0</v>
      </c>
      <c r="I34" s="233">
        <v>0</v>
      </c>
      <c r="J34" s="233"/>
      <c r="K34" s="233"/>
      <c r="L34" s="233"/>
      <c r="M34" s="232">
        <f t="shared" si="3"/>
        <v>0</v>
      </c>
      <c r="N34" s="233">
        <v>0</v>
      </c>
      <c r="O34" s="233"/>
      <c r="P34" s="233"/>
      <c r="Q34" s="233"/>
      <c r="R34" s="232">
        <f t="shared" si="5"/>
        <v>0</v>
      </c>
    </row>
    <row r="35" spans="1:18" s="6" customFormat="1" ht="11.4">
      <c r="A35" s="129" t="s">
        <v>100</v>
      </c>
      <c r="B35" s="123" t="s">
        <v>101</v>
      </c>
      <c r="C35" s="168">
        <v>15491371</v>
      </c>
      <c r="D35" s="175">
        <v>15491371</v>
      </c>
      <c r="E35" s="243">
        <f t="shared" ref="E35:G35" si="30">E36+E63</f>
        <v>0</v>
      </c>
      <c r="F35" s="243">
        <f t="shared" ref="F35" si="31">F36+F63</f>
        <v>0</v>
      </c>
      <c r="G35" s="243">
        <f t="shared" si="30"/>
        <v>0</v>
      </c>
      <c r="H35" s="229">
        <f t="shared" si="1"/>
        <v>15491371</v>
      </c>
      <c r="I35" s="243">
        <v>9777097</v>
      </c>
      <c r="J35" s="243">
        <f t="shared" ref="J35:L35" si="32">J36+J63</f>
        <v>0</v>
      </c>
      <c r="K35" s="243">
        <f t="shared" ref="K35" si="33">K36+K63</f>
        <v>0</v>
      </c>
      <c r="L35" s="243">
        <f t="shared" si="32"/>
        <v>0</v>
      </c>
      <c r="M35" s="229">
        <f t="shared" si="3"/>
        <v>9777097</v>
      </c>
      <c r="N35" s="243">
        <v>9777097</v>
      </c>
      <c r="O35" s="243">
        <f t="shared" ref="O35:Q35" si="34">O36+O63</f>
        <v>0</v>
      </c>
      <c r="P35" s="243">
        <f t="shared" ref="P35" si="35">P36+P63</f>
        <v>0</v>
      </c>
      <c r="Q35" s="243">
        <f t="shared" si="34"/>
        <v>0</v>
      </c>
      <c r="R35" s="229">
        <f t="shared" si="5"/>
        <v>9777097</v>
      </c>
    </row>
    <row r="36" spans="1:18" s="6" customFormat="1" ht="20.399999999999999">
      <c r="A36" s="130" t="s">
        <v>102</v>
      </c>
      <c r="B36" s="124" t="s">
        <v>103</v>
      </c>
      <c r="C36" s="170">
        <v>15491371</v>
      </c>
      <c r="D36" s="171">
        <v>15491371</v>
      </c>
      <c r="E36" s="233">
        <f>E37+E41+E42+E45+E48</f>
        <v>0</v>
      </c>
      <c r="F36" s="233">
        <f t="shared" ref="F36:G36" si="36">F37+F41+F42+F45+F48</f>
        <v>0</v>
      </c>
      <c r="G36" s="233">
        <f t="shared" si="36"/>
        <v>0</v>
      </c>
      <c r="H36" s="232">
        <f t="shared" si="1"/>
        <v>15491371</v>
      </c>
      <c r="I36" s="233">
        <v>9777097</v>
      </c>
      <c r="J36" s="233">
        <f>J37+J41+J42+J45+J48</f>
        <v>0</v>
      </c>
      <c r="K36" s="233">
        <f t="shared" ref="K36:L36" si="37">K37+K41+K42+K45+K48</f>
        <v>0</v>
      </c>
      <c r="L36" s="233">
        <f t="shared" si="37"/>
        <v>0</v>
      </c>
      <c r="M36" s="232">
        <f t="shared" si="3"/>
        <v>9777097</v>
      </c>
      <c r="N36" s="233">
        <v>9777097</v>
      </c>
      <c r="O36" s="233">
        <f>O37+O41+O42+O45+O48</f>
        <v>0</v>
      </c>
      <c r="P36" s="233">
        <f t="shared" ref="P36:Q36" si="38">P37+P41+P42+P45+P48</f>
        <v>0</v>
      </c>
      <c r="Q36" s="233">
        <f t="shared" si="38"/>
        <v>0</v>
      </c>
      <c r="R36" s="232">
        <f t="shared" si="5"/>
        <v>9777097</v>
      </c>
    </row>
    <row r="37" spans="1:18" s="6" customFormat="1" ht="12" hidden="1" customHeight="1">
      <c r="A37" s="130" t="s">
        <v>104</v>
      </c>
      <c r="B37" s="124" t="s">
        <v>105</v>
      </c>
      <c r="C37" s="170">
        <v>0</v>
      </c>
      <c r="D37" s="171">
        <v>0</v>
      </c>
      <c r="E37" s="233">
        <f>E38+E40</f>
        <v>0</v>
      </c>
      <c r="F37" s="233">
        <f t="shared" ref="F37:G37" si="39">F38+F40</f>
        <v>0</v>
      </c>
      <c r="G37" s="233">
        <f t="shared" si="39"/>
        <v>0</v>
      </c>
      <c r="H37" s="232">
        <f t="shared" si="1"/>
        <v>0</v>
      </c>
      <c r="I37" s="233">
        <v>0</v>
      </c>
      <c r="J37" s="233">
        <f>J38+J40</f>
        <v>0</v>
      </c>
      <c r="K37" s="233">
        <f t="shared" ref="K37:L37" si="40">K38+K40</f>
        <v>0</v>
      </c>
      <c r="L37" s="233">
        <f t="shared" si="40"/>
        <v>0</v>
      </c>
      <c r="M37" s="232">
        <f t="shared" si="3"/>
        <v>0</v>
      </c>
      <c r="N37" s="233">
        <v>0</v>
      </c>
      <c r="O37" s="233">
        <f>O38+O40</f>
        <v>0</v>
      </c>
      <c r="P37" s="233">
        <f t="shared" ref="P37:Q37" si="41">P38+P40</f>
        <v>0</v>
      </c>
      <c r="Q37" s="233">
        <f t="shared" si="41"/>
        <v>0</v>
      </c>
      <c r="R37" s="232">
        <f t="shared" si="5"/>
        <v>0</v>
      </c>
    </row>
    <row r="38" spans="1:18" s="6" customFormat="1" ht="12" hidden="1" customHeight="1">
      <c r="A38" s="132">
        <v>1000</v>
      </c>
      <c r="B38" s="125" t="s">
        <v>106</v>
      </c>
      <c r="C38" s="170"/>
      <c r="D38" s="176">
        <v>0</v>
      </c>
      <c r="E38" s="244"/>
      <c r="F38" s="244"/>
      <c r="G38" s="244"/>
      <c r="H38" s="232">
        <f t="shared" si="1"/>
        <v>0</v>
      </c>
      <c r="I38" s="233">
        <v>0</v>
      </c>
      <c r="J38" s="244"/>
      <c r="K38" s="244"/>
      <c r="L38" s="244"/>
      <c r="M38" s="232">
        <f t="shared" si="3"/>
        <v>0</v>
      </c>
      <c r="N38" s="233">
        <v>0</v>
      </c>
      <c r="O38" s="244"/>
      <c r="P38" s="244"/>
      <c r="Q38" s="244"/>
      <c r="R38" s="232">
        <f t="shared" si="5"/>
        <v>0</v>
      </c>
    </row>
    <row r="39" spans="1:18" s="6" customFormat="1" ht="12" hidden="1" customHeight="1">
      <c r="A39" s="139">
        <v>1100</v>
      </c>
      <c r="B39" s="125" t="s">
        <v>107</v>
      </c>
      <c r="C39" s="170"/>
      <c r="D39" s="176">
        <v>0</v>
      </c>
      <c r="E39" s="244"/>
      <c r="F39" s="244"/>
      <c r="G39" s="244"/>
      <c r="H39" s="232">
        <f t="shared" si="1"/>
        <v>0</v>
      </c>
      <c r="I39" s="233">
        <v>0</v>
      </c>
      <c r="J39" s="244"/>
      <c r="K39" s="244"/>
      <c r="L39" s="244"/>
      <c r="M39" s="232">
        <f t="shared" si="3"/>
        <v>0</v>
      </c>
      <c r="N39" s="233">
        <v>0</v>
      </c>
      <c r="O39" s="244"/>
      <c r="P39" s="244"/>
      <c r="Q39" s="244"/>
      <c r="R39" s="232">
        <f t="shared" si="5"/>
        <v>0</v>
      </c>
    </row>
    <row r="40" spans="1:18" s="6" customFormat="1" ht="12" hidden="1" customHeight="1">
      <c r="A40" s="132">
        <v>2000</v>
      </c>
      <c r="B40" s="125" t="s">
        <v>108</v>
      </c>
      <c r="C40" s="170"/>
      <c r="D40" s="176">
        <v>0</v>
      </c>
      <c r="E40" s="244"/>
      <c r="F40" s="244"/>
      <c r="G40" s="244"/>
      <c r="H40" s="232">
        <f t="shared" si="1"/>
        <v>0</v>
      </c>
      <c r="I40" s="233">
        <v>0</v>
      </c>
      <c r="J40" s="244"/>
      <c r="K40" s="244"/>
      <c r="L40" s="244"/>
      <c r="M40" s="232">
        <f t="shared" si="3"/>
        <v>0</v>
      </c>
      <c r="N40" s="233">
        <v>0</v>
      </c>
      <c r="O40" s="244"/>
      <c r="P40" s="244"/>
      <c r="Q40" s="244"/>
      <c r="R40" s="232">
        <f t="shared" si="5"/>
        <v>0</v>
      </c>
    </row>
    <row r="41" spans="1:18" s="6" customFormat="1" ht="12" hidden="1" customHeight="1">
      <c r="A41" s="140">
        <v>4000</v>
      </c>
      <c r="B41" s="124" t="s">
        <v>132</v>
      </c>
      <c r="C41" s="170"/>
      <c r="D41" s="176">
        <v>0</v>
      </c>
      <c r="E41" s="244"/>
      <c r="F41" s="244"/>
      <c r="G41" s="244"/>
      <c r="H41" s="232">
        <f t="shared" si="1"/>
        <v>0</v>
      </c>
      <c r="I41" s="233">
        <v>0</v>
      </c>
      <c r="J41" s="244"/>
      <c r="K41" s="244"/>
      <c r="L41" s="244"/>
      <c r="M41" s="232">
        <f t="shared" si="3"/>
        <v>0</v>
      </c>
      <c r="N41" s="233">
        <v>0</v>
      </c>
      <c r="O41" s="244"/>
      <c r="P41" s="244"/>
      <c r="Q41" s="244"/>
      <c r="R41" s="232">
        <f t="shared" si="5"/>
        <v>0</v>
      </c>
    </row>
    <row r="42" spans="1:18" s="6" customFormat="1" ht="12" hidden="1" customHeight="1">
      <c r="A42" s="140" t="s">
        <v>109</v>
      </c>
      <c r="B42" s="124" t="s">
        <v>110</v>
      </c>
      <c r="C42" s="170">
        <v>0</v>
      </c>
      <c r="D42" s="171">
        <v>0</v>
      </c>
      <c r="E42" s="233">
        <f>E43+E44</f>
        <v>0</v>
      </c>
      <c r="F42" s="233">
        <f t="shared" ref="F42:G42" si="42">F43+F44</f>
        <v>0</v>
      </c>
      <c r="G42" s="233">
        <f t="shared" si="42"/>
        <v>0</v>
      </c>
      <c r="H42" s="232">
        <f t="shared" si="1"/>
        <v>0</v>
      </c>
      <c r="I42" s="233">
        <v>0</v>
      </c>
      <c r="J42" s="233">
        <f>J43+J44</f>
        <v>0</v>
      </c>
      <c r="K42" s="233">
        <f t="shared" ref="K42:L42" si="43">K43+K44</f>
        <v>0</v>
      </c>
      <c r="L42" s="233">
        <f t="shared" si="43"/>
        <v>0</v>
      </c>
      <c r="M42" s="232">
        <f t="shared" si="3"/>
        <v>0</v>
      </c>
      <c r="N42" s="233">
        <v>0</v>
      </c>
      <c r="O42" s="233">
        <f>O43+O44</f>
        <v>0</v>
      </c>
      <c r="P42" s="233">
        <f t="shared" ref="P42:Q42" si="44">P43+P44</f>
        <v>0</v>
      </c>
      <c r="Q42" s="233">
        <f t="shared" si="44"/>
        <v>0</v>
      </c>
      <c r="R42" s="232">
        <f t="shared" si="5"/>
        <v>0</v>
      </c>
    </row>
    <row r="43" spans="1:18" s="6" customFormat="1" ht="12" hidden="1" customHeight="1">
      <c r="A43" s="132">
        <v>3000</v>
      </c>
      <c r="B43" s="125" t="s">
        <v>111</v>
      </c>
      <c r="C43" s="202"/>
      <c r="D43" s="177">
        <v>0</v>
      </c>
      <c r="E43" s="246"/>
      <c r="F43" s="246"/>
      <c r="G43" s="246"/>
      <c r="H43" s="232">
        <f t="shared" si="1"/>
        <v>0</v>
      </c>
      <c r="I43" s="345">
        <v>0</v>
      </c>
      <c r="J43" s="246"/>
      <c r="K43" s="246"/>
      <c r="L43" s="246"/>
      <c r="M43" s="232">
        <f t="shared" si="3"/>
        <v>0</v>
      </c>
      <c r="N43" s="345">
        <v>0</v>
      </c>
      <c r="O43" s="246"/>
      <c r="P43" s="246"/>
      <c r="Q43" s="246"/>
      <c r="R43" s="232">
        <f t="shared" si="5"/>
        <v>0</v>
      </c>
    </row>
    <row r="44" spans="1:18" s="6" customFormat="1" ht="12" hidden="1" customHeight="1">
      <c r="A44" s="132">
        <v>6000</v>
      </c>
      <c r="B44" s="125" t="s">
        <v>112</v>
      </c>
      <c r="C44" s="203"/>
      <c r="D44" s="178">
        <v>0</v>
      </c>
      <c r="E44" s="248"/>
      <c r="F44" s="248"/>
      <c r="G44" s="248"/>
      <c r="H44" s="232">
        <f t="shared" si="1"/>
        <v>0</v>
      </c>
      <c r="I44" s="346">
        <v>0</v>
      </c>
      <c r="J44" s="248"/>
      <c r="K44" s="248"/>
      <c r="L44" s="248"/>
      <c r="M44" s="232">
        <f t="shared" si="3"/>
        <v>0</v>
      </c>
      <c r="N44" s="346">
        <v>0</v>
      </c>
      <c r="O44" s="248"/>
      <c r="P44" s="248"/>
      <c r="Q44" s="248"/>
      <c r="R44" s="232">
        <f t="shared" si="5"/>
        <v>0</v>
      </c>
    </row>
    <row r="45" spans="1:18" s="6" customFormat="1" ht="24" hidden="1" customHeight="1">
      <c r="A45" s="140" t="s">
        <v>113</v>
      </c>
      <c r="B45" s="124" t="s">
        <v>183</v>
      </c>
      <c r="C45" s="170">
        <v>0</v>
      </c>
      <c r="D45" s="171">
        <v>0</v>
      </c>
      <c r="E45" s="233">
        <f>E46+E47</f>
        <v>0</v>
      </c>
      <c r="F45" s="233">
        <f t="shared" ref="F45:G45" si="45">F46+F47</f>
        <v>0</v>
      </c>
      <c r="G45" s="233">
        <f t="shared" si="45"/>
        <v>0</v>
      </c>
      <c r="H45" s="232">
        <f t="shared" si="1"/>
        <v>0</v>
      </c>
      <c r="I45" s="233">
        <v>0</v>
      </c>
      <c r="J45" s="233">
        <f>J46+J47</f>
        <v>0</v>
      </c>
      <c r="K45" s="233">
        <f t="shared" ref="K45:L45" si="46">K46+K47</f>
        <v>0</v>
      </c>
      <c r="L45" s="233">
        <f t="shared" si="46"/>
        <v>0</v>
      </c>
      <c r="M45" s="232">
        <f t="shared" si="3"/>
        <v>0</v>
      </c>
      <c r="N45" s="233">
        <v>0</v>
      </c>
      <c r="O45" s="233">
        <f>O46+O47</f>
        <v>0</v>
      </c>
      <c r="P45" s="233">
        <f t="shared" ref="P45:Q45" si="47">P46+P47</f>
        <v>0</v>
      </c>
      <c r="Q45" s="233">
        <f t="shared" si="47"/>
        <v>0</v>
      </c>
      <c r="R45" s="232">
        <f t="shared" si="5"/>
        <v>0</v>
      </c>
    </row>
    <row r="46" spans="1:18" s="6" customFormat="1" ht="12" hidden="1" customHeight="1">
      <c r="A46" s="132">
        <v>7600</v>
      </c>
      <c r="B46" s="179" t="s">
        <v>184</v>
      </c>
      <c r="C46" s="170"/>
      <c r="D46" s="176">
        <v>0</v>
      </c>
      <c r="E46" s="244"/>
      <c r="F46" s="244"/>
      <c r="G46" s="244"/>
      <c r="H46" s="232">
        <f t="shared" si="1"/>
        <v>0</v>
      </c>
      <c r="I46" s="233">
        <v>0</v>
      </c>
      <c r="J46" s="244"/>
      <c r="K46" s="244"/>
      <c r="L46" s="244"/>
      <c r="M46" s="232">
        <f t="shared" si="3"/>
        <v>0</v>
      </c>
      <c r="N46" s="233">
        <v>0</v>
      </c>
      <c r="O46" s="244"/>
      <c r="P46" s="244"/>
      <c r="Q46" s="244"/>
      <c r="R46" s="232">
        <f t="shared" si="5"/>
        <v>0</v>
      </c>
    </row>
    <row r="47" spans="1:18" s="6" customFormat="1" ht="12" hidden="1" customHeight="1">
      <c r="A47" s="132">
        <v>7700</v>
      </c>
      <c r="B47" s="126" t="s">
        <v>114</v>
      </c>
      <c r="C47" s="170"/>
      <c r="D47" s="176">
        <v>0</v>
      </c>
      <c r="E47" s="244"/>
      <c r="F47" s="244"/>
      <c r="G47" s="244"/>
      <c r="H47" s="232">
        <f t="shared" si="1"/>
        <v>0</v>
      </c>
      <c r="I47" s="233">
        <v>0</v>
      </c>
      <c r="J47" s="244"/>
      <c r="K47" s="244"/>
      <c r="L47" s="244"/>
      <c r="M47" s="232">
        <f t="shared" si="3"/>
        <v>0</v>
      </c>
      <c r="N47" s="233">
        <v>0</v>
      </c>
      <c r="O47" s="244"/>
      <c r="P47" s="244"/>
      <c r="Q47" s="244"/>
      <c r="R47" s="232">
        <f t="shared" si="5"/>
        <v>0</v>
      </c>
    </row>
    <row r="48" spans="1:18" s="6" customFormat="1" ht="20.399999999999999">
      <c r="A48" s="140" t="s">
        <v>185</v>
      </c>
      <c r="B48" s="124" t="s">
        <v>115</v>
      </c>
      <c r="C48" s="170">
        <v>15491371</v>
      </c>
      <c r="D48" s="171">
        <v>15491371</v>
      </c>
      <c r="E48" s="233">
        <f t="shared" ref="E48:G48" si="48">E49+E55+E59+E62</f>
        <v>0</v>
      </c>
      <c r="F48" s="233">
        <f t="shared" ref="F48" si="49">F49+F55+F59+F62</f>
        <v>0</v>
      </c>
      <c r="G48" s="233">
        <f t="shared" si="48"/>
        <v>0</v>
      </c>
      <c r="H48" s="232">
        <f t="shared" si="1"/>
        <v>15491371</v>
      </c>
      <c r="I48" s="233">
        <v>9777097</v>
      </c>
      <c r="J48" s="233">
        <f t="shared" ref="J48:L48" si="50">J49+J55+J59+J62</f>
        <v>0</v>
      </c>
      <c r="K48" s="233">
        <f t="shared" ref="K48" si="51">K49+K55+K59+K62</f>
        <v>0</v>
      </c>
      <c r="L48" s="233">
        <f t="shared" si="50"/>
        <v>0</v>
      </c>
      <c r="M48" s="232">
        <f t="shared" si="3"/>
        <v>9777097</v>
      </c>
      <c r="N48" s="233">
        <v>9777097</v>
      </c>
      <c r="O48" s="233">
        <f t="shared" ref="O48:Q48" si="52">O49+O55+O59+O62</f>
        <v>0</v>
      </c>
      <c r="P48" s="233">
        <f t="shared" ref="P48" si="53">P49+P55+P59+P62</f>
        <v>0</v>
      </c>
      <c r="Q48" s="233">
        <f t="shared" si="52"/>
        <v>0</v>
      </c>
      <c r="R48" s="232">
        <f t="shared" si="5"/>
        <v>9777097</v>
      </c>
    </row>
    <row r="49" spans="1:18" s="6" customFormat="1" ht="12" hidden="1" customHeight="1">
      <c r="A49" s="132">
        <v>7100</v>
      </c>
      <c r="B49" s="179" t="s">
        <v>116</v>
      </c>
      <c r="C49" s="170">
        <v>0</v>
      </c>
      <c r="D49" s="171">
        <v>0</v>
      </c>
      <c r="E49" s="233">
        <f>E50+E51</f>
        <v>0</v>
      </c>
      <c r="F49" s="233">
        <f t="shared" ref="F49:G49" si="54">F50+F51</f>
        <v>0</v>
      </c>
      <c r="G49" s="233">
        <f t="shared" si="54"/>
        <v>0</v>
      </c>
      <c r="H49" s="232">
        <f t="shared" si="1"/>
        <v>0</v>
      </c>
      <c r="I49" s="233">
        <v>0</v>
      </c>
      <c r="J49" s="233">
        <f>J50+J51</f>
        <v>0</v>
      </c>
      <c r="K49" s="233">
        <f t="shared" ref="K49:L49" si="55">K50+K51</f>
        <v>0</v>
      </c>
      <c r="L49" s="233">
        <f t="shared" si="55"/>
        <v>0</v>
      </c>
      <c r="M49" s="232">
        <f t="shared" si="3"/>
        <v>0</v>
      </c>
      <c r="N49" s="233">
        <v>0</v>
      </c>
      <c r="O49" s="233">
        <f>O50+O51</f>
        <v>0</v>
      </c>
      <c r="P49" s="233">
        <f t="shared" ref="P49:Q49" si="56">P50+P51</f>
        <v>0</v>
      </c>
      <c r="Q49" s="233">
        <f t="shared" si="56"/>
        <v>0</v>
      </c>
      <c r="R49" s="232">
        <f t="shared" si="5"/>
        <v>0</v>
      </c>
    </row>
    <row r="50" spans="1:18" s="6" customFormat="1" ht="24" hidden="1" customHeight="1">
      <c r="A50" s="133" t="s">
        <v>117</v>
      </c>
      <c r="B50" s="179" t="s">
        <v>118</v>
      </c>
      <c r="C50" s="170"/>
      <c r="D50" s="171">
        <v>0</v>
      </c>
      <c r="E50" s="233"/>
      <c r="F50" s="233"/>
      <c r="G50" s="233"/>
      <c r="H50" s="232">
        <f t="shared" si="1"/>
        <v>0</v>
      </c>
      <c r="I50" s="233">
        <v>0</v>
      </c>
      <c r="J50" s="233"/>
      <c r="K50" s="233"/>
      <c r="L50" s="233"/>
      <c r="M50" s="232">
        <f t="shared" si="3"/>
        <v>0</v>
      </c>
      <c r="N50" s="233">
        <v>0</v>
      </c>
      <c r="O50" s="233"/>
      <c r="P50" s="233"/>
      <c r="Q50" s="233"/>
      <c r="R50" s="232">
        <f t="shared" si="5"/>
        <v>0</v>
      </c>
    </row>
    <row r="51" spans="1:18" s="6" customFormat="1" ht="24" hidden="1" customHeight="1">
      <c r="A51" s="133">
        <v>7130</v>
      </c>
      <c r="B51" s="179" t="s">
        <v>119</v>
      </c>
      <c r="C51" s="170">
        <v>0</v>
      </c>
      <c r="D51" s="171">
        <v>0</v>
      </c>
      <c r="E51" s="233">
        <f>SUM(E52:E54)</f>
        <v>0</v>
      </c>
      <c r="F51" s="233">
        <f t="shared" ref="F51:G51" si="57">SUM(F52:F54)</f>
        <v>0</v>
      </c>
      <c r="G51" s="233">
        <f t="shared" si="57"/>
        <v>0</v>
      </c>
      <c r="H51" s="232">
        <f t="shared" si="1"/>
        <v>0</v>
      </c>
      <c r="I51" s="233">
        <v>0</v>
      </c>
      <c r="J51" s="233">
        <f>SUM(J52:J54)</f>
        <v>0</v>
      </c>
      <c r="K51" s="233">
        <f t="shared" ref="K51:L51" si="58">SUM(K52:K54)</f>
        <v>0</v>
      </c>
      <c r="L51" s="233">
        <f t="shared" si="58"/>
        <v>0</v>
      </c>
      <c r="M51" s="232">
        <f t="shared" si="3"/>
        <v>0</v>
      </c>
      <c r="N51" s="233">
        <v>0</v>
      </c>
      <c r="O51" s="233">
        <f>SUM(O52:O54)</f>
        <v>0</v>
      </c>
      <c r="P51" s="233">
        <f t="shared" ref="P51:Q51" si="59">SUM(P52:P54)</f>
        <v>0</v>
      </c>
      <c r="Q51" s="233">
        <f t="shared" si="59"/>
        <v>0</v>
      </c>
      <c r="R51" s="232">
        <f t="shared" si="5"/>
        <v>0</v>
      </c>
    </row>
    <row r="52" spans="1:18" s="6" customFormat="1" ht="36" hidden="1" customHeight="1">
      <c r="A52" s="134">
        <v>7131</v>
      </c>
      <c r="B52" s="179" t="s">
        <v>120</v>
      </c>
      <c r="C52" s="170"/>
      <c r="D52" s="171">
        <v>0</v>
      </c>
      <c r="E52" s="233"/>
      <c r="F52" s="233"/>
      <c r="G52" s="233"/>
      <c r="H52" s="232">
        <f t="shared" si="1"/>
        <v>0</v>
      </c>
      <c r="I52" s="233">
        <v>0</v>
      </c>
      <c r="J52" s="233"/>
      <c r="K52" s="233"/>
      <c r="L52" s="233"/>
      <c r="M52" s="232">
        <f t="shared" si="3"/>
        <v>0</v>
      </c>
      <c r="N52" s="233">
        <v>0</v>
      </c>
      <c r="O52" s="233"/>
      <c r="P52" s="233"/>
      <c r="Q52" s="233"/>
      <c r="R52" s="232">
        <f t="shared" si="5"/>
        <v>0</v>
      </c>
    </row>
    <row r="53" spans="1:18" s="6" customFormat="1" ht="36" hidden="1" customHeight="1">
      <c r="A53" s="134">
        <v>7132</v>
      </c>
      <c r="B53" s="179" t="s">
        <v>121</v>
      </c>
      <c r="C53" s="170"/>
      <c r="D53" s="171">
        <v>0</v>
      </c>
      <c r="E53" s="233"/>
      <c r="F53" s="233"/>
      <c r="G53" s="233"/>
      <c r="H53" s="232">
        <f t="shared" si="1"/>
        <v>0</v>
      </c>
      <c r="I53" s="233">
        <v>0</v>
      </c>
      <c r="J53" s="233"/>
      <c r="K53" s="233"/>
      <c r="L53" s="233"/>
      <c r="M53" s="232">
        <f t="shared" si="3"/>
        <v>0</v>
      </c>
      <c r="N53" s="233">
        <v>0</v>
      </c>
      <c r="O53" s="233"/>
      <c r="P53" s="233"/>
      <c r="Q53" s="233"/>
      <c r="R53" s="232">
        <f t="shared" si="5"/>
        <v>0</v>
      </c>
    </row>
    <row r="54" spans="1:18" s="6" customFormat="1" ht="36" hidden="1" customHeight="1">
      <c r="A54" s="134" t="s">
        <v>186</v>
      </c>
      <c r="B54" s="179" t="s">
        <v>187</v>
      </c>
      <c r="C54" s="170"/>
      <c r="D54" s="171">
        <v>0</v>
      </c>
      <c r="E54" s="233"/>
      <c r="F54" s="233"/>
      <c r="G54" s="233"/>
      <c r="H54" s="232">
        <f t="shared" si="1"/>
        <v>0</v>
      </c>
      <c r="I54" s="233">
        <v>0</v>
      </c>
      <c r="J54" s="233"/>
      <c r="K54" s="233"/>
      <c r="L54" s="233"/>
      <c r="M54" s="232">
        <f t="shared" si="3"/>
        <v>0</v>
      </c>
      <c r="N54" s="233">
        <v>0</v>
      </c>
      <c r="O54" s="233"/>
      <c r="P54" s="233"/>
      <c r="Q54" s="233"/>
      <c r="R54" s="232">
        <f t="shared" si="5"/>
        <v>0</v>
      </c>
    </row>
    <row r="55" spans="1:18" s="6" customFormat="1" ht="24" hidden="1" customHeight="1">
      <c r="A55" s="132">
        <v>7300</v>
      </c>
      <c r="B55" s="172" t="s">
        <v>155</v>
      </c>
      <c r="C55" s="170">
        <v>0</v>
      </c>
      <c r="D55" s="171">
        <v>0</v>
      </c>
      <c r="E55" s="233">
        <f>SUM(E56:E58)</f>
        <v>0</v>
      </c>
      <c r="F55" s="233">
        <f t="shared" ref="F55:G55" si="60">SUM(F56:F58)</f>
        <v>0</v>
      </c>
      <c r="G55" s="233">
        <f t="shared" si="60"/>
        <v>0</v>
      </c>
      <c r="H55" s="232">
        <f t="shared" si="1"/>
        <v>0</v>
      </c>
      <c r="I55" s="233">
        <v>0</v>
      </c>
      <c r="J55" s="233">
        <f>SUM(J56:J58)</f>
        <v>0</v>
      </c>
      <c r="K55" s="233">
        <f t="shared" ref="K55:L55" si="61">SUM(K56:K58)</f>
        <v>0</v>
      </c>
      <c r="L55" s="233">
        <f t="shared" si="61"/>
        <v>0</v>
      </c>
      <c r="M55" s="232">
        <f t="shared" si="3"/>
        <v>0</v>
      </c>
      <c r="N55" s="233">
        <v>0</v>
      </c>
      <c r="O55" s="233">
        <f>SUM(O56:O58)</f>
        <v>0</v>
      </c>
      <c r="P55" s="233">
        <f t="shared" ref="P55:Q55" si="62">SUM(P56:P58)</f>
        <v>0</v>
      </c>
      <c r="Q55" s="233">
        <f t="shared" si="62"/>
        <v>0</v>
      </c>
      <c r="R55" s="232">
        <f t="shared" si="5"/>
        <v>0</v>
      </c>
    </row>
    <row r="56" spans="1:18" s="6" customFormat="1" ht="24" hidden="1" customHeight="1">
      <c r="A56" s="133" t="s">
        <v>188</v>
      </c>
      <c r="B56" s="179" t="s">
        <v>170</v>
      </c>
      <c r="C56" s="204"/>
      <c r="D56" s="180">
        <v>0</v>
      </c>
      <c r="E56" s="252"/>
      <c r="F56" s="252"/>
      <c r="G56" s="252"/>
      <c r="H56" s="232">
        <f t="shared" si="1"/>
        <v>0</v>
      </c>
      <c r="I56" s="252">
        <v>0</v>
      </c>
      <c r="J56" s="252"/>
      <c r="K56" s="252"/>
      <c r="L56" s="252"/>
      <c r="M56" s="232">
        <f t="shared" si="3"/>
        <v>0</v>
      </c>
      <c r="N56" s="252">
        <v>0</v>
      </c>
      <c r="O56" s="252"/>
      <c r="P56" s="252"/>
      <c r="Q56" s="252"/>
      <c r="R56" s="232">
        <f t="shared" si="5"/>
        <v>0</v>
      </c>
    </row>
    <row r="57" spans="1:18" s="29" customFormat="1" ht="48" hidden="1" customHeight="1">
      <c r="A57" s="133" t="s">
        <v>189</v>
      </c>
      <c r="B57" s="179" t="s">
        <v>156</v>
      </c>
      <c r="C57" s="204"/>
      <c r="D57" s="180">
        <v>0</v>
      </c>
      <c r="E57" s="252"/>
      <c r="F57" s="252"/>
      <c r="G57" s="252"/>
      <c r="H57" s="232">
        <f t="shared" si="1"/>
        <v>0</v>
      </c>
      <c r="I57" s="252">
        <v>0</v>
      </c>
      <c r="J57" s="252"/>
      <c r="K57" s="252"/>
      <c r="L57" s="252"/>
      <c r="M57" s="232">
        <f t="shared" si="3"/>
        <v>0</v>
      </c>
      <c r="N57" s="252">
        <v>0</v>
      </c>
      <c r="O57" s="252"/>
      <c r="P57" s="252"/>
      <c r="Q57" s="252"/>
      <c r="R57" s="232">
        <f t="shared" si="5"/>
        <v>0</v>
      </c>
    </row>
    <row r="58" spans="1:18" s="89" customFormat="1" ht="36" hidden="1" customHeight="1">
      <c r="A58" s="133">
        <v>7350</v>
      </c>
      <c r="B58" s="179" t="s">
        <v>163</v>
      </c>
      <c r="C58" s="204"/>
      <c r="D58" s="180">
        <v>0</v>
      </c>
      <c r="E58" s="252"/>
      <c r="F58" s="252"/>
      <c r="G58" s="252"/>
      <c r="H58" s="232">
        <f t="shared" si="1"/>
        <v>0</v>
      </c>
      <c r="I58" s="252">
        <v>0</v>
      </c>
      <c r="J58" s="252"/>
      <c r="K58" s="252"/>
      <c r="L58" s="252"/>
      <c r="M58" s="232">
        <f t="shared" si="3"/>
        <v>0</v>
      </c>
      <c r="N58" s="252">
        <v>0</v>
      </c>
      <c r="O58" s="252"/>
      <c r="P58" s="252"/>
      <c r="Q58" s="252"/>
      <c r="R58" s="232">
        <f t="shared" si="5"/>
        <v>0</v>
      </c>
    </row>
    <row r="59" spans="1:18" s="89" customFormat="1" ht="24">
      <c r="A59" s="132">
        <v>7400</v>
      </c>
      <c r="B59" s="172" t="s">
        <v>161</v>
      </c>
      <c r="C59" s="170">
        <v>15491371</v>
      </c>
      <c r="D59" s="171">
        <v>15491371</v>
      </c>
      <c r="E59" s="233">
        <f>SUM(E60:E61)</f>
        <v>0</v>
      </c>
      <c r="F59" s="233">
        <f t="shared" ref="F59:G59" si="63">SUM(F60:F61)</f>
        <v>0</v>
      </c>
      <c r="G59" s="233">
        <f t="shared" si="63"/>
        <v>0</v>
      </c>
      <c r="H59" s="232">
        <f t="shared" si="1"/>
        <v>15491371</v>
      </c>
      <c r="I59" s="233">
        <v>9777097</v>
      </c>
      <c r="J59" s="233">
        <f>SUM(J60:J61)</f>
        <v>0</v>
      </c>
      <c r="K59" s="233">
        <f t="shared" ref="K59:L59" si="64">SUM(K60:K61)</f>
        <v>0</v>
      </c>
      <c r="L59" s="233">
        <f t="shared" si="64"/>
        <v>0</v>
      </c>
      <c r="M59" s="232">
        <f t="shared" si="3"/>
        <v>9777097</v>
      </c>
      <c r="N59" s="233">
        <v>9777097</v>
      </c>
      <c r="O59" s="233">
        <f>SUM(O60:O61)</f>
        <v>0</v>
      </c>
      <c r="P59" s="233">
        <f t="shared" ref="P59:Q59" si="65">SUM(P60:P61)</f>
        <v>0</v>
      </c>
      <c r="Q59" s="233">
        <f t="shared" si="65"/>
        <v>0</v>
      </c>
      <c r="R59" s="232">
        <f t="shared" si="5"/>
        <v>9777097</v>
      </c>
    </row>
    <row r="60" spans="1:18" s="89" customFormat="1" ht="24">
      <c r="A60" s="133">
        <v>7460</v>
      </c>
      <c r="B60" s="172" t="s">
        <v>162</v>
      </c>
      <c r="C60" s="204">
        <v>15491371</v>
      </c>
      <c r="D60" s="180">
        <v>15491371</v>
      </c>
      <c r="E60" s="252"/>
      <c r="F60" s="252"/>
      <c r="G60" s="252"/>
      <c r="H60" s="232">
        <f t="shared" si="1"/>
        <v>15491371</v>
      </c>
      <c r="I60" s="252">
        <v>9777097</v>
      </c>
      <c r="J60" s="252"/>
      <c r="K60" s="252"/>
      <c r="L60" s="252"/>
      <c r="M60" s="232">
        <f t="shared" si="3"/>
        <v>9777097</v>
      </c>
      <c r="N60" s="252">
        <v>9777097</v>
      </c>
      <c r="O60" s="252"/>
      <c r="P60" s="252"/>
      <c r="Q60" s="252"/>
      <c r="R60" s="232">
        <f t="shared" si="5"/>
        <v>9777097</v>
      </c>
    </row>
    <row r="61" spans="1:18" s="89" customFormat="1" ht="48" hidden="1" customHeight="1">
      <c r="A61" s="133">
        <v>7470</v>
      </c>
      <c r="B61" s="179" t="s">
        <v>167</v>
      </c>
      <c r="C61" s="204"/>
      <c r="D61" s="180">
        <v>0</v>
      </c>
      <c r="E61" s="252"/>
      <c r="F61" s="252"/>
      <c r="G61" s="252"/>
      <c r="H61" s="232">
        <f t="shared" si="1"/>
        <v>0</v>
      </c>
      <c r="I61" s="252">
        <v>0</v>
      </c>
      <c r="J61" s="252"/>
      <c r="K61" s="252"/>
      <c r="L61" s="252"/>
      <c r="M61" s="232">
        <f t="shared" si="3"/>
        <v>0</v>
      </c>
      <c r="N61" s="252">
        <v>0</v>
      </c>
      <c r="O61" s="252"/>
      <c r="P61" s="252"/>
      <c r="Q61" s="252"/>
      <c r="R61" s="232">
        <f t="shared" si="5"/>
        <v>0</v>
      </c>
    </row>
    <row r="62" spans="1:18" s="89" customFormat="1" ht="24" hidden="1" customHeight="1">
      <c r="A62" s="132">
        <v>7500</v>
      </c>
      <c r="B62" s="179" t="s">
        <v>157</v>
      </c>
      <c r="C62" s="170"/>
      <c r="D62" s="171">
        <v>0</v>
      </c>
      <c r="E62" s="233"/>
      <c r="F62" s="233"/>
      <c r="G62" s="233"/>
      <c r="H62" s="232">
        <f t="shared" si="1"/>
        <v>0</v>
      </c>
      <c r="I62" s="233">
        <v>0</v>
      </c>
      <c r="J62" s="233"/>
      <c r="K62" s="233"/>
      <c r="L62" s="233"/>
      <c r="M62" s="232">
        <f t="shared" si="3"/>
        <v>0</v>
      </c>
      <c r="N62" s="233">
        <v>0</v>
      </c>
      <c r="O62" s="233"/>
      <c r="P62" s="233"/>
      <c r="Q62" s="233"/>
      <c r="R62" s="232">
        <f t="shared" si="5"/>
        <v>0</v>
      </c>
    </row>
    <row r="63" spans="1:18" s="89" customFormat="1" ht="12" hidden="1" customHeight="1">
      <c r="A63" s="140" t="s">
        <v>133</v>
      </c>
      <c r="B63" s="124" t="s">
        <v>122</v>
      </c>
      <c r="C63" s="205">
        <v>0</v>
      </c>
      <c r="D63" s="181">
        <v>0</v>
      </c>
      <c r="E63" s="254">
        <f>E64+E65</f>
        <v>0</v>
      </c>
      <c r="F63" s="254">
        <f t="shared" ref="F63:G63" si="66">F64+F65</f>
        <v>0</v>
      </c>
      <c r="G63" s="254">
        <f t="shared" si="66"/>
        <v>0</v>
      </c>
      <c r="H63" s="232">
        <f t="shared" si="1"/>
        <v>0</v>
      </c>
      <c r="I63" s="254">
        <v>0</v>
      </c>
      <c r="J63" s="254">
        <f>J64+J65</f>
        <v>0</v>
      </c>
      <c r="K63" s="254">
        <f t="shared" ref="K63:L63" si="67">K64+K65</f>
        <v>0</v>
      </c>
      <c r="L63" s="254">
        <f t="shared" si="67"/>
        <v>0</v>
      </c>
      <c r="M63" s="232">
        <f t="shared" si="3"/>
        <v>0</v>
      </c>
      <c r="N63" s="254">
        <v>0</v>
      </c>
      <c r="O63" s="254">
        <f>O64+O65</f>
        <v>0</v>
      </c>
      <c r="P63" s="254">
        <f t="shared" ref="P63:Q63" si="68">P64+P65</f>
        <v>0</v>
      </c>
      <c r="Q63" s="254">
        <f t="shared" si="68"/>
        <v>0</v>
      </c>
      <c r="R63" s="232">
        <f t="shared" si="5"/>
        <v>0</v>
      </c>
    </row>
    <row r="64" spans="1:18" s="89" customFormat="1" ht="12" hidden="1" customHeight="1">
      <c r="A64" s="140">
        <v>5000</v>
      </c>
      <c r="B64" s="124" t="s">
        <v>123</v>
      </c>
      <c r="C64" s="170"/>
      <c r="D64" s="176">
        <v>0</v>
      </c>
      <c r="E64" s="244"/>
      <c r="F64" s="244"/>
      <c r="G64" s="244"/>
      <c r="H64" s="232">
        <f t="shared" si="1"/>
        <v>0</v>
      </c>
      <c r="I64" s="233">
        <v>0</v>
      </c>
      <c r="J64" s="244"/>
      <c r="K64" s="244"/>
      <c r="L64" s="244"/>
      <c r="M64" s="232">
        <f t="shared" si="3"/>
        <v>0</v>
      </c>
      <c r="N64" s="233">
        <v>0</v>
      </c>
      <c r="O64" s="244"/>
      <c r="P64" s="244"/>
      <c r="Q64" s="244"/>
      <c r="R64" s="232">
        <f t="shared" si="5"/>
        <v>0</v>
      </c>
    </row>
    <row r="65" spans="1:18" s="89" customFormat="1" ht="12" hidden="1" customHeight="1">
      <c r="A65" s="140">
        <v>9000</v>
      </c>
      <c r="B65" s="182" t="s">
        <v>164</v>
      </c>
      <c r="C65" s="170">
        <v>0</v>
      </c>
      <c r="D65" s="171">
        <v>0</v>
      </c>
      <c r="E65" s="233">
        <f t="shared" ref="E65:G65" si="69">E66+E72+E76+E79</f>
        <v>0</v>
      </c>
      <c r="F65" s="233">
        <f t="shared" ref="F65" si="70">F66+F72+F76+F79</f>
        <v>0</v>
      </c>
      <c r="G65" s="233">
        <f t="shared" si="69"/>
        <v>0</v>
      </c>
      <c r="H65" s="232">
        <f t="shared" si="1"/>
        <v>0</v>
      </c>
      <c r="I65" s="233">
        <v>0</v>
      </c>
      <c r="J65" s="233">
        <f t="shared" ref="J65:L65" si="71">J66+J72+J76+J79</f>
        <v>0</v>
      </c>
      <c r="K65" s="233">
        <f t="shared" ref="K65" si="72">K66+K72+K76+K79</f>
        <v>0</v>
      </c>
      <c r="L65" s="233">
        <f t="shared" si="71"/>
        <v>0</v>
      </c>
      <c r="M65" s="232">
        <f t="shared" si="3"/>
        <v>0</v>
      </c>
      <c r="N65" s="233">
        <v>0</v>
      </c>
      <c r="O65" s="233">
        <f t="shared" ref="O65:Q65" si="73">O66+O72+O76+O79</f>
        <v>0</v>
      </c>
      <c r="P65" s="233">
        <f t="shared" ref="P65" si="74">P66+P72+P76+P79</f>
        <v>0</v>
      </c>
      <c r="Q65" s="233">
        <f t="shared" si="73"/>
        <v>0</v>
      </c>
      <c r="R65" s="232">
        <f t="shared" si="5"/>
        <v>0</v>
      </c>
    </row>
    <row r="66" spans="1:18" s="89" customFormat="1" ht="12" hidden="1" customHeight="1">
      <c r="A66" s="141">
        <v>9100</v>
      </c>
      <c r="B66" s="179" t="s">
        <v>124</v>
      </c>
      <c r="C66" s="170">
        <v>0</v>
      </c>
      <c r="D66" s="171">
        <v>0</v>
      </c>
      <c r="E66" s="233">
        <f t="shared" ref="E66:G66" si="75">SUM(E67:E68)</f>
        <v>0</v>
      </c>
      <c r="F66" s="233">
        <f t="shared" ref="F66" si="76">SUM(F67:F68)</f>
        <v>0</v>
      </c>
      <c r="G66" s="233">
        <f t="shared" si="75"/>
        <v>0</v>
      </c>
      <c r="H66" s="232">
        <f t="shared" si="1"/>
        <v>0</v>
      </c>
      <c r="I66" s="233">
        <v>0</v>
      </c>
      <c r="J66" s="233">
        <f t="shared" ref="J66:L66" si="77">SUM(J67:J68)</f>
        <v>0</v>
      </c>
      <c r="K66" s="233">
        <f t="shared" ref="K66" si="78">SUM(K67:K68)</f>
        <v>0</v>
      </c>
      <c r="L66" s="233">
        <f t="shared" si="77"/>
        <v>0</v>
      </c>
      <c r="M66" s="232">
        <f t="shared" si="3"/>
        <v>0</v>
      </c>
      <c r="N66" s="233">
        <v>0</v>
      </c>
      <c r="O66" s="233">
        <f t="shared" ref="O66:Q66" si="79">SUM(O67:O68)</f>
        <v>0</v>
      </c>
      <c r="P66" s="233">
        <f t="shared" ref="P66" si="80">SUM(P67:P68)</f>
        <v>0</v>
      </c>
      <c r="Q66" s="233">
        <f t="shared" si="79"/>
        <v>0</v>
      </c>
      <c r="R66" s="232">
        <f t="shared" si="5"/>
        <v>0</v>
      </c>
    </row>
    <row r="67" spans="1:18" s="89" customFormat="1" ht="24" hidden="1" customHeight="1">
      <c r="A67" s="133" t="s">
        <v>125</v>
      </c>
      <c r="B67" s="179" t="s">
        <v>214</v>
      </c>
      <c r="C67" s="170"/>
      <c r="D67" s="171">
        <v>0</v>
      </c>
      <c r="E67" s="233"/>
      <c r="F67" s="233"/>
      <c r="G67" s="233"/>
      <c r="H67" s="232">
        <f t="shared" si="1"/>
        <v>0</v>
      </c>
      <c r="I67" s="233">
        <v>0</v>
      </c>
      <c r="J67" s="233"/>
      <c r="K67" s="233"/>
      <c r="L67" s="233"/>
      <c r="M67" s="232">
        <f t="shared" si="3"/>
        <v>0</v>
      </c>
      <c r="N67" s="233">
        <v>0</v>
      </c>
      <c r="O67" s="233"/>
      <c r="P67" s="233"/>
      <c r="Q67" s="233"/>
      <c r="R67" s="232">
        <f t="shared" si="5"/>
        <v>0</v>
      </c>
    </row>
    <row r="68" spans="1:18" s="89" customFormat="1" ht="24" hidden="1" customHeight="1">
      <c r="A68" s="133">
        <v>9140</v>
      </c>
      <c r="B68" s="179" t="s">
        <v>215</v>
      </c>
      <c r="C68" s="170">
        <v>0</v>
      </c>
      <c r="D68" s="171">
        <v>0</v>
      </c>
      <c r="E68" s="233">
        <f>SUM(E69:E71)</f>
        <v>0</v>
      </c>
      <c r="F68" s="233">
        <f t="shared" ref="F68:G68" si="81">SUM(F69:F71)</f>
        <v>0</v>
      </c>
      <c r="G68" s="233">
        <f t="shared" si="81"/>
        <v>0</v>
      </c>
      <c r="H68" s="232">
        <f t="shared" si="1"/>
        <v>0</v>
      </c>
      <c r="I68" s="233">
        <v>0</v>
      </c>
      <c r="J68" s="233">
        <f>SUM(J69:J71)</f>
        <v>0</v>
      </c>
      <c r="K68" s="233">
        <f t="shared" ref="K68:L68" si="82">SUM(K69:K71)</f>
        <v>0</v>
      </c>
      <c r="L68" s="233">
        <f t="shared" si="82"/>
        <v>0</v>
      </c>
      <c r="M68" s="232">
        <f t="shared" si="3"/>
        <v>0</v>
      </c>
      <c r="N68" s="233">
        <v>0</v>
      </c>
      <c r="O68" s="233">
        <f>SUM(O69:O71)</f>
        <v>0</v>
      </c>
      <c r="P68" s="233">
        <f t="shared" ref="P68:Q68" si="83">SUM(P69:P71)</f>
        <v>0</v>
      </c>
      <c r="Q68" s="233">
        <f t="shared" si="83"/>
        <v>0</v>
      </c>
      <c r="R68" s="232">
        <f t="shared" si="5"/>
        <v>0</v>
      </c>
    </row>
    <row r="69" spans="1:18" s="89" customFormat="1" ht="36" hidden="1" customHeight="1">
      <c r="A69" s="134">
        <v>9141</v>
      </c>
      <c r="B69" s="172" t="s">
        <v>190</v>
      </c>
      <c r="C69" s="204"/>
      <c r="D69" s="180">
        <v>0</v>
      </c>
      <c r="E69" s="252"/>
      <c r="F69" s="252"/>
      <c r="G69" s="252"/>
      <c r="H69" s="232">
        <f t="shared" si="1"/>
        <v>0</v>
      </c>
      <c r="I69" s="252">
        <v>0</v>
      </c>
      <c r="J69" s="252"/>
      <c r="K69" s="252"/>
      <c r="L69" s="252"/>
      <c r="M69" s="232">
        <f t="shared" si="3"/>
        <v>0</v>
      </c>
      <c r="N69" s="252">
        <v>0</v>
      </c>
      <c r="O69" s="252"/>
      <c r="P69" s="252"/>
      <c r="Q69" s="252"/>
      <c r="R69" s="232">
        <f t="shared" si="5"/>
        <v>0</v>
      </c>
    </row>
    <row r="70" spans="1:18" s="89" customFormat="1" ht="36" hidden="1" customHeight="1">
      <c r="A70" s="134">
        <v>9142</v>
      </c>
      <c r="B70" s="172" t="s">
        <v>191</v>
      </c>
      <c r="C70" s="204"/>
      <c r="D70" s="180">
        <v>0</v>
      </c>
      <c r="E70" s="252"/>
      <c r="F70" s="252"/>
      <c r="G70" s="252"/>
      <c r="H70" s="232">
        <f t="shared" si="1"/>
        <v>0</v>
      </c>
      <c r="I70" s="252">
        <v>0</v>
      </c>
      <c r="J70" s="252"/>
      <c r="K70" s="252"/>
      <c r="L70" s="252"/>
      <c r="M70" s="232">
        <f t="shared" si="3"/>
        <v>0</v>
      </c>
      <c r="N70" s="252">
        <v>0</v>
      </c>
      <c r="O70" s="252"/>
      <c r="P70" s="252"/>
      <c r="Q70" s="252"/>
      <c r="R70" s="232">
        <f t="shared" si="5"/>
        <v>0</v>
      </c>
    </row>
    <row r="71" spans="1:18" s="89" customFormat="1" ht="24" hidden="1" customHeight="1">
      <c r="A71" s="134">
        <v>9149</v>
      </c>
      <c r="B71" s="172" t="s">
        <v>192</v>
      </c>
      <c r="C71" s="204"/>
      <c r="D71" s="180">
        <v>0</v>
      </c>
      <c r="E71" s="252"/>
      <c r="F71" s="252"/>
      <c r="G71" s="252"/>
      <c r="H71" s="232">
        <f t="shared" si="1"/>
        <v>0</v>
      </c>
      <c r="I71" s="252">
        <v>0</v>
      </c>
      <c r="J71" s="252"/>
      <c r="K71" s="252"/>
      <c r="L71" s="252"/>
      <c r="M71" s="232">
        <f t="shared" si="3"/>
        <v>0</v>
      </c>
      <c r="N71" s="252">
        <v>0</v>
      </c>
      <c r="O71" s="252"/>
      <c r="P71" s="252"/>
      <c r="Q71" s="252"/>
      <c r="R71" s="232">
        <f t="shared" si="5"/>
        <v>0</v>
      </c>
    </row>
    <row r="72" spans="1:18" s="29" customFormat="1" ht="24" hidden="1" customHeight="1">
      <c r="A72" s="141">
        <v>9500</v>
      </c>
      <c r="B72" s="172" t="s">
        <v>165</v>
      </c>
      <c r="C72" s="170">
        <v>0</v>
      </c>
      <c r="D72" s="171">
        <v>0</v>
      </c>
      <c r="E72" s="233">
        <f>SUM(E73:E75)</f>
        <v>0</v>
      </c>
      <c r="F72" s="233">
        <f t="shared" ref="F72:G72" si="84">SUM(F73:F75)</f>
        <v>0</v>
      </c>
      <c r="G72" s="233">
        <f t="shared" si="84"/>
        <v>0</v>
      </c>
      <c r="H72" s="232">
        <f t="shared" si="1"/>
        <v>0</v>
      </c>
      <c r="I72" s="233">
        <v>0</v>
      </c>
      <c r="J72" s="233">
        <f>SUM(J73:J75)</f>
        <v>0</v>
      </c>
      <c r="K72" s="233">
        <f t="shared" ref="K72:L72" si="85">SUM(K73:K75)</f>
        <v>0</v>
      </c>
      <c r="L72" s="233">
        <f t="shared" si="85"/>
        <v>0</v>
      </c>
      <c r="M72" s="232">
        <f t="shared" si="3"/>
        <v>0</v>
      </c>
      <c r="N72" s="233">
        <v>0</v>
      </c>
      <c r="O72" s="233">
        <f>SUM(O73:O75)</f>
        <v>0</v>
      </c>
      <c r="P72" s="233">
        <f t="shared" ref="P72:Q72" si="86">SUM(P73:P75)</f>
        <v>0</v>
      </c>
      <c r="Q72" s="233">
        <f t="shared" si="86"/>
        <v>0</v>
      </c>
      <c r="R72" s="232">
        <f t="shared" si="5"/>
        <v>0</v>
      </c>
    </row>
    <row r="73" spans="1:18" s="29" customFormat="1" ht="24" hidden="1" customHeight="1">
      <c r="A73" s="133" t="s">
        <v>193</v>
      </c>
      <c r="B73" s="172" t="s">
        <v>171</v>
      </c>
      <c r="C73" s="170"/>
      <c r="D73" s="171">
        <v>0</v>
      </c>
      <c r="E73" s="233"/>
      <c r="F73" s="233"/>
      <c r="G73" s="233"/>
      <c r="H73" s="232">
        <f t="shared" si="1"/>
        <v>0</v>
      </c>
      <c r="I73" s="233">
        <v>0</v>
      </c>
      <c r="J73" s="233"/>
      <c r="K73" s="233"/>
      <c r="L73" s="233"/>
      <c r="M73" s="232">
        <f t="shared" si="3"/>
        <v>0</v>
      </c>
      <c r="N73" s="233">
        <v>0</v>
      </c>
      <c r="O73" s="233"/>
      <c r="P73" s="233"/>
      <c r="Q73" s="233"/>
      <c r="R73" s="232">
        <f t="shared" si="5"/>
        <v>0</v>
      </c>
    </row>
    <row r="74" spans="1:18" s="28" customFormat="1" ht="48" hidden="1" customHeight="1">
      <c r="A74" s="133">
        <v>9580</v>
      </c>
      <c r="B74" s="172" t="s">
        <v>166</v>
      </c>
      <c r="C74" s="204"/>
      <c r="D74" s="180">
        <v>0</v>
      </c>
      <c r="E74" s="252"/>
      <c r="F74" s="252"/>
      <c r="G74" s="252"/>
      <c r="H74" s="232">
        <f t="shared" ref="H74:H137" si="87">SUM(D74:G74)</f>
        <v>0</v>
      </c>
      <c r="I74" s="252">
        <v>0</v>
      </c>
      <c r="J74" s="252"/>
      <c r="K74" s="252"/>
      <c r="L74" s="252"/>
      <c r="M74" s="232">
        <f t="shared" ref="M74:M137" si="88">SUM(I74:L74)</f>
        <v>0</v>
      </c>
      <c r="N74" s="252">
        <v>0</v>
      </c>
      <c r="O74" s="252"/>
      <c r="P74" s="252"/>
      <c r="Q74" s="252"/>
      <c r="R74" s="232">
        <f t="shared" ref="R74:R137" si="89">SUM(N74:Q74)</f>
        <v>0</v>
      </c>
    </row>
    <row r="75" spans="1:18" s="4" customFormat="1" ht="48" hidden="1" customHeight="1">
      <c r="A75" s="133">
        <v>9590</v>
      </c>
      <c r="B75" s="179" t="s">
        <v>172</v>
      </c>
      <c r="C75" s="204"/>
      <c r="D75" s="180">
        <v>0</v>
      </c>
      <c r="E75" s="252"/>
      <c r="F75" s="252"/>
      <c r="G75" s="252"/>
      <c r="H75" s="232">
        <f t="shared" si="87"/>
        <v>0</v>
      </c>
      <c r="I75" s="252">
        <v>0</v>
      </c>
      <c r="J75" s="252"/>
      <c r="K75" s="252"/>
      <c r="L75" s="252"/>
      <c r="M75" s="232">
        <f t="shared" si="88"/>
        <v>0</v>
      </c>
      <c r="N75" s="252">
        <v>0</v>
      </c>
      <c r="O75" s="252"/>
      <c r="P75" s="252"/>
      <c r="Q75" s="252"/>
      <c r="R75" s="232">
        <f t="shared" si="89"/>
        <v>0</v>
      </c>
    </row>
    <row r="76" spans="1:18" ht="24" hidden="1" customHeight="1">
      <c r="A76" s="141">
        <v>9700</v>
      </c>
      <c r="B76" s="183" t="s">
        <v>194</v>
      </c>
      <c r="C76" s="170">
        <v>0</v>
      </c>
      <c r="D76" s="171">
        <v>0</v>
      </c>
      <c r="E76" s="233">
        <f>SUM(E77:E78)</f>
        <v>0</v>
      </c>
      <c r="F76" s="233">
        <f t="shared" ref="F76:G76" si="90">SUM(F77:F78)</f>
        <v>0</v>
      </c>
      <c r="G76" s="233">
        <f t="shared" si="90"/>
        <v>0</v>
      </c>
      <c r="H76" s="232">
        <f t="shared" si="87"/>
        <v>0</v>
      </c>
      <c r="I76" s="233">
        <v>0</v>
      </c>
      <c r="J76" s="233">
        <f>SUM(J77:J78)</f>
        <v>0</v>
      </c>
      <c r="K76" s="233">
        <f t="shared" ref="K76:L76" si="91">SUM(K77:K78)</f>
        <v>0</v>
      </c>
      <c r="L76" s="233">
        <f t="shared" si="91"/>
        <v>0</v>
      </c>
      <c r="M76" s="232">
        <f t="shared" si="88"/>
        <v>0</v>
      </c>
      <c r="N76" s="233">
        <v>0</v>
      </c>
      <c r="O76" s="233">
        <f>SUM(O77:O78)</f>
        <v>0</v>
      </c>
      <c r="P76" s="233">
        <f t="shared" ref="P76:Q76" si="92">SUM(P77:P78)</f>
        <v>0</v>
      </c>
      <c r="Q76" s="233">
        <f t="shared" si="92"/>
        <v>0</v>
      </c>
      <c r="R76" s="232">
        <f t="shared" si="89"/>
        <v>0</v>
      </c>
    </row>
    <row r="77" spans="1:18" ht="24" hidden="1" customHeight="1">
      <c r="A77" s="133">
        <v>9710</v>
      </c>
      <c r="B77" s="184" t="s">
        <v>195</v>
      </c>
      <c r="C77" s="204"/>
      <c r="D77" s="180">
        <v>0</v>
      </c>
      <c r="E77" s="252"/>
      <c r="F77" s="252"/>
      <c r="G77" s="252"/>
      <c r="H77" s="232">
        <f t="shared" si="87"/>
        <v>0</v>
      </c>
      <c r="I77" s="252">
        <v>0</v>
      </c>
      <c r="J77" s="252"/>
      <c r="K77" s="252"/>
      <c r="L77" s="252"/>
      <c r="M77" s="232">
        <f t="shared" si="88"/>
        <v>0</v>
      </c>
      <c r="N77" s="252">
        <v>0</v>
      </c>
      <c r="O77" s="252"/>
      <c r="P77" s="252"/>
      <c r="Q77" s="252"/>
      <c r="R77" s="232">
        <f t="shared" si="89"/>
        <v>0</v>
      </c>
    </row>
    <row r="78" spans="1:18" ht="48" hidden="1" customHeight="1">
      <c r="A78" s="142">
        <v>9720</v>
      </c>
      <c r="B78" s="183" t="s">
        <v>196</v>
      </c>
      <c r="C78" s="204"/>
      <c r="D78" s="180">
        <v>0</v>
      </c>
      <c r="E78" s="252"/>
      <c r="F78" s="252"/>
      <c r="G78" s="252"/>
      <c r="H78" s="232">
        <f t="shared" si="87"/>
        <v>0</v>
      </c>
      <c r="I78" s="252">
        <v>0</v>
      </c>
      <c r="J78" s="252"/>
      <c r="K78" s="252"/>
      <c r="L78" s="252"/>
      <c r="M78" s="232">
        <f t="shared" si="88"/>
        <v>0</v>
      </c>
      <c r="N78" s="252">
        <v>0</v>
      </c>
      <c r="O78" s="252"/>
      <c r="P78" s="252"/>
      <c r="Q78" s="252"/>
      <c r="R78" s="232">
        <f t="shared" si="89"/>
        <v>0</v>
      </c>
    </row>
    <row r="79" spans="1:18" ht="24" hidden="1" customHeight="1">
      <c r="A79" s="141">
        <v>9600</v>
      </c>
      <c r="B79" s="179" t="s">
        <v>134</v>
      </c>
      <c r="C79" s="204"/>
      <c r="D79" s="180">
        <v>0</v>
      </c>
      <c r="E79" s="252"/>
      <c r="F79" s="252"/>
      <c r="G79" s="252"/>
      <c r="H79" s="232">
        <f t="shared" si="87"/>
        <v>0</v>
      </c>
      <c r="I79" s="252">
        <v>0</v>
      </c>
      <c r="J79" s="252"/>
      <c r="K79" s="252"/>
      <c r="L79" s="252"/>
      <c r="M79" s="232">
        <f t="shared" si="88"/>
        <v>0</v>
      </c>
      <c r="N79" s="252">
        <v>0</v>
      </c>
      <c r="O79" s="252"/>
      <c r="P79" s="252"/>
      <c r="Q79" s="252"/>
      <c r="R79" s="232">
        <f t="shared" si="89"/>
        <v>0</v>
      </c>
    </row>
    <row r="80" spans="1:18" ht="52.5" hidden="1" customHeight="1">
      <c r="A80" s="130" t="s">
        <v>197</v>
      </c>
      <c r="B80" s="185" t="s">
        <v>47</v>
      </c>
      <c r="C80" s="206"/>
      <c r="D80" s="186">
        <v>0</v>
      </c>
      <c r="E80" s="262">
        <f>E10-E35</f>
        <v>0</v>
      </c>
      <c r="F80" s="262">
        <f t="shared" ref="F80:G80" si="93">F10-F35</f>
        <v>0</v>
      </c>
      <c r="G80" s="262">
        <f t="shared" si="93"/>
        <v>0</v>
      </c>
      <c r="H80" s="232">
        <f t="shared" si="87"/>
        <v>0</v>
      </c>
      <c r="I80" s="262">
        <v>0</v>
      </c>
      <c r="J80" s="262">
        <f>J10-J35</f>
        <v>0</v>
      </c>
      <c r="K80" s="262">
        <f t="shared" ref="K80:L80" si="94">K10-K35</f>
        <v>0</v>
      </c>
      <c r="L80" s="262">
        <f t="shared" si="94"/>
        <v>0</v>
      </c>
      <c r="M80" s="232">
        <f t="shared" si="88"/>
        <v>0</v>
      </c>
      <c r="N80" s="262">
        <v>0</v>
      </c>
      <c r="O80" s="262">
        <f>O10-O35</f>
        <v>0</v>
      </c>
      <c r="P80" s="262">
        <f t="shared" ref="P80:Q80" si="95">P10-P35</f>
        <v>0</v>
      </c>
      <c r="Q80" s="262">
        <f t="shared" si="95"/>
        <v>0</v>
      </c>
      <c r="R80" s="232">
        <f t="shared" si="89"/>
        <v>0</v>
      </c>
    </row>
    <row r="81" spans="1:18" ht="12" hidden="1" customHeight="1">
      <c r="A81" s="143" t="s">
        <v>48</v>
      </c>
      <c r="B81" s="185" t="s">
        <v>49</v>
      </c>
      <c r="C81" s="206">
        <v>0</v>
      </c>
      <c r="D81" s="186">
        <v>0</v>
      </c>
      <c r="E81" s="262">
        <f>E82+E85+E89+E88</f>
        <v>0</v>
      </c>
      <c r="F81" s="262">
        <f t="shared" ref="F81:G81" si="96">F82+F85+F89+F88</f>
        <v>0</v>
      </c>
      <c r="G81" s="262">
        <f t="shared" si="96"/>
        <v>0</v>
      </c>
      <c r="H81" s="232">
        <f t="shared" si="87"/>
        <v>0</v>
      </c>
      <c r="I81" s="262">
        <v>0</v>
      </c>
      <c r="J81" s="262">
        <f>J82+J85+J89+J88</f>
        <v>0</v>
      </c>
      <c r="K81" s="262">
        <f t="shared" ref="K81:L81" si="97">K82+K85+K89+K88</f>
        <v>0</v>
      </c>
      <c r="L81" s="262">
        <f t="shared" si="97"/>
        <v>0</v>
      </c>
      <c r="M81" s="232">
        <f t="shared" si="88"/>
        <v>0</v>
      </c>
      <c r="N81" s="262">
        <v>0</v>
      </c>
      <c r="O81" s="262">
        <f>O82+O85+O89+O88</f>
        <v>0</v>
      </c>
      <c r="P81" s="262">
        <f t="shared" ref="P81:Q81" si="98">P82+P85+P89+P88</f>
        <v>0</v>
      </c>
      <c r="Q81" s="262">
        <f t="shared" si="98"/>
        <v>0</v>
      </c>
      <c r="R81" s="232">
        <f t="shared" si="89"/>
        <v>0</v>
      </c>
    </row>
    <row r="82" spans="1:18" s="4" customFormat="1" ht="12" hidden="1" customHeight="1">
      <c r="A82" s="141" t="s">
        <v>50</v>
      </c>
      <c r="B82" s="179" t="s">
        <v>51</v>
      </c>
      <c r="C82" s="98">
        <v>0</v>
      </c>
      <c r="D82" s="169">
        <v>0</v>
      </c>
      <c r="E82" s="231">
        <f>E83+E84</f>
        <v>0</v>
      </c>
      <c r="F82" s="231">
        <f t="shared" ref="F82:G82" si="99">F83+F84</f>
        <v>0</v>
      </c>
      <c r="G82" s="231">
        <f t="shared" si="99"/>
        <v>0</v>
      </c>
      <c r="H82" s="232">
        <f t="shared" si="87"/>
        <v>0</v>
      </c>
      <c r="I82" s="231">
        <v>0</v>
      </c>
      <c r="J82" s="231">
        <f>J83+J84</f>
        <v>0</v>
      </c>
      <c r="K82" s="231">
        <f t="shared" ref="K82:L82" si="100">K83+K84</f>
        <v>0</v>
      </c>
      <c r="L82" s="231">
        <f t="shared" si="100"/>
        <v>0</v>
      </c>
      <c r="M82" s="232">
        <f t="shared" si="88"/>
        <v>0</v>
      </c>
      <c r="N82" s="231">
        <v>0</v>
      </c>
      <c r="O82" s="231">
        <f>O83+O84</f>
        <v>0</v>
      </c>
      <c r="P82" s="231">
        <f t="shared" ref="P82:Q82" si="101">P83+P84</f>
        <v>0</v>
      </c>
      <c r="Q82" s="231">
        <f t="shared" si="101"/>
        <v>0</v>
      </c>
      <c r="R82" s="232">
        <f t="shared" si="89"/>
        <v>0</v>
      </c>
    </row>
    <row r="83" spans="1:18" s="6" customFormat="1" ht="12" hidden="1" customHeight="1">
      <c r="A83" s="141" t="s">
        <v>52</v>
      </c>
      <c r="B83" s="179" t="s">
        <v>53</v>
      </c>
      <c r="C83" s="98"/>
      <c r="D83" s="169">
        <v>0</v>
      </c>
      <c r="E83" s="231"/>
      <c r="F83" s="231"/>
      <c r="G83" s="231"/>
      <c r="H83" s="232">
        <f t="shared" si="87"/>
        <v>0</v>
      </c>
      <c r="I83" s="231">
        <v>0</v>
      </c>
      <c r="J83" s="231"/>
      <c r="K83" s="231"/>
      <c r="L83" s="231"/>
      <c r="M83" s="232">
        <f t="shared" si="88"/>
        <v>0</v>
      </c>
      <c r="N83" s="231">
        <v>0</v>
      </c>
      <c r="O83" s="231"/>
      <c r="P83" s="231"/>
      <c r="Q83" s="231"/>
      <c r="R83" s="232">
        <f t="shared" si="89"/>
        <v>0</v>
      </c>
    </row>
    <row r="84" spans="1:18" s="6" customFormat="1" ht="12" hidden="1" customHeight="1">
      <c r="A84" s="141" t="s">
        <v>54</v>
      </c>
      <c r="B84" s="179" t="s">
        <v>55</v>
      </c>
      <c r="C84" s="98"/>
      <c r="D84" s="169">
        <v>0</v>
      </c>
      <c r="E84" s="231"/>
      <c r="F84" s="231"/>
      <c r="G84" s="231"/>
      <c r="H84" s="232">
        <f t="shared" si="87"/>
        <v>0</v>
      </c>
      <c r="I84" s="231">
        <v>0</v>
      </c>
      <c r="J84" s="231"/>
      <c r="K84" s="231"/>
      <c r="L84" s="231"/>
      <c r="M84" s="232">
        <f t="shared" si="88"/>
        <v>0</v>
      </c>
      <c r="N84" s="231">
        <v>0</v>
      </c>
      <c r="O84" s="231"/>
      <c r="P84" s="231"/>
      <c r="Q84" s="231"/>
      <c r="R84" s="232">
        <f t="shared" si="89"/>
        <v>0</v>
      </c>
    </row>
    <row r="85" spans="1:18" s="6" customFormat="1" ht="12" hidden="1" customHeight="1">
      <c r="A85" s="141" t="s">
        <v>56</v>
      </c>
      <c r="B85" s="179" t="s">
        <v>57</v>
      </c>
      <c r="C85" s="98">
        <v>0</v>
      </c>
      <c r="D85" s="169">
        <v>0</v>
      </c>
      <c r="E85" s="231">
        <f>E86+E87</f>
        <v>0</v>
      </c>
      <c r="F85" s="231">
        <f t="shared" ref="F85:G85" si="102">F86+F87</f>
        <v>0</v>
      </c>
      <c r="G85" s="231">
        <f t="shared" si="102"/>
        <v>0</v>
      </c>
      <c r="H85" s="232">
        <f t="shared" si="87"/>
        <v>0</v>
      </c>
      <c r="I85" s="231">
        <v>0</v>
      </c>
      <c r="J85" s="231">
        <f>J86+J87</f>
        <v>0</v>
      </c>
      <c r="K85" s="231">
        <f t="shared" ref="K85:L85" si="103">K86+K87</f>
        <v>0</v>
      </c>
      <c r="L85" s="231">
        <f t="shared" si="103"/>
        <v>0</v>
      </c>
      <c r="M85" s="232">
        <f t="shared" si="88"/>
        <v>0</v>
      </c>
      <c r="N85" s="231">
        <v>0</v>
      </c>
      <c r="O85" s="231">
        <f>O86+O87</f>
        <v>0</v>
      </c>
      <c r="P85" s="231">
        <f t="shared" ref="P85:Q85" si="104">P86+P87</f>
        <v>0</v>
      </c>
      <c r="Q85" s="231">
        <f t="shared" si="104"/>
        <v>0</v>
      </c>
      <c r="R85" s="232">
        <f t="shared" si="89"/>
        <v>0</v>
      </c>
    </row>
    <row r="86" spans="1:18" s="6" customFormat="1" ht="12" hidden="1" customHeight="1">
      <c r="A86" s="141" t="s">
        <v>58</v>
      </c>
      <c r="B86" s="179" t="s">
        <v>59</v>
      </c>
      <c r="C86" s="98"/>
      <c r="D86" s="169">
        <v>0</v>
      </c>
      <c r="E86" s="231"/>
      <c r="F86" s="231"/>
      <c r="G86" s="231"/>
      <c r="H86" s="232">
        <f t="shared" si="87"/>
        <v>0</v>
      </c>
      <c r="I86" s="231">
        <v>0</v>
      </c>
      <c r="J86" s="231"/>
      <c r="K86" s="231"/>
      <c r="L86" s="231"/>
      <c r="M86" s="232">
        <f t="shared" si="88"/>
        <v>0</v>
      </c>
      <c r="N86" s="231">
        <v>0</v>
      </c>
      <c r="O86" s="231"/>
      <c r="P86" s="231"/>
      <c r="Q86" s="231"/>
      <c r="R86" s="232">
        <f t="shared" si="89"/>
        <v>0</v>
      </c>
    </row>
    <row r="87" spans="1:18" s="6" customFormat="1" ht="12" hidden="1" customHeight="1">
      <c r="A87" s="141" t="s">
        <v>60</v>
      </c>
      <c r="B87" s="179" t="s">
        <v>61</v>
      </c>
      <c r="C87" s="98"/>
      <c r="D87" s="169">
        <v>0</v>
      </c>
      <c r="E87" s="231"/>
      <c r="F87" s="231"/>
      <c r="G87" s="231"/>
      <c r="H87" s="232">
        <f t="shared" si="87"/>
        <v>0</v>
      </c>
      <c r="I87" s="231">
        <v>0</v>
      </c>
      <c r="J87" s="231"/>
      <c r="K87" s="231"/>
      <c r="L87" s="231"/>
      <c r="M87" s="232">
        <f t="shared" si="88"/>
        <v>0</v>
      </c>
      <c r="N87" s="231">
        <v>0</v>
      </c>
      <c r="O87" s="231"/>
      <c r="P87" s="231"/>
      <c r="Q87" s="231"/>
      <c r="R87" s="232">
        <f t="shared" si="89"/>
        <v>0</v>
      </c>
    </row>
    <row r="88" spans="1:18" s="6" customFormat="1" ht="12" hidden="1" customHeight="1">
      <c r="A88" s="141" t="s">
        <v>198</v>
      </c>
      <c r="B88" s="187" t="s">
        <v>168</v>
      </c>
      <c r="C88" s="98"/>
      <c r="D88" s="169">
        <v>0</v>
      </c>
      <c r="E88" s="231"/>
      <c r="F88" s="231"/>
      <c r="G88" s="231"/>
      <c r="H88" s="232">
        <f t="shared" si="87"/>
        <v>0</v>
      </c>
      <c r="I88" s="231">
        <v>0</v>
      </c>
      <c r="J88" s="231"/>
      <c r="K88" s="231"/>
      <c r="L88" s="231"/>
      <c r="M88" s="232">
        <f t="shared" si="88"/>
        <v>0</v>
      </c>
      <c r="N88" s="231">
        <v>0</v>
      </c>
      <c r="O88" s="231"/>
      <c r="P88" s="231"/>
      <c r="Q88" s="231"/>
      <c r="R88" s="232">
        <f t="shared" si="89"/>
        <v>0</v>
      </c>
    </row>
    <row r="89" spans="1:18" s="6" customFormat="1" ht="12" hidden="1" customHeight="1">
      <c r="A89" s="144" t="s">
        <v>62</v>
      </c>
      <c r="B89" s="125" t="s">
        <v>63</v>
      </c>
      <c r="C89" s="170">
        <v>0</v>
      </c>
      <c r="D89" s="171">
        <v>0</v>
      </c>
      <c r="E89" s="233">
        <f t="shared" ref="E89:G89" si="105">E90+E91+E92</f>
        <v>0</v>
      </c>
      <c r="F89" s="233">
        <f t="shared" ref="F89" si="106">F90+F91+F92</f>
        <v>0</v>
      </c>
      <c r="G89" s="233">
        <f t="shared" si="105"/>
        <v>0</v>
      </c>
      <c r="H89" s="232">
        <f t="shared" si="87"/>
        <v>0</v>
      </c>
      <c r="I89" s="233">
        <v>0</v>
      </c>
      <c r="J89" s="233">
        <f t="shared" ref="J89:L89" si="107">J90+J91+J92</f>
        <v>0</v>
      </c>
      <c r="K89" s="233">
        <f t="shared" ref="K89" si="108">K90+K91+K92</f>
        <v>0</v>
      </c>
      <c r="L89" s="233">
        <f t="shared" si="107"/>
        <v>0</v>
      </c>
      <c r="M89" s="232">
        <f t="shared" si="88"/>
        <v>0</v>
      </c>
      <c r="N89" s="233">
        <v>0</v>
      </c>
      <c r="O89" s="233">
        <f t="shared" ref="O89:Q89" si="109">O90+O91+O92</f>
        <v>0</v>
      </c>
      <c r="P89" s="233">
        <f t="shared" ref="P89" si="110">P90+P91+P92</f>
        <v>0</v>
      </c>
      <c r="Q89" s="233">
        <f t="shared" si="109"/>
        <v>0</v>
      </c>
      <c r="R89" s="232">
        <f t="shared" si="89"/>
        <v>0</v>
      </c>
    </row>
    <row r="90" spans="1:18" s="6" customFormat="1" ht="36" hidden="1" customHeight="1">
      <c r="A90" s="144" t="s">
        <v>64</v>
      </c>
      <c r="B90" s="179" t="s">
        <v>65</v>
      </c>
      <c r="C90" s="98"/>
      <c r="D90" s="169">
        <v>0</v>
      </c>
      <c r="E90" s="231"/>
      <c r="F90" s="231"/>
      <c r="G90" s="231"/>
      <c r="H90" s="232">
        <f t="shared" si="87"/>
        <v>0</v>
      </c>
      <c r="I90" s="231">
        <v>0</v>
      </c>
      <c r="J90" s="231"/>
      <c r="K90" s="231"/>
      <c r="L90" s="231"/>
      <c r="M90" s="232">
        <f t="shared" si="88"/>
        <v>0</v>
      </c>
      <c r="N90" s="231">
        <v>0</v>
      </c>
      <c r="O90" s="231"/>
      <c r="P90" s="231"/>
      <c r="Q90" s="231"/>
      <c r="R90" s="232">
        <f t="shared" si="89"/>
        <v>0</v>
      </c>
    </row>
    <row r="91" spans="1:18" s="6" customFormat="1" ht="36" hidden="1" customHeight="1">
      <c r="A91" s="144" t="s">
        <v>66</v>
      </c>
      <c r="B91" s="179" t="s">
        <v>67</v>
      </c>
      <c r="C91" s="98"/>
      <c r="D91" s="169">
        <v>0</v>
      </c>
      <c r="E91" s="231"/>
      <c r="F91" s="231"/>
      <c r="G91" s="231"/>
      <c r="H91" s="232">
        <f t="shared" si="87"/>
        <v>0</v>
      </c>
      <c r="I91" s="231">
        <v>0</v>
      </c>
      <c r="J91" s="231"/>
      <c r="K91" s="231"/>
      <c r="L91" s="231"/>
      <c r="M91" s="232">
        <f t="shared" si="88"/>
        <v>0</v>
      </c>
      <c r="N91" s="231">
        <v>0</v>
      </c>
      <c r="O91" s="231"/>
      <c r="P91" s="231"/>
      <c r="Q91" s="231"/>
      <c r="R91" s="232">
        <f t="shared" si="89"/>
        <v>0</v>
      </c>
    </row>
    <row r="92" spans="1:18" s="6" customFormat="1" ht="24" hidden="1" customHeight="1">
      <c r="A92" s="144" t="s">
        <v>68</v>
      </c>
      <c r="B92" s="125" t="s">
        <v>69</v>
      </c>
      <c r="C92" s="98"/>
      <c r="D92" s="169">
        <v>0</v>
      </c>
      <c r="E92" s="231"/>
      <c r="F92" s="231"/>
      <c r="G92" s="231"/>
      <c r="H92" s="232">
        <f t="shared" si="87"/>
        <v>0</v>
      </c>
      <c r="I92" s="231">
        <v>0</v>
      </c>
      <c r="J92" s="231"/>
      <c r="K92" s="231"/>
      <c r="L92" s="231"/>
      <c r="M92" s="232">
        <f t="shared" si="88"/>
        <v>0</v>
      </c>
      <c r="N92" s="231">
        <v>0</v>
      </c>
      <c r="O92" s="231"/>
      <c r="P92" s="231"/>
      <c r="Q92" s="231"/>
      <c r="R92" s="232">
        <f t="shared" si="89"/>
        <v>0</v>
      </c>
    </row>
    <row r="93" spans="1:18" s="6" customFormat="1" ht="12" customHeight="1">
      <c r="A93" s="145"/>
      <c r="B93" s="188" t="s">
        <v>199</v>
      </c>
      <c r="C93" s="207"/>
      <c r="D93" s="189"/>
      <c r="E93" s="268"/>
      <c r="F93" s="268"/>
      <c r="G93" s="268"/>
      <c r="H93" s="269">
        <f t="shared" si="87"/>
        <v>0</v>
      </c>
      <c r="I93" s="347"/>
      <c r="J93" s="268"/>
      <c r="K93" s="268"/>
      <c r="L93" s="268"/>
      <c r="M93" s="269">
        <f t="shared" si="88"/>
        <v>0</v>
      </c>
      <c r="N93" s="347"/>
      <c r="O93" s="268"/>
      <c r="P93" s="268"/>
      <c r="Q93" s="268"/>
      <c r="R93" s="269">
        <f t="shared" si="89"/>
        <v>0</v>
      </c>
    </row>
    <row r="94" spans="1:18" s="6" customFormat="1" ht="20.399999999999999">
      <c r="A94" s="129" t="s">
        <v>201</v>
      </c>
      <c r="B94" s="123" t="s">
        <v>88</v>
      </c>
      <c r="C94" s="200">
        <v>15491371</v>
      </c>
      <c r="D94" s="167">
        <v>15491371</v>
      </c>
      <c r="E94" s="228">
        <f t="shared" ref="E94:G94" si="111">E95+E96+E98+E116</f>
        <v>0</v>
      </c>
      <c r="F94" s="228">
        <f t="shared" ref="F94" si="112">F95+F96+F98+F116</f>
        <v>0</v>
      </c>
      <c r="G94" s="228">
        <f t="shared" si="111"/>
        <v>0</v>
      </c>
      <c r="H94" s="229">
        <f t="shared" si="87"/>
        <v>15491371</v>
      </c>
      <c r="I94" s="228">
        <v>9777097</v>
      </c>
      <c r="J94" s="228">
        <f t="shared" ref="J94:L94" si="113">J95+J96+J98+J116</f>
        <v>0</v>
      </c>
      <c r="K94" s="228">
        <f t="shared" ref="K94" si="114">K95+K96+K98+K116</f>
        <v>0</v>
      </c>
      <c r="L94" s="228">
        <f t="shared" si="113"/>
        <v>0</v>
      </c>
      <c r="M94" s="229">
        <f t="shared" si="88"/>
        <v>9777097</v>
      </c>
      <c r="N94" s="228">
        <v>9777097</v>
      </c>
      <c r="O94" s="228">
        <f t="shared" ref="O94:Q94" si="115">O95+O96+O98+O116</f>
        <v>0</v>
      </c>
      <c r="P94" s="228">
        <f t="shared" ref="P94" si="116">P95+P96+P98+P116</f>
        <v>0</v>
      </c>
      <c r="Q94" s="228">
        <f t="shared" si="115"/>
        <v>0</v>
      </c>
      <c r="R94" s="229">
        <f t="shared" si="89"/>
        <v>9777097</v>
      </c>
    </row>
    <row r="95" spans="1:18" s="6" customFormat="1" ht="24" hidden="1" customHeight="1">
      <c r="A95" s="130" t="s">
        <v>177</v>
      </c>
      <c r="B95" s="124" t="s">
        <v>90</v>
      </c>
      <c r="C95" s="98"/>
      <c r="D95" s="169">
        <v>0</v>
      </c>
      <c r="E95" s="231"/>
      <c r="F95" s="231"/>
      <c r="G95" s="231"/>
      <c r="H95" s="232">
        <f t="shared" si="87"/>
        <v>0</v>
      </c>
      <c r="I95" s="231">
        <v>0</v>
      </c>
      <c r="J95" s="231"/>
      <c r="K95" s="231"/>
      <c r="L95" s="231"/>
      <c r="M95" s="232">
        <f t="shared" si="88"/>
        <v>0</v>
      </c>
      <c r="N95" s="231">
        <v>0</v>
      </c>
      <c r="O95" s="231"/>
      <c r="P95" s="231"/>
      <c r="Q95" s="231"/>
      <c r="R95" s="232">
        <f t="shared" si="89"/>
        <v>0</v>
      </c>
    </row>
    <row r="96" spans="1:18" s="6" customFormat="1" ht="12" hidden="1" customHeight="1">
      <c r="A96" s="130" t="s">
        <v>91</v>
      </c>
      <c r="B96" s="124" t="s">
        <v>92</v>
      </c>
      <c r="C96" s="98"/>
      <c r="D96" s="169">
        <v>0</v>
      </c>
      <c r="E96" s="231"/>
      <c r="F96" s="231"/>
      <c r="G96" s="231"/>
      <c r="H96" s="232">
        <f t="shared" si="87"/>
        <v>0</v>
      </c>
      <c r="I96" s="231">
        <v>0</v>
      </c>
      <c r="J96" s="231"/>
      <c r="K96" s="231"/>
      <c r="L96" s="231"/>
      <c r="M96" s="232">
        <f t="shared" si="88"/>
        <v>0</v>
      </c>
      <c r="N96" s="231">
        <v>0</v>
      </c>
      <c r="O96" s="231"/>
      <c r="P96" s="231"/>
      <c r="Q96" s="231"/>
      <c r="R96" s="232">
        <f t="shared" si="89"/>
        <v>0</v>
      </c>
    </row>
    <row r="97" spans="1:18" s="6" customFormat="1" ht="24" hidden="1" customHeight="1">
      <c r="A97" s="131">
        <v>21210</v>
      </c>
      <c r="B97" s="125" t="s">
        <v>93</v>
      </c>
      <c r="C97" s="98"/>
      <c r="D97" s="169">
        <v>0</v>
      </c>
      <c r="E97" s="231"/>
      <c r="F97" s="231"/>
      <c r="G97" s="231"/>
      <c r="H97" s="232">
        <f t="shared" si="87"/>
        <v>0</v>
      </c>
      <c r="I97" s="231">
        <v>0</v>
      </c>
      <c r="J97" s="231"/>
      <c r="K97" s="231"/>
      <c r="L97" s="231"/>
      <c r="M97" s="232">
        <f t="shared" si="88"/>
        <v>0</v>
      </c>
      <c r="N97" s="231">
        <v>0</v>
      </c>
      <c r="O97" s="231"/>
      <c r="P97" s="231"/>
      <c r="Q97" s="231"/>
      <c r="R97" s="232">
        <f t="shared" si="89"/>
        <v>0</v>
      </c>
    </row>
    <row r="98" spans="1:18" s="6" customFormat="1" ht="21" hidden="1" customHeight="1">
      <c r="A98" s="130" t="s">
        <v>178</v>
      </c>
      <c r="B98" s="124" t="s">
        <v>94</v>
      </c>
      <c r="C98" s="170">
        <v>0</v>
      </c>
      <c r="D98" s="171">
        <v>0</v>
      </c>
      <c r="E98" s="233">
        <f t="shared" ref="E98:G98" si="117">E99+E105</f>
        <v>0</v>
      </c>
      <c r="F98" s="233">
        <f t="shared" ref="F98" si="118">F99+F105</f>
        <v>0</v>
      </c>
      <c r="G98" s="233">
        <f t="shared" si="117"/>
        <v>0</v>
      </c>
      <c r="H98" s="232">
        <f t="shared" si="87"/>
        <v>0</v>
      </c>
      <c r="I98" s="233">
        <v>0</v>
      </c>
      <c r="J98" s="233">
        <f t="shared" ref="J98:L98" si="119">J99+J105</f>
        <v>0</v>
      </c>
      <c r="K98" s="233">
        <f t="shared" ref="K98" si="120">K99+K105</f>
        <v>0</v>
      </c>
      <c r="L98" s="233">
        <f t="shared" si="119"/>
        <v>0</v>
      </c>
      <c r="M98" s="232">
        <f t="shared" si="88"/>
        <v>0</v>
      </c>
      <c r="N98" s="233">
        <v>0</v>
      </c>
      <c r="O98" s="233">
        <f t="shared" ref="O98:Q98" si="121">O99+O105</f>
        <v>0</v>
      </c>
      <c r="P98" s="233">
        <f t="shared" ref="P98" si="122">P99+P105</f>
        <v>0</v>
      </c>
      <c r="Q98" s="233">
        <f t="shared" si="121"/>
        <v>0</v>
      </c>
      <c r="R98" s="232">
        <f t="shared" si="89"/>
        <v>0</v>
      </c>
    </row>
    <row r="99" spans="1:18" s="6" customFormat="1" ht="12" hidden="1" customHeight="1">
      <c r="A99" s="132">
        <v>18000</v>
      </c>
      <c r="B99" s="125" t="s">
        <v>95</v>
      </c>
      <c r="C99" s="170">
        <v>0</v>
      </c>
      <c r="D99" s="171">
        <v>0</v>
      </c>
      <c r="E99" s="233">
        <f t="shared" ref="E99:L100" si="123">E100</f>
        <v>0</v>
      </c>
      <c r="F99" s="233">
        <f t="shared" si="123"/>
        <v>0</v>
      </c>
      <c r="G99" s="233">
        <f t="shared" si="123"/>
        <v>0</v>
      </c>
      <c r="H99" s="232">
        <f t="shared" si="87"/>
        <v>0</v>
      </c>
      <c r="I99" s="233">
        <v>0</v>
      </c>
      <c r="J99" s="233">
        <f t="shared" si="123"/>
        <v>0</v>
      </c>
      <c r="K99" s="233">
        <f t="shared" si="123"/>
        <v>0</v>
      </c>
      <c r="L99" s="233">
        <f t="shared" si="123"/>
        <v>0</v>
      </c>
      <c r="M99" s="232">
        <f t="shared" si="88"/>
        <v>0</v>
      </c>
      <c r="N99" s="233">
        <v>0</v>
      </c>
      <c r="O99" s="233">
        <f t="shared" ref="O99:Q100" si="124">O100</f>
        <v>0</v>
      </c>
      <c r="P99" s="233">
        <f t="shared" si="124"/>
        <v>0</v>
      </c>
      <c r="Q99" s="233">
        <f t="shared" si="124"/>
        <v>0</v>
      </c>
      <c r="R99" s="232">
        <f t="shared" si="89"/>
        <v>0</v>
      </c>
    </row>
    <row r="100" spans="1:18" s="6" customFormat="1" ht="12" hidden="1" customHeight="1">
      <c r="A100" s="132">
        <v>18100</v>
      </c>
      <c r="B100" s="125" t="s">
        <v>96</v>
      </c>
      <c r="C100" s="170">
        <v>0</v>
      </c>
      <c r="D100" s="171">
        <v>0</v>
      </c>
      <c r="E100" s="233">
        <f t="shared" si="123"/>
        <v>0</v>
      </c>
      <c r="F100" s="233">
        <f t="shared" si="123"/>
        <v>0</v>
      </c>
      <c r="G100" s="233">
        <f t="shared" si="123"/>
        <v>0</v>
      </c>
      <c r="H100" s="232">
        <f t="shared" si="87"/>
        <v>0</v>
      </c>
      <c r="I100" s="233">
        <v>0</v>
      </c>
      <c r="J100" s="233">
        <f t="shared" si="123"/>
        <v>0</v>
      </c>
      <c r="K100" s="233">
        <f t="shared" si="123"/>
        <v>0</v>
      </c>
      <c r="L100" s="233">
        <f t="shared" si="123"/>
        <v>0</v>
      </c>
      <c r="M100" s="232">
        <f t="shared" si="88"/>
        <v>0</v>
      </c>
      <c r="N100" s="233">
        <v>0</v>
      </c>
      <c r="O100" s="233">
        <f t="shared" si="124"/>
        <v>0</v>
      </c>
      <c r="P100" s="233">
        <f t="shared" si="124"/>
        <v>0</v>
      </c>
      <c r="Q100" s="233">
        <f t="shared" si="124"/>
        <v>0</v>
      </c>
      <c r="R100" s="232">
        <f t="shared" si="89"/>
        <v>0</v>
      </c>
    </row>
    <row r="101" spans="1:18" s="6" customFormat="1" ht="24" hidden="1" customHeight="1">
      <c r="A101" s="133">
        <v>18130</v>
      </c>
      <c r="B101" s="172" t="s">
        <v>159</v>
      </c>
      <c r="C101" s="170">
        <v>0</v>
      </c>
      <c r="D101" s="171">
        <v>0</v>
      </c>
      <c r="E101" s="233">
        <f t="shared" ref="E101:G101" si="125">SUM(E102:E104)</f>
        <v>0</v>
      </c>
      <c r="F101" s="233">
        <f t="shared" ref="F101" si="126">SUM(F102:F104)</f>
        <v>0</v>
      </c>
      <c r="G101" s="233">
        <f t="shared" si="125"/>
        <v>0</v>
      </c>
      <c r="H101" s="232">
        <f t="shared" si="87"/>
        <v>0</v>
      </c>
      <c r="I101" s="233">
        <v>0</v>
      </c>
      <c r="J101" s="233">
        <f t="shared" ref="J101:L101" si="127">SUM(J102:J104)</f>
        <v>0</v>
      </c>
      <c r="K101" s="233">
        <f t="shared" ref="K101" si="128">SUM(K102:K104)</f>
        <v>0</v>
      </c>
      <c r="L101" s="233">
        <f t="shared" si="127"/>
        <v>0</v>
      </c>
      <c r="M101" s="232">
        <f t="shared" si="88"/>
        <v>0</v>
      </c>
      <c r="N101" s="233">
        <v>0</v>
      </c>
      <c r="O101" s="233">
        <f t="shared" ref="O101:Q101" si="129">SUM(O102:O104)</f>
        <v>0</v>
      </c>
      <c r="P101" s="233">
        <f t="shared" ref="P101" si="130">SUM(P102:P104)</f>
        <v>0</v>
      </c>
      <c r="Q101" s="233">
        <f t="shared" si="129"/>
        <v>0</v>
      </c>
      <c r="R101" s="232">
        <f t="shared" si="89"/>
        <v>0</v>
      </c>
    </row>
    <row r="102" spans="1:18" s="6" customFormat="1" ht="36" hidden="1" customHeight="1">
      <c r="A102" s="134">
        <v>18131</v>
      </c>
      <c r="B102" s="172" t="s">
        <v>160</v>
      </c>
      <c r="C102" s="170"/>
      <c r="D102" s="171">
        <v>0</v>
      </c>
      <c r="E102" s="233"/>
      <c r="F102" s="233"/>
      <c r="G102" s="233"/>
      <c r="H102" s="232">
        <f t="shared" si="87"/>
        <v>0</v>
      </c>
      <c r="I102" s="233">
        <v>0</v>
      </c>
      <c r="J102" s="233"/>
      <c r="K102" s="233"/>
      <c r="L102" s="233"/>
      <c r="M102" s="232">
        <f t="shared" si="88"/>
        <v>0</v>
      </c>
      <c r="N102" s="233">
        <v>0</v>
      </c>
      <c r="O102" s="233"/>
      <c r="P102" s="233"/>
      <c r="Q102" s="233"/>
      <c r="R102" s="232">
        <f t="shared" si="89"/>
        <v>0</v>
      </c>
    </row>
    <row r="103" spans="1:18" s="6" customFormat="1" ht="24" hidden="1" customHeight="1">
      <c r="A103" s="134">
        <v>18132</v>
      </c>
      <c r="B103" s="172" t="s">
        <v>169</v>
      </c>
      <c r="C103" s="170"/>
      <c r="D103" s="171">
        <v>0</v>
      </c>
      <c r="E103" s="233"/>
      <c r="F103" s="233"/>
      <c r="G103" s="233"/>
      <c r="H103" s="232">
        <f t="shared" si="87"/>
        <v>0</v>
      </c>
      <c r="I103" s="233">
        <v>0</v>
      </c>
      <c r="J103" s="233"/>
      <c r="K103" s="233"/>
      <c r="L103" s="233"/>
      <c r="M103" s="232">
        <f t="shared" si="88"/>
        <v>0</v>
      </c>
      <c r="N103" s="233">
        <v>0</v>
      </c>
      <c r="O103" s="233"/>
      <c r="P103" s="233"/>
      <c r="Q103" s="233"/>
      <c r="R103" s="232">
        <f t="shared" si="89"/>
        <v>0</v>
      </c>
    </row>
    <row r="104" spans="1:18" s="6" customFormat="1" ht="24" hidden="1" customHeight="1">
      <c r="A104" s="134">
        <v>18139</v>
      </c>
      <c r="B104" s="172" t="s">
        <v>179</v>
      </c>
      <c r="C104" s="170"/>
      <c r="D104" s="171">
        <v>0</v>
      </c>
      <c r="E104" s="233"/>
      <c r="F104" s="233"/>
      <c r="G104" s="233"/>
      <c r="H104" s="232">
        <f t="shared" si="87"/>
        <v>0</v>
      </c>
      <c r="I104" s="233">
        <v>0</v>
      </c>
      <c r="J104" s="233"/>
      <c r="K104" s="233"/>
      <c r="L104" s="233"/>
      <c r="M104" s="232">
        <f t="shared" si="88"/>
        <v>0</v>
      </c>
      <c r="N104" s="233">
        <v>0</v>
      </c>
      <c r="O104" s="233"/>
      <c r="P104" s="233"/>
      <c r="Q104" s="233"/>
      <c r="R104" s="232">
        <f t="shared" si="89"/>
        <v>0</v>
      </c>
    </row>
    <row r="105" spans="1:18" s="6" customFormat="1" ht="12" hidden="1" customHeight="1">
      <c r="A105" s="135" t="s">
        <v>180</v>
      </c>
      <c r="B105" s="173" t="s">
        <v>173</v>
      </c>
      <c r="C105" s="201">
        <v>0</v>
      </c>
      <c r="D105" s="174">
        <v>0</v>
      </c>
      <c r="E105" s="238">
        <f t="shared" ref="E105:L105" si="131">E106</f>
        <v>0</v>
      </c>
      <c r="F105" s="238">
        <f t="shared" si="131"/>
        <v>0</v>
      </c>
      <c r="G105" s="238">
        <f t="shared" si="131"/>
        <v>0</v>
      </c>
      <c r="H105" s="232">
        <f t="shared" si="87"/>
        <v>0</v>
      </c>
      <c r="I105" s="238">
        <v>0</v>
      </c>
      <c r="J105" s="238">
        <f t="shared" si="131"/>
        <v>0</v>
      </c>
      <c r="K105" s="238">
        <f t="shared" si="131"/>
        <v>0</v>
      </c>
      <c r="L105" s="238">
        <f t="shared" si="131"/>
        <v>0</v>
      </c>
      <c r="M105" s="232">
        <f t="shared" si="88"/>
        <v>0</v>
      </c>
      <c r="N105" s="238">
        <v>0</v>
      </c>
      <c r="O105" s="238">
        <f t="shared" ref="O105:Q105" si="132">O106</f>
        <v>0</v>
      </c>
      <c r="P105" s="238">
        <f t="shared" si="132"/>
        <v>0</v>
      </c>
      <c r="Q105" s="238">
        <f t="shared" si="132"/>
        <v>0</v>
      </c>
      <c r="R105" s="232">
        <f t="shared" si="89"/>
        <v>0</v>
      </c>
    </row>
    <row r="106" spans="1:18" s="6" customFormat="1" ht="24" hidden="1" customHeight="1">
      <c r="A106" s="135">
        <v>19500</v>
      </c>
      <c r="B106" s="172" t="s">
        <v>174</v>
      </c>
      <c r="C106" s="170">
        <v>0</v>
      </c>
      <c r="D106" s="171">
        <v>0</v>
      </c>
      <c r="E106" s="233">
        <f t="shared" ref="E106:G106" si="133">SUM(E107:E109)</f>
        <v>0</v>
      </c>
      <c r="F106" s="233">
        <f t="shared" ref="F106" si="134">SUM(F107:F109)</f>
        <v>0</v>
      </c>
      <c r="G106" s="233">
        <f t="shared" si="133"/>
        <v>0</v>
      </c>
      <c r="H106" s="232">
        <f t="shared" si="87"/>
        <v>0</v>
      </c>
      <c r="I106" s="233">
        <v>0</v>
      </c>
      <c r="J106" s="233">
        <f t="shared" ref="J106:L106" si="135">SUM(J107:J109)</f>
        <v>0</v>
      </c>
      <c r="K106" s="233">
        <f t="shared" ref="K106" si="136">SUM(K107:K109)</f>
        <v>0</v>
      </c>
      <c r="L106" s="233">
        <f t="shared" si="135"/>
        <v>0</v>
      </c>
      <c r="M106" s="232">
        <f t="shared" si="88"/>
        <v>0</v>
      </c>
      <c r="N106" s="233">
        <v>0</v>
      </c>
      <c r="O106" s="233">
        <f t="shared" ref="O106:Q106" si="137">SUM(O107:O109)</f>
        <v>0</v>
      </c>
      <c r="P106" s="233">
        <f t="shared" ref="P106" si="138">SUM(P107:P109)</f>
        <v>0</v>
      </c>
      <c r="Q106" s="233">
        <f t="shared" si="137"/>
        <v>0</v>
      </c>
      <c r="R106" s="232">
        <f t="shared" si="89"/>
        <v>0</v>
      </c>
    </row>
    <row r="107" spans="1:18" s="6" customFormat="1" ht="24" hidden="1" customHeight="1">
      <c r="A107" s="136">
        <v>19550</v>
      </c>
      <c r="B107" s="172" t="s">
        <v>175</v>
      </c>
      <c r="C107" s="170"/>
      <c r="D107" s="171">
        <v>0</v>
      </c>
      <c r="E107" s="233"/>
      <c r="F107" s="233"/>
      <c r="G107" s="233"/>
      <c r="H107" s="232">
        <f t="shared" si="87"/>
        <v>0</v>
      </c>
      <c r="I107" s="233">
        <v>0</v>
      </c>
      <c r="J107" s="233"/>
      <c r="K107" s="233"/>
      <c r="L107" s="233"/>
      <c r="M107" s="232">
        <f t="shared" si="88"/>
        <v>0</v>
      </c>
      <c r="N107" s="233">
        <v>0</v>
      </c>
      <c r="O107" s="233"/>
      <c r="P107" s="233"/>
      <c r="Q107" s="233"/>
      <c r="R107" s="232">
        <f t="shared" si="89"/>
        <v>0</v>
      </c>
    </row>
    <row r="108" spans="1:18" s="6" customFormat="1" ht="36" hidden="1" customHeight="1">
      <c r="A108" s="136">
        <v>19560</v>
      </c>
      <c r="B108" s="172" t="s">
        <v>181</v>
      </c>
      <c r="C108" s="170"/>
      <c r="D108" s="171">
        <v>0</v>
      </c>
      <c r="E108" s="233"/>
      <c r="F108" s="233"/>
      <c r="G108" s="233"/>
      <c r="H108" s="232">
        <f t="shared" si="87"/>
        <v>0</v>
      </c>
      <c r="I108" s="233">
        <v>0</v>
      </c>
      <c r="J108" s="233"/>
      <c r="K108" s="233"/>
      <c r="L108" s="233"/>
      <c r="M108" s="232">
        <f t="shared" si="88"/>
        <v>0</v>
      </c>
      <c r="N108" s="233">
        <v>0</v>
      </c>
      <c r="O108" s="233"/>
      <c r="P108" s="233"/>
      <c r="Q108" s="233"/>
      <c r="R108" s="232">
        <f t="shared" si="89"/>
        <v>0</v>
      </c>
    </row>
    <row r="109" spans="1:18" s="6" customFormat="1" ht="72" hidden="1" customHeight="1">
      <c r="A109" s="136">
        <v>19570</v>
      </c>
      <c r="B109" s="172" t="s">
        <v>182</v>
      </c>
      <c r="C109" s="170"/>
      <c r="D109" s="171">
        <v>0</v>
      </c>
      <c r="E109" s="233"/>
      <c r="F109" s="233"/>
      <c r="G109" s="233"/>
      <c r="H109" s="232">
        <f t="shared" si="87"/>
        <v>0</v>
      </c>
      <c r="I109" s="233">
        <v>0</v>
      </c>
      <c r="J109" s="233"/>
      <c r="K109" s="233"/>
      <c r="L109" s="233"/>
      <c r="M109" s="232">
        <f t="shared" si="88"/>
        <v>0</v>
      </c>
      <c r="N109" s="233">
        <v>0</v>
      </c>
      <c r="O109" s="233"/>
      <c r="P109" s="233"/>
      <c r="Q109" s="233"/>
      <c r="R109" s="232">
        <f t="shared" si="89"/>
        <v>0</v>
      </c>
    </row>
    <row r="110" spans="1:18" s="6" customFormat="1" ht="36" hidden="1" customHeight="1">
      <c r="A110" s="209" t="s">
        <v>222</v>
      </c>
      <c r="B110" s="208" t="s">
        <v>216</v>
      </c>
      <c r="C110" s="106">
        <f>C111</f>
        <v>0</v>
      </c>
      <c r="D110" s="106">
        <v>0</v>
      </c>
      <c r="E110" s="232">
        <f t="shared" ref="E110:L110" si="139">E111</f>
        <v>0</v>
      </c>
      <c r="F110" s="232">
        <f t="shared" si="139"/>
        <v>0</v>
      </c>
      <c r="G110" s="232">
        <f t="shared" si="139"/>
        <v>0</v>
      </c>
      <c r="H110" s="232">
        <f t="shared" si="87"/>
        <v>0</v>
      </c>
      <c r="I110" s="233">
        <v>0</v>
      </c>
      <c r="J110" s="232">
        <f t="shared" si="139"/>
        <v>0</v>
      </c>
      <c r="K110" s="232">
        <f t="shared" si="139"/>
        <v>0</v>
      </c>
      <c r="L110" s="232">
        <f t="shared" si="139"/>
        <v>0</v>
      </c>
      <c r="M110" s="232">
        <f t="shared" si="88"/>
        <v>0</v>
      </c>
      <c r="N110" s="233">
        <v>0</v>
      </c>
      <c r="O110" s="232">
        <f t="shared" ref="O110:Q110" si="140">O111</f>
        <v>0</v>
      </c>
      <c r="P110" s="232">
        <f t="shared" si="140"/>
        <v>0</v>
      </c>
      <c r="Q110" s="232">
        <f t="shared" si="140"/>
        <v>0</v>
      </c>
      <c r="R110" s="232">
        <f t="shared" si="89"/>
        <v>0</v>
      </c>
    </row>
    <row r="111" spans="1:18" s="6" customFormat="1" ht="36" hidden="1" customHeight="1">
      <c r="A111" s="209">
        <v>17100</v>
      </c>
      <c r="B111" s="208" t="s">
        <v>217</v>
      </c>
      <c r="C111" s="106">
        <f>SUM(C112:C115)</f>
        <v>0</v>
      </c>
      <c r="D111" s="106">
        <v>0</v>
      </c>
      <c r="E111" s="232">
        <f t="shared" ref="E111:G111" si="141">SUM(E112:E115)</f>
        <v>0</v>
      </c>
      <c r="F111" s="232">
        <f t="shared" ref="F111" si="142">SUM(F112:F115)</f>
        <v>0</v>
      </c>
      <c r="G111" s="232">
        <f t="shared" si="141"/>
        <v>0</v>
      </c>
      <c r="H111" s="232">
        <f t="shared" si="87"/>
        <v>0</v>
      </c>
      <c r="I111" s="233">
        <v>0</v>
      </c>
      <c r="J111" s="232">
        <f t="shared" ref="J111:L111" si="143">SUM(J112:J115)</f>
        <v>0</v>
      </c>
      <c r="K111" s="232">
        <f t="shared" ref="K111" si="144">SUM(K112:K115)</f>
        <v>0</v>
      </c>
      <c r="L111" s="232">
        <f t="shared" si="143"/>
        <v>0</v>
      </c>
      <c r="M111" s="232">
        <f t="shared" si="88"/>
        <v>0</v>
      </c>
      <c r="N111" s="233">
        <v>0</v>
      </c>
      <c r="O111" s="232">
        <f t="shared" ref="O111:Q111" si="145">SUM(O112:O115)</f>
        <v>0</v>
      </c>
      <c r="P111" s="232">
        <f t="shared" ref="P111" si="146">SUM(P112:P115)</f>
        <v>0</v>
      </c>
      <c r="Q111" s="232">
        <f t="shared" si="145"/>
        <v>0</v>
      </c>
      <c r="R111" s="232">
        <f t="shared" si="89"/>
        <v>0</v>
      </c>
    </row>
    <row r="112" spans="1:18" s="6" customFormat="1" ht="60" hidden="1" customHeight="1">
      <c r="A112" s="149">
        <v>17110</v>
      </c>
      <c r="B112" s="208" t="s">
        <v>218</v>
      </c>
      <c r="C112" s="106"/>
      <c r="D112" s="107">
        <v>0</v>
      </c>
      <c r="E112" s="233"/>
      <c r="F112" s="233"/>
      <c r="G112" s="233"/>
      <c r="H112" s="232">
        <f t="shared" si="87"/>
        <v>0</v>
      </c>
      <c r="I112" s="233">
        <v>0</v>
      </c>
      <c r="J112" s="233"/>
      <c r="K112" s="233"/>
      <c r="L112" s="233"/>
      <c r="M112" s="232">
        <f t="shared" si="88"/>
        <v>0</v>
      </c>
      <c r="N112" s="233">
        <v>0</v>
      </c>
      <c r="O112" s="233"/>
      <c r="P112" s="233"/>
      <c r="Q112" s="233"/>
      <c r="R112" s="232">
        <f t="shared" si="89"/>
        <v>0</v>
      </c>
    </row>
    <row r="113" spans="1:18" s="6" customFormat="1" ht="60" hidden="1" customHeight="1">
      <c r="A113" s="149">
        <v>17120</v>
      </c>
      <c r="B113" s="208" t="s">
        <v>219</v>
      </c>
      <c r="C113" s="106"/>
      <c r="D113" s="107">
        <v>0</v>
      </c>
      <c r="E113" s="233"/>
      <c r="F113" s="233"/>
      <c r="G113" s="233"/>
      <c r="H113" s="232">
        <f t="shared" si="87"/>
        <v>0</v>
      </c>
      <c r="I113" s="233">
        <v>0</v>
      </c>
      <c r="J113" s="233"/>
      <c r="K113" s="233"/>
      <c r="L113" s="233"/>
      <c r="M113" s="232">
        <f t="shared" si="88"/>
        <v>0</v>
      </c>
      <c r="N113" s="233">
        <v>0</v>
      </c>
      <c r="O113" s="233"/>
      <c r="P113" s="233"/>
      <c r="Q113" s="233"/>
      <c r="R113" s="232">
        <f t="shared" si="89"/>
        <v>0</v>
      </c>
    </row>
    <row r="114" spans="1:18" s="6" customFormat="1" ht="108" hidden="1" customHeight="1">
      <c r="A114" s="149">
        <v>17130</v>
      </c>
      <c r="B114" s="208" t="s">
        <v>220</v>
      </c>
      <c r="C114" s="106"/>
      <c r="D114" s="107">
        <v>0</v>
      </c>
      <c r="E114" s="233"/>
      <c r="F114" s="233"/>
      <c r="G114" s="233"/>
      <c r="H114" s="232">
        <f t="shared" si="87"/>
        <v>0</v>
      </c>
      <c r="I114" s="233">
        <v>0</v>
      </c>
      <c r="J114" s="233"/>
      <c r="K114" s="233"/>
      <c r="L114" s="233"/>
      <c r="M114" s="232">
        <f t="shared" si="88"/>
        <v>0</v>
      </c>
      <c r="N114" s="233">
        <v>0</v>
      </c>
      <c r="O114" s="233"/>
      <c r="P114" s="233"/>
      <c r="Q114" s="233"/>
      <c r="R114" s="232">
        <f t="shared" si="89"/>
        <v>0</v>
      </c>
    </row>
    <row r="115" spans="1:18" s="6" customFormat="1" ht="108" hidden="1" customHeight="1">
      <c r="A115" s="149">
        <v>17140</v>
      </c>
      <c r="B115" s="208" t="s">
        <v>221</v>
      </c>
      <c r="C115" s="106"/>
      <c r="D115" s="107">
        <v>0</v>
      </c>
      <c r="E115" s="233"/>
      <c r="F115" s="233"/>
      <c r="G115" s="233"/>
      <c r="H115" s="232">
        <f t="shared" si="87"/>
        <v>0</v>
      </c>
      <c r="I115" s="233">
        <v>0</v>
      </c>
      <c r="J115" s="233"/>
      <c r="K115" s="233"/>
      <c r="L115" s="233"/>
      <c r="M115" s="232">
        <f t="shared" si="88"/>
        <v>0</v>
      </c>
      <c r="N115" s="233">
        <v>0</v>
      </c>
      <c r="O115" s="233"/>
      <c r="P115" s="233"/>
      <c r="Q115" s="233"/>
      <c r="R115" s="232">
        <f t="shared" si="89"/>
        <v>0</v>
      </c>
    </row>
    <row r="116" spans="1:18" s="6" customFormat="1" ht="12">
      <c r="A116" s="137">
        <v>21700</v>
      </c>
      <c r="B116" s="124" t="s">
        <v>97</v>
      </c>
      <c r="C116" s="170">
        <v>15491371</v>
      </c>
      <c r="D116" s="171">
        <v>15491371</v>
      </c>
      <c r="E116" s="233">
        <f t="shared" ref="E116:G116" si="147">E117+E118</f>
        <v>0</v>
      </c>
      <c r="F116" s="233">
        <f t="shared" ref="F116" si="148">F117+F118</f>
        <v>0</v>
      </c>
      <c r="G116" s="233">
        <f t="shared" si="147"/>
        <v>0</v>
      </c>
      <c r="H116" s="232">
        <f t="shared" si="87"/>
        <v>15491371</v>
      </c>
      <c r="I116" s="233">
        <v>9777097</v>
      </c>
      <c r="J116" s="233">
        <f t="shared" ref="J116:L116" si="149">J117+J118</f>
        <v>0</v>
      </c>
      <c r="K116" s="233">
        <f t="shared" ref="K116" si="150">K117+K118</f>
        <v>0</v>
      </c>
      <c r="L116" s="233">
        <f t="shared" si="149"/>
        <v>0</v>
      </c>
      <c r="M116" s="232">
        <f t="shared" si="88"/>
        <v>9777097</v>
      </c>
      <c r="N116" s="233">
        <v>9777097</v>
      </c>
      <c r="O116" s="233">
        <f t="shared" ref="O116:Q116" si="151">O117+O118</f>
        <v>0</v>
      </c>
      <c r="P116" s="233">
        <f t="shared" ref="P116" si="152">P117+P118</f>
        <v>0</v>
      </c>
      <c r="Q116" s="233">
        <f t="shared" si="151"/>
        <v>0</v>
      </c>
      <c r="R116" s="232">
        <f t="shared" si="89"/>
        <v>9777097</v>
      </c>
    </row>
    <row r="117" spans="1:18" s="6" customFormat="1" ht="24">
      <c r="A117" s="138">
        <v>21710</v>
      </c>
      <c r="B117" s="125" t="s">
        <v>98</v>
      </c>
      <c r="C117" s="170">
        <v>15491371</v>
      </c>
      <c r="D117" s="171">
        <v>15491371</v>
      </c>
      <c r="E117" s="233"/>
      <c r="F117" s="233"/>
      <c r="G117" s="233"/>
      <c r="H117" s="232">
        <f t="shared" si="87"/>
        <v>15491371</v>
      </c>
      <c r="I117" s="233">
        <v>9777097</v>
      </c>
      <c r="J117" s="233"/>
      <c r="K117" s="233"/>
      <c r="L117" s="233"/>
      <c r="M117" s="232">
        <f t="shared" si="88"/>
        <v>9777097</v>
      </c>
      <c r="N117" s="233">
        <v>9777097</v>
      </c>
      <c r="O117" s="233"/>
      <c r="P117" s="233"/>
      <c r="Q117" s="233"/>
      <c r="R117" s="232">
        <f t="shared" si="89"/>
        <v>9777097</v>
      </c>
    </row>
    <row r="118" spans="1:18" s="6" customFormat="1" ht="24" hidden="1" customHeight="1">
      <c r="A118" s="138">
        <v>21720</v>
      </c>
      <c r="B118" s="125" t="s">
        <v>99</v>
      </c>
      <c r="C118" s="170"/>
      <c r="D118" s="171">
        <v>0</v>
      </c>
      <c r="E118" s="233"/>
      <c r="F118" s="233"/>
      <c r="G118" s="233"/>
      <c r="H118" s="232">
        <f t="shared" si="87"/>
        <v>0</v>
      </c>
      <c r="I118" s="233">
        <v>0</v>
      </c>
      <c r="J118" s="233"/>
      <c r="K118" s="233"/>
      <c r="L118" s="233"/>
      <c r="M118" s="232">
        <f t="shared" si="88"/>
        <v>0</v>
      </c>
      <c r="N118" s="233">
        <v>0</v>
      </c>
      <c r="O118" s="233"/>
      <c r="P118" s="233"/>
      <c r="Q118" s="233"/>
      <c r="R118" s="232">
        <f t="shared" si="89"/>
        <v>0</v>
      </c>
    </row>
    <row r="119" spans="1:18" s="6" customFormat="1" ht="11.4">
      <c r="A119" s="129" t="s">
        <v>100</v>
      </c>
      <c r="B119" s="123" t="s">
        <v>101</v>
      </c>
      <c r="C119" s="168">
        <v>15491371</v>
      </c>
      <c r="D119" s="175">
        <v>15491371</v>
      </c>
      <c r="E119" s="243">
        <f t="shared" ref="E119:G119" si="153">E120+E147</f>
        <v>0</v>
      </c>
      <c r="F119" s="243">
        <f t="shared" ref="F119" si="154">F120+F147</f>
        <v>0</v>
      </c>
      <c r="G119" s="243">
        <f t="shared" si="153"/>
        <v>0</v>
      </c>
      <c r="H119" s="229">
        <f t="shared" si="87"/>
        <v>15491371</v>
      </c>
      <c r="I119" s="243">
        <v>9777097</v>
      </c>
      <c r="J119" s="243">
        <f t="shared" ref="J119:L119" si="155">J120+J147</f>
        <v>0</v>
      </c>
      <c r="K119" s="243">
        <f t="shared" ref="K119" si="156">K120+K147</f>
        <v>0</v>
      </c>
      <c r="L119" s="243">
        <f t="shared" si="155"/>
        <v>0</v>
      </c>
      <c r="M119" s="229">
        <f t="shared" si="88"/>
        <v>9777097</v>
      </c>
      <c r="N119" s="243">
        <v>9777097</v>
      </c>
      <c r="O119" s="243">
        <f t="shared" ref="O119:Q119" si="157">O120+O147</f>
        <v>0</v>
      </c>
      <c r="P119" s="243">
        <f t="shared" ref="P119" si="158">P120+P147</f>
        <v>0</v>
      </c>
      <c r="Q119" s="243">
        <f t="shared" si="157"/>
        <v>0</v>
      </c>
      <c r="R119" s="229">
        <f t="shared" si="89"/>
        <v>9777097</v>
      </c>
    </row>
    <row r="120" spans="1:18" s="6" customFormat="1" ht="20.399999999999999">
      <c r="A120" s="130" t="s">
        <v>102</v>
      </c>
      <c r="B120" s="124" t="s">
        <v>103</v>
      </c>
      <c r="C120" s="170">
        <v>15491371</v>
      </c>
      <c r="D120" s="171">
        <v>15491371</v>
      </c>
      <c r="E120" s="233">
        <f t="shared" ref="E120:G120" si="159">E121+E125+E126+E129+E132</f>
        <v>0</v>
      </c>
      <c r="F120" s="233">
        <f t="shared" ref="F120" si="160">F121+F125+F126+F129+F132</f>
        <v>0</v>
      </c>
      <c r="G120" s="233">
        <f t="shared" si="159"/>
        <v>0</v>
      </c>
      <c r="H120" s="232">
        <f t="shared" si="87"/>
        <v>15491371</v>
      </c>
      <c r="I120" s="233">
        <v>9777097</v>
      </c>
      <c r="J120" s="233">
        <f t="shared" ref="J120:L120" si="161">J121+J125+J126+J129+J132</f>
        <v>0</v>
      </c>
      <c r="K120" s="233">
        <f t="shared" ref="K120" si="162">K121+K125+K126+K129+K132</f>
        <v>0</v>
      </c>
      <c r="L120" s="233">
        <f t="shared" si="161"/>
        <v>0</v>
      </c>
      <c r="M120" s="232">
        <f t="shared" si="88"/>
        <v>9777097</v>
      </c>
      <c r="N120" s="233">
        <v>9777097</v>
      </c>
      <c r="O120" s="233">
        <f t="shared" ref="O120:Q120" si="163">O121+O125+O126+O129+O132</f>
        <v>0</v>
      </c>
      <c r="P120" s="233">
        <f t="shared" ref="P120" si="164">P121+P125+P126+P129+P132</f>
        <v>0</v>
      </c>
      <c r="Q120" s="233">
        <f t="shared" si="163"/>
        <v>0</v>
      </c>
      <c r="R120" s="232">
        <f t="shared" si="89"/>
        <v>9777097</v>
      </c>
    </row>
    <row r="121" spans="1:18" s="6" customFormat="1" ht="12" hidden="1" customHeight="1">
      <c r="A121" s="130" t="s">
        <v>104</v>
      </c>
      <c r="B121" s="124" t="s">
        <v>105</v>
      </c>
      <c r="C121" s="170">
        <v>0</v>
      </c>
      <c r="D121" s="171">
        <v>0</v>
      </c>
      <c r="E121" s="233">
        <f t="shared" ref="E121:G121" si="165">E122+E124</f>
        <v>0</v>
      </c>
      <c r="F121" s="233">
        <f t="shared" ref="F121" si="166">F122+F124</f>
        <v>0</v>
      </c>
      <c r="G121" s="233">
        <f t="shared" si="165"/>
        <v>0</v>
      </c>
      <c r="H121" s="232">
        <f t="shared" si="87"/>
        <v>0</v>
      </c>
      <c r="I121" s="233">
        <v>0</v>
      </c>
      <c r="J121" s="233">
        <f t="shared" ref="J121:L121" si="167">J122+J124</f>
        <v>0</v>
      </c>
      <c r="K121" s="233">
        <f t="shared" ref="K121" si="168">K122+K124</f>
        <v>0</v>
      </c>
      <c r="L121" s="233">
        <f t="shared" si="167"/>
        <v>0</v>
      </c>
      <c r="M121" s="232">
        <f t="shared" si="88"/>
        <v>0</v>
      </c>
      <c r="N121" s="233">
        <v>0</v>
      </c>
      <c r="O121" s="233">
        <f t="shared" ref="O121:Q121" si="169">O122+O124</f>
        <v>0</v>
      </c>
      <c r="P121" s="233">
        <f t="shared" ref="P121" si="170">P122+P124</f>
        <v>0</v>
      </c>
      <c r="Q121" s="233">
        <f t="shared" si="169"/>
        <v>0</v>
      </c>
      <c r="R121" s="232">
        <f t="shared" si="89"/>
        <v>0</v>
      </c>
    </row>
    <row r="122" spans="1:18" s="29" customFormat="1" ht="12" hidden="1" customHeight="1">
      <c r="A122" s="132">
        <v>1000</v>
      </c>
      <c r="B122" s="125" t="s">
        <v>106</v>
      </c>
      <c r="C122" s="170"/>
      <c r="D122" s="176">
        <v>0</v>
      </c>
      <c r="E122" s="244"/>
      <c r="F122" s="244"/>
      <c r="G122" s="244"/>
      <c r="H122" s="232">
        <f t="shared" si="87"/>
        <v>0</v>
      </c>
      <c r="I122" s="233">
        <v>0</v>
      </c>
      <c r="J122" s="244"/>
      <c r="K122" s="244"/>
      <c r="L122" s="244"/>
      <c r="M122" s="232">
        <f t="shared" si="88"/>
        <v>0</v>
      </c>
      <c r="N122" s="233">
        <v>0</v>
      </c>
      <c r="O122" s="244"/>
      <c r="P122" s="244"/>
      <c r="Q122" s="244"/>
      <c r="R122" s="232">
        <f t="shared" si="89"/>
        <v>0</v>
      </c>
    </row>
    <row r="123" spans="1:18" s="89" customFormat="1" ht="12" hidden="1" customHeight="1">
      <c r="A123" s="139">
        <v>1100</v>
      </c>
      <c r="B123" s="125" t="s">
        <v>107</v>
      </c>
      <c r="C123" s="170"/>
      <c r="D123" s="176">
        <v>0</v>
      </c>
      <c r="E123" s="244"/>
      <c r="F123" s="244"/>
      <c r="G123" s="244"/>
      <c r="H123" s="232">
        <f t="shared" si="87"/>
        <v>0</v>
      </c>
      <c r="I123" s="233">
        <v>0</v>
      </c>
      <c r="J123" s="244"/>
      <c r="K123" s="244"/>
      <c r="L123" s="244"/>
      <c r="M123" s="232">
        <f t="shared" si="88"/>
        <v>0</v>
      </c>
      <c r="N123" s="233">
        <v>0</v>
      </c>
      <c r="O123" s="244"/>
      <c r="P123" s="244"/>
      <c r="Q123" s="244"/>
      <c r="R123" s="232">
        <f t="shared" si="89"/>
        <v>0</v>
      </c>
    </row>
    <row r="124" spans="1:18" s="89" customFormat="1" ht="12" hidden="1" customHeight="1">
      <c r="A124" s="132">
        <v>2000</v>
      </c>
      <c r="B124" s="125" t="s">
        <v>108</v>
      </c>
      <c r="C124" s="170"/>
      <c r="D124" s="176">
        <v>0</v>
      </c>
      <c r="E124" s="244"/>
      <c r="F124" s="244"/>
      <c r="G124" s="244"/>
      <c r="H124" s="232">
        <f t="shared" si="87"/>
        <v>0</v>
      </c>
      <c r="I124" s="233">
        <v>0</v>
      </c>
      <c r="J124" s="244"/>
      <c r="K124" s="244"/>
      <c r="L124" s="244"/>
      <c r="M124" s="232">
        <f t="shared" si="88"/>
        <v>0</v>
      </c>
      <c r="N124" s="233">
        <v>0</v>
      </c>
      <c r="O124" s="244"/>
      <c r="P124" s="244"/>
      <c r="Q124" s="244"/>
      <c r="R124" s="232">
        <f t="shared" si="89"/>
        <v>0</v>
      </c>
    </row>
    <row r="125" spans="1:18" s="89" customFormat="1" ht="12" hidden="1" customHeight="1">
      <c r="A125" s="140">
        <v>4000</v>
      </c>
      <c r="B125" s="124" t="s">
        <v>132</v>
      </c>
      <c r="C125" s="170"/>
      <c r="D125" s="176">
        <v>0</v>
      </c>
      <c r="E125" s="244"/>
      <c r="F125" s="244"/>
      <c r="G125" s="244"/>
      <c r="H125" s="232">
        <f t="shared" si="87"/>
        <v>0</v>
      </c>
      <c r="I125" s="233">
        <v>0</v>
      </c>
      <c r="J125" s="244"/>
      <c r="K125" s="244"/>
      <c r="L125" s="244"/>
      <c r="M125" s="232">
        <f t="shared" si="88"/>
        <v>0</v>
      </c>
      <c r="N125" s="233">
        <v>0</v>
      </c>
      <c r="O125" s="244"/>
      <c r="P125" s="244"/>
      <c r="Q125" s="244"/>
      <c r="R125" s="232">
        <f t="shared" si="89"/>
        <v>0</v>
      </c>
    </row>
    <row r="126" spans="1:18" s="89" customFormat="1" ht="12" hidden="1" customHeight="1">
      <c r="A126" s="140" t="s">
        <v>109</v>
      </c>
      <c r="B126" s="124" t="s">
        <v>110</v>
      </c>
      <c r="C126" s="170">
        <v>0</v>
      </c>
      <c r="D126" s="171">
        <v>0</v>
      </c>
      <c r="E126" s="233">
        <f t="shared" ref="E126:G126" si="171">E127+E128</f>
        <v>0</v>
      </c>
      <c r="F126" s="233">
        <f t="shared" ref="F126" si="172">F127+F128</f>
        <v>0</v>
      </c>
      <c r="G126" s="233">
        <f t="shared" si="171"/>
        <v>0</v>
      </c>
      <c r="H126" s="232">
        <f t="shared" si="87"/>
        <v>0</v>
      </c>
      <c r="I126" s="233">
        <v>0</v>
      </c>
      <c r="J126" s="233">
        <f t="shared" ref="J126:L126" si="173">J127+J128</f>
        <v>0</v>
      </c>
      <c r="K126" s="233">
        <f t="shared" ref="K126" si="174">K127+K128</f>
        <v>0</v>
      </c>
      <c r="L126" s="233">
        <f t="shared" si="173"/>
        <v>0</v>
      </c>
      <c r="M126" s="232">
        <f t="shared" si="88"/>
        <v>0</v>
      </c>
      <c r="N126" s="233">
        <v>0</v>
      </c>
      <c r="O126" s="233">
        <f t="shared" ref="O126:Q126" si="175">O127+O128</f>
        <v>0</v>
      </c>
      <c r="P126" s="233">
        <f t="shared" ref="P126" si="176">P127+P128</f>
        <v>0</v>
      </c>
      <c r="Q126" s="233">
        <f t="shared" si="175"/>
        <v>0</v>
      </c>
      <c r="R126" s="232">
        <f t="shared" si="89"/>
        <v>0</v>
      </c>
    </row>
    <row r="127" spans="1:18" s="89" customFormat="1" ht="12" hidden="1" customHeight="1">
      <c r="A127" s="132">
        <v>3000</v>
      </c>
      <c r="B127" s="125" t="s">
        <v>111</v>
      </c>
      <c r="C127" s="202"/>
      <c r="D127" s="177">
        <v>0</v>
      </c>
      <c r="E127" s="246"/>
      <c r="F127" s="246"/>
      <c r="G127" s="246"/>
      <c r="H127" s="232">
        <f t="shared" si="87"/>
        <v>0</v>
      </c>
      <c r="I127" s="345">
        <v>0</v>
      </c>
      <c r="J127" s="246"/>
      <c r="K127" s="246"/>
      <c r="L127" s="246"/>
      <c r="M127" s="232">
        <f t="shared" si="88"/>
        <v>0</v>
      </c>
      <c r="N127" s="345">
        <v>0</v>
      </c>
      <c r="O127" s="246"/>
      <c r="P127" s="246"/>
      <c r="Q127" s="246"/>
      <c r="R127" s="232">
        <f t="shared" si="89"/>
        <v>0</v>
      </c>
    </row>
    <row r="128" spans="1:18" s="89" customFormat="1" ht="12" hidden="1" customHeight="1">
      <c r="A128" s="132">
        <v>6000</v>
      </c>
      <c r="B128" s="125" t="s">
        <v>112</v>
      </c>
      <c r="C128" s="203"/>
      <c r="D128" s="178">
        <v>0</v>
      </c>
      <c r="E128" s="248"/>
      <c r="F128" s="248"/>
      <c r="G128" s="248"/>
      <c r="H128" s="232">
        <f t="shared" si="87"/>
        <v>0</v>
      </c>
      <c r="I128" s="346">
        <v>0</v>
      </c>
      <c r="J128" s="248"/>
      <c r="K128" s="248"/>
      <c r="L128" s="248"/>
      <c r="M128" s="232">
        <f t="shared" si="88"/>
        <v>0</v>
      </c>
      <c r="N128" s="346">
        <v>0</v>
      </c>
      <c r="O128" s="248"/>
      <c r="P128" s="248"/>
      <c r="Q128" s="248"/>
      <c r="R128" s="232">
        <f t="shared" si="89"/>
        <v>0</v>
      </c>
    </row>
    <row r="129" spans="1:18" s="89" customFormat="1" ht="24" hidden="1" customHeight="1">
      <c r="A129" s="140" t="s">
        <v>113</v>
      </c>
      <c r="B129" s="124" t="s">
        <v>183</v>
      </c>
      <c r="C129" s="170">
        <v>0</v>
      </c>
      <c r="D129" s="171">
        <v>0</v>
      </c>
      <c r="E129" s="233">
        <f t="shared" ref="E129:G129" si="177">E130+E131</f>
        <v>0</v>
      </c>
      <c r="F129" s="233">
        <f t="shared" ref="F129" si="178">F130+F131</f>
        <v>0</v>
      </c>
      <c r="G129" s="233">
        <f t="shared" si="177"/>
        <v>0</v>
      </c>
      <c r="H129" s="232">
        <f t="shared" si="87"/>
        <v>0</v>
      </c>
      <c r="I129" s="233">
        <v>0</v>
      </c>
      <c r="J129" s="233">
        <f t="shared" ref="J129:L129" si="179">J130+J131</f>
        <v>0</v>
      </c>
      <c r="K129" s="233">
        <f t="shared" ref="K129" si="180">K130+K131</f>
        <v>0</v>
      </c>
      <c r="L129" s="233">
        <f t="shared" si="179"/>
        <v>0</v>
      </c>
      <c r="M129" s="232">
        <f t="shared" si="88"/>
        <v>0</v>
      </c>
      <c r="N129" s="233">
        <v>0</v>
      </c>
      <c r="O129" s="233">
        <f t="shared" ref="O129:Q129" si="181">O130+O131</f>
        <v>0</v>
      </c>
      <c r="P129" s="233">
        <f t="shared" ref="P129" si="182">P130+P131</f>
        <v>0</v>
      </c>
      <c r="Q129" s="233">
        <f t="shared" si="181"/>
        <v>0</v>
      </c>
      <c r="R129" s="232">
        <f t="shared" si="89"/>
        <v>0</v>
      </c>
    </row>
    <row r="130" spans="1:18" s="89" customFormat="1" ht="12" hidden="1" customHeight="1">
      <c r="A130" s="132">
        <v>7600</v>
      </c>
      <c r="B130" s="179" t="s">
        <v>184</v>
      </c>
      <c r="C130" s="170"/>
      <c r="D130" s="176">
        <v>0</v>
      </c>
      <c r="E130" s="244"/>
      <c r="F130" s="244"/>
      <c r="G130" s="244"/>
      <c r="H130" s="232">
        <f t="shared" si="87"/>
        <v>0</v>
      </c>
      <c r="I130" s="233">
        <v>0</v>
      </c>
      <c r="J130" s="244"/>
      <c r="K130" s="244"/>
      <c r="L130" s="244"/>
      <c r="M130" s="232">
        <f t="shared" si="88"/>
        <v>0</v>
      </c>
      <c r="N130" s="233">
        <v>0</v>
      </c>
      <c r="O130" s="244"/>
      <c r="P130" s="244"/>
      <c r="Q130" s="244"/>
      <c r="R130" s="232">
        <f t="shared" si="89"/>
        <v>0</v>
      </c>
    </row>
    <row r="131" spans="1:18" s="89" customFormat="1" ht="12" hidden="1" customHeight="1">
      <c r="A131" s="132">
        <v>7700</v>
      </c>
      <c r="B131" s="126" t="s">
        <v>114</v>
      </c>
      <c r="C131" s="170"/>
      <c r="D131" s="176">
        <v>0</v>
      </c>
      <c r="E131" s="244"/>
      <c r="F131" s="244"/>
      <c r="G131" s="244"/>
      <c r="H131" s="232">
        <f t="shared" si="87"/>
        <v>0</v>
      </c>
      <c r="I131" s="233">
        <v>0</v>
      </c>
      <c r="J131" s="244"/>
      <c r="K131" s="244"/>
      <c r="L131" s="244"/>
      <c r="M131" s="232">
        <f t="shared" si="88"/>
        <v>0</v>
      </c>
      <c r="N131" s="233">
        <v>0</v>
      </c>
      <c r="O131" s="244"/>
      <c r="P131" s="244"/>
      <c r="Q131" s="244"/>
      <c r="R131" s="232">
        <f t="shared" si="89"/>
        <v>0</v>
      </c>
    </row>
    <row r="132" spans="1:18" s="89" customFormat="1" ht="20.399999999999999">
      <c r="A132" s="140" t="s">
        <v>185</v>
      </c>
      <c r="B132" s="124" t="s">
        <v>115</v>
      </c>
      <c r="C132" s="170">
        <v>15491371</v>
      </c>
      <c r="D132" s="171">
        <v>15491371</v>
      </c>
      <c r="E132" s="233">
        <f t="shared" ref="E132:G132" si="183">E133+E139+E143+E146</f>
        <v>0</v>
      </c>
      <c r="F132" s="233">
        <f t="shared" ref="F132" si="184">F133+F139+F143+F146</f>
        <v>0</v>
      </c>
      <c r="G132" s="233">
        <f t="shared" si="183"/>
        <v>0</v>
      </c>
      <c r="H132" s="232">
        <f t="shared" si="87"/>
        <v>15491371</v>
      </c>
      <c r="I132" s="233">
        <v>9777097</v>
      </c>
      <c r="J132" s="233">
        <f t="shared" ref="J132:L132" si="185">J133+J139+J143+J146</f>
        <v>0</v>
      </c>
      <c r="K132" s="233">
        <f t="shared" ref="K132" si="186">K133+K139+K143+K146</f>
        <v>0</v>
      </c>
      <c r="L132" s="233">
        <f t="shared" si="185"/>
        <v>0</v>
      </c>
      <c r="M132" s="232">
        <f t="shared" si="88"/>
        <v>9777097</v>
      </c>
      <c r="N132" s="233">
        <v>9777097</v>
      </c>
      <c r="O132" s="233">
        <f t="shared" ref="O132:Q132" si="187">O133+O139+O143+O146</f>
        <v>0</v>
      </c>
      <c r="P132" s="233">
        <f t="shared" ref="P132" si="188">P133+P139+P143+P146</f>
        <v>0</v>
      </c>
      <c r="Q132" s="233">
        <f t="shared" si="187"/>
        <v>0</v>
      </c>
      <c r="R132" s="232">
        <f t="shared" si="89"/>
        <v>9777097</v>
      </c>
    </row>
    <row r="133" spans="1:18" s="89" customFormat="1" ht="12" hidden="1" customHeight="1">
      <c r="A133" s="132">
        <v>7100</v>
      </c>
      <c r="B133" s="179" t="s">
        <v>116</v>
      </c>
      <c r="C133" s="170">
        <v>0</v>
      </c>
      <c r="D133" s="171">
        <v>0</v>
      </c>
      <c r="E133" s="233">
        <f t="shared" ref="E133:G133" si="189">E134+E135</f>
        <v>0</v>
      </c>
      <c r="F133" s="233">
        <f t="shared" ref="F133" si="190">F134+F135</f>
        <v>0</v>
      </c>
      <c r="G133" s="233">
        <f t="shared" si="189"/>
        <v>0</v>
      </c>
      <c r="H133" s="232">
        <f t="shared" si="87"/>
        <v>0</v>
      </c>
      <c r="I133" s="233">
        <v>0</v>
      </c>
      <c r="J133" s="233">
        <f t="shared" ref="J133:L133" si="191">J134+J135</f>
        <v>0</v>
      </c>
      <c r="K133" s="233">
        <f t="shared" ref="K133" si="192">K134+K135</f>
        <v>0</v>
      </c>
      <c r="L133" s="233">
        <f t="shared" si="191"/>
        <v>0</v>
      </c>
      <c r="M133" s="232">
        <f t="shared" si="88"/>
        <v>0</v>
      </c>
      <c r="N133" s="233">
        <v>0</v>
      </c>
      <c r="O133" s="233">
        <f t="shared" ref="O133:Q133" si="193">O134+O135</f>
        <v>0</v>
      </c>
      <c r="P133" s="233">
        <f t="shared" ref="P133" si="194">P134+P135</f>
        <v>0</v>
      </c>
      <c r="Q133" s="233">
        <f t="shared" si="193"/>
        <v>0</v>
      </c>
      <c r="R133" s="232">
        <f t="shared" si="89"/>
        <v>0</v>
      </c>
    </row>
    <row r="134" spans="1:18" s="89" customFormat="1" ht="24" hidden="1" customHeight="1">
      <c r="A134" s="133" t="s">
        <v>117</v>
      </c>
      <c r="B134" s="179" t="s">
        <v>118</v>
      </c>
      <c r="C134" s="170"/>
      <c r="D134" s="171">
        <v>0</v>
      </c>
      <c r="E134" s="233"/>
      <c r="F134" s="233"/>
      <c r="G134" s="233"/>
      <c r="H134" s="232">
        <f t="shared" si="87"/>
        <v>0</v>
      </c>
      <c r="I134" s="233">
        <v>0</v>
      </c>
      <c r="J134" s="233"/>
      <c r="K134" s="233"/>
      <c r="L134" s="233"/>
      <c r="M134" s="232">
        <f t="shared" si="88"/>
        <v>0</v>
      </c>
      <c r="N134" s="233">
        <v>0</v>
      </c>
      <c r="O134" s="233"/>
      <c r="P134" s="233"/>
      <c r="Q134" s="233"/>
      <c r="R134" s="232">
        <f t="shared" si="89"/>
        <v>0</v>
      </c>
    </row>
    <row r="135" spans="1:18" s="89" customFormat="1" ht="24" hidden="1" customHeight="1">
      <c r="A135" s="133">
        <v>7130</v>
      </c>
      <c r="B135" s="179" t="s">
        <v>119</v>
      </c>
      <c r="C135" s="170">
        <v>0</v>
      </c>
      <c r="D135" s="171">
        <v>0</v>
      </c>
      <c r="E135" s="233">
        <f t="shared" ref="E135:G135" si="195">SUM(E136:E138)</f>
        <v>0</v>
      </c>
      <c r="F135" s="233">
        <f t="shared" ref="F135" si="196">SUM(F136:F138)</f>
        <v>0</v>
      </c>
      <c r="G135" s="233">
        <f t="shared" si="195"/>
        <v>0</v>
      </c>
      <c r="H135" s="232">
        <f t="shared" si="87"/>
        <v>0</v>
      </c>
      <c r="I135" s="233">
        <v>0</v>
      </c>
      <c r="J135" s="233">
        <f t="shared" ref="J135:L135" si="197">SUM(J136:J138)</f>
        <v>0</v>
      </c>
      <c r="K135" s="233">
        <f t="shared" ref="K135" si="198">SUM(K136:K138)</f>
        <v>0</v>
      </c>
      <c r="L135" s="233">
        <f t="shared" si="197"/>
        <v>0</v>
      </c>
      <c r="M135" s="232">
        <f t="shared" si="88"/>
        <v>0</v>
      </c>
      <c r="N135" s="233">
        <v>0</v>
      </c>
      <c r="O135" s="233">
        <f t="shared" ref="O135:Q135" si="199">SUM(O136:O138)</f>
        <v>0</v>
      </c>
      <c r="P135" s="233">
        <f t="shared" ref="P135" si="200">SUM(P136:P138)</f>
        <v>0</v>
      </c>
      <c r="Q135" s="233">
        <f t="shared" si="199"/>
        <v>0</v>
      </c>
      <c r="R135" s="232">
        <f t="shared" si="89"/>
        <v>0</v>
      </c>
    </row>
    <row r="136" spans="1:18" s="89" customFormat="1" ht="36" hidden="1" customHeight="1">
      <c r="A136" s="134">
        <v>7131</v>
      </c>
      <c r="B136" s="179" t="s">
        <v>120</v>
      </c>
      <c r="C136" s="170"/>
      <c r="D136" s="171">
        <v>0</v>
      </c>
      <c r="E136" s="233"/>
      <c r="F136" s="233"/>
      <c r="G136" s="233"/>
      <c r="H136" s="232">
        <f t="shared" si="87"/>
        <v>0</v>
      </c>
      <c r="I136" s="233">
        <v>0</v>
      </c>
      <c r="J136" s="233"/>
      <c r="K136" s="233"/>
      <c r="L136" s="233"/>
      <c r="M136" s="232">
        <f t="shared" si="88"/>
        <v>0</v>
      </c>
      <c r="N136" s="233">
        <v>0</v>
      </c>
      <c r="O136" s="233"/>
      <c r="P136" s="233"/>
      <c r="Q136" s="233"/>
      <c r="R136" s="232">
        <f t="shared" si="89"/>
        <v>0</v>
      </c>
    </row>
    <row r="137" spans="1:18" s="29" customFormat="1" ht="36" hidden="1" customHeight="1">
      <c r="A137" s="134">
        <v>7132</v>
      </c>
      <c r="B137" s="179" t="s">
        <v>121</v>
      </c>
      <c r="C137" s="170"/>
      <c r="D137" s="171">
        <v>0</v>
      </c>
      <c r="E137" s="233"/>
      <c r="F137" s="233"/>
      <c r="G137" s="233"/>
      <c r="H137" s="232">
        <f t="shared" si="87"/>
        <v>0</v>
      </c>
      <c r="I137" s="233">
        <v>0</v>
      </c>
      <c r="J137" s="233"/>
      <c r="K137" s="233"/>
      <c r="L137" s="233"/>
      <c r="M137" s="232">
        <f t="shared" si="88"/>
        <v>0</v>
      </c>
      <c r="N137" s="233">
        <v>0</v>
      </c>
      <c r="O137" s="233"/>
      <c r="P137" s="233"/>
      <c r="Q137" s="233"/>
      <c r="R137" s="232">
        <f t="shared" si="89"/>
        <v>0</v>
      </c>
    </row>
    <row r="138" spans="1:18" s="29" customFormat="1" ht="36" hidden="1" customHeight="1">
      <c r="A138" s="134" t="s">
        <v>186</v>
      </c>
      <c r="B138" s="179" t="s">
        <v>187</v>
      </c>
      <c r="C138" s="170"/>
      <c r="D138" s="171">
        <v>0</v>
      </c>
      <c r="E138" s="233"/>
      <c r="F138" s="233"/>
      <c r="G138" s="233"/>
      <c r="H138" s="232">
        <f t="shared" ref="H138:H201" si="201">SUM(D138:G138)</f>
        <v>0</v>
      </c>
      <c r="I138" s="233">
        <v>0</v>
      </c>
      <c r="J138" s="233"/>
      <c r="K138" s="233"/>
      <c r="L138" s="233"/>
      <c r="M138" s="232">
        <f t="shared" ref="M138:M201" si="202">SUM(I138:L138)</f>
        <v>0</v>
      </c>
      <c r="N138" s="233">
        <v>0</v>
      </c>
      <c r="O138" s="233"/>
      <c r="P138" s="233"/>
      <c r="Q138" s="233"/>
      <c r="R138" s="232">
        <f t="shared" ref="R138:R201" si="203">SUM(N138:Q138)</f>
        <v>0</v>
      </c>
    </row>
    <row r="139" spans="1:18" s="29" customFormat="1" ht="24" hidden="1" customHeight="1">
      <c r="A139" s="132">
        <v>7300</v>
      </c>
      <c r="B139" s="172" t="s">
        <v>155</v>
      </c>
      <c r="C139" s="170">
        <v>0</v>
      </c>
      <c r="D139" s="171">
        <v>0</v>
      </c>
      <c r="E139" s="233">
        <f t="shared" ref="E139:G139" si="204">SUM(E140:E142)</f>
        <v>0</v>
      </c>
      <c r="F139" s="233">
        <f t="shared" ref="F139" si="205">SUM(F140:F142)</f>
        <v>0</v>
      </c>
      <c r="G139" s="233">
        <f t="shared" si="204"/>
        <v>0</v>
      </c>
      <c r="H139" s="232">
        <f t="shared" si="201"/>
        <v>0</v>
      </c>
      <c r="I139" s="233">
        <v>0</v>
      </c>
      <c r="J139" s="233">
        <f t="shared" ref="J139:L139" si="206">SUM(J140:J142)</f>
        <v>0</v>
      </c>
      <c r="K139" s="233">
        <f t="shared" ref="K139" si="207">SUM(K140:K142)</f>
        <v>0</v>
      </c>
      <c r="L139" s="233">
        <f t="shared" si="206"/>
        <v>0</v>
      </c>
      <c r="M139" s="232">
        <f t="shared" si="202"/>
        <v>0</v>
      </c>
      <c r="N139" s="233">
        <v>0</v>
      </c>
      <c r="O139" s="233">
        <f t="shared" ref="O139:Q139" si="208">SUM(O140:O142)</f>
        <v>0</v>
      </c>
      <c r="P139" s="233">
        <f t="shared" ref="P139" si="209">SUM(P140:P142)</f>
        <v>0</v>
      </c>
      <c r="Q139" s="233">
        <f t="shared" si="208"/>
        <v>0</v>
      </c>
      <c r="R139" s="232">
        <f t="shared" si="203"/>
        <v>0</v>
      </c>
    </row>
    <row r="140" spans="1:18" s="4" customFormat="1" ht="24" hidden="1" customHeight="1">
      <c r="A140" s="133" t="s">
        <v>188</v>
      </c>
      <c r="B140" s="179" t="s">
        <v>170</v>
      </c>
      <c r="C140" s="204"/>
      <c r="D140" s="180">
        <v>0</v>
      </c>
      <c r="E140" s="252"/>
      <c r="F140" s="252"/>
      <c r="G140" s="252"/>
      <c r="H140" s="232">
        <f t="shared" si="201"/>
        <v>0</v>
      </c>
      <c r="I140" s="252">
        <v>0</v>
      </c>
      <c r="J140" s="252"/>
      <c r="K140" s="252"/>
      <c r="L140" s="252"/>
      <c r="M140" s="232">
        <f t="shared" si="202"/>
        <v>0</v>
      </c>
      <c r="N140" s="252">
        <v>0</v>
      </c>
      <c r="O140" s="252"/>
      <c r="P140" s="252"/>
      <c r="Q140" s="252"/>
      <c r="R140" s="232">
        <f t="shared" si="203"/>
        <v>0</v>
      </c>
    </row>
    <row r="141" spans="1:18" ht="48" hidden="1" customHeight="1">
      <c r="A141" s="133" t="s">
        <v>189</v>
      </c>
      <c r="B141" s="179" t="s">
        <v>156</v>
      </c>
      <c r="C141" s="204"/>
      <c r="D141" s="180">
        <v>0</v>
      </c>
      <c r="E141" s="252"/>
      <c r="F141" s="252"/>
      <c r="G141" s="252"/>
      <c r="H141" s="232">
        <f t="shared" si="201"/>
        <v>0</v>
      </c>
      <c r="I141" s="252">
        <v>0</v>
      </c>
      <c r="J141" s="252"/>
      <c r="K141" s="252"/>
      <c r="L141" s="252"/>
      <c r="M141" s="232">
        <f t="shared" si="202"/>
        <v>0</v>
      </c>
      <c r="N141" s="252">
        <v>0</v>
      </c>
      <c r="O141" s="252"/>
      <c r="P141" s="252"/>
      <c r="Q141" s="252"/>
      <c r="R141" s="232">
        <f t="shared" si="203"/>
        <v>0</v>
      </c>
    </row>
    <row r="142" spans="1:18" ht="36" hidden="1" customHeight="1">
      <c r="A142" s="133">
        <v>7350</v>
      </c>
      <c r="B142" s="179" t="s">
        <v>163</v>
      </c>
      <c r="C142" s="204"/>
      <c r="D142" s="180">
        <v>0</v>
      </c>
      <c r="E142" s="252"/>
      <c r="F142" s="252"/>
      <c r="G142" s="252"/>
      <c r="H142" s="232">
        <f t="shared" si="201"/>
        <v>0</v>
      </c>
      <c r="I142" s="252">
        <v>0</v>
      </c>
      <c r="J142" s="252"/>
      <c r="K142" s="252"/>
      <c r="L142" s="252"/>
      <c r="M142" s="232">
        <f t="shared" si="202"/>
        <v>0</v>
      </c>
      <c r="N142" s="252">
        <v>0</v>
      </c>
      <c r="O142" s="252"/>
      <c r="P142" s="252"/>
      <c r="Q142" s="252"/>
      <c r="R142" s="232">
        <f t="shared" si="203"/>
        <v>0</v>
      </c>
    </row>
    <row r="143" spans="1:18" ht="24">
      <c r="A143" s="132">
        <v>7400</v>
      </c>
      <c r="B143" s="172" t="s">
        <v>161</v>
      </c>
      <c r="C143" s="170">
        <v>15491371</v>
      </c>
      <c r="D143" s="171">
        <v>15491371</v>
      </c>
      <c r="E143" s="233">
        <f t="shared" ref="E143:G143" si="210">SUM(E144:E145)</f>
        <v>0</v>
      </c>
      <c r="F143" s="233">
        <f t="shared" ref="F143" si="211">SUM(F144:F145)</f>
        <v>0</v>
      </c>
      <c r="G143" s="233">
        <f t="shared" si="210"/>
        <v>0</v>
      </c>
      <c r="H143" s="232">
        <f t="shared" si="201"/>
        <v>15491371</v>
      </c>
      <c r="I143" s="233">
        <v>9777097</v>
      </c>
      <c r="J143" s="233">
        <f t="shared" ref="J143:L143" si="212">SUM(J144:J145)</f>
        <v>0</v>
      </c>
      <c r="K143" s="233">
        <f t="shared" ref="K143" si="213">SUM(K144:K145)</f>
        <v>0</v>
      </c>
      <c r="L143" s="233">
        <f t="shared" si="212"/>
        <v>0</v>
      </c>
      <c r="M143" s="232">
        <f t="shared" si="202"/>
        <v>9777097</v>
      </c>
      <c r="N143" s="233">
        <v>9777097</v>
      </c>
      <c r="O143" s="233">
        <f t="shared" ref="O143:Q143" si="214">SUM(O144:O145)</f>
        <v>0</v>
      </c>
      <c r="P143" s="233">
        <f t="shared" ref="P143" si="215">SUM(P144:P145)</f>
        <v>0</v>
      </c>
      <c r="Q143" s="233">
        <f t="shared" si="214"/>
        <v>0</v>
      </c>
      <c r="R143" s="232">
        <f t="shared" si="203"/>
        <v>9777097</v>
      </c>
    </row>
    <row r="144" spans="1:18" ht="24">
      <c r="A144" s="133">
        <v>7460</v>
      </c>
      <c r="B144" s="172" t="s">
        <v>162</v>
      </c>
      <c r="C144" s="204">
        <v>15491371</v>
      </c>
      <c r="D144" s="180">
        <v>15491371</v>
      </c>
      <c r="E144" s="252"/>
      <c r="F144" s="252"/>
      <c r="G144" s="252"/>
      <c r="H144" s="232">
        <f t="shared" si="201"/>
        <v>15491371</v>
      </c>
      <c r="I144" s="252">
        <v>9777097</v>
      </c>
      <c r="J144" s="252"/>
      <c r="K144" s="252"/>
      <c r="L144" s="252"/>
      <c r="M144" s="232">
        <f t="shared" si="202"/>
        <v>9777097</v>
      </c>
      <c r="N144" s="252">
        <v>9777097</v>
      </c>
      <c r="O144" s="252"/>
      <c r="P144" s="252"/>
      <c r="Q144" s="252"/>
      <c r="R144" s="232">
        <f t="shared" si="203"/>
        <v>9777097</v>
      </c>
    </row>
    <row r="145" spans="1:18" ht="48" hidden="1" customHeight="1">
      <c r="A145" s="133">
        <v>7470</v>
      </c>
      <c r="B145" s="179" t="s">
        <v>167</v>
      </c>
      <c r="C145" s="204"/>
      <c r="D145" s="180">
        <v>0</v>
      </c>
      <c r="E145" s="252"/>
      <c r="F145" s="252"/>
      <c r="G145" s="252"/>
      <c r="H145" s="232">
        <f t="shared" si="201"/>
        <v>0</v>
      </c>
      <c r="I145" s="252">
        <v>0</v>
      </c>
      <c r="J145" s="252"/>
      <c r="K145" s="252"/>
      <c r="L145" s="252"/>
      <c r="M145" s="232">
        <f t="shared" si="202"/>
        <v>0</v>
      </c>
      <c r="N145" s="252">
        <v>0</v>
      </c>
      <c r="O145" s="252"/>
      <c r="P145" s="252"/>
      <c r="Q145" s="252"/>
      <c r="R145" s="232">
        <f t="shared" si="203"/>
        <v>0</v>
      </c>
    </row>
    <row r="146" spans="1:18" ht="24" hidden="1" customHeight="1">
      <c r="A146" s="132">
        <v>7500</v>
      </c>
      <c r="B146" s="179" t="s">
        <v>157</v>
      </c>
      <c r="C146" s="170"/>
      <c r="D146" s="171">
        <v>0</v>
      </c>
      <c r="E146" s="233"/>
      <c r="F146" s="233"/>
      <c r="G146" s="233"/>
      <c r="H146" s="232">
        <f t="shared" si="201"/>
        <v>0</v>
      </c>
      <c r="I146" s="233">
        <v>0</v>
      </c>
      <c r="J146" s="233"/>
      <c r="K146" s="233"/>
      <c r="L146" s="233"/>
      <c r="M146" s="232">
        <f t="shared" si="202"/>
        <v>0</v>
      </c>
      <c r="N146" s="233">
        <v>0</v>
      </c>
      <c r="O146" s="233"/>
      <c r="P146" s="233"/>
      <c r="Q146" s="233"/>
      <c r="R146" s="232">
        <f t="shared" si="203"/>
        <v>0</v>
      </c>
    </row>
    <row r="147" spans="1:18" s="4" customFormat="1" ht="12" hidden="1" customHeight="1">
      <c r="A147" s="140" t="s">
        <v>133</v>
      </c>
      <c r="B147" s="124" t="s">
        <v>122</v>
      </c>
      <c r="C147" s="205">
        <v>0</v>
      </c>
      <c r="D147" s="181">
        <v>0</v>
      </c>
      <c r="E147" s="254">
        <f t="shared" ref="E147:G147" si="216">E148+E149</f>
        <v>0</v>
      </c>
      <c r="F147" s="254">
        <f t="shared" ref="F147" si="217">F148+F149</f>
        <v>0</v>
      </c>
      <c r="G147" s="254">
        <f t="shared" si="216"/>
        <v>0</v>
      </c>
      <c r="H147" s="232">
        <f t="shared" si="201"/>
        <v>0</v>
      </c>
      <c r="I147" s="254">
        <v>0</v>
      </c>
      <c r="J147" s="254">
        <f t="shared" ref="J147:L147" si="218">J148+J149</f>
        <v>0</v>
      </c>
      <c r="K147" s="254">
        <f t="shared" ref="K147" si="219">K148+K149</f>
        <v>0</v>
      </c>
      <c r="L147" s="254">
        <f t="shared" si="218"/>
        <v>0</v>
      </c>
      <c r="M147" s="232">
        <f t="shared" si="202"/>
        <v>0</v>
      </c>
      <c r="N147" s="254">
        <v>0</v>
      </c>
      <c r="O147" s="254">
        <f t="shared" ref="O147:Q147" si="220">O148+O149</f>
        <v>0</v>
      </c>
      <c r="P147" s="254">
        <f t="shared" ref="P147" si="221">P148+P149</f>
        <v>0</v>
      </c>
      <c r="Q147" s="254">
        <f t="shared" si="220"/>
        <v>0</v>
      </c>
      <c r="R147" s="232">
        <f t="shared" si="203"/>
        <v>0</v>
      </c>
    </row>
    <row r="148" spans="1:18" s="6" customFormat="1" ht="12" hidden="1" customHeight="1">
      <c r="A148" s="140">
        <v>5000</v>
      </c>
      <c r="B148" s="124" t="s">
        <v>123</v>
      </c>
      <c r="C148" s="170"/>
      <c r="D148" s="176">
        <v>0</v>
      </c>
      <c r="E148" s="244"/>
      <c r="F148" s="244"/>
      <c r="G148" s="244"/>
      <c r="H148" s="232">
        <f t="shared" si="201"/>
        <v>0</v>
      </c>
      <c r="I148" s="233">
        <v>0</v>
      </c>
      <c r="J148" s="244"/>
      <c r="K148" s="244"/>
      <c r="L148" s="244"/>
      <c r="M148" s="232">
        <f t="shared" si="202"/>
        <v>0</v>
      </c>
      <c r="N148" s="233">
        <v>0</v>
      </c>
      <c r="O148" s="244"/>
      <c r="P148" s="244"/>
      <c r="Q148" s="244"/>
      <c r="R148" s="232">
        <f t="shared" si="203"/>
        <v>0</v>
      </c>
    </row>
    <row r="149" spans="1:18" s="6" customFormat="1" ht="12" hidden="1" customHeight="1">
      <c r="A149" s="140">
        <v>9000</v>
      </c>
      <c r="B149" s="182" t="s">
        <v>164</v>
      </c>
      <c r="C149" s="170">
        <v>0</v>
      </c>
      <c r="D149" s="171">
        <v>0</v>
      </c>
      <c r="E149" s="233">
        <f t="shared" ref="E149:G149" si="222">E150+E156+E160+E163</f>
        <v>0</v>
      </c>
      <c r="F149" s="233">
        <f t="shared" ref="F149" si="223">F150+F156+F160+F163</f>
        <v>0</v>
      </c>
      <c r="G149" s="233">
        <f t="shared" si="222"/>
        <v>0</v>
      </c>
      <c r="H149" s="232">
        <f t="shared" si="201"/>
        <v>0</v>
      </c>
      <c r="I149" s="233">
        <v>0</v>
      </c>
      <c r="J149" s="233">
        <f t="shared" ref="J149:L149" si="224">J150+J156+J160+J163</f>
        <v>0</v>
      </c>
      <c r="K149" s="233">
        <f t="shared" ref="K149" si="225">K150+K156+K160+K163</f>
        <v>0</v>
      </c>
      <c r="L149" s="233">
        <f t="shared" si="224"/>
        <v>0</v>
      </c>
      <c r="M149" s="232">
        <f t="shared" si="202"/>
        <v>0</v>
      </c>
      <c r="N149" s="233">
        <v>0</v>
      </c>
      <c r="O149" s="233">
        <f t="shared" ref="O149:Q149" si="226">O150+O156+O160+O163</f>
        <v>0</v>
      </c>
      <c r="P149" s="233">
        <f t="shared" ref="P149" si="227">P150+P156+P160+P163</f>
        <v>0</v>
      </c>
      <c r="Q149" s="233">
        <f t="shared" si="226"/>
        <v>0</v>
      </c>
      <c r="R149" s="232">
        <f t="shared" si="203"/>
        <v>0</v>
      </c>
    </row>
    <row r="150" spans="1:18" s="6" customFormat="1" ht="12" hidden="1" customHeight="1">
      <c r="A150" s="141">
        <v>9100</v>
      </c>
      <c r="B150" s="179" t="s">
        <v>124</v>
      </c>
      <c r="C150" s="170">
        <v>0</v>
      </c>
      <c r="D150" s="171">
        <v>0</v>
      </c>
      <c r="E150" s="233">
        <f t="shared" ref="E150:G150" si="228">SUM(E151:E152)</f>
        <v>0</v>
      </c>
      <c r="F150" s="233">
        <f t="shared" ref="F150" si="229">SUM(F151:F152)</f>
        <v>0</v>
      </c>
      <c r="G150" s="233">
        <f t="shared" si="228"/>
        <v>0</v>
      </c>
      <c r="H150" s="232">
        <f t="shared" si="201"/>
        <v>0</v>
      </c>
      <c r="I150" s="233">
        <v>0</v>
      </c>
      <c r="J150" s="233">
        <f t="shared" ref="J150:L150" si="230">SUM(J151:J152)</f>
        <v>0</v>
      </c>
      <c r="K150" s="233">
        <f t="shared" ref="K150" si="231">SUM(K151:K152)</f>
        <v>0</v>
      </c>
      <c r="L150" s="233">
        <f t="shared" si="230"/>
        <v>0</v>
      </c>
      <c r="M150" s="232">
        <f t="shared" si="202"/>
        <v>0</v>
      </c>
      <c r="N150" s="233">
        <v>0</v>
      </c>
      <c r="O150" s="233">
        <f t="shared" ref="O150:Q150" si="232">SUM(O151:O152)</f>
        <v>0</v>
      </c>
      <c r="P150" s="233">
        <f t="shared" ref="P150" si="233">SUM(P151:P152)</f>
        <v>0</v>
      </c>
      <c r="Q150" s="233">
        <f t="shared" si="232"/>
        <v>0</v>
      </c>
      <c r="R150" s="232">
        <f t="shared" si="203"/>
        <v>0</v>
      </c>
    </row>
    <row r="151" spans="1:18" s="6" customFormat="1" ht="24" hidden="1" customHeight="1">
      <c r="A151" s="133" t="s">
        <v>125</v>
      </c>
      <c r="B151" s="179" t="s">
        <v>214</v>
      </c>
      <c r="C151" s="170"/>
      <c r="D151" s="171">
        <v>0</v>
      </c>
      <c r="E151" s="233"/>
      <c r="F151" s="233"/>
      <c r="G151" s="233"/>
      <c r="H151" s="232">
        <f t="shared" si="201"/>
        <v>0</v>
      </c>
      <c r="I151" s="233">
        <v>0</v>
      </c>
      <c r="J151" s="233"/>
      <c r="K151" s="233"/>
      <c r="L151" s="233"/>
      <c r="M151" s="232">
        <f t="shared" si="202"/>
        <v>0</v>
      </c>
      <c r="N151" s="233">
        <v>0</v>
      </c>
      <c r="O151" s="233"/>
      <c r="P151" s="233"/>
      <c r="Q151" s="233"/>
      <c r="R151" s="232">
        <f t="shared" si="203"/>
        <v>0</v>
      </c>
    </row>
    <row r="152" spans="1:18" s="6" customFormat="1" ht="24" hidden="1" customHeight="1">
      <c r="A152" s="133">
        <v>9140</v>
      </c>
      <c r="B152" s="179" t="s">
        <v>215</v>
      </c>
      <c r="C152" s="170">
        <v>0</v>
      </c>
      <c r="D152" s="171">
        <v>0</v>
      </c>
      <c r="E152" s="233">
        <f t="shared" ref="E152:G152" si="234">SUM(E153:E155)</f>
        <v>0</v>
      </c>
      <c r="F152" s="233">
        <f t="shared" ref="F152" si="235">SUM(F153:F155)</f>
        <v>0</v>
      </c>
      <c r="G152" s="233">
        <f t="shared" si="234"/>
        <v>0</v>
      </c>
      <c r="H152" s="232">
        <f t="shared" si="201"/>
        <v>0</v>
      </c>
      <c r="I152" s="233">
        <v>0</v>
      </c>
      <c r="J152" s="233">
        <f t="shared" ref="J152:L152" si="236">SUM(J153:J155)</f>
        <v>0</v>
      </c>
      <c r="K152" s="233">
        <f t="shared" ref="K152" si="237">SUM(K153:K155)</f>
        <v>0</v>
      </c>
      <c r="L152" s="233">
        <f t="shared" si="236"/>
        <v>0</v>
      </c>
      <c r="M152" s="232">
        <f t="shared" si="202"/>
        <v>0</v>
      </c>
      <c r="N152" s="233">
        <v>0</v>
      </c>
      <c r="O152" s="233">
        <f t="shared" ref="O152:Q152" si="238">SUM(O153:O155)</f>
        <v>0</v>
      </c>
      <c r="P152" s="233">
        <f t="shared" ref="P152" si="239">SUM(P153:P155)</f>
        <v>0</v>
      </c>
      <c r="Q152" s="233">
        <f t="shared" si="238"/>
        <v>0</v>
      </c>
      <c r="R152" s="232">
        <f t="shared" si="203"/>
        <v>0</v>
      </c>
    </row>
    <row r="153" spans="1:18" s="6" customFormat="1" ht="36" hidden="1" customHeight="1">
      <c r="A153" s="134">
        <v>9141</v>
      </c>
      <c r="B153" s="172" t="s">
        <v>190</v>
      </c>
      <c r="C153" s="204"/>
      <c r="D153" s="180">
        <v>0</v>
      </c>
      <c r="E153" s="252"/>
      <c r="F153" s="252"/>
      <c r="G153" s="252"/>
      <c r="H153" s="232">
        <f t="shared" si="201"/>
        <v>0</v>
      </c>
      <c r="I153" s="252">
        <v>0</v>
      </c>
      <c r="J153" s="252"/>
      <c r="K153" s="252"/>
      <c r="L153" s="252"/>
      <c r="M153" s="232">
        <f t="shared" si="202"/>
        <v>0</v>
      </c>
      <c r="N153" s="252">
        <v>0</v>
      </c>
      <c r="O153" s="252"/>
      <c r="P153" s="252"/>
      <c r="Q153" s="252"/>
      <c r="R153" s="232">
        <f t="shared" si="203"/>
        <v>0</v>
      </c>
    </row>
    <row r="154" spans="1:18" s="6" customFormat="1" ht="36" hidden="1" customHeight="1">
      <c r="A154" s="134">
        <v>9142</v>
      </c>
      <c r="B154" s="172" t="s">
        <v>191</v>
      </c>
      <c r="C154" s="204"/>
      <c r="D154" s="180">
        <v>0</v>
      </c>
      <c r="E154" s="252"/>
      <c r="F154" s="252"/>
      <c r="G154" s="252"/>
      <c r="H154" s="232">
        <f t="shared" si="201"/>
        <v>0</v>
      </c>
      <c r="I154" s="252">
        <v>0</v>
      </c>
      <c r="J154" s="252"/>
      <c r="K154" s="252"/>
      <c r="L154" s="252"/>
      <c r="M154" s="232">
        <f t="shared" si="202"/>
        <v>0</v>
      </c>
      <c r="N154" s="252">
        <v>0</v>
      </c>
      <c r="O154" s="252"/>
      <c r="P154" s="252"/>
      <c r="Q154" s="252"/>
      <c r="R154" s="232">
        <f t="shared" si="203"/>
        <v>0</v>
      </c>
    </row>
    <row r="155" spans="1:18" s="6" customFormat="1" ht="24" hidden="1" customHeight="1">
      <c r="A155" s="134">
        <v>9149</v>
      </c>
      <c r="B155" s="172" t="s">
        <v>192</v>
      </c>
      <c r="C155" s="204"/>
      <c r="D155" s="180">
        <v>0</v>
      </c>
      <c r="E155" s="252"/>
      <c r="F155" s="252"/>
      <c r="G155" s="252"/>
      <c r="H155" s="232">
        <f t="shared" si="201"/>
        <v>0</v>
      </c>
      <c r="I155" s="252">
        <v>0</v>
      </c>
      <c r="J155" s="252"/>
      <c r="K155" s="252"/>
      <c r="L155" s="252"/>
      <c r="M155" s="232">
        <f t="shared" si="202"/>
        <v>0</v>
      </c>
      <c r="N155" s="252">
        <v>0</v>
      </c>
      <c r="O155" s="252"/>
      <c r="P155" s="252"/>
      <c r="Q155" s="252"/>
      <c r="R155" s="232">
        <f t="shared" si="203"/>
        <v>0</v>
      </c>
    </row>
    <row r="156" spans="1:18" s="6" customFormat="1" ht="24" hidden="1" customHeight="1">
      <c r="A156" s="141">
        <v>9500</v>
      </c>
      <c r="B156" s="172" t="s">
        <v>165</v>
      </c>
      <c r="C156" s="170">
        <v>0</v>
      </c>
      <c r="D156" s="171">
        <v>0</v>
      </c>
      <c r="E156" s="233">
        <f t="shared" ref="E156:G156" si="240">SUM(E157:E159)</f>
        <v>0</v>
      </c>
      <c r="F156" s="233">
        <f t="shared" ref="F156" si="241">SUM(F157:F159)</f>
        <v>0</v>
      </c>
      <c r="G156" s="233">
        <f t="shared" si="240"/>
        <v>0</v>
      </c>
      <c r="H156" s="232">
        <f t="shared" si="201"/>
        <v>0</v>
      </c>
      <c r="I156" s="233">
        <v>0</v>
      </c>
      <c r="J156" s="233">
        <f t="shared" ref="J156:L156" si="242">SUM(J157:J159)</f>
        <v>0</v>
      </c>
      <c r="K156" s="233">
        <f t="shared" ref="K156" si="243">SUM(K157:K159)</f>
        <v>0</v>
      </c>
      <c r="L156" s="233">
        <f t="shared" si="242"/>
        <v>0</v>
      </c>
      <c r="M156" s="232">
        <f t="shared" si="202"/>
        <v>0</v>
      </c>
      <c r="N156" s="233">
        <v>0</v>
      </c>
      <c r="O156" s="233">
        <f t="shared" ref="O156:Q156" si="244">SUM(O157:O159)</f>
        <v>0</v>
      </c>
      <c r="P156" s="233">
        <f t="shared" ref="P156" si="245">SUM(P157:P159)</f>
        <v>0</v>
      </c>
      <c r="Q156" s="233">
        <f t="shared" si="244"/>
        <v>0</v>
      </c>
      <c r="R156" s="232">
        <f t="shared" si="203"/>
        <v>0</v>
      </c>
    </row>
    <row r="157" spans="1:18" s="6" customFormat="1" ht="24" hidden="1" customHeight="1">
      <c r="A157" s="133" t="s">
        <v>193</v>
      </c>
      <c r="B157" s="172" t="s">
        <v>171</v>
      </c>
      <c r="C157" s="170"/>
      <c r="D157" s="171">
        <v>0</v>
      </c>
      <c r="E157" s="233"/>
      <c r="F157" s="233"/>
      <c r="G157" s="233"/>
      <c r="H157" s="232">
        <f t="shared" si="201"/>
        <v>0</v>
      </c>
      <c r="I157" s="233">
        <v>0</v>
      </c>
      <c r="J157" s="233"/>
      <c r="K157" s="233"/>
      <c r="L157" s="233"/>
      <c r="M157" s="232">
        <f t="shared" si="202"/>
        <v>0</v>
      </c>
      <c r="N157" s="233">
        <v>0</v>
      </c>
      <c r="O157" s="233"/>
      <c r="P157" s="233"/>
      <c r="Q157" s="233"/>
      <c r="R157" s="232">
        <f t="shared" si="203"/>
        <v>0</v>
      </c>
    </row>
    <row r="158" spans="1:18" s="6" customFormat="1" ht="48" hidden="1" customHeight="1">
      <c r="A158" s="133">
        <v>9580</v>
      </c>
      <c r="B158" s="172" t="s">
        <v>166</v>
      </c>
      <c r="C158" s="204"/>
      <c r="D158" s="180">
        <v>0</v>
      </c>
      <c r="E158" s="252"/>
      <c r="F158" s="252"/>
      <c r="G158" s="252"/>
      <c r="H158" s="232">
        <f t="shared" si="201"/>
        <v>0</v>
      </c>
      <c r="I158" s="252">
        <v>0</v>
      </c>
      <c r="J158" s="252"/>
      <c r="K158" s="252"/>
      <c r="L158" s="252"/>
      <c r="M158" s="232">
        <f t="shared" si="202"/>
        <v>0</v>
      </c>
      <c r="N158" s="252">
        <v>0</v>
      </c>
      <c r="O158" s="252"/>
      <c r="P158" s="252"/>
      <c r="Q158" s="252"/>
      <c r="R158" s="232">
        <f t="shared" si="203"/>
        <v>0</v>
      </c>
    </row>
    <row r="159" spans="1:18" s="6" customFormat="1" ht="48" hidden="1" customHeight="1">
      <c r="A159" s="133">
        <v>9590</v>
      </c>
      <c r="B159" s="179" t="s">
        <v>172</v>
      </c>
      <c r="C159" s="204"/>
      <c r="D159" s="180">
        <v>0</v>
      </c>
      <c r="E159" s="252"/>
      <c r="F159" s="252"/>
      <c r="G159" s="252"/>
      <c r="H159" s="232">
        <f t="shared" si="201"/>
        <v>0</v>
      </c>
      <c r="I159" s="252">
        <v>0</v>
      </c>
      <c r="J159" s="252"/>
      <c r="K159" s="252"/>
      <c r="L159" s="252"/>
      <c r="M159" s="232">
        <f t="shared" si="202"/>
        <v>0</v>
      </c>
      <c r="N159" s="252">
        <v>0</v>
      </c>
      <c r="O159" s="252"/>
      <c r="P159" s="252"/>
      <c r="Q159" s="252"/>
      <c r="R159" s="232">
        <f t="shared" si="203"/>
        <v>0</v>
      </c>
    </row>
    <row r="160" spans="1:18" s="6" customFormat="1" ht="24" hidden="1" customHeight="1">
      <c r="A160" s="141">
        <v>9700</v>
      </c>
      <c r="B160" s="183" t="s">
        <v>194</v>
      </c>
      <c r="C160" s="170">
        <v>0</v>
      </c>
      <c r="D160" s="171">
        <v>0</v>
      </c>
      <c r="E160" s="233">
        <f t="shared" ref="E160:G160" si="246">SUM(E161:E162)</f>
        <v>0</v>
      </c>
      <c r="F160" s="233">
        <f t="shared" ref="F160" si="247">SUM(F161:F162)</f>
        <v>0</v>
      </c>
      <c r="G160" s="233">
        <f t="shared" si="246"/>
        <v>0</v>
      </c>
      <c r="H160" s="232">
        <f t="shared" si="201"/>
        <v>0</v>
      </c>
      <c r="I160" s="233">
        <v>0</v>
      </c>
      <c r="J160" s="233">
        <f t="shared" ref="J160:L160" si="248">SUM(J161:J162)</f>
        <v>0</v>
      </c>
      <c r="K160" s="233">
        <f t="shared" ref="K160" si="249">SUM(K161:K162)</f>
        <v>0</v>
      </c>
      <c r="L160" s="233">
        <f t="shared" si="248"/>
        <v>0</v>
      </c>
      <c r="M160" s="232">
        <f t="shared" si="202"/>
        <v>0</v>
      </c>
      <c r="N160" s="233">
        <v>0</v>
      </c>
      <c r="O160" s="233">
        <f t="shared" ref="O160:Q160" si="250">SUM(O161:O162)</f>
        <v>0</v>
      </c>
      <c r="P160" s="233">
        <f t="shared" ref="P160" si="251">SUM(P161:P162)</f>
        <v>0</v>
      </c>
      <c r="Q160" s="233">
        <f t="shared" si="250"/>
        <v>0</v>
      </c>
      <c r="R160" s="232">
        <f t="shared" si="203"/>
        <v>0</v>
      </c>
    </row>
    <row r="161" spans="1:18" s="6" customFormat="1" ht="24" hidden="1" customHeight="1">
      <c r="A161" s="133">
        <v>9710</v>
      </c>
      <c r="B161" s="184" t="s">
        <v>195</v>
      </c>
      <c r="C161" s="204"/>
      <c r="D161" s="180">
        <v>0</v>
      </c>
      <c r="E161" s="252"/>
      <c r="F161" s="252"/>
      <c r="G161" s="252"/>
      <c r="H161" s="232">
        <f t="shared" si="201"/>
        <v>0</v>
      </c>
      <c r="I161" s="252">
        <v>0</v>
      </c>
      <c r="J161" s="252"/>
      <c r="K161" s="252"/>
      <c r="L161" s="252"/>
      <c r="M161" s="232">
        <f t="shared" si="202"/>
        <v>0</v>
      </c>
      <c r="N161" s="252">
        <v>0</v>
      </c>
      <c r="O161" s="252"/>
      <c r="P161" s="252"/>
      <c r="Q161" s="252"/>
      <c r="R161" s="232">
        <f t="shared" si="203"/>
        <v>0</v>
      </c>
    </row>
    <row r="162" spans="1:18" s="6" customFormat="1" ht="48" hidden="1" customHeight="1">
      <c r="A162" s="142">
        <v>9720</v>
      </c>
      <c r="B162" s="183" t="s">
        <v>196</v>
      </c>
      <c r="C162" s="204"/>
      <c r="D162" s="180">
        <v>0</v>
      </c>
      <c r="E162" s="252"/>
      <c r="F162" s="252"/>
      <c r="G162" s="252"/>
      <c r="H162" s="232">
        <f t="shared" si="201"/>
        <v>0</v>
      </c>
      <c r="I162" s="252">
        <v>0</v>
      </c>
      <c r="J162" s="252"/>
      <c r="K162" s="252"/>
      <c r="L162" s="252"/>
      <c r="M162" s="232">
        <f t="shared" si="202"/>
        <v>0</v>
      </c>
      <c r="N162" s="252">
        <v>0</v>
      </c>
      <c r="O162" s="252"/>
      <c r="P162" s="252"/>
      <c r="Q162" s="252"/>
      <c r="R162" s="232">
        <f t="shared" si="203"/>
        <v>0</v>
      </c>
    </row>
    <row r="163" spans="1:18" s="6" customFormat="1" ht="24" hidden="1" customHeight="1">
      <c r="A163" s="141">
        <v>9600</v>
      </c>
      <c r="B163" s="179" t="s">
        <v>134</v>
      </c>
      <c r="C163" s="204"/>
      <c r="D163" s="180">
        <v>0</v>
      </c>
      <c r="E163" s="252"/>
      <c r="F163" s="252"/>
      <c r="G163" s="252"/>
      <c r="H163" s="232">
        <f t="shared" si="201"/>
        <v>0</v>
      </c>
      <c r="I163" s="252">
        <v>0</v>
      </c>
      <c r="J163" s="252"/>
      <c r="K163" s="252"/>
      <c r="L163" s="252"/>
      <c r="M163" s="232">
        <f t="shared" si="202"/>
        <v>0</v>
      </c>
      <c r="N163" s="252">
        <v>0</v>
      </c>
      <c r="O163" s="252"/>
      <c r="P163" s="252"/>
      <c r="Q163" s="252"/>
      <c r="R163" s="232">
        <f t="shared" si="203"/>
        <v>0</v>
      </c>
    </row>
    <row r="164" spans="1:18" s="6" customFormat="1" ht="52.5" hidden="1" customHeight="1">
      <c r="A164" s="130" t="s">
        <v>197</v>
      </c>
      <c r="B164" s="185" t="s">
        <v>47</v>
      </c>
      <c r="C164" s="206"/>
      <c r="D164" s="186">
        <v>0</v>
      </c>
      <c r="E164" s="262">
        <f t="shared" ref="E164:G164" si="252">E94-E119</f>
        <v>0</v>
      </c>
      <c r="F164" s="262">
        <f t="shared" ref="F164" si="253">F94-F119</f>
        <v>0</v>
      </c>
      <c r="G164" s="262">
        <f t="shared" si="252"/>
        <v>0</v>
      </c>
      <c r="H164" s="232">
        <f t="shared" si="201"/>
        <v>0</v>
      </c>
      <c r="I164" s="262">
        <v>0</v>
      </c>
      <c r="J164" s="262">
        <f t="shared" ref="J164:L164" si="254">J94-J119</f>
        <v>0</v>
      </c>
      <c r="K164" s="262">
        <f t="shared" ref="K164" si="255">K94-K119</f>
        <v>0</v>
      </c>
      <c r="L164" s="262">
        <f t="shared" si="254"/>
        <v>0</v>
      </c>
      <c r="M164" s="232">
        <f t="shared" si="202"/>
        <v>0</v>
      </c>
      <c r="N164" s="262">
        <v>0</v>
      </c>
      <c r="O164" s="262">
        <f t="shared" ref="O164:Q164" si="256">O94-O119</f>
        <v>0</v>
      </c>
      <c r="P164" s="262">
        <f t="shared" ref="P164" si="257">P94-P119</f>
        <v>0</v>
      </c>
      <c r="Q164" s="262">
        <f t="shared" si="256"/>
        <v>0</v>
      </c>
      <c r="R164" s="232">
        <f t="shared" si="203"/>
        <v>0</v>
      </c>
    </row>
    <row r="165" spans="1:18" s="6" customFormat="1" ht="12" hidden="1" customHeight="1">
      <c r="A165" s="143" t="s">
        <v>48</v>
      </c>
      <c r="B165" s="185" t="s">
        <v>49</v>
      </c>
      <c r="C165" s="206">
        <v>0</v>
      </c>
      <c r="D165" s="186">
        <v>0</v>
      </c>
      <c r="E165" s="262">
        <f t="shared" ref="E165:G165" si="258">E166+E169+E173+E172</f>
        <v>0</v>
      </c>
      <c r="F165" s="262">
        <f t="shared" ref="F165" si="259">F166+F169+F173+F172</f>
        <v>0</v>
      </c>
      <c r="G165" s="262">
        <f t="shared" si="258"/>
        <v>0</v>
      </c>
      <c r="H165" s="232">
        <f t="shared" si="201"/>
        <v>0</v>
      </c>
      <c r="I165" s="262">
        <v>0</v>
      </c>
      <c r="J165" s="262">
        <f t="shared" ref="J165:L165" si="260">J166+J169+J173+J172</f>
        <v>0</v>
      </c>
      <c r="K165" s="262">
        <f t="shared" ref="K165" si="261">K166+K169+K173+K172</f>
        <v>0</v>
      </c>
      <c r="L165" s="262">
        <f t="shared" si="260"/>
        <v>0</v>
      </c>
      <c r="M165" s="232">
        <f t="shared" si="202"/>
        <v>0</v>
      </c>
      <c r="N165" s="262">
        <v>0</v>
      </c>
      <c r="O165" s="262">
        <f t="shared" ref="O165:Q165" si="262">O166+O169+O173+O172</f>
        <v>0</v>
      </c>
      <c r="P165" s="262">
        <f t="shared" ref="P165" si="263">P166+P169+P173+P172</f>
        <v>0</v>
      </c>
      <c r="Q165" s="262">
        <f t="shared" si="262"/>
        <v>0</v>
      </c>
      <c r="R165" s="232">
        <f t="shared" si="203"/>
        <v>0</v>
      </c>
    </row>
    <row r="166" spans="1:18" s="6" customFormat="1" ht="12" hidden="1" customHeight="1">
      <c r="A166" s="141" t="s">
        <v>50</v>
      </c>
      <c r="B166" s="179" t="s">
        <v>51</v>
      </c>
      <c r="C166" s="98">
        <v>0</v>
      </c>
      <c r="D166" s="169">
        <v>0</v>
      </c>
      <c r="E166" s="231">
        <f t="shared" ref="E166:G166" si="264">E167+E168</f>
        <v>0</v>
      </c>
      <c r="F166" s="231">
        <f t="shared" ref="F166" si="265">F167+F168</f>
        <v>0</v>
      </c>
      <c r="G166" s="231">
        <f t="shared" si="264"/>
        <v>0</v>
      </c>
      <c r="H166" s="232">
        <f t="shared" si="201"/>
        <v>0</v>
      </c>
      <c r="I166" s="231">
        <v>0</v>
      </c>
      <c r="J166" s="231">
        <f t="shared" ref="J166:L166" si="266">J167+J168</f>
        <v>0</v>
      </c>
      <c r="K166" s="231">
        <f t="shared" ref="K166" si="267">K167+K168</f>
        <v>0</v>
      </c>
      <c r="L166" s="231">
        <f t="shared" si="266"/>
        <v>0</v>
      </c>
      <c r="M166" s="232">
        <f t="shared" si="202"/>
        <v>0</v>
      </c>
      <c r="N166" s="231">
        <v>0</v>
      </c>
      <c r="O166" s="231">
        <f t="shared" ref="O166:Q166" si="268">O167+O168</f>
        <v>0</v>
      </c>
      <c r="P166" s="231">
        <f t="shared" ref="P166" si="269">P167+P168</f>
        <v>0</v>
      </c>
      <c r="Q166" s="231">
        <f t="shared" si="268"/>
        <v>0</v>
      </c>
      <c r="R166" s="232">
        <f t="shared" si="203"/>
        <v>0</v>
      </c>
    </row>
    <row r="167" spans="1:18" s="6" customFormat="1" ht="12" hidden="1" customHeight="1">
      <c r="A167" s="141" t="s">
        <v>52</v>
      </c>
      <c r="B167" s="179" t="s">
        <v>53</v>
      </c>
      <c r="C167" s="98"/>
      <c r="D167" s="169">
        <v>0</v>
      </c>
      <c r="E167" s="231"/>
      <c r="F167" s="231"/>
      <c r="G167" s="231"/>
      <c r="H167" s="232">
        <f t="shared" si="201"/>
        <v>0</v>
      </c>
      <c r="I167" s="231">
        <v>0</v>
      </c>
      <c r="J167" s="231"/>
      <c r="K167" s="231"/>
      <c r="L167" s="231"/>
      <c r="M167" s="232">
        <f t="shared" si="202"/>
        <v>0</v>
      </c>
      <c r="N167" s="231">
        <v>0</v>
      </c>
      <c r="O167" s="231"/>
      <c r="P167" s="231"/>
      <c r="Q167" s="231"/>
      <c r="R167" s="232">
        <f t="shared" si="203"/>
        <v>0</v>
      </c>
    </row>
    <row r="168" spans="1:18" s="6" customFormat="1" ht="12" hidden="1" customHeight="1">
      <c r="A168" s="141" t="s">
        <v>54</v>
      </c>
      <c r="B168" s="179" t="s">
        <v>55</v>
      </c>
      <c r="C168" s="98"/>
      <c r="D168" s="169">
        <v>0</v>
      </c>
      <c r="E168" s="231"/>
      <c r="F168" s="231"/>
      <c r="G168" s="231"/>
      <c r="H168" s="232">
        <f t="shared" si="201"/>
        <v>0</v>
      </c>
      <c r="I168" s="231">
        <v>0</v>
      </c>
      <c r="J168" s="231"/>
      <c r="K168" s="231"/>
      <c r="L168" s="231"/>
      <c r="M168" s="232">
        <f t="shared" si="202"/>
        <v>0</v>
      </c>
      <c r="N168" s="231">
        <v>0</v>
      </c>
      <c r="O168" s="231"/>
      <c r="P168" s="231"/>
      <c r="Q168" s="231"/>
      <c r="R168" s="232">
        <f t="shared" si="203"/>
        <v>0</v>
      </c>
    </row>
    <row r="169" spans="1:18" s="6" customFormat="1" ht="12" hidden="1" customHeight="1">
      <c r="A169" s="141" t="s">
        <v>56</v>
      </c>
      <c r="B169" s="179" t="s">
        <v>57</v>
      </c>
      <c r="C169" s="98">
        <v>0</v>
      </c>
      <c r="D169" s="169">
        <v>0</v>
      </c>
      <c r="E169" s="231">
        <f t="shared" ref="E169:G169" si="270">E170+E171</f>
        <v>0</v>
      </c>
      <c r="F169" s="231">
        <f t="shared" ref="F169" si="271">F170+F171</f>
        <v>0</v>
      </c>
      <c r="G169" s="231">
        <f t="shared" si="270"/>
        <v>0</v>
      </c>
      <c r="H169" s="232">
        <f t="shared" si="201"/>
        <v>0</v>
      </c>
      <c r="I169" s="231">
        <v>0</v>
      </c>
      <c r="J169" s="231">
        <f t="shared" ref="J169:L169" si="272">J170+J171</f>
        <v>0</v>
      </c>
      <c r="K169" s="231">
        <f t="shared" ref="K169" si="273">K170+K171</f>
        <v>0</v>
      </c>
      <c r="L169" s="231">
        <f t="shared" si="272"/>
        <v>0</v>
      </c>
      <c r="M169" s="232">
        <f t="shared" si="202"/>
        <v>0</v>
      </c>
      <c r="N169" s="231">
        <v>0</v>
      </c>
      <c r="O169" s="231">
        <f t="shared" ref="O169:Q169" si="274">O170+O171</f>
        <v>0</v>
      </c>
      <c r="P169" s="231">
        <f t="shared" ref="P169" si="275">P170+P171</f>
        <v>0</v>
      </c>
      <c r="Q169" s="231">
        <f t="shared" si="274"/>
        <v>0</v>
      </c>
      <c r="R169" s="232">
        <f t="shared" si="203"/>
        <v>0</v>
      </c>
    </row>
    <row r="170" spans="1:18" s="6" customFormat="1" ht="12" hidden="1" customHeight="1">
      <c r="A170" s="141" t="s">
        <v>58</v>
      </c>
      <c r="B170" s="179" t="s">
        <v>59</v>
      </c>
      <c r="C170" s="98"/>
      <c r="D170" s="169">
        <v>0</v>
      </c>
      <c r="E170" s="231"/>
      <c r="F170" s="231"/>
      <c r="G170" s="231"/>
      <c r="H170" s="232">
        <f t="shared" si="201"/>
        <v>0</v>
      </c>
      <c r="I170" s="231">
        <v>0</v>
      </c>
      <c r="J170" s="231"/>
      <c r="K170" s="231"/>
      <c r="L170" s="231"/>
      <c r="M170" s="232">
        <f t="shared" si="202"/>
        <v>0</v>
      </c>
      <c r="N170" s="231">
        <v>0</v>
      </c>
      <c r="O170" s="231"/>
      <c r="P170" s="231"/>
      <c r="Q170" s="231"/>
      <c r="R170" s="232">
        <f t="shared" si="203"/>
        <v>0</v>
      </c>
    </row>
    <row r="171" spans="1:18" s="6" customFormat="1" ht="12" hidden="1" customHeight="1">
      <c r="A171" s="141" t="s">
        <v>60</v>
      </c>
      <c r="B171" s="179" t="s">
        <v>61</v>
      </c>
      <c r="C171" s="98"/>
      <c r="D171" s="169">
        <v>0</v>
      </c>
      <c r="E171" s="231"/>
      <c r="F171" s="231"/>
      <c r="G171" s="231"/>
      <c r="H171" s="232">
        <f t="shared" si="201"/>
        <v>0</v>
      </c>
      <c r="I171" s="231">
        <v>0</v>
      </c>
      <c r="J171" s="231"/>
      <c r="K171" s="231"/>
      <c r="L171" s="231"/>
      <c r="M171" s="232">
        <f t="shared" si="202"/>
        <v>0</v>
      </c>
      <c r="N171" s="231">
        <v>0</v>
      </c>
      <c r="O171" s="231"/>
      <c r="P171" s="231"/>
      <c r="Q171" s="231"/>
      <c r="R171" s="232">
        <f t="shared" si="203"/>
        <v>0</v>
      </c>
    </row>
    <row r="172" spans="1:18" s="6" customFormat="1" ht="12" hidden="1" customHeight="1">
      <c r="A172" s="141" t="s">
        <v>198</v>
      </c>
      <c r="B172" s="187" t="s">
        <v>168</v>
      </c>
      <c r="C172" s="98"/>
      <c r="D172" s="169">
        <v>0</v>
      </c>
      <c r="E172" s="231"/>
      <c r="F172" s="231"/>
      <c r="G172" s="231"/>
      <c r="H172" s="232">
        <f t="shared" si="201"/>
        <v>0</v>
      </c>
      <c r="I172" s="231">
        <v>0</v>
      </c>
      <c r="J172" s="231"/>
      <c r="K172" s="231"/>
      <c r="L172" s="231"/>
      <c r="M172" s="232">
        <f t="shared" si="202"/>
        <v>0</v>
      </c>
      <c r="N172" s="231">
        <v>0</v>
      </c>
      <c r="O172" s="231"/>
      <c r="P172" s="231"/>
      <c r="Q172" s="231"/>
      <c r="R172" s="232">
        <f t="shared" si="203"/>
        <v>0</v>
      </c>
    </row>
    <row r="173" spans="1:18" s="6" customFormat="1" ht="12" hidden="1" customHeight="1">
      <c r="A173" s="144" t="s">
        <v>62</v>
      </c>
      <c r="B173" s="125" t="s">
        <v>63</v>
      </c>
      <c r="C173" s="170">
        <v>0</v>
      </c>
      <c r="D173" s="171">
        <v>0</v>
      </c>
      <c r="E173" s="233">
        <f t="shared" ref="E173:G173" si="276">E174+E175+E176</f>
        <v>0</v>
      </c>
      <c r="F173" s="233">
        <f t="shared" ref="F173" si="277">F174+F175+F176</f>
        <v>0</v>
      </c>
      <c r="G173" s="233">
        <f t="shared" si="276"/>
        <v>0</v>
      </c>
      <c r="H173" s="232">
        <f t="shared" si="201"/>
        <v>0</v>
      </c>
      <c r="I173" s="233">
        <v>0</v>
      </c>
      <c r="J173" s="233">
        <f t="shared" ref="J173:L173" si="278">J174+J175+J176</f>
        <v>0</v>
      </c>
      <c r="K173" s="233">
        <f t="shared" ref="K173" si="279">K174+K175+K176</f>
        <v>0</v>
      </c>
      <c r="L173" s="233">
        <f t="shared" si="278"/>
        <v>0</v>
      </c>
      <c r="M173" s="232">
        <f t="shared" si="202"/>
        <v>0</v>
      </c>
      <c r="N173" s="233">
        <v>0</v>
      </c>
      <c r="O173" s="233">
        <f t="shared" ref="O173:Q173" si="280">O174+O175+O176</f>
        <v>0</v>
      </c>
      <c r="P173" s="233">
        <f t="shared" ref="P173" si="281">P174+P175+P176</f>
        <v>0</v>
      </c>
      <c r="Q173" s="233">
        <f t="shared" si="280"/>
        <v>0</v>
      </c>
      <c r="R173" s="232">
        <f t="shared" si="203"/>
        <v>0</v>
      </c>
    </row>
    <row r="174" spans="1:18" s="6" customFormat="1" ht="36" hidden="1" customHeight="1">
      <c r="A174" s="144" t="s">
        <v>64</v>
      </c>
      <c r="B174" s="179" t="s">
        <v>65</v>
      </c>
      <c r="C174" s="98"/>
      <c r="D174" s="169">
        <v>0</v>
      </c>
      <c r="E174" s="231"/>
      <c r="F174" s="231"/>
      <c r="G174" s="231"/>
      <c r="H174" s="232">
        <f t="shared" si="201"/>
        <v>0</v>
      </c>
      <c r="I174" s="231">
        <v>0</v>
      </c>
      <c r="J174" s="231"/>
      <c r="K174" s="231"/>
      <c r="L174" s="231"/>
      <c r="M174" s="232">
        <f t="shared" si="202"/>
        <v>0</v>
      </c>
      <c r="N174" s="231">
        <v>0</v>
      </c>
      <c r="O174" s="231"/>
      <c r="P174" s="231"/>
      <c r="Q174" s="231"/>
      <c r="R174" s="232">
        <f t="shared" si="203"/>
        <v>0</v>
      </c>
    </row>
    <row r="175" spans="1:18" s="6" customFormat="1" ht="36" hidden="1" customHeight="1">
      <c r="A175" s="144" t="s">
        <v>66</v>
      </c>
      <c r="B175" s="179" t="s">
        <v>67</v>
      </c>
      <c r="C175" s="98"/>
      <c r="D175" s="169">
        <v>0</v>
      </c>
      <c r="E175" s="231"/>
      <c r="F175" s="231"/>
      <c r="G175" s="231"/>
      <c r="H175" s="232">
        <f t="shared" si="201"/>
        <v>0</v>
      </c>
      <c r="I175" s="231">
        <v>0</v>
      </c>
      <c r="J175" s="231"/>
      <c r="K175" s="231"/>
      <c r="L175" s="231"/>
      <c r="M175" s="232">
        <f t="shared" si="202"/>
        <v>0</v>
      </c>
      <c r="N175" s="231">
        <v>0</v>
      </c>
      <c r="O175" s="231"/>
      <c r="P175" s="231"/>
      <c r="Q175" s="231"/>
      <c r="R175" s="232">
        <f t="shared" si="203"/>
        <v>0</v>
      </c>
    </row>
    <row r="176" spans="1:18" s="6" customFormat="1" ht="24" hidden="1" customHeight="1">
      <c r="A176" s="144" t="s">
        <v>68</v>
      </c>
      <c r="B176" s="125" t="s">
        <v>69</v>
      </c>
      <c r="C176" s="98"/>
      <c r="D176" s="169">
        <v>0</v>
      </c>
      <c r="E176" s="231"/>
      <c r="F176" s="231"/>
      <c r="G176" s="231"/>
      <c r="H176" s="232">
        <f t="shared" si="201"/>
        <v>0</v>
      </c>
      <c r="I176" s="231">
        <v>0</v>
      </c>
      <c r="J176" s="231"/>
      <c r="K176" s="231"/>
      <c r="L176" s="231"/>
      <c r="M176" s="232">
        <f t="shared" si="202"/>
        <v>0</v>
      </c>
      <c r="N176" s="231">
        <v>0</v>
      </c>
      <c r="O176" s="231"/>
      <c r="P176" s="231"/>
      <c r="Q176" s="231"/>
      <c r="R176" s="232">
        <f t="shared" si="203"/>
        <v>0</v>
      </c>
    </row>
    <row r="177" spans="1:18" s="6" customFormat="1" ht="36" customHeight="1">
      <c r="A177" s="145"/>
      <c r="B177" s="188" t="s">
        <v>200</v>
      </c>
      <c r="C177" s="207"/>
      <c r="D177" s="189"/>
      <c r="E177" s="268"/>
      <c r="F177" s="268"/>
      <c r="G177" s="268"/>
      <c r="H177" s="269">
        <f t="shared" si="201"/>
        <v>0</v>
      </c>
      <c r="I177" s="347"/>
      <c r="J177" s="268"/>
      <c r="K177" s="268"/>
      <c r="L177" s="268"/>
      <c r="M177" s="269">
        <f t="shared" si="202"/>
        <v>0</v>
      </c>
      <c r="N177" s="347"/>
      <c r="O177" s="268"/>
      <c r="P177" s="268"/>
      <c r="Q177" s="268"/>
      <c r="R177" s="269">
        <f t="shared" si="203"/>
        <v>0</v>
      </c>
    </row>
    <row r="178" spans="1:18" s="6" customFormat="1" ht="21" hidden="1" customHeight="1">
      <c r="A178" s="129" t="s">
        <v>201</v>
      </c>
      <c r="B178" s="123" t="s">
        <v>88</v>
      </c>
      <c r="C178" s="200">
        <v>0</v>
      </c>
      <c r="D178" s="167">
        <v>0</v>
      </c>
      <c r="E178" s="228">
        <f t="shared" ref="E178:G178" si="282">E179+E180+E182+E200</f>
        <v>0</v>
      </c>
      <c r="F178" s="228">
        <f t="shared" ref="F178" si="283">F179+F180+F182+F200</f>
        <v>0</v>
      </c>
      <c r="G178" s="228">
        <f t="shared" si="282"/>
        <v>0</v>
      </c>
      <c r="H178" s="229">
        <f t="shared" si="201"/>
        <v>0</v>
      </c>
      <c r="I178" s="228">
        <v>0</v>
      </c>
      <c r="J178" s="228">
        <f t="shared" ref="J178:L178" si="284">J179+J180+J182+J200</f>
        <v>0</v>
      </c>
      <c r="K178" s="228">
        <f t="shared" ref="K178" si="285">K179+K180+K182+K200</f>
        <v>0</v>
      </c>
      <c r="L178" s="228">
        <f t="shared" si="284"/>
        <v>0</v>
      </c>
      <c r="M178" s="229">
        <f t="shared" si="202"/>
        <v>0</v>
      </c>
      <c r="N178" s="228">
        <v>0</v>
      </c>
      <c r="O178" s="228">
        <f t="shared" ref="O178:Q178" si="286">O179+O180+O182+O200</f>
        <v>0</v>
      </c>
      <c r="P178" s="228">
        <f t="shared" ref="P178" si="287">P179+P180+P182+P200</f>
        <v>0</v>
      </c>
      <c r="Q178" s="228">
        <f t="shared" si="286"/>
        <v>0</v>
      </c>
      <c r="R178" s="229">
        <f t="shared" si="203"/>
        <v>0</v>
      </c>
    </row>
    <row r="179" spans="1:18" s="6" customFormat="1" ht="24" hidden="1" customHeight="1">
      <c r="A179" s="130" t="s">
        <v>177</v>
      </c>
      <c r="B179" s="124" t="s">
        <v>90</v>
      </c>
      <c r="C179" s="98"/>
      <c r="D179" s="169">
        <v>0</v>
      </c>
      <c r="E179" s="231"/>
      <c r="F179" s="231"/>
      <c r="G179" s="231"/>
      <c r="H179" s="232">
        <f t="shared" si="201"/>
        <v>0</v>
      </c>
      <c r="I179" s="231">
        <v>0</v>
      </c>
      <c r="J179" s="231"/>
      <c r="K179" s="231"/>
      <c r="L179" s="231"/>
      <c r="M179" s="232">
        <f t="shared" si="202"/>
        <v>0</v>
      </c>
      <c r="N179" s="231">
        <v>0</v>
      </c>
      <c r="O179" s="231"/>
      <c r="P179" s="231"/>
      <c r="Q179" s="231"/>
      <c r="R179" s="232">
        <f t="shared" si="203"/>
        <v>0</v>
      </c>
    </row>
    <row r="180" spans="1:18" s="6" customFormat="1" ht="12" hidden="1" customHeight="1">
      <c r="A180" s="130" t="s">
        <v>91</v>
      </c>
      <c r="B180" s="124" t="s">
        <v>92</v>
      </c>
      <c r="C180" s="98"/>
      <c r="D180" s="169">
        <v>0</v>
      </c>
      <c r="E180" s="231"/>
      <c r="F180" s="231"/>
      <c r="G180" s="231"/>
      <c r="H180" s="232">
        <f t="shared" si="201"/>
        <v>0</v>
      </c>
      <c r="I180" s="231">
        <v>0</v>
      </c>
      <c r="J180" s="231"/>
      <c r="K180" s="231"/>
      <c r="L180" s="231"/>
      <c r="M180" s="232">
        <f t="shared" si="202"/>
        <v>0</v>
      </c>
      <c r="N180" s="231">
        <v>0</v>
      </c>
      <c r="O180" s="231"/>
      <c r="P180" s="231"/>
      <c r="Q180" s="231"/>
      <c r="R180" s="232">
        <f t="shared" si="203"/>
        <v>0</v>
      </c>
    </row>
    <row r="181" spans="1:18" s="29" customFormat="1" ht="24" hidden="1" customHeight="1">
      <c r="A181" s="131">
        <v>21210</v>
      </c>
      <c r="B181" s="125" t="s">
        <v>93</v>
      </c>
      <c r="C181" s="98"/>
      <c r="D181" s="169">
        <v>0</v>
      </c>
      <c r="E181" s="231"/>
      <c r="F181" s="231"/>
      <c r="G181" s="231"/>
      <c r="H181" s="232">
        <f t="shared" si="201"/>
        <v>0</v>
      </c>
      <c r="I181" s="231">
        <v>0</v>
      </c>
      <c r="J181" s="231"/>
      <c r="K181" s="231"/>
      <c r="L181" s="231"/>
      <c r="M181" s="232">
        <f t="shared" si="202"/>
        <v>0</v>
      </c>
      <c r="N181" s="231">
        <v>0</v>
      </c>
      <c r="O181" s="231"/>
      <c r="P181" s="231"/>
      <c r="Q181" s="231"/>
      <c r="R181" s="232">
        <f t="shared" si="203"/>
        <v>0</v>
      </c>
    </row>
    <row r="182" spans="1:18" s="89" customFormat="1" ht="21" hidden="1" customHeight="1">
      <c r="A182" s="130" t="s">
        <v>178</v>
      </c>
      <c r="B182" s="124" t="s">
        <v>94</v>
      </c>
      <c r="C182" s="170">
        <v>0</v>
      </c>
      <c r="D182" s="171">
        <v>0</v>
      </c>
      <c r="E182" s="233">
        <f t="shared" ref="E182:G182" si="288">E183+E189</f>
        <v>0</v>
      </c>
      <c r="F182" s="233">
        <f t="shared" ref="F182" si="289">F183+F189</f>
        <v>0</v>
      </c>
      <c r="G182" s="233">
        <f t="shared" si="288"/>
        <v>0</v>
      </c>
      <c r="H182" s="232">
        <f t="shared" si="201"/>
        <v>0</v>
      </c>
      <c r="I182" s="233">
        <v>0</v>
      </c>
      <c r="J182" s="233">
        <f t="shared" ref="J182:L182" si="290">J183+J189</f>
        <v>0</v>
      </c>
      <c r="K182" s="233">
        <f t="shared" ref="K182" si="291">K183+K189</f>
        <v>0</v>
      </c>
      <c r="L182" s="233">
        <f t="shared" si="290"/>
        <v>0</v>
      </c>
      <c r="M182" s="232">
        <f t="shared" si="202"/>
        <v>0</v>
      </c>
      <c r="N182" s="233">
        <v>0</v>
      </c>
      <c r="O182" s="233">
        <f t="shared" ref="O182:Q182" si="292">O183+O189</f>
        <v>0</v>
      </c>
      <c r="P182" s="233">
        <f t="shared" ref="P182" si="293">P183+P189</f>
        <v>0</v>
      </c>
      <c r="Q182" s="233">
        <f t="shared" si="292"/>
        <v>0</v>
      </c>
      <c r="R182" s="232">
        <f t="shared" si="203"/>
        <v>0</v>
      </c>
    </row>
    <row r="183" spans="1:18" s="89" customFormat="1" ht="12" hidden="1" customHeight="1">
      <c r="A183" s="132">
        <v>18000</v>
      </c>
      <c r="B183" s="125" t="s">
        <v>95</v>
      </c>
      <c r="C183" s="170">
        <v>0</v>
      </c>
      <c r="D183" s="171">
        <v>0</v>
      </c>
      <c r="E183" s="233">
        <f t="shared" ref="E183:L184" si="294">E184</f>
        <v>0</v>
      </c>
      <c r="F183" s="233">
        <f t="shared" si="294"/>
        <v>0</v>
      </c>
      <c r="G183" s="233">
        <f t="shared" si="294"/>
        <v>0</v>
      </c>
      <c r="H183" s="232">
        <f t="shared" si="201"/>
        <v>0</v>
      </c>
      <c r="I183" s="233">
        <v>0</v>
      </c>
      <c r="J183" s="233">
        <f t="shared" si="294"/>
        <v>0</v>
      </c>
      <c r="K183" s="233">
        <f t="shared" si="294"/>
        <v>0</v>
      </c>
      <c r="L183" s="233">
        <f t="shared" si="294"/>
        <v>0</v>
      </c>
      <c r="M183" s="232">
        <f t="shared" si="202"/>
        <v>0</v>
      </c>
      <c r="N183" s="233">
        <v>0</v>
      </c>
      <c r="O183" s="233">
        <f t="shared" ref="O183:Q184" si="295">O184</f>
        <v>0</v>
      </c>
      <c r="P183" s="233">
        <f t="shared" si="295"/>
        <v>0</v>
      </c>
      <c r="Q183" s="233">
        <f t="shared" si="295"/>
        <v>0</v>
      </c>
      <c r="R183" s="232">
        <f t="shared" si="203"/>
        <v>0</v>
      </c>
    </row>
    <row r="184" spans="1:18" s="89" customFormat="1" ht="12" hidden="1" customHeight="1">
      <c r="A184" s="132">
        <v>18100</v>
      </c>
      <c r="B184" s="125" t="s">
        <v>96</v>
      </c>
      <c r="C184" s="170">
        <v>0</v>
      </c>
      <c r="D184" s="171">
        <v>0</v>
      </c>
      <c r="E184" s="233">
        <f t="shared" si="294"/>
        <v>0</v>
      </c>
      <c r="F184" s="233">
        <f t="shared" si="294"/>
        <v>0</v>
      </c>
      <c r="G184" s="233">
        <f t="shared" si="294"/>
        <v>0</v>
      </c>
      <c r="H184" s="232">
        <f t="shared" si="201"/>
        <v>0</v>
      </c>
      <c r="I184" s="233">
        <v>0</v>
      </c>
      <c r="J184" s="233">
        <f t="shared" si="294"/>
        <v>0</v>
      </c>
      <c r="K184" s="233">
        <f t="shared" si="294"/>
        <v>0</v>
      </c>
      <c r="L184" s="233">
        <f t="shared" si="294"/>
        <v>0</v>
      </c>
      <c r="M184" s="232">
        <f t="shared" si="202"/>
        <v>0</v>
      </c>
      <c r="N184" s="233">
        <v>0</v>
      </c>
      <c r="O184" s="233">
        <f t="shared" si="295"/>
        <v>0</v>
      </c>
      <c r="P184" s="233">
        <f t="shared" si="295"/>
        <v>0</v>
      </c>
      <c r="Q184" s="233">
        <f t="shared" si="295"/>
        <v>0</v>
      </c>
      <c r="R184" s="232">
        <f t="shared" si="203"/>
        <v>0</v>
      </c>
    </row>
    <row r="185" spans="1:18" s="89" customFormat="1" ht="24" hidden="1" customHeight="1">
      <c r="A185" s="133">
        <v>18130</v>
      </c>
      <c r="B185" s="172" t="s">
        <v>159</v>
      </c>
      <c r="C185" s="170">
        <v>0</v>
      </c>
      <c r="D185" s="171">
        <v>0</v>
      </c>
      <c r="E185" s="233">
        <f t="shared" ref="E185:G185" si="296">SUM(E186:E188)</f>
        <v>0</v>
      </c>
      <c r="F185" s="233">
        <f t="shared" ref="F185" si="297">SUM(F186:F188)</f>
        <v>0</v>
      </c>
      <c r="G185" s="233">
        <f t="shared" si="296"/>
        <v>0</v>
      </c>
      <c r="H185" s="232">
        <f t="shared" si="201"/>
        <v>0</v>
      </c>
      <c r="I185" s="233">
        <v>0</v>
      </c>
      <c r="J185" s="233">
        <f t="shared" ref="J185:L185" si="298">SUM(J186:J188)</f>
        <v>0</v>
      </c>
      <c r="K185" s="233">
        <f t="shared" ref="K185" si="299">SUM(K186:K188)</f>
        <v>0</v>
      </c>
      <c r="L185" s="233">
        <f t="shared" si="298"/>
        <v>0</v>
      </c>
      <c r="M185" s="232">
        <f t="shared" si="202"/>
        <v>0</v>
      </c>
      <c r="N185" s="233">
        <v>0</v>
      </c>
      <c r="O185" s="233">
        <f t="shared" ref="O185:Q185" si="300">SUM(O186:O188)</f>
        <v>0</v>
      </c>
      <c r="P185" s="233">
        <f t="shared" ref="P185" si="301">SUM(P186:P188)</f>
        <v>0</v>
      </c>
      <c r="Q185" s="233">
        <f t="shared" si="300"/>
        <v>0</v>
      </c>
      <c r="R185" s="232">
        <f t="shared" si="203"/>
        <v>0</v>
      </c>
    </row>
    <row r="186" spans="1:18" s="89" customFormat="1" ht="36" hidden="1" customHeight="1">
      <c r="A186" s="134">
        <v>18131</v>
      </c>
      <c r="B186" s="172" t="s">
        <v>160</v>
      </c>
      <c r="C186" s="170"/>
      <c r="D186" s="171">
        <v>0</v>
      </c>
      <c r="E186" s="233"/>
      <c r="F186" s="233"/>
      <c r="G186" s="233"/>
      <c r="H186" s="232">
        <f t="shared" si="201"/>
        <v>0</v>
      </c>
      <c r="I186" s="233">
        <v>0</v>
      </c>
      <c r="J186" s="233"/>
      <c r="K186" s="233"/>
      <c r="L186" s="233"/>
      <c r="M186" s="232">
        <f t="shared" si="202"/>
        <v>0</v>
      </c>
      <c r="N186" s="233">
        <v>0</v>
      </c>
      <c r="O186" s="233"/>
      <c r="P186" s="233"/>
      <c r="Q186" s="233"/>
      <c r="R186" s="232">
        <f t="shared" si="203"/>
        <v>0</v>
      </c>
    </row>
    <row r="187" spans="1:18" s="89" customFormat="1" ht="24" hidden="1" customHeight="1">
      <c r="A187" s="134">
        <v>18132</v>
      </c>
      <c r="B187" s="172" t="s">
        <v>169</v>
      </c>
      <c r="C187" s="170"/>
      <c r="D187" s="171">
        <v>0</v>
      </c>
      <c r="E187" s="233"/>
      <c r="F187" s="233"/>
      <c r="G187" s="233"/>
      <c r="H187" s="232">
        <f t="shared" si="201"/>
        <v>0</v>
      </c>
      <c r="I187" s="233">
        <v>0</v>
      </c>
      <c r="J187" s="233"/>
      <c r="K187" s="233"/>
      <c r="L187" s="233"/>
      <c r="M187" s="232">
        <f t="shared" si="202"/>
        <v>0</v>
      </c>
      <c r="N187" s="233">
        <v>0</v>
      </c>
      <c r="O187" s="233"/>
      <c r="P187" s="233"/>
      <c r="Q187" s="233"/>
      <c r="R187" s="232">
        <f t="shared" si="203"/>
        <v>0</v>
      </c>
    </row>
    <row r="188" spans="1:18" s="89" customFormat="1" ht="24" hidden="1" customHeight="1">
      <c r="A188" s="134">
        <v>18139</v>
      </c>
      <c r="B188" s="172" t="s">
        <v>179</v>
      </c>
      <c r="C188" s="170"/>
      <c r="D188" s="171">
        <v>0</v>
      </c>
      <c r="E188" s="233"/>
      <c r="F188" s="233"/>
      <c r="G188" s="233"/>
      <c r="H188" s="232">
        <f t="shared" si="201"/>
        <v>0</v>
      </c>
      <c r="I188" s="233">
        <v>0</v>
      </c>
      <c r="J188" s="233"/>
      <c r="K188" s="233"/>
      <c r="L188" s="233"/>
      <c r="M188" s="232">
        <f t="shared" si="202"/>
        <v>0</v>
      </c>
      <c r="N188" s="233">
        <v>0</v>
      </c>
      <c r="O188" s="233"/>
      <c r="P188" s="233"/>
      <c r="Q188" s="233"/>
      <c r="R188" s="232">
        <f t="shared" si="203"/>
        <v>0</v>
      </c>
    </row>
    <row r="189" spans="1:18" s="89" customFormat="1" ht="12" hidden="1" customHeight="1">
      <c r="A189" s="135" t="s">
        <v>180</v>
      </c>
      <c r="B189" s="173" t="s">
        <v>173</v>
      </c>
      <c r="C189" s="201">
        <v>0</v>
      </c>
      <c r="D189" s="174">
        <v>0</v>
      </c>
      <c r="E189" s="238">
        <f t="shared" ref="E189:L189" si="302">E190</f>
        <v>0</v>
      </c>
      <c r="F189" s="238">
        <f t="shared" si="302"/>
        <v>0</v>
      </c>
      <c r="G189" s="238">
        <f t="shared" si="302"/>
        <v>0</v>
      </c>
      <c r="H189" s="232">
        <f t="shared" si="201"/>
        <v>0</v>
      </c>
      <c r="I189" s="238">
        <v>0</v>
      </c>
      <c r="J189" s="238">
        <f t="shared" si="302"/>
        <v>0</v>
      </c>
      <c r="K189" s="238">
        <f t="shared" si="302"/>
        <v>0</v>
      </c>
      <c r="L189" s="238">
        <f t="shared" si="302"/>
        <v>0</v>
      </c>
      <c r="M189" s="232">
        <f t="shared" si="202"/>
        <v>0</v>
      </c>
      <c r="N189" s="238">
        <v>0</v>
      </c>
      <c r="O189" s="238">
        <f t="shared" ref="O189:Q189" si="303">O190</f>
        <v>0</v>
      </c>
      <c r="P189" s="238">
        <f t="shared" si="303"/>
        <v>0</v>
      </c>
      <c r="Q189" s="238">
        <f t="shared" si="303"/>
        <v>0</v>
      </c>
      <c r="R189" s="232">
        <f t="shared" si="203"/>
        <v>0</v>
      </c>
    </row>
    <row r="190" spans="1:18" s="89" customFormat="1" ht="24" hidden="1" customHeight="1">
      <c r="A190" s="135">
        <v>19500</v>
      </c>
      <c r="B190" s="172" t="s">
        <v>174</v>
      </c>
      <c r="C190" s="170">
        <v>0</v>
      </c>
      <c r="D190" s="171">
        <v>0</v>
      </c>
      <c r="E190" s="233">
        <f t="shared" ref="E190:G190" si="304">SUM(E191:E193)</f>
        <v>0</v>
      </c>
      <c r="F190" s="233">
        <f t="shared" ref="F190" si="305">SUM(F191:F193)</f>
        <v>0</v>
      </c>
      <c r="G190" s="233">
        <f t="shared" si="304"/>
        <v>0</v>
      </c>
      <c r="H190" s="232">
        <f t="shared" si="201"/>
        <v>0</v>
      </c>
      <c r="I190" s="233">
        <v>0</v>
      </c>
      <c r="J190" s="233">
        <f t="shared" ref="J190:L190" si="306">SUM(J191:J193)</f>
        <v>0</v>
      </c>
      <c r="K190" s="233">
        <f t="shared" ref="K190" si="307">SUM(K191:K193)</f>
        <v>0</v>
      </c>
      <c r="L190" s="233">
        <f t="shared" si="306"/>
        <v>0</v>
      </c>
      <c r="M190" s="232">
        <f t="shared" si="202"/>
        <v>0</v>
      </c>
      <c r="N190" s="233">
        <v>0</v>
      </c>
      <c r="O190" s="233">
        <f t="shared" ref="O190:Q190" si="308">SUM(O191:O193)</f>
        <v>0</v>
      </c>
      <c r="P190" s="233">
        <f t="shared" ref="P190" si="309">SUM(P191:P193)</f>
        <v>0</v>
      </c>
      <c r="Q190" s="233">
        <f t="shared" si="308"/>
        <v>0</v>
      </c>
      <c r="R190" s="232">
        <f t="shared" si="203"/>
        <v>0</v>
      </c>
    </row>
    <row r="191" spans="1:18" s="89" customFormat="1" ht="24" hidden="1" customHeight="1">
      <c r="A191" s="136">
        <v>19550</v>
      </c>
      <c r="B191" s="172" t="s">
        <v>175</v>
      </c>
      <c r="C191" s="170"/>
      <c r="D191" s="171">
        <v>0</v>
      </c>
      <c r="E191" s="233"/>
      <c r="F191" s="233"/>
      <c r="G191" s="233"/>
      <c r="H191" s="232">
        <f t="shared" si="201"/>
        <v>0</v>
      </c>
      <c r="I191" s="233">
        <v>0</v>
      </c>
      <c r="J191" s="233"/>
      <c r="K191" s="233"/>
      <c r="L191" s="233"/>
      <c r="M191" s="232">
        <f t="shared" si="202"/>
        <v>0</v>
      </c>
      <c r="N191" s="233">
        <v>0</v>
      </c>
      <c r="O191" s="233"/>
      <c r="P191" s="233"/>
      <c r="Q191" s="233"/>
      <c r="R191" s="232">
        <f t="shared" si="203"/>
        <v>0</v>
      </c>
    </row>
    <row r="192" spans="1:18" s="89" customFormat="1" ht="36" hidden="1" customHeight="1">
      <c r="A192" s="136">
        <v>19560</v>
      </c>
      <c r="B192" s="172" t="s">
        <v>181</v>
      </c>
      <c r="C192" s="170"/>
      <c r="D192" s="171">
        <v>0</v>
      </c>
      <c r="E192" s="233"/>
      <c r="F192" s="233"/>
      <c r="G192" s="233"/>
      <c r="H192" s="232">
        <f t="shared" si="201"/>
        <v>0</v>
      </c>
      <c r="I192" s="233">
        <v>0</v>
      </c>
      <c r="J192" s="233"/>
      <c r="K192" s="233"/>
      <c r="L192" s="233"/>
      <c r="M192" s="232">
        <f t="shared" si="202"/>
        <v>0</v>
      </c>
      <c r="N192" s="233">
        <v>0</v>
      </c>
      <c r="O192" s="233"/>
      <c r="P192" s="233"/>
      <c r="Q192" s="233"/>
      <c r="R192" s="232">
        <f t="shared" si="203"/>
        <v>0</v>
      </c>
    </row>
    <row r="193" spans="1:18" s="89" customFormat="1" ht="72" hidden="1" customHeight="1">
      <c r="A193" s="136">
        <v>19570</v>
      </c>
      <c r="B193" s="172" t="s">
        <v>182</v>
      </c>
      <c r="C193" s="170"/>
      <c r="D193" s="171">
        <v>0</v>
      </c>
      <c r="E193" s="233"/>
      <c r="F193" s="233"/>
      <c r="G193" s="233"/>
      <c r="H193" s="232">
        <f t="shared" si="201"/>
        <v>0</v>
      </c>
      <c r="I193" s="233">
        <v>0</v>
      </c>
      <c r="J193" s="233"/>
      <c r="K193" s="233"/>
      <c r="L193" s="233"/>
      <c r="M193" s="232">
        <f t="shared" si="202"/>
        <v>0</v>
      </c>
      <c r="N193" s="233">
        <v>0</v>
      </c>
      <c r="O193" s="233"/>
      <c r="P193" s="233"/>
      <c r="Q193" s="233"/>
      <c r="R193" s="232">
        <f t="shared" si="203"/>
        <v>0</v>
      </c>
    </row>
    <row r="194" spans="1:18" s="6" customFormat="1" ht="36" hidden="1" customHeight="1">
      <c r="A194" s="209" t="s">
        <v>222</v>
      </c>
      <c r="B194" s="208" t="s">
        <v>216</v>
      </c>
      <c r="C194" s="106">
        <f>C195</f>
        <v>0</v>
      </c>
      <c r="D194" s="106">
        <v>0</v>
      </c>
      <c r="E194" s="232">
        <f t="shared" ref="E194:L194" si="310">E195</f>
        <v>0</v>
      </c>
      <c r="F194" s="232">
        <f t="shared" si="310"/>
        <v>0</v>
      </c>
      <c r="G194" s="232">
        <f t="shared" si="310"/>
        <v>0</v>
      </c>
      <c r="H194" s="232">
        <f t="shared" si="201"/>
        <v>0</v>
      </c>
      <c r="I194" s="233">
        <v>0</v>
      </c>
      <c r="J194" s="232">
        <f t="shared" si="310"/>
        <v>0</v>
      </c>
      <c r="K194" s="232">
        <f t="shared" si="310"/>
        <v>0</v>
      </c>
      <c r="L194" s="232">
        <f t="shared" si="310"/>
        <v>0</v>
      </c>
      <c r="M194" s="232">
        <f t="shared" si="202"/>
        <v>0</v>
      </c>
      <c r="N194" s="233">
        <v>0</v>
      </c>
      <c r="O194" s="232">
        <f t="shared" ref="O194:Q194" si="311">O195</f>
        <v>0</v>
      </c>
      <c r="P194" s="232">
        <f t="shared" si="311"/>
        <v>0</v>
      </c>
      <c r="Q194" s="232">
        <f t="shared" si="311"/>
        <v>0</v>
      </c>
      <c r="R194" s="232">
        <f t="shared" si="203"/>
        <v>0</v>
      </c>
    </row>
    <row r="195" spans="1:18" s="6" customFormat="1" ht="36" hidden="1" customHeight="1">
      <c r="A195" s="209">
        <v>17100</v>
      </c>
      <c r="B195" s="208" t="s">
        <v>217</v>
      </c>
      <c r="C195" s="106">
        <f>SUM(C196:C199)</f>
        <v>0</v>
      </c>
      <c r="D195" s="106">
        <v>0</v>
      </c>
      <c r="E195" s="232">
        <f t="shared" ref="E195:G195" si="312">SUM(E196:E199)</f>
        <v>0</v>
      </c>
      <c r="F195" s="232">
        <f t="shared" ref="F195" si="313">SUM(F196:F199)</f>
        <v>0</v>
      </c>
      <c r="G195" s="232">
        <f t="shared" si="312"/>
        <v>0</v>
      </c>
      <c r="H195" s="232">
        <f t="shared" si="201"/>
        <v>0</v>
      </c>
      <c r="I195" s="233">
        <v>0</v>
      </c>
      <c r="J195" s="232">
        <f t="shared" ref="J195:L195" si="314">SUM(J196:J199)</f>
        <v>0</v>
      </c>
      <c r="K195" s="232">
        <f t="shared" ref="K195" si="315">SUM(K196:K199)</f>
        <v>0</v>
      </c>
      <c r="L195" s="232">
        <f t="shared" si="314"/>
        <v>0</v>
      </c>
      <c r="M195" s="232">
        <f t="shared" si="202"/>
        <v>0</v>
      </c>
      <c r="N195" s="233">
        <v>0</v>
      </c>
      <c r="O195" s="232">
        <f t="shared" ref="O195:Q195" si="316">SUM(O196:O199)</f>
        <v>0</v>
      </c>
      <c r="P195" s="232">
        <f t="shared" ref="P195" si="317">SUM(P196:P199)</f>
        <v>0</v>
      </c>
      <c r="Q195" s="232">
        <f t="shared" si="316"/>
        <v>0</v>
      </c>
      <c r="R195" s="232">
        <f t="shared" si="203"/>
        <v>0</v>
      </c>
    </row>
    <row r="196" spans="1:18" s="6" customFormat="1" ht="60" hidden="1" customHeight="1">
      <c r="A196" s="149">
        <v>17110</v>
      </c>
      <c r="B196" s="208" t="s">
        <v>218</v>
      </c>
      <c r="C196" s="106"/>
      <c r="D196" s="107">
        <v>0</v>
      </c>
      <c r="E196" s="233"/>
      <c r="F196" s="233"/>
      <c r="G196" s="233"/>
      <c r="H196" s="232">
        <f t="shared" si="201"/>
        <v>0</v>
      </c>
      <c r="I196" s="233">
        <v>0</v>
      </c>
      <c r="J196" s="233"/>
      <c r="K196" s="233"/>
      <c r="L196" s="233"/>
      <c r="M196" s="232">
        <f t="shared" si="202"/>
        <v>0</v>
      </c>
      <c r="N196" s="233">
        <v>0</v>
      </c>
      <c r="O196" s="233"/>
      <c r="P196" s="233"/>
      <c r="Q196" s="233"/>
      <c r="R196" s="232">
        <f t="shared" si="203"/>
        <v>0</v>
      </c>
    </row>
    <row r="197" spans="1:18" s="6" customFormat="1" ht="60" hidden="1" customHeight="1">
      <c r="A197" s="149">
        <v>17120</v>
      </c>
      <c r="B197" s="208" t="s">
        <v>219</v>
      </c>
      <c r="C197" s="106"/>
      <c r="D197" s="107">
        <v>0</v>
      </c>
      <c r="E197" s="233"/>
      <c r="F197" s="233"/>
      <c r="G197" s="233"/>
      <c r="H197" s="232">
        <f t="shared" si="201"/>
        <v>0</v>
      </c>
      <c r="I197" s="233">
        <v>0</v>
      </c>
      <c r="J197" s="233"/>
      <c r="K197" s="233"/>
      <c r="L197" s="233"/>
      <c r="M197" s="232">
        <f t="shared" si="202"/>
        <v>0</v>
      </c>
      <c r="N197" s="233">
        <v>0</v>
      </c>
      <c r="O197" s="233"/>
      <c r="P197" s="233"/>
      <c r="Q197" s="233"/>
      <c r="R197" s="232">
        <f t="shared" si="203"/>
        <v>0</v>
      </c>
    </row>
    <row r="198" spans="1:18" s="6" customFormat="1" ht="108" hidden="1" customHeight="1">
      <c r="A198" s="149">
        <v>17130</v>
      </c>
      <c r="B198" s="208" t="s">
        <v>220</v>
      </c>
      <c r="C198" s="106"/>
      <c r="D198" s="107">
        <v>0</v>
      </c>
      <c r="E198" s="233"/>
      <c r="F198" s="233"/>
      <c r="G198" s="233"/>
      <c r="H198" s="232">
        <f t="shared" si="201"/>
        <v>0</v>
      </c>
      <c r="I198" s="233">
        <v>0</v>
      </c>
      <c r="J198" s="233"/>
      <c r="K198" s="233"/>
      <c r="L198" s="233"/>
      <c r="M198" s="232">
        <f t="shared" si="202"/>
        <v>0</v>
      </c>
      <c r="N198" s="233">
        <v>0</v>
      </c>
      <c r="O198" s="233"/>
      <c r="P198" s="233"/>
      <c r="Q198" s="233"/>
      <c r="R198" s="232">
        <f t="shared" si="203"/>
        <v>0</v>
      </c>
    </row>
    <row r="199" spans="1:18" s="6" customFormat="1" ht="108" hidden="1" customHeight="1">
      <c r="A199" s="149">
        <v>17140</v>
      </c>
      <c r="B199" s="208" t="s">
        <v>221</v>
      </c>
      <c r="C199" s="106"/>
      <c r="D199" s="107">
        <v>0</v>
      </c>
      <c r="E199" s="233"/>
      <c r="F199" s="233"/>
      <c r="G199" s="233"/>
      <c r="H199" s="232">
        <f t="shared" si="201"/>
        <v>0</v>
      </c>
      <c r="I199" s="233">
        <v>0</v>
      </c>
      <c r="J199" s="233"/>
      <c r="K199" s="233"/>
      <c r="L199" s="233"/>
      <c r="M199" s="232">
        <f t="shared" si="202"/>
        <v>0</v>
      </c>
      <c r="N199" s="233">
        <v>0</v>
      </c>
      <c r="O199" s="233"/>
      <c r="P199" s="233"/>
      <c r="Q199" s="233"/>
      <c r="R199" s="232">
        <f t="shared" si="203"/>
        <v>0</v>
      </c>
    </row>
    <row r="200" spans="1:18" s="89" customFormat="1" ht="12" hidden="1" customHeight="1">
      <c r="A200" s="137">
        <v>21700</v>
      </c>
      <c r="B200" s="124" t="s">
        <v>97</v>
      </c>
      <c r="C200" s="170">
        <v>0</v>
      </c>
      <c r="D200" s="171">
        <v>0</v>
      </c>
      <c r="E200" s="233">
        <f t="shared" ref="E200:G200" si="318">E201+E202</f>
        <v>0</v>
      </c>
      <c r="F200" s="233">
        <f t="shared" ref="F200" si="319">F201+F202</f>
        <v>0</v>
      </c>
      <c r="G200" s="233">
        <f t="shared" si="318"/>
        <v>0</v>
      </c>
      <c r="H200" s="232">
        <f t="shared" si="201"/>
        <v>0</v>
      </c>
      <c r="I200" s="233">
        <v>0</v>
      </c>
      <c r="J200" s="233">
        <f t="shared" ref="J200:L200" si="320">J201+J202</f>
        <v>0</v>
      </c>
      <c r="K200" s="233">
        <f t="shared" ref="K200" si="321">K201+K202</f>
        <v>0</v>
      </c>
      <c r="L200" s="233">
        <f t="shared" si="320"/>
        <v>0</v>
      </c>
      <c r="M200" s="232">
        <f t="shared" si="202"/>
        <v>0</v>
      </c>
      <c r="N200" s="233">
        <v>0</v>
      </c>
      <c r="O200" s="233">
        <f t="shared" ref="O200:Q200" si="322">O201+O202</f>
        <v>0</v>
      </c>
      <c r="P200" s="233">
        <f t="shared" ref="P200" si="323">P201+P202</f>
        <v>0</v>
      </c>
      <c r="Q200" s="233">
        <f t="shared" si="322"/>
        <v>0</v>
      </c>
      <c r="R200" s="232">
        <f t="shared" si="203"/>
        <v>0</v>
      </c>
    </row>
    <row r="201" spans="1:18" s="89" customFormat="1" ht="24" hidden="1" customHeight="1">
      <c r="A201" s="138">
        <v>21710</v>
      </c>
      <c r="B201" s="125" t="s">
        <v>98</v>
      </c>
      <c r="C201" s="170"/>
      <c r="D201" s="171">
        <v>0</v>
      </c>
      <c r="E201" s="233"/>
      <c r="F201" s="233"/>
      <c r="G201" s="233"/>
      <c r="H201" s="232">
        <f t="shared" si="201"/>
        <v>0</v>
      </c>
      <c r="I201" s="233">
        <v>0</v>
      </c>
      <c r="J201" s="233"/>
      <c r="K201" s="233"/>
      <c r="L201" s="233"/>
      <c r="M201" s="232">
        <f t="shared" si="202"/>
        <v>0</v>
      </c>
      <c r="N201" s="233">
        <v>0</v>
      </c>
      <c r="O201" s="233"/>
      <c r="P201" s="233"/>
      <c r="Q201" s="233"/>
      <c r="R201" s="232">
        <f t="shared" si="203"/>
        <v>0</v>
      </c>
    </row>
    <row r="202" spans="1:18" s="29" customFormat="1" ht="24" hidden="1" customHeight="1">
      <c r="A202" s="138">
        <v>21720</v>
      </c>
      <c r="B202" s="125" t="s">
        <v>99</v>
      </c>
      <c r="C202" s="170"/>
      <c r="D202" s="171">
        <v>0</v>
      </c>
      <c r="E202" s="233"/>
      <c r="F202" s="233"/>
      <c r="G202" s="233"/>
      <c r="H202" s="232">
        <f t="shared" ref="H202:H260" si="324">SUM(D202:G202)</f>
        <v>0</v>
      </c>
      <c r="I202" s="233">
        <v>0</v>
      </c>
      <c r="J202" s="233"/>
      <c r="K202" s="233"/>
      <c r="L202" s="233"/>
      <c r="M202" s="232">
        <f t="shared" ref="M202:M260" si="325">SUM(I202:L202)</f>
        <v>0</v>
      </c>
      <c r="N202" s="233">
        <v>0</v>
      </c>
      <c r="O202" s="233"/>
      <c r="P202" s="233"/>
      <c r="Q202" s="233"/>
      <c r="R202" s="232">
        <f t="shared" ref="R202:R260" si="326">SUM(N202:Q202)</f>
        <v>0</v>
      </c>
    </row>
    <row r="203" spans="1:18" s="29" customFormat="1" ht="12" hidden="1" customHeight="1">
      <c r="A203" s="129" t="s">
        <v>100</v>
      </c>
      <c r="B203" s="123" t="s">
        <v>101</v>
      </c>
      <c r="C203" s="168">
        <v>0</v>
      </c>
      <c r="D203" s="175">
        <v>0</v>
      </c>
      <c r="E203" s="243">
        <f t="shared" ref="E203:G203" si="327">E204+E231</f>
        <v>0</v>
      </c>
      <c r="F203" s="243">
        <f t="shared" ref="F203" si="328">F204+F231</f>
        <v>0</v>
      </c>
      <c r="G203" s="243">
        <f t="shared" si="327"/>
        <v>0</v>
      </c>
      <c r="H203" s="270">
        <f t="shared" si="324"/>
        <v>0</v>
      </c>
      <c r="I203" s="243">
        <v>0</v>
      </c>
      <c r="J203" s="243">
        <f t="shared" ref="J203:L203" si="329">J204+J231</f>
        <v>0</v>
      </c>
      <c r="K203" s="243">
        <f t="shared" ref="K203" si="330">K204+K231</f>
        <v>0</v>
      </c>
      <c r="L203" s="243">
        <f t="shared" si="329"/>
        <v>0</v>
      </c>
      <c r="M203" s="270">
        <f t="shared" si="325"/>
        <v>0</v>
      </c>
      <c r="N203" s="243">
        <v>0</v>
      </c>
      <c r="O203" s="243">
        <f t="shared" ref="O203:Q203" si="331">O204+O231</f>
        <v>0</v>
      </c>
      <c r="P203" s="243">
        <f t="shared" ref="P203" si="332">P204+P231</f>
        <v>0</v>
      </c>
      <c r="Q203" s="243">
        <f t="shared" si="331"/>
        <v>0</v>
      </c>
      <c r="R203" s="270">
        <f t="shared" si="326"/>
        <v>0</v>
      </c>
    </row>
    <row r="204" spans="1:18" s="29" customFormat="1" ht="21" hidden="1" customHeight="1">
      <c r="A204" s="130" t="s">
        <v>102</v>
      </c>
      <c r="B204" s="124" t="s">
        <v>103</v>
      </c>
      <c r="C204" s="170">
        <v>0</v>
      </c>
      <c r="D204" s="171">
        <v>0</v>
      </c>
      <c r="E204" s="233">
        <f t="shared" ref="E204:G204" si="333">E205+E209+E210+E213+E216</f>
        <v>0</v>
      </c>
      <c r="F204" s="233">
        <f t="shared" ref="F204" si="334">F205+F209+F210+F213+F216</f>
        <v>0</v>
      </c>
      <c r="G204" s="233">
        <f t="shared" si="333"/>
        <v>0</v>
      </c>
      <c r="H204" s="232">
        <f t="shared" si="324"/>
        <v>0</v>
      </c>
      <c r="I204" s="233">
        <v>0</v>
      </c>
      <c r="J204" s="233">
        <f t="shared" ref="J204:L204" si="335">J205+J209+J210+J213+J216</f>
        <v>0</v>
      </c>
      <c r="K204" s="233">
        <f t="shared" ref="K204" si="336">K205+K209+K210+K213+K216</f>
        <v>0</v>
      </c>
      <c r="L204" s="233">
        <f t="shared" si="335"/>
        <v>0</v>
      </c>
      <c r="M204" s="232">
        <f t="shared" si="325"/>
        <v>0</v>
      </c>
      <c r="N204" s="233">
        <v>0</v>
      </c>
      <c r="O204" s="233">
        <f t="shared" ref="O204:Q204" si="337">O205+O209+O210+O213+O216</f>
        <v>0</v>
      </c>
      <c r="P204" s="233">
        <f t="shared" ref="P204" si="338">P205+P209+P210+P213+P216</f>
        <v>0</v>
      </c>
      <c r="Q204" s="233">
        <f t="shared" si="337"/>
        <v>0</v>
      </c>
      <c r="R204" s="232">
        <f t="shared" si="326"/>
        <v>0</v>
      </c>
    </row>
    <row r="205" spans="1:18" s="29" customFormat="1" ht="12" hidden="1" customHeight="1">
      <c r="A205" s="130" t="s">
        <v>104</v>
      </c>
      <c r="B205" s="124" t="s">
        <v>105</v>
      </c>
      <c r="C205" s="170">
        <v>0</v>
      </c>
      <c r="D205" s="171">
        <v>0</v>
      </c>
      <c r="E205" s="233">
        <f t="shared" ref="E205:G205" si="339">E206+E208</f>
        <v>0</v>
      </c>
      <c r="F205" s="233">
        <f t="shared" ref="F205" si="340">F206+F208</f>
        <v>0</v>
      </c>
      <c r="G205" s="233">
        <f t="shared" si="339"/>
        <v>0</v>
      </c>
      <c r="H205" s="232">
        <f t="shared" si="324"/>
        <v>0</v>
      </c>
      <c r="I205" s="233">
        <v>0</v>
      </c>
      <c r="J205" s="233">
        <f t="shared" ref="J205:L205" si="341">J206+J208</f>
        <v>0</v>
      </c>
      <c r="K205" s="233">
        <f t="shared" ref="K205" si="342">K206+K208</f>
        <v>0</v>
      </c>
      <c r="L205" s="233">
        <f t="shared" si="341"/>
        <v>0</v>
      </c>
      <c r="M205" s="232">
        <f t="shared" si="325"/>
        <v>0</v>
      </c>
      <c r="N205" s="233">
        <v>0</v>
      </c>
      <c r="O205" s="233">
        <f t="shared" ref="O205:Q205" si="343">O206+O208</f>
        <v>0</v>
      </c>
      <c r="P205" s="233">
        <f t="shared" ref="P205" si="344">P206+P208</f>
        <v>0</v>
      </c>
      <c r="Q205" s="233">
        <f t="shared" si="343"/>
        <v>0</v>
      </c>
      <c r="R205" s="232">
        <f t="shared" si="326"/>
        <v>0</v>
      </c>
    </row>
    <row r="206" spans="1:18" s="29" customFormat="1" ht="12" hidden="1" customHeight="1">
      <c r="A206" s="132">
        <v>1000</v>
      </c>
      <c r="B206" s="125" t="s">
        <v>106</v>
      </c>
      <c r="C206" s="170"/>
      <c r="D206" s="176">
        <v>0</v>
      </c>
      <c r="E206" s="244"/>
      <c r="F206" s="244"/>
      <c r="G206" s="244"/>
      <c r="H206" s="232">
        <f t="shared" si="324"/>
        <v>0</v>
      </c>
      <c r="I206" s="233">
        <v>0</v>
      </c>
      <c r="J206" s="244"/>
      <c r="K206" s="244"/>
      <c r="L206" s="244"/>
      <c r="M206" s="232">
        <f t="shared" si="325"/>
        <v>0</v>
      </c>
      <c r="N206" s="233">
        <v>0</v>
      </c>
      <c r="O206" s="244"/>
      <c r="P206" s="244"/>
      <c r="Q206" s="244"/>
      <c r="R206" s="232">
        <f t="shared" si="326"/>
        <v>0</v>
      </c>
    </row>
    <row r="207" spans="1:18" s="29" customFormat="1" ht="12" hidden="1" customHeight="1">
      <c r="A207" s="139">
        <v>1100</v>
      </c>
      <c r="B207" s="125" t="s">
        <v>107</v>
      </c>
      <c r="C207" s="170"/>
      <c r="D207" s="176">
        <v>0</v>
      </c>
      <c r="E207" s="244"/>
      <c r="F207" s="244"/>
      <c r="G207" s="244"/>
      <c r="H207" s="232">
        <f t="shared" si="324"/>
        <v>0</v>
      </c>
      <c r="I207" s="233">
        <v>0</v>
      </c>
      <c r="J207" s="244"/>
      <c r="K207" s="244"/>
      <c r="L207" s="244"/>
      <c r="M207" s="232">
        <f t="shared" si="325"/>
        <v>0</v>
      </c>
      <c r="N207" s="233">
        <v>0</v>
      </c>
      <c r="O207" s="244"/>
      <c r="P207" s="244"/>
      <c r="Q207" s="244"/>
      <c r="R207" s="232">
        <f t="shared" si="326"/>
        <v>0</v>
      </c>
    </row>
    <row r="208" spans="1:18" s="29" customFormat="1" ht="12" hidden="1" customHeight="1">
      <c r="A208" s="132">
        <v>2000</v>
      </c>
      <c r="B208" s="125" t="s">
        <v>108</v>
      </c>
      <c r="C208" s="170"/>
      <c r="D208" s="176">
        <v>0</v>
      </c>
      <c r="E208" s="244"/>
      <c r="F208" s="244"/>
      <c r="G208" s="244"/>
      <c r="H208" s="232">
        <f t="shared" si="324"/>
        <v>0</v>
      </c>
      <c r="I208" s="233">
        <v>0</v>
      </c>
      <c r="J208" s="244"/>
      <c r="K208" s="244"/>
      <c r="L208" s="244"/>
      <c r="M208" s="232">
        <f t="shared" si="325"/>
        <v>0</v>
      </c>
      <c r="N208" s="233">
        <v>0</v>
      </c>
      <c r="O208" s="244"/>
      <c r="P208" s="244"/>
      <c r="Q208" s="244"/>
      <c r="R208" s="232">
        <f t="shared" si="326"/>
        <v>0</v>
      </c>
    </row>
    <row r="209" spans="1:18" s="29" customFormat="1" ht="12" hidden="1" customHeight="1">
      <c r="A209" s="140">
        <v>4000</v>
      </c>
      <c r="B209" s="124" t="s">
        <v>132</v>
      </c>
      <c r="C209" s="170"/>
      <c r="D209" s="176">
        <v>0</v>
      </c>
      <c r="E209" s="244"/>
      <c r="F209" s="244"/>
      <c r="G209" s="244"/>
      <c r="H209" s="232">
        <f t="shared" si="324"/>
        <v>0</v>
      </c>
      <c r="I209" s="233">
        <v>0</v>
      </c>
      <c r="J209" s="244"/>
      <c r="K209" s="244"/>
      <c r="L209" s="244"/>
      <c r="M209" s="232">
        <f t="shared" si="325"/>
        <v>0</v>
      </c>
      <c r="N209" s="233">
        <v>0</v>
      </c>
      <c r="O209" s="244"/>
      <c r="P209" s="244"/>
      <c r="Q209" s="244"/>
      <c r="R209" s="232">
        <f t="shared" si="326"/>
        <v>0</v>
      </c>
    </row>
    <row r="210" spans="1:18" s="29" customFormat="1" ht="12" hidden="1" customHeight="1">
      <c r="A210" s="140" t="s">
        <v>109</v>
      </c>
      <c r="B210" s="124" t="s">
        <v>110</v>
      </c>
      <c r="C210" s="170">
        <v>0</v>
      </c>
      <c r="D210" s="171">
        <v>0</v>
      </c>
      <c r="E210" s="233">
        <f t="shared" ref="E210:G210" si="345">E211+E212</f>
        <v>0</v>
      </c>
      <c r="F210" s="233">
        <f t="shared" ref="F210" si="346">F211+F212</f>
        <v>0</v>
      </c>
      <c r="G210" s="233">
        <f t="shared" si="345"/>
        <v>0</v>
      </c>
      <c r="H210" s="232">
        <f t="shared" si="324"/>
        <v>0</v>
      </c>
      <c r="I210" s="233">
        <v>0</v>
      </c>
      <c r="J210" s="233">
        <f t="shared" ref="J210:L210" si="347">J211+J212</f>
        <v>0</v>
      </c>
      <c r="K210" s="233">
        <f t="shared" ref="K210" si="348">K211+K212</f>
        <v>0</v>
      </c>
      <c r="L210" s="233">
        <f t="shared" si="347"/>
        <v>0</v>
      </c>
      <c r="M210" s="232">
        <f t="shared" si="325"/>
        <v>0</v>
      </c>
      <c r="N210" s="233">
        <v>0</v>
      </c>
      <c r="O210" s="233">
        <f t="shared" ref="O210:Q210" si="349">O211+O212</f>
        <v>0</v>
      </c>
      <c r="P210" s="233">
        <f t="shared" ref="P210" si="350">P211+P212</f>
        <v>0</v>
      </c>
      <c r="Q210" s="233">
        <f t="shared" si="349"/>
        <v>0</v>
      </c>
      <c r="R210" s="232">
        <f t="shared" si="326"/>
        <v>0</v>
      </c>
    </row>
    <row r="211" spans="1:18" s="29" customFormat="1" ht="12" hidden="1" customHeight="1">
      <c r="A211" s="132">
        <v>3000</v>
      </c>
      <c r="B211" s="125" t="s">
        <v>111</v>
      </c>
      <c r="C211" s="202"/>
      <c r="D211" s="177">
        <v>0</v>
      </c>
      <c r="E211" s="246"/>
      <c r="F211" s="246"/>
      <c r="G211" s="246"/>
      <c r="H211" s="232">
        <f t="shared" si="324"/>
        <v>0</v>
      </c>
      <c r="I211" s="345">
        <v>0</v>
      </c>
      <c r="J211" s="246"/>
      <c r="K211" s="246"/>
      <c r="L211" s="246"/>
      <c r="M211" s="232">
        <f t="shared" si="325"/>
        <v>0</v>
      </c>
      <c r="N211" s="345">
        <v>0</v>
      </c>
      <c r="O211" s="246"/>
      <c r="P211" s="246"/>
      <c r="Q211" s="246"/>
      <c r="R211" s="232">
        <f t="shared" si="326"/>
        <v>0</v>
      </c>
    </row>
    <row r="212" spans="1:18" s="29" customFormat="1" ht="12" hidden="1" customHeight="1">
      <c r="A212" s="132">
        <v>6000</v>
      </c>
      <c r="B212" s="125" t="s">
        <v>112</v>
      </c>
      <c r="C212" s="203"/>
      <c r="D212" s="178">
        <v>0</v>
      </c>
      <c r="E212" s="248"/>
      <c r="F212" s="248"/>
      <c r="G212" s="248"/>
      <c r="H212" s="232">
        <f t="shared" si="324"/>
        <v>0</v>
      </c>
      <c r="I212" s="346">
        <v>0</v>
      </c>
      <c r="J212" s="248"/>
      <c r="K212" s="248"/>
      <c r="L212" s="248"/>
      <c r="M212" s="232">
        <f t="shared" si="325"/>
        <v>0</v>
      </c>
      <c r="N212" s="346">
        <v>0</v>
      </c>
      <c r="O212" s="248"/>
      <c r="P212" s="248"/>
      <c r="Q212" s="248"/>
      <c r="R212" s="232">
        <f t="shared" si="326"/>
        <v>0</v>
      </c>
    </row>
    <row r="213" spans="1:18" s="29" customFormat="1" ht="24" hidden="1" customHeight="1">
      <c r="A213" s="140" t="s">
        <v>113</v>
      </c>
      <c r="B213" s="124" t="s">
        <v>183</v>
      </c>
      <c r="C213" s="170">
        <v>0</v>
      </c>
      <c r="D213" s="171">
        <v>0</v>
      </c>
      <c r="E213" s="233">
        <f t="shared" ref="E213:G213" si="351">E214+E215</f>
        <v>0</v>
      </c>
      <c r="F213" s="233">
        <f t="shared" ref="F213" si="352">F214+F215</f>
        <v>0</v>
      </c>
      <c r="G213" s="233">
        <f t="shared" si="351"/>
        <v>0</v>
      </c>
      <c r="H213" s="232">
        <f t="shared" si="324"/>
        <v>0</v>
      </c>
      <c r="I213" s="233">
        <v>0</v>
      </c>
      <c r="J213" s="233">
        <f t="shared" ref="J213:L213" si="353">J214+J215</f>
        <v>0</v>
      </c>
      <c r="K213" s="233">
        <f t="shared" ref="K213" si="354">K214+K215</f>
        <v>0</v>
      </c>
      <c r="L213" s="233">
        <f t="shared" si="353"/>
        <v>0</v>
      </c>
      <c r="M213" s="232">
        <f t="shared" si="325"/>
        <v>0</v>
      </c>
      <c r="N213" s="233">
        <v>0</v>
      </c>
      <c r="O213" s="233">
        <f t="shared" ref="O213:Q213" si="355">O214+O215</f>
        <v>0</v>
      </c>
      <c r="P213" s="233">
        <f t="shared" ref="P213" si="356">P214+P215</f>
        <v>0</v>
      </c>
      <c r="Q213" s="233">
        <f t="shared" si="355"/>
        <v>0</v>
      </c>
      <c r="R213" s="232">
        <f t="shared" si="326"/>
        <v>0</v>
      </c>
    </row>
    <row r="214" spans="1:18" s="29" customFormat="1" ht="12" hidden="1" customHeight="1">
      <c r="A214" s="132">
        <v>7600</v>
      </c>
      <c r="B214" s="179" t="s">
        <v>184</v>
      </c>
      <c r="C214" s="170"/>
      <c r="D214" s="176">
        <v>0</v>
      </c>
      <c r="E214" s="244"/>
      <c r="F214" s="244"/>
      <c r="G214" s="244"/>
      <c r="H214" s="232">
        <f t="shared" si="324"/>
        <v>0</v>
      </c>
      <c r="I214" s="233">
        <v>0</v>
      </c>
      <c r="J214" s="244"/>
      <c r="K214" s="244"/>
      <c r="L214" s="244"/>
      <c r="M214" s="232">
        <f t="shared" si="325"/>
        <v>0</v>
      </c>
      <c r="N214" s="233">
        <v>0</v>
      </c>
      <c r="O214" s="244"/>
      <c r="P214" s="244"/>
      <c r="Q214" s="244"/>
      <c r="R214" s="232">
        <f t="shared" si="326"/>
        <v>0</v>
      </c>
    </row>
    <row r="215" spans="1:18" s="29" customFormat="1" ht="12" hidden="1" customHeight="1">
      <c r="A215" s="132">
        <v>7700</v>
      </c>
      <c r="B215" s="126" t="s">
        <v>114</v>
      </c>
      <c r="C215" s="170"/>
      <c r="D215" s="176">
        <v>0</v>
      </c>
      <c r="E215" s="244"/>
      <c r="F215" s="244"/>
      <c r="G215" s="244"/>
      <c r="H215" s="232">
        <f t="shared" si="324"/>
        <v>0</v>
      </c>
      <c r="I215" s="233">
        <v>0</v>
      </c>
      <c r="J215" s="244"/>
      <c r="K215" s="244"/>
      <c r="L215" s="244"/>
      <c r="M215" s="232">
        <f t="shared" si="325"/>
        <v>0</v>
      </c>
      <c r="N215" s="233">
        <v>0</v>
      </c>
      <c r="O215" s="244"/>
      <c r="P215" s="244"/>
      <c r="Q215" s="244"/>
      <c r="R215" s="232">
        <f t="shared" si="326"/>
        <v>0</v>
      </c>
    </row>
    <row r="216" spans="1:18" s="29" customFormat="1" ht="21" hidden="1" customHeight="1">
      <c r="A216" s="140" t="s">
        <v>185</v>
      </c>
      <c r="B216" s="124" t="s">
        <v>115</v>
      </c>
      <c r="C216" s="170">
        <v>0</v>
      </c>
      <c r="D216" s="171">
        <v>0</v>
      </c>
      <c r="E216" s="233">
        <f t="shared" ref="E216:G216" si="357">E217+E223+E227+E230</f>
        <v>0</v>
      </c>
      <c r="F216" s="233">
        <f t="shared" ref="F216" si="358">F217+F223+F227+F230</f>
        <v>0</v>
      </c>
      <c r="G216" s="233">
        <f t="shared" si="357"/>
        <v>0</v>
      </c>
      <c r="H216" s="232">
        <f t="shared" si="324"/>
        <v>0</v>
      </c>
      <c r="I216" s="233">
        <v>0</v>
      </c>
      <c r="J216" s="233">
        <f t="shared" ref="J216:L216" si="359">J217+J223+J227+J230</f>
        <v>0</v>
      </c>
      <c r="K216" s="233">
        <f t="shared" ref="K216" si="360">K217+K223+K227+K230</f>
        <v>0</v>
      </c>
      <c r="L216" s="233">
        <f t="shared" si="359"/>
        <v>0</v>
      </c>
      <c r="M216" s="232">
        <f t="shared" si="325"/>
        <v>0</v>
      </c>
      <c r="N216" s="233">
        <v>0</v>
      </c>
      <c r="O216" s="233">
        <f t="shared" ref="O216:Q216" si="361">O217+O223+O227+O230</f>
        <v>0</v>
      </c>
      <c r="P216" s="233">
        <f t="shared" ref="P216" si="362">P217+P223+P227+P230</f>
        <v>0</v>
      </c>
      <c r="Q216" s="233">
        <f t="shared" si="361"/>
        <v>0</v>
      </c>
      <c r="R216" s="232">
        <f t="shared" si="326"/>
        <v>0</v>
      </c>
    </row>
    <row r="217" spans="1:18" s="29" customFormat="1" ht="12" hidden="1" customHeight="1">
      <c r="A217" s="132">
        <v>7100</v>
      </c>
      <c r="B217" s="179" t="s">
        <v>116</v>
      </c>
      <c r="C217" s="170">
        <v>0</v>
      </c>
      <c r="D217" s="171">
        <v>0</v>
      </c>
      <c r="E217" s="233">
        <f t="shared" ref="E217:G217" si="363">E218+E219</f>
        <v>0</v>
      </c>
      <c r="F217" s="233">
        <f t="shared" ref="F217" si="364">F218+F219</f>
        <v>0</v>
      </c>
      <c r="G217" s="233">
        <f t="shared" si="363"/>
        <v>0</v>
      </c>
      <c r="H217" s="232">
        <f t="shared" si="324"/>
        <v>0</v>
      </c>
      <c r="I217" s="233">
        <v>0</v>
      </c>
      <c r="J217" s="233">
        <f t="shared" ref="J217:L217" si="365">J218+J219</f>
        <v>0</v>
      </c>
      <c r="K217" s="233">
        <f t="shared" ref="K217" si="366">K218+K219</f>
        <v>0</v>
      </c>
      <c r="L217" s="233">
        <f t="shared" si="365"/>
        <v>0</v>
      </c>
      <c r="M217" s="232">
        <f t="shared" si="325"/>
        <v>0</v>
      </c>
      <c r="N217" s="233">
        <v>0</v>
      </c>
      <c r="O217" s="233">
        <f t="shared" ref="O217:Q217" si="367">O218+O219</f>
        <v>0</v>
      </c>
      <c r="P217" s="233">
        <f t="shared" ref="P217" si="368">P218+P219</f>
        <v>0</v>
      </c>
      <c r="Q217" s="233">
        <f t="shared" si="367"/>
        <v>0</v>
      </c>
      <c r="R217" s="232">
        <f t="shared" si="326"/>
        <v>0</v>
      </c>
    </row>
    <row r="218" spans="1:18" s="29" customFormat="1" ht="24" hidden="1" customHeight="1">
      <c r="A218" s="133" t="s">
        <v>117</v>
      </c>
      <c r="B218" s="179" t="s">
        <v>118</v>
      </c>
      <c r="C218" s="170"/>
      <c r="D218" s="171">
        <v>0</v>
      </c>
      <c r="E218" s="233"/>
      <c r="F218" s="233"/>
      <c r="G218" s="233"/>
      <c r="H218" s="232">
        <f t="shared" si="324"/>
        <v>0</v>
      </c>
      <c r="I218" s="233">
        <v>0</v>
      </c>
      <c r="J218" s="233"/>
      <c r="K218" s="233"/>
      <c r="L218" s="233"/>
      <c r="M218" s="232">
        <f t="shared" si="325"/>
        <v>0</v>
      </c>
      <c r="N218" s="233">
        <v>0</v>
      </c>
      <c r="O218" s="233"/>
      <c r="P218" s="233"/>
      <c r="Q218" s="233"/>
      <c r="R218" s="232">
        <f t="shared" si="326"/>
        <v>0</v>
      </c>
    </row>
    <row r="219" spans="1:18" s="29" customFormat="1" ht="24" hidden="1" customHeight="1">
      <c r="A219" s="133">
        <v>7130</v>
      </c>
      <c r="B219" s="179" t="s">
        <v>119</v>
      </c>
      <c r="C219" s="170">
        <v>0</v>
      </c>
      <c r="D219" s="171">
        <v>0</v>
      </c>
      <c r="E219" s="233">
        <f t="shared" ref="E219:G219" si="369">SUM(E220:E222)</f>
        <v>0</v>
      </c>
      <c r="F219" s="233">
        <f t="shared" ref="F219" si="370">SUM(F220:F222)</f>
        <v>0</v>
      </c>
      <c r="G219" s="233">
        <f t="shared" si="369"/>
        <v>0</v>
      </c>
      <c r="H219" s="232">
        <f t="shared" si="324"/>
        <v>0</v>
      </c>
      <c r="I219" s="233">
        <v>0</v>
      </c>
      <c r="J219" s="233">
        <f t="shared" ref="J219:L219" si="371">SUM(J220:J222)</f>
        <v>0</v>
      </c>
      <c r="K219" s="233">
        <f t="shared" ref="K219" si="372">SUM(K220:K222)</f>
        <v>0</v>
      </c>
      <c r="L219" s="233">
        <f t="shared" si="371"/>
        <v>0</v>
      </c>
      <c r="M219" s="232">
        <f t="shared" si="325"/>
        <v>0</v>
      </c>
      <c r="N219" s="233">
        <v>0</v>
      </c>
      <c r="O219" s="233">
        <f t="shared" ref="O219:Q219" si="373">SUM(O220:O222)</f>
        <v>0</v>
      </c>
      <c r="P219" s="233">
        <f t="shared" ref="P219" si="374">SUM(P220:P222)</f>
        <v>0</v>
      </c>
      <c r="Q219" s="233">
        <f t="shared" si="373"/>
        <v>0</v>
      </c>
      <c r="R219" s="232">
        <f t="shared" si="326"/>
        <v>0</v>
      </c>
    </row>
    <row r="220" spans="1:18" s="29" customFormat="1" ht="36" hidden="1" customHeight="1">
      <c r="A220" s="134">
        <v>7131</v>
      </c>
      <c r="B220" s="179" t="s">
        <v>120</v>
      </c>
      <c r="C220" s="170"/>
      <c r="D220" s="171">
        <v>0</v>
      </c>
      <c r="E220" s="233"/>
      <c r="F220" s="233"/>
      <c r="G220" s="233"/>
      <c r="H220" s="232">
        <f t="shared" si="324"/>
        <v>0</v>
      </c>
      <c r="I220" s="233">
        <v>0</v>
      </c>
      <c r="J220" s="233"/>
      <c r="K220" s="233"/>
      <c r="L220" s="233"/>
      <c r="M220" s="232">
        <f t="shared" si="325"/>
        <v>0</v>
      </c>
      <c r="N220" s="233">
        <v>0</v>
      </c>
      <c r="O220" s="233"/>
      <c r="P220" s="233"/>
      <c r="Q220" s="233"/>
      <c r="R220" s="232">
        <f t="shared" si="326"/>
        <v>0</v>
      </c>
    </row>
    <row r="221" spans="1:18" s="29" customFormat="1" ht="36" hidden="1" customHeight="1">
      <c r="A221" s="134">
        <v>7132</v>
      </c>
      <c r="B221" s="179" t="s">
        <v>121</v>
      </c>
      <c r="C221" s="170"/>
      <c r="D221" s="171">
        <v>0</v>
      </c>
      <c r="E221" s="233"/>
      <c r="F221" s="233"/>
      <c r="G221" s="233"/>
      <c r="H221" s="232">
        <f t="shared" si="324"/>
        <v>0</v>
      </c>
      <c r="I221" s="233">
        <v>0</v>
      </c>
      <c r="J221" s="233"/>
      <c r="K221" s="233"/>
      <c r="L221" s="233"/>
      <c r="M221" s="232">
        <f t="shared" si="325"/>
        <v>0</v>
      </c>
      <c r="N221" s="233">
        <v>0</v>
      </c>
      <c r="O221" s="233"/>
      <c r="P221" s="233"/>
      <c r="Q221" s="233"/>
      <c r="R221" s="232">
        <f t="shared" si="326"/>
        <v>0</v>
      </c>
    </row>
    <row r="222" spans="1:18" s="29" customFormat="1" ht="36" hidden="1" customHeight="1">
      <c r="A222" s="134" t="s">
        <v>186</v>
      </c>
      <c r="B222" s="179" t="s">
        <v>187</v>
      </c>
      <c r="C222" s="170"/>
      <c r="D222" s="171">
        <v>0</v>
      </c>
      <c r="E222" s="233"/>
      <c r="F222" s="233"/>
      <c r="G222" s="233"/>
      <c r="H222" s="232">
        <f t="shared" si="324"/>
        <v>0</v>
      </c>
      <c r="I222" s="233">
        <v>0</v>
      </c>
      <c r="J222" s="233"/>
      <c r="K222" s="233"/>
      <c r="L222" s="233"/>
      <c r="M222" s="232">
        <f t="shared" si="325"/>
        <v>0</v>
      </c>
      <c r="N222" s="233">
        <v>0</v>
      </c>
      <c r="O222" s="233"/>
      <c r="P222" s="233"/>
      <c r="Q222" s="233"/>
      <c r="R222" s="232">
        <f t="shared" si="326"/>
        <v>0</v>
      </c>
    </row>
    <row r="223" spans="1:18" s="29" customFormat="1" ht="24" hidden="1" customHeight="1">
      <c r="A223" s="132">
        <v>7300</v>
      </c>
      <c r="B223" s="172" t="s">
        <v>155</v>
      </c>
      <c r="C223" s="170">
        <v>0</v>
      </c>
      <c r="D223" s="171">
        <v>0</v>
      </c>
      <c r="E223" s="233">
        <f t="shared" ref="E223:G223" si="375">SUM(E224:E226)</f>
        <v>0</v>
      </c>
      <c r="F223" s="233">
        <f t="shared" ref="F223" si="376">SUM(F224:F226)</f>
        <v>0</v>
      </c>
      <c r="G223" s="233">
        <f t="shared" si="375"/>
        <v>0</v>
      </c>
      <c r="H223" s="232">
        <f t="shared" si="324"/>
        <v>0</v>
      </c>
      <c r="I223" s="233">
        <v>0</v>
      </c>
      <c r="J223" s="233">
        <f t="shared" ref="J223:L223" si="377">SUM(J224:J226)</f>
        <v>0</v>
      </c>
      <c r="K223" s="233">
        <f t="shared" ref="K223" si="378">SUM(K224:K226)</f>
        <v>0</v>
      </c>
      <c r="L223" s="233">
        <f t="shared" si="377"/>
        <v>0</v>
      </c>
      <c r="M223" s="232">
        <f t="shared" si="325"/>
        <v>0</v>
      </c>
      <c r="N223" s="233">
        <v>0</v>
      </c>
      <c r="O223" s="233">
        <f t="shared" ref="O223:Q223" si="379">SUM(O224:O226)</f>
        <v>0</v>
      </c>
      <c r="P223" s="233">
        <f t="shared" ref="P223" si="380">SUM(P224:P226)</f>
        <v>0</v>
      </c>
      <c r="Q223" s="233">
        <f t="shared" si="379"/>
        <v>0</v>
      </c>
      <c r="R223" s="232">
        <f t="shared" si="326"/>
        <v>0</v>
      </c>
    </row>
    <row r="224" spans="1:18" s="29" customFormat="1" ht="24" hidden="1" customHeight="1">
      <c r="A224" s="133" t="s">
        <v>188</v>
      </c>
      <c r="B224" s="179" t="s">
        <v>170</v>
      </c>
      <c r="C224" s="204"/>
      <c r="D224" s="180">
        <v>0</v>
      </c>
      <c r="E224" s="252"/>
      <c r="F224" s="252"/>
      <c r="G224" s="252"/>
      <c r="H224" s="232">
        <f t="shared" si="324"/>
        <v>0</v>
      </c>
      <c r="I224" s="252">
        <v>0</v>
      </c>
      <c r="J224" s="252"/>
      <c r="K224" s="252"/>
      <c r="L224" s="252"/>
      <c r="M224" s="232">
        <f t="shared" si="325"/>
        <v>0</v>
      </c>
      <c r="N224" s="252">
        <v>0</v>
      </c>
      <c r="O224" s="252"/>
      <c r="P224" s="252"/>
      <c r="Q224" s="252"/>
      <c r="R224" s="232">
        <f t="shared" si="326"/>
        <v>0</v>
      </c>
    </row>
    <row r="225" spans="1:18" s="29" customFormat="1" ht="48" hidden="1" customHeight="1">
      <c r="A225" s="133" t="s">
        <v>189</v>
      </c>
      <c r="B225" s="179" t="s">
        <v>156</v>
      </c>
      <c r="C225" s="204"/>
      <c r="D225" s="180">
        <v>0</v>
      </c>
      <c r="E225" s="252"/>
      <c r="F225" s="252"/>
      <c r="G225" s="252"/>
      <c r="H225" s="232">
        <f t="shared" si="324"/>
        <v>0</v>
      </c>
      <c r="I225" s="252">
        <v>0</v>
      </c>
      <c r="J225" s="252"/>
      <c r="K225" s="252"/>
      <c r="L225" s="252"/>
      <c r="M225" s="232">
        <f t="shared" si="325"/>
        <v>0</v>
      </c>
      <c r="N225" s="252">
        <v>0</v>
      </c>
      <c r="O225" s="252"/>
      <c r="P225" s="252"/>
      <c r="Q225" s="252"/>
      <c r="R225" s="232">
        <f t="shared" si="326"/>
        <v>0</v>
      </c>
    </row>
    <row r="226" spans="1:18" s="29" customFormat="1" ht="36" hidden="1" customHeight="1">
      <c r="A226" s="133">
        <v>7350</v>
      </c>
      <c r="B226" s="179" t="s">
        <v>163</v>
      </c>
      <c r="C226" s="204"/>
      <c r="D226" s="180">
        <v>0</v>
      </c>
      <c r="E226" s="252"/>
      <c r="F226" s="252"/>
      <c r="G226" s="252"/>
      <c r="H226" s="232">
        <f t="shared" si="324"/>
        <v>0</v>
      </c>
      <c r="I226" s="252">
        <v>0</v>
      </c>
      <c r="J226" s="252"/>
      <c r="K226" s="252"/>
      <c r="L226" s="252"/>
      <c r="M226" s="232">
        <f t="shared" si="325"/>
        <v>0</v>
      </c>
      <c r="N226" s="252">
        <v>0</v>
      </c>
      <c r="O226" s="252"/>
      <c r="P226" s="252"/>
      <c r="Q226" s="252"/>
      <c r="R226" s="232">
        <f t="shared" si="326"/>
        <v>0</v>
      </c>
    </row>
    <row r="227" spans="1:18" s="29" customFormat="1" ht="24" hidden="1" customHeight="1">
      <c r="A227" s="132">
        <v>7400</v>
      </c>
      <c r="B227" s="172" t="s">
        <v>161</v>
      </c>
      <c r="C227" s="170">
        <v>0</v>
      </c>
      <c r="D227" s="171">
        <v>0</v>
      </c>
      <c r="E227" s="233">
        <f t="shared" ref="E227:G227" si="381">SUM(E228:E229)</f>
        <v>0</v>
      </c>
      <c r="F227" s="233">
        <f t="shared" ref="F227" si="382">SUM(F228:F229)</f>
        <v>0</v>
      </c>
      <c r="G227" s="233">
        <f t="shared" si="381"/>
        <v>0</v>
      </c>
      <c r="H227" s="232">
        <f t="shared" si="324"/>
        <v>0</v>
      </c>
      <c r="I227" s="233">
        <v>0</v>
      </c>
      <c r="J227" s="233">
        <f t="shared" ref="J227:L227" si="383">SUM(J228:J229)</f>
        <v>0</v>
      </c>
      <c r="K227" s="233">
        <f t="shared" ref="K227" si="384">SUM(K228:K229)</f>
        <v>0</v>
      </c>
      <c r="L227" s="233">
        <f t="shared" si="383"/>
        <v>0</v>
      </c>
      <c r="M227" s="232">
        <f t="shared" si="325"/>
        <v>0</v>
      </c>
      <c r="N227" s="233">
        <v>0</v>
      </c>
      <c r="O227" s="233">
        <f t="shared" ref="O227:Q227" si="385">SUM(O228:O229)</f>
        <v>0</v>
      </c>
      <c r="P227" s="233">
        <f t="shared" ref="P227" si="386">SUM(P228:P229)</f>
        <v>0</v>
      </c>
      <c r="Q227" s="233">
        <f t="shared" si="385"/>
        <v>0</v>
      </c>
      <c r="R227" s="232">
        <f t="shared" si="326"/>
        <v>0</v>
      </c>
    </row>
    <row r="228" spans="1:18" s="29" customFormat="1" ht="24" hidden="1" customHeight="1">
      <c r="A228" s="133">
        <v>7460</v>
      </c>
      <c r="B228" s="172" t="s">
        <v>162</v>
      </c>
      <c r="C228" s="204"/>
      <c r="D228" s="180">
        <v>0</v>
      </c>
      <c r="E228" s="252"/>
      <c r="F228" s="252"/>
      <c r="G228" s="252"/>
      <c r="H228" s="232">
        <f t="shared" si="324"/>
        <v>0</v>
      </c>
      <c r="I228" s="252">
        <v>0</v>
      </c>
      <c r="J228" s="252"/>
      <c r="K228" s="252"/>
      <c r="L228" s="252"/>
      <c r="M228" s="232">
        <f t="shared" si="325"/>
        <v>0</v>
      </c>
      <c r="N228" s="252">
        <v>0</v>
      </c>
      <c r="O228" s="252"/>
      <c r="P228" s="252"/>
      <c r="Q228" s="252"/>
      <c r="R228" s="232">
        <f t="shared" si="326"/>
        <v>0</v>
      </c>
    </row>
    <row r="229" spans="1:18" s="29" customFormat="1" ht="48" hidden="1" customHeight="1">
      <c r="A229" s="133">
        <v>7470</v>
      </c>
      <c r="B229" s="179" t="s">
        <v>167</v>
      </c>
      <c r="C229" s="204"/>
      <c r="D229" s="180">
        <v>0</v>
      </c>
      <c r="E229" s="252"/>
      <c r="F229" s="252"/>
      <c r="G229" s="252"/>
      <c r="H229" s="232">
        <f t="shared" si="324"/>
        <v>0</v>
      </c>
      <c r="I229" s="252">
        <v>0</v>
      </c>
      <c r="J229" s="252"/>
      <c r="K229" s="252"/>
      <c r="L229" s="252"/>
      <c r="M229" s="232">
        <f t="shared" si="325"/>
        <v>0</v>
      </c>
      <c r="N229" s="252">
        <v>0</v>
      </c>
      <c r="O229" s="252"/>
      <c r="P229" s="252"/>
      <c r="Q229" s="252"/>
      <c r="R229" s="232">
        <f t="shared" si="326"/>
        <v>0</v>
      </c>
    </row>
    <row r="230" spans="1:18" s="29" customFormat="1" ht="24" hidden="1" customHeight="1">
      <c r="A230" s="132">
        <v>7500</v>
      </c>
      <c r="B230" s="179" t="s">
        <v>157</v>
      </c>
      <c r="C230" s="170"/>
      <c r="D230" s="171">
        <v>0</v>
      </c>
      <c r="E230" s="233"/>
      <c r="F230" s="233"/>
      <c r="G230" s="233"/>
      <c r="H230" s="232">
        <f t="shared" si="324"/>
        <v>0</v>
      </c>
      <c r="I230" s="233">
        <v>0</v>
      </c>
      <c r="J230" s="233"/>
      <c r="K230" s="233"/>
      <c r="L230" s="233"/>
      <c r="M230" s="232">
        <f t="shared" si="325"/>
        <v>0</v>
      </c>
      <c r="N230" s="233">
        <v>0</v>
      </c>
      <c r="O230" s="233"/>
      <c r="P230" s="233"/>
      <c r="Q230" s="233"/>
      <c r="R230" s="232">
        <f t="shared" si="326"/>
        <v>0</v>
      </c>
    </row>
    <row r="231" spans="1:18" s="29" customFormat="1" ht="12" hidden="1" customHeight="1">
      <c r="A231" s="140" t="s">
        <v>133</v>
      </c>
      <c r="B231" s="124" t="s">
        <v>122</v>
      </c>
      <c r="C231" s="205">
        <v>0</v>
      </c>
      <c r="D231" s="181">
        <v>0</v>
      </c>
      <c r="E231" s="254">
        <f t="shared" ref="E231:G231" si="387">E232+E233</f>
        <v>0</v>
      </c>
      <c r="F231" s="254">
        <f t="shared" ref="F231" si="388">F232+F233</f>
        <v>0</v>
      </c>
      <c r="G231" s="254">
        <f t="shared" si="387"/>
        <v>0</v>
      </c>
      <c r="H231" s="232">
        <f t="shared" si="324"/>
        <v>0</v>
      </c>
      <c r="I231" s="254">
        <v>0</v>
      </c>
      <c r="J231" s="254">
        <f t="shared" ref="J231:L231" si="389">J232+J233</f>
        <v>0</v>
      </c>
      <c r="K231" s="254">
        <f t="shared" ref="K231" si="390">K232+K233</f>
        <v>0</v>
      </c>
      <c r="L231" s="254">
        <f t="shared" si="389"/>
        <v>0</v>
      </c>
      <c r="M231" s="232">
        <f t="shared" si="325"/>
        <v>0</v>
      </c>
      <c r="N231" s="254">
        <v>0</v>
      </c>
      <c r="O231" s="254">
        <f t="shared" ref="O231:Q231" si="391">O232+O233</f>
        <v>0</v>
      </c>
      <c r="P231" s="254">
        <f t="shared" ref="P231" si="392">P232+P233</f>
        <v>0</v>
      </c>
      <c r="Q231" s="254">
        <f t="shared" si="391"/>
        <v>0</v>
      </c>
      <c r="R231" s="232">
        <f t="shared" si="326"/>
        <v>0</v>
      </c>
    </row>
    <row r="232" spans="1:18" s="29" customFormat="1" ht="12" hidden="1" customHeight="1">
      <c r="A232" s="140">
        <v>5000</v>
      </c>
      <c r="B232" s="124" t="s">
        <v>123</v>
      </c>
      <c r="C232" s="170"/>
      <c r="D232" s="176">
        <v>0</v>
      </c>
      <c r="E232" s="244"/>
      <c r="F232" s="244"/>
      <c r="G232" s="244"/>
      <c r="H232" s="232">
        <f t="shared" si="324"/>
        <v>0</v>
      </c>
      <c r="I232" s="233">
        <v>0</v>
      </c>
      <c r="J232" s="244"/>
      <c r="K232" s="244"/>
      <c r="L232" s="244"/>
      <c r="M232" s="232">
        <f t="shared" si="325"/>
        <v>0</v>
      </c>
      <c r="N232" s="233">
        <v>0</v>
      </c>
      <c r="O232" s="244"/>
      <c r="P232" s="244"/>
      <c r="Q232" s="244"/>
      <c r="R232" s="232">
        <f t="shared" si="326"/>
        <v>0</v>
      </c>
    </row>
    <row r="233" spans="1:18" s="29" customFormat="1" ht="12" hidden="1" customHeight="1">
      <c r="A233" s="140">
        <v>9000</v>
      </c>
      <c r="B233" s="182" t="s">
        <v>164</v>
      </c>
      <c r="C233" s="170">
        <v>0</v>
      </c>
      <c r="D233" s="171">
        <v>0</v>
      </c>
      <c r="E233" s="233">
        <f t="shared" ref="E233:G233" si="393">E234+E240+E244+E247</f>
        <v>0</v>
      </c>
      <c r="F233" s="233">
        <f t="shared" ref="F233" si="394">F234+F240+F244+F247</f>
        <v>0</v>
      </c>
      <c r="G233" s="233">
        <f t="shared" si="393"/>
        <v>0</v>
      </c>
      <c r="H233" s="232">
        <f t="shared" si="324"/>
        <v>0</v>
      </c>
      <c r="I233" s="233">
        <v>0</v>
      </c>
      <c r="J233" s="233">
        <f t="shared" ref="J233:L233" si="395">J234+J240+J244+J247</f>
        <v>0</v>
      </c>
      <c r="K233" s="233">
        <f t="shared" ref="K233" si="396">K234+K240+K244+K247</f>
        <v>0</v>
      </c>
      <c r="L233" s="233">
        <f t="shared" si="395"/>
        <v>0</v>
      </c>
      <c r="M233" s="232">
        <f t="shared" si="325"/>
        <v>0</v>
      </c>
      <c r="N233" s="233">
        <v>0</v>
      </c>
      <c r="O233" s="233">
        <f t="shared" ref="O233:Q233" si="397">O234+O240+O244+O247</f>
        <v>0</v>
      </c>
      <c r="P233" s="233">
        <f t="shared" ref="P233" si="398">P234+P240+P244+P247</f>
        <v>0</v>
      </c>
      <c r="Q233" s="233">
        <f t="shared" si="397"/>
        <v>0</v>
      </c>
      <c r="R233" s="232">
        <f t="shared" si="326"/>
        <v>0</v>
      </c>
    </row>
    <row r="234" spans="1:18" s="29" customFormat="1" ht="12" hidden="1" customHeight="1">
      <c r="A234" s="141">
        <v>9100</v>
      </c>
      <c r="B234" s="179" t="s">
        <v>124</v>
      </c>
      <c r="C234" s="170">
        <v>0</v>
      </c>
      <c r="D234" s="171">
        <v>0</v>
      </c>
      <c r="E234" s="233">
        <f t="shared" ref="E234:G234" si="399">SUM(E235:E236)</f>
        <v>0</v>
      </c>
      <c r="F234" s="233">
        <f t="shared" ref="F234" si="400">SUM(F235:F236)</f>
        <v>0</v>
      </c>
      <c r="G234" s="233">
        <f t="shared" si="399"/>
        <v>0</v>
      </c>
      <c r="H234" s="232">
        <f t="shared" si="324"/>
        <v>0</v>
      </c>
      <c r="I234" s="233">
        <v>0</v>
      </c>
      <c r="J234" s="233">
        <f t="shared" ref="J234:L234" si="401">SUM(J235:J236)</f>
        <v>0</v>
      </c>
      <c r="K234" s="233">
        <f t="shared" ref="K234" si="402">SUM(K235:K236)</f>
        <v>0</v>
      </c>
      <c r="L234" s="233">
        <f t="shared" si="401"/>
        <v>0</v>
      </c>
      <c r="M234" s="232">
        <f t="shared" si="325"/>
        <v>0</v>
      </c>
      <c r="N234" s="233">
        <v>0</v>
      </c>
      <c r="O234" s="233">
        <f t="shared" ref="O234:Q234" si="403">SUM(O235:O236)</f>
        <v>0</v>
      </c>
      <c r="P234" s="233">
        <f t="shared" ref="P234" si="404">SUM(P235:P236)</f>
        <v>0</v>
      </c>
      <c r="Q234" s="233">
        <f t="shared" si="403"/>
        <v>0</v>
      </c>
      <c r="R234" s="232">
        <f t="shared" si="326"/>
        <v>0</v>
      </c>
    </row>
    <row r="235" spans="1:18" s="29" customFormat="1" ht="24" hidden="1" customHeight="1">
      <c r="A235" s="133" t="s">
        <v>125</v>
      </c>
      <c r="B235" s="179" t="s">
        <v>214</v>
      </c>
      <c r="C235" s="170"/>
      <c r="D235" s="171">
        <v>0</v>
      </c>
      <c r="E235" s="233"/>
      <c r="F235" s="233"/>
      <c r="G235" s="233"/>
      <c r="H235" s="232">
        <f t="shared" si="324"/>
        <v>0</v>
      </c>
      <c r="I235" s="233">
        <v>0</v>
      </c>
      <c r="J235" s="233"/>
      <c r="K235" s="233"/>
      <c r="L235" s="233"/>
      <c r="M235" s="232">
        <f t="shared" si="325"/>
        <v>0</v>
      </c>
      <c r="N235" s="233">
        <v>0</v>
      </c>
      <c r="O235" s="233"/>
      <c r="P235" s="233"/>
      <c r="Q235" s="233"/>
      <c r="R235" s="232">
        <f t="shared" si="326"/>
        <v>0</v>
      </c>
    </row>
    <row r="236" spans="1:18" s="29" customFormat="1" ht="24" hidden="1" customHeight="1">
      <c r="A236" s="133">
        <v>9140</v>
      </c>
      <c r="B236" s="179" t="s">
        <v>215</v>
      </c>
      <c r="C236" s="170">
        <v>0</v>
      </c>
      <c r="D236" s="171">
        <v>0</v>
      </c>
      <c r="E236" s="233">
        <f t="shared" ref="E236:G236" si="405">SUM(E237:E239)</f>
        <v>0</v>
      </c>
      <c r="F236" s="233">
        <f t="shared" ref="F236" si="406">SUM(F237:F239)</f>
        <v>0</v>
      </c>
      <c r="G236" s="233">
        <f t="shared" si="405"/>
        <v>0</v>
      </c>
      <c r="H236" s="232">
        <f t="shared" si="324"/>
        <v>0</v>
      </c>
      <c r="I236" s="233">
        <v>0</v>
      </c>
      <c r="J236" s="233">
        <f t="shared" ref="J236:L236" si="407">SUM(J237:J239)</f>
        <v>0</v>
      </c>
      <c r="K236" s="233">
        <f t="shared" ref="K236" si="408">SUM(K237:K239)</f>
        <v>0</v>
      </c>
      <c r="L236" s="233">
        <f t="shared" si="407"/>
        <v>0</v>
      </c>
      <c r="M236" s="232">
        <f t="shared" si="325"/>
        <v>0</v>
      </c>
      <c r="N236" s="233">
        <v>0</v>
      </c>
      <c r="O236" s="233">
        <f t="shared" ref="O236:Q236" si="409">SUM(O237:O239)</f>
        <v>0</v>
      </c>
      <c r="P236" s="233">
        <f t="shared" ref="P236" si="410">SUM(P237:P239)</f>
        <v>0</v>
      </c>
      <c r="Q236" s="233">
        <f t="shared" si="409"/>
        <v>0</v>
      </c>
      <c r="R236" s="232">
        <f t="shared" si="326"/>
        <v>0</v>
      </c>
    </row>
    <row r="237" spans="1:18" s="29" customFormat="1" ht="36" hidden="1" customHeight="1">
      <c r="A237" s="134">
        <v>9141</v>
      </c>
      <c r="B237" s="172" t="s">
        <v>190</v>
      </c>
      <c r="C237" s="204"/>
      <c r="D237" s="180">
        <v>0</v>
      </c>
      <c r="E237" s="252"/>
      <c r="F237" s="252"/>
      <c r="G237" s="252"/>
      <c r="H237" s="232">
        <f t="shared" si="324"/>
        <v>0</v>
      </c>
      <c r="I237" s="252">
        <v>0</v>
      </c>
      <c r="J237" s="252"/>
      <c r="K237" s="252"/>
      <c r="L237" s="252"/>
      <c r="M237" s="232">
        <f t="shared" si="325"/>
        <v>0</v>
      </c>
      <c r="N237" s="252">
        <v>0</v>
      </c>
      <c r="O237" s="252"/>
      <c r="P237" s="252"/>
      <c r="Q237" s="252"/>
      <c r="R237" s="232">
        <f t="shared" si="326"/>
        <v>0</v>
      </c>
    </row>
    <row r="238" spans="1:18" s="29" customFormat="1" ht="36" hidden="1" customHeight="1">
      <c r="A238" s="134">
        <v>9142</v>
      </c>
      <c r="B238" s="172" t="s">
        <v>191</v>
      </c>
      <c r="C238" s="204"/>
      <c r="D238" s="180">
        <v>0</v>
      </c>
      <c r="E238" s="252"/>
      <c r="F238" s="252"/>
      <c r="G238" s="252"/>
      <c r="H238" s="232">
        <f t="shared" si="324"/>
        <v>0</v>
      </c>
      <c r="I238" s="252">
        <v>0</v>
      </c>
      <c r="J238" s="252"/>
      <c r="K238" s="252"/>
      <c r="L238" s="252"/>
      <c r="M238" s="232">
        <f t="shared" si="325"/>
        <v>0</v>
      </c>
      <c r="N238" s="252">
        <v>0</v>
      </c>
      <c r="O238" s="252"/>
      <c r="P238" s="252"/>
      <c r="Q238" s="252"/>
      <c r="R238" s="232">
        <f t="shared" si="326"/>
        <v>0</v>
      </c>
    </row>
    <row r="239" spans="1:18" s="29" customFormat="1" ht="24" hidden="1" customHeight="1">
      <c r="A239" s="134">
        <v>9149</v>
      </c>
      <c r="B239" s="172" t="s">
        <v>192</v>
      </c>
      <c r="C239" s="204"/>
      <c r="D239" s="180">
        <v>0</v>
      </c>
      <c r="E239" s="252"/>
      <c r="F239" s="252"/>
      <c r="G239" s="252"/>
      <c r="H239" s="232">
        <f t="shared" si="324"/>
        <v>0</v>
      </c>
      <c r="I239" s="252">
        <v>0</v>
      </c>
      <c r="J239" s="252"/>
      <c r="K239" s="252"/>
      <c r="L239" s="252"/>
      <c r="M239" s="232">
        <f t="shared" si="325"/>
        <v>0</v>
      </c>
      <c r="N239" s="252">
        <v>0</v>
      </c>
      <c r="O239" s="252"/>
      <c r="P239" s="252"/>
      <c r="Q239" s="252"/>
      <c r="R239" s="232">
        <f t="shared" si="326"/>
        <v>0</v>
      </c>
    </row>
    <row r="240" spans="1:18" s="29" customFormat="1" ht="24" hidden="1" customHeight="1">
      <c r="A240" s="141">
        <v>9500</v>
      </c>
      <c r="B240" s="172" t="s">
        <v>165</v>
      </c>
      <c r="C240" s="170">
        <v>0</v>
      </c>
      <c r="D240" s="171">
        <v>0</v>
      </c>
      <c r="E240" s="233">
        <f t="shared" ref="E240:G240" si="411">SUM(E241:E243)</f>
        <v>0</v>
      </c>
      <c r="F240" s="233">
        <f t="shared" ref="F240" si="412">SUM(F241:F243)</f>
        <v>0</v>
      </c>
      <c r="G240" s="233">
        <f t="shared" si="411"/>
        <v>0</v>
      </c>
      <c r="H240" s="232">
        <f t="shared" si="324"/>
        <v>0</v>
      </c>
      <c r="I240" s="233">
        <v>0</v>
      </c>
      <c r="J240" s="233">
        <f t="shared" ref="J240:L240" si="413">SUM(J241:J243)</f>
        <v>0</v>
      </c>
      <c r="K240" s="233">
        <f t="shared" ref="K240" si="414">SUM(K241:K243)</f>
        <v>0</v>
      </c>
      <c r="L240" s="233">
        <f t="shared" si="413"/>
        <v>0</v>
      </c>
      <c r="M240" s="232">
        <f t="shared" si="325"/>
        <v>0</v>
      </c>
      <c r="N240" s="233">
        <v>0</v>
      </c>
      <c r="O240" s="233">
        <f t="shared" ref="O240:Q240" si="415">SUM(O241:O243)</f>
        <v>0</v>
      </c>
      <c r="P240" s="233">
        <f t="shared" ref="P240" si="416">SUM(P241:P243)</f>
        <v>0</v>
      </c>
      <c r="Q240" s="233">
        <f t="shared" si="415"/>
        <v>0</v>
      </c>
      <c r="R240" s="232">
        <f t="shared" si="326"/>
        <v>0</v>
      </c>
    </row>
    <row r="241" spans="1:18" s="29" customFormat="1" ht="24" hidden="1" customHeight="1">
      <c r="A241" s="133" t="s">
        <v>193</v>
      </c>
      <c r="B241" s="172" t="s">
        <v>171</v>
      </c>
      <c r="C241" s="170"/>
      <c r="D241" s="171">
        <v>0</v>
      </c>
      <c r="E241" s="233"/>
      <c r="F241" s="233"/>
      <c r="G241" s="233"/>
      <c r="H241" s="232">
        <f t="shared" si="324"/>
        <v>0</v>
      </c>
      <c r="I241" s="233">
        <v>0</v>
      </c>
      <c r="J241" s="233"/>
      <c r="K241" s="233"/>
      <c r="L241" s="233"/>
      <c r="M241" s="232">
        <f t="shared" si="325"/>
        <v>0</v>
      </c>
      <c r="N241" s="233">
        <v>0</v>
      </c>
      <c r="O241" s="233"/>
      <c r="P241" s="233"/>
      <c r="Q241" s="233"/>
      <c r="R241" s="232">
        <f t="shared" si="326"/>
        <v>0</v>
      </c>
    </row>
    <row r="242" spans="1:18" s="29" customFormat="1" ht="48" hidden="1" customHeight="1">
      <c r="A242" s="133">
        <v>9580</v>
      </c>
      <c r="B242" s="172" t="s">
        <v>166</v>
      </c>
      <c r="C242" s="204"/>
      <c r="D242" s="180">
        <v>0</v>
      </c>
      <c r="E242" s="252"/>
      <c r="F242" s="252"/>
      <c r="G242" s="252"/>
      <c r="H242" s="232">
        <f t="shared" si="324"/>
        <v>0</v>
      </c>
      <c r="I242" s="252">
        <v>0</v>
      </c>
      <c r="J242" s="252"/>
      <c r="K242" s="252"/>
      <c r="L242" s="252"/>
      <c r="M242" s="232">
        <f t="shared" si="325"/>
        <v>0</v>
      </c>
      <c r="N242" s="252">
        <v>0</v>
      </c>
      <c r="O242" s="252"/>
      <c r="P242" s="252"/>
      <c r="Q242" s="252"/>
      <c r="R242" s="232">
        <f t="shared" si="326"/>
        <v>0</v>
      </c>
    </row>
    <row r="243" spans="1:18" s="29" customFormat="1" ht="48" hidden="1" customHeight="1">
      <c r="A243" s="133">
        <v>9590</v>
      </c>
      <c r="B243" s="179" t="s">
        <v>172</v>
      </c>
      <c r="C243" s="204"/>
      <c r="D243" s="180">
        <v>0</v>
      </c>
      <c r="E243" s="252"/>
      <c r="F243" s="252"/>
      <c r="G243" s="252"/>
      <c r="H243" s="232">
        <f t="shared" si="324"/>
        <v>0</v>
      </c>
      <c r="I243" s="252">
        <v>0</v>
      </c>
      <c r="J243" s="252"/>
      <c r="K243" s="252"/>
      <c r="L243" s="252"/>
      <c r="M243" s="232">
        <f t="shared" si="325"/>
        <v>0</v>
      </c>
      <c r="N243" s="252">
        <v>0</v>
      </c>
      <c r="O243" s="252"/>
      <c r="P243" s="252"/>
      <c r="Q243" s="252"/>
      <c r="R243" s="232">
        <f t="shared" si="326"/>
        <v>0</v>
      </c>
    </row>
    <row r="244" spans="1:18" s="29" customFormat="1" ht="24" hidden="1" customHeight="1">
      <c r="A244" s="141">
        <v>9700</v>
      </c>
      <c r="B244" s="183" t="s">
        <v>194</v>
      </c>
      <c r="C244" s="170">
        <v>0</v>
      </c>
      <c r="D244" s="171">
        <v>0</v>
      </c>
      <c r="E244" s="233">
        <f t="shared" ref="E244:G244" si="417">SUM(E245:E246)</f>
        <v>0</v>
      </c>
      <c r="F244" s="233">
        <f t="shared" ref="F244" si="418">SUM(F245:F246)</f>
        <v>0</v>
      </c>
      <c r="G244" s="233">
        <f t="shared" si="417"/>
        <v>0</v>
      </c>
      <c r="H244" s="232">
        <f t="shared" si="324"/>
        <v>0</v>
      </c>
      <c r="I244" s="233">
        <v>0</v>
      </c>
      <c r="J244" s="233">
        <f t="shared" ref="J244:L244" si="419">SUM(J245:J246)</f>
        <v>0</v>
      </c>
      <c r="K244" s="233">
        <f t="shared" ref="K244" si="420">SUM(K245:K246)</f>
        <v>0</v>
      </c>
      <c r="L244" s="233">
        <f t="shared" si="419"/>
        <v>0</v>
      </c>
      <c r="M244" s="232">
        <f t="shared" si="325"/>
        <v>0</v>
      </c>
      <c r="N244" s="233">
        <v>0</v>
      </c>
      <c r="O244" s="233">
        <f t="shared" ref="O244:Q244" si="421">SUM(O245:O246)</f>
        <v>0</v>
      </c>
      <c r="P244" s="233">
        <f t="shared" ref="P244" si="422">SUM(P245:P246)</f>
        <v>0</v>
      </c>
      <c r="Q244" s="233">
        <f t="shared" si="421"/>
        <v>0</v>
      </c>
      <c r="R244" s="232">
        <f t="shared" si="326"/>
        <v>0</v>
      </c>
    </row>
    <row r="245" spans="1:18" s="29" customFormat="1" ht="24" hidden="1" customHeight="1">
      <c r="A245" s="133">
        <v>9710</v>
      </c>
      <c r="B245" s="184" t="s">
        <v>195</v>
      </c>
      <c r="C245" s="204"/>
      <c r="D245" s="180">
        <v>0</v>
      </c>
      <c r="E245" s="252"/>
      <c r="F245" s="252"/>
      <c r="G245" s="252"/>
      <c r="H245" s="232">
        <f t="shared" si="324"/>
        <v>0</v>
      </c>
      <c r="I245" s="252">
        <v>0</v>
      </c>
      <c r="J245" s="252"/>
      <c r="K245" s="252"/>
      <c r="L245" s="252"/>
      <c r="M245" s="232">
        <f t="shared" si="325"/>
        <v>0</v>
      </c>
      <c r="N245" s="252">
        <v>0</v>
      </c>
      <c r="O245" s="252"/>
      <c r="P245" s="252"/>
      <c r="Q245" s="252"/>
      <c r="R245" s="232">
        <f t="shared" si="326"/>
        <v>0</v>
      </c>
    </row>
    <row r="246" spans="1:18" s="29" customFormat="1" ht="48" hidden="1" customHeight="1">
      <c r="A246" s="142">
        <v>9720</v>
      </c>
      <c r="B246" s="183" t="s">
        <v>196</v>
      </c>
      <c r="C246" s="204"/>
      <c r="D246" s="180">
        <v>0</v>
      </c>
      <c r="E246" s="252"/>
      <c r="F246" s="252"/>
      <c r="G246" s="252"/>
      <c r="H246" s="232">
        <f t="shared" si="324"/>
        <v>0</v>
      </c>
      <c r="I246" s="252">
        <v>0</v>
      </c>
      <c r="J246" s="252"/>
      <c r="K246" s="252"/>
      <c r="L246" s="252"/>
      <c r="M246" s="232">
        <f t="shared" si="325"/>
        <v>0</v>
      </c>
      <c r="N246" s="252">
        <v>0</v>
      </c>
      <c r="O246" s="252"/>
      <c r="P246" s="252"/>
      <c r="Q246" s="252"/>
      <c r="R246" s="232">
        <f t="shared" si="326"/>
        <v>0</v>
      </c>
    </row>
    <row r="247" spans="1:18" s="29" customFormat="1" ht="24" hidden="1" customHeight="1">
      <c r="A247" s="141">
        <v>9600</v>
      </c>
      <c r="B247" s="179" t="s">
        <v>134</v>
      </c>
      <c r="C247" s="204"/>
      <c r="D247" s="180">
        <v>0</v>
      </c>
      <c r="E247" s="252"/>
      <c r="F247" s="252"/>
      <c r="G247" s="252"/>
      <c r="H247" s="232">
        <f t="shared" si="324"/>
        <v>0</v>
      </c>
      <c r="I247" s="252">
        <v>0</v>
      </c>
      <c r="J247" s="252"/>
      <c r="K247" s="252"/>
      <c r="L247" s="252"/>
      <c r="M247" s="232">
        <f t="shared" si="325"/>
        <v>0</v>
      </c>
      <c r="N247" s="252">
        <v>0</v>
      </c>
      <c r="O247" s="252"/>
      <c r="P247" s="252"/>
      <c r="Q247" s="252"/>
      <c r="R247" s="232">
        <f t="shared" si="326"/>
        <v>0</v>
      </c>
    </row>
    <row r="248" spans="1:18" s="29" customFormat="1" ht="52.5" hidden="1" customHeight="1">
      <c r="A248" s="130" t="s">
        <v>197</v>
      </c>
      <c r="B248" s="185" t="s">
        <v>47</v>
      </c>
      <c r="C248" s="206"/>
      <c r="D248" s="186">
        <v>0</v>
      </c>
      <c r="E248" s="262">
        <f t="shared" ref="E248:G248" si="423">E178-E203</f>
        <v>0</v>
      </c>
      <c r="F248" s="262">
        <f t="shared" ref="F248" si="424">F178-F203</f>
        <v>0</v>
      </c>
      <c r="G248" s="262">
        <f t="shared" si="423"/>
        <v>0</v>
      </c>
      <c r="H248" s="232">
        <f t="shared" si="324"/>
        <v>0</v>
      </c>
      <c r="I248" s="262">
        <v>0</v>
      </c>
      <c r="J248" s="262">
        <f t="shared" ref="J248:L248" si="425">J178-J203</f>
        <v>0</v>
      </c>
      <c r="K248" s="262">
        <f t="shared" ref="K248" si="426">K178-K203</f>
        <v>0</v>
      </c>
      <c r="L248" s="262">
        <f t="shared" si="425"/>
        <v>0</v>
      </c>
      <c r="M248" s="232">
        <f t="shared" si="325"/>
        <v>0</v>
      </c>
      <c r="N248" s="262">
        <v>0</v>
      </c>
      <c r="O248" s="262">
        <f t="shared" ref="O248:Q248" si="427">O178-O203</f>
        <v>0</v>
      </c>
      <c r="P248" s="262">
        <f t="shared" ref="P248" si="428">P178-P203</f>
        <v>0</v>
      </c>
      <c r="Q248" s="262">
        <f t="shared" si="427"/>
        <v>0</v>
      </c>
      <c r="R248" s="232">
        <f t="shared" si="326"/>
        <v>0</v>
      </c>
    </row>
    <row r="249" spans="1:18" s="29" customFormat="1" ht="12" hidden="1" customHeight="1">
      <c r="A249" s="143" t="s">
        <v>48</v>
      </c>
      <c r="B249" s="185" t="s">
        <v>49</v>
      </c>
      <c r="C249" s="206">
        <v>0</v>
      </c>
      <c r="D249" s="186">
        <v>0</v>
      </c>
      <c r="E249" s="262">
        <f t="shared" ref="E249:G249" si="429">E250+E253+E257+E256</f>
        <v>0</v>
      </c>
      <c r="F249" s="262">
        <f t="shared" ref="F249" si="430">F250+F253+F257+F256</f>
        <v>0</v>
      </c>
      <c r="G249" s="262">
        <f t="shared" si="429"/>
        <v>0</v>
      </c>
      <c r="H249" s="232">
        <f t="shared" si="324"/>
        <v>0</v>
      </c>
      <c r="I249" s="262">
        <v>0</v>
      </c>
      <c r="J249" s="262">
        <f t="shared" ref="J249:L249" si="431">J250+J253+J257+J256</f>
        <v>0</v>
      </c>
      <c r="K249" s="262">
        <f t="shared" ref="K249" si="432">K250+K253+K257+K256</f>
        <v>0</v>
      </c>
      <c r="L249" s="262">
        <f t="shared" si="431"/>
        <v>0</v>
      </c>
      <c r="M249" s="232">
        <f t="shared" si="325"/>
        <v>0</v>
      </c>
      <c r="N249" s="262">
        <v>0</v>
      </c>
      <c r="O249" s="262">
        <f t="shared" ref="O249:Q249" si="433">O250+O253+O257+O256</f>
        <v>0</v>
      </c>
      <c r="P249" s="262">
        <f t="shared" ref="P249" si="434">P250+P253+P257+P256</f>
        <v>0</v>
      </c>
      <c r="Q249" s="262">
        <f t="shared" si="433"/>
        <v>0</v>
      </c>
      <c r="R249" s="232">
        <f t="shared" si="326"/>
        <v>0</v>
      </c>
    </row>
    <row r="250" spans="1:18" s="29" customFormat="1" ht="12" hidden="1" customHeight="1">
      <c r="A250" s="141" t="s">
        <v>50</v>
      </c>
      <c r="B250" s="179" t="s">
        <v>51</v>
      </c>
      <c r="C250" s="98">
        <v>0</v>
      </c>
      <c r="D250" s="169">
        <v>0</v>
      </c>
      <c r="E250" s="231">
        <f t="shared" ref="E250:G250" si="435">E251+E252</f>
        <v>0</v>
      </c>
      <c r="F250" s="231">
        <f t="shared" ref="F250" si="436">F251+F252</f>
        <v>0</v>
      </c>
      <c r="G250" s="231">
        <f t="shared" si="435"/>
        <v>0</v>
      </c>
      <c r="H250" s="232">
        <f t="shared" si="324"/>
        <v>0</v>
      </c>
      <c r="I250" s="231">
        <v>0</v>
      </c>
      <c r="J250" s="231">
        <f t="shared" ref="J250:L250" si="437">J251+J252</f>
        <v>0</v>
      </c>
      <c r="K250" s="231">
        <f t="shared" ref="K250" si="438">K251+K252</f>
        <v>0</v>
      </c>
      <c r="L250" s="231">
        <f t="shared" si="437"/>
        <v>0</v>
      </c>
      <c r="M250" s="232">
        <f t="shared" si="325"/>
        <v>0</v>
      </c>
      <c r="N250" s="231">
        <v>0</v>
      </c>
      <c r="O250" s="231">
        <f t="shared" ref="O250:Q250" si="439">O251+O252</f>
        <v>0</v>
      </c>
      <c r="P250" s="231">
        <f t="shared" ref="P250" si="440">P251+P252</f>
        <v>0</v>
      </c>
      <c r="Q250" s="231">
        <f t="shared" si="439"/>
        <v>0</v>
      </c>
      <c r="R250" s="232">
        <f t="shared" si="326"/>
        <v>0</v>
      </c>
    </row>
    <row r="251" spans="1:18" s="29" customFormat="1" ht="12" hidden="1" customHeight="1">
      <c r="A251" s="141" t="s">
        <v>52</v>
      </c>
      <c r="B251" s="179" t="s">
        <v>53</v>
      </c>
      <c r="C251" s="98"/>
      <c r="D251" s="169">
        <v>0</v>
      </c>
      <c r="E251" s="231"/>
      <c r="F251" s="231"/>
      <c r="G251" s="231"/>
      <c r="H251" s="232">
        <f t="shared" si="324"/>
        <v>0</v>
      </c>
      <c r="I251" s="231">
        <v>0</v>
      </c>
      <c r="J251" s="231"/>
      <c r="K251" s="231"/>
      <c r="L251" s="231"/>
      <c r="M251" s="232">
        <f t="shared" si="325"/>
        <v>0</v>
      </c>
      <c r="N251" s="231">
        <v>0</v>
      </c>
      <c r="O251" s="231"/>
      <c r="P251" s="231"/>
      <c r="Q251" s="231"/>
      <c r="R251" s="232">
        <f t="shared" si="326"/>
        <v>0</v>
      </c>
    </row>
    <row r="252" spans="1:18" s="29" customFormat="1" ht="12" hidden="1" customHeight="1">
      <c r="A252" s="141" t="s">
        <v>54</v>
      </c>
      <c r="B252" s="179" t="s">
        <v>55</v>
      </c>
      <c r="C252" s="98"/>
      <c r="D252" s="169">
        <v>0</v>
      </c>
      <c r="E252" s="231"/>
      <c r="F252" s="231"/>
      <c r="G252" s="231"/>
      <c r="H252" s="232">
        <f t="shared" si="324"/>
        <v>0</v>
      </c>
      <c r="I252" s="231">
        <v>0</v>
      </c>
      <c r="J252" s="231"/>
      <c r="K252" s="231"/>
      <c r="L252" s="231"/>
      <c r="M252" s="232">
        <f t="shared" si="325"/>
        <v>0</v>
      </c>
      <c r="N252" s="231">
        <v>0</v>
      </c>
      <c r="O252" s="231"/>
      <c r="P252" s="231"/>
      <c r="Q252" s="231"/>
      <c r="R252" s="232">
        <f t="shared" si="326"/>
        <v>0</v>
      </c>
    </row>
    <row r="253" spans="1:18" s="29" customFormat="1" ht="12" hidden="1" customHeight="1">
      <c r="A253" s="141" t="s">
        <v>56</v>
      </c>
      <c r="B253" s="179" t="s">
        <v>57</v>
      </c>
      <c r="C253" s="98">
        <v>0</v>
      </c>
      <c r="D253" s="169">
        <v>0</v>
      </c>
      <c r="E253" s="231">
        <f t="shared" ref="E253:G253" si="441">E254+E255</f>
        <v>0</v>
      </c>
      <c r="F253" s="231">
        <f t="shared" ref="F253" si="442">F254+F255</f>
        <v>0</v>
      </c>
      <c r="G253" s="231">
        <f t="shared" si="441"/>
        <v>0</v>
      </c>
      <c r="H253" s="232">
        <f t="shared" si="324"/>
        <v>0</v>
      </c>
      <c r="I253" s="231">
        <v>0</v>
      </c>
      <c r="J253" s="231">
        <f t="shared" ref="J253:L253" si="443">J254+J255</f>
        <v>0</v>
      </c>
      <c r="K253" s="231">
        <f t="shared" ref="K253" si="444">K254+K255</f>
        <v>0</v>
      </c>
      <c r="L253" s="231">
        <f t="shared" si="443"/>
        <v>0</v>
      </c>
      <c r="M253" s="232">
        <f t="shared" si="325"/>
        <v>0</v>
      </c>
      <c r="N253" s="231">
        <v>0</v>
      </c>
      <c r="O253" s="231">
        <f t="shared" ref="O253:Q253" si="445">O254+O255</f>
        <v>0</v>
      </c>
      <c r="P253" s="231">
        <f t="shared" ref="P253" si="446">P254+P255</f>
        <v>0</v>
      </c>
      <c r="Q253" s="231">
        <f t="shared" si="445"/>
        <v>0</v>
      </c>
      <c r="R253" s="232">
        <f t="shared" si="326"/>
        <v>0</v>
      </c>
    </row>
    <row r="254" spans="1:18" s="29" customFormat="1" ht="12" hidden="1" customHeight="1">
      <c r="A254" s="141" t="s">
        <v>58</v>
      </c>
      <c r="B254" s="179" t="s">
        <v>59</v>
      </c>
      <c r="C254" s="98"/>
      <c r="D254" s="169">
        <v>0</v>
      </c>
      <c r="E254" s="231"/>
      <c r="F254" s="231"/>
      <c r="G254" s="231"/>
      <c r="H254" s="232">
        <f t="shared" si="324"/>
        <v>0</v>
      </c>
      <c r="I254" s="231">
        <v>0</v>
      </c>
      <c r="J254" s="231"/>
      <c r="K254" s="231"/>
      <c r="L254" s="231"/>
      <c r="M254" s="232">
        <f t="shared" si="325"/>
        <v>0</v>
      </c>
      <c r="N254" s="231">
        <v>0</v>
      </c>
      <c r="O254" s="231"/>
      <c r="P254" s="231"/>
      <c r="Q254" s="231"/>
      <c r="R254" s="232">
        <f t="shared" si="326"/>
        <v>0</v>
      </c>
    </row>
    <row r="255" spans="1:18" s="29" customFormat="1" ht="12" hidden="1" customHeight="1">
      <c r="A255" s="141" t="s">
        <v>60</v>
      </c>
      <c r="B255" s="179" t="s">
        <v>61</v>
      </c>
      <c r="C255" s="98"/>
      <c r="D255" s="169">
        <v>0</v>
      </c>
      <c r="E255" s="231"/>
      <c r="F255" s="231"/>
      <c r="G255" s="231"/>
      <c r="H255" s="232">
        <f t="shared" si="324"/>
        <v>0</v>
      </c>
      <c r="I255" s="231">
        <v>0</v>
      </c>
      <c r="J255" s="231"/>
      <c r="K255" s="231"/>
      <c r="L255" s="231"/>
      <c r="M255" s="232">
        <f t="shared" si="325"/>
        <v>0</v>
      </c>
      <c r="N255" s="231">
        <v>0</v>
      </c>
      <c r="O255" s="231"/>
      <c r="P255" s="231"/>
      <c r="Q255" s="231"/>
      <c r="R255" s="232">
        <f t="shared" si="326"/>
        <v>0</v>
      </c>
    </row>
    <row r="256" spans="1:18" s="29" customFormat="1" ht="12" hidden="1" customHeight="1">
      <c r="A256" s="141" t="s">
        <v>198</v>
      </c>
      <c r="B256" s="187" t="s">
        <v>168</v>
      </c>
      <c r="C256" s="98"/>
      <c r="D256" s="169">
        <v>0</v>
      </c>
      <c r="E256" s="231"/>
      <c r="F256" s="231"/>
      <c r="G256" s="231"/>
      <c r="H256" s="232">
        <f t="shared" si="324"/>
        <v>0</v>
      </c>
      <c r="I256" s="231">
        <v>0</v>
      </c>
      <c r="J256" s="231"/>
      <c r="K256" s="231"/>
      <c r="L256" s="231"/>
      <c r="M256" s="232">
        <f t="shared" si="325"/>
        <v>0</v>
      </c>
      <c r="N256" s="231">
        <v>0</v>
      </c>
      <c r="O256" s="231"/>
      <c r="P256" s="231"/>
      <c r="Q256" s="231"/>
      <c r="R256" s="232">
        <f t="shared" si="326"/>
        <v>0</v>
      </c>
    </row>
    <row r="257" spans="1:18" s="29" customFormat="1" ht="12" hidden="1" customHeight="1">
      <c r="A257" s="144" t="s">
        <v>62</v>
      </c>
      <c r="B257" s="125" t="s">
        <v>63</v>
      </c>
      <c r="C257" s="170">
        <v>0</v>
      </c>
      <c r="D257" s="171">
        <v>0</v>
      </c>
      <c r="E257" s="233">
        <f t="shared" ref="E257:G257" si="447">E258+E259+E260</f>
        <v>0</v>
      </c>
      <c r="F257" s="233">
        <f t="shared" ref="F257" si="448">F258+F259+F260</f>
        <v>0</v>
      </c>
      <c r="G257" s="233">
        <f t="shared" si="447"/>
        <v>0</v>
      </c>
      <c r="H257" s="232">
        <f t="shared" si="324"/>
        <v>0</v>
      </c>
      <c r="I257" s="233">
        <v>0</v>
      </c>
      <c r="J257" s="233">
        <f t="shared" ref="J257:L257" si="449">J258+J259+J260</f>
        <v>0</v>
      </c>
      <c r="K257" s="233">
        <f t="shared" ref="K257" si="450">K258+K259+K260</f>
        <v>0</v>
      </c>
      <c r="L257" s="233">
        <f t="shared" si="449"/>
        <v>0</v>
      </c>
      <c r="M257" s="232">
        <f t="shared" si="325"/>
        <v>0</v>
      </c>
      <c r="N257" s="233">
        <v>0</v>
      </c>
      <c r="O257" s="233">
        <f t="shared" ref="O257:Q257" si="451">O258+O259+O260</f>
        <v>0</v>
      </c>
      <c r="P257" s="233">
        <f t="shared" ref="P257" si="452">P258+P259+P260</f>
        <v>0</v>
      </c>
      <c r="Q257" s="233">
        <f t="shared" si="451"/>
        <v>0</v>
      </c>
      <c r="R257" s="232">
        <f t="shared" si="326"/>
        <v>0</v>
      </c>
    </row>
    <row r="258" spans="1:18" s="29" customFormat="1" ht="36" hidden="1" customHeight="1">
      <c r="A258" s="144" t="s">
        <v>64</v>
      </c>
      <c r="B258" s="179" t="s">
        <v>65</v>
      </c>
      <c r="C258" s="98"/>
      <c r="D258" s="169">
        <v>0</v>
      </c>
      <c r="E258" s="231"/>
      <c r="F258" s="231"/>
      <c r="G258" s="231"/>
      <c r="H258" s="232">
        <f t="shared" si="324"/>
        <v>0</v>
      </c>
      <c r="I258" s="231">
        <v>0</v>
      </c>
      <c r="J258" s="231"/>
      <c r="K258" s="231"/>
      <c r="L258" s="231"/>
      <c r="M258" s="232">
        <f t="shared" si="325"/>
        <v>0</v>
      </c>
      <c r="N258" s="231">
        <v>0</v>
      </c>
      <c r="O258" s="231"/>
      <c r="P258" s="231"/>
      <c r="Q258" s="231"/>
      <c r="R258" s="232">
        <f t="shared" si="326"/>
        <v>0</v>
      </c>
    </row>
    <row r="259" spans="1:18" s="29" customFormat="1" ht="36" hidden="1" customHeight="1">
      <c r="A259" s="144" t="s">
        <v>66</v>
      </c>
      <c r="B259" s="179" t="s">
        <v>67</v>
      </c>
      <c r="C259" s="98"/>
      <c r="D259" s="169">
        <v>0</v>
      </c>
      <c r="E259" s="231"/>
      <c r="F259" s="231"/>
      <c r="G259" s="231"/>
      <c r="H259" s="232">
        <f t="shared" si="324"/>
        <v>0</v>
      </c>
      <c r="I259" s="231">
        <v>0</v>
      </c>
      <c r="J259" s="231"/>
      <c r="K259" s="231"/>
      <c r="L259" s="231"/>
      <c r="M259" s="232">
        <f t="shared" si="325"/>
        <v>0</v>
      </c>
      <c r="N259" s="231">
        <v>0</v>
      </c>
      <c r="O259" s="231"/>
      <c r="P259" s="231"/>
      <c r="Q259" s="231"/>
      <c r="R259" s="232">
        <f t="shared" si="326"/>
        <v>0</v>
      </c>
    </row>
    <row r="260" spans="1:18" s="29" customFormat="1" ht="24" hidden="1" customHeight="1">
      <c r="A260" s="144" t="s">
        <v>68</v>
      </c>
      <c r="B260" s="125" t="s">
        <v>69</v>
      </c>
      <c r="C260" s="98"/>
      <c r="D260" s="169">
        <v>0</v>
      </c>
      <c r="E260" s="231"/>
      <c r="F260" s="231"/>
      <c r="G260" s="231"/>
      <c r="H260" s="232">
        <f t="shared" si="324"/>
        <v>0</v>
      </c>
      <c r="I260" s="231">
        <v>0</v>
      </c>
      <c r="J260" s="231"/>
      <c r="K260" s="231"/>
      <c r="L260" s="231"/>
      <c r="M260" s="232">
        <f t="shared" si="325"/>
        <v>0</v>
      </c>
      <c r="N260" s="231">
        <v>0</v>
      </c>
      <c r="O260" s="231"/>
      <c r="P260" s="231"/>
      <c r="Q260" s="231"/>
      <c r="R260" s="232">
        <f t="shared" si="326"/>
        <v>0</v>
      </c>
    </row>
    <row r="261" spans="1:18" s="29" customFormat="1" ht="12">
      <c r="A261" s="271"/>
      <c r="B261" s="272"/>
      <c r="C261" s="253"/>
      <c r="D261" s="254"/>
      <c r="E261" s="253"/>
      <c r="F261" s="253"/>
      <c r="G261" s="253"/>
      <c r="H261" s="232"/>
      <c r="I261" s="254"/>
      <c r="J261" s="253"/>
      <c r="K261" s="253"/>
      <c r="L261" s="253"/>
      <c r="M261" s="232"/>
      <c r="N261" s="254"/>
      <c r="O261" s="253"/>
      <c r="P261" s="253"/>
      <c r="Q261" s="253"/>
      <c r="R261" s="232"/>
    </row>
    <row r="262" spans="1:18" ht="12">
      <c r="A262" s="33"/>
      <c r="B262" s="164"/>
      <c r="C262" s="165"/>
      <c r="D262" s="163"/>
      <c r="E262" s="165"/>
      <c r="F262" s="163"/>
      <c r="G262" s="163"/>
      <c r="H262" s="163"/>
      <c r="I262" s="163"/>
      <c r="J262" s="165"/>
      <c r="K262" s="163"/>
      <c r="L262" s="163"/>
      <c r="M262" s="163"/>
      <c r="N262" s="163"/>
      <c r="O262" s="165"/>
      <c r="P262" s="163"/>
      <c r="Q262" s="163"/>
      <c r="R262" s="163"/>
    </row>
    <row r="263" spans="1:18" ht="12">
      <c r="A263" s="33"/>
      <c r="B263" s="164"/>
      <c r="C263" s="165"/>
      <c r="D263" s="163"/>
      <c r="E263" s="165"/>
      <c r="F263" s="163"/>
      <c r="G263" s="163"/>
      <c r="H263" s="163"/>
      <c r="I263" s="163"/>
      <c r="J263" s="165"/>
      <c r="K263" s="163"/>
      <c r="L263" s="163"/>
      <c r="M263" s="163"/>
      <c r="N263" s="163"/>
      <c r="O263" s="165"/>
      <c r="P263" s="163"/>
      <c r="Q263" s="163"/>
      <c r="R263" s="163"/>
    </row>
    <row r="264" spans="1:18" ht="13.2">
      <c r="A264" s="369" t="s">
        <v>236</v>
      </c>
      <c r="B264" s="370" t="s">
        <v>237</v>
      </c>
      <c r="C264" s="165"/>
      <c r="D264" s="163"/>
      <c r="E264" s="165"/>
      <c r="F264" s="163"/>
      <c r="G264" s="163"/>
      <c r="H264" s="163"/>
      <c r="I264" s="163"/>
      <c r="J264" s="165"/>
      <c r="K264" s="163"/>
      <c r="L264" s="163"/>
      <c r="M264" s="163"/>
      <c r="N264" s="163"/>
      <c r="O264" s="165"/>
      <c r="P264" s="163"/>
      <c r="Q264" s="163"/>
      <c r="R264" s="163"/>
    </row>
    <row r="265" spans="1:18" ht="13.2">
      <c r="A265" s="371"/>
      <c r="B265" s="372" t="s">
        <v>238</v>
      </c>
      <c r="C265" s="165"/>
      <c r="D265" s="163"/>
      <c r="E265" s="165"/>
      <c r="F265" s="163"/>
      <c r="G265" s="163"/>
      <c r="H265" s="163"/>
      <c r="I265" s="163"/>
      <c r="J265" s="165"/>
      <c r="K265" s="163"/>
      <c r="L265" s="163"/>
      <c r="M265" s="163"/>
      <c r="N265" s="163"/>
      <c r="O265" s="165"/>
      <c r="P265" s="163"/>
      <c r="Q265" s="163"/>
      <c r="R265" s="163"/>
    </row>
    <row r="266" spans="1:18" ht="13.2">
      <c r="A266" s="373" t="s">
        <v>223</v>
      </c>
      <c r="B266" s="374" t="s">
        <v>434</v>
      </c>
      <c r="C266" s="165"/>
      <c r="D266" s="163"/>
      <c r="E266" s="165"/>
      <c r="F266" s="163"/>
      <c r="G266" s="163"/>
      <c r="H266" s="163"/>
      <c r="I266" s="163"/>
      <c r="J266" s="165"/>
      <c r="K266" s="163"/>
      <c r="L266" s="163"/>
      <c r="M266" s="163"/>
      <c r="N266" s="163"/>
      <c r="O266" s="165"/>
      <c r="P266" s="163"/>
      <c r="Q266" s="163"/>
      <c r="R266" s="163"/>
    </row>
    <row r="267" spans="1:18" ht="13.2">
      <c r="A267" s="375" t="s">
        <v>240</v>
      </c>
      <c r="B267" s="376" t="s">
        <v>241</v>
      </c>
      <c r="C267" s="165"/>
      <c r="D267" s="163"/>
      <c r="E267" s="165"/>
      <c r="F267" s="163"/>
      <c r="G267" s="163"/>
      <c r="H267" s="163"/>
      <c r="I267" s="163"/>
      <c r="J267" s="165"/>
      <c r="K267" s="163"/>
      <c r="L267" s="163"/>
      <c r="M267" s="163"/>
      <c r="N267" s="163"/>
      <c r="O267" s="165"/>
      <c r="P267" s="163"/>
      <c r="Q267" s="163"/>
      <c r="R267" s="163"/>
    </row>
    <row r="268" spans="1:18" ht="13.2">
      <c r="A268" s="377"/>
      <c r="B268" s="376"/>
      <c r="C268" s="165"/>
      <c r="D268" s="163"/>
      <c r="E268" s="165"/>
      <c r="F268" s="163"/>
      <c r="G268" s="163"/>
      <c r="H268" s="163"/>
      <c r="I268" s="163"/>
      <c r="J268" s="165"/>
      <c r="K268" s="163"/>
      <c r="L268" s="163"/>
      <c r="M268" s="163"/>
      <c r="N268" s="163"/>
      <c r="O268" s="165"/>
      <c r="P268" s="163"/>
      <c r="Q268" s="163"/>
      <c r="R268" s="163"/>
    </row>
    <row r="269" spans="1:18" ht="13.2">
      <c r="A269" s="378" t="s">
        <v>224</v>
      </c>
      <c r="B269" s="374" t="s">
        <v>242</v>
      </c>
      <c r="C269" s="165"/>
      <c r="D269" s="163"/>
      <c r="E269" s="165"/>
      <c r="F269" s="163"/>
      <c r="G269" s="163"/>
      <c r="H269" s="163"/>
      <c r="I269" s="163"/>
      <c r="J269" s="165"/>
      <c r="K269" s="163"/>
      <c r="L269" s="163"/>
      <c r="M269" s="163"/>
      <c r="N269" s="163"/>
      <c r="O269" s="165"/>
      <c r="P269" s="163"/>
      <c r="Q269" s="163"/>
      <c r="R269" s="163"/>
    </row>
    <row r="270" spans="1:18" ht="13.2">
      <c r="A270" s="375" t="s">
        <v>243</v>
      </c>
      <c r="B270" s="376" t="s">
        <v>244</v>
      </c>
      <c r="C270" s="165"/>
      <c r="D270" s="163"/>
      <c r="E270" s="165"/>
      <c r="F270" s="163"/>
      <c r="G270" s="163"/>
      <c r="H270" s="163"/>
      <c r="I270" s="163"/>
      <c r="J270" s="165"/>
      <c r="K270" s="163"/>
      <c r="L270" s="163"/>
      <c r="M270" s="163"/>
      <c r="N270" s="163"/>
      <c r="O270" s="165"/>
      <c r="P270" s="163"/>
      <c r="Q270" s="163"/>
      <c r="R270" s="163"/>
    </row>
    <row r="271" spans="1:18" ht="13.2">
      <c r="A271" s="377"/>
      <c r="B271" s="376"/>
      <c r="C271" s="165"/>
      <c r="D271" s="163"/>
      <c r="E271" s="165"/>
      <c r="F271" s="163"/>
      <c r="G271" s="163"/>
      <c r="H271" s="163"/>
      <c r="I271" s="163"/>
      <c r="J271" s="165"/>
      <c r="K271" s="163"/>
      <c r="L271" s="163"/>
      <c r="M271" s="163"/>
      <c r="N271" s="163"/>
      <c r="O271" s="165"/>
      <c r="P271" s="163"/>
      <c r="Q271" s="163"/>
      <c r="R271" s="163"/>
    </row>
    <row r="272" spans="1:18" ht="13.2">
      <c r="A272" s="369" t="s">
        <v>245</v>
      </c>
      <c r="B272" s="370" t="s">
        <v>140</v>
      </c>
      <c r="C272" s="165"/>
      <c r="D272" s="163"/>
      <c r="E272" s="165"/>
      <c r="F272" s="163"/>
      <c r="G272" s="163"/>
      <c r="H272" s="163"/>
      <c r="I272" s="163"/>
      <c r="J272" s="165"/>
      <c r="K272" s="163"/>
      <c r="L272" s="163"/>
      <c r="M272" s="163"/>
      <c r="N272" s="163"/>
      <c r="O272" s="165"/>
      <c r="P272" s="163"/>
      <c r="Q272" s="163"/>
      <c r="R272" s="163"/>
    </row>
    <row r="273" spans="1:18" ht="13.2">
      <c r="A273" s="371"/>
      <c r="B273" s="372" t="s">
        <v>238</v>
      </c>
      <c r="C273" s="165"/>
      <c r="D273" s="163"/>
      <c r="E273" s="165"/>
      <c r="F273" s="163"/>
      <c r="G273" s="163"/>
      <c r="H273" s="163"/>
      <c r="I273" s="163"/>
      <c r="J273" s="165"/>
      <c r="K273" s="163"/>
      <c r="L273" s="163"/>
      <c r="M273" s="163"/>
      <c r="N273" s="163"/>
      <c r="O273" s="165"/>
      <c r="P273" s="163"/>
      <c r="Q273" s="163"/>
      <c r="R273" s="163"/>
    </row>
    <row r="274" spans="1:18" ht="13.2">
      <c r="A274" s="373" t="s">
        <v>223</v>
      </c>
      <c r="B274" s="374" t="s">
        <v>434</v>
      </c>
      <c r="C274" s="165"/>
      <c r="D274" s="163"/>
      <c r="E274" s="165"/>
      <c r="F274" s="163"/>
      <c r="G274" s="163"/>
      <c r="H274" s="163"/>
      <c r="I274" s="163"/>
      <c r="J274" s="165"/>
      <c r="K274" s="163"/>
      <c r="L274" s="163"/>
      <c r="M274" s="163"/>
      <c r="N274" s="163"/>
      <c r="O274" s="165"/>
      <c r="P274" s="163"/>
      <c r="Q274" s="163"/>
      <c r="R274" s="163"/>
    </row>
    <row r="275" spans="1:18" ht="13.2">
      <c r="A275" s="375" t="s">
        <v>240</v>
      </c>
      <c r="B275" s="376" t="s">
        <v>241</v>
      </c>
      <c r="C275" s="165"/>
      <c r="D275" s="163"/>
      <c r="E275" s="165"/>
      <c r="F275" s="163"/>
      <c r="G275" s="163"/>
      <c r="H275" s="163"/>
      <c r="I275" s="163"/>
      <c r="J275" s="165"/>
      <c r="K275" s="163"/>
      <c r="L275" s="163"/>
      <c r="M275" s="163"/>
      <c r="N275" s="163"/>
      <c r="O275" s="165"/>
      <c r="P275" s="163"/>
      <c r="Q275" s="163"/>
      <c r="R275" s="163"/>
    </row>
    <row r="276" spans="1:18" ht="13.2">
      <c r="A276" s="377"/>
      <c r="B276" s="376"/>
      <c r="C276" s="165"/>
      <c r="D276" s="163"/>
      <c r="E276" s="165"/>
      <c r="F276" s="163"/>
      <c r="G276" s="163"/>
      <c r="H276" s="163"/>
      <c r="I276" s="163"/>
      <c r="J276" s="165"/>
      <c r="K276" s="163"/>
      <c r="L276" s="163"/>
      <c r="M276" s="163"/>
      <c r="N276" s="163"/>
      <c r="O276" s="165"/>
      <c r="P276" s="163"/>
      <c r="Q276" s="163"/>
      <c r="R276" s="163"/>
    </row>
    <row r="277" spans="1:18" ht="13.2">
      <c r="A277" s="378" t="s">
        <v>224</v>
      </c>
      <c r="B277" s="374" t="s">
        <v>242</v>
      </c>
      <c r="C277" s="165"/>
      <c r="D277" s="163"/>
      <c r="E277" s="165"/>
      <c r="F277" s="163"/>
      <c r="G277" s="163"/>
      <c r="H277" s="163"/>
      <c r="I277" s="163"/>
      <c r="J277" s="165"/>
      <c r="K277" s="163"/>
      <c r="L277" s="163"/>
      <c r="M277" s="163"/>
      <c r="N277" s="163"/>
      <c r="O277" s="165"/>
      <c r="P277" s="163"/>
      <c r="Q277" s="163"/>
      <c r="R277" s="163"/>
    </row>
    <row r="278" spans="1:18" ht="13.2">
      <c r="A278" s="375" t="s">
        <v>243</v>
      </c>
      <c r="B278" s="376" t="s">
        <v>244</v>
      </c>
      <c r="C278" s="165"/>
      <c r="D278" s="163"/>
      <c r="E278" s="165"/>
      <c r="F278" s="163"/>
      <c r="G278" s="163"/>
      <c r="H278" s="163"/>
      <c r="I278" s="163"/>
      <c r="J278" s="165"/>
      <c r="K278" s="163"/>
      <c r="L278" s="163"/>
      <c r="M278" s="163"/>
      <c r="N278" s="163"/>
      <c r="O278" s="165"/>
      <c r="P278" s="163"/>
      <c r="Q278" s="163"/>
      <c r="R278" s="163"/>
    </row>
    <row r="279" spans="1:18" ht="12">
      <c r="A279" s="33"/>
      <c r="B279" s="34"/>
      <c r="C279" s="165"/>
      <c r="D279" s="163"/>
      <c r="E279" s="165"/>
      <c r="F279" s="163"/>
      <c r="G279" s="163"/>
      <c r="H279" s="163"/>
      <c r="I279" s="163"/>
      <c r="J279" s="165"/>
      <c r="K279" s="163"/>
      <c r="L279" s="163"/>
      <c r="M279" s="163"/>
      <c r="N279" s="163"/>
      <c r="O279" s="165"/>
      <c r="P279" s="163"/>
      <c r="Q279" s="163"/>
      <c r="R279" s="163"/>
    </row>
    <row r="280" spans="1:18" ht="12">
      <c r="A280" s="33"/>
      <c r="B280" s="34"/>
      <c r="C280" s="165"/>
      <c r="D280" s="163"/>
      <c r="E280" s="165"/>
      <c r="F280" s="163"/>
      <c r="G280" s="163"/>
      <c r="H280" s="163"/>
      <c r="I280" s="163"/>
      <c r="J280" s="165"/>
      <c r="K280" s="163"/>
      <c r="L280" s="163"/>
      <c r="M280" s="163"/>
      <c r="N280" s="163"/>
      <c r="O280" s="165"/>
      <c r="P280" s="163"/>
      <c r="Q280" s="163"/>
      <c r="R280" s="163"/>
    </row>
    <row r="281" spans="1:18" ht="12">
      <c r="A281" s="33"/>
      <c r="B281" s="31"/>
      <c r="C281" s="165"/>
      <c r="D281" s="163"/>
      <c r="E281" s="165"/>
      <c r="F281" s="163"/>
      <c r="G281" s="163"/>
      <c r="H281" s="163"/>
      <c r="I281" s="163"/>
      <c r="J281" s="165"/>
      <c r="K281" s="163"/>
      <c r="L281" s="163"/>
      <c r="M281" s="163"/>
      <c r="N281" s="163"/>
      <c r="O281" s="165"/>
      <c r="P281" s="163"/>
      <c r="Q281" s="163"/>
      <c r="R281" s="163"/>
    </row>
    <row r="282" spans="1:18" ht="12">
      <c r="A282" s="33"/>
      <c r="B282" s="34"/>
      <c r="C282" s="35"/>
      <c r="D282" s="33"/>
      <c r="E282" s="165"/>
      <c r="F282" s="163"/>
      <c r="G282" s="163"/>
      <c r="H282" s="163"/>
      <c r="I282" s="163"/>
      <c r="J282" s="165"/>
      <c r="K282" s="163"/>
      <c r="L282" s="163"/>
      <c r="M282" s="163"/>
      <c r="N282" s="163"/>
      <c r="O282" s="165"/>
      <c r="P282" s="163"/>
      <c r="Q282" s="163"/>
      <c r="R282" s="163"/>
    </row>
    <row r="283" spans="1:18" ht="12">
      <c r="A283" s="33"/>
      <c r="B283" s="34"/>
      <c r="C283" s="35"/>
      <c r="D283" s="33"/>
      <c r="E283" s="165"/>
      <c r="F283" s="163"/>
      <c r="G283" s="163"/>
      <c r="H283" s="163"/>
      <c r="I283" s="163"/>
      <c r="J283" s="165"/>
      <c r="K283" s="163"/>
      <c r="L283" s="163"/>
      <c r="M283" s="163"/>
      <c r="N283" s="163"/>
      <c r="O283" s="165"/>
      <c r="P283" s="163"/>
      <c r="Q283" s="163"/>
      <c r="R283" s="163"/>
    </row>
    <row r="284" spans="1:18" ht="12">
      <c r="A284" s="33"/>
      <c r="B284" s="34"/>
      <c r="C284" s="35"/>
      <c r="D284" s="33"/>
      <c r="E284" s="165"/>
      <c r="F284" s="163"/>
      <c r="G284" s="163"/>
      <c r="H284" s="163"/>
      <c r="I284" s="163"/>
      <c r="J284" s="165"/>
      <c r="K284" s="163"/>
      <c r="L284" s="163"/>
      <c r="M284" s="163"/>
      <c r="N284" s="163"/>
      <c r="O284" s="165"/>
      <c r="P284" s="163"/>
      <c r="Q284" s="163"/>
      <c r="R284" s="163"/>
    </row>
    <row r="285" spans="1:18" ht="12">
      <c r="A285" s="33"/>
      <c r="B285" s="34"/>
      <c r="C285" s="35"/>
      <c r="D285" s="33"/>
      <c r="E285" s="165"/>
      <c r="F285" s="163"/>
      <c r="G285" s="163"/>
      <c r="H285" s="163"/>
      <c r="I285" s="163"/>
      <c r="J285" s="165"/>
      <c r="K285" s="163"/>
      <c r="L285" s="163"/>
      <c r="M285" s="163"/>
      <c r="N285" s="163"/>
      <c r="O285" s="165"/>
      <c r="P285" s="163"/>
      <c r="Q285" s="163"/>
      <c r="R285" s="163"/>
    </row>
    <row r="286" spans="1:18" ht="12">
      <c r="A286" s="33"/>
      <c r="B286" s="34"/>
      <c r="C286" s="35"/>
      <c r="D286" s="33"/>
      <c r="E286" s="165"/>
      <c r="F286" s="163"/>
      <c r="G286" s="163"/>
      <c r="H286" s="163"/>
      <c r="I286" s="163"/>
      <c r="J286" s="165"/>
      <c r="K286" s="163"/>
      <c r="L286" s="163"/>
      <c r="M286" s="163"/>
      <c r="N286" s="163"/>
      <c r="O286" s="165"/>
      <c r="P286" s="163"/>
      <c r="Q286" s="163"/>
      <c r="R286" s="163"/>
    </row>
    <row r="287" spans="1:18" ht="12">
      <c r="A287" s="33"/>
      <c r="B287" s="34"/>
      <c r="C287" s="35"/>
      <c r="D287" s="33"/>
      <c r="E287" s="165"/>
      <c r="F287" s="163"/>
      <c r="G287" s="163"/>
      <c r="H287" s="163"/>
      <c r="I287" s="163"/>
      <c r="J287" s="165"/>
      <c r="K287" s="163"/>
      <c r="L287" s="163"/>
      <c r="M287" s="163"/>
      <c r="N287" s="163"/>
      <c r="O287" s="165"/>
      <c r="P287" s="163"/>
      <c r="Q287" s="163"/>
      <c r="R287" s="163"/>
    </row>
    <row r="288" spans="1:18" ht="12">
      <c r="A288" s="33"/>
      <c r="B288" s="34"/>
      <c r="C288" s="35"/>
      <c r="D288" s="33"/>
      <c r="E288" s="165"/>
      <c r="F288" s="163"/>
      <c r="G288" s="163"/>
      <c r="H288" s="163"/>
      <c r="I288" s="163"/>
      <c r="J288" s="165"/>
      <c r="K288" s="163"/>
      <c r="L288" s="163"/>
      <c r="M288" s="163"/>
      <c r="N288" s="163"/>
      <c r="O288" s="165"/>
      <c r="P288" s="163"/>
      <c r="Q288" s="163"/>
      <c r="R288" s="163"/>
    </row>
    <row r="289" spans="1:18" ht="12">
      <c r="A289" s="33"/>
      <c r="B289" s="34"/>
      <c r="C289" s="35"/>
      <c r="D289" s="33"/>
      <c r="E289" s="165"/>
      <c r="F289" s="163"/>
      <c r="G289" s="163"/>
      <c r="H289" s="163"/>
      <c r="I289" s="163"/>
      <c r="J289" s="165"/>
      <c r="K289" s="163"/>
      <c r="L289" s="163"/>
      <c r="M289" s="163"/>
      <c r="N289" s="163"/>
      <c r="O289" s="165"/>
      <c r="P289" s="163"/>
      <c r="Q289" s="163"/>
      <c r="R289" s="163"/>
    </row>
    <row r="290" spans="1:18" ht="12">
      <c r="A290" s="33"/>
      <c r="B290" s="34"/>
      <c r="C290" s="35"/>
      <c r="D290" s="33"/>
      <c r="E290" s="165"/>
      <c r="F290" s="163"/>
      <c r="G290" s="163"/>
      <c r="H290" s="163"/>
      <c r="I290" s="163"/>
      <c r="J290" s="165"/>
      <c r="K290" s="163"/>
      <c r="L290" s="163"/>
      <c r="M290" s="163"/>
      <c r="N290" s="163"/>
      <c r="O290" s="165"/>
      <c r="P290" s="163"/>
      <c r="Q290" s="163"/>
      <c r="R290" s="163"/>
    </row>
    <row r="291" spans="1:18" ht="12">
      <c r="A291" s="33"/>
      <c r="B291" s="34"/>
      <c r="C291" s="35"/>
      <c r="D291" s="33"/>
      <c r="E291" s="165"/>
      <c r="F291" s="163"/>
      <c r="G291" s="163"/>
      <c r="H291" s="163"/>
      <c r="I291" s="163"/>
      <c r="J291" s="165"/>
      <c r="K291" s="163"/>
      <c r="L291" s="163"/>
      <c r="M291" s="163"/>
      <c r="N291" s="163"/>
      <c r="O291" s="165"/>
      <c r="P291" s="163"/>
      <c r="Q291" s="163"/>
      <c r="R291" s="163"/>
    </row>
    <row r="292" spans="1:18" ht="12">
      <c r="A292" s="33"/>
      <c r="B292" s="34"/>
      <c r="C292" s="35"/>
      <c r="D292" s="33"/>
      <c r="E292" s="165"/>
      <c r="F292" s="163"/>
      <c r="G292" s="163"/>
      <c r="H292" s="163"/>
      <c r="I292" s="163"/>
      <c r="J292" s="165"/>
      <c r="K292" s="163"/>
      <c r="L292" s="163"/>
      <c r="M292" s="163"/>
      <c r="N292" s="163"/>
      <c r="O292" s="165"/>
      <c r="P292" s="163"/>
      <c r="Q292" s="163"/>
      <c r="R292" s="163"/>
    </row>
    <row r="293" spans="1:18" ht="12">
      <c r="A293" s="33"/>
      <c r="B293" s="34"/>
      <c r="C293" s="35"/>
      <c r="D293" s="33"/>
      <c r="E293" s="165"/>
      <c r="F293" s="163"/>
      <c r="G293" s="163"/>
      <c r="H293" s="163"/>
      <c r="I293" s="163"/>
      <c r="J293" s="165"/>
      <c r="K293" s="163"/>
      <c r="L293" s="163"/>
      <c r="M293" s="163"/>
      <c r="N293" s="163"/>
      <c r="O293" s="165"/>
      <c r="P293" s="163"/>
      <c r="Q293" s="163"/>
      <c r="R293" s="163"/>
    </row>
    <row r="294" spans="1:18" ht="12">
      <c r="A294" s="33"/>
      <c r="B294" s="34"/>
      <c r="C294" s="35"/>
      <c r="D294" s="33"/>
      <c r="E294" s="165"/>
      <c r="F294" s="163"/>
      <c r="G294" s="163"/>
      <c r="H294" s="163"/>
      <c r="I294" s="163"/>
      <c r="J294" s="165"/>
      <c r="K294" s="163"/>
      <c r="L294" s="163"/>
      <c r="M294" s="163"/>
      <c r="N294" s="163"/>
      <c r="O294" s="165"/>
      <c r="P294" s="163"/>
      <c r="Q294" s="163"/>
      <c r="R294" s="163"/>
    </row>
    <row r="295" spans="1:18" ht="12">
      <c r="A295" s="33"/>
      <c r="B295" s="34"/>
      <c r="C295" s="35"/>
      <c r="D295" s="33"/>
      <c r="E295" s="165"/>
      <c r="F295" s="163"/>
      <c r="G295" s="163"/>
      <c r="H295" s="163"/>
      <c r="I295" s="163"/>
      <c r="J295" s="165"/>
      <c r="K295" s="163"/>
      <c r="L295" s="163"/>
      <c r="M295" s="163"/>
      <c r="N295" s="163"/>
      <c r="O295" s="165"/>
      <c r="P295" s="163"/>
      <c r="Q295" s="163"/>
      <c r="R295" s="163"/>
    </row>
    <row r="296" spans="1:18" ht="12">
      <c r="A296" s="33"/>
      <c r="B296" s="34"/>
      <c r="C296" s="35"/>
      <c r="D296" s="33"/>
      <c r="E296" s="165"/>
      <c r="F296" s="163"/>
      <c r="G296" s="163"/>
      <c r="H296" s="163"/>
      <c r="I296" s="163"/>
      <c r="J296" s="165"/>
      <c r="K296" s="163"/>
      <c r="L296" s="163"/>
      <c r="M296" s="163"/>
      <c r="N296" s="163"/>
      <c r="O296" s="165"/>
      <c r="P296" s="163"/>
      <c r="Q296" s="163"/>
      <c r="R296" s="163"/>
    </row>
    <row r="297" spans="1:18" ht="12">
      <c r="A297" s="33"/>
      <c r="B297" s="34"/>
      <c r="C297" s="35"/>
      <c r="D297" s="33"/>
      <c r="E297" s="165"/>
      <c r="F297" s="163"/>
      <c r="G297" s="163"/>
      <c r="H297" s="163"/>
      <c r="I297" s="163"/>
      <c r="J297" s="165"/>
      <c r="K297" s="163"/>
      <c r="L297" s="163"/>
      <c r="M297" s="163"/>
      <c r="N297" s="163"/>
      <c r="O297" s="165"/>
      <c r="P297" s="163"/>
      <c r="Q297" s="163"/>
      <c r="R297" s="163"/>
    </row>
    <row r="298" spans="1:18" ht="12">
      <c r="A298" s="33"/>
      <c r="B298" s="34"/>
      <c r="C298" s="35"/>
      <c r="D298" s="33"/>
      <c r="E298" s="165"/>
      <c r="F298" s="163"/>
      <c r="G298" s="163"/>
      <c r="H298" s="163"/>
      <c r="I298" s="163"/>
      <c r="J298" s="165"/>
      <c r="K298" s="163"/>
      <c r="L298" s="163"/>
      <c r="M298" s="163"/>
      <c r="N298" s="163"/>
      <c r="O298" s="165"/>
      <c r="P298" s="163"/>
      <c r="Q298" s="163"/>
      <c r="R298" s="163"/>
    </row>
    <row r="299" spans="1:18" ht="12">
      <c r="A299" s="33"/>
      <c r="B299" s="34"/>
      <c r="C299" s="35"/>
      <c r="D299" s="33"/>
      <c r="E299" s="165"/>
      <c r="F299" s="163"/>
      <c r="G299" s="163"/>
      <c r="H299" s="163"/>
      <c r="I299" s="163"/>
      <c r="J299" s="165"/>
      <c r="K299" s="163"/>
      <c r="L299" s="163"/>
      <c r="M299" s="163"/>
      <c r="N299" s="163"/>
      <c r="O299" s="165"/>
      <c r="P299" s="163"/>
      <c r="Q299" s="163"/>
      <c r="R299" s="163"/>
    </row>
    <row r="300" spans="1:18" ht="12">
      <c r="A300" s="33"/>
      <c r="B300" s="34"/>
      <c r="C300" s="35"/>
      <c r="D300" s="33"/>
      <c r="E300" s="165"/>
      <c r="F300" s="163"/>
      <c r="G300" s="163"/>
      <c r="H300" s="163"/>
      <c r="I300" s="163"/>
      <c r="J300" s="165"/>
      <c r="K300" s="163"/>
      <c r="L300" s="163"/>
      <c r="M300" s="163"/>
      <c r="N300" s="163"/>
      <c r="O300" s="165"/>
      <c r="P300" s="163"/>
      <c r="Q300" s="163"/>
      <c r="R300" s="163"/>
    </row>
    <row r="301" spans="1:18" ht="12">
      <c r="A301" s="33"/>
      <c r="B301" s="34"/>
      <c r="C301" s="35"/>
      <c r="D301" s="33"/>
      <c r="E301" s="165"/>
      <c r="F301" s="163"/>
      <c r="G301" s="163"/>
      <c r="H301" s="163"/>
      <c r="I301" s="163"/>
      <c r="J301" s="165"/>
      <c r="K301" s="163"/>
      <c r="L301" s="163"/>
      <c r="M301" s="163"/>
      <c r="N301" s="163"/>
      <c r="O301" s="165"/>
      <c r="P301" s="163"/>
      <c r="Q301" s="163"/>
      <c r="R301" s="163"/>
    </row>
    <row r="302" spans="1:18" ht="12">
      <c r="A302" s="33"/>
      <c r="B302" s="34"/>
      <c r="C302" s="35"/>
      <c r="D302" s="33"/>
      <c r="E302" s="165"/>
      <c r="F302" s="163"/>
      <c r="G302" s="163"/>
      <c r="H302" s="163"/>
      <c r="I302" s="163"/>
      <c r="J302" s="165"/>
      <c r="K302" s="163"/>
      <c r="L302" s="163"/>
      <c r="M302" s="163"/>
      <c r="N302" s="163"/>
      <c r="O302" s="165"/>
      <c r="P302" s="163"/>
      <c r="Q302" s="163"/>
      <c r="R302" s="163"/>
    </row>
    <row r="303" spans="1:18" ht="12">
      <c r="A303" s="33"/>
      <c r="B303" s="34"/>
      <c r="C303" s="35"/>
      <c r="D303" s="33"/>
      <c r="E303" s="165"/>
      <c r="F303" s="163"/>
      <c r="G303" s="163"/>
      <c r="H303" s="163"/>
      <c r="I303" s="163"/>
      <c r="J303" s="165"/>
      <c r="K303" s="163"/>
      <c r="L303" s="163"/>
      <c r="M303" s="163"/>
      <c r="N303" s="163"/>
      <c r="O303" s="165"/>
      <c r="P303" s="163"/>
      <c r="Q303" s="163"/>
      <c r="R303" s="163"/>
    </row>
    <row r="304" spans="1:18" ht="12">
      <c r="A304" s="33"/>
      <c r="B304" s="34"/>
      <c r="C304" s="35"/>
      <c r="D304" s="33"/>
      <c r="E304" s="165"/>
      <c r="F304" s="163"/>
      <c r="G304" s="163"/>
      <c r="H304" s="163"/>
      <c r="I304" s="163"/>
      <c r="J304" s="165"/>
      <c r="K304" s="163"/>
      <c r="L304" s="163"/>
      <c r="M304" s="163"/>
      <c r="N304" s="163"/>
      <c r="O304" s="165"/>
      <c r="P304" s="163"/>
      <c r="Q304" s="163"/>
      <c r="R304" s="163"/>
    </row>
    <row r="305" spans="1:18" ht="12">
      <c r="A305" s="33"/>
      <c r="B305" s="34"/>
      <c r="C305" s="35"/>
      <c r="D305" s="33"/>
      <c r="E305" s="165"/>
      <c r="F305" s="163"/>
      <c r="G305" s="163"/>
      <c r="H305" s="163"/>
      <c r="I305" s="163"/>
      <c r="J305" s="165"/>
      <c r="K305" s="163"/>
      <c r="L305" s="163"/>
      <c r="M305" s="163"/>
      <c r="N305" s="163"/>
      <c r="O305" s="165"/>
      <c r="P305" s="163"/>
      <c r="Q305" s="163"/>
      <c r="R305" s="163"/>
    </row>
    <row r="306" spans="1:18" ht="12">
      <c r="A306" s="33"/>
      <c r="B306" s="34"/>
      <c r="C306" s="35"/>
      <c r="D306" s="33"/>
      <c r="E306" s="165"/>
      <c r="F306" s="163"/>
      <c r="G306" s="163"/>
      <c r="H306" s="163"/>
      <c r="I306" s="163"/>
      <c r="J306" s="165"/>
      <c r="K306" s="163"/>
      <c r="L306" s="163"/>
      <c r="M306" s="163"/>
      <c r="N306" s="163"/>
      <c r="O306" s="165"/>
      <c r="P306" s="163"/>
      <c r="Q306" s="163"/>
      <c r="R306" s="163"/>
    </row>
    <row r="307" spans="1:18" ht="12">
      <c r="A307" s="33"/>
      <c r="B307" s="34"/>
      <c r="C307" s="35"/>
      <c r="D307" s="33"/>
      <c r="E307" s="165"/>
      <c r="F307" s="163"/>
      <c r="G307" s="163"/>
      <c r="H307" s="163"/>
      <c r="I307" s="163"/>
      <c r="J307" s="165"/>
      <c r="K307" s="163"/>
      <c r="L307" s="163"/>
      <c r="M307" s="163"/>
      <c r="N307" s="163"/>
      <c r="O307" s="165"/>
      <c r="P307" s="163"/>
      <c r="Q307" s="163"/>
      <c r="R307" s="163"/>
    </row>
    <row r="308" spans="1:18" ht="12">
      <c r="A308" s="33"/>
      <c r="B308" s="34"/>
      <c r="C308" s="35"/>
      <c r="D308" s="33"/>
      <c r="E308" s="165"/>
      <c r="F308" s="163"/>
      <c r="G308" s="163"/>
      <c r="H308" s="163"/>
      <c r="I308" s="163"/>
      <c r="J308" s="165"/>
      <c r="K308" s="163"/>
      <c r="L308" s="163"/>
      <c r="M308" s="163"/>
      <c r="N308" s="163"/>
      <c r="O308" s="165"/>
      <c r="P308" s="163"/>
      <c r="Q308" s="163"/>
      <c r="R308" s="163"/>
    </row>
    <row r="309" spans="1:18" ht="12">
      <c r="A309" s="33"/>
      <c r="B309" s="34"/>
      <c r="C309" s="35"/>
      <c r="D309" s="33"/>
      <c r="E309" s="165"/>
      <c r="F309" s="163"/>
      <c r="G309" s="163"/>
      <c r="H309" s="163"/>
      <c r="I309" s="163"/>
      <c r="J309" s="165"/>
      <c r="K309" s="163"/>
      <c r="L309" s="163"/>
      <c r="M309" s="163"/>
      <c r="N309" s="163"/>
      <c r="O309" s="165"/>
      <c r="P309" s="163"/>
      <c r="Q309" s="163"/>
      <c r="R309" s="163"/>
    </row>
    <row r="310" spans="1:18" ht="12">
      <c r="A310" s="33"/>
      <c r="B310" s="34"/>
      <c r="C310" s="35"/>
      <c r="D310" s="33"/>
      <c r="E310" s="165"/>
      <c r="F310" s="163"/>
      <c r="G310" s="163"/>
      <c r="H310" s="163"/>
      <c r="I310" s="163"/>
      <c r="J310" s="165"/>
      <c r="K310" s="163"/>
      <c r="L310" s="163"/>
      <c r="M310" s="163"/>
      <c r="N310" s="163"/>
      <c r="O310" s="165"/>
      <c r="P310" s="163"/>
      <c r="Q310" s="163"/>
      <c r="R310" s="163"/>
    </row>
    <row r="311" spans="1:18" ht="12">
      <c r="A311" s="33"/>
      <c r="B311" s="34"/>
      <c r="C311" s="35"/>
      <c r="D311" s="33"/>
      <c r="E311" s="165"/>
      <c r="F311" s="163"/>
      <c r="G311" s="163"/>
      <c r="H311" s="163"/>
      <c r="I311" s="163"/>
      <c r="J311" s="165"/>
      <c r="K311" s="163"/>
      <c r="L311" s="163"/>
      <c r="M311" s="163"/>
      <c r="N311" s="163"/>
      <c r="O311" s="165"/>
      <c r="P311" s="163"/>
      <c r="Q311" s="163"/>
      <c r="R311" s="163"/>
    </row>
    <row r="312" spans="1:18" ht="12">
      <c r="A312" s="33"/>
      <c r="B312" s="34"/>
      <c r="C312" s="35"/>
      <c r="D312" s="33"/>
      <c r="E312" s="165"/>
      <c r="F312" s="163"/>
      <c r="G312" s="163"/>
      <c r="H312" s="163"/>
      <c r="I312" s="163"/>
      <c r="J312" s="165"/>
      <c r="K312" s="163"/>
      <c r="L312" s="163"/>
      <c r="M312" s="163"/>
      <c r="N312" s="163"/>
      <c r="O312" s="165"/>
      <c r="P312" s="163"/>
      <c r="Q312" s="163"/>
      <c r="R312" s="163"/>
    </row>
    <row r="313" spans="1:18" ht="12">
      <c r="A313" s="33"/>
      <c r="B313" s="34"/>
      <c r="C313" s="35"/>
      <c r="D313" s="33"/>
      <c r="E313" s="165"/>
      <c r="F313" s="163"/>
      <c r="G313" s="163"/>
      <c r="H313" s="163"/>
      <c r="I313" s="163"/>
      <c r="J313" s="165"/>
      <c r="K313" s="163"/>
      <c r="L313" s="163"/>
      <c r="M313" s="163"/>
      <c r="N313" s="163"/>
      <c r="O313" s="165"/>
      <c r="P313" s="163"/>
      <c r="Q313" s="163"/>
      <c r="R313" s="163"/>
    </row>
    <row r="314" spans="1:18" ht="12">
      <c r="A314" s="33"/>
      <c r="B314" s="34"/>
      <c r="C314" s="35"/>
      <c r="D314" s="33"/>
      <c r="E314" s="165"/>
      <c r="F314" s="163"/>
      <c r="G314" s="163"/>
      <c r="H314" s="163"/>
      <c r="I314" s="163"/>
      <c r="J314" s="165"/>
      <c r="K314" s="163"/>
      <c r="L314" s="163"/>
      <c r="M314" s="163"/>
      <c r="N314" s="163"/>
      <c r="O314" s="165"/>
      <c r="P314" s="163"/>
      <c r="Q314" s="163"/>
      <c r="R314" s="163"/>
    </row>
    <row r="315" spans="1:18" ht="12">
      <c r="A315" s="33"/>
      <c r="B315" s="34"/>
      <c r="C315" s="35"/>
      <c r="D315" s="33"/>
      <c r="E315" s="165"/>
      <c r="F315" s="163"/>
      <c r="G315" s="163"/>
      <c r="H315" s="163"/>
      <c r="I315" s="163"/>
      <c r="J315" s="165"/>
      <c r="K315" s="163"/>
      <c r="L315" s="163"/>
      <c r="M315" s="163"/>
      <c r="N315" s="163"/>
      <c r="O315" s="165"/>
      <c r="P315" s="163"/>
      <c r="Q315" s="163"/>
      <c r="R315" s="163"/>
    </row>
    <row r="316" spans="1:18" ht="12">
      <c r="A316" s="33"/>
      <c r="B316" s="34"/>
      <c r="C316" s="35"/>
      <c r="D316" s="33"/>
      <c r="E316" s="165"/>
      <c r="F316" s="163"/>
      <c r="G316" s="163"/>
      <c r="H316" s="163"/>
      <c r="I316" s="163"/>
      <c r="J316" s="165"/>
      <c r="K316" s="163"/>
      <c r="L316" s="163"/>
      <c r="M316" s="163"/>
      <c r="N316" s="163"/>
      <c r="O316" s="165"/>
      <c r="P316" s="163"/>
      <c r="Q316" s="163"/>
      <c r="R316" s="163"/>
    </row>
    <row r="317" spans="1:18" ht="12">
      <c r="A317" s="33"/>
      <c r="B317" s="34"/>
      <c r="C317" s="35"/>
      <c r="D317" s="33"/>
      <c r="E317" s="165"/>
      <c r="F317" s="163"/>
      <c r="G317" s="163"/>
      <c r="H317" s="163"/>
      <c r="I317" s="163"/>
      <c r="J317" s="165"/>
      <c r="K317" s="163"/>
      <c r="L317" s="163"/>
      <c r="M317" s="163"/>
      <c r="N317" s="163"/>
      <c r="O317" s="165"/>
      <c r="P317" s="163"/>
      <c r="Q317" s="163"/>
      <c r="R317" s="163"/>
    </row>
    <row r="318" spans="1:18" ht="12">
      <c r="A318" s="33"/>
      <c r="B318" s="34"/>
      <c r="C318" s="35"/>
      <c r="D318" s="33"/>
      <c r="E318" s="165"/>
      <c r="F318" s="163"/>
      <c r="G318" s="163"/>
      <c r="H318" s="163"/>
      <c r="I318" s="163"/>
      <c r="J318" s="165"/>
      <c r="K318" s="163"/>
      <c r="L318" s="163"/>
      <c r="M318" s="163"/>
      <c r="N318" s="163"/>
      <c r="O318" s="165"/>
      <c r="P318" s="163"/>
      <c r="Q318" s="163"/>
      <c r="R318" s="163"/>
    </row>
    <row r="319" spans="1:18" ht="12">
      <c r="A319" s="33"/>
      <c r="B319" s="34"/>
      <c r="C319" s="35"/>
      <c r="D319" s="33"/>
      <c r="E319" s="165"/>
      <c r="F319" s="163"/>
      <c r="G319" s="163"/>
      <c r="H319" s="163"/>
      <c r="I319" s="163"/>
      <c r="J319" s="165"/>
      <c r="K319" s="163"/>
      <c r="L319" s="163"/>
      <c r="M319" s="163"/>
      <c r="N319" s="163"/>
      <c r="O319" s="165"/>
      <c r="P319" s="163"/>
      <c r="Q319" s="163"/>
      <c r="R319" s="163"/>
    </row>
    <row r="320" spans="1:18" ht="12">
      <c r="A320" s="33"/>
      <c r="B320" s="34"/>
      <c r="C320" s="35"/>
      <c r="D320" s="33"/>
      <c r="E320" s="165"/>
      <c r="F320" s="163"/>
      <c r="G320" s="163"/>
      <c r="H320" s="163"/>
      <c r="I320" s="163"/>
      <c r="J320" s="165"/>
      <c r="K320" s="163"/>
      <c r="L320" s="163"/>
      <c r="M320" s="163"/>
      <c r="N320" s="163"/>
      <c r="O320" s="165"/>
      <c r="P320" s="163"/>
      <c r="Q320" s="163"/>
      <c r="R320" s="163"/>
    </row>
    <row r="321" spans="1:18" ht="12">
      <c r="A321" s="33"/>
      <c r="B321" s="34"/>
      <c r="C321" s="35"/>
      <c r="D321" s="33"/>
      <c r="E321" s="165"/>
      <c r="F321" s="163"/>
      <c r="G321" s="163"/>
      <c r="H321" s="163"/>
      <c r="I321" s="163"/>
      <c r="J321" s="165"/>
      <c r="K321" s="163"/>
      <c r="L321" s="163"/>
      <c r="M321" s="163"/>
      <c r="N321" s="163"/>
      <c r="O321" s="165"/>
      <c r="P321" s="163"/>
      <c r="Q321" s="163"/>
      <c r="R321" s="163"/>
    </row>
    <row r="322" spans="1:18" ht="12">
      <c r="A322" s="33"/>
      <c r="B322" s="34"/>
      <c r="C322" s="35"/>
      <c r="D322" s="33"/>
      <c r="E322" s="165"/>
      <c r="F322" s="163"/>
      <c r="G322" s="163"/>
      <c r="H322" s="163"/>
      <c r="I322" s="163"/>
      <c r="J322" s="165"/>
      <c r="K322" s="163"/>
      <c r="L322" s="163"/>
      <c r="M322" s="163"/>
      <c r="N322" s="163"/>
      <c r="O322" s="165"/>
      <c r="P322" s="163"/>
      <c r="Q322" s="163"/>
      <c r="R322" s="163"/>
    </row>
    <row r="323" spans="1:18" ht="12">
      <c r="A323" s="33"/>
      <c r="B323" s="34"/>
      <c r="C323" s="35"/>
      <c r="D323" s="33"/>
      <c r="E323" s="165"/>
      <c r="F323" s="163"/>
      <c r="G323" s="163"/>
      <c r="H323" s="163"/>
      <c r="I323" s="163"/>
      <c r="J323" s="165"/>
      <c r="K323" s="163"/>
      <c r="L323" s="163"/>
      <c r="M323" s="163"/>
      <c r="N323" s="163"/>
      <c r="O323" s="165"/>
      <c r="P323" s="163"/>
      <c r="Q323" s="163"/>
      <c r="R323" s="163"/>
    </row>
    <row r="324" spans="1:18" ht="12">
      <c r="A324" s="33"/>
      <c r="B324" s="34"/>
      <c r="C324" s="35"/>
      <c r="D324" s="33"/>
      <c r="E324" s="165"/>
      <c r="F324" s="163"/>
      <c r="G324" s="163"/>
      <c r="H324" s="163"/>
      <c r="I324" s="163"/>
      <c r="J324" s="165"/>
      <c r="K324" s="163"/>
      <c r="L324" s="163"/>
      <c r="M324" s="163"/>
      <c r="N324" s="163"/>
      <c r="O324" s="165"/>
      <c r="P324" s="163"/>
      <c r="Q324" s="163"/>
      <c r="R324" s="163"/>
    </row>
    <row r="325" spans="1:18" ht="12">
      <c r="A325" s="33"/>
      <c r="B325" s="34"/>
      <c r="C325" s="35"/>
      <c r="D325" s="33"/>
      <c r="E325" s="165"/>
      <c r="F325" s="163"/>
      <c r="G325" s="163"/>
      <c r="H325" s="163"/>
      <c r="I325" s="163"/>
      <c r="J325" s="165"/>
      <c r="K325" s="163"/>
      <c r="L325" s="163"/>
      <c r="M325" s="163"/>
      <c r="N325" s="163"/>
      <c r="O325" s="165"/>
      <c r="P325" s="163"/>
      <c r="Q325" s="163"/>
      <c r="R325" s="163"/>
    </row>
    <row r="326" spans="1:18" ht="12">
      <c r="A326" s="33"/>
      <c r="B326" s="34"/>
      <c r="C326" s="35"/>
      <c r="D326" s="33"/>
      <c r="E326" s="165"/>
      <c r="F326" s="163"/>
      <c r="G326" s="163"/>
      <c r="H326" s="163"/>
      <c r="I326" s="163"/>
      <c r="J326" s="165"/>
      <c r="K326" s="163"/>
      <c r="L326" s="163"/>
      <c r="M326" s="163"/>
      <c r="N326" s="163"/>
      <c r="O326" s="165"/>
      <c r="P326" s="163"/>
      <c r="Q326" s="163"/>
      <c r="R326" s="163"/>
    </row>
    <row r="327" spans="1:18" ht="12">
      <c r="A327" s="33"/>
      <c r="B327" s="34"/>
      <c r="C327" s="35"/>
      <c r="D327" s="33"/>
      <c r="E327" s="165"/>
      <c r="F327" s="163"/>
      <c r="G327" s="163"/>
      <c r="H327" s="163"/>
      <c r="I327" s="163"/>
      <c r="J327" s="165"/>
      <c r="K327" s="163"/>
      <c r="L327" s="163"/>
      <c r="M327" s="163"/>
      <c r="N327" s="163"/>
      <c r="O327" s="165"/>
      <c r="P327" s="163"/>
      <c r="Q327" s="163"/>
      <c r="R327" s="163"/>
    </row>
    <row r="328" spans="1:18" ht="12">
      <c r="A328" s="33"/>
      <c r="B328" s="34"/>
      <c r="C328" s="35"/>
      <c r="D328" s="33"/>
      <c r="E328" s="165"/>
      <c r="F328" s="163"/>
      <c r="G328" s="163"/>
      <c r="H328" s="163"/>
      <c r="I328" s="163"/>
      <c r="J328" s="165"/>
      <c r="K328" s="163"/>
      <c r="L328" s="163"/>
      <c r="M328" s="163"/>
      <c r="N328" s="163"/>
      <c r="O328" s="165"/>
      <c r="P328" s="163"/>
      <c r="Q328" s="163"/>
      <c r="R328" s="163"/>
    </row>
    <row r="329" spans="1:18" ht="12">
      <c r="A329" s="33"/>
      <c r="B329" s="34"/>
      <c r="C329" s="35"/>
      <c r="D329" s="33"/>
      <c r="E329" s="165"/>
      <c r="F329" s="163"/>
      <c r="G329" s="163"/>
      <c r="H329" s="163"/>
      <c r="I329" s="163"/>
      <c r="J329" s="165"/>
      <c r="K329" s="163"/>
      <c r="L329" s="163"/>
      <c r="M329" s="163"/>
      <c r="N329" s="163"/>
      <c r="O329" s="165"/>
      <c r="P329" s="163"/>
      <c r="Q329" s="163"/>
      <c r="R329" s="163"/>
    </row>
    <row r="330" spans="1:18" ht="12">
      <c r="A330" s="33"/>
      <c r="B330" s="34"/>
      <c r="C330" s="35"/>
      <c r="D330" s="33"/>
      <c r="E330" s="165"/>
      <c r="F330" s="163"/>
      <c r="G330" s="163"/>
      <c r="H330" s="163"/>
      <c r="I330" s="163"/>
      <c r="J330" s="165"/>
      <c r="K330" s="163"/>
      <c r="L330" s="163"/>
      <c r="M330" s="163"/>
      <c r="N330" s="163"/>
      <c r="O330" s="165"/>
      <c r="P330" s="163"/>
      <c r="Q330" s="163"/>
      <c r="R330" s="163"/>
    </row>
    <row r="331" spans="1:18" ht="12">
      <c r="A331" s="33"/>
      <c r="B331" s="34"/>
      <c r="C331" s="35"/>
      <c r="D331" s="33"/>
      <c r="E331" s="165"/>
      <c r="F331" s="163"/>
      <c r="G331" s="163"/>
      <c r="H331" s="163"/>
      <c r="I331" s="163"/>
      <c r="J331" s="165"/>
      <c r="K331" s="163"/>
      <c r="L331" s="163"/>
      <c r="M331" s="163"/>
      <c r="N331" s="163"/>
      <c r="O331" s="165"/>
      <c r="P331" s="163"/>
      <c r="Q331" s="163"/>
      <c r="R331" s="163"/>
    </row>
    <row r="332" spans="1:18" ht="12">
      <c r="A332" s="33"/>
      <c r="B332" s="34"/>
      <c r="C332" s="35"/>
      <c r="D332" s="33"/>
      <c r="E332" s="165"/>
      <c r="F332" s="163"/>
      <c r="G332" s="163"/>
      <c r="H332" s="163"/>
      <c r="I332" s="163"/>
      <c r="J332" s="165"/>
      <c r="K332" s="163"/>
      <c r="L332" s="163"/>
      <c r="M332" s="163"/>
      <c r="N332" s="163"/>
      <c r="O332" s="165"/>
      <c r="P332" s="163"/>
      <c r="Q332" s="163"/>
      <c r="R332" s="163"/>
    </row>
    <row r="333" spans="1:18" ht="12">
      <c r="A333" s="33"/>
      <c r="B333" s="34"/>
      <c r="C333" s="35"/>
      <c r="D333" s="33"/>
      <c r="E333" s="165"/>
      <c r="F333" s="163"/>
      <c r="G333" s="163"/>
      <c r="H333" s="163"/>
      <c r="I333" s="163"/>
      <c r="J333" s="165"/>
      <c r="K333" s="163"/>
      <c r="L333" s="163"/>
      <c r="M333" s="163"/>
      <c r="N333" s="163"/>
      <c r="O333" s="165"/>
      <c r="P333" s="163"/>
      <c r="Q333" s="163"/>
      <c r="R333" s="163"/>
    </row>
    <row r="334" spans="1:18" ht="12">
      <c r="A334" s="33"/>
      <c r="B334" s="34"/>
      <c r="C334" s="35"/>
      <c r="D334" s="33"/>
      <c r="E334" s="165"/>
      <c r="F334" s="163"/>
      <c r="G334" s="163"/>
      <c r="H334" s="163"/>
      <c r="I334" s="163"/>
      <c r="J334" s="165"/>
      <c r="K334" s="163"/>
      <c r="L334" s="163"/>
      <c r="M334" s="163"/>
      <c r="N334" s="163"/>
      <c r="O334" s="165"/>
      <c r="P334" s="163"/>
      <c r="Q334" s="163"/>
      <c r="R334" s="163"/>
    </row>
    <row r="335" spans="1:18" ht="12">
      <c r="A335" s="33"/>
      <c r="B335" s="34"/>
      <c r="C335" s="35"/>
      <c r="D335" s="33"/>
      <c r="E335" s="165"/>
      <c r="F335" s="163"/>
      <c r="G335" s="163"/>
      <c r="H335" s="163"/>
      <c r="I335" s="163"/>
      <c r="J335" s="165"/>
      <c r="K335" s="163"/>
      <c r="L335" s="163"/>
      <c r="M335" s="163"/>
      <c r="N335" s="163"/>
      <c r="O335" s="165"/>
      <c r="P335" s="163"/>
      <c r="Q335" s="163"/>
      <c r="R335" s="163"/>
    </row>
    <row r="336" spans="1:18" ht="12">
      <c r="A336" s="33"/>
      <c r="B336" s="34"/>
      <c r="C336" s="35"/>
      <c r="D336" s="33"/>
      <c r="E336" s="165"/>
      <c r="F336" s="163"/>
      <c r="G336" s="163"/>
      <c r="H336" s="163"/>
      <c r="I336" s="163"/>
      <c r="J336" s="165"/>
      <c r="K336" s="163"/>
      <c r="L336" s="163"/>
      <c r="M336" s="163"/>
      <c r="N336" s="163"/>
      <c r="O336" s="165"/>
      <c r="P336" s="163"/>
      <c r="Q336" s="163"/>
      <c r="R336" s="163"/>
    </row>
    <row r="337" spans="1:18" ht="12">
      <c r="A337" s="33"/>
      <c r="B337" s="34"/>
      <c r="C337" s="35"/>
      <c r="D337" s="33"/>
      <c r="E337" s="165"/>
      <c r="F337" s="163"/>
      <c r="G337" s="163"/>
      <c r="H337" s="163"/>
      <c r="I337" s="163"/>
      <c r="J337" s="165"/>
      <c r="K337" s="163"/>
      <c r="L337" s="163"/>
      <c r="M337" s="163"/>
      <c r="N337" s="163"/>
      <c r="O337" s="165"/>
      <c r="P337" s="163"/>
      <c r="Q337" s="163"/>
      <c r="R337" s="163"/>
    </row>
    <row r="338" spans="1:18" ht="12">
      <c r="A338" s="33"/>
      <c r="B338" s="34"/>
      <c r="C338" s="35"/>
      <c r="D338" s="33"/>
      <c r="E338" s="165"/>
      <c r="F338" s="163"/>
      <c r="G338" s="163"/>
      <c r="H338" s="163"/>
      <c r="I338" s="163"/>
      <c r="J338" s="165"/>
      <c r="K338" s="163"/>
      <c r="L338" s="163"/>
      <c r="M338" s="163"/>
      <c r="N338" s="163"/>
      <c r="O338" s="165"/>
      <c r="P338" s="163"/>
      <c r="Q338" s="163"/>
      <c r="R338" s="163"/>
    </row>
    <row r="339" spans="1:18" ht="12">
      <c r="A339" s="33"/>
      <c r="B339" s="34"/>
      <c r="C339" s="35"/>
      <c r="D339" s="33"/>
      <c r="E339" s="165"/>
      <c r="F339" s="163"/>
      <c r="G339" s="163"/>
      <c r="H339" s="163"/>
      <c r="I339" s="163"/>
      <c r="J339" s="165"/>
      <c r="K339" s="163"/>
      <c r="L339" s="163"/>
      <c r="M339" s="163"/>
      <c r="N339" s="163"/>
      <c r="O339" s="165"/>
      <c r="P339" s="163"/>
      <c r="Q339" s="163"/>
      <c r="R339" s="163"/>
    </row>
    <row r="340" spans="1:18" ht="12">
      <c r="A340" s="33"/>
      <c r="B340" s="34"/>
      <c r="C340" s="35"/>
      <c r="D340" s="33"/>
      <c r="E340" s="165"/>
      <c r="F340" s="163"/>
      <c r="G340" s="163"/>
      <c r="H340" s="163"/>
      <c r="I340" s="163"/>
      <c r="J340" s="165"/>
      <c r="K340" s="163"/>
      <c r="L340" s="163"/>
      <c r="M340" s="163"/>
      <c r="N340" s="163"/>
      <c r="O340" s="165"/>
      <c r="P340" s="163"/>
      <c r="Q340" s="163"/>
      <c r="R340" s="163"/>
    </row>
    <row r="341" spans="1:18" ht="12">
      <c r="A341" s="33"/>
      <c r="B341" s="34"/>
      <c r="C341" s="35"/>
      <c r="D341" s="33"/>
      <c r="E341" s="165"/>
      <c r="F341" s="163"/>
      <c r="G341" s="163"/>
      <c r="H341" s="163"/>
      <c r="I341" s="163"/>
      <c r="J341" s="165"/>
      <c r="K341" s="163"/>
      <c r="L341" s="163"/>
      <c r="M341" s="163"/>
      <c r="N341" s="163"/>
      <c r="O341" s="165"/>
      <c r="P341" s="163"/>
      <c r="Q341" s="163"/>
      <c r="R341" s="163"/>
    </row>
    <row r="342" spans="1:18" ht="12">
      <c r="A342" s="33"/>
      <c r="B342" s="34"/>
      <c r="C342" s="35"/>
      <c r="D342" s="33"/>
      <c r="E342" s="165"/>
      <c r="F342" s="163"/>
      <c r="G342" s="163"/>
      <c r="H342" s="163"/>
      <c r="I342" s="163"/>
      <c r="J342" s="165"/>
      <c r="K342" s="163"/>
      <c r="L342" s="163"/>
      <c r="M342" s="163"/>
      <c r="N342" s="163"/>
      <c r="O342" s="165"/>
      <c r="P342" s="163"/>
      <c r="Q342" s="163"/>
      <c r="R342" s="163"/>
    </row>
    <row r="343" spans="1:18" ht="12">
      <c r="A343" s="33"/>
      <c r="B343" s="34"/>
      <c r="C343" s="35"/>
      <c r="D343" s="33"/>
      <c r="E343" s="165"/>
      <c r="F343" s="163"/>
      <c r="G343" s="163"/>
      <c r="H343" s="163"/>
      <c r="I343" s="163"/>
      <c r="J343" s="165"/>
      <c r="K343" s="163"/>
      <c r="L343" s="163"/>
      <c r="M343" s="163"/>
      <c r="N343" s="163"/>
      <c r="O343" s="165"/>
      <c r="P343" s="163"/>
      <c r="Q343" s="163"/>
      <c r="R343" s="163"/>
    </row>
    <row r="344" spans="1:18" ht="12">
      <c r="A344" s="33"/>
      <c r="B344" s="34"/>
      <c r="C344" s="35"/>
      <c r="D344" s="33"/>
      <c r="E344" s="165"/>
      <c r="F344" s="163"/>
      <c r="G344" s="163"/>
      <c r="H344" s="163"/>
      <c r="I344" s="163"/>
      <c r="J344" s="165"/>
      <c r="K344" s="163"/>
      <c r="L344" s="163"/>
      <c r="M344" s="163"/>
      <c r="N344" s="163"/>
      <c r="O344" s="165"/>
      <c r="P344" s="163"/>
      <c r="Q344" s="163"/>
      <c r="R344" s="163"/>
    </row>
    <row r="345" spans="1:18" ht="12">
      <c r="A345" s="33"/>
      <c r="B345" s="34"/>
      <c r="C345" s="35"/>
      <c r="D345" s="33"/>
      <c r="E345" s="165"/>
      <c r="F345" s="163"/>
      <c r="G345" s="163"/>
      <c r="H345" s="163"/>
      <c r="I345" s="163"/>
      <c r="J345" s="165"/>
      <c r="K345" s="163"/>
      <c r="L345" s="163"/>
      <c r="M345" s="163"/>
      <c r="N345" s="163"/>
      <c r="O345" s="165"/>
      <c r="P345" s="163"/>
      <c r="Q345" s="163"/>
      <c r="R345" s="163"/>
    </row>
    <row r="346" spans="1:18" ht="12">
      <c r="A346" s="33"/>
      <c r="B346" s="34"/>
      <c r="C346" s="35"/>
      <c r="D346" s="33"/>
      <c r="E346" s="165"/>
      <c r="F346" s="163"/>
      <c r="G346" s="163"/>
      <c r="H346" s="163"/>
      <c r="I346" s="163"/>
      <c r="J346" s="165"/>
      <c r="K346" s="163"/>
      <c r="L346" s="163"/>
      <c r="M346" s="163"/>
      <c r="N346" s="163"/>
      <c r="O346" s="165"/>
      <c r="P346" s="163"/>
      <c r="Q346" s="163"/>
      <c r="R346" s="163"/>
    </row>
    <row r="347" spans="1:18" ht="12">
      <c r="A347" s="33"/>
      <c r="B347" s="34"/>
      <c r="C347" s="35"/>
      <c r="D347" s="33"/>
      <c r="E347" s="165"/>
      <c r="F347" s="163"/>
      <c r="G347" s="163"/>
      <c r="H347" s="163"/>
      <c r="I347" s="163"/>
      <c r="J347" s="165"/>
      <c r="K347" s="163"/>
      <c r="L347" s="163"/>
      <c r="M347" s="163"/>
      <c r="N347" s="163"/>
      <c r="O347" s="165"/>
      <c r="P347" s="163"/>
      <c r="Q347" s="163"/>
      <c r="R347" s="163"/>
    </row>
    <row r="348" spans="1:18" ht="12">
      <c r="A348" s="33"/>
      <c r="B348" s="34"/>
      <c r="C348" s="35"/>
      <c r="D348" s="33"/>
      <c r="E348" s="165"/>
      <c r="F348" s="163"/>
      <c r="G348" s="163"/>
      <c r="H348" s="163"/>
      <c r="I348" s="163"/>
      <c r="J348" s="165"/>
      <c r="K348" s="163"/>
      <c r="L348" s="163"/>
      <c r="M348" s="163"/>
      <c r="N348" s="163"/>
      <c r="O348" s="165"/>
      <c r="P348" s="163"/>
      <c r="Q348" s="163"/>
      <c r="R348" s="163"/>
    </row>
    <row r="349" spans="1:18" ht="12">
      <c r="A349" s="33"/>
      <c r="B349" s="34"/>
      <c r="C349" s="35"/>
      <c r="D349" s="33"/>
      <c r="E349" s="165"/>
      <c r="F349" s="163"/>
      <c r="G349" s="163"/>
      <c r="H349" s="163"/>
      <c r="I349" s="163"/>
      <c r="J349" s="165"/>
      <c r="K349" s="163"/>
      <c r="L349" s="163"/>
      <c r="M349" s="163"/>
      <c r="N349" s="163"/>
      <c r="O349" s="165"/>
      <c r="P349" s="163"/>
      <c r="Q349" s="163"/>
      <c r="R349" s="163"/>
    </row>
    <row r="350" spans="1:18" ht="12">
      <c r="A350" s="33"/>
      <c r="B350" s="34"/>
      <c r="C350" s="35"/>
      <c r="D350" s="33"/>
      <c r="E350" s="165"/>
      <c r="F350" s="163"/>
      <c r="G350" s="163"/>
      <c r="H350" s="163"/>
      <c r="I350" s="163"/>
      <c r="J350" s="165"/>
      <c r="K350" s="163"/>
      <c r="L350" s="163"/>
      <c r="M350" s="163"/>
      <c r="N350" s="163"/>
      <c r="O350" s="165"/>
      <c r="P350" s="163"/>
      <c r="Q350" s="163"/>
      <c r="R350" s="163"/>
    </row>
    <row r="351" spans="1:18" ht="12">
      <c r="A351" s="33"/>
      <c r="B351" s="34"/>
      <c r="C351" s="35"/>
      <c r="D351" s="33"/>
      <c r="E351" s="165"/>
      <c r="F351" s="163"/>
      <c r="G351" s="163"/>
      <c r="H351" s="163"/>
      <c r="I351" s="163"/>
      <c r="J351" s="165"/>
      <c r="K351" s="163"/>
      <c r="L351" s="163"/>
      <c r="M351" s="163"/>
      <c r="N351" s="163"/>
      <c r="O351" s="165"/>
      <c r="P351" s="163"/>
      <c r="Q351" s="163"/>
      <c r="R351" s="163"/>
    </row>
    <row r="352" spans="1:18" ht="12">
      <c r="A352" s="33"/>
      <c r="B352" s="34"/>
      <c r="C352" s="35"/>
      <c r="D352" s="33"/>
      <c r="E352" s="165"/>
      <c r="F352" s="163"/>
      <c r="G352" s="163"/>
      <c r="H352" s="163"/>
      <c r="I352" s="163"/>
      <c r="J352" s="165"/>
      <c r="K352" s="163"/>
      <c r="L352" s="163"/>
      <c r="M352" s="163"/>
      <c r="N352" s="163"/>
      <c r="O352" s="165"/>
      <c r="P352" s="163"/>
      <c r="Q352" s="163"/>
      <c r="R352" s="163"/>
    </row>
    <row r="353" spans="1:18" ht="12">
      <c r="A353" s="33"/>
      <c r="B353" s="34"/>
      <c r="C353" s="35"/>
      <c r="D353" s="33"/>
      <c r="E353" s="165"/>
      <c r="F353" s="163"/>
      <c r="G353" s="163"/>
      <c r="H353" s="163"/>
      <c r="I353" s="163"/>
      <c r="J353" s="165"/>
      <c r="K353" s="163"/>
      <c r="L353" s="163"/>
      <c r="M353" s="163"/>
      <c r="N353" s="163"/>
      <c r="O353" s="165"/>
      <c r="P353" s="163"/>
      <c r="Q353" s="163"/>
      <c r="R353" s="163"/>
    </row>
    <row r="354" spans="1:18" ht="12">
      <c r="A354" s="33"/>
      <c r="B354" s="34"/>
      <c r="C354" s="35"/>
      <c r="D354" s="33"/>
      <c r="E354" s="165"/>
      <c r="F354" s="163"/>
      <c r="G354" s="163"/>
      <c r="H354" s="163"/>
      <c r="I354" s="163"/>
      <c r="J354" s="165"/>
      <c r="K354" s="163"/>
      <c r="L354" s="163"/>
      <c r="M354" s="163"/>
      <c r="N354" s="163"/>
      <c r="O354" s="165"/>
      <c r="P354" s="163"/>
      <c r="Q354" s="163"/>
      <c r="R354" s="163"/>
    </row>
    <row r="355" spans="1:18" ht="12">
      <c r="A355" s="33"/>
      <c r="B355" s="34"/>
      <c r="C355" s="35"/>
      <c r="D355" s="33"/>
      <c r="E355" s="165"/>
      <c r="F355" s="163"/>
      <c r="G355" s="163"/>
      <c r="H355" s="163"/>
      <c r="I355" s="163"/>
      <c r="J355" s="165"/>
      <c r="K355" s="163"/>
      <c r="L355" s="163"/>
      <c r="M355" s="163"/>
      <c r="N355" s="163"/>
      <c r="O355" s="165"/>
      <c r="P355" s="163"/>
      <c r="Q355" s="163"/>
      <c r="R355" s="163"/>
    </row>
    <row r="356" spans="1:18">
      <c r="A356" s="33"/>
      <c r="B356" s="34"/>
      <c r="C356" s="35"/>
      <c r="D356" s="33"/>
      <c r="E356" s="35"/>
      <c r="F356" s="33"/>
      <c r="G356" s="33"/>
      <c r="H356" s="36"/>
      <c r="I356" s="33"/>
      <c r="J356" s="35"/>
      <c r="K356" s="33"/>
      <c r="L356" s="33"/>
      <c r="M356" s="36"/>
      <c r="N356" s="33"/>
      <c r="O356" s="35"/>
      <c r="P356" s="33"/>
      <c r="Q356" s="33"/>
      <c r="R356" s="36"/>
    </row>
    <row r="357" spans="1:18">
      <c r="A357" s="33"/>
      <c r="B357" s="34"/>
      <c r="C357" s="35"/>
      <c r="D357" s="33"/>
      <c r="E357" s="35"/>
      <c r="F357" s="33"/>
      <c r="G357" s="33"/>
      <c r="H357" s="36"/>
      <c r="I357" s="33"/>
      <c r="J357" s="35"/>
      <c r="K357" s="33"/>
      <c r="L357" s="33"/>
      <c r="M357" s="36"/>
      <c r="N357" s="33"/>
      <c r="O357" s="35"/>
      <c r="P357" s="33"/>
      <c r="Q357" s="33"/>
      <c r="R357" s="36"/>
    </row>
    <row r="358" spans="1:18">
      <c r="A358" s="33"/>
      <c r="B358" s="34"/>
      <c r="C358" s="35"/>
      <c r="D358" s="33"/>
      <c r="E358" s="35"/>
      <c r="F358" s="33"/>
      <c r="G358" s="33"/>
      <c r="H358" s="36"/>
      <c r="I358" s="33"/>
      <c r="J358" s="35"/>
      <c r="K358" s="33"/>
      <c r="L358" s="33"/>
      <c r="M358" s="36"/>
      <c r="N358" s="33"/>
      <c r="O358" s="35"/>
      <c r="P358" s="33"/>
      <c r="Q358" s="33"/>
      <c r="R358" s="36"/>
    </row>
    <row r="359" spans="1:18">
      <c r="A359" s="33"/>
      <c r="B359" s="34"/>
      <c r="C359" s="35"/>
      <c r="D359" s="33"/>
      <c r="E359" s="35"/>
      <c r="F359" s="33"/>
      <c r="G359" s="33"/>
      <c r="H359" s="36"/>
      <c r="I359" s="33"/>
      <c r="J359" s="35"/>
      <c r="K359" s="33"/>
      <c r="L359" s="33"/>
      <c r="M359" s="36"/>
      <c r="N359" s="33"/>
      <c r="O359" s="35"/>
      <c r="P359" s="33"/>
      <c r="Q359" s="33"/>
      <c r="R359" s="36"/>
    </row>
    <row r="360" spans="1:18">
      <c r="A360" s="33"/>
      <c r="B360" s="34"/>
      <c r="C360" s="35"/>
      <c r="D360" s="33"/>
      <c r="E360" s="35"/>
      <c r="F360" s="33"/>
      <c r="G360" s="33"/>
      <c r="H360" s="36"/>
      <c r="I360" s="33"/>
      <c r="J360" s="35"/>
      <c r="K360" s="33"/>
      <c r="L360" s="33"/>
      <c r="M360" s="36"/>
      <c r="N360" s="33"/>
      <c r="O360" s="35"/>
      <c r="P360" s="33"/>
      <c r="Q360" s="33"/>
      <c r="R360" s="36"/>
    </row>
    <row r="361" spans="1:18">
      <c r="A361" s="33"/>
      <c r="B361" s="34"/>
      <c r="C361" s="35"/>
      <c r="D361" s="33"/>
      <c r="E361" s="35"/>
      <c r="F361" s="33"/>
      <c r="G361" s="33"/>
      <c r="H361" s="36"/>
      <c r="I361" s="33"/>
      <c r="J361" s="35"/>
      <c r="K361" s="33"/>
      <c r="L361" s="33"/>
      <c r="M361" s="36"/>
      <c r="N361" s="33"/>
      <c r="O361" s="35"/>
      <c r="P361" s="33"/>
      <c r="Q361" s="33"/>
      <c r="R361" s="36"/>
    </row>
    <row r="362" spans="1:18">
      <c r="A362" s="33"/>
      <c r="B362" s="34"/>
      <c r="C362" s="35"/>
      <c r="D362" s="33"/>
      <c r="E362" s="35"/>
      <c r="F362" s="33"/>
      <c r="G362" s="33"/>
      <c r="H362" s="36"/>
      <c r="I362" s="33"/>
      <c r="J362" s="35"/>
      <c r="K362" s="33"/>
      <c r="L362" s="33"/>
      <c r="M362" s="36"/>
      <c r="N362" s="33"/>
      <c r="O362" s="35"/>
      <c r="P362" s="33"/>
      <c r="Q362" s="33"/>
      <c r="R362" s="36"/>
    </row>
    <row r="363" spans="1:18">
      <c r="A363" s="33"/>
      <c r="B363" s="34"/>
      <c r="C363" s="35"/>
      <c r="D363" s="33"/>
      <c r="E363" s="35"/>
      <c r="F363" s="33"/>
      <c r="G363" s="33"/>
      <c r="H363" s="36"/>
      <c r="I363" s="33"/>
      <c r="J363" s="35"/>
      <c r="K363" s="33"/>
      <c r="L363" s="33"/>
      <c r="M363" s="36"/>
      <c r="N363" s="33"/>
      <c r="O363" s="35"/>
      <c r="P363" s="33"/>
      <c r="Q363" s="33"/>
      <c r="R363" s="36"/>
    </row>
    <row r="364" spans="1:18">
      <c r="A364" s="33"/>
      <c r="B364" s="34"/>
      <c r="C364" s="35"/>
      <c r="D364" s="33"/>
      <c r="E364" s="35"/>
      <c r="F364" s="33"/>
      <c r="G364" s="33"/>
      <c r="H364" s="36"/>
      <c r="I364" s="33"/>
      <c r="J364" s="35"/>
      <c r="K364" s="33"/>
      <c r="L364" s="33"/>
      <c r="M364" s="36"/>
      <c r="N364" s="33"/>
      <c r="O364" s="35"/>
      <c r="P364" s="33"/>
      <c r="Q364" s="33"/>
      <c r="R364" s="36"/>
    </row>
    <row r="365" spans="1:18">
      <c r="A365" s="33"/>
      <c r="B365" s="34"/>
      <c r="C365" s="35"/>
      <c r="D365" s="33"/>
      <c r="E365" s="35"/>
      <c r="F365" s="33"/>
      <c r="G365" s="33"/>
      <c r="H365" s="36"/>
      <c r="I365" s="33"/>
      <c r="J365" s="35"/>
      <c r="K365" s="33"/>
      <c r="L365" s="33"/>
      <c r="M365" s="36"/>
      <c r="N365" s="33"/>
      <c r="O365" s="35"/>
      <c r="P365" s="33"/>
      <c r="Q365" s="33"/>
      <c r="R365" s="36"/>
    </row>
    <row r="366" spans="1:18">
      <c r="A366" s="33"/>
      <c r="B366" s="34"/>
      <c r="C366" s="35"/>
      <c r="D366" s="33"/>
      <c r="E366" s="35"/>
      <c r="F366" s="33"/>
      <c r="G366" s="33"/>
      <c r="H366" s="36"/>
      <c r="I366" s="33"/>
      <c r="J366" s="35"/>
      <c r="K366" s="33"/>
      <c r="L366" s="33"/>
      <c r="M366" s="36"/>
      <c r="N366" s="33"/>
      <c r="O366" s="35"/>
      <c r="P366" s="33"/>
      <c r="Q366" s="33"/>
      <c r="R366" s="36"/>
    </row>
    <row r="367" spans="1:18">
      <c r="A367" s="33"/>
      <c r="B367" s="34"/>
      <c r="C367" s="35"/>
      <c r="D367" s="33"/>
      <c r="E367" s="35"/>
      <c r="F367" s="33"/>
      <c r="G367" s="33"/>
      <c r="H367" s="36"/>
      <c r="I367" s="33"/>
      <c r="J367" s="35"/>
      <c r="K367" s="33"/>
      <c r="L367" s="33"/>
      <c r="M367" s="36"/>
      <c r="N367" s="33"/>
      <c r="O367" s="35"/>
      <c r="P367" s="33"/>
      <c r="Q367" s="33"/>
      <c r="R367" s="36"/>
    </row>
    <row r="368" spans="1:18">
      <c r="A368" s="33"/>
      <c r="B368" s="34"/>
      <c r="C368" s="35"/>
      <c r="D368" s="33"/>
      <c r="E368" s="35"/>
      <c r="F368" s="33"/>
      <c r="G368" s="33"/>
      <c r="H368" s="36"/>
      <c r="I368" s="33"/>
      <c r="J368" s="35"/>
      <c r="K368" s="33"/>
      <c r="L368" s="33"/>
      <c r="M368" s="36"/>
      <c r="N368" s="33"/>
      <c r="O368" s="35"/>
      <c r="P368" s="33"/>
      <c r="Q368" s="33"/>
      <c r="R368" s="36"/>
    </row>
    <row r="369" spans="1:18">
      <c r="A369" s="33"/>
      <c r="B369" s="34"/>
      <c r="C369" s="35"/>
      <c r="D369" s="33"/>
      <c r="E369" s="35"/>
      <c r="F369" s="33"/>
      <c r="G369" s="33"/>
      <c r="H369" s="36"/>
      <c r="I369" s="33"/>
      <c r="J369" s="35"/>
      <c r="K369" s="33"/>
      <c r="L369" s="33"/>
      <c r="M369" s="36"/>
      <c r="N369" s="33"/>
      <c r="O369" s="35"/>
      <c r="P369" s="33"/>
      <c r="Q369" s="33"/>
      <c r="R369" s="36"/>
    </row>
    <row r="370" spans="1:18">
      <c r="A370" s="33"/>
      <c r="B370" s="34"/>
      <c r="C370" s="35"/>
      <c r="D370" s="33"/>
      <c r="E370" s="35"/>
      <c r="F370" s="33"/>
      <c r="G370" s="33"/>
      <c r="H370" s="36"/>
      <c r="I370" s="33"/>
      <c r="J370" s="35"/>
      <c r="K370" s="33"/>
      <c r="L370" s="33"/>
      <c r="M370" s="36"/>
      <c r="N370" s="33"/>
      <c r="O370" s="35"/>
      <c r="P370" s="33"/>
      <c r="Q370" s="33"/>
      <c r="R370" s="36"/>
    </row>
    <row r="371" spans="1:18">
      <c r="A371" s="33"/>
      <c r="B371" s="34"/>
      <c r="C371" s="35"/>
      <c r="D371" s="33"/>
      <c r="E371" s="35"/>
      <c r="F371" s="33"/>
      <c r="G371" s="33"/>
      <c r="H371" s="36"/>
      <c r="I371" s="33"/>
      <c r="J371" s="35"/>
      <c r="K371" s="33"/>
      <c r="L371" s="33"/>
      <c r="M371" s="36"/>
      <c r="N371" s="33"/>
      <c r="O371" s="35"/>
      <c r="P371" s="33"/>
      <c r="Q371" s="33"/>
      <c r="R371" s="36"/>
    </row>
    <row r="372" spans="1:18">
      <c r="A372" s="33"/>
      <c r="B372" s="34"/>
      <c r="C372" s="35"/>
      <c r="D372" s="33"/>
      <c r="E372" s="35"/>
      <c r="F372" s="33"/>
      <c r="G372" s="33"/>
      <c r="H372" s="36"/>
      <c r="I372" s="33"/>
      <c r="J372" s="35"/>
      <c r="K372" s="33"/>
      <c r="L372" s="33"/>
      <c r="M372" s="36"/>
      <c r="N372" s="33"/>
      <c r="O372" s="35"/>
      <c r="P372" s="33"/>
      <c r="Q372" s="33"/>
      <c r="R372" s="36"/>
    </row>
    <row r="373" spans="1:18">
      <c r="A373" s="33"/>
      <c r="B373" s="34"/>
      <c r="C373" s="35"/>
      <c r="D373" s="33"/>
      <c r="E373" s="35"/>
      <c r="F373" s="33"/>
      <c r="G373" s="33"/>
      <c r="H373" s="36"/>
      <c r="I373" s="33"/>
      <c r="J373" s="35"/>
      <c r="K373" s="33"/>
      <c r="L373" s="33"/>
      <c r="M373" s="36"/>
      <c r="N373" s="33"/>
      <c r="O373" s="35"/>
      <c r="P373" s="33"/>
      <c r="Q373" s="33"/>
      <c r="R373" s="36"/>
    </row>
    <row r="374" spans="1:18">
      <c r="A374" s="33"/>
      <c r="B374" s="34"/>
      <c r="C374" s="35"/>
      <c r="D374" s="33"/>
      <c r="E374" s="35"/>
      <c r="F374" s="33"/>
      <c r="G374" s="33"/>
      <c r="H374" s="36"/>
      <c r="I374" s="33"/>
      <c r="J374" s="35"/>
      <c r="K374" s="33"/>
      <c r="L374" s="33"/>
      <c r="M374" s="36"/>
      <c r="N374" s="33"/>
      <c r="O374" s="35"/>
      <c r="P374" s="33"/>
      <c r="Q374" s="33"/>
      <c r="R374" s="36"/>
    </row>
    <row r="375" spans="1:18">
      <c r="A375" s="33"/>
      <c r="B375" s="34"/>
      <c r="C375" s="35"/>
      <c r="D375" s="33"/>
      <c r="E375" s="35"/>
      <c r="F375" s="33"/>
      <c r="G375" s="33"/>
      <c r="H375" s="36"/>
      <c r="I375" s="33"/>
      <c r="J375" s="35"/>
      <c r="K375" s="33"/>
      <c r="L375" s="33"/>
      <c r="M375" s="36"/>
      <c r="N375" s="33"/>
      <c r="O375" s="35"/>
      <c r="P375" s="33"/>
      <c r="Q375" s="33"/>
      <c r="R375" s="36"/>
    </row>
    <row r="376" spans="1:18">
      <c r="A376" s="33"/>
      <c r="B376" s="34"/>
      <c r="C376" s="35"/>
      <c r="D376" s="33"/>
      <c r="E376" s="35"/>
      <c r="F376" s="33"/>
      <c r="G376" s="33"/>
      <c r="H376" s="36"/>
      <c r="I376" s="33"/>
      <c r="J376" s="35"/>
      <c r="K376" s="33"/>
      <c r="L376" s="33"/>
      <c r="M376" s="36"/>
      <c r="N376" s="33"/>
      <c r="O376" s="35"/>
      <c r="P376" s="33"/>
      <c r="Q376" s="33"/>
      <c r="R376" s="36"/>
    </row>
    <row r="377" spans="1:18">
      <c r="A377" s="33"/>
      <c r="B377" s="34"/>
      <c r="C377" s="35"/>
      <c r="D377" s="33"/>
      <c r="E377" s="35"/>
      <c r="F377" s="33"/>
      <c r="G377" s="33"/>
      <c r="H377" s="36"/>
      <c r="I377" s="33"/>
      <c r="J377" s="35"/>
      <c r="K377" s="33"/>
      <c r="L377" s="33"/>
      <c r="M377" s="36"/>
      <c r="N377" s="33"/>
      <c r="O377" s="35"/>
      <c r="P377" s="33"/>
      <c r="Q377" s="33"/>
      <c r="R377" s="36"/>
    </row>
    <row r="378" spans="1:18">
      <c r="A378" s="33"/>
      <c r="B378" s="34"/>
      <c r="C378" s="35"/>
      <c r="D378" s="33"/>
      <c r="E378" s="35"/>
      <c r="F378" s="33"/>
      <c r="G378" s="33"/>
      <c r="H378" s="36"/>
      <c r="I378" s="33"/>
      <c r="J378" s="35"/>
      <c r="K378" s="33"/>
      <c r="L378" s="33"/>
      <c r="M378" s="36"/>
      <c r="N378" s="33"/>
      <c r="O378" s="35"/>
      <c r="P378" s="33"/>
      <c r="Q378" s="33"/>
      <c r="R378" s="36"/>
    </row>
    <row r="379" spans="1:18">
      <c r="A379" s="33"/>
      <c r="B379" s="34"/>
      <c r="C379" s="35"/>
      <c r="D379" s="33"/>
      <c r="E379" s="35"/>
      <c r="F379" s="33"/>
      <c r="G379" s="33"/>
      <c r="H379" s="36"/>
      <c r="I379" s="33"/>
      <c r="J379" s="35"/>
      <c r="K379" s="33"/>
      <c r="L379" s="33"/>
      <c r="M379" s="36"/>
      <c r="N379" s="33"/>
      <c r="O379" s="35"/>
      <c r="P379" s="33"/>
      <c r="Q379" s="33"/>
      <c r="R379" s="36"/>
    </row>
    <row r="380" spans="1:18">
      <c r="A380" s="33"/>
      <c r="B380" s="34"/>
      <c r="C380" s="35"/>
      <c r="D380" s="33"/>
      <c r="E380" s="35"/>
      <c r="F380" s="33"/>
      <c r="G380" s="33"/>
      <c r="H380" s="36"/>
      <c r="I380" s="33"/>
      <c r="J380" s="35"/>
      <c r="K380" s="33"/>
      <c r="L380" s="33"/>
      <c r="M380" s="36"/>
      <c r="N380" s="33"/>
      <c r="O380" s="35"/>
      <c r="P380" s="33"/>
      <c r="Q380" s="33"/>
      <c r="R380" s="36"/>
    </row>
    <row r="381" spans="1:18">
      <c r="A381" s="33"/>
      <c r="B381" s="34"/>
      <c r="C381" s="35"/>
      <c r="D381" s="33"/>
      <c r="E381" s="35"/>
      <c r="F381" s="33"/>
      <c r="G381" s="33"/>
      <c r="H381" s="36"/>
      <c r="I381" s="33"/>
      <c r="J381" s="35"/>
      <c r="K381" s="33"/>
      <c r="L381" s="33"/>
      <c r="M381" s="36"/>
      <c r="N381" s="33"/>
      <c r="O381" s="35"/>
      <c r="P381" s="33"/>
      <c r="Q381" s="33"/>
      <c r="R381" s="36"/>
    </row>
    <row r="382" spans="1:18">
      <c r="A382" s="33"/>
      <c r="B382" s="34"/>
      <c r="C382" s="35"/>
      <c r="D382" s="33"/>
      <c r="E382" s="35"/>
      <c r="F382" s="33"/>
      <c r="G382" s="33"/>
      <c r="H382" s="36"/>
      <c r="I382" s="33"/>
      <c r="J382" s="35"/>
      <c r="K382" s="33"/>
      <c r="L382" s="33"/>
      <c r="M382" s="36"/>
      <c r="N382" s="33"/>
      <c r="O382" s="35"/>
      <c r="P382" s="33"/>
      <c r="Q382" s="33"/>
      <c r="R382" s="36"/>
    </row>
    <row r="383" spans="1:18">
      <c r="A383" s="33"/>
      <c r="B383" s="34"/>
      <c r="C383" s="35"/>
      <c r="D383" s="33"/>
      <c r="E383" s="35"/>
      <c r="F383" s="33"/>
      <c r="G383" s="33"/>
      <c r="H383" s="36"/>
      <c r="I383" s="33"/>
      <c r="J383" s="35"/>
      <c r="K383" s="33"/>
      <c r="L383" s="33"/>
      <c r="M383" s="36"/>
      <c r="N383" s="33"/>
      <c r="O383" s="35"/>
      <c r="P383" s="33"/>
      <c r="Q383" s="33"/>
      <c r="R383" s="36"/>
    </row>
    <row r="384" spans="1:18">
      <c r="A384" s="33"/>
      <c r="B384" s="34"/>
      <c r="C384" s="35"/>
      <c r="D384" s="33"/>
      <c r="E384" s="35"/>
      <c r="F384" s="33"/>
      <c r="G384" s="33"/>
      <c r="H384" s="36"/>
      <c r="I384" s="33"/>
      <c r="J384" s="35"/>
      <c r="K384" s="33"/>
      <c r="L384" s="33"/>
      <c r="M384" s="36"/>
      <c r="N384" s="33"/>
      <c r="O384" s="35"/>
      <c r="P384" s="33"/>
      <c r="Q384" s="33"/>
      <c r="R384" s="36"/>
    </row>
    <row r="385" spans="1:18">
      <c r="A385" s="33"/>
      <c r="B385" s="34"/>
      <c r="C385" s="35"/>
      <c r="D385" s="33"/>
      <c r="E385" s="35"/>
      <c r="F385" s="33"/>
      <c r="G385" s="33"/>
      <c r="H385" s="36"/>
      <c r="I385" s="33"/>
      <c r="J385" s="35"/>
      <c r="K385" s="33"/>
      <c r="L385" s="33"/>
      <c r="M385" s="36"/>
      <c r="N385" s="33"/>
      <c r="O385" s="35"/>
      <c r="P385" s="33"/>
      <c r="Q385" s="33"/>
      <c r="R385" s="36"/>
    </row>
    <row r="386" spans="1:18">
      <c r="A386" s="33"/>
      <c r="B386" s="34"/>
      <c r="C386" s="35"/>
      <c r="D386" s="33"/>
      <c r="E386" s="35"/>
      <c r="F386" s="33"/>
      <c r="G386" s="33"/>
      <c r="H386" s="36"/>
      <c r="I386" s="33"/>
      <c r="J386" s="35"/>
      <c r="K386" s="33"/>
      <c r="L386" s="33"/>
      <c r="M386" s="36"/>
      <c r="N386" s="33"/>
      <c r="O386" s="35"/>
      <c r="P386" s="33"/>
      <c r="Q386" s="33"/>
      <c r="R386" s="36"/>
    </row>
    <row r="387" spans="1:18">
      <c r="A387" s="33"/>
      <c r="B387" s="34"/>
      <c r="C387" s="35"/>
      <c r="D387" s="33"/>
      <c r="E387" s="35"/>
      <c r="F387" s="33"/>
      <c r="G387" s="33"/>
      <c r="H387" s="36"/>
      <c r="I387" s="33"/>
      <c r="J387" s="35"/>
      <c r="K387" s="33"/>
      <c r="L387" s="33"/>
      <c r="M387" s="36"/>
      <c r="N387" s="33"/>
      <c r="O387" s="35"/>
      <c r="P387" s="33"/>
      <c r="Q387" s="33"/>
      <c r="R387" s="36"/>
    </row>
    <row r="388" spans="1:18">
      <c r="A388" s="33"/>
      <c r="B388" s="34"/>
      <c r="C388" s="35"/>
      <c r="D388" s="33"/>
      <c r="E388" s="35"/>
      <c r="F388" s="33"/>
      <c r="G388" s="33"/>
      <c r="H388" s="36"/>
      <c r="I388" s="33"/>
      <c r="J388" s="35"/>
      <c r="K388" s="33"/>
      <c r="L388" s="33"/>
      <c r="M388" s="36"/>
      <c r="N388" s="33"/>
      <c r="O388" s="35"/>
      <c r="P388" s="33"/>
      <c r="Q388" s="33"/>
      <c r="R388" s="36"/>
    </row>
    <row r="389" spans="1:18">
      <c r="A389" s="33"/>
      <c r="B389" s="34"/>
      <c r="C389" s="35"/>
      <c r="D389" s="33"/>
      <c r="E389" s="35"/>
      <c r="F389" s="33"/>
      <c r="G389" s="33"/>
      <c r="H389" s="36"/>
      <c r="I389" s="33"/>
      <c r="J389" s="35"/>
      <c r="K389" s="33"/>
      <c r="L389" s="33"/>
      <c r="M389" s="36"/>
      <c r="N389" s="33"/>
      <c r="O389" s="35"/>
      <c r="P389" s="33"/>
      <c r="Q389" s="33"/>
      <c r="R389" s="36"/>
    </row>
    <row r="390" spans="1:18">
      <c r="A390" s="33"/>
      <c r="B390" s="34"/>
      <c r="C390" s="35"/>
      <c r="D390" s="33"/>
      <c r="E390" s="35"/>
      <c r="F390" s="33"/>
      <c r="G390" s="33"/>
      <c r="H390" s="36"/>
      <c r="I390" s="33"/>
      <c r="J390" s="35"/>
      <c r="K390" s="33"/>
      <c r="L390" s="33"/>
      <c r="M390" s="36"/>
      <c r="N390" s="33"/>
      <c r="O390" s="35"/>
      <c r="P390" s="33"/>
      <c r="Q390" s="33"/>
      <c r="R390" s="36"/>
    </row>
    <row r="391" spans="1:18">
      <c r="A391" s="33"/>
      <c r="B391" s="34"/>
      <c r="C391" s="35"/>
      <c r="D391" s="33"/>
      <c r="E391" s="35"/>
      <c r="F391" s="33"/>
      <c r="G391" s="33"/>
      <c r="H391" s="36"/>
      <c r="I391" s="33"/>
      <c r="J391" s="35"/>
      <c r="K391" s="33"/>
      <c r="L391" s="33"/>
      <c r="M391" s="36"/>
      <c r="N391" s="33"/>
      <c r="O391" s="35"/>
      <c r="P391" s="33"/>
      <c r="Q391" s="33"/>
      <c r="R391" s="36"/>
    </row>
    <row r="392" spans="1:18">
      <c r="A392" s="33"/>
      <c r="B392" s="34"/>
      <c r="C392" s="35"/>
      <c r="D392" s="33"/>
      <c r="E392" s="35"/>
      <c r="F392" s="33"/>
      <c r="G392" s="33"/>
      <c r="H392" s="36"/>
      <c r="I392" s="33"/>
      <c r="J392" s="35"/>
      <c r="K392" s="33"/>
      <c r="L392" s="33"/>
      <c r="M392" s="36"/>
      <c r="N392" s="33"/>
      <c r="O392" s="35"/>
      <c r="P392" s="33"/>
      <c r="Q392" s="33"/>
      <c r="R392" s="36"/>
    </row>
    <row r="393" spans="1:18">
      <c r="A393" s="33"/>
      <c r="B393" s="34"/>
      <c r="C393" s="35"/>
      <c r="D393" s="33"/>
      <c r="E393" s="35"/>
      <c r="F393" s="33"/>
      <c r="G393" s="33"/>
      <c r="H393" s="36"/>
      <c r="I393" s="33"/>
      <c r="J393" s="35"/>
      <c r="K393" s="33"/>
      <c r="L393" s="33"/>
      <c r="M393" s="36"/>
      <c r="N393" s="33"/>
      <c r="O393" s="35"/>
      <c r="P393" s="33"/>
      <c r="Q393" s="33"/>
      <c r="R393" s="36"/>
    </row>
    <row r="394" spans="1:18">
      <c r="A394" s="33"/>
      <c r="B394" s="34"/>
      <c r="C394" s="35"/>
      <c r="D394" s="33"/>
      <c r="E394" s="35"/>
      <c r="F394" s="33"/>
      <c r="G394" s="33"/>
      <c r="H394" s="36"/>
      <c r="I394" s="33"/>
      <c r="J394" s="35"/>
      <c r="K394" s="33"/>
      <c r="L394" s="33"/>
      <c r="M394" s="36"/>
      <c r="N394" s="33"/>
      <c r="O394" s="35"/>
      <c r="P394" s="33"/>
      <c r="Q394" s="33"/>
      <c r="R394" s="36"/>
    </row>
    <row r="395" spans="1:18">
      <c r="A395" s="33"/>
      <c r="B395" s="34"/>
      <c r="C395" s="35"/>
      <c r="D395" s="33"/>
      <c r="E395" s="35"/>
      <c r="F395" s="33"/>
      <c r="G395" s="33"/>
      <c r="H395" s="36"/>
      <c r="I395" s="33"/>
      <c r="J395" s="35"/>
      <c r="K395" s="33"/>
      <c r="L395" s="33"/>
      <c r="M395" s="36"/>
      <c r="N395" s="33"/>
      <c r="O395" s="35"/>
      <c r="P395" s="33"/>
      <c r="Q395" s="33"/>
      <c r="R395" s="36"/>
    </row>
    <row r="396" spans="1:18">
      <c r="A396" s="33"/>
      <c r="B396" s="34"/>
      <c r="C396" s="35"/>
      <c r="D396" s="33"/>
      <c r="E396" s="35"/>
      <c r="F396" s="33"/>
      <c r="G396" s="33"/>
      <c r="H396" s="36"/>
      <c r="I396" s="33"/>
      <c r="J396" s="35"/>
      <c r="K396" s="33"/>
      <c r="L396" s="33"/>
      <c r="M396" s="36"/>
      <c r="N396" s="33"/>
      <c r="O396" s="35"/>
      <c r="P396" s="33"/>
      <c r="Q396" s="33"/>
      <c r="R396" s="36"/>
    </row>
    <row r="397" spans="1:18">
      <c r="A397" s="33"/>
      <c r="B397" s="34"/>
      <c r="C397" s="35"/>
      <c r="D397" s="33"/>
      <c r="E397" s="35"/>
      <c r="F397" s="33"/>
      <c r="G397" s="33"/>
      <c r="H397" s="36"/>
      <c r="I397" s="33"/>
      <c r="J397" s="35"/>
      <c r="K397" s="33"/>
      <c r="L397" s="33"/>
      <c r="M397" s="36"/>
      <c r="N397" s="33"/>
      <c r="O397" s="35"/>
      <c r="P397" s="33"/>
      <c r="Q397" s="33"/>
      <c r="R397" s="36"/>
    </row>
    <row r="398" spans="1:18">
      <c r="A398" s="33"/>
      <c r="B398" s="34"/>
      <c r="C398" s="35"/>
      <c r="D398" s="33"/>
      <c r="E398" s="35"/>
      <c r="F398" s="33"/>
      <c r="G398" s="33"/>
      <c r="H398" s="36"/>
      <c r="I398" s="33"/>
      <c r="J398" s="35"/>
      <c r="K398" s="33"/>
      <c r="L398" s="33"/>
      <c r="M398" s="36"/>
      <c r="N398" s="33"/>
      <c r="O398" s="35"/>
      <c r="P398" s="33"/>
      <c r="Q398" s="33"/>
      <c r="R398" s="36"/>
    </row>
    <row r="399" spans="1:18">
      <c r="A399" s="33"/>
      <c r="B399" s="34"/>
      <c r="C399" s="35"/>
      <c r="D399" s="33"/>
      <c r="E399" s="35"/>
      <c r="F399" s="33"/>
      <c r="G399" s="33"/>
      <c r="H399" s="36"/>
      <c r="I399" s="33"/>
      <c r="J399" s="35"/>
      <c r="K399" s="33"/>
      <c r="L399" s="33"/>
      <c r="M399" s="36"/>
      <c r="N399" s="33"/>
      <c r="O399" s="35"/>
      <c r="P399" s="33"/>
      <c r="Q399" s="33"/>
      <c r="R399" s="36"/>
    </row>
    <row r="400" spans="1:18">
      <c r="A400" s="33"/>
      <c r="B400" s="34"/>
      <c r="C400" s="35"/>
      <c r="D400" s="33"/>
      <c r="E400" s="35"/>
      <c r="F400" s="33"/>
      <c r="G400" s="33"/>
      <c r="H400" s="36"/>
      <c r="I400" s="33"/>
      <c r="J400" s="35"/>
      <c r="K400" s="33"/>
      <c r="L400" s="33"/>
      <c r="M400" s="36"/>
      <c r="N400" s="33"/>
      <c r="O400" s="35"/>
      <c r="P400" s="33"/>
      <c r="Q400" s="33"/>
      <c r="R400" s="36"/>
    </row>
    <row r="401" spans="1:18">
      <c r="A401" s="33"/>
      <c r="B401" s="34"/>
      <c r="C401" s="35"/>
      <c r="D401" s="33"/>
      <c r="E401" s="35"/>
      <c r="F401" s="33"/>
      <c r="G401" s="33"/>
      <c r="H401" s="36"/>
      <c r="I401" s="33"/>
      <c r="J401" s="35"/>
      <c r="K401" s="33"/>
      <c r="L401" s="33"/>
      <c r="M401" s="36"/>
      <c r="N401" s="33"/>
      <c r="O401" s="35"/>
      <c r="P401" s="33"/>
      <c r="Q401" s="33"/>
      <c r="R401" s="36"/>
    </row>
    <row r="402" spans="1:18">
      <c r="A402" s="33"/>
      <c r="B402" s="34"/>
      <c r="C402" s="35"/>
      <c r="D402" s="33"/>
      <c r="E402" s="35"/>
      <c r="F402" s="33"/>
      <c r="G402" s="33"/>
      <c r="H402" s="36"/>
      <c r="I402" s="33"/>
      <c r="J402" s="35"/>
      <c r="K402" s="33"/>
      <c r="L402" s="33"/>
      <c r="M402" s="36"/>
      <c r="N402" s="33"/>
      <c r="O402" s="35"/>
      <c r="P402" s="33"/>
      <c r="Q402" s="33"/>
      <c r="R402" s="36"/>
    </row>
    <row r="403" spans="1:18">
      <c r="A403" s="33"/>
      <c r="B403" s="34"/>
      <c r="C403" s="35"/>
      <c r="D403" s="33"/>
      <c r="E403" s="35"/>
      <c r="F403" s="33"/>
      <c r="G403" s="33"/>
      <c r="H403" s="36"/>
      <c r="I403" s="33"/>
      <c r="J403" s="35"/>
      <c r="K403" s="33"/>
      <c r="L403" s="33"/>
      <c r="M403" s="36"/>
      <c r="N403" s="33"/>
      <c r="O403" s="35"/>
      <c r="P403" s="33"/>
      <c r="Q403" s="33"/>
      <c r="R403" s="36"/>
    </row>
    <row r="404" spans="1:18">
      <c r="A404" s="33"/>
      <c r="B404" s="34"/>
      <c r="C404" s="35"/>
      <c r="D404" s="33"/>
      <c r="E404" s="35"/>
      <c r="F404" s="33"/>
      <c r="G404" s="33"/>
      <c r="H404" s="36"/>
      <c r="I404" s="33"/>
      <c r="J404" s="35"/>
      <c r="K404" s="33"/>
      <c r="L404" s="33"/>
      <c r="M404" s="36"/>
      <c r="N404" s="33"/>
      <c r="O404" s="35"/>
      <c r="P404" s="33"/>
      <c r="Q404" s="33"/>
      <c r="R404" s="36"/>
    </row>
    <row r="405" spans="1:18">
      <c r="A405" s="33"/>
      <c r="B405" s="34"/>
      <c r="C405" s="35"/>
      <c r="D405" s="33"/>
      <c r="E405" s="35"/>
      <c r="F405" s="33"/>
      <c r="G405" s="33"/>
      <c r="H405" s="36"/>
      <c r="I405" s="33"/>
      <c r="J405" s="35"/>
      <c r="K405" s="33"/>
      <c r="L405" s="33"/>
      <c r="M405" s="36"/>
      <c r="N405" s="33"/>
      <c r="O405" s="35"/>
      <c r="P405" s="33"/>
      <c r="Q405" s="33"/>
      <c r="R405" s="36"/>
    </row>
    <row r="406" spans="1:18">
      <c r="A406" s="33"/>
      <c r="B406" s="34"/>
      <c r="C406" s="35"/>
      <c r="D406" s="33"/>
      <c r="E406" s="35"/>
      <c r="F406" s="33"/>
      <c r="G406" s="33"/>
      <c r="H406" s="36"/>
      <c r="I406" s="33"/>
      <c r="J406" s="35"/>
      <c r="K406" s="33"/>
      <c r="L406" s="33"/>
      <c r="M406" s="36"/>
      <c r="N406" s="33"/>
      <c r="O406" s="35"/>
      <c r="P406" s="33"/>
      <c r="Q406" s="33"/>
      <c r="R406" s="36"/>
    </row>
    <row r="407" spans="1:18">
      <c r="A407" s="33"/>
      <c r="B407" s="34"/>
      <c r="C407" s="35"/>
      <c r="D407" s="33"/>
      <c r="E407" s="35"/>
      <c r="F407" s="33"/>
      <c r="G407" s="33"/>
      <c r="H407" s="36"/>
      <c r="I407" s="33"/>
      <c r="J407" s="35"/>
      <c r="K407" s="33"/>
      <c r="L407" s="33"/>
      <c r="M407" s="36"/>
      <c r="N407" s="33"/>
      <c r="O407" s="35"/>
      <c r="P407" s="33"/>
      <c r="Q407" s="33"/>
      <c r="R407" s="36"/>
    </row>
    <row r="408" spans="1:18">
      <c r="A408" s="33"/>
      <c r="B408" s="34"/>
      <c r="C408" s="35"/>
      <c r="D408" s="33"/>
      <c r="E408" s="35"/>
      <c r="F408" s="33"/>
      <c r="G408" s="33"/>
      <c r="H408" s="36"/>
      <c r="I408" s="33"/>
      <c r="J408" s="35"/>
      <c r="K408" s="33"/>
      <c r="L408" s="33"/>
      <c r="M408" s="36"/>
      <c r="N408" s="33"/>
      <c r="O408" s="35"/>
      <c r="P408" s="33"/>
      <c r="Q408" s="33"/>
      <c r="R408" s="36"/>
    </row>
    <row r="409" spans="1:18">
      <c r="A409" s="33"/>
      <c r="B409" s="34"/>
      <c r="C409" s="35"/>
      <c r="D409" s="33"/>
      <c r="E409" s="35"/>
      <c r="F409" s="33"/>
      <c r="G409" s="33"/>
      <c r="H409" s="36"/>
      <c r="I409" s="33"/>
      <c r="J409" s="35"/>
      <c r="K409" s="33"/>
      <c r="L409" s="33"/>
      <c r="M409" s="36"/>
      <c r="N409" s="33"/>
      <c r="O409" s="35"/>
      <c r="P409" s="33"/>
      <c r="Q409" s="33"/>
      <c r="R409" s="36"/>
    </row>
    <row r="410" spans="1:18">
      <c r="A410" s="33"/>
      <c r="B410" s="34"/>
      <c r="C410" s="35"/>
      <c r="D410" s="33"/>
    </row>
    <row r="411" spans="1:18">
      <c r="A411" s="33"/>
      <c r="B411" s="34"/>
      <c r="C411" s="35"/>
      <c r="D411" s="33"/>
    </row>
    <row r="412" spans="1:18">
      <c r="A412" s="33"/>
      <c r="B412" s="34"/>
      <c r="C412" s="35"/>
      <c r="D412" s="33"/>
    </row>
    <row r="413" spans="1:18">
      <c r="A413" s="33"/>
      <c r="B413" s="34"/>
      <c r="C413" s="35"/>
      <c r="D413" s="33"/>
    </row>
    <row r="414" spans="1:18">
      <c r="A414" s="33"/>
      <c r="B414" s="34"/>
      <c r="C414" s="35"/>
      <c r="D414" s="33"/>
    </row>
    <row r="415" spans="1:18">
      <c r="A415" s="33"/>
      <c r="B415" s="34"/>
      <c r="C415" s="35"/>
      <c r="D415" s="33"/>
    </row>
    <row r="416" spans="1:18">
      <c r="A416" s="33"/>
      <c r="B416" s="34"/>
      <c r="C416" s="35"/>
      <c r="D416" s="33"/>
    </row>
    <row r="417" spans="1:4">
      <c r="A417" s="33"/>
      <c r="B417" s="34"/>
      <c r="C417" s="35"/>
      <c r="D417" s="33"/>
    </row>
    <row r="418" spans="1:4">
      <c r="A418" s="33"/>
      <c r="B418" s="34"/>
      <c r="C418" s="35"/>
      <c r="D418" s="33"/>
    </row>
    <row r="419" spans="1:4">
      <c r="A419" s="33"/>
      <c r="B419" s="34"/>
      <c r="C419" s="35"/>
      <c r="D419" s="33"/>
    </row>
    <row r="420" spans="1:4">
      <c r="A420" s="33"/>
      <c r="B420" s="34"/>
      <c r="C420" s="35"/>
      <c r="D420" s="33"/>
    </row>
    <row r="421" spans="1:4">
      <c r="A421" s="33"/>
      <c r="B421" s="34"/>
      <c r="C421" s="35"/>
      <c r="D421" s="33"/>
    </row>
    <row r="422" spans="1:4">
      <c r="A422" s="33"/>
      <c r="B422" s="34"/>
      <c r="C422" s="35"/>
      <c r="D422" s="33"/>
    </row>
    <row r="423" spans="1:4">
      <c r="A423" s="33"/>
      <c r="B423" s="34"/>
      <c r="C423" s="35"/>
      <c r="D423" s="33"/>
    </row>
    <row r="424" spans="1:4">
      <c r="A424" s="33"/>
      <c r="B424" s="34"/>
      <c r="C424" s="35"/>
      <c r="D424" s="33"/>
    </row>
    <row r="425" spans="1:4">
      <c r="A425" s="33"/>
      <c r="B425" s="34"/>
      <c r="C425" s="35"/>
      <c r="D425" s="33"/>
    </row>
    <row r="426" spans="1:4">
      <c r="A426" s="33"/>
      <c r="B426" s="34"/>
      <c r="C426" s="35"/>
      <c r="D426" s="33"/>
    </row>
    <row r="427" spans="1:4">
      <c r="A427" s="33"/>
      <c r="B427" s="34"/>
      <c r="C427" s="35"/>
      <c r="D427" s="33"/>
    </row>
    <row r="428" spans="1:4">
      <c r="A428" s="33"/>
      <c r="B428" s="34"/>
      <c r="C428" s="35"/>
      <c r="D428" s="33"/>
    </row>
    <row r="429" spans="1:4">
      <c r="A429" s="33"/>
      <c r="B429" s="34"/>
      <c r="C429" s="35"/>
      <c r="D429" s="33"/>
    </row>
    <row r="430" spans="1:4">
      <c r="A430" s="33"/>
      <c r="B430" s="34"/>
      <c r="C430" s="35"/>
      <c r="D430" s="33"/>
    </row>
    <row r="431" spans="1:4">
      <c r="A431" s="33"/>
      <c r="B431" s="34"/>
      <c r="C431" s="35"/>
      <c r="D431" s="33"/>
    </row>
    <row r="432" spans="1:4">
      <c r="A432" s="33"/>
      <c r="B432" s="34"/>
      <c r="C432" s="35"/>
      <c r="D432" s="33"/>
    </row>
    <row r="433" spans="1:4">
      <c r="A433" s="33"/>
      <c r="B433" s="34"/>
      <c r="C433" s="35"/>
      <c r="D433" s="33"/>
    </row>
    <row r="434" spans="1:4">
      <c r="A434" s="33"/>
      <c r="B434" s="34"/>
      <c r="C434" s="35"/>
      <c r="D434" s="33"/>
    </row>
    <row r="435" spans="1:4">
      <c r="A435" s="33"/>
      <c r="B435" s="34"/>
      <c r="C435" s="35"/>
      <c r="D435" s="33"/>
    </row>
    <row r="436" spans="1:4">
      <c r="A436" s="33"/>
      <c r="B436" s="34"/>
      <c r="C436" s="35"/>
      <c r="D436" s="33"/>
    </row>
    <row r="437" spans="1:4">
      <c r="A437" s="33"/>
      <c r="B437" s="34"/>
      <c r="C437" s="35"/>
      <c r="D437" s="33"/>
    </row>
    <row r="438" spans="1:4">
      <c r="A438" s="33"/>
      <c r="B438" s="34"/>
      <c r="C438" s="35"/>
      <c r="D438" s="33"/>
    </row>
    <row r="439" spans="1:4">
      <c r="A439" s="33"/>
      <c r="B439" s="34"/>
      <c r="C439" s="35"/>
      <c r="D439" s="33"/>
    </row>
    <row r="440" spans="1:4">
      <c r="A440" s="33"/>
      <c r="B440" s="34"/>
      <c r="C440" s="35"/>
      <c r="D440" s="33"/>
    </row>
    <row r="441" spans="1:4">
      <c r="A441" s="33"/>
      <c r="B441" s="34"/>
      <c r="C441" s="35"/>
      <c r="D441" s="33"/>
    </row>
    <row r="442" spans="1:4">
      <c r="A442" s="33"/>
      <c r="B442" s="34"/>
      <c r="C442" s="35"/>
      <c r="D442" s="33"/>
    </row>
    <row r="443" spans="1:4">
      <c r="A443" s="33"/>
      <c r="B443" s="34"/>
      <c r="C443" s="35"/>
      <c r="D443" s="33"/>
    </row>
    <row r="444" spans="1:4">
      <c r="A444" s="33"/>
      <c r="B444" s="34"/>
      <c r="C444" s="35"/>
      <c r="D444" s="33"/>
    </row>
    <row r="445" spans="1:4">
      <c r="A445" s="33"/>
      <c r="B445" s="34"/>
      <c r="C445" s="35"/>
      <c r="D445" s="33"/>
    </row>
    <row r="446" spans="1:4">
      <c r="A446" s="33"/>
      <c r="B446" s="34"/>
      <c r="C446" s="35"/>
      <c r="D446" s="33"/>
    </row>
    <row r="447" spans="1:4">
      <c r="A447" s="33"/>
      <c r="B447" s="34"/>
      <c r="C447" s="35"/>
      <c r="D447" s="33"/>
    </row>
    <row r="448" spans="1:4">
      <c r="A448" s="33"/>
      <c r="B448" s="34"/>
      <c r="C448" s="35"/>
      <c r="D448" s="33"/>
    </row>
    <row r="449" spans="1:4">
      <c r="A449" s="33"/>
      <c r="B449" s="34"/>
      <c r="C449" s="35"/>
      <c r="D449" s="33"/>
    </row>
    <row r="450" spans="1:4">
      <c r="A450" s="33"/>
      <c r="B450" s="34"/>
      <c r="C450" s="35"/>
      <c r="D450" s="33"/>
    </row>
    <row r="451" spans="1:4">
      <c r="A451" s="33"/>
      <c r="B451" s="34"/>
      <c r="C451" s="35"/>
      <c r="D451" s="33"/>
    </row>
    <row r="452" spans="1:4">
      <c r="A452" s="33"/>
      <c r="B452" s="34"/>
      <c r="C452" s="35"/>
      <c r="D452" s="33"/>
    </row>
    <row r="453" spans="1:4">
      <c r="A453" s="33"/>
      <c r="B453" s="34"/>
      <c r="C453" s="35"/>
      <c r="D453" s="33"/>
    </row>
    <row r="454" spans="1:4">
      <c r="A454" s="33"/>
      <c r="B454" s="34"/>
      <c r="C454" s="35"/>
      <c r="D454" s="33"/>
    </row>
    <row r="455" spans="1:4">
      <c r="A455" s="33"/>
      <c r="B455" s="34"/>
      <c r="C455" s="35"/>
      <c r="D455" s="33"/>
    </row>
    <row r="456" spans="1:4">
      <c r="A456" s="33"/>
      <c r="B456" s="34"/>
      <c r="C456" s="35"/>
      <c r="D456" s="33"/>
    </row>
    <row r="457" spans="1:4">
      <c r="A457" s="33"/>
      <c r="B457" s="34"/>
      <c r="C457" s="35"/>
      <c r="D457" s="33"/>
    </row>
    <row r="458" spans="1:4">
      <c r="A458" s="33"/>
      <c r="B458" s="34"/>
      <c r="C458" s="35"/>
      <c r="D458" s="33"/>
    </row>
    <row r="459" spans="1:4">
      <c r="A459" s="33"/>
      <c r="B459" s="34"/>
      <c r="C459" s="35"/>
      <c r="D459" s="33"/>
    </row>
    <row r="460" spans="1:4">
      <c r="A460" s="33"/>
      <c r="B460" s="34"/>
      <c r="C460" s="35"/>
      <c r="D460" s="33"/>
    </row>
    <row r="461" spans="1:4">
      <c r="A461" s="33"/>
      <c r="B461" s="34"/>
      <c r="C461" s="35"/>
      <c r="D461" s="33"/>
    </row>
    <row r="462" spans="1:4">
      <c r="A462" s="33"/>
      <c r="B462" s="34"/>
      <c r="C462" s="35"/>
      <c r="D462" s="33"/>
    </row>
    <row r="463" spans="1:4">
      <c r="A463" s="33"/>
      <c r="B463" s="34"/>
      <c r="C463" s="35"/>
      <c r="D463" s="33"/>
    </row>
    <row r="464" spans="1:4">
      <c r="A464" s="33"/>
      <c r="B464" s="34"/>
      <c r="C464" s="35"/>
      <c r="D464" s="33"/>
    </row>
    <row r="465" spans="1:4">
      <c r="A465" s="33"/>
      <c r="B465" s="34"/>
      <c r="C465" s="35"/>
      <c r="D465" s="33"/>
    </row>
    <row r="466" spans="1:4">
      <c r="A466" s="33"/>
      <c r="B466" s="34"/>
      <c r="C466" s="35"/>
      <c r="D466" s="33"/>
    </row>
    <row r="467" spans="1:4">
      <c r="A467" s="33"/>
      <c r="B467" s="34"/>
      <c r="C467" s="35"/>
      <c r="D467" s="33"/>
    </row>
    <row r="468" spans="1:4">
      <c r="A468" s="33"/>
      <c r="B468" s="34"/>
      <c r="C468" s="35"/>
      <c r="D468" s="33"/>
    </row>
    <row r="469" spans="1:4">
      <c r="A469" s="33"/>
      <c r="B469" s="34"/>
      <c r="C469" s="35"/>
      <c r="D469" s="33"/>
    </row>
    <row r="470" spans="1:4">
      <c r="A470" s="33"/>
      <c r="B470" s="34"/>
      <c r="C470" s="35"/>
      <c r="D470" s="33"/>
    </row>
    <row r="471" spans="1:4">
      <c r="A471" s="33"/>
      <c r="B471" s="34"/>
      <c r="C471" s="35"/>
      <c r="D471" s="33"/>
    </row>
    <row r="472" spans="1:4">
      <c r="A472" s="33"/>
      <c r="B472" s="34"/>
      <c r="C472" s="35"/>
      <c r="D472" s="33"/>
    </row>
    <row r="473" spans="1:4">
      <c r="A473" s="33"/>
      <c r="B473" s="34"/>
      <c r="C473" s="35"/>
      <c r="D473" s="33"/>
    </row>
    <row r="474" spans="1:4">
      <c r="A474" s="33"/>
      <c r="B474" s="34"/>
      <c r="C474" s="35"/>
      <c r="D474" s="33"/>
    </row>
    <row r="475" spans="1:4">
      <c r="A475" s="33"/>
      <c r="B475" s="34"/>
      <c r="C475" s="35"/>
      <c r="D475" s="33"/>
    </row>
    <row r="476" spans="1:4">
      <c r="A476" s="33"/>
      <c r="B476" s="34"/>
      <c r="C476" s="35"/>
      <c r="D476" s="33"/>
    </row>
    <row r="477" spans="1:4">
      <c r="A477" s="33"/>
      <c r="B477" s="34"/>
      <c r="C477" s="35"/>
      <c r="D477" s="33"/>
    </row>
    <row r="478" spans="1:4">
      <c r="A478" s="33"/>
      <c r="B478" s="34"/>
      <c r="C478" s="35"/>
      <c r="D478" s="33"/>
    </row>
    <row r="479" spans="1:4">
      <c r="A479" s="33"/>
      <c r="B479" s="34"/>
      <c r="C479" s="35"/>
      <c r="D479" s="33"/>
    </row>
    <row r="480" spans="1:4">
      <c r="A480" s="33"/>
      <c r="B480" s="34"/>
      <c r="C480" s="35"/>
      <c r="D480" s="33"/>
    </row>
    <row r="481" spans="1:4">
      <c r="A481" s="33"/>
      <c r="B481" s="34"/>
      <c r="C481" s="35"/>
      <c r="D481" s="33"/>
    </row>
    <row r="482" spans="1:4">
      <c r="A482" s="33"/>
      <c r="B482" s="34"/>
      <c r="C482" s="35"/>
      <c r="D482" s="33"/>
    </row>
    <row r="483" spans="1:4">
      <c r="A483" s="33"/>
      <c r="B483" s="34"/>
      <c r="C483" s="35"/>
      <c r="D483" s="33"/>
    </row>
    <row r="484" spans="1:4">
      <c r="A484" s="33"/>
      <c r="B484" s="34"/>
      <c r="C484" s="35"/>
      <c r="D484" s="33"/>
    </row>
    <row r="485" spans="1:4">
      <c r="A485" s="33"/>
      <c r="B485" s="34"/>
      <c r="C485" s="35"/>
      <c r="D485" s="33"/>
    </row>
    <row r="486" spans="1:4">
      <c r="A486" s="33"/>
      <c r="B486" s="34"/>
      <c r="C486" s="35"/>
      <c r="D486" s="33"/>
    </row>
    <row r="487" spans="1:4">
      <c r="A487" s="33"/>
      <c r="B487" s="34"/>
      <c r="C487" s="35"/>
      <c r="D487" s="33"/>
    </row>
    <row r="488" spans="1:4">
      <c r="A488" s="33"/>
      <c r="B488" s="34"/>
      <c r="C488" s="35"/>
      <c r="D488" s="33"/>
    </row>
    <row r="489" spans="1:4">
      <c r="A489" s="33"/>
      <c r="B489" s="34"/>
      <c r="C489" s="35"/>
      <c r="D489" s="33"/>
    </row>
    <row r="490" spans="1:4">
      <c r="A490" s="33"/>
      <c r="B490" s="34"/>
      <c r="C490" s="35"/>
      <c r="D490" s="33"/>
    </row>
    <row r="491" spans="1:4">
      <c r="A491" s="33"/>
      <c r="B491" s="34"/>
      <c r="C491" s="35"/>
      <c r="D491" s="33"/>
    </row>
    <row r="492" spans="1:4">
      <c r="A492" s="33"/>
      <c r="B492" s="34"/>
      <c r="C492" s="35"/>
      <c r="D492" s="33"/>
    </row>
    <row r="493" spans="1:4">
      <c r="A493" s="33"/>
      <c r="B493" s="34"/>
      <c r="C493" s="35"/>
      <c r="D493" s="33"/>
    </row>
    <row r="494" spans="1:4">
      <c r="A494" s="33"/>
      <c r="B494" s="34"/>
      <c r="C494" s="35"/>
      <c r="D494" s="33"/>
    </row>
    <row r="495" spans="1:4">
      <c r="A495" s="33"/>
      <c r="B495" s="34"/>
      <c r="C495" s="35"/>
      <c r="D495" s="33"/>
    </row>
    <row r="496" spans="1:4">
      <c r="A496" s="33"/>
      <c r="B496" s="34"/>
      <c r="C496" s="35"/>
      <c r="D496" s="33"/>
    </row>
    <row r="497" spans="1:4">
      <c r="A497" s="33"/>
      <c r="B497" s="34"/>
      <c r="C497" s="35"/>
      <c r="D497" s="33"/>
    </row>
    <row r="498" spans="1:4">
      <c r="A498" s="33"/>
      <c r="B498" s="34"/>
      <c r="C498" s="35"/>
      <c r="D498" s="33"/>
    </row>
    <row r="499" spans="1:4">
      <c r="A499" s="33"/>
      <c r="B499" s="34"/>
      <c r="C499" s="35"/>
      <c r="D499" s="33"/>
    </row>
    <row r="500" spans="1:4">
      <c r="A500" s="33"/>
      <c r="B500" s="34"/>
      <c r="C500" s="35"/>
      <c r="D500" s="33"/>
    </row>
    <row r="501" spans="1:4">
      <c r="A501" s="33"/>
      <c r="B501" s="34"/>
      <c r="C501" s="35"/>
      <c r="D501" s="33"/>
    </row>
    <row r="502" spans="1:4">
      <c r="A502" s="33"/>
      <c r="B502" s="34"/>
      <c r="C502" s="35"/>
      <c r="D502" s="33"/>
    </row>
    <row r="503" spans="1:4">
      <c r="A503" s="33"/>
      <c r="B503" s="34"/>
      <c r="C503" s="35"/>
      <c r="D503" s="33"/>
    </row>
    <row r="504" spans="1:4">
      <c r="A504" s="33"/>
      <c r="B504" s="34"/>
      <c r="C504" s="35"/>
      <c r="D504" s="33"/>
    </row>
    <row r="505" spans="1:4">
      <c r="A505" s="33"/>
      <c r="B505" s="34"/>
      <c r="C505" s="35"/>
      <c r="D505" s="33"/>
    </row>
    <row r="506" spans="1:4">
      <c r="A506" s="33"/>
      <c r="B506" s="34"/>
      <c r="C506" s="35"/>
      <c r="D506" s="33"/>
    </row>
    <row r="507" spans="1:4">
      <c r="A507" s="33"/>
      <c r="B507" s="34"/>
      <c r="C507" s="35"/>
      <c r="D507" s="33"/>
    </row>
    <row r="508" spans="1:4">
      <c r="A508" s="33"/>
      <c r="B508" s="34"/>
      <c r="C508" s="35"/>
      <c r="D508" s="33"/>
    </row>
    <row r="509" spans="1:4">
      <c r="A509" s="33"/>
      <c r="B509" s="34"/>
      <c r="C509" s="35"/>
      <c r="D509" s="33"/>
    </row>
    <row r="510" spans="1:4">
      <c r="A510" s="33"/>
      <c r="B510" s="34"/>
      <c r="C510" s="35"/>
      <c r="D510" s="33"/>
    </row>
    <row r="511" spans="1:4">
      <c r="A511" s="33"/>
      <c r="B511" s="34"/>
      <c r="C511" s="35"/>
      <c r="D511" s="33"/>
    </row>
    <row r="512" spans="1:4">
      <c r="A512" s="33"/>
      <c r="B512" s="34"/>
      <c r="C512" s="35"/>
      <c r="D512" s="33"/>
    </row>
    <row r="513" spans="1:4">
      <c r="A513" s="33"/>
      <c r="B513" s="34"/>
      <c r="C513" s="35"/>
      <c r="D513" s="33"/>
    </row>
    <row r="514" spans="1:4">
      <c r="A514" s="33"/>
      <c r="B514" s="34"/>
      <c r="C514" s="35"/>
      <c r="D514" s="33"/>
    </row>
    <row r="515" spans="1:4">
      <c r="A515" s="33"/>
      <c r="B515" s="34"/>
      <c r="C515" s="35"/>
      <c r="D515" s="33"/>
    </row>
    <row r="516" spans="1:4">
      <c r="A516" s="33"/>
      <c r="B516" s="34"/>
      <c r="C516" s="35"/>
      <c r="D516" s="33"/>
    </row>
    <row r="517" spans="1:4">
      <c r="A517" s="33"/>
      <c r="B517" s="34"/>
      <c r="C517" s="35"/>
      <c r="D517" s="33"/>
    </row>
    <row r="518" spans="1:4">
      <c r="A518" s="33"/>
      <c r="B518" s="34"/>
      <c r="C518" s="35"/>
      <c r="D518" s="33"/>
    </row>
    <row r="519" spans="1:4">
      <c r="A519" s="33"/>
      <c r="B519" s="34"/>
      <c r="C519" s="35"/>
      <c r="D519" s="33"/>
    </row>
    <row r="520" spans="1:4">
      <c r="A520" s="33"/>
      <c r="B520" s="34"/>
      <c r="C520" s="35"/>
      <c r="D520" s="33"/>
    </row>
    <row r="521" spans="1:4">
      <c r="A521" s="33"/>
      <c r="B521" s="34"/>
      <c r="C521" s="35"/>
      <c r="D521" s="33"/>
    </row>
    <row r="522" spans="1:4">
      <c r="A522" s="33"/>
      <c r="B522" s="34"/>
      <c r="C522" s="35"/>
      <c r="D522" s="33"/>
    </row>
  </sheetData>
  <mergeCells count="23">
    <mergeCell ref="A5:A7"/>
    <mergeCell ref="B5:B7"/>
    <mergeCell ref="C5:C7"/>
    <mergeCell ref="I5:I7"/>
    <mergeCell ref="R5:R7"/>
    <mergeCell ref="L6:L7"/>
    <mergeCell ref="O6:O7"/>
    <mergeCell ref="Q6:Q7"/>
    <mergeCell ref="J6:J7"/>
    <mergeCell ref="J5:L5"/>
    <mergeCell ref="M5:M7"/>
    <mergeCell ref="N5:N7"/>
    <mergeCell ref="O5:Q5"/>
    <mergeCell ref="P6:P7"/>
    <mergeCell ref="K6:K7"/>
    <mergeCell ref="F6:F7"/>
    <mergeCell ref="B2:H2"/>
    <mergeCell ref="B3:H3"/>
    <mergeCell ref="D5:D7"/>
    <mergeCell ref="E5:G5"/>
    <mergeCell ref="H5:H7"/>
    <mergeCell ref="E6:E7"/>
    <mergeCell ref="G6:G7"/>
  </mergeCells>
  <phoneticPr fontId="27" type="noConversion"/>
  <pageMargins left="0.27559055118110237" right="0.27559055118110237" top="0.39370078740157483" bottom="0.43307086614173229" header="0.23622047244094491" footer="0.23622047244094491"/>
  <pageSetup paperSize="9" scale="60" orientation="landscape" r:id="rId1"/>
  <headerFooter alignWithMargins="0">
    <oddFooter>&amp;L&amp;F&amp;C&amp;P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tabColor rgb="FFFFC000"/>
  </sheetPr>
  <dimension ref="A1:AE455"/>
  <sheetViews>
    <sheetView zoomScale="70" zoomScaleNormal="70" workbookViewId="0">
      <pane xSplit="2" ySplit="8" topLeftCell="C320" activePane="bottomRight" state="frozen"/>
      <selection activeCell="A177" activeCellId="2" sqref="A8:A9 A93 A177"/>
      <selection pane="topRight" activeCell="A177" activeCellId="2" sqref="A8:A9 A93 A177"/>
      <selection pane="bottomLeft" activeCell="A177" activeCellId="2" sqref="A8:A9 A93 A177"/>
      <selection pane="bottomRight" activeCell="A342" sqref="A342"/>
    </sheetView>
  </sheetViews>
  <sheetFormatPr defaultColWidth="9.109375" defaultRowHeight="10.199999999999999"/>
  <cols>
    <col min="1" max="1" width="11.44140625" style="21" bestFit="1" customWidth="1"/>
    <col min="2" max="2" width="37.6640625" style="1" customWidth="1"/>
    <col min="3" max="3" width="11.33203125" style="22" customWidth="1"/>
    <col min="4" max="4" width="12" style="21"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363"/>
      <c r="J2" s="363"/>
      <c r="K2" s="566"/>
      <c r="L2" s="363"/>
      <c r="M2" s="220"/>
      <c r="N2" s="363"/>
      <c r="O2" s="363"/>
      <c r="P2" s="566"/>
      <c r="Q2" s="363"/>
      <c r="R2" s="220"/>
    </row>
    <row r="3" spans="1:18" s="1" customFormat="1" ht="13.2">
      <c r="A3" s="221"/>
      <c r="B3" s="1400" t="s">
        <v>489</v>
      </c>
      <c r="C3" s="1400"/>
      <c r="D3" s="1400"/>
      <c r="E3" s="1400"/>
      <c r="F3" s="1400"/>
      <c r="G3" s="1400"/>
      <c r="H3" s="1400"/>
      <c r="I3" s="567"/>
      <c r="J3" s="567"/>
      <c r="K3" s="567"/>
      <c r="L3" s="567"/>
      <c r="M3" s="220"/>
      <c r="N3" s="567"/>
      <c r="O3" s="567"/>
      <c r="P3" s="567"/>
      <c r="Q3" s="567"/>
      <c r="R3" s="220"/>
    </row>
    <row r="4" spans="1:18" s="1" customFormat="1" ht="13.2">
      <c r="A4" s="221"/>
      <c r="B4" s="567"/>
      <c r="C4" s="222"/>
      <c r="D4" s="567"/>
      <c r="E4" s="567"/>
      <c r="F4" s="567"/>
      <c r="G4" s="567"/>
      <c r="H4" s="567"/>
      <c r="I4" s="567"/>
      <c r="J4" s="567"/>
      <c r="K4" s="567"/>
      <c r="L4" s="567"/>
      <c r="M4" s="567"/>
      <c r="N4" s="567"/>
      <c r="O4" s="567"/>
      <c r="P4" s="567"/>
      <c r="Q4" s="567"/>
      <c r="R4" s="567"/>
    </row>
    <row r="5" spans="1:18" s="1" customFormat="1" ht="20.399999999999999"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23.4"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30.6"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26.4">
      <c r="A9" s="388"/>
      <c r="B9" s="392" t="s">
        <v>138</v>
      </c>
      <c r="C9" s="387"/>
      <c r="D9" s="387"/>
      <c r="E9" s="226"/>
      <c r="F9" s="226"/>
      <c r="G9" s="226"/>
      <c r="H9" s="226"/>
      <c r="I9" s="365"/>
      <c r="J9" s="226"/>
      <c r="K9" s="226"/>
      <c r="L9" s="226"/>
      <c r="M9" s="226"/>
      <c r="N9" s="365"/>
      <c r="O9" s="226"/>
      <c r="P9" s="226"/>
      <c r="Q9" s="226"/>
      <c r="R9" s="226"/>
    </row>
    <row r="10" spans="1:18" s="4" customFormat="1" ht="20.399999999999999">
      <c r="A10" s="129" t="s">
        <v>201</v>
      </c>
      <c r="B10" s="123" t="s">
        <v>88</v>
      </c>
      <c r="C10" s="200">
        <v>106523451</v>
      </c>
      <c r="D10" s="200">
        <v>125895427</v>
      </c>
      <c r="E10" s="228">
        <f>E11+E12+E14+E32</f>
        <v>-10231389</v>
      </c>
      <c r="F10" s="228">
        <f t="shared" ref="F10:G10" si="0">F11+F12+F14+F32</f>
        <v>0</v>
      </c>
      <c r="G10" s="228">
        <f t="shared" si="0"/>
        <v>-7833637</v>
      </c>
      <c r="H10" s="229">
        <f t="shared" ref="H10:H73" si="1">SUM(D10:G10)</f>
        <v>107830401</v>
      </c>
      <c r="I10" s="228">
        <v>692874835</v>
      </c>
      <c r="J10" s="228">
        <f>J11+J12+J14+J32</f>
        <v>-21817097</v>
      </c>
      <c r="K10" s="228">
        <f t="shared" ref="K10:L10" si="2">K11+K12+K14+K32</f>
        <v>26442121</v>
      </c>
      <c r="L10" s="228">
        <f t="shared" si="2"/>
        <v>-21119859</v>
      </c>
      <c r="M10" s="229">
        <f t="shared" ref="M10:M73" si="3">SUM(I10:L10)</f>
        <v>676380000</v>
      </c>
      <c r="N10" s="228">
        <v>761808943</v>
      </c>
      <c r="O10" s="228">
        <f>O11+O12+O14+O32</f>
        <v>-5707882</v>
      </c>
      <c r="P10" s="228">
        <f t="shared" ref="P10:Q10" si="4">P11+P12+P14+P32</f>
        <v>37297427</v>
      </c>
      <c r="Q10" s="228">
        <f t="shared" si="4"/>
        <v>-40113506</v>
      </c>
      <c r="R10" s="229">
        <f t="shared" ref="R10:R73" si="5">SUM(N10:Q10)</f>
        <v>753284982</v>
      </c>
    </row>
    <row r="11" spans="1:18" ht="24" hidden="1" customHeight="1">
      <c r="A11" s="130" t="s">
        <v>177</v>
      </c>
      <c r="B11" s="124" t="s">
        <v>90</v>
      </c>
      <c r="C11" s="98">
        <v>0</v>
      </c>
      <c r="D11" s="98">
        <v>0</v>
      </c>
      <c r="E11" s="231"/>
      <c r="F11" s="231"/>
      <c r="G11" s="231"/>
      <c r="H11" s="232">
        <f t="shared" si="1"/>
        <v>0</v>
      </c>
      <c r="I11" s="231">
        <v>0</v>
      </c>
      <c r="J11" s="231"/>
      <c r="K11" s="231"/>
      <c r="L11" s="231"/>
      <c r="M11" s="232">
        <f t="shared" si="3"/>
        <v>0</v>
      </c>
      <c r="N11" s="231">
        <v>0</v>
      </c>
      <c r="O11" s="231"/>
      <c r="P11" s="231"/>
      <c r="Q11" s="231"/>
      <c r="R11" s="232">
        <f t="shared" si="5"/>
        <v>0</v>
      </c>
    </row>
    <row r="12" spans="1:18" ht="12" hidden="1" customHeight="1">
      <c r="A12" s="130" t="s">
        <v>91</v>
      </c>
      <c r="B12" s="124" t="s">
        <v>92</v>
      </c>
      <c r="C12" s="98">
        <v>0</v>
      </c>
      <c r="D12" s="98">
        <v>0</v>
      </c>
      <c r="E12" s="231"/>
      <c r="F12" s="231"/>
      <c r="G12" s="231"/>
      <c r="H12" s="232">
        <f t="shared" si="1"/>
        <v>0</v>
      </c>
      <c r="I12" s="231">
        <v>0</v>
      </c>
      <c r="J12" s="231"/>
      <c r="K12" s="231"/>
      <c r="L12" s="231"/>
      <c r="M12" s="232">
        <f t="shared" si="3"/>
        <v>0</v>
      </c>
      <c r="N12" s="231">
        <v>0</v>
      </c>
      <c r="O12" s="231"/>
      <c r="P12" s="231"/>
      <c r="Q12" s="231"/>
      <c r="R12" s="232">
        <f t="shared" si="5"/>
        <v>0</v>
      </c>
    </row>
    <row r="13" spans="1:18" ht="24" hidden="1" customHeight="1">
      <c r="A13" s="131">
        <v>21210</v>
      </c>
      <c r="B13" s="125" t="s">
        <v>93</v>
      </c>
      <c r="C13" s="98">
        <v>0</v>
      </c>
      <c r="D13" s="98">
        <v>0</v>
      </c>
      <c r="E13" s="231"/>
      <c r="F13" s="231"/>
      <c r="G13" s="231"/>
      <c r="H13" s="232">
        <f t="shared" si="1"/>
        <v>0</v>
      </c>
      <c r="I13" s="231">
        <v>0</v>
      </c>
      <c r="J13" s="231"/>
      <c r="K13" s="231"/>
      <c r="L13" s="231"/>
      <c r="M13" s="232">
        <f t="shared" si="3"/>
        <v>0</v>
      </c>
      <c r="N13" s="231">
        <v>0</v>
      </c>
      <c r="O13" s="231"/>
      <c r="P13" s="231"/>
      <c r="Q13" s="231"/>
      <c r="R13" s="232">
        <f t="shared" si="5"/>
        <v>0</v>
      </c>
    </row>
    <row r="14" spans="1:18" ht="21" hidden="1" customHeight="1">
      <c r="A14" s="130" t="s">
        <v>178</v>
      </c>
      <c r="B14" s="124" t="s">
        <v>94</v>
      </c>
      <c r="C14" s="170">
        <v>0</v>
      </c>
      <c r="D14" s="170">
        <v>0</v>
      </c>
      <c r="E14" s="233">
        <f>E15+E21</f>
        <v>0</v>
      </c>
      <c r="F14" s="233">
        <f t="shared" ref="F14:G14" si="6">F15+F21</f>
        <v>0</v>
      </c>
      <c r="G14" s="233">
        <f t="shared" si="6"/>
        <v>0</v>
      </c>
      <c r="H14" s="232">
        <f t="shared" si="1"/>
        <v>0</v>
      </c>
      <c r="I14" s="233">
        <v>0</v>
      </c>
      <c r="J14" s="233">
        <f>J15+J21</f>
        <v>0</v>
      </c>
      <c r="K14" s="233">
        <f t="shared" ref="K14:L14" si="7">K15+K21</f>
        <v>0</v>
      </c>
      <c r="L14" s="233">
        <f t="shared" si="7"/>
        <v>0</v>
      </c>
      <c r="M14" s="232">
        <f t="shared" si="3"/>
        <v>0</v>
      </c>
      <c r="N14" s="233">
        <v>0</v>
      </c>
      <c r="O14" s="233">
        <f>O15+O21</f>
        <v>0</v>
      </c>
      <c r="P14" s="233">
        <f t="shared" ref="P14:Q14" si="8">P15+P21</f>
        <v>0</v>
      </c>
      <c r="Q14" s="233">
        <f t="shared" si="8"/>
        <v>0</v>
      </c>
      <c r="R14" s="232">
        <f t="shared" si="5"/>
        <v>0</v>
      </c>
    </row>
    <row r="15" spans="1:18" ht="12" hidden="1" customHeight="1">
      <c r="A15" s="132">
        <v>18000</v>
      </c>
      <c r="B15" s="125" t="s">
        <v>95</v>
      </c>
      <c r="C15" s="170">
        <v>0</v>
      </c>
      <c r="D15" s="170">
        <v>0</v>
      </c>
      <c r="E15" s="233">
        <f t="shared" ref="E15:L16" si="9">E16</f>
        <v>0</v>
      </c>
      <c r="F15" s="233">
        <f t="shared" si="9"/>
        <v>0</v>
      </c>
      <c r="G15" s="233">
        <f t="shared" si="9"/>
        <v>0</v>
      </c>
      <c r="H15" s="232">
        <f t="shared" si="1"/>
        <v>0</v>
      </c>
      <c r="I15" s="233">
        <v>0</v>
      </c>
      <c r="J15" s="233">
        <f t="shared" si="9"/>
        <v>0</v>
      </c>
      <c r="K15" s="233">
        <f t="shared" si="9"/>
        <v>0</v>
      </c>
      <c r="L15" s="233">
        <f t="shared" si="9"/>
        <v>0</v>
      </c>
      <c r="M15" s="232">
        <f t="shared" si="3"/>
        <v>0</v>
      </c>
      <c r="N15" s="233">
        <v>0</v>
      </c>
      <c r="O15" s="233">
        <f t="shared" ref="O15:Q16" si="10">O16</f>
        <v>0</v>
      </c>
      <c r="P15" s="233">
        <f t="shared" si="10"/>
        <v>0</v>
      </c>
      <c r="Q15" s="233">
        <f t="shared" si="10"/>
        <v>0</v>
      </c>
      <c r="R15" s="232">
        <f t="shared" si="5"/>
        <v>0</v>
      </c>
    </row>
    <row r="16" spans="1:18" ht="12" hidden="1" customHeight="1">
      <c r="A16" s="132">
        <v>18100</v>
      </c>
      <c r="B16" s="125" t="s">
        <v>96</v>
      </c>
      <c r="C16" s="170">
        <v>0</v>
      </c>
      <c r="D16" s="170">
        <v>0</v>
      </c>
      <c r="E16" s="233">
        <f>E17</f>
        <v>0</v>
      </c>
      <c r="F16" s="233">
        <f t="shared" si="9"/>
        <v>0</v>
      </c>
      <c r="G16" s="233">
        <f t="shared" si="9"/>
        <v>0</v>
      </c>
      <c r="H16" s="232">
        <f t="shared" si="1"/>
        <v>0</v>
      </c>
      <c r="I16" s="233">
        <v>0</v>
      </c>
      <c r="J16" s="233">
        <f>J17</f>
        <v>0</v>
      </c>
      <c r="K16" s="233">
        <f t="shared" si="9"/>
        <v>0</v>
      </c>
      <c r="L16" s="233">
        <f t="shared" si="9"/>
        <v>0</v>
      </c>
      <c r="M16" s="232">
        <f t="shared" si="3"/>
        <v>0</v>
      </c>
      <c r="N16" s="233">
        <v>0</v>
      </c>
      <c r="O16" s="233">
        <f>O17</f>
        <v>0</v>
      </c>
      <c r="P16" s="233">
        <f t="shared" si="10"/>
        <v>0</v>
      </c>
      <c r="Q16" s="233">
        <f t="shared" si="10"/>
        <v>0</v>
      </c>
      <c r="R16" s="232">
        <f t="shared" si="5"/>
        <v>0</v>
      </c>
    </row>
    <row r="17" spans="1:18" s="4" customFormat="1" ht="24" hidden="1" customHeight="1">
      <c r="A17" s="133">
        <v>18130</v>
      </c>
      <c r="B17" s="172" t="s">
        <v>159</v>
      </c>
      <c r="C17" s="170">
        <v>0</v>
      </c>
      <c r="D17" s="170">
        <v>0</v>
      </c>
      <c r="E17" s="233">
        <f>SUM(E18:E20)</f>
        <v>0</v>
      </c>
      <c r="F17" s="233">
        <f t="shared" ref="F17:G17" si="11">SUM(F18:F20)</f>
        <v>0</v>
      </c>
      <c r="G17" s="233">
        <f t="shared" si="11"/>
        <v>0</v>
      </c>
      <c r="H17" s="232">
        <f t="shared" si="1"/>
        <v>0</v>
      </c>
      <c r="I17" s="233">
        <v>0</v>
      </c>
      <c r="J17" s="233">
        <f>SUM(J18:J20)</f>
        <v>0</v>
      </c>
      <c r="K17" s="233">
        <f t="shared" ref="K17:L17" si="12">SUM(K18:K20)</f>
        <v>0</v>
      </c>
      <c r="L17" s="233">
        <f t="shared" si="12"/>
        <v>0</v>
      </c>
      <c r="M17" s="232">
        <f t="shared" si="3"/>
        <v>0</v>
      </c>
      <c r="N17" s="233">
        <v>0</v>
      </c>
      <c r="O17" s="233">
        <f>SUM(O18:O20)</f>
        <v>0</v>
      </c>
      <c r="P17" s="233">
        <f t="shared" ref="P17:Q17" si="13">SUM(P18:P20)</f>
        <v>0</v>
      </c>
      <c r="Q17" s="233">
        <f t="shared" si="13"/>
        <v>0</v>
      </c>
      <c r="R17" s="232">
        <f t="shared" si="5"/>
        <v>0</v>
      </c>
    </row>
    <row r="18" spans="1:18" s="6" customFormat="1" ht="36" hidden="1" customHeight="1">
      <c r="A18" s="134">
        <v>18131</v>
      </c>
      <c r="B18" s="172" t="s">
        <v>160</v>
      </c>
      <c r="C18" s="170">
        <v>0</v>
      </c>
      <c r="D18" s="170">
        <v>0</v>
      </c>
      <c r="E18" s="233"/>
      <c r="F18" s="233"/>
      <c r="G18" s="233"/>
      <c r="H18" s="232">
        <f t="shared" si="1"/>
        <v>0</v>
      </c>
      <c r="I18" s="233">
        <v>0</v>
      </c>
      <c r="J18" s="233"/>
      <c r="K18" s="233"/>
      <c r="L18" s="233"/>
      <c r="M18" s="232">
        <f t="shared" si="3"/>
        <v>0</v>
      </c>
      <c r="N18" s="233">
        <v>0</v>
      </c>
      <c r="O18" s="233"/>
      <c r="P18" s="233"/>
      <c r="Q18" s="233"/>
      <c r="R18" s="232">
        <f t="shared" si="5"/>
        <v>0</v>
      </c>
    </row>
    <row r="19" spans="1:18" s="6" customFormat="1" ht="24" hidden="1" customHeight="1">
      <c r="A19" s="134">
        <v>18132</v>
      </c>
      <c r="B19" s="172" t="s">
        <v>169</v>
      </c>
      <c r="C19" s="170">
        <v>0</v>
      </c>
      <c r="D19" s="170">
        <v>0</v>
      </c>
      <c r="E19" s="233"/>
      <c r="F19" s="233"/>
      <c r="G19" s="233"/>
      <c r="H19" s="232">
        <f t="shared" si="1"/>
        <v>0</v>
      </c>
      <c r="I19" s="233">
        <v>0</v>
      </c>
      <c r="J19" s="233"/>
      <c r="K19" s="233"/>
      <c r="L19" s="233"/>
      <c r="M19" s="232">
        <f t="shared" si="3"/>
        <v>0</v>
      </c>
      <c r="N19" s="233">
        <v>0</v>
      </c>
      <c r="O19" s="233"/>
      <c r="P19" s="233"/>
      <c r="Q19" s="233"/>
      <c r="R19" s="232">
        <f t="shared" si="5"/>
        <v>0</v>
      </c>
    </row>
    <row r="20" spans="1:18" s="6" customFormat="1" ht="24" hidden="1" customHeight="1">
      <c r="A20" s="134">
        <v>18139</v>
      </c>
      <c r="B20" s="172" t="s">
        <v>179</v>
      </c>
      <c r="C20" s="170">
        <v>0</v>
      </c>
      <c r="D20" s="170">
        <v>0</v>
      </c>
      <c r="E20" s="233"/>
      <c r="F20" s="233"/>
      <c r="G20" s="233"/>
      <c r="H20" s="232">
        <f t="shared" si="1"/>
        <v>0</v>
      </c>
      <c r="I20" s="233">
        <v>0</v>
      </c>
      <c r="J20" s="233"/>
      <c r="K20" s="233"/>
      <c r="L20" s="233"/>
      <c r="M20" s="232">
        <f t="shared" si="3"/>
        <v>0</v>
      </c>
      <c r="N20" s="233">
        <v>0</v>
      </c>
      <c r="O20" s="233"/>
      <c r="P20" s="233"/>
      <c r="Q20" s="233"/>
      <c r="R20" s="232">
        <f t="shared" si="5"/>
        <v>0</v>
      </c>
    </row>
    <row r="21" spans="1:18" s="6" customFormat="1" ht="12" hidden="1" customHeight="1">
      <c r="A21" s="135" t="s">
        <v>180</v>
      </c>
      <c r="B21" s="173" t="s">
        <v>173</v>
      </c>
      <c r="C21" s="201">
        <v>0</v>
      </c>
      <c r="D21" s="201">
        <v>0</v>
      </c>
      <c r="E21" s="238">
        <f t="shared" ref="E21:L21" si="14">E22</f>
        <v>0</v>
      </c>
      <c r="F21" s="238">
        <f t="shared" si="14"/>
        <v>0</v>
      </c>
      <c r="G21" s="238">
        <f t="shared" si="14"/>
        <v>0</v>
      </c>
      <c r="H21" s="232">
        <f t="shared" si="1"/>
        <v>0</v>
      </c>
      <c r="I21" s="238">
        <v>0</v>
      </c>
      <c r="J21" s="238">
        <f t="shared" si="14"/>
        <v>0</v>
      </c>
      <c r="K21" s="238">
        <f t="shared" si="14"/>
        <v>0</v>
      </c>
      <c r="L21" s="238">
        <f t="shared" si="14"/>
        <v>0</v>
      </c>
      <c r="M21" s="232">
        <f t="shared" si="3"/>
        <v>0</v>
      </c>
      <c r="N21" s="238">
        <v>0</v>
      </c>
      <c r="O21" s="238">
        <f t="shared" ref="O21:Q21" si="15">O22</f>
        <v>0</v>
      </c>
      <c r="P21" s="238">
        <f t="shared" si="15"/>
        <v>0</v>
      </c>
      <c r="Q21" s="238">
        <f t="shared" si="15"/>
        <v>0</v>
      </c>
      <c r="R21" s="232">
        <f t="shared" si="5"/>
        <v>0</v>
      </c>
    </row>
    <row r="22" spans="1:18" s="6" customFormat="1" ht="24" hidden="1" customHeight="1">
      <c r="A22" s="135">
        <v>19500</v>
      </c>
      <c r="B22" s="172" t="s">
        <v>174</v>
      </c>
      <c r="C22" s="170">
        <v>0</v>
      </c>
      <c r="D22" s="170">
        <v>0</v>
      </c>
      <c r="E22" s="233">
        <f>SUM(E23:E25)</f>
        <v>0</v>
      </c>
      <c r="F22" s="233">
        <f t="shared" ref="F22:G22" si="16">SUM(F23:F25)</f>
        <v>0</v>
      </c>
      <c r="G22" s="233">
        <f t="shared" si="16"/>
        <v>0</v>
      </c>
      <c r="H22" s="232">
        <f t="shared" si="1"/>
        <v>0</v>
      </c>
      <c r="I22" s="233">
        <v>0</v>
      </c>
      <c r="J22" s="233">
        <f>SUM(J23:J25)</f>
        <v>0</v>
      </c>
      <c r="K22" s="233">
        <f t="shared" ref="K22:L22" si="17">SUM(K23:K25)</f>
        <v>0</v>
      </c>
      <c r="L22" s="233">
        <f t="shared" si="17"/>
        <v>0</v>
      </c>
      <c r="M22" s="232">
        <f t="shared" si="3"/>
        <v>0</v>
      </c>
      <c r="N22" s="233">
        <v>0</v>
      </c>
      <c r="O22" s="233">
        <f>SUM(O23:O25)</f>
        <v>0</v>
      </c>
      <c r="P22" s="233">
        <f t="shared" ref="P22:Q22" si="18">SUM(P23:P25)</f>
        <v>0</v>
      </c>
      <c r="Q22" s="233">
        <f t="shared" si="18"/>
        <v>0</v>
      </c>
      <c r="R22" s="232">
        <f t="shared" si="5"/>
        <v>0</v>
      </c>
    </row>
    <row r="23" spans="1:18" s="6" customFormat="1" ht="24" hidden="1" customHeight="1">
      <c r="A23" s="136">
        <v>19550</v>
      </c>
      <c r="B23" s="172" t="s">
        <v>175</v>
      </c>
      <c r="C23" s="170">
        <v>0</v>
      </c>
      <c r="D23" s="170">
        <v>0</v>
      </c>
      <c r="E23" s="233"/>
      <c r="F23" s="233"/>
      <c r="G23" s="233"/>
      <c r="H23" s="232">
        <f t="shared" si="1"/>
        <v>0</v>
      </c>
      <c r="I23" s="233">
        <v>0</v>
      </c>
      <c r="J23" s="233"/>
      <c r="K23" s="233"/>
      <c r="L23" s="233"/>
      <c r="M23" s="232">
        <f t="shared" si="3"/>
        <v>0</v>
      </c>
      <c r="N23" s="233">
        <v>0</v>
      </c>
      <c r="O23" s="233"/>
      <c r="P23" s="233"/>
      <c r="Q23" s="233"/>
      <c r="R23" s="232">
        <f t="shared" si="5"/>
        <v>0</v>
      </c>
    </row>
    <row r="24" spans="1:18" s="6" customFormat="1" ht="36" hidden="1" customHeight="1">
      <c r="A24" s="136">
        <v>19560</v>
      </c>
      <c r="B24" s="172" t="s">
        <v>181</v>
      </c>
      <c r="C24" s="170">
        <v>0</v>
      </c>
      <c r="D24" s="170">
        <v>0</v>
      </c>
      <c r="E24" s="233"/>
      <c r="F24" s="233"/>
      <c r="G24" s="233"/>
      <c r="H24" s="232">
        <f t="shared" si="1"/>
        <v>0</v>
      </c>
      <c r="I24" s="233">
        <v>0</v>
      </c>
      <c r="J24" s="233"/>
      <c r="K24" s="233"/>
      <c r="L24" s="233"/>
      <c r="M24" s="232">
        <f t="shared" si="3"/>
        <v>0</v>
      </c>
      <c r="N24" s="233">
        <v>0</v>
      </c>
      <c r="O24" s="233"/>
      <c r="P24" s="233"/>
      <c r="Q24" s="233"/>
      <c r="R24" s="232">
        <f t="shared" si="5"/>
        <v>0</v>
      </c>
    </row>
    <row r="25" spans="1:18" s="6" customFormat="1" ht="72" hidden="1" customHeight="1">
      <c r="A25" s="136">
        <v>19570</v>
      </c>
      <c r="B25" s="172" t="s">
        <v>182</v>
      </c>
      <c r="C25" s="170">
        <v>0</v>
      </c>
      <c r="D25" s="170">
        <v>0</v>
      </c>
      <c r="E25" s="233"/>
      <c r="F25" s="233"/>
      <c r="G25" s="233"/>
      <c r="H25" s="232">
        <f t="shared" si="1"/>
        <v>0</v>
      </c>
      <c r="I25" s="233">
        <v>0</v>
      </c>
      <c r="J25" s="233"/>
      <c r="K25" s="233"/>
      <c r="L25" s="233"/>
      <c r="M25" s="232">
        <f t="shared" si="3"/>
        <v>0</v>
      </c>
      <c r="N25" s="233">
        <v>0</v>
      </c>
      <c r="O25" s="233"/>
      <c r="P25" s="233"/>
      <c r="Q25" s="233"/>
      <c r="R25" s="232">
        <f t="shared" si="5"/>
        <v>0</v>
      </c>
    </row>
    <row r="26" spans="1:18" s="6" customFormat="1" ht="36" hidden="1" customHeight="1">
      <c r="A26" s="209" t="s">
        <v>222</v>
      </c>
      <c r="B26" s="208" t="s">
        <v>216</v>
      </c>
      <c r="C26" s="106">
        <f>C27</f>
        <v>0</v>
      </c>
      <c r="D26" s="106">
        <v>0</v>
      </c>
      <c r="E26" s="232">
        <f t="shared" ref="E26:L26" si="19">E27</f>
        <v>0</v>
      </c>
      <c r="F26" s="232">
        <f t="shared" si="19"/>
        <v>0</v>
      </c>
      <c r="G26" s="232">
        <f t="shared" si="19"/>
        <v>0</v>
      </c>
      <c r="H26" s="232">
        <f t="shared" si="1"/>
        <v>0</v>
      </c>
      <c r="I26" s="233">
        <v>0</v>
      </c>
      <c r="J26" s="232">
        <f t="shared" si="19"/>
        <v>0</v>
      </c>
      <c r="K26" s="232">
        <f t="shared" si="19"/>
        <v>0</v>
      </c>
      <c r="L26" s="232">
        <f t="shared" si="19"/>
        <v>0</v>
      </c>
      <c r="M26" s="232">
        <f t="shared" si="3"/>
        <v>0</v>
      </c>
      <c r="N26" s="233">
        <v>0</v>
      </c>
      <c r="O26" s="232">
        <f t="shared" ref="O26:Q26" si="20">O27</f>
        <v>0</v>
      </c>
      <c r="P26" s="232">
        <f t="shared" si="20"/>
        <v>0</v>
      </c>
      <c r="Q26" s="232">
        <f t="shared" si="20"/>
        <v>0</v>
      </c>
      <c r="R26" s="232">
        <f t="shared" si="5"/>
        <v>0</v>
      </c>
    </row>
    <row r="27" spans="1:18" s="6" customFormat="1" ht="36" hidden="1" customHeight="1">
      <c r="A27" s="209">
        <v>17100</v>
      </c>
      <c r="B27" s="208" t="s">
        <v>217</v>
      </c>
      <c r="C27" s="106">
        <f>SUM(C28:C31)</f>
        <v>0</v>
      </c>
      <c r="D27" s="106">
        <v>0</v>
      </c>
      <c r="E27" s="232">
        <f t="shared" ref="E27:G27" si="21">SUM(E28:E31)</f>
        <v>0</v>
      </c>
      <c r="F27" s="232">
        <f t="shared" ref="F27" si="22">SUM(F28:F31)</f>
        <v>0</v>
      </c>
      <c r="G27" s="232">
        <f t="shared" si="21"/>
        <v>0</v>
      </c>
      <c r="H27" s="232">
        <f t="shared" si="1"/>
        <v>0</v>
      </c>
      <c r="I27" s="233">
        <v>0</v>
      </c>
      <c r="J27" s="232">
        <f t="shared" ref="J27:L27" si="23">SUM(J28:J31)</f>
        <v>0</v>
      </c>
      <c r="K27" s="232">
        <f t="shared" ref="K27" si="24">SUM(K28:K31)</f>
        <v>0</v>
      </c>
      <c r="L27" s="232">
        <f t="shared" si="23"/>
        <v>0</v>
      </c>
      <c r="M27" s="232">
        <f t="shared" si="3"/>
        <v>0</v>
      </c>
      <c r="N27" s="233">
        <v>0</v>
      </c>
      <c r="O27" s="232">
        <f t="shared" ref="O27:Q27" si="25">SUM(O28:O31)</f>
        <v>0</v>
      </c>
      <c r="P27" s="232">
        <f t="shared" ref="P27" si="26">SUM(P28:P31)</f>
        <v>0</v>
      </c>
      <c r="Q27" s="232">
        <f t="shared" si="25"/>
        <v>0</v>
      </c>
      <c r="R27" s="232">
        <f t="shared" si="5"/>
        <v>0</v>
      </c>
    </row>
    <row r="28" spans="1:18" s="6" customFormat="1" ht="60" hidden="1" customHeight="1">
      <c r="A28" s="149">
        <v>17110</v>
      </c>
      <c r="B28" s="208" t="s">
        <v>218</v>
      </c>
      <c r="C28" s="106"/>
      <c r="D28" s="106">
        <v>0</v>
      </c>
      <c r="E28" s="233"/>
      <c r="F28" s="233"/>
      <c r="G28" s="233"/>
      <c r="H28" s="232">
        <f t="shared" si="1"/>
        <v>0</v>
      </c>
      <c r="I28" s="233">
        <v>0</v>
      </c>
      <c r="J28" s="233"/>
      <c r="K28" s="233"/>
      <c r="L28" s="233"/>
      <c r="M28" s="232">
        <f t="shared" si="3"/>
        <v>0</v>
      </c>
      <c r="N28" s="233">
        <v>0</v>
      </c>
      <c r="O28" s="233"/>
      <c r="P28" s="233"/>
      <c r="Q28" s="233"/>
      <c r="R28" s="232">
        <f t="shared" si="5"/>
        <v>0</v>
      </c>
    </row>
    <row r="29" spans="1:18" s="6" customFormat="1" ht="60" hidden="1" customHeight="1">
      <c r="A29" s="149">
        <v>17120</v>
      </c>
      <c r="B29" s="208" t="s">
        <v>219</v>
      </c>
      <c r="C29" s="106"/>
      <c r="D29" s="106">
        <v>0</v>
      </c>
      <c r="E29" s="233"/>
      <c r="F29" s="233"/>
      <c r="G29" s="233"/>
      <c r="H29" s="232">
        <f t="shared" si="1"/>
        <v>0</v>
      </c>
      <c r="I29" s="233">
        <v>0</v>
      </c>
      <c r="J29" s="233"/>
      <c r="K29" s="233"/>
      <c r="L29" s="233"/>
      <c r="M29" s="232">
        <f t="shared" si="3"/>
        <v>0</v>
      </c>
      <c r="N29" s="233">
        <v>0</v>
      </c>
      <c r="O29" s="233"/>
      <c r="P29" s="233"/>
      <c r="Q29" s="233"/>
      <c r="R29" s="232">
        <f t="shared" si="5"/>
        <v>0</v>
      </c>
    </row>
    <row r="30" spans="1:18" s="6" customFormat="1" ht="108" hidden="1" customHeight="1">
      <c r="A30" s="149">
        <v>17130</v>
      </c>
      <c r="B30" s="208" t="s">
        <v>220</v>
      </c>
      <c r="C30" s="106"/>
      <c r="D30" s="106">
        <v>0</v>
      </c>
      <c r="E30" s="233"/>
      <c r="F30" s="233"/>
      <c r="G30" s="233"/>
      <c r="H30" s="232">
        <f t="shared" si="1"/>
        <v>0</v>
      </c>
      <c r="I30" s="233">
        <v>0</v>
      </c>
      <c r="J30" s="233"/>
      <c r="K30" s="233"/>
      <c r="L30" s="233"/>
      <c r="M30" s="232">
        <f t="shared" si="3"/>
        <v>0</v>
      </c>
      <c r="N30" s="233">
        <v>0</v>
      </c>
      <c r="O30" s="233"/>
      <c r="P30" s="233"/>
      <c r="Q30" s="233"/>
      <c r="R30" s="232">
        <f t="shared" si="5"/>
        <v>0</v>
      </c>
    </row>
    <row r="31" spans="1:18" s="6" customFormat="1" ht="108" hidden="1" customHeight="1">
      <c r="A31" s="149">
        <v>17140</v>
      </c>
      <c r="B31" s="208" t="s">
        <v>221</v>
      </c>
      <c r="C31" s="106"/>
      <c r="D31" s="106">
        <v>0</v>
      </c>
      <c r="E31" s="233"/>
      <c r="F31" s="233"/>
      <c r="G31" s="233"/>
      <c r="H31" s="232">
        <f t="shared" si="1"/>
        <v>0</v>
      </c>
      <c r="I31" s="233">
        <v>0</v>
      </c>
      <c r="J31" s="233"/>
      <c r="K31" s="233"/>
      <c r="L31" s="233"/>
      <c r="M31" s="232">
        <f t="shared" si="3"/>
        <v>0</v>
      </c>
      <c r="N31" s="233">
        <v>0</v>
      </c>
      <c r="O31" s="233"/>
      <c r="P31" s="233"/>
      <c r="Q31" s="233"/>
      <c r="R31" s="232">
        <f t="shared" si="5"/>
        <v>0</v>
      </c>
    </row>
    <row r="32" spans="1:18" s="6" customFormat="1" ht="12">
      <c r="A32" s="137">
        <v>21700</v>
      </c>
      <c r="B32" s="124" t="s">
        <v>97</v>
      </c>
      <c r="C32" s="170">
        <v>106523451</v>
      </c>
      <c r="D32" s="170">
        <v>125895427</v>
      </c>
      <c r="E32" s="233">
        <f>E33+E34</f>
        <v>-10231389</v>
      </c>
      <c r="F32" s="233">
        <f t="shared" ref="F32:G32" si="27">F33+F34</f>
        <v>0</v>
      </c>
      <c r="G32" s="233">
        <f t="shared" si="27"/>
        <v>-7833637</v>
      </c>
      <c r="H32" s="232">
        <f t="shared" si="1"/>
        <v>107830401</v>
      </c>
      <c r="I32" s="233">
        <v>692874835</v>
      </c>
      <c r="J32" s="233">
        <f>J33+J34</f>
        <v>-21817097</v>
      </c>
      <c r="K32" s="233">
        <f t="shared" ref="K32:L32" si="28">K33+K34</f>
        <v>26442121</v>
      </c>
      <c r="L32" s="233">
        <f t="shared" si="28"/>
        <v>-21119859</v>
      </c>
      <c r="M32" s="232">
        <f t="shared" si="3"/>
        <v>676380000</v>
      </c>
      <c r="N32" s="233">
        <v>761808943</v>
      </c>
      <c r="O32" s="233">
        <f>O33+O34</f>
        <v>-5707882</v>
      </c>
      <c r="P32" s="233">
        <f t="shared" ref="P32:Q32" si="29">P33+P34</f>
        <v>37297427</v>
      </c>
      <c r="Q32" s="233">
        <f t="shared" si="29"/>
        <v>-40113506</v>
      </c>
      <c r="R32" s="232">
        <f t="shared" si="5"/>
        <v>753284982</v>
      </c>
    </row>
    <row r="33" spans="1:18" s="6" customFormat="1" ht="24">
      <c r="A33" s="138">
        <v>21710</v>
      </c>
      <c r="B33" s="125" t="s">
        <v>98</v>
      </c>
      <c r="C33" s="170">
        <v>106523451</v>
      </c>
      <c r="D33" s="170">
        <v>125895427</v>
      </c>
      <c r="E33" s="233">
        <f>E35</f>
        <v>-10231389</v>
      </c>
      <c r="F33" s="233">
        <f>F35</f>
        <v>0</v>
      </c>
      <c r="G33" s="233">
        <f>G35</f>
        <v>-7833637</v>
      </c>
      <c r="H33" s="232">
        <f t="shared" si="1"/>
        <v>107830401</v>
      </c>
      <c r="I33" s="233">
        <v>692874835</v>
      </c>
      <c r="J33" s="233">
        <f>J35</f>
        <v>-21817097</v>
      </c>
      <c r="K33" s="233">
        <f>K35</f>
        <v>26442121</v>
      </c>
      <c r="L33" s="233">
        <f>L35</f>
        <v>-21119859</v>
      </c>
      <c r="M33" s="232">
        <f t="shared" si="3"/>
        <v>676380000</v>
      </c>
      <c r="N33" s="233">
        <v>761808943</v>
      </c>
      <c r="O33" s="233">
        <f>O117+O201</f>
        <v>-5707882</v>
      </c>
      <c r="P33" s="233">
        <f>P35</f>
        <v>37297427</v>
      </c>
      <c r="Q33" s="233">
        <f>Q35</f>
        <v>-40113506</v>
      </c>
      <c r="R33" s="232">
        <f t="shared" si="5"/>
        <v>753284982</v>
      </c>
    </row>
    <row r="34" spans="1:18" s="6" customFormat="1" ht="24" hidden="1" customHeight="1">
      <c r="A34" s="138">
        <v>21720</v>
      </c>
      <c r="B34" s="125" t="s">
        <v>99</v>
      </c>
      <c r="C34" s="170">
        <v>0</v>
      </c>
      <c r="D34" s="170">
        <v>0</v>
      </c>
      <c r="E34" s="233"/>
      <c r="F34" s="233"/>
      <c r="G34" s="233"/>
      <c r="H34" s="232">
        <f t="shared" si="1"/>
        <v>0</v>
      </c>
      <c r="I34" s="233">
        <v>0</v>
      </c>
      <c r="J34" s="233"/>
      <c r="K34" s="233"/>
      <c r="L34" s="233"/>
      <c r="M34" s="232">
        <f t="shared" si="3"/>
        <v>0</v>
      </c>
      <c r="N34" s="233">
        <v>0</v>
      </c>
      <c r="O34" s="233"/>
      <c r="P34" s="233"/>
      <c r="Q34" s="233"/>
      <c r="R34" s="232">
        <f t="shared" si="5"/>
        <v>0</v>
      </c>
    </row>
    <row r="35" spans="1:18" s="6" customFormat="1" ht="11.4">
      <c r="A35" s="129" t="s">
        <v>100</v>
      </c>
      <c r="B35" s="123" t="s">
        <v>101</v>
      </c>
      <c r="C35" s="168">
        <v>106523451</v>
      </c>
      <c r="D35" s="168">
        <v>125895427</v>
      </c>
      <c r="E35" s="243">
        <f t="shared" ref="E35:G35" si="30">E36+E63</f>
        <v>-10231389</v>
      </c>
      <c r="F35" s="243">
        <f t="shared" ref="F35" si="31">F36+F63</f>
        <v>0</v>
      </c>
      <c r="G35" s="243">
        <f t="shared" si="30"/>
        <v>-7833637</v>
      </c>
      <c r="H35" s="229">
        <f t="shared" si="1"/>
        <v>107830401</v>
      </c>
      <c r="I35" s="243">
        <v>692874835</v>
      </c>
      <c r="J35" s="243">
        <f t="shared" ref="J35:L35" si="32">J36+J63</f>
        <v>-21817097</v>
      </c>
      <c r="K35" s="243">
        <f t="shared" ref="K35" si="33">K36+K63</f>
        <v>26442121</v>
      </c>
      <c r="L35" s="243">
        <f t="shared" si="32"/>
        <v>-21119859</v>
      </c>
      <c r="M35" s="229">
        <f t="shared" si="3"/>
        <v>676380000</v>
      </c>
      <c r="N35" s="243">
        <v>761808943</v>
      </c>
      <c r="O35" s="243">
        <f t="shared" ref="O35:Q35" si="34">O36+O63</f>
        <v>-5707882</v>
      </c>
      <c r="P35" s="243">
        <f t="shared" ref="P35" si="35">P36+P63</f>
        <v>37297427</v>
      </c>
      <c r="Q35" s="243">
        <f t="shared" si="34"/>
        <v>-40113506</v>
      </c>
      <c r="R35" s="229">
        <f t="shared" si="5"/>
        <v>753284982</v>
      </c>
    </row>
    <row r="36" spans="1:18" s="6" customFormat="1" ht="20.399999999999999">
      <c r="A36" s="130" t="s">
        <v>102</v>
      </c>
      <c r="B36" s="124" t="s">
        <v>103</v>
      </c>
      <c r="C36" s="170">
        <v>106523451</v>
      </c>
      <c r="D36" s="170">
        <v>125895427</v>
      </c>
      <c r="E36" s="233">
        <f>E37+E41+E42+E45+E48</f>
        <v>-10231389</v>
      </c>
      <c r="F36" s="233">
        <f t="shared" ref="F36:G36" si="36">F37+F41+F42+F45+F48</f>
        <v>0</v>
      </c>
      <c r="G36" s="233">
        <f t="shared" si="36"/>
        <v>-7833637</v>
      </c>
      <c r="H36" s="232">
        <f t="shared" si="1"/>
        <v>107830401</v>
      </c>
      <c r="I36" s="233">
        <v>692874835</v>
      </c>
      <c r="J36" s="233">
        <f>J37+J41+J42+J45+J48</f>
        <v>-21817097</v>
      </c>
      <c r="K36" s="233">
        <f t="shared" ref="K36:L36" si="37">K37+K41+K42+K45+K48</f>
        <v>26442121</v>
      </c>
      <c r="L36" s="233">
        <f t="shared" si="37"/>
        <v>-21119859</v>
      </c>
      <c r="M36" s="232">
        <f t="shared" si="3"/>
        <v>676380000</v>
      </c>
      <c r="N36" s="233">
        <v>761808943</v>
      </c>
      <c r="O36" s="233">
        <f>O37+O41+O42+O45+O48</f>
        <v>-5707882</v>
      </c>
      <c r="P36" s="233">
        <f t="shared" ref="P36:Q36" si="38">P37+P41+P42+P45+P48</f>
        <v>37297427</v>
      </c>
      <c r="Q36" s="233">
        <f t="shared" si="38"/>
        <v>-40113506</v>
      </c>
      <c r="R36" s="232">
        <f t="shared" si="5"/>
        <v>753284982</v>
      </c>
    </row>
    <row r="37" spans="1:18" s="6" customFormat="1" ht="12" hidden="1" customHeight="1">
      <c r="A37" s="130" t="s">
        <v>104</v>
      </c>
      <c r="B37" s="124" t="s">
        <v>105</v>
      </c>
      <c r="C37" s="170">
        <v>0</v>
      </c>
      <c r="D37" s="170">
        <v>0</v>
      </c>
      <c r="E37" s="233">
        <f>E38+E40</f>
        <v>0</v>
      </c>
      <c r="F37" s="233">
        <f t="shared" ref="F37:G37" si="39">F38+F40</f>
        <v>0</v>
      </c>
      <c r="G37" s="233">
        <f t="shared" si="39"/>
        <v>0</v>
      </c>
      <c r="H37" s="232">
        <f t="shared" si="1"/>
        <v>0</v>
      </c>
      <c r="I37" s="233">
        <v>0</v>
      </c>
      <c r="J37" s="233">
        <f>J38+J40</f>
        <v>0</v>
      </c>
      <c r="K37" s="233">
        <f t="shared" ref="K37:L37" si="40">K38+K40</f>
        <v>0</v>
      </c>
      <c r="L37" s="233">
        <f t="shared" si="40"/>
        <v>0</v>
      </c>
      <c r="M37" s="232">
        <f t="shared" si="3"/>
        <v>0</v>
      </c>
      <c r="N37" s="233">
        <v>0</v>
      </c>
      <c r="O37" s="233">
        <f>O38+O40</f>
        <v>0</v>
      </c>
      <c r="P37" s="233">
        <f t="shared" ref="P37:Q37" si="41">P38+P40</f>
        <v>0</v>
      </c>
      <c r="Q37" s="233">
        <f t="shared" si="41"/>
        <v>0</v>
      </c>
      <c r="R37" s="232">
        <f t="shared" si="5"/>
        <v>0</v>
      </c>
    </row>
    <row r="38" spans="1:18" s="6" customFormat="1" ht="12" hidden="1" customHeight="1">
      <c r="A38" s="132">
        <v>1000</v>
      </c>
      <c r="B38" s="125" t="s">
        <v>106</v>
      </c>
      <c r="C38" s="170">
        <v>0</v>
      </c>
      <c r="D38" s="170">
        <v>0</v>
      </c>
      <c r="E38" s="244"/>
      <c r="F38" s="244"/>
      <c r="G38" s="244"/>
      <c r="H38" s="232">
        <f t="shared" si="1"/>
        <v>0</v>
      </c>
      <c r="I38" s="233">
        <v>0</v>
      </c>
      <c r="J38" s="244"/>
      <c r="K38" s="244"/>
      <c r="L38" s="244"/>
      <c r="M38" s="232">
        <f t="shared" si="3"/>
        <v>0</v>
      </c>
      <c r="N38" s="233">
        <v>0</v>
      </c>
      <c r="O38" s="244"/>
      <c r="P38" s="244"/>
      <c r="Q38" s="244"/>
      <c r="R38" s="232">
        <f t="shared" si="5"/>
        <v>0</v>
      </c>
    </row>
    <row r="39" spans="1:18" s="6" customFormat="1" ht="12" hidden="1" customHeight="1">
      <c r="A39" s="139">
        <v>1100</v>
      </c>
      <c r="B39" s="125" t="s">
        <v>107</v>
      </c>
      <c r="C39" s="170">
        <v>0</v>
      </c>
      <c r="D39" s="170">
        <v>0</v>
      </c>
      <c r="E39" s="244"/>
      <c r="F39" s="244"/>
      <c r="G39" s="244"/>
      <c r="H39" s="232">
        <f t="shared" si="1"/>
        <v>0</v>
      </c>
      <c r="I39" s="233">
        <v>0</v>
      </c>
      <c r="J39" s="244"/>
      <c r="K39" s="244"/>
      <c r="L39" s="244"/>
      <c r="M39" s="232">
        <f t="shared" si="3"/>
        <v>0</v>
      </c>
      <c r="N39" s="233">
        <v>0</v>
      </c>
      <c r="O39" s="244"/>
      <c r="P39" s="244"/>
      <c r="Q39" s="244"/>
      <c r="R39" s="232">
        <f t="shared" si="5"/>
        <v>0</v>
      </c>
    </row>
    <row r="40" spans="1:18" s="6" customFormat="1" ht="12" hidden="1" customHeight="1">
      <c r="A40" s="132">
        <v>2000</v>
      </c>
      <c r="B40" s="125" t="s">
        <v>108</v>
      </c>
      <c r="C40" s="170">
        <v>0</v>
      </c>
      <c r="D40" s="170">
        <v>0</v>
      </c>
      <c r="E40" s="244"/>
      <c r="F40" s="244"/>
      <c r="G40" s="244"/>
      <c r="H40" s="232">
        <f t="shared" si="1"/>
        <v>0</v>
      </c>
      <c r="I40" s="233">
        <v>0</v>
      </c>
      <c r="J40" s="244"/>
      <c r="K40" s="244"/>
      <c r="L40" s="244"/>
      <c r="M40" s="232">
        <f t="shared" si="3"/>
        <v>0</v>
      </c>
      <c r="N40" s="233">
        <v>0</v>
      </c>
      <c r="O40" s="244"/>
      <c r="P40" s="244"/>
      <c r="Q40" s="244"/>
      <c r="R40" s="232">
        <f t="shared" si="5"/>
        <v>0</v>
      </c>
    </row>
    <row r="41" spans="1:18" s="6" customFormat="1" ht="12" hidden="1" customHeight="1">
      <c r="A41" s="140">
        <v>4000</v>
      </c>
      <c r="B41" s="124" t="s">
        <v>132</v>
      </c>
      <c r="C41" s="170">
        <v>0</v>
      </c>
      <c r="D41" s="170">
        <v>0</v>
      </c>
      <c r="E41" s="244"/>
      <c r="F41" s="244"/>
      <c r="G41" s="244"/>
      <c r="H41" s="232">
        <f t="shared" si="1"/>
        <v>0</v>
      </c>
      <c r="I41" s="233">
        <v>0</v>
      </c>
      <c r="J41" s="244"/>
      <c r="K41" s="244"/>
      <c r="L41" s="244"/>
      <c r="M41" s="232">
        <f t="shared" si="3"/>
        <v>0</v>
      </c>
      <c r="N41" s="233">
        <v>0</v>
      </c>
      <c r="O41" s="244"/>
      <c r="P41" s="244"/>
      <c r="Q41" s="244"/>
      <c r="R41" s="232">
        <f t="shared" si="5"/>
        <v>0</v>
      </c>
    </row>
    <row r="42" spans="1:18" s="6" customFormat="1" ht="12">
      <c r="A42" s="140" t="s">
        <v>109</v>
      </c>
      <c r="B42" s="124" t="s">
        <v>110</v>
      </c>
      <c r="C42" s="170">
        <v>106523451</v>
      </c>
      <c r="D42" s="170">
        <v>125895427</v>
      </c>
      <c r="E42" s="233">
        <f>E43+E44</f>
        <v>-10231389</v>
      </c>
      <c r="F42" s="233">
        <f t="shared" ref="F42:G42" si="42">F43+F44</f>
        <v>0</v>
      </c>
      <c r="G42" s="233">
        <f t="shared" si="42"/>
        <v>-7833637</v>
      </c>
      <c r="H42" s="232">
        <f t="shared" si="1"/>
        <v>107830401</v>
      </c>
      <c r="I42" s="233">
        <v>692874835</v>
      </c>
      <c r="J42" s="233">
        <f>J43+J44</f>
        <v>-21817097</v>
      </c>
      <c r="K42" s="233">
        <f t="shared" ref="K42:L42" si="43">K43+K44</f>
        <v>26442121</v>
      </c>
      <c r="L42" s="233">
        <f t="shared" si="43"/>
        <v>-21119859</v>
      </c>
      <c r="M42" s="232">
        <f t="shared" si="3"/>
        <v>676380000</v>
      </c>
      <c r="N42" s="233">
        <v>761808943</v>
      </c>
      <c r="O42" s="233">
        <f>O43+O44</f>
        <v>-5707882</v>
      </c>
      <c r="P42" s="233">
        <f t="shared" ref="P42:Q42" si="44">P43+P44</f>
        <v>37297427</v>
      </c>
      <c r="Q42" s="233">
        <f t="shared" si="44"/>
        <v>-40113506</v>
      </c>
      <c r="R42" s="232">
        <f t="shared" si="5"/>
        <v>753284982</v>
      </c>
    </row>
    <row r="43" spans="1:18" s="6" customFormat="1" ht="12">
      <c r="A43" s="132">
        <v>3000</v>
      </c>
      <c r="B43" s="125" t="s">
        <v>111</v>
      </c>
      <c r="C43" s="202">
        <v>106523451</v>
      </c>
      <c r="D43" s="202">
        <v>125895427</v>
      </c>
      <c r="E43" s="345">
        <f>E127+E211</f>
        <v>-10231389</v>
      </c>
      <c r="F43" s="345"/>
      <c r="G43" s="345">
        <f>G127+G211</f>
        <v>-7833637</v>
      </c>
      <c r="H43" s="232">
        <f t="shared" si="1"/>
        <v>107830401</v>
      </c>
      <c r="I43" s="345">
        <v>692874835</v>
      </c>
      <c r="J43" s="345">
        <f>J127+J211</f>
        <v>-21817097</v>
      </c>
      <c r="K43" s="345">
        <f>K127+K211</f>
        <v>26442121</v>
      </c>
      <c r="L43" s="345">
        <f>L127+L211</f>
        <v>-21119859</v>
      </c>
      <c r="M43" s="232">
        <f t="shared" si="3"/>
        <v>676380000</v>
      </c>
      <c r="N43" s="345">
        <v>761808943</v>
      </c>
      <c r="O43" s="345">
        <f>O127+O211</f>
        <v>-5707882</v>
      </c>
      <c r="P43" s="345">
        <f>P127</f>
        <v>37297427</v>
      </c>
      <c r="Q43" s="345">
        <f>Q127+Q211</f>
        <v>-40113506</v>
      </c>
      <c r="R43" s="232">
        <f t="shared" si="5"/>
        <v>753284982</v>
      </c>
    </row>
    <row r="44" spans="1:18" s="6" customFormat="1" ht="12" hidden="1" customHeight="1">
      <c r="A44" s="132">
        <v>6000</v>
      </c>
      <c r="B44" s="125" t="s">
        <v>112</v>
      </c>
      <c r="C44" s="203">
        <v>0</v>
      </c>
      <c r="D44" s="203">
        <v>0</v>
      </c>
      <c r="E44" s="248"/>
      <c r="F44" s="248"/>
      <c r="G44" s="248"/>
      <c r="H44" s="232">
        <f t="shared" si="1"/>
        <v>0</v>
      </c>
      <c r="I44" s="346">
        <v>0</v>
      </c>
      <c r="J44" s="248"/>
      <c r="K44" s="248"/>
      <c r="L44" s="248"/>
      <c r="M44" s="232">
        <f t="shared" si="3"/>
        <v>0</v>
      </c>
      <c r="N44" s="346">
        <v>0</v>
      </c>
      <c r="O44" s="248"/>
      <c r="P44" s="248"/>
      <c r="Q44" s="248"/>
      <c r="R44" s="232">
        <f t="shared" si="5"/>
        <v>0</v>
      </c>
    </row>
    <row r="45" spans="1:18" s="6" customFormat="1" ht="24" hidden="1" customHeight="1">
      <c r="A45" s="140" t="s">
        <v>113</v>
      </c>
      <c r="B45" s="124" t="s">
        <v>183</v>
      </c>
      <c r="C45" s="170">
        <v>0</v>
      </c>
      <c r="D45" s="170">
        <v>0</v>
      </c>
      <c r="E45" s="233">
        <f>E46+E47</f>
        <v>0</v>
      </c>
      <c r="F45" s="233">
        <f t="shared" ref="F45:G45" si="45">F46+F47</f>
        <v>0</v>
      </c>
      <c r="G45" s="233">
        <f t="shared" si="45"/>
        <v>0</v>
      </c>
      <c r="H45" s="232">
        <f t="shared" si="1"/>
        <v>0</v>
      </c>
      <c r="I45" s="233">
        <v>0</v>
      </c>
      <c r="J45" s="233">
        <f>J46+J47</f>
        <v>0</v>
      </c>
      <c r="K45" s="233">
        <f t="shared" ref="K45:L45" si="46">K46+K47</f>
        <v>0</v>
      </c>
      <c r="L45" s="233">
        <f t="shared" si="46"/>
        <v>0</v>
      </c>
      <c r="M45" s="232">
        <f t="shared" si="3"/>
        <v>0</v>
      </c>
      <c r="N45" s="233">
        <v>0</v>
      </c>
      <c r="O45" s="233">
        <f>O46+O47</f>
        <v>0</v>
      </c>
      <c r="P45" s="233">
        <f t="shared" ref="P45:Q45" si="47">P46+P47</f>
        <v>0</v>
      </c>
      <c r="Q45" s="233">
        <f t="shared" si="47"/>
        <v>0</v>
      </c>
      <c r="R45" s="232">
        <f t="shared" si="5"/>
        <v>0</v>
      </c>
    </row>
    <row r="46" spans="1:18" s="6" customFormat="1" ht="12" hidden="1" customHeight="1">
      <c r="A46" s="132">
        <v>7600</v>
      </c>
      <c r="B46" s="179" t="s">
        <v>184</v>
      </c>
      <c r="C46" s="170">
        <v>0</v>
      </c>
      <c r="D46" s="170">
        <v>0</v>
      </c>
      <c r="E46" s="244"/>
      <c r="F46" s="244"/>
      <c r="G46" s="244"/>
      <c r="H46" s="232">
        <f t="shared" si="1"/>
        <v>0</v>
      </c>
      <c r="I46" s="233">
        <v>0</v>
      </c>
      <c r="J46" s="244"/>
      <c r="K46" s="244"/>
      <c r="L46" s="244"/>
      <c r="M46" s="232">
        <f t="shared" si="3"/>
        <v>0</v>
      </c>
      <c r="N46" s="233">
        <v>0</v>
      </c>
      <c r="O46" s="244"/>
      <c r="P46" s="244"/>
      <c r="Q46" s="244"/>
      <c r="R46" s="232">
        <f t="shared" si="5"/>
        <v>0</v>
      </c>
    </row>
    <row r="47" spans="1:18" s="6" customFormat="1" ht="12" hidden="1" customHeight="1">
      <c r="A47" s="132">
        <v>7700</v>
      </c>
      <c r="B47" s="126" t="s">
        <v>114</v>
      </c>
      <c r="C47" s="170">
        <v>0</v>
      </c>
      <c r="D47" s="170">
        <v>0</v>
      </c>
      <c r="E47" s="244"/>
      <c r="F47" s="244"/>
      <c r="G47" s="244"/>
      <c r="H47" s="232">
        <f t="shared" si="1"/>
        <v>0</v>
      </c>
      <c r="I47" s="233">
        <v>0</v>
      </c>
      <c r="J47" s="244"/>
      <c r="K47" s="244"/>
      <c r="L47" s="244"/>
      <c r="M47" s="232">
        <f t="shared" si="3"/>
        <v>0</v>
      </c>
      <c r="N47" s="233">
        <v>0</v>
      </c>
      <c r="O47" s="244"/>
      <c r="P47" s="244"/>
      <c r="Q47" s="244"/>
      <c r="R47" s="232">
        <f t="shared" si="5"/>
        <v>0</v>
      </c>
    </row>
    <row r="48" spans="1:18" s="6" customFormat="1" ht="21" hidden="1" customHeight="1">
      <c r="A48" s="140" t="s">
        <v>185</v>
      </c>
      <c r="B48" s="124" t="s">
        <v>115</v>
      </c>
      <c r="C48" s="170">
        <v>0</v>
      </c>
      <c r="D48" s="170">
        <v>0</v>
      </c>
      <c r="E48" s="233">
        <f t="shared" ref="E48:G48" si="48">E49+E55+E59+E62</f>
        <v>0</v>
      </c>
      <c r="F48" s="233">
        <f t="shared" ref="F48" si="49">F49+F55+F59+F62</f>
        <v>0</v>
      </c>
      <c r="G48" s="233">
        <f t="shared" si="48"/>
        <v>0</v>
      </c>
      <c r="H48" s="232">
        <f t="shared" si="1"/>
        <v>0</v>
      </c>
      <c r="I48" s="233">
        <v>0</v>
      </c>
      <c r="J48" s="233">
        <f t="shared" ref="J48:L48" si="50">J49+J55+J59+J62</f>
        <v>0</v>
      </c>
      <c r="K48" s="233">
        <f t="shared" ref="K48" si="51">K49+K55+K59+K62</f>
        <v>0</v>
      </c>
      <c r="L48" s="233">
        <f t="shared" si="50"/>
        <v>0</v>
      </c>
      <c r="M48" s="232">
        <f t="shared" si="3"/>
        <v>0</v>
      </c>
      <c r="N48" s="233">
        <v>0</v>
      </c>
      <c r="O48" s="233">
        <f t="shared" ref="O48:Q48" si="52">O49+O55+O59+O62</f>
        <v>0</v>
      </c>
      <c r="P48" s="233">
        <f t="shared" ref="P48" si="53">P49+P55+P59+P62</f>
        <v>0</v>
      </c>
      <c r="Q48" s="233">
        <f t="shared" si="52"/>
        <v>0</v>
      </c>
      <c r="R48" s="232">
        <f t="shared" si="5"/>
        <v>0</v>
      </c>
    </row>
    <row r="49" spans="1:18" s="6" customFormat="1" ht="12" hidden="1" customHeight="1">
      <c r="A49" s="132">
        <v>7100</v>
      </c>
      <c r="B49" s="179" t="s">
        <v>116</v>
      </c>
      <c r="C49" s="170">
        <v>0</v>
      </c>
      <c r="D49" s="170">
        <v>0</v>
      </c>
      <c r="E49" s="233">
        <f>E50+E51</f>
        <v>0</v>
      </c>
      <c r="F49" s="233">
        <f t="shared" ref="F49:G49" si="54">F50+F51</f>
        <v>0</v>
      </c>
      <c r="G49" s="233">
        <f t="shared" si="54"/>
        <v>0</v>
      </c>
      <c r="H49" s="232">
        <f t="shared" si="1"/>
        <v>0</v>
      </c>
      <c r="I49" s="233">
        <v>0</v>
      </c>
      <c r="J49" s="233">
        <f>J50+J51</f>
        <v>0</v>
      </c>
      <c r="K49" s="233">
        <f t="shared" ref="K49:L49" si="55">K50+K51</f>
        <v>0</v>
      </c>
      <c r="L49" s="233">
        <f t="shared" si="55"/>
        <v>0</v>
      </c>
      <c r="M49" s="232">
        <f t="shared" si="3"/>
        <v>0</v>
      </c>
      <c r="N49" s="233">
        <v>0</v>
      </c>
      <c r="O49" s="233">
        <f>O50+O51</f>
        <v>0</v>
      </c>
      <c r="P49" s="233">
        <f t="shared" ref="P49:Q49" si="56">P50+P51</f>
        <v>0</v>
      </c>
      <c r="Q49" s="233">
        <f t="shared" si="56"/>
        <v>0</v>
      </c>
      <c r="R49" s="232">
        <f t="shared" si="5"/>
        <v>0</v>
      </c>
    </row>
    <row r="50" spans="1:18" s="6" customFormat="1" ht="24" hidden="1" customHeight="1">
      <c r="A50" s="133" t="s">
        <v>117</v>
      </c>
      <c r="B50" s="179" t="s">
        <v>118</v>
      </c>
      <c r="C50" s="170">
        <v>0</v>
      </c>
      <c r="D50" s="170">
        <v>0</v>
      </c>
      <c r="E50" s="233"/>
      <c r="F50" s="233"/>
      <c r="G50" s="233"/>
      <c r="H50" s="232">
        <f t="shared" si="1"/>
        <v>0</v>
      </c>
      <c r="I50" s="233">
        <v>0</v>
      </c>
      <c r="J50" s="233"/>
      <c r="K50" s="233"/>
      <c r="L50" s="233"/>
      <c r="M50" s="232">
        <f t="shared" si="3"/>
        <v>0</v>
      </c>
      <c r="N50" s="233">
        <v>0</v>
      </c>
      <c r="O50" s="233"/>
      <c r="P50" s="233"/>
      <c r="Q50" s="233"/>
      <c r="R50" s="232">
        <f t="shared" si="5"/>
        <v>0</v>
      </c>
    </row>
    <row r="51" spans="1:18" s="6" customFormat="1" ht="24" hidden="1" customHeight="1">
      <c r="A51" s="133">
        <v>7130</v>
      </c>
      <c r="B51" s="179" t="s">
        <v>119</v>
      </c>
      <c r="C51" s="170">
        <v>0</v>
      </c>
      <c r="D51" s="170">
        <v>0</v>
      </c>
      <c r="E51" s="233">
        <f>SUM(E52:E54)</f>
        <v>0</v>
      </c>
      <c r="F51" s="233">
        <f t="shared" ref="F51:G51" si="57">SUM(F52:F54)</f>
        <v>0</v>
      </c>
      <c r="G51" s="233">
        <f t="shared" si="57"/>
        <v>0</v>
      </c>
      <c r="H51" s="232">
        <f t="shared" si="1"/>
        <v>0</v>
      </c>
      <c r="I51" s="233">
        <v>0</v>
      </c>
      <c r="J51" s="233">
        <f>SUM(J52:J54)</f>
        <v>0</v>
      </c>
      <c r="K51" s="233">
        <f t="shared" ref="K51:L51" si="58">SUM(K52:K54)</f>
        <v>0</v>
      </c>
      <c r="L51" s="233">
        <f t="shared" si="58"/>
        <v>0</v>
      </c>
      <c r="M51" s="232">
        <f t="shared" si="3"/>
        <v>0</v>
      </c>
      <c r="N51" s="233">
        <v>0</v>
      </c>
      <c r="O51" s="233">
        <f>SUM(O52:O54)</f>
        <v>0</v>
      </c>
      <c r="P51" s="233">
        <f t="shared" ref="P51:Q51" si="59">SUM(P52:P54)</f>
        <v>0</v>
      </c>
      <c r="Q51" s="233">
        <f t="shared" si="59"/>
        <v>0</v>
      </c>
      <c r="R51" s="232">
        <f t="shared" si="5"/>
        <v>0</v>
      </c>
    </row>
    <row r="52" spans="1:18" s="6" customFormat="1" ht="36" hidden="1" customHeight="1">
      <c r="A52" s="134">
        <v>7131</v>
      </c>
      <c r="B52" s="179" t="s">
        <v>120</v>
      </c>
      <c r="C52" s="170">
        <v>0</v>
      </c>
      <c r="D52" s="170">
        <v>0</v>
      </c>
      <c r="E52" s="233"/>
      <c r="F52" s="233"/>
      <c r="G52" s="233"/>
      <c r="H52" s="232">
        <f t="shared" si="1"/>
        <v>0</v>
      </c>
      <c r="I52" s="233">
        <v>0</v>
      </c>
      <c r="J52" s="233"/>
      <c r="K52" s="233"/>
      <c r="L52" s="233"/>
      <c r="M52" s="232">
        <f t="shared" si="3"/>
        <v>0</v>
      </c>
      <c r="N52" s="233">
        <v>0</v>
      </c>
      <c r="O52" s="233"/>
      <c r="P52" s="233"/>
      <c r="Q52" s="233"/>
      <c r="R52" s="232">
        <f t="shared" si="5"/>
        <v>0</v>
      </c>
    </row>
    <row r="53" spans="1:18" s="6" customFormat="1" ht="36" hidden="1" customHeight="1">
      <c r="A53" s="134">
        <v>7132</v>
      </c>
      <c r="B53" s="179" t="s">
        <v>121</v>
      </c>
      <c r="C53" s="170">
        <v>0</v>
      </c>
      <c r="D53" s="170">
        <v>0</v>
      </c>
      <c r="E53" s="233"/>
      <c r="F53" s="233"/>
      <c r="G53" s="233"/>
      <c r="H53" s="232">
        <f t="shared" si="1"/>
        <v>0</v>
      </c>
      <c r="I53" s="233">
        <v>0</v>
      </c>
      <c r="J53" s="233"/>
      <c r="K53" s="233"/>
      <c r="L53" s="233"/>
      <c r="M53" s="232">
        <f t="shared" si="3"/>
        <v>0</v>
      </c>
      <c r="N53" s="233">
        <v>0</v>
      </c>
      <c r="O53" s="233"/>
      <c r="P53" s="233"/>
      <c r="Q53" s="233"/>
      <c r="R53" s="232">
        <f t="shared" si="5"/>
        <v>0</v>
      </c>
    </row>
    <row r="54" spans="1:18" s="6" customFormat="1" ht="36" hidden="1" customHeight="1">
      <c r="A54" s="134" t="s">
        <v>186</v>
      </c>
      <c r="B54" s="179" t="s">
        <v>187</v>
      </c>
      <c r="C54" s="170">
        <v>0</v>
      </c>
      <c r="D54" s="170">
        <v>0</v>
      </c>
      <c r="E54" s="233"/>
      <c r="F54" s="233"/>
      <c r="G54" s="233"/>
      <c r="H54" s="232">
        <f t="shared" si="1"/>
        <v>0</v>
      </c>
      <c r="I54" s="233">
        <v>0</v>
      </c>
      <c r="J54" s="233"/>
      <c r="K54" s="233"/>
      <c r="L54" s="233"/>
      <c r="M54" s="232">
        <f t="shared" si="3"/>
        <v>0</v>
      </c>
      <c r="N54" s="233">
        <v>0</v>
      </c>
      <c r="O54" s="233"/>
      <c r="P54" s="233"/>
      <c r="Q54" s="233"/>
      <c r="R54" s="232">
        <f t="shared" si="5"/>
        <v>0</v>
      </c>
    </row>
    <row r="55" spans="1:18" s="6" customFormat="1" ht="24" hidden="1" customHeight="1">
      <c r="A55" s="132">
        <v>7300</v>
      </c>
      <c r="B55" s="172" t="s">
        <v>155</v>
      </c>
      <c r="C55" s="170">
        <v>0</v>
      </c>
      <c r="D55" s="170">
        <v>0</v>
      </c>
      <c r="E55" s="233">
        <f>SUM(E56:E58)</f>
        <v>0</v>
      </c>
      <c r="F55" s="233">
        <f t="shared" ref="F55:G55" si="60">SUM(F56:F58)</f>
        <v>0</v>
      </c>
      <c r="G55" s="233">
        <f t="shared" si="60"/>
        <v>0</v>
      </c>
      <c r="H55" s="232">
        <f t="shared" si="1"/>
        <v>0</v>
      </c>
      <c r="I55" s="233">
        <v>0</v>
      </c>
      <c r="J55" s="233">
        <f>SUM(J56:J58)</f>
        <v>0</v>
      </c>
      <c r="K55" s="233">
        <f t="shared" ref="K55:L55" si="61">SUM(K56:K58)</f>
        <v>0</v>
      </c>
      <c r="L55" s="233">
        <f t="shared" si="61"/>
        <v>0</v>
      </c>
      <c r="M55" s="232">
        <f t="shared" si="3"/>
        <v>0</v>
      </c>
      <c r="N55" s="233">
        <v>0</v>
      </c>
      <c r="O55" s="233">
        <f>SUM(O56:O58)</f>
        <v>0</v>
      </c>
      <c r="P55" s="233">
        <f t="shared" ref="P55:Q55" si="62">SUM(P56:P58)</f>
        <v>0</v>
      </c>
      <c r="Q55" s="233">
        <f t="shared" si="62"/>
        <v>0</v>
      </c>
      <c r="R55" s="232">
        <f t="shared" si="5"/>
        <v>0</v>
      </c>
    </row>
    <row r="56" spans="1:18" s="6" customFormat="1" ht="24" hidden="1" customHeight="1">
      <c r="A56" s="133" t="s">
        <v>188</v>
      </c>
      <c r="B56" s="179" t="s">
        <v>170</v>
      </c>
      <c r="C56" s="204">
        <v>0</v>
      </c>
      <c r="D56" s="204">
        <v>0</v>
      </c>
      <c r="E56" s="252"/>
      <c r="F56" s="252"/>
      <c r="G56" s="252"/>
      <c r="H56" s="232">
        <f t="shared" si="1"/>
        <v>0</v>
      </c>
      <c r="I56" s="252">
        <v>0</v>
      </c>
      <c r="J56" s="252"/>
      <c r="K56" s="252"/>
      <c r="L56" s="252"/>
      <c r="M56" s="232">
        <f t="shared" si="3"/>
        <v>0</v>
      </c>
      <c r="N56" s="252">
        <v>0</v>
      </c>
      <c r="O56" s="252"/>
      <c r="P56" s="252"/>
      <c r="Q56" s="252"/>
      <c r="R56" s="232">
        <f t="shared" si="5"/>
        <v>0</v>
      </c>
    </row>
    <row r="57" spans="1:18" s="29" customFormat="1" ht="48" hidden="1" customHeight="1">
      <c r="A57" s="133" t="s">
        <v>189</v>
      </c>
      <c r="B57" s="179" t="s">
        <v>156</v>
      </c>
      <c r="C57" s="204">
        <v>0</v>
      </c>
      <c r="D57" s="204">
        <v>0</v>
      </c>
      <c r="E57" s="252"/>
      <c r="F57" s="252"/>
      <c r="G57" s="252"/>
      <c r="H57" s="232">
        <f t="shared" si="1"/>
        <v>0</v>
      </c>
      <c r="I57" s="252">
        <v>0</v>
      </c>
      <c r="J57" s="252"/>
      <c r="K57" s="252"/>
      <c r="L57" s="252"/>
      <c r="M57" s="232">
        <f t="shared" si="3"/>
        <v>0</v>
      </c>
      <c r="N57" s="252">
        <v>0</v>
      </c>
      <c r="O57" s="252"/>
      <c r="P57" s="252"/>
      <c r="Q57" s="252"/>
      <c r="R57" s="232">
        <f t="shared" si="5"/>
        <v>0</v>
      </c>
    </row>
    <row r="58" spans="1:18" s="89" customFormat="1" ht="36" hidden="1" customHeight="1">
      <c r="A58" s="133">
        <v>7350</v>
      </c>
      <c r="B58" s="179" t="s">
        <v>163</v>
      </c>
      <c r="C58" s="204">
        <v>0</v>
      </c>
      <c r="D58" s="204">
        <v>0</v>
      </c>
      <c r="E58" s="252"/>
      <c r="F58" s="252"/>
      <c r="G58" s="252"/>
      <c r="H58" s="232">
        <f t="shared" si="1"/>
        <v>0</v>
      </c>
      <c r="I58" s="252">
        <v>0</v>
      </c>
      <c r="J58" s="252"/>
      <c r="K58" s="252"/>
      <c r="L58" s="252"/>
      <c r="M58" s="232">
        <f t="shared" si="3"/>
        <v>0</v>
      </c>
      <c r="N58" s="252">
        <v>0</v>
      </c>
      <c r="O58" s="252"/>
      <c r="P58" s="252"/>
      <c r="Q58" s="252"/>
      <c r="R58" s="232">
        <f t="shared" si="5"/>
        <v>0</v>
      </c>
    </row>
    <row r="59" spans="1:18" s="89" customFormat="1" ht="24" hidden="1" customHeight="1">
      <c r="A59" s="132">
        <v>7400</v>
      </c>
      <c r="B59" s="172" t="s">
        <v>161</v>
      </c>
      <c r="C59" s="170">
        <v>0</v>
      </c>
      <c r="D59" s="170">
        <v>0</v>
      </c>
      <c r="E59" s="233">
        <f>SUM(E60:E61)</f>
        <v>0</v>
      </c>
      <c r="F59" s="233">
        <f t="shared" ref="F59:G59" si="63">SUM(F60:F61)</f>
        <v>0</v>
      </c>
      <c r="G59" s="233">
        <f t="shared" si="63"/>
        <v>0</v>
      </c>
      <c r="H59" s="232">
        <f t="shared" si="1"/>
        <v>0</v>
      </c>
      <c r="I59" s="233">
        <v>0</v>
      </c>
      <c r="J59" s="233">
        <f>SUM(J60:J61)</f>
        <v>0</v>
      </c>
      <c r="K59" s="233">
        <f t="shared" ref="K59:L59" si="64">SUM(K60:K61)</f>
        <v>0</v>
      </c>
      <c r="L59" s="233">
        <f t="shared" si="64"/>
        <v>0</v>
      </c>
      <c r="M59" s="232">
        <f t="shared" si="3"/>
        <v>0</v>
      </c>
      <c r="N59" s="233">
        <v>0</v>
      </c>
      <c r="O59" s="233">
        <f>SUM(O60:O61)</f>
        <v>0</v>
      </c>
      <c r="P59" s="233">
        <f t="shared" ref="P59:Q59" si="65">SUM(P60:P61)</f>
        <v>0</v>
      </c>
      <c r="Q59" s="233">
        <f t="shared" si="65"/>
        <v>0</v>
      </c>
      <c r="R59" s="232">
        <f t="shared" si="5"/>
        <v>0</v>
      </c>
    </row>
    <row r="60" spans="1:18" s="89" customFormat="1" ht="24" hidden="1" customHeight="1">
      <c r="A60" s="133">
        <v>7460</v>
      </c>
      <c r="B60" s="172" t="s">
        <v>162</v>
      </c>
      <c r="C60" s="204">
        <v>0</v>
      </c>
      <c r="D60" s="204">
        <v>0</v>
      </c>
      <c r="E60" s="252"/>
      <c r="F60" s="252"/>
      <c r="G60" s="252"/>
      <c r="H60" s="232">
        <f t="shared" si="1"/>
        <v>0</v>
      </c>
      <c r="I60" s="252">
        <v>0</v>
      </c>
      <c r="J60" s="252"/>
      <c r="K60" s="252"/>
      <c r="L60" s="252"/>
      <c r="M60" s="232">
        <f t="shared" si="3"/>
        <v>0</v>
      </c>
      <c r="N60" s="252">
        <v>0</v>
      </c>
      <c r="O60" s="252"/>
      <c r="P60" s="252"/>
      <c r="Q60" s="252"/>
      <c r="R60" s="232">
        <f t="shared" si="5"/>
        <v>0</v>
      </c>
    </row>
    <row r="61" spans="1:18" s="89" customFormat="1" ht="48" hidden="1" customHeight="1">
      <c r="A61" s="133">
        <v>7470</v>
      </c>
      <c r="B61" s="179" t="s">
        <v>167</v>
      </c>
      <c r="C61" s="204">
        <v>0</v>
      </c>
      <c r="D61" s="204">
        <v>0</v>
      </c>
      <c r="E61" s="252"/>
      <c r="F61" s="252"/>
      <c r="G61" s="252"/>
      <c r="H61" s="232">
        <f t="shared" si="1"/>
        <v>0</v>
      </c>
      <c r="I61" s="252">
        <v>0</v>
      </c>
      <c r="J61" s="252"/>
      <c r="K61" s="252"/>
      <c r="L61" s="252"/>
      <c r="M61" s="232">
        <f t="shared" si="3"/>
        <v>0</v>
      </c>
      <c r="N61" s="252">
        <v>0</v>
      </c>
      <c r="O61" s="252"/>
      <c r="P61" s="252"/>
      <c r="Q61" s="252"/>
      <c r="R61" s="232">
        <f t="shared" si="5"/>
        <v>0</v>
      </c>
    </row>
    <row r="62" spans="1:18" s="89" customFormat="1" ht="24" hidden="1" customHeight="1">
      <c r="A62" s="132">
        <v>7500</v>
      </c>
      <c r="B62" s="179" t="s">
        <v>157</v>
      </c>
      <c r="C62" s="170">
        <v>0</v>
      </c>
      <c r="D62" s="170">
        <v>0</v>
      </c>
      <c r="E62" s="233"/>
      <c r="F62" s="233"/>
      <c r="G62" s="233"/>
      <c r="H62" s="232">
        <f t="shared" si="1"/>
        <v>0</v>
      </c>
      <c r="I62" s="233">
        <v>0</v>
      </c>
      <c r="J62" s="233"/>
      <c r="K62" s="233"/>
      <c r="L62" s="233"/>
      <c r="M62" s="232">
        <f t="shared" si="3"/>
        <v>0</v>
      </c>
      <c r="N62" s="233">
        <v>0</v>
      </c>
      <c r="O62" s="233"/>
      <c r="P62" s="233"/>
      <c r="Q62" s="233"/>
      <c r="R62" s="232">
        <f t="shared" si="5"/>
        <v>0</v>
      </c>
    </row>
    <row r="63" spans="1:18" s="89" customFormat="1" ht="12" hidden="1" customHeight="1">
      <c r="A63" s="140" t="s">
        <v>133</v>
      </c>
      <c r="B63" s="124" t="s">
        <v>122</v>
      </c>
      <c r="C63" s="205">
        <v>0</v>
      </c>
      <c r="D63" s="205">
        <v>0</v>
      </c>
      <c r="E63" s="254">
        <f>E64+E65</f>
        <v>0</v>
      </c>
      <c r="F63" s="254">
        <f t="shared" ref="F63:G63" si="66">F64+F65</f>
        <v>0</v>
      </c>
      <c r="G63" s="254">
        <f t="shared" si="66"/>
        <v>0</v>
      </c>
      <c r="H63" s="232">
        <f t="shared" si="1"/>
        <v>0</v>
      </c>
      <c r="I63" s="254">
        <v>0</v>
      </c>
      <c r="J63" s="254">
        <f>J64+J65</f>
        <v>0</v>
      </c>
      <c r="K63" s="254">
        <f t="shared" ref="K63:L63" si="67">K64+K65</f>
        <v>0</v>
      </c>
      <c r="L63" s="254">
        <f t="shared" si="67"/>
        <v>0</v>
      </c>
      <c r="M63" s="232">
        <f t="shared" si="3"/>
        <v>0</v>
      </c>
      <c r="N63" s="254">
        <v>0</v>
      </c>
      <c r="O63" s="254">
        <f>O64+O65</f>
        <v>0</v>
      </c>
      <c r="P63" s="254">
        <f t="shared" ref="P63:Q63" si="68">P64+P65</f>
        <v>0</v>
      </c>
      <c r="Q63" s="254">
        <f t="shared" si="68"/>
        <v>0</v>
      </c>
      <c r="R63" s="232">
        <f t="shared" si="5"/>
        <v>0</v>
      </c>
    </row>
    <row r="64" spans="1:18" s="89" customFormat="1" ht="12" hidden="1" customHeight="1">
      <c r="A64" s="140">
        <v>5000</v>
      </c>
      <c r="B64" s="124" t="s">
        <v>123</v>
      </c>
      <c r="C64" s="170">
        <v>0</v>
      </c>
      <c r="D64" s="170">
        <v>0</v>
      </c>
      <c r="E64" s="244"/>
      <c r="F64" s="244"/>
      <c r="G64" s="244"/>
      <c r="H64" s="232">
        <f t="shared" si="1"/>
        <v>0</v>
      </c>
      <c r="I64" s="233">
        <v>0</v>
      </c>
      <c r="J64" s="244"/>
      <c r="K64" s="244"/>
      <c r="L64" s="244"/>
      <c r="M64" s="232">
        <f t="shared" si="3"/>
        <v>0</v>
      </c>
      <c r="N64" s="233">
        <v>0</v>
      </c>
      <c r="O64" s="244"/>
      <c r="P64" s="244"/>
      <c r="Q64" s="244"/>
      <c r="R64" s="232">
        <f t="shared" si="5"/>
        <v>0</v>
      </c>
    </row>
    <row r="65" spans="1:18" s="89" customFormat="1" ht="12" hidden="1" customHeight="1">
      <c r="A65" s="140">
        <v>9000</v>
      </c>
      <c r="B65" s="182" t="s">
        <v>164</v>
      </c>
      <c r="C65" s="170">
        <v>0</v>
      </c>
      <c r="D65" s="170">
        <v>0</v>
      </c>
      <c r="E65" s="233">
        <f t="shared" ref="E65:G65" si="69">E66+E72+E76+E79</f>
        <v>0</v>
      </c>
      <c r="F65" s="233">
        <f t="shared" ref="F65" si="70">F66+F72+F76+F79</f>
        <v>0</v>
      </c>
      <c r="G65" s="233">
        <f t="shared" si="69"/>
        <v>0</v>
      </c>
      <c r="H65" s="232">
        <f t="shared" si="1"/>
        <v>0</v>
      </c>
      <c r="I65" s="233">
        <v>0</v>
      </c>
      <c r="J65" s="233">
        <f t="shared" ref="J65:L65" si="71">J66+J72+J76+J79</f>
        <v>0</v>
      </c>
      <c r="K65" s="233">
        <f t="shared" ref="K65" si="72">K66+K72+K76+K79</f>
        <v>0</v>
      </c>
      <c r="L65" s="233">
        <f t="shared" si="71"/>
        <v>0</v>
      </c>
      <c r="M65" s="232">
        <f t="shared" si="3"/>
        <v>0</v>
      </c>
      <c r="N65" s="233">
        <v>0</v>
      </c>
      <c r="O65" s="233">
        <f t="shared" ref="O65:Q65" si="73">O66+O72+O76+O79</f>
        <v>0</v>
      </c>
      <c r="P65" s="233">
        <f t="shared" ref="P65" si="74">P66+P72+P76+P79</f>
        <v>0</v>
      </c>
      <c r="Q65" s="233">
        <f t="shared" si="73"/>
        <v>0</v>
      </c>
      <c r="R65" s="232">
        <f t="shared" si="5"/>
        <v>0</v>
      </c>
    </row>
    <row r="66" spans="1:18" s="89" customFormat="1" ht="12" hidden="1" customHeight="1">
      <c r="A66" s="141">
        <v>9100</v>
      </c>
      <c r="B66" s="179" t="s">
        <v>124</v>
      </c>
      <c r="C66" s="170">
        <v>0</v>
      </c>
      <c r="D66" s="170">
        <v>0</v>
      </c>
      <c r="E66" s="233">
        <f t="shared" ref="E66:G66" si="75">SUM(E67:E68)</f>
        <v>0</v>
      </c>
      <c r="F66" s="233">
        <f t="shared" ref="F66" si="76">SUM(F67:F68)</f>
        <v>0</v>
      </c>
      <c r="G66" s="233">
        <f t="shared" si="75"/>
        <v>0</v>
      </c>
      <c r="H66" s="232">
        <f t="shared" si="1"/>
        <v>0</v>
      </c>
      <c r="I66" s="233">
        <v>0</v>
      </c>
      <c r="J66" s="233">
        <f t="shared" ref="J66:L66" si="77">SUM(J67:J68)</f>
        <v>0</v>
      </c>
      <c r="K66" s="233">
        <f t="shared" ref="K66" si="78">SUM(K67:K68)</f>
        <v>0</v>
      </c>
      <c r="L66" s="233">
        <f t="shared" si="77"/>
        <v>0</v>
      </c>
      <c r="M66" s="232">
        <f t="shared" si="3"/>
        <v>0</v>
      </c>
      <c r="N66" s="233">
        <v>0</v>
      </c>
      <c r="O66" s="233">
        <f t="shared" ref="O66:Q66" si="79">SUM(O67:O68)</f>
        <v>0</v>
      </c>
      <c r="P66" s="233">
        <f t="shared" ref="P66" si="80">SUM(P67:P68)</f>
        <v>0</v>
      </c>
      <c r="Q66" s="233">
        <f t="shared" si="79"/>
        <v>0</v>
      </c>
      <c r="R66" s="232">
        <f t="shared" si="5"/>
        <v>0</v>
      </c>
    </row>
    <row r="67" spans="1:18" s="89" customFormat="1" ht="24" hidden="1" customHeight="1">
      <c r="A67" s="133" t="s">
        <v>125</v>
      </c>
      <c r="B67" s="179" t="s">
        <v>214</v>
      </c>
      <c r="C67" s="170">
        <v>0</v>
      </c>
      <c r="D67" s="170">
        <v>0</v>
      </c>
      <c r="E67" s="233"/>
      <c r="F67" s="233"/>
      <c r="G67" s="233"/>
      <c r="H67" s="232">
        <f t="shared" si="1"/>
        <v>0</v>
      </c>
      <c r="I67" s="233">
        <v>0</v>
      </c>
      <c r="J67" s="233"/>
      <c r="K67" s="233"/>
      <c r="L67" s="233"/>
      <c r="M67" s="232">
        <f t="shared" si="3"/>
        <v>0</v>
      </c>
      <c r="N67" s="233">
        <v>0</v>
      </c>
      <c r="O67" s="233"/>
      <c r="P67" s="233"/>
      <c r="Q67" s="233"/>
      <c r="R67" s="232">
        <f t="shared" si="5"/>
        <v>0</v>
      </c>
    </row>
    <row r="68" spans="1:18" s="89" customFormat="1" ht="24" hidden="1" customHeight="1">
      <c r="A68" s="133">
        <v>9140</v>
      </c>
      <c r="B68" s="179" t="s">
        <v>215</v>
      </c>
      <c r="C68" s="170">
        <v>0</v>
      </c>
      <c r="D68" s="170">
        <v>0</v>
      </c>
      <c r="E68" s="233">
        <f>SUM(E69:E71)</f>
        <v>0</v>
      </c>
      <c r="F68" s="233">
        <f t="shared" ref="F68:G68" si="81">SUM(F69:F71)</f>
        <v>0</v>
      </c>
      <c r="G68" s="233">
        <f t="shared" si="81"/>
        <v>0</v>
      </c>
      <c r="H68" s="232">
        <f t="shared" si="1"/>
        <v>0</v>
      </c>
      <c r="I68" s="233">
        <v>0</v>
      </c>
      <c r="J68" s="233">
        <f>SUM(J69:J71)</f>
        <v>0</v>
      </c>
      <c r="K68" s="233">
        <f t="shared" ref="K68:L68" si="82">SUM(K69:K71)</f>
        <v>0</v>
      </c>
      <c r="L68" s="233">
        <f t="shared" si="82"/>
        <v>0</v>
      </c>
      <c r="M68" s="232">
        <f t="shared" si="3"/>
        <v>0</v>
      </c>
      <c r="N68" s="233">
        <v>0</v>
      </c>
      <c r="O68" s="233">
        <f>SUM(O69:O71)</f>
        <v>0</v>
      </c>
      <c r="P68" s="233">
        <f t="shared" ref="P68:Q68" si="83">SUM(P69:P71)</f>
        <v>0</v>
      </c>
      <c r="Q68" s="233">
        <f t="shared" si="83"/>
        <v>0</v>
      </c>
      <c r="R68" s="232">
        <f t="shared" si="5"/>
        <v>0</v>
      </c>
    </row>
    <row r="69" spans="1:18" s="89" customFormat="1" ht="36" hidden="1" customHeight="1">
      <c r="A69" s="134">
        <v>9141</v>
      </c>
      <c r="B69" s="172" t="s">
        <v>190</v>
      </c>
      <c r="C69" s="204">
        <v>0</v>
      </c>
      <c r="D69" s="204">
        <v>0</v>
      </c>
      <c r="E69" s="252"/>
      <c r="F69" s="252"/>
      <c r="G69" s="252"/>
      <c r="H69" s="232">
        <f t="shared" si="1"/>
        <v>0</v>
      </c>
      <c r="I69" s="252">
        <v>0</v>
      </c>
      <c r="J69" s="252"/>
      <c r="K69" s="252"/>
      <c r="L69" s="252"/>
      <c r="M69" s="232">
        <f t="shared" si="3"/>
        <v>0</v>
      </c>
      <c r="N69" s="252">
        <v>0</v>
      </c>
      <c r="O69" s="252"/>
      <c r="P69" s="252"/>
      <c r="Q69" s="252"/>
      <c r="R69" s="232">
        <f t="shared" si="5"/>
        <v>0</v>
      </c>
    </row>
    <row r="70" spans="1:18" s="89" customFormat="1" ht="36" hidden="1" customHeight="1">
      <c r="A70" s="134">
        <v>9142</v>
      </c>
      <c r="B70" s="172" t="s">
        <v>191</v>
      </c>
      <c r="C70" s="204">
        <v>0</v>
      </c>
      <c r="D70" s="204">
        <v>0</v>
      </c>
      <c r="E70" s="252"/>
      <c r="F70" s="252"/>
      <c r="G70" s="252"/>
      <c r="H70" s="232">
        <f t="shared" si="1"/>
        <v>0</v>
      </c>
      <c r="I70" s="252">
        <v>0</v>
      </c>
      <c r="J70" s="252"/>
      <c r="K70" s="252"/>
      <c r="L70" s="252"/>
      <c r="M70" s="232">
        <f t="shared" si="3"/>
        <v>0</v>
      </c>
      <c r="N70" s="252">
        <v>0</v>
      </c>
      <c r="O70" s="252"/>
      <c r="P70" s="252"/>
      <c r="Q70" s="252"/>
      <c r="R70" s="232">
        <f t="shared" si="5"/>
        <v>0</v>
      </c>
    </row>
    <row r="71" spans="1:18" s="89" customFormat="1" ht="24" hidden="1" customHeight="1">
      <c r="A71" s="134">
        <v>9149</v>
      </c>
      <c r="B71" s="172" t="s">
        <v>192</v>
      </c>
      <c r="C71" s="204">
        <v>0</v>
      </c>
      <c r="D71" s="204">
        <v>0</v>
      </c>
      <c r="E71" s="252"/>
      <c r="F71" s="252"/>
      <c r="G71" s="252"/>
      <c r="H71" s="232">
        <f t="shared" si="1"/>
        <v>0</v>
      </c>
      <c r="I71" s="252">
        <v>0</v>
      </c>
      <c r="J71" s="252"/>
      <c r="K71" s="252"/>
      <c r="L71" s="252"/>
      <c r="M71" s="232">
        <f t="shared" si="3"/>
        <v>0</v>
      </c>
      <c r="N71" s="252">
        <v>0</v>
      </c>
      <c r="O71" s="252"/>
      <c r="P71" s="252"/>
      <c r="Q71" s="252"/>
      <c r="R71" s="232">
        <f t="shared" si="5"/>
        <v>0</v>
      </c>
    </row>
    <row r="72" spans="1:18" s="29" customFormat="1" ht="24" hidden="1" customHeight="1">
      <c r="A72" s="141">
        <v>9500</v>
      </c>
      <c r="B72" s="172" t="s">
        <v>165</v>
      </c>
      <c r="C72" s="170">
        <v>0</v>
      </c>
      <c r="D72" s="170">
        <v>0</v>
      </c>
      <c r="E72" s="233">
        <f>SUM(E73:E75)</f>
        <v>0</v>
      </c>
      <c r="F72" s="233">
        <f t="shared" ref="F72:G72" si="84">SUM(F73:F75)</f>
        <v>0</v>
      </c>
      <c r="G72" s="233">
        <f t="shared" si="84"/>
        <v>0</v>
      </c>
      <c r="H72" s="232">
        <f t="shared" si="1"/>
        <v>0</v>
      </c>
      <c r="I72" s="233">
        <v>0</v>
      </c>
      <c r="J72" s="233">
        <f>SUM(J73:J75)</f>
        <v>0</v>
      </c>
      <c r="K72" s="233">
        <f t="shared" ref="K72:L72" si="85">SUM(K73:K75)</f>
        <v>0</v>
      </c>
      <c r="L72" s="233">
        <f t="shared" si="85"/>
        <v>0</v>
      </c>
      <c r="M72" s="232">
        <f t="shared" si="3"/>
        <v>0</v>
      </c>
      <c r="N72" s="233">
        <v>0</v>
      </c>
      <c r="O72" s="233">
        <f>SUM(O73:O75)</f>
        <v>0</v>
      </c>
      <c r="P72" s="233">
        <f t="shared" ref="P72:Q72" si="86">SUM(P73:P75)</f>
        <v>0</v>
      </c>
      <c r="Q72" s="233">
        <f t="shared" si="86"/>
        <v>0</v>
      </c>
      <c r="R72" s="232">
        <f t="shared" si="5"/>
        <v>0</v>
      </c>
    </row>
    <row r="73" spans="1:18" s="29" customFormat="1" ht="24" hidden="1" customHeight="1">
      <c r="A73" s="133" t="s">
        <v>193</v>
      </c>
      <c r="B73" s="172" t="s">
        <v>171</v>
      </c>
      <c r="C73" s="170">
        <v>0</v>
      </c>
      <c r="D73" s="170">
        <v>0</v>
      </c>
      <c r="E73" s="233"/>
      <c r="F73" s="233"/>
      <c r="G73" s="233"/>
      <c r="H73" s="232">
        <f t="shared" si="1"/>
        <v>0</v>
      </c>
      <c r="I73" s="233">
        <v>0</v>
      </c>
      <c r="J73" s="233"/>
      <c r="K73" s="233"/>
      <c r="L73" s="233"/>
      <c r="M73" s="232">
        <f t="shared" si="3"/>
        <v>0</v>
      </c>
      <c r="N73" s="233">
        <v>0</v>
      </c>
      <c r="O73" s="233"/>
      <c r="P73" s="233"/>
      <c r="Q73" s="233"/>
      <c r="R73" s="232">
        <f t="shared" si="5"/>
        <v>0</v>
      </c>
    </row>
    <row r="74" spans="1:18" s="28" customFormat="1" ht="48" hidden="1" customHeight="1">
      <c r="A74" s="133">
        <v>9580</v>
      </c>
      <c r="B74" s="172" t="s">
        <v>166</v>
      </c>
      <c r="C74" s="204">
        <v>0</v>
      </c>
      <c r="D74" s="204">
        <v>0</v>
      </c>
      <c r="E74" s="252"/>
      <c r="F74" s="252"/>
      <c r="G74" s="252"/>
      <c r="H74" s="232">
        <f t="shared" ref="H74:H137" si="87">SUM(D74:G74)</f>
        <v>0</v>
      </c>
      <c r="I74" s="252">
        <v>0</v>
      </c>
      <c r="J74" s="252"/>
      <c r="K74" s="252"/>
      <c r="L74" s="252"/>
      <c r="M74" s="232">
        <f t="shared" ref="M74:M137" si="88">SUM(I74:L74)</f>
        <v>0</v>
      </c>
      <c r="N74" s="252">
        <v>0</v>
      </c>
      <c r="O74" s="252"/>
      <c r="P74" s="252"/>
      <c r="Q74" s="252"/>
      <c r="R74" s="232">
        <f t="shared" ref="R74:R137" si="89">SUM(N74:Q74)</f>
        <v>0</v>
      </c>
    </row>
    <row r="75" spans="1:18" s="4" customFormat="1" ht="48" hidden="1" customHeight="1">
      <c r="A75" s="133">
        <v>9590</v>
      </c>
      <c r="B75" s="179" t="s">
        <v>172</v>
      </c>
      <c r="C75" s="204">
        <v>0</v>
      </c>
      <c r="D75" s="204">
        <v>0</v>
      </c>
      <c r="E75" s="252"/>
      <c r="F75" s="252"/>
      <c r="G75" s="252"/>
      <c r="H75" s="232">
        <f t="shared" si="87"/>
        <v>0</v>
      </c>
      <c r="I75" s="252">
        <v>0</v>
      </c>
      <c r="J75" s="252"/>
      <c r="K75" s="252"/>
      <c r="L75" s="252"/>
      <c r="M75" s="232">
        <f t="shared" si="88"/>
        <v>0</v>
      </c>
      <c r="N75" s="252">
        <v>0</v>
      </c>
      <c r="O75" s="252"/>
      <c r="P75" s="252"/>
      <c r="Q75" s="252"/>
      <c r="R75" s="232">
        <f t="shared" si="89"/>
        <v>0</v>
      </c>
    </row>
    <row r="76" spans="1:18" ht="24" hidden="1" customHeight="1">
      <c r="A76" s="141">
        <v>9700</v>
      </c>
      <c r="B76" s="183" t="s">
        <v>194</v>
      </c>
      <c r="C76" s="170">
        <v>0</v>
      </c>
      <c r="D76" s="170">
        <v>0</v>
      </c>
      <c r="E76" s="233">
        <f>SUM(E77:E78)</f>
        <v>0</v>
      </c>
      <c r="F76" s="233">
        <f t="shared" ref="F76:G76" si="90">SUM(F77:F78)</f>
        <v>0</v>
      </c>
      <c r="G76" s="233">
        <f t="shared" si="90"/>
        <v>0</v>
      </c>
      <c r="H76" s="232">
        <f t="shared" si="87"/>
        <v>0</v>
      </c>
      <c r="I76" s="233">
        <v>0</v>
      </c>
      <c r="J76" s="233">
        <f>SUM(J77:J78)</f>
        <v>0</v>
      </c>
      <c r="K76" s="233">
        <f t="shared" ref="K76:L76" si="91">SUM(K77:K78)</f>
        <v>0</v>
      </c>
      <c r="L76" s="233">
        <f t="shared" si="91"/>
        <v>0</v>
      </c>
      <c r="M76" s="232">
        <f t="shared" si="88"/>
        <v>0</v>
      </c>
      <c r="N76" s="233">
        <v>0</v>
      </c>
      <c r="O76" s="233">
        <f>SUM(O77:O78)</f>
        <v>0</v>
      </c>
      <c r="P76" s="233">
        <f t="shared" ref="P76:Q76" si="92">SUM(P77:P78)</f>
        <v>0</v>
      </c>
      <c r="Q76" s="233">
        <f t="shared" si="92"/>
        <v>0</v>
      </c>
      <c r="R76" s="232">
        <f t="shared" si="89"/>
        <v>0</v>
      </c>
    </row>
    <row r="77" spans="1:18" ht="24" hidden="1" customHeight="1">
      <c r="A77" s="133">
        <v>9710</v>
      </c>
      <c r="B77" s="184" t="s">
        <v>195</v>
      </c>
      <c r="C77" s="204">
        <v>0</v>
      </c>
      <c r="D77" s="204">
        <v>0</v>
      </c>
      <c r="E77" s="252"/>
      <c r="F77" s="252"/>
      <c r="G77" s="252"/>
      <c r="H77" s="232">
        <f t="shared" si="87"/>
        <v>0</v>
      </c>
      <c r="I77" s="252">
        <v>0</v>
      </c>
      <c r="J77" s="252"/>
      <c r="K77" s="252"/>
      <c r="L77" s="252"/>
      <c r="M77" s="232">
        <f t="shared" si="88"/>
        <v>0</v>
      </c>
      <c r="N77" s="252">
        <v>0</v>
      </c>
      <c r="O77" s="252"/>
      <c r="P77" s="252"/>
      <c r="Q77" s="252"/>
      <c r="R77" s="232">
        <f t="shared" si="89"/>
        <v>0</v>
      </c>
    </row>
    <row r="78" spans="1:18" ht="48" hidden="1" customHeight="1">
      <c r="A78" s="142">
        <v>9720</v>
      </c>
      <c r="B78" s="183" t="s">
        <v>196</v>
      </c>
      <c r="C78" s="204">
        <v>0</v>
      </c>
      <c r="D78" s="204">
        <v>0</v>
      </c>
      <c r="E78" s="252"/>
      <c r="F78" s="252"/>
      <c r="G78" s="252"/>
      <c r="H78" s="232">
        <f t="shared" si="87"/>
        <v>0</v>
      </c>
      <c r="I78" s="252">
        <v>0</v>
      </c>
      <c r="J78" s="252"/>
      <c r="K78" s="252"/>
      <c r="L78" s="252"/>
      <c r="M78" s="232">
        <f t="shared" si="88"/>
        <v>0</v>
      </c>
      <c r="N78" s="252">
        <v>0</v>
      </c>
      <c r="O78" s="252"/>
      <c r="P78" s="252"/>
      <c r="Q78" s="252"/>
      <c r="R78" s="232">
        <f t="shared" si="89"/>
        <v>0</v>
      </c>
    </row>
    <row r="79" spans="1:18" ht="24" hidden="1" customHeight="1">
      <c r="A79" s="141">
        <v>9600</v>
      </c>
      <c r="B79" s="179" t="s">
        <v>134</v>
      </c>
      <c r="C79" s="204">
        <v>0</v>
      </c>
      <c r="D79" s="204">
        <v>0</v>
      </c>
      <c r="E79" s="252"/>
      <c r="F79" s="252"/>
      <c r="G79" s="252"/>
      <c r="H79" s="232">
        <f t="shared" si="87"/>
        <v>0</v>
      </c>
      <c r="I79" s="252">
        <v>0</v>
      </c>
      <c r="J79" s="252"/>
      <c r="K79" s="252"/>
      <c r="L79" s="252"/>
      <c r="M79" s="232">
        <f t="shared" si="88"/>
        <v>0</v>
      </c>
      <c r="N79" s="252">
        <v>0</v>
      </c>
      <c r="O79" s="252"/>
      <c r="P79" s="252"/>
      <c r="Q79" s="252"/>
      <c r="R79" s="232">
        <f t="shared" si="89"/>
        <v>0</v>
      </c>
    </row>
    <row r="80" spans="1:18" ht="52.5" hidden="1" customHeight="1">
      <c r="A80" s="130" t="s">
        <v>197</v>
      </c>
      <c r="B80" s="185" t="s">
        <v>47</v>
      </c>
      <c r="C80" s="206">
        <v>0</v>
      </c>
      <c r="D80" s="206">
        <v>0</v>
      </c>
      <c r="E80" s="262">
        <f>E10-E35</f>
        <v>0</v>
      </c>
      <c r="F80" s="262">
        <f t="shared" ref="F80:G80" si="93">F10-F35</f>
        <v>0</v>
      </c>
      <c r="G80" s="262">
        <f t="shared" si="93"/>
        <v>0</v>
      </c>
      <c r="H80" s="232">
        <f t="shared" si="87"/>
        <v>0</v>
      </c>
      <c r="I80" s="262">
        <v>0</v>
      </c>
      <c r="J80" s="262">
        <f>J10-J35</f>
        <v>0</v>
      </c>
      <c r="K80" s="262">
        <f t="shared" ref="K80:L80" si="94">K10-K35</f>
        <v>0</v>
      </c>
      <c r="L80" s="262">
        <f t="shared" si="94"/>
        <v>0</v>
      </c>
      <c r="M80" s="232">
        <f t="shared" si="88"/>
        <v>0</v>
      </c>
      <c r="N80" s="262">
        <v>0</v>
      </c>
      <c r="O80" s="262">
        <f>O10-O35</f>
        <v>0</v>
      </c>
      <c r="P80" s="262">
        <f t="shared" ref="P80:Q80" si="95">P10-P35</f>
        <v>0</v>
      </c>
      <c r="Q80" s="262">
        <f t="shared" si="95"/>
        <v>0</v>
      </c>
      <c r="R80" s="232">
        <f t="shared" si="89"/>
        <v>0</v>
      </c>
    </row>
    <row r="81" spans="1:18" ht="12" hidden="1" customHeight="1">
      <c r="A81" s="143" t="s">
        <v>48</v>
      </c>
      <c r="B81" s="185" t="s">
        <v>49</v>
      </c>
      <c r="C81" s="206">
        <v>0</v>
      </c>
      <c r="D81" s="206">
        <v>0</v>
      </c>
      <c r="E81" s="262">
        <f>E82+E85+E89+E88</f>
        <v>0</v>
      </c>
      <c r="F81" s="262">
        <f t="shared" ref="F81:G81" si="96">F82+F85+F89+F88</f>
        <v>0</v>
      </c>
      <c r="G81" s="262">
        <f t="shared" si="96"/>
        <v>0</v>
      </c>
      <c r="H81" s="232">
        <f t="shared" si="87"/>
        <v>0</v>
      </c>
      <c r="I81" s="262">
        <v>0</v>
      </c>
      <c r="J81" s="262">
        <f>J82+J85+J89+J88</f>
        <v>0</v>
      </c>
      <c r="K81" s="262">
        <f t="shared" ref="K81:L81" si="97">K82+K85+K89+K88</f>
        <v>0</v>
      </c>
      <c r="L81" s="262">
        <f t="shared" si="97"/>
        <v>0</v>
      </c>
      <c r="M81" s="232">
        <f t="shared" si="88"/>
        <v>0</v>
      </c>
      <c r="N81" s="262">
        <v>0</v>
      </c>
      <c r="O81" s="262">
        <f>O82+O85+O89+O88</f>
        <v>0</v>
      </c>
      <c r="P81" s="262">
        <f t="shared" ref="P81:Q81" si="98">P82+P85+P89+P88</f>
        <v>0</v>
      </c>
      <c r="Q81" s="262">
        <f t="shared" si="98"/>
        <v>0</v>
      </c>
      <c r="R81" s="232">
        <f t="shared" si="89"/>
        <v>0</v>
      </c>
    </row>
    <row r="82" spans="1:18" s="4" customFormat="1" ht="12" hidden="1" customHeight="1">
      <c r="A82" s="141" t="s">
        <v>50</v>
      </c>
      <c r="B82" s="179" t="s">
        <v>51</v>
      </c>
      <c r="C82" s="98">
        <v>0</v>
      </c>
      <c r="D82" s="98">
        <v>0</v>
      </c>
      <c r="E82" s="231">
        <f>E83+E84</f>
        <v>0</v>
      </c>
      <c r="F82" s="231">
        <f t="shared" ref="F82:G82" si="99">F83+F84</f>
        <v>0</v>
      </c>
      <c r="G82" s="231">
        <f t="shared" si="99"/>
        <v>0</v>
      </c>
      <c r="H82" s="232">
        <f t="shared" si="87"/>
        <v>0</v>
      </c>
      <c r="I82" s="231">
        <v>0</v>
      </c>
      <c r="J82" s="231">
        <f>J83+J84</f>
        <v>0</v>
      </c>
      <c r="K82" s="231">
        <f t="shared" ref="K82:L82" si="100">K83+K84</f>
        <v>0</v>
      </c>
      <c r="L82" s="231">
        <f t="shared" si="100"/>
        <v>0</v>
      </c>
      <c r="M82" s="232">
        <f t="shared" si="88"/>
        <v>0</v>
      </c>
      <c r="N82" s="231">
        <v>0</v>
      </c>
      <c r="O82" s="231">
        <f>O83+O84</f>
        <v>0</v>
      </c>
      <c r="P82" s="231">
        <f t="shared" ref="P82:Q82" si="101">P83+P84</f>
        <v>0</v>
      </c>
      <c r="Q82" s="231">
        <f t="shared" si="101"/>
        <v>0</v>
      </c>
      <c r="R82" s="232">
        <f t="shared" si="89"/>
        <v>0</v>
      </c>
    </row>
    <row r="83" spans="1:18" s="6" customFormat="1" ht="12" hidden="1" customHeight="1">
      <c r="A83" s="141" t="s">
        <v>52</v>
      </c>
      <c r="B83" s="179" t="s">
        <v>53</v>
      </c>
      <c r="C83" s="98">
        <v>0</v>
      </c>
      <c r="D83" s="98">
        <v>0</v>
      </c>
      <c r="E83" s="231"/>
      <c r="F83" s="231"/>
      <c r="G83" s="231"/>
      <c r="H83" s="232">
        <f t="shared" si="87"/>
        <v>0</v>
      </c>
      <c r="I83" s="231">
        <v>0</v>
      </c>
      <c r="J83" s="231"/>
      <c r="K83" s="231"/>
      <c r="L83" s="231"/>
      <c r="M83" s="232">
        <f t="shared" si="88"/>
        <v>0</v>
      </c>
      <c r="N83" s="231">
        <v>0</v>
      </c>
      <c r="O83" s="231"/>
      <c r="P83" s="231"/>
      <c r="Q83" s="231"/>
      <c r="R83" s="232">
        <f t="shared" si="89"/>
        <v>0</v>
      </c>
    </row>
    <row r="84" spans="1:18" s="6" customFormat="1" ht="12" hidden="1" customHeight="1">
      <c r="A84" s="141" t="s">
        <v>54</v>
      </c>
      <c r="B84" s="179" t="s">
        <v>55</v>
      </c>
      <c r="C84" s="98">
        <v>0</v>
      </c>
      <c r="D84" s="98">
        <v>0</v>
      </c>
      <c r="E84" s="231"/>
      <c r="F84" s="231"/>
      <c r="G84" s="231"/>
      <c r="H84" s="232">
        <f t="shared" si="87"/>
        <v>0</v>
      </c>
      <c r="I84" s="231">
        <v>0</v>
      </c>
      <c r="J84" s="231"/>
      <c r="K84" s="231"/>
      <c r="L84" s="231"/>
      <c r="M84" s="232">
        <f t="shared" si="88"/>
        <v>0</v>
      </c>
      <c r="N84" s="231">
        <v>0</v>
      </c>
      <c r="O84" s="231"/>
      <c r="P84" s="231"/>
      <c r="Q84" s="231"/>
      <c r="R84" s="232">
        <f t="shared" si="89"/>
        <v>0</v>
      </c>
    </row>
    <row r="85" spans="1:18" s="6" customFormat="1" ht="12" hidden="1" customHeight="1">
      <c r="A85" s="141" t="s">
        <v>56</v>
      </c>
      <c r="B85" s="179" t="s">
        <v>57</v>
      </c>
      <c r="C85" s="98">
        <v>0</v>
      </c>
      <c r="D85" s="98">
        <v>0</v>
      </c>
      <c r="E85" s="231">
        <f>E86+E87</f>
        <v>0</v>
      </c>
      <c r="F85" s="231">
        <f t="shared" ref="F85:G85" si="102">F86+F87</f>
        <v>0</v>
      </c>
      <c r="G85" s="231">
        <f t="shared" si="102"/>
        <v>0</v>
      </c>
      <c r="H85" s="232">
        <f t="shared" si="87"/>
        <v>0</v>
      </c>
      <c r="I85" s="231">
        <v>0</v>
      </c>
      <c r="J85" s="231">
        <f>J86+J87</f>
        <v>0</v>
      </c>
      <c r="K85" s="231">
        <f t="shared" ref="K85:L85" si="103">K86+K87</f>
        <v>0</v>
      </c>
      <c r="L85" s="231">
        <f t="shared" si="103"/>
        <v>0</v>
      </c>
      <c r="M85" s="232">
        <f t="shared" si="88"/>
        <v>0</v>
      </c>
      <c r="N85" s="231">
        <v>0</v>
      </c>
      <c r="O85" s="231">
        <f>O86+O87</f>
        <v>0</v>
      </c>
      <c r="P85" s="231">
        <f t="shared" ref="P85:Q85" si="104">P86+P87</f>
        <v>0</v>
      </c>
      <c r="Q85" s="231">
        <f t="shared" si="104"/>
        <v>0</v>
      </c>
      <c r="R85" s="232">
        <f t="shared" si="89"/>
        <v>0</v>
      </c>
    </row>
    <row r="86" spans="1:18" s="6" customFormat="1" ht="12" hidden="1" customHeight="1">
      <c r="A86" s="141" t="s">
        <v>58</v>
      </c>
      <c r="B86" s="179" t="s">
        <v>59</v>
      </c>
      <c r="C86" s="98">
        <v>0</v>
      </c>
      <c r="D86" s="98">
        <v>0</v>
      </c>
      <c r="E86" s="231"/>
      <c r="F86" s="231"/>
      <c r="G86" s="231"/>
      <c r="H86" s="232">
        <f t="shared" si="87"/>
        <v>0</v>
      </c>
      <c r="I86" s="231">
        <v>0</v>
      </c>
      <c r="J86" s="231"/>
      <c r="K86" s="231"/>
      <c r="L86" s="231"/>
      <c r="M86" s="232">
        <f t="shared" si="88"/>
        <v>0</v>
      </c>
      <c r="N86" s="231">
        <v>0</v>
      </c>
      <c r="O86" s="231"/>
      <c r="P86" s="231"/>
      <c r="Q86" s="231"/>
      <c r="R86" s="232">
        <f t="shared" si="89"/>
        <v>0</v>
      </c>
    </row>
    <row r="87" spans="1:18" s="6" customFormat="1" ht="12" hidden="1" customHeight="1">
      <c r="A87" s="141" t="s">
        <v>60</v>
      </c>
      <c r="B87" s="179" t="s">
        <v>61</v>
      </c>
      <c r="C87" s="98">
        <v>0</v>
      </c>
      <c r="D87" s="98">
        <v>0</v>
      </c>
      <c r="E87" s="231"/>
      <c r="F87" s="231"/>
      <c r="G87" s="231"/>
      <c r="H87" s="232">
        <f t="shared" si="87"/>
        <v>0</v>
      </c>
      <c r="I87" s="231">
        <v>0</v>
      </c>
      <c r="J87" s="231"/>
      <c r="K87" s="231"/>
      <c r="L87" s="231"/>
      <c r="M87" s="232">
        <f t="shared" si="88"/>
        <v>0</v>
      </c>
      <c r="N87" s="231">
        <v>0</v>
      </c>
      <c r="O87" s="231"/>
      <c r="P87" s="231"/>
      <c r="Q87" s="231"/>
      <c r="R87" s="232">
        <f t="shared" si="89"/>
        <v>0</v>
      </c>
    </row>
    <row r="88" spans="1:18" s="6" customFormat="1" ht="12" hidden="1" customHeight="1">
      <c r="A88" s="141" t="s">
        <v>198</v>
      </c>
      <c r="B88" s="187" t="s">
        <v>168</v>
      </c>
      <c r="C88" s="98">
        <v>0</v>
      </c>
      <c r="D88" s="98">
        <v>0</v>
      </c>
      <c r="E88" s="231"/>
      <c r="F88" s="231"/>
      <c r="G88" s="231"/>
      <c r="H88" s="232">
        <f t="shared" si="87"/>
        <v>0</v>
      </c>
      <c r="I88" s="231">
        <v>0</v>
      </c>
      <c r="J88" s="231"/>
      <c r="K88" s="231"/>
      <c r="L88" s="231"/>
      <c r="M88" s="232">
        <f t="shared" si="88"/>
        <v>0</v>
      </c>
      <c r="N88" s="231">
        <v>0</v>
      </c>
      <c r="O88" s="231"/>
      <c r="P88" s="231"/>
      <c r="Q88" s="231"/>
      <c r="R88" s="232">
        <f t="shared" si="89"/>
        <v>0</v>
      </c>
    </row>
    <row r="89" spans="1:18" s="6" customFormat="1" ht="12" hidden="1" customHeight="1">
      <c r="A89" s="144" t="s">
        <v>62</v>
      </c>
      <c r="B89" s="125" t="s">
        <v>63</v>
      </c>
      <c r="C89" s="170">
        <v>0</v>
      </c>
      <c r="D89" s="170">
        <v>0</v>
      </c>
      <c r="E89" s="233">
        <f t="shared" ref="E89:G89" si="105">E90+E91+E92</f>
        <v>0</v>
      </c>
      <c r="F89" s="233">
        <f t="shared" ref="F89" si="106">F90+F91+F92</f>
        <v>0</v>
      </c>
      <c r="G89" s="233">
        <f t="shared" si="105"/>
        <v>0</v>
      </c>
      <c r="H89" s="232">
        <f t="shared" si="87"/>
        <v>0</v>
      </c>
      <c r="I89" s="233">
        <v>0</v>
      </c>
      <c r="J89" s="233">
        <f t="shared" ref="J89:L89" si="107">J90+J91+J92</f>
        <v>0</v>
      </c>
      <c r="K89" s="233">
        <f t="shared" ref="K89" si="108">K90+K91+K92</f>
        <v>0</v>
      </c>
      <c r="L89" s="233">
        <f t="shared" si="107"/>
        <v>0</v>
      </c>
      <c r="M89" s="232">
        <f t="shared" si="88"/>
        <v>0</v>
      </c>
      <c r="N89" s="233">
        <v>0</v>
      </c>
      <c r="O89" s="233">
        <f t="shared" ref="O89:Q89" si="109">O90+O91+O92</f>
        <v>0</v>
      </c>
      <c r="P89" s="233">
        <f t="shared" ref="P89" si="110">P90+P91+P92</f>
        <v>0</v>
      </c>
      <c r="Q89" s="233">
        <f t="shared" si="109"/>
        <v>0</v>
      </c>
      <c r="R89" s="232">
        <f t="shared" si="89"/>
        <v>0</v>
      </c>
    </row>
    <row r="90" spans="1:18" s="6" customFormat="1" ht="36" hidden="1" customHeight="1">
      <c r="A90" s="144" t="s">
        <v>64</v>
      </c>
      <c r="B90" s="179" t="s">
        <v>65</v>
      </c>
      <c r="C90" s="98">
        <v>0</v>
      </c>
      <c r="D90" s="98">
        <v>0</v>
      </c>
      <c r="E90" s="231"/>
      <c r="F90" s="231"/>
      <c r="G90" s="231"/>
      <c r="H90" s="232">
        <f t="shared" si="87"/>
        <v>0</v>
      </c>
      <c r="I90" s="231">
        <v>0</v>
      </c>
      <c r="J90" s="231"/>
      <c r="K90" s="231"/>
      <c r="L90" s="231"/>
      <c r="M90" s="232">
        <f t="shared" si="88"/>
        <v>0</v>
      </c>
      <c r="N90" s="231">
        <v>0</v>
      </c>
      <c r="O90" s="231"/>
      <c r="P90" s="231"/>
      <c r="Q90" s="231"/>
      <c r="R90" s="232">
        <f t="shared" si="89"/>
        <v>0</v>
      </c>
    </row>
    <row r="91" spans="1:18" s="6" customFormat="1" ht="36" hidden="1" customHeight="1">
      <c r="A91" s="144" t="s">
        <v>66</v>
      </c>
      <c r="B91" s="179" t="s">
        <v>67</v>
      </c>
      <c r="C91" s="98">
        <v>0</v>
      </c>
      <c r="D91" s="98">
        <v>0</v>
      </c>
      <c r="E91" s="231"/>
      <c r="F91" s="231"/>
      <c r="G91" s="231"/>
      <c r="H91" s="232">
        <f t="shared" si="87"/>
        <v>0</v>
      </c>
      <c r="I91" s="231">
        <v>0</v>
      </c>
      <c r="J91" s="231"/>
      <c r="K91" s="231"/>
      <c r="L91" s="231"/>
      <c r="M91" s="232">
        <f t="shared" si="88"/>
        <v>0</v>
      </c>
      <c r="N91" s="231">
        <v>0</v>
      </c>
      <c r="O91" s="231"/>
      <c r="P91" s="231"/>
      <c r="Q91" s="231"/>
      <c r="R91" s="232">
        <f t="shared" si="89"/>
        <v>0</v>
      </c>
    </row>
    <row r="92" spans="1:18" s="6" customFormat="1" ht="24" hidden="1" customHeight="1">
      <c r="A92" s="144" t="s">
        <v>68</v>
      </c>
      <c r="B92" s="125" t="s">
        <v>69</v>
      </c>
      <c r="C92" s="98">
        <v>0</v>
      </c>
      <c r="D92" s="98">
        <v>0</v>
      </c>
      <c r="E92" s="231"/>
      <c r="F92" s="231"/>
      <c r="G92" s="231"/>
      <c r="H92" s="232">
        <f t="shared" si="87"/>
        <v>0</v>
      </c>
      <c r="I92" s="231">
        <v>0</v>
      </c>
      <c r="J92" s="231"/>
      <c r="K92" s="231"/>
      <c r="L92" s="231"/>
      <c r="M92" s="232">
        <f t="shared" si="88"/>
        <v>0</v>
      </c>
      <c r="N92" s="231">
        <v>0</v>
      </c>
      <c r="O92" s="231"/>
      <c r="P92" s="231"/>
      <c r="Q92" s="231"/>
      <c r="R92" s="232">
        <f t="shared" si="89"/>
        <v>0</v>
      </c>
    </row>
    <row r="93" spans="1:18" s="6" customFormat="1" ht="12">
      <c r="A93" s="145"/>
      <c r="B93" s="188" t="s">
        <v>199</v>
      </c>
      <c r="C93" s="207"/>
      <c r="D93" s="190">
        <v>0</v>
      </c>
      <c r="E93" s="268"/>
      <c r="F93" s="268"/>
      <c r="G93" s="268"/>
      <c r="H93" s="269">
        <f t="shared" si="87"/>
        <v>0</v>
      </c>
      <c r="I93" s="347">
        <v>0</v>
      </c>
      <c r="J93" s="268"/>
      <c r="K93" s="268"/>
      <c r="L93" s="268"/>
      <c r="M93" s="269">
        <f t="shared" si="88"/>
        <v>0</v>
      </c>
      <c r="N93" s="347">
        <v>0</v>
      </c>
      <c r="O93" s="268"/>
      <c r="P93" s="347"/>
      <c r="Q93" s="347"/>
      <c r="R93" s="269">
        <f t="shared" si="89"/>
        <v>0</v>
      </c>
    </row>
    <row r="94" spans="1:18" s="6" customFormat="1" ht="20.399999999999999">
      <c r="A94" s="129" t="s">
        <v>201</v>
      </c>
      <c r="B94" s="123" t="s">
        <v>88</v>
      </c>
      <c r="C94" s="200">
        <v>17683386</v>
      </c>
      <c r="D94" s="200">
        <v>24287995</v>
      </c>
      <c r="E94" s="228">
        <f t="shared" ref="E94:G94" si="111">E95+E96+E98+E116</f>
        <v>0</v>
      </c>
      <c r="F94" s="228">
        <f t="shared" ref="F94" si="112">F95+F96+F98+F116</f>
        <v>0</v>
      </c>
      <c r="G94" s="228">
        <f t="shared" si="111"/>
        <v>-502606</v>
      </c>
      <c r="H94" s="229">
        <f t="shared" si="87"/>
        <v>23785389</v>
      </c>
      <c r="I94" s="228">
        <v>21425386</v>
      </c>
      <c r="J94" s="228">
        <f t="shared" ref="J94:L94" si="113">J95+J96+J98+J116</f>
        <v>0</v>
      </c>
      <c r="K94" s="228">
        <f t="shared" ref="K94" si="114">K95+K96+K98+K116</f>
        <v>26442121</v>
      </c>
      <c r="L94" s="228">
        <f t="shared" si="113"/>
        <v>-736790</v>
      </c>
      <c r="M94" s="229">
        <f t="shared" si="88"/>
        <v>47130717</v>
      </c>
      <c r="N94" s="228">
        <v>18500000</v>
      </c>
      <c r="O94" s="228">
        <f t="shared" ref="O94:Q94" si="115">O95+O96+O98+O116</f>
        <v>0</v>
      </c>
      <c r="P94" s="228">
        <f t="shared" ref="P94" si="116">P95+P96+P98+P116</f>
        <v>37297427</v>
      </c>
      <c r="Q94" s="228">
        <f t="shared" si="115"/>
        <v>-707872</v>
      </c>
      <c r="R94" s="229">
        <f t="shared" si="89"/>
        <v>55089555</v>
      </c>
    </row>
    <row r="95" spans="1:18" s="6" customFormat="1" ht="24" hidden="1" customHeight="1">
      <c r="A95" s="130" t="s">
        <v>177</v>
      </c>
      <c r="B95" s="124" t="s">
        <v>90</v>
      </c>
      <c r="C95" s="98">
        <v>0</v>
      </c>
      <c r="D95" s="98">
        <v>0</v>
      </c>
      <c r="E95" s="231"/>
      <c r="F95" s="231"/>
      <c r="G95" s="231"/>
      <c r="H95" s="232">
        <f t="shared" si="87"/>
        <v>0</v>
      </c>
      <c r="I95" s="231">
        <v>0</v>
      </c>
      <c r="J95" s="231"/>
      <c r="K95" s="231"/>
      <c r="L95" s="231"/>
      <c r="M95" s="232">
        <f t="shared" si="88"/>
        <v>0</v>
      </c>
      <c r="N95" s="231">
        <v>0</v>
      </c>
      <c r="O95" s="231"/>
      <c r="P95" s="231"/>
      <c r="Q95" s="231"/>
      <c r="R95" s="232">
        <f t="shared" si="89"/>
        <v>0</v>
      </c>
    </row>
    <row r="96" spans="1:18" s="6" customFormat="1" ht="12" hidden="1" customHeight="1">
      <c r="A96" s="130" t="s">
        <v>91</v>
      </c>
      <c r="B96" s="124" t="s">
        <v>92</v>
      </c>
      <c r="C96" s="98">
        <v>0</v>
      </c>
      <c r="D96" s="98">
        <v>0</v>
      </c>
      <c r="E96" s="231"/>
      <c r="F96" s="231"/>
      <c r="G96" s="231"/>
      <c r="H96" s="232">
        <f t="shared" si="87"/>
        <v>0</v>
      </c>
      <c r="I96" s="231">
        <v>0</v>
      </c>
      <c r="J96" s="231"/>
      <c r="K96" s="231"/>
      <c r="L96" s="231"/>
      <c r="M96" s="232">
        <f t="shared" si="88"/>
        <v>0</v>
      </c>
      <c r="N96" s="231">
        <v>0</v>
      </c>
      <c r="O96" s="231"/>
      <c r="P96" s="231"/>
      <c r="Q96" s="231"/>
      <c r="R96" s="232">
        <f t="shared" si="89"/>
        <v>0</v>
      </c>
    </row>
    <row r="97" spans="1:18" s="6" customFormat="1" ht="24" hidden="1" customHeight="1">
      <c r="A97" s="131">
        <v>21210</v>
      </c>
      <c r="B97" s="125" t="s">
        <v>93</v>
      </c>
      <c r="C97" s="98">
        <v>0</v>
      </c>
      <c r="D97" s="98">
        <v>0</v>
      </c>
      <c r="E97" s="231"/>
      <c r="F97" s="231"/>
      <c r="G97" s="231"/>
      <c r="H97" s="232">
        <f t="shared" si="87"/>
        <v>0</v>
      </c>
      <c r="I97" s="231">
        <v>0</v>
      </c>
      <c r="J97" s="231"/>
      <c r="K97" s="231"/>
      <c r="L97" s="231"/>
      <c r="M97" s="232">
        <f t="shared" si="88"/>
        <v>0</v>
      </c>
      <c r="N97" s="231">
        <v>0</v>
      </c>
      <c r="O97" s="231"/>
      <c r="P97" s="231"/>
      <c r="Q97" s="231"/>
      <c r="R97" s="232">
        <f t="shared" si="89"/>
        <v>0</v>
      </c>
    </row>
    <row r="98" spans="1:18" s="6" customFormat="1" ht="21" hidden="1" customHeight="1">
      <c r="A98" s="130" t="s">
        <v>178</v>
      </c>
      <c r="B98" s="124" t="s">
        <v>94</v>
      </c>
      <c r="C98" s="170">
        <v>0</v>
      </c>
      <c r="D98" s="170">
        <v>0</v>
      </c>
      <c r="E98" s="233">
        <f t="shared" ref="E98:G98" si="117">E99+E105</f>
        <v>0</v>
      </c>
      <c r="F98" s="233">
        <f t="shared" ref="F98" si="118">F99+F105</f>
        <v>0</v>
      </c>
      <c r="G98" s="233">
        <f t="shared" si="117"/>
        <v>0</v>
      </c>
      <c r="H98" s="232">
        <f t="shared" si="87"/>
        <v>0</v>
      </c>
      <c r="I98" s="233">
        <v>0</v>
      </c>
      <c r="J98" s="233">
        <f t="shared" ref="J98:L98" si="119">J99+J105</f>
        <v>0</v>
      </c>
      <c r="K98" s="233">
        <f t="shared" ref="K98" si="120">K99+K105</f>
        <v>0</v>
      </c>
      <c r="L98" s="233">
        <f t="shared" si="119"/>
        <v>0</v>
      </c>
      <c r="M98" s="232">
        <f t="shared" si="88"/>
        <v>0</v>
      </c>
      <c r="N98" s="233">
        <v>0</v>
      </c>
      <c r="O98" s="233">
        <f t="shared" ref="O98:Q98" si="121">O99+O105</f>
        <v>0</v>
      </c>
      <c r="P98" s="233">
        <f t="shared" ref="P98" si="122">P99+P105</f>
        <v>0</v>
      </c>
      <c r="Q98" s="233">
        <f t="shared" si="121"/>
        <v>0</v>
      </c>
      <c r="R98" s="232">
        <f t="shared" si="89"/>
        <v>0</v>
      </c>
    </row>
    <row r="99" spans="1:18" s="6" customFormat="1" ht="12" hidden="1" customHeight="1">
      <c r="A99" s="132">
        <v>18000</v>
      </c>
      <c r="B99" s="125" t="s">
        <v>95</v>
      </c>
      <c r="C99" s="170">
        <v>0</v>
      </c>
      <c r="D99" s="170">
        <v>0</v>
      </c>
      <c r="E99" s="233">
        <f t="shared" ref="E99:L100" si="123">E100</f>
        <v>0</v>
      </c>
      <c r="F99" s="233">
        <f t="shared" si="123"/>
        <v>0</v>
      </c>
      <c r="G99" s="233">
        <f t="shared" si="123"/>
        <v>0</v>
      </c>
      <c r="H99" s="232">
        <f t="shared" si="87"/>
        <v>0</v>
      </c>
      <c r="I99" s="233">
        <v>0</v>
      </c>
      <c r="J99" s="233">
        <f t="shared" si="123"/>
        <v>0</v>
      </c>
      <c r="K99" s="233">
        <f t="shared" si="123"/>
        <v>0</v>
      </c>
      <c r="L99" s="233">
        <f t="shared" si="123"/>
        <v>0</v>
      </c>
      <c r="M99" s="232">
        <f t="shared" si="88"/>
        <v>0</v>
      </c>
      <c r="N99" s="233">
        <v>0</v>
      </c>
      <c r="O99" s="233">
        <f t="shared" ref="O99:Q100" si="124">O100</f>
        <v>0</v>
      </c>
      <c r="P99" s="233">
        <f t="shared" si="124"/>
        <v>0</v>
      </c>
      <c r="Q99" s="233">
        <f t="shared" si="124"/>
        <v>0</v>
      </c>
      <c r="R99" s="232">
        <f t="shared" si="89"/>
        <v>0</v>
      </c>
    </row>
    <row r="100" spans="1:18" s="6" customFormat="1" ht="12" hidden="1" customHeight="1">
      <c r="A100" s="132">
        <v>18100</v>
      </c>
      <c r="B100" s="125" t="s">
        <v>96</v>
      </c>
      <c r="C100" s="170">
        <v>0</v>
      </c>
      <c r="D100" s="170">
        <v>0</v>
      </c>
      <c r="E100" s="233">
        <f t="shared" si="123"/>
        <v>0</v>
      </c>
      <c r="F100" s="233">
        <f t="shared" si="123"/>
        <v>0</v>
      </c>
      <c r="G100" s="233">
        <f t="shared" si="123"/>
        <v>0</v>
      </c>
      <c r="H100" s="232">
        <f t="shared" si="87"/>
        <v>0</v>
      </c>
      <c r="I100" s="233">
        <v>0</v>
      </c>
      <c r="J100" s="233">
        <f t="shared" si="123"/>
        <v>0</v>
      </c>
      <c r="K100" s="233">
        <f t="shared" si="123"/>
        <v>0</v>
      </c>
      <c r="L100" s="233">
        <f t="shared" si="123"/>
        <v>0</v>
      </c>
      <c r="M100" s="232">
        <f t="shared" si="88"/>
        <v>0</v>
      </c>
      <c r="N100" s="233">
        <v>0</v>
      </c>
      <c r="O100" s="233">
        <f t="shared" si="124"/>
        <v>0</v>
      </c>
      <c r="P100" s="233">
        <f t="shared" si="124"/>
        <v>0</v>
      </c>
      <c r="Q100" s="233">
        <f t="shared" si="124"/>
        <v>0</v>
      </c>
      <c r="R100" s="232">
        <f t="shared" si="89"/>
        <v>0</v>
      </c>
    </row>
    <row r="101" spans="1:18" s="6" customFormat="1" ht="24" hidden="1" customHeight="1">
      <c r="A101" s="133">
        <v>18130</v>
      </c>
      <c r="B101" s="172" t="s">
        <v>159</v>
      </c>
      <c r="C101" s="170">
        <v>0</v>
      </c>
      <c r="D101" s="170">
        <v>0</v>
      </c>
      <c r="E101" s="233">
        <f t="shared" ref="E101:G101" si="125">SUM(E102:E104)</f>
        <v>0</v>
      </c>
      <c r="F101" s="233">
        <f t="shared" ref="F101" si="126">SUM(F102:F104)</f>
        <v>0</v>
      </c>
      <c r="G101" s="233">
        <f t="shared" si="125"/>
        <v>0</v>
      </c>
      <c r="H101" s="232">
        <f t="shared" si="87"/>
        <v>0</v>
      </c>
      <c r="I101" s="233">
        <v>0</v>
      </c>
      <c r="J101" s="233">
        <f t="shared" ref="J101:L101" si="127">SUM(J102:J104)</f>
        <v>0</v>
      </c>
      <c r="K101" s="233">
        <f t="shared" ref="K101" si="128">SUM(K102:K104)</f>
        <v>0</v>
      </c>
      <c r="L101" s="233">
        <f t="shared" si="127"/>
        <v>0</v>
      </c>
      <c r="M101" s="232">
        <f t="shared" si="88"/>
        <v>0</v>
      </c>
      <c r="N101" s="233">
        <v>0</v>
      </c>
      <c r="O101" s="233">
        <f t="shared" ref="O101:Q101" si="129">SUM(O102:O104)</f>
        <v>0</v>
      </c>
      <c r="P101" s="233">
        <f t="shared" ref="P101" si="130">SUM(P102:P104)</f>
        <v>0</v>
      </c>
      <c r="Q101" s="233">
        <f t="shared" si="129"/>
        <v>0</v>
      </c>
      <c r="R101" s="232">
        <f t="shared" si="89"/>
        <v>0</v>
      </c>
    </row>
    <row r="102" spans="1:18" s="6" customFormat="1" ht="36" hidden="1" customHeight="1">
      <c r="A102" s="134">
        <v>18131</v>
      </c>
      <c r="B102" s="172" t="s">
        <v>160</v>
      </c>
      <c r="C102" s="170">
        <v>0</v>
      </c>
      <c r="D102" s="170">
        <v>0</v>
      </c>
      <c r="E102" s="233"/>
      <c r="F102" s="233"/>
      <c r="G102" s="233"/>
      <c r="H102" s="232">
        <f t="shared" si="87"/>
        <v>0</v>
      </c>
      <c r="I102" s="233">
        <v>0</v>
      </c>
      <c r="J102" s="233"/>
      <c r="K102" s="233"/>
      <c r="L102" s="233"/>
      <c r="M102" s="232">
        <f t="shared" si="88"/>
        <v>0</v>
      </c>
      <c r="N102" s="233">
        <v>0</v>
      </c>
      <c r="O102" s="233"/>
      <c r="P102" s="233"/>
      <c r="Q102" s="233"/>
      <c r="R102" s="232">
        <f t="shared" si="89"/>
        <v>0</v>
      </c>
    </row>
    <row r="103" spans="1:18" s="6" customFormat="1" ht="24" hidden="1" customHeight="1">
      <c r="A103" s="134">
        <v>18132</v>
      </c>
      <c r="B103" s="172" t="s">
        <v>169</v>
      </c>
      <c r="C103" s="170">
        <v>0</v>
      </c>
      <c r="D103" s="170">
        <v>0</v>
      </c>
      <c r="E103" s="233"/>
      <c r="F103" s="233"/>
      <c r="G103" s="233"/>
      <c r="H103" s="232">
        <f t="shared" si="87"/>
        <v>0</v>
      </c>
      <c r="I103" s="233">
        <v>0</v>
      </c>
      <c r="J103" s="233"/>
      <c r="K103" s="233"/>
      <c r="L103" s="233"/>
      <c r="M103" s="232">
        <f t="shared" si="88"/>
        <v>0</v>
      </c>
      <c r="N103" s="233">
        <v>0</v>
      </c>
      <c r="O103" s="233"/>
      <c r="P103" s="233"/>
      <c r="Q103" s="233"/>
      <c r="R103" s="232">
        <f t="shared" si="89"/>
        <v>0</v>
      </c>
    </row>
    <row r="104" spans="1:18" s="6" customFormat="1" ht="24" hidden="1" customHeight="1">
      <c r="A104" s="134">
        <v>18139</v>
      </c>
      <c r="B104" s="172" t="s">
        <v>179</v>
      </c>
      <c r="C104" s="170">
        <v>0</v>
      </c>
      <c r="D104" s="170">
        <v>0</v>
      </c>
      <c r="E104" s="233"/>
      <c r="F104" s="233"/>
      <c r="G104" s="233"/>
      <c r="H104" s="232">
        <f t="shared" si="87"/>
        <v>0</v>
      </c>
      <c r="I104" s="233">
        <v>0</v>
      </c>
      <c r="J104" s="233"/>
      <c r="K104" s="233"/>
      <c r="L104" s="233"/>
      <c r="M104" s="232">
        <f t="shared" si="88"/>
        <v>0</v>
      </c>
      <c r="N104" s="233">
        <v>0</v>
      </c>
      <c r="O104" s="233"/>
      <c r="P104" s="233"/>
      <c r="Q104" s="233"/>
      <c r="R104" s="232">
        <f t="shared" si="89"/>
        <v>0</v>
      </c>
    </row>
    <row r="105" spans="1:18" s="6" customFormat="1" ht="12" hidden="1" customHeight="1">
      <c r="A105" s="135" t="s">
        <v>180</v>
      </c>
      <c r="B105" s="173" t="s">
        <v>173</v>
      </c>
      <c r="C105" s="201">
        <v>0</v>
      </c>
      <c r="D105" s="201">
        <v>0</v>
      </c>
      <c r="E105" s="238">
        <f t="shared" ref="E105:L105" si="131">E106</f>
        <v>0</v>
      </c>
      <c r="F105" s="238">
        <f t="shared" si="131"/>
        <v>0</v>
      </c>
      <c r="G105" s="238">
        <f t="shared" si="131"/>
        <v>0</v>
      </c>
      <c r="H105" s="232">
        <f t="shared" si="87"/>
        <v>0</v>
      </c>
      <c r="I105" s="238">
        <v>0</v>
      </c>
      <c r="J105" s="238">
        <f t="shared" si="131"/>
        <v>0</v>
      </c>
      <c r="K105" s="238">
        <f t="shared" si="131"/>
        <v>0</v>
      </c>
      <c r="L105" s="238">
        <f t="shared" si="131"/>
        <v>0</v>
      </c>
      <c r="M105" s="232">
        <f t="shared" si="88"/>
        <v>0</v>
      </c>
      <c r="N105" s="238">
        <v>0</v>
      </c>
      <c r="O105" s="238">
        <f t="shared" ref="O105:Q105" si="132">O106</f>
        <v>0</v>
      </c>
      <c r="P105" s="238">
        <f t="shared" si="132"/>
        <v>0</v>
      </c>
      <c r="Q105" s="238">
        <f t="shared" si="132"/>
        <v>0</v>
      </c>
      <c r="R105" s="232">
        <f t="shared" si="89"/>
        <v>0</v>
      </c>
    </row>
    <row r="106" spans="1:18" s="6" customFormat="1" ht="24" hidden="1" customHeight="1">
      <c r="A106" s="135">
        <v>19500</v>
      </c>
      <c r="B106" s="172" t="s">
        <v>174</v>
      </c>
      <c r="C106" s="170">
        <v>0</v>
      </c>
      <c r="D106" s="170">
        <v>0</v>
      </c>
      <c r="E106" s="233">
        <f t="shared" ref="E106:G106" si="133">SUM(E107:E109)</f>
        <v>0</v>
      </c>
      <c r="F106" s="233">
        <f t="shared" ref="F106" si="134">SUM(F107:F109)</f>
        <v>0</v>
      </c>
      <c r="G106" s="233">
        <f t="shared" si="133"/>
        <v>0</v>
      </c>
      <c r="H106" s="232">
        <f t="shared" si="87"/>
        <v>0</v>
      </c>
      <c r="I106" s="233">
        <v>0</v>
      </c>
      <c r="J106" s="233">
        <f t="shared" ref="J106:L106" si="135">SUM(J107:J109)</f>
        <v>0</v>
      </c>
      <c r="K106" s="233">
        <f t="shared" ref="K106" si="136">SUM(K107:K109)</f>
        <v>0</v>
      </c>
      <c r="L106" s="233">
        <f t="shared" si="135"/>
        <v>0</v>
      </c>
      <c r="M106" s="232">
        <f t="shared" si="88"/>
        <v>0</v>
      </c>
      <c r="N106" s="233">
        <v>0</v>
      </c>
      <c r="O106" s="233">
        <f t="shared" ref="O106:Q106" si="137">SUM(O107:O109)</f>
        <v>0</v>
      </c>
      <c r="P106" s="233">
        <f t="shared" ref="P106" si="138">SUM(P107:P109)</f>
        <v>0</v>
      </c>
      <c r="Q106" s="233">
        <f t="shared" si="137"/>
        <v>0</v>
      </c>
      <c r="R106" s="232">
        <f t="shared" si="89"/>
        <v>0</v>
      </c>
    </row>
    <row r="107" spans="1:18" s="6" customFormat="1" ht="24" hidden="1" customHeight="1">
      <c r="A107" s="136">
        <v>19550</v>
      </c>
      <c r="B107" s="172" t="s">
        <v>175</v>
      </c>
      <c r="C107" s="170">
        <v>0</v>
      </c>
      <c r="D107" s="170">
        <v>0</v>
      </c>
      <c r="E107" s="233"/>
      <c r="F107" s="233"/>
      <c r="G107" s="233"/>
      <c r="H107" s="232">
        <f t="shared" si="87"/>
        <v>0</v>
      </c>
      <c r="I107" s="233">
        <v>0</v>
      </c>
      <c r="J107" s="233"/>
      <c r="K107" s="233"/>
      <c r="L107" s="233"/>
      <c r="M107" s="232">
        <f t="shared" si="88"/>
        <v>0</v>
      </c>
      <c r="N107" s="233">
        <v>0</v>
      </c>
      <c r="O107" s="233"/>
      <c r="P107" s="233"/>
      <c r="Q107" s="233"/>
      <c r="R107" s="232">
        <f t="shared" si="89"/>
        <v>0</v>
      </c>
    </row>
    <row r="108" spans="1:18" s="6" customFormat="1" ht="36" hidden="1" customHeight="1">
      <c r="A108" s="136">
        <v>19560</v>
      </c>
      <c r="B108" s="172" t="s">
        <v>181</v>
      </c>
      <c r="C108" s="170">
        <v>0</v>
      </c>
      <c r="D108" s="170">
        <v>0</v>
      </c>
      <c r="E108" s="233"/>
      <c r="F108" s="233"/>
      <c r="G108" s="233"/>
      <c r="H108" s="232">
        <f t="shared" si="87"/>
        <v>0</v>
      </c>
      <c r="I108" s="233">
        <v>0</v>
      </c>
      <c r="J108" s="233"/>
      <c r="K108" s="233"/>
      <c r="L108" s="233"/>
      <c r="M108" s="232">
        <f t="shared" si="88"/>
        <v>0</v>
      </c>
      <c r="N108" s="233">
        <v>0</v>
      </c>
      <c r="O108" s="233"/>
      <c r="P108" s="233"/>
      <c r="Q108" s="233"/>
      <c r="R108" s="232">
        <f t="shared" si="89"/>
        <v>0</v>
      </c>
    </row>
    <row r="109" spans="1:18" s="6" customFormat="1" ht="72" hidden="1" customHeight="1">
      <c r="A109" s="136">
        <v>19570</v>
      </c>
      <c r="B109" s="172" t="s">
        <v>182</v>
      </c>
      <c r="C109" s="170">
        <v>0</v>
      </c>
      <c r="D109" s="170">
        <v>0</v>
      </c>
      <c r="E109" s="233"/>
      <c r="F109" s="233"/>
      <c r="G109" s="233"/>
      <c r="H109" s="232">
        <f t="shared" si="87"/>
        <v>0</v>
      </c>
      <c r="I109" s="233">
        <v>0</v>
      </c>
      <c r="J109" s="233"/>
      <c r="K109" s="233"/>
      <c r="L109" s="233"/>
      <c r="M109" s="232">
        <f t="shared" si="88"/>
        <v>0</v>
      </c>
      <c r="N109" s="233">
        <v>0</v>
      </c>
      <c r="O109" s="233"/>
      <c r="P109" s="233"/>
      <c r="Q109" s="233"/>
      <c r="R109" s="232">
        <f t="shared" si="89"/>
        <v>0</v>
      </c>
    </row>
    <row r="110" spans="1:18" s="6" customFormat="1" ht="36" hidden="1" customHeight="1">
      <c r="A110" s="209" t="s">
        <v>222</v>
      </c>
      <c r="B110" s="208" t="s">
        <v>216</v>
      </c>
      <c r="C110" s="106">
        <f>C111</f>
        <v>0</v>
      </c>
      <c r="D110" s="106">
        <v>0</v>
      </c>
      <c r="E110" s="232">
        <f t="shared" ref="E110:L110" si="139">E111</f>
        <v>0</v>
      </c>
      <c r="F110" s="232">
        <f t="shared" si="139"/>
        <v>0</v>
      </c>
      <c r="G110" s="232">
        <f t="shared" si="139"/>
        <v>0</v>
      </c>
      <c r="H110" s="232">
        <f t="shared" si="87"/>
        <v>0</v>
      </c>
      <c r="I110" s="233">
        <v>0</v>
      </c>
      <c r="J110" s="232">
        <f t="shared" si="139"/>
        <v>0</v>
      </c>
      <c r="K110" s="232">
        <f t="shared" si="139"/>
        <v>0</v>
      </c>
      <c r="L110" s="232">
        <f t="shared" si="139"/>
        <v>0</v>
      </c>
      <c r="M110" s="232">
        <f t="shared" si="88"/>
        <v>0</v>
      </c>
      <c r="N110" s="233">
        <v>0</v>
      </c>
      <c r="O110" s="232">
        <f t="shared" ref="O110:Q110" si="140">O111</f>
        <v>0</v>
      </c>
      <c r="P110" s="232">
        <f t="shared" si="140"/>
        <v>0</v>
      </c>
      <c r="Q110" s="232">
        <f t="shared" si="140"/>
        <v>0</v>
      </c>
      <c r="R110" s="232">
        <f t="shared" si="89"/>
        <v>0</v>
      </c>
    </row>
    <row r="111" spans="1:18" s="6" customFormat="1" ht="36" hidden="1" customHeight="1">
      <c r="A111" s="209">
        <v>17100</v>
      </c>
      <c r="B111" s="208" t="s">
        <v>217</v>
      </c>
      <c r="C111" s="106">
        <f>SUM(C112:C115)</f>
        <v>0</v>
      </c>
      <c r="D111" s="106">
        <v>0</v>
      </c>
      <c r="E111" s="232">
        <f t="shared" ref="E111:G111" si="141">SUM(E112:E115)</f>
        <v>0</v>
      </c>
      <c r="F111" s="232">
        <f t="shared" ref="F111" si="142">SUM(F112:F115)</f>
        <v>0</v>
      </c>
      <c r="G111" s="232">
        <f t="shared" si="141"/>
        <v>0</v>
      </c>
      <c r="H111" s="232">
        <f t="shared" si="87"/>
        <v>0</v>
      </c>
      <c r="I111" s="233">
        <v>0</v>
      </c>
      <c r="J111" s="232">
        <f t="shared" ref="J111:L111" si="143">SUM(J112:J115)</f>
        <v>0</v>
      </c>
      <c r="K111" s="232">
        <f t="shared" ref="K111" si="144">SUM(K112:K115)</f>
        <v>0</v>
      </c>
      <c r="L111" s="232">
        <f t="shared" si="143"/>
        <v>0</v>
      </c>
      <c r="M111" s="232">
        <f t="shared" si="88"/>
        <v>0</v>
      </c>
      <c r="N111" s="233">
        <v>0</v>
      </c>
      <c r="O111" s="232">
        <f t="shared" ref="O111:Q111" si="145">SUM(O112:O115)</f>
        <v>0</v>
      </c>
      <c r="P111" s="232">
        <f t="shared" ref="P111" si="146">SUM(P112:P115)</f>
        <v>0</v>
      </c>
      <c r="Q111" s="232">
        <f t="shared" si="145"/>
        <v>0</v>
      </c>
      <c r="R111" s="232">
        <f t="shared" si="89"/>
        <v>0</v>
      </c>
    </row>
    <row r="112" spans="1:18" s="6" customFormat="1" ht="60" hidden="1" customHeight="1">
      <c r="A112" s="149">
        <v>17110</v>
      </c>
      <c r="B112" s="208" t="s">
        <v>218</v>
      </c>
      <c r="C112" s="106"/>
      <c r="D112" s="106">
        <v>0</v>
      </c>
      <c r="E112" s="233"/>
      <c r="F112" s="233"/>
      <c r="G112" s="233"/>
      <c r="H112" s="232">
        <f t="shared" si="87"/>
        <v>0</v>
      </c>
      <c r="I112" s="233">
        <v>0</v>
      </c>
      <c r="J112" s="233"/>
      <c r="K112" s="233"/>
      <c r="L112" s="233"/>
      <c r="M112" s="232">
        <f t="shared" si="88"/>
        <v>0</v>
      </c>
      <c r="N112" s="233">
        <v>0</v>
      </c>
      <c r="O112" s="233"/>
      <c r="P112" s="233"/>
      <c r="Q112" s="233"/>
      <c r="R112" s="232">
        <f t="shared" si="89"/>
        <v>0</v>
      </c>
    </row>
    <row r="113" spans="1:18" s="6" customFormat="1" ht="60" hidden="1" customHeight="1">
      <c r="A113" s="149">
        <v>17120</v>
      </c>
      <c r="B113" s="208" t="s">
        <v>219</v>
      </c>
      <c r="C113" s="106"/>
      <c r="D113" s="106">
        <v>0</v>
      </c>
      <c r="E113" s="233"/>
      <c r="F113" s="233"/>
      <c r="G113" s="233"/>
      <c r="H113" s="232">
        <f t="shared" si="87"/>
        <v>0</v>
      </c>
      <c r="I113" s="233">
        <v>0</v>
      </c>
      <c r="J113" s="233"/>
      <c r="K113" s="233"/>
      <c r="L113" s="233"/>
      <c r="M113" s="232">
        <f t="shared" si="88"/>
        <v>0</v>
      </c>
      <c r="N113" s="233">
        <v>0</v>
      </c>
      <c r="O113" s="233"/>
      <c r="P113" s="233"/>
      <c r="Q113" s="233"/>
      <c r="R113" s="232">
        <f t="shared" si="89"/>
        <v>0</v>
      </c>
    </row>
    <row r="114" spans="1:18" s="6" customFormat="1" ht="108" hidden="1" customHeight="1">
      <c r="A114" s="149">
        <v>17130</v>
      </c>
      <c r="B114" s="208" t="s">
        <v>220</v>
      </c>
      <c r="C114" s="106"/>
      <c r="D114" s="106">
        <v>0</v>
      </c>
      <c r="E114" s="233"/>
      <c r="F114" s="233"/>
      <c r="G114" s="233"/>
      <c r="H114" s="232">
        <f t="shared" si="87"/>
        <v>0</v>
      </c>
      <c r="I114" s="233">
        <v>0</v>
      </c>
      <c r="J114" s="233"/>
      <c r="K114" s="233"/>
      <c r="L114" s="233"/>
      <c r="M114" s="232">
        <f t="shared" si="88"/>
        <v>0</v>
      </c>
      <c r="N114" s="233">
        <v>0</v>
      </c>
      <c r="O114" s="233"/>
      <c r="P114" s="233"/>
      <c r="Q114" s="233"/>
      <c r="R114" s="232">
        <f t="shared" si="89"/>
        <v>0</v>
      </c>
    </row>
    <row r="115" spans="1:18" s="6" customFormat="1" ht="108" hidden="1" customHeight="1">
      <c r="A115" s="149">
        <v>17140</v>
      </c>
      <c r="B115" s="208" t="s">
        <v>221</v>
      </c>
      <c r="C115" s="106"/>
      <c r="D115" s="106">
        <v>0</v>
      </c>
      <c r="E115" s="233"/>
      <c r="F115" s="233"/>
      <c r="G115" s="233"/>
      <c r="H115" s="232">
        <f t="shared" si="87"/>
        <v>0</v>
      </c>
      <c r="I115" s="233">
        <v>0</v>
      </c>
      <c r="J115" s="233"/>
      <c r="K115" s="233"/>
      <c r="L115" s="233"/>
      <c r="M115" s="232">
        <f t="shared" si="88"/>
        <v>0</v>
      </c>
      <c r="N115" s="233">
        <v>0</v>
      </c>
      <c r="O115" s="233"/>
      <c r="P115" s="233"/>
      <c r="Q115" s="233"/>
      <c r="R115" s="232">
        <f t="shared" si="89"/>
        <v>0</v>
      </c>
    </row>
    <row r="116" spans="1:18" s="6" customFormat="1" ht="12">
      <c r="A116" s="137">
        <v>21700</v>
      </c>
      <c r="B116" s="124" t="s">
        <v>97</v>
      </c>
      <c r="C116" s="170">
        <v>17683386</v>
      </c>
      <c r="D116" s="170">
        <v>24287995</v>
      </c>
      <c r="E116" s="233">
        <f t="shared" ref="E116:G116" si="147">E117+E118</f>
        <v>0</v>
      </c>
      <c r="F116" s="233">
        <f t="shared" ref="F116" si="148">F117+F118</f>
        <v>0</v>
      </c>
      <c r="G116" s="233">
        <f t="shared" si="147"/>
        <v>-502606</v>
      </c>
      <c r="H116" s="232">
        <f t="shared" si="87"/>
        <v>23785389</v>
      </c>
      <c r="I116" s="233">
        <v>21425386</v>
      </c>
      <c r="J116" s="233">
        <f t="shared" ref="J116:L116" si="149">J117+J118</f>
        <v>0</v>
      </c>
      <c r="K116" s="233">
        <f t="shared" ref="K116" si="150">K117+K118</f>
        <v>26442121</v>
      </c>
      <c r="L116" s="233">
        <f t="shared" si="149"/>
        <v>-736790</v>
      </c>
      <c r="M116" s="232">
        <f t="shared" si="88"/>
        <v>47130717</v>
      </c>
      <c r="N116" s="233">
        <v>18500000</v>
      </c>
      <c r="O116" s="233">
        <f t="shared" ref="O116:Q116" si="151">O117+O118</f>
        <v>0</v>
      </c>
      <c r="P116" s="233">
        <f t="shared" ref="P116" si="152">P117+P118</f>
        <v>37297427</v>
      </c>
      <c r="Q116" s="233">
        <f t="shared" si="151"/>
        <v>-707872</v>
      </c>
      <c r="R116" s="232">
        <f t="shared" si="89"/>
        <v>55089555</v>
      </c>
    </row>
    <row r="117" spans="1:18" s="6" customFormat="1" ht="24">
      <c r="A117" s="138">
        <v>21710</v>
      </c>
      <c r="B117" s="125" t="s">
        <v>98</v>
      </c>
      <c r="C117" s="170">
        <v>17683386</v>
      </c>
      <c r="D117" s="170">
        <v>24287995</v>
      </c>
      <c r="E117" s="233"/>
      <c r="F117" s="233"/>
      <c r="G117" s="233">
        <f>G119</f>
        <v>-502606</v>
      </c>
      <c r="H117" s="232">
        <f t="shared" si="87"/>
        <v>23785389</v>
      </c>
      <c r="I117" s="233">
        <v>21425386</v>
      </c>
      <c r="J117" s="233"/>
      <c r="K117" s="233">
        <f>K119</f>
        <v>26442121</v>
      </c>
      <c r="L117" s="233">
        <f>L119</f>
        <v>-736790</v>
      </c>
      <c r="M117" s="232">
        <f t="shared" si="88"/>
        <v>47130717</v>
      </c>
      <c r="N117" s="233">
        <v>18500000</v>
      </c>
      <c r="O117" s="233"/>
      <c r="P117" s="233">
        <f>P119</f>
        <v>37297427</v>
      </c>
      <c r="Q117" s="233">
        <f>Q119</f>
        <v>-707872</v>
      </c>
      <c r="R117" s="232">
        <f t="shared" si="89"/>
        <v>55089555</v>
      </c>
    </row>
    <row r="118" spans="1:18" s="6" customFormat="1" ht="24" hidden="1" customHeight="1">
      <c r="A118" s="138">
        <v>21720</v>
      </c>
      <c r="B118" s="125" t="s">
        <v>99</v>
      </c>
      <c r="C118" s="170">
        <v>0</v>
      </c>
      <c r="D118" s="170">
        <v>0</v>
      </c>
      <c r="E118" s="233"/>
      <c r="F118" s="233"/>
      <c r="G118" s="233"/>
      <c r="H118" s="232">
        <f t="shared" si="87"/>
        <v>0</v>
      </c>
      <c r="I118" s="233">
        <v>0</v>
      </c>
      <c r="J118" s="233"/>
      <c r="K118" s="233"/>
      <c r="L118" s="233"/>
      <c r="M118" s="232">
        <f t="shared" si="88"/>
        <v>0</v>
      </c>
      <c r="N118" s="233">
        <v>0</v>
      </c>
      <c r="O118" s="233"/>
      <c r="P118" s="233"/>
      <c r="Q118" s="233"/>
      <c r="R118" s="232">
        <f t="shared" si="89"/>
        <v>0</v>
      </c>
    </row>
    <row r="119" spans="1:18" s="6" customFormat="1" ht="11.4">
      <c r="A119" s="129" t="s">
        <v>100</v>
      </c>
      <c r="B119" s="123" t="s">
        <v>101</v>
      </c>
      <c r="C119" s="168">
        <v>17683386</v>
      </c>
      <c r="D119" s="168">
        <v>24287995</v>
      </c>
      <c r="E119" s="243">
        <f t="shared" ref="E119:G119" si="153">E120+E147</f>
        <v>0</v>
      </c>
      <c r="F119" s="243">
        <f t="shared" ref="F119" si="154">F120+F147</f>
        <v>0</v>
      </c>
      <c r="G119" s="243">
        <f t="shared" si="153"/>
        <v>-502606</v>
      </c>
      <c r="H119" s="229">
        <f t="shared" si="87"/>
        <v>23785389</v>
      </c>
      <c r="I119" s="243">
        <v>21425386</v>
      </c>
      <c r="J119" s="243">
        <f t="shared" ref="J119:L119" si="155">J120+J147</f>
        <v>0</v>
      </c>
      <c r="K119" s="243">
        <f t="shared" ref="K119" si="156">K120+K147</f>
        <v>26442121</v>
      </c>
      <c r="L119" s="243">
        <f t="shared" si="155"/>
        <v>-736790</v>
      </c>
      <c r="M119" s="229">
        <f t="shared" si="88"/>
        <v>47130717</v>
      </c>
      <c r="N119" s="243">
        <v>18500000</v>
      </c>
      <c r="O119" s="243">
        <f t="shared" ref="O119:Q119" si="157">O120+O147</f>
        <v>0</v>
      </c>
      <c r="P119" s="243">
        <f t="shared" ref="P119" si="158">P120+P147</f>
        <v>37297427</v>
      </c>
      <c r="Q119" s="243">
        <f t="shared" si="157"/>
        <v>-707872</v>
      </c>
      <c r="R119" s="229">
        <f t="shared" si="89"/>
        <v>55089555</v>
      </c>
    </row>
    <row r="120" spans="1:18" s="6" customFormat="1" ht="20.399999999999999">
      <c r="A120" s="130" t="s">
        <v>102</v>
      </c>
      <c r="B120" s="124" t="s">
        <v>103</v>
      </c>
      <c r="C120" s="170">
        <v>17683386</v>
      </c>
      <c r="D120" s="170">
        <v>24287995</v>
      </c>
      <c r="E120" s="233">
        <f t="shared" ref="E120:G120" si="159">E121+E125+E126+E129+E132</f>
        <v>0</v>
      </c>
      <c r="F120" s="233">
        <f t="shared" ref="F120" si="160">F121+F125+F126+F129+F132</f>
        <v>0</v>
      </c>
      <c r="G120" s="233">
        <f t="shared" si="159"/>
        <v>-502606</v>
      </c>
      <c r="H120" s="232">
        <f t="shared" si="87"/>
        <v>23785389</v>
      </c>
      <c r="I120" s="233">
        <v>21425386</v>
      </c>
      <c r="J120" s="233">
        <f t="shared" ref="J120:L120" si="161">J121+J125+J126+J129+J132</f>
        <v>0</v>
      </c>
      <c r="K120" s="233">
        <f t="shared" ref="K120" si="162">K121+K125+K126+K129+K132</f>
        <v>26442121</v>
      </c>
      <c r="L120" s="233">
        <f t="shared" si="161"/>
        <v>-736790</v>
      </c>
      <c r="M120" s="232">
        <f t="shared" si="88"/>
        <v>47130717</v>
      </c>
      <c r="N120" s="233">
        <v>18500000</v>
      </c>
      <c r="O120" s="233">
        <f t="shared" ref="O120:Q120" si="163">O121+O125+O126+O129+O132</f>
        <v>0</v>
      </c>
      <c r="P120" s="233">
        <f t="shared" ref="P120" si="164">P121+P125+P126+P129+P132</f>
        <v>37297427</v>
      </c>
      <c r="Q120" s="233">
        <f t="shared" si="163"/>
        <v>-707872</v>
      </c>
      <c r="R120" s="232">
        <f t="shared" si="89"/>
        <v>55089555</v>
      </c>
    </row>
    <row r="121" spans="1:18" s="6" customFormat="1" ht="12" hidden="1" customHeight="1">
      <c r="A121" s="130" t="s">
        <v>104</v>
      </c>
      <c r="B121" s="124" t="s">
        <v>105</v>
      </c>
      <c r="C121" s="170">
        <v>0</v>
      </c>
      <c r="D121" s="170">
        <v>0</v>
      </c>
      <c r="E121" s="233">
        <f t="shared" ref="E121:G121" si="165">E122+E124</f>
        <v>0</v>
      </c>
      <c r="F121" s="233">
        <f t="shared" ref="F121" si="166">F122+F124</f>
        <v>0</v>
      </c>
      <c r="G121" s="233">
        <f t="shared" si="165"/>
        <v>0</v>
      </c>
      <c r="H121" s="232">
        <f t="shared" si="87"/>
        <v>0</v>
      </c>
      <c r="I121" s="233">
        <v>0</v>
      </c>
      <c r="J121" s="233">
        <f t="shared" ref="J121:L121" si="167">J122+J124</f>
        <v>0</v>
      </c>
      <c r="K121" s="233">
        <f t="shared" ref="K121" si="168">K122+K124</f>
        <v>0</v>
      </c>
      <c r="L121" s="233">
        <f t="shared" si="167"/>
        <v>0</v>
      </c>
      <c r="M121" s="232">
        <f t="shared" si="88"/>
        <v>0</v>
      </c>
      <c r="N121" s="233">
        <v>0</v>
      </c>
      <c r="O121" s="233">
        <f t="shared" ref="O121:Q121" si="169">O122+O124</f>
        <v>0</v>
      </c>
      <c r="P121" s="233">
        <f t="shared" ref="P121" si="170">P122+P124</f>
        <v>0</v>
      </c>
      <c r="Q121" s="233">
        <f t="shared" si="169"/>
        <v>0</v>
      </c>
      <c r="R121" s="232">
        <f t="shared" si="89"/>
        <v>0</v>
      </c>
    </row>
    <row r="122" spans="1:18" s="29" customFormat="1" ht="12" hidden="1" customHeight="1">
      <c r="A122" s="132">
        <v>1000</v>
      </c>
      <c r="B122" s="125" t="s">
        <v>106</v>
      </c>
      <c r="C122" s="170">
        <v>0</v>
      </c>
      <c r="D122" s="170">
        <v>0</v>
      </c>
      <c r="E122" s="244"/>
      <c r="F122" s="244"/>
      <c r="G122" s="244"/>
      <c r="H122" s="232">
        <f t="shared" si="87"/>
        <v>0</v>
      </c>
      <c r="I122" s="233">
        <v>0</v>
      </c>
      <c r="J122" s="244"/>
      <c r="K122" s="244"/>
      <c r="L122" s="244"/>
      <c r="M122" s="232">
        <f t="shared" si="88"/>
        <v>0</v>
      </c>
      <c r="N122" s="233">
        <v>0</v>
      </c>
      <c r="O122" s="244"/>
      <c r="P122" s="244"/>
      <c r="Q122" s="244"/>
      <c r="R122" s="232">
        <f t="shared" si="89"/>
        <v>0</v>
      </c>
    </row>
    <row r="123" spans="1:18" s="89" customFormat="1" ht="12" hidden="1" customHeight="1">
      <c r="A123" s="139">
        <v>1100</v>
      </c>
      <c r="B123" s="125" t="s">
        <v>107</v>
      </c>
      <c r="C123" s="170">
        <v>0</v>
      </c>
      <c r="D123" s="170">
        <v>0</v>
      </c>
      <c r="E123" s="244"/>
      <c r="F123" s="244"/>
      <c r="G123" s="244"/>
      <c r="H123" s="232">
        <f t="shared" si="87"/>
        <v>0</v>
      </c>
      <c r="I123" s="233">
        <v>0</v>
      </c>
      <c r="J123" s="244"/>
      <c r="K123" s="244"/>
      <c r="L123" s="244"/>
      <c r="M123" s="232">
        <f t="shared" si="88"/>
        <v>0</v>
      </c>
      <c r="N123" s="233">
        <v>0</v>
      </c>
      <c r="O123" s="244"/>
      <c r="P123" s="244"/>
      <c r="Q123" s="244"/>
      <c r="R123" s="232">
        <f t="shared" si="89"/>
        <v>0</v>
      </c>
    </row>
    <row r="124" spans="1:18" s="89" customFormat="1" ht="12" hidden="1" customHeight="1">
      <c r="A124" s="132">
        <v>2000</v>
      </c>
      <c r="B124" s="125" t="s">
        <v>108</v>
      </c>
      <c r="C124" s="170">
        <v>0</v>
      </c>
      <c r="D124" s="170">
        <v>0</v>
      </c>
      <c r="E124" s="244"/>
      <c r="F124" s="244"/>
      <c r="G124" s="244"/>
      <c r="H124" s="232">
        <f t="shared" si="87"/>
        <v>0</v>
      </c>
      <c r="I124" s="233">
        <v>0</v>
      </c>
      <c r="J124" s="244"/>
      <c r="K124" s="244"/>
      <c r="L124" s="244"/>
      <c r="M124" s="232">
        <f t="shared" si="88"/>
        <v>0</v>
      </c>
      <c r="N124" s="233">
        <v>0</v>
      </c>
      <c r="O124" s="244"/>
      <c r="P124" s="244"/>
      <c r="Q124" s="244"/>
      <c r="R124" s="232">
        <f t="shared" si="89"/>
        <v>0</v>
      </c>
    </row>
    <row r="125" spans="1:18" s="89" customFormat="1" ht="12" hidden="1" customHeight="1">
      <c r="A125" s="140">
        <v>4000</v>
      </c>
      <c r="B125" s="124" t="s">
        <v>132</v>
      </c>
      <c r="C125" s="170">
        <v>0</v>
      </c>
      <c r="D125" s="170">
        <v>0</v>
      </c>
      <c r="E125" s="244"/>
      <c r="F125" s="244"/>
      <c r="G125" s="244"/>
      <c r="H125" s="232">
        <f t="shared" si="87"/>
        <v>0</v>
      </c>
      <c r="I125" s="233">
        <v>0</v>
      </c>
      <c r="J125" s="244"/>
      <c r="K125" s="244"/>
      <c r="L125" s="244"/>
      <c r="M125" s="232">
        <f t="shared" si="88"/>
        <v>0</v>
      </c>
      <c r="N125" s="233">
        <v>0</v>
      </c>
      <c r="O125" s="244"/>
      <c r="P125" s="244"/>
      <c r="Q125" s="244"/>
      <c r="R125" s="232">
        <f t="shared" si="89"/>
        <v>0</v>
      </c>
    </row>
    <row r="126" spans="1:18" s="89" customFormat="1" ht="12">
      <c r="A126" s="140" t="s">
        <v>109</v>
      </c>
      <c r="B126" s="124" t="s">
        <v>110</v>
      </c>
      <c r="C126" s="170">
        <v>17683386</v>
      </c>
      <c r="D126" s="170">
        <v>24287995</v>
      </c>
      <c r="E126" s="233">
        <f t="shared" ref="E126:G126" si="171">E127+E128</f>
        <v>0</v>
      </c>
      <c r="F126" s="233">
        <f t="shared" ref="F126" si="172">F127+F128</f>
        <v>0</v>
      </c>
      <c r="G126" s="233">
        <f t="shared" si="171"/>
        <v>-502606</v>
      </c>
      <c r="H126" s="232">
        <f t="shared" si="87"/>
        <v>23785389</v>
      </c>
      <c r="I126" s="233">
        <v>21425386</v>
      </c>
      <c r="J126" s="233">
        <f t="shared" ref="J126:L126" si="173">J127+J128</f>
        <v>0</v>
      </c>
      <c r="K126" s="233">
        <f t="shared" ref="K126" si="174">K127+K128</f>
        <v>26442121</v>
      </c>
      <c r="L126" s="233">
        <f t="shared" si="173"/>
        <v>-736790</v>
      </c>
      <c r="M126" s="232">
        <f t="shared" si="88"/>
        <v>47130717</v>
      </c>
      <c r="N126" s="233">
        <v>18500000</v>
      </c>
      <c r="O126" s="233">
        <f t="shared" ref="O126:Q126" si="175">O127+O128</f>
        <v>0</v>
      </c>
      <c r="P126" s="233">
        <f t="shared" ref="P126" si="176">P127+P128</f>
        <v>37297427</v>
      </c>
      <c r="Q126" s="233">
        <f t="shared" si="175"/>
        <v>-707872</v>
      </c>
      <c r="R126" s="232">
        <f t="shared" si="89"/>
        <v>55089555</v>
      </c>
    </row>
    <row r="127" spans="1:18" s="89" customFormat="1" ht="12">
      <c r="A127" s="132">
        <v>3000</v>
      </c>
      <c r="B127" s="125" t="s">
        <v>111</v>
      </c>
      <c r="C127" s="202">
        <v>17683386</v>
      </c>
      <c r="D127" s="202">
        <v>24287995</v>
      </c>
      <c r="E127" s="246"/>
      <c r="F127" s="246"/>
      <c r="G127" s="345">
        <f>G272</f>
        <v>-502606</v>
      </c>
      <c r="H127" s="232">
        <f t="shared" si="87"/>
        <v>23785389</v>
      </c>
      <c r="I127" s="345">
        <v>21425386</v>
      </c>
      <c r="J127" s="246"/>
      <c r="K127" s="345">
        <f>K270</f>
        <v>26442121</v>
      </c>
      <c r="L127" s="345">
        <f>L272</f>
        <v>-736790</v>
      </c>
      <c r="M127" s="233">
        <f t="shared" si="88"/>
        <v>47130717</v>
      </c>
      <c r="N127" s="345">
        <v>18500000</v>
      </c>
      <c r="O127" s="345"/>
      <c r="P127" s="345">
        <f>P270</f>
        <v>37297427</v>
      </c>
      <c r="Q127" s="345">
        <f>Q272</f>
        <v>-707872</v>
      </c>
      <c r="R127" s="232">
        <f t="shared" si="89"/>
        <v>55089555</v>
      </c>
    </row>
    <row r="128" spans="1:18" s="89" customFormat="1" ht="12" hidden="1" customHeight="1">
      <c r="A128" s="132">
        <v>6000</v>
      </c>
      <c r="B128" s="125" t="s">
        <v>112</v>
      </c>
      <c r="C128" s="203">
        <v>0</v>
      </c>
      <c r="D128" s="203">
        <v>0</v>
      </c>
      <c r="E128" s="248"/>
      <c r="F128" s="248"/>
      <c r="G128" s="248"/>
      <c r="H128" s="232">
        <f t="shared" si="87"/>
        <v>0</v>
      </c>
      <c r="I128" s="346">
        <v>0</v>
      </c>
      <c r="J128" s="248"/>
      <c r="K128" s="248"/>
      <c r="L128" s="248"/>
      <c r="M128" s="232">
        <f t="shared" si="88"/>
        <v>0</v>
      </c>
      <c r="N128" s="346">
        <v>0</v>
      </c>
      <c r="O128" s="248"/>
      <c r="P128" s="248"/>
      <c r="Q128" s="248"/>
      <c r="R128" s="232">
        <f t="shared" si="89"/>
        <v>0</v>
      </c>
    </row>
    <row r="129" spans="1:18" s="89" customFormat="1" ht="24" hidden="1" customHeight="1">
      <c r="A129" s="140" t="s">
        <v>113</v>
      </c>
      <c r="B129" s="124" t="s">
        <v>183</v>
      </c>
      <c r="C129" s="170">
        <v>0</v>
      </c>
      <c r="D129" s="170">
        <v>0</v>
      </c>
      <c r="E129" s="233">
        <f t="shared" ref="E129:G129" si="177">E130+E131</f>
        <v>0</v>
      </c>
      <c r="F129" s="233">
        <f t="shared" ref="F129" si="178">F130+F131</f>
        <v>0</v>
      </c>
      <c r="G129" s="233">
        <f t="shared" si="177"/>
        <v>0</v>
      </c>
      <c r="H129" s="232">
        <f t="shared" si="87"/>
        <v>0</v>
      </c>
      <c r="I129" s="233">
        <v>0</v>
      </c>
      <c r="J129" s="233">
        <f t="shared" ref="J129:L129" si="179">J130+J131</f>
        <v>0</v>
      </c>
      <c r="K129" s="233">
        <f t="shared" ref="K129" si="180">K130+K131</f>
        <v>0</v>
      </c>
      <c r="L129" s="233">
        <f t="shared" si="179"/>
        <v>0</v>
      </c>
      <c r="M129" s="232">
        <f t="shared" si="88"/>
        <v>0</v>
      </c>
      <c r="N129" s="233">
        <v>0</v>
      </c>
      <c r="O129" s="233">
        <f t="shared" ref="O129:Q129" si="181">O130+O131</f>
        <v>0</v>
      </c>
      <c r="P129" s="233">
        <f t="shared" ref="P129" si="182">P130+P131</f>
        <v>0</v>
      </c>
      <c r="Q129" s="233">
        <f t="shared" si="181"/>
        <v>0</v>
      </c>
      <c r="R129" s="232">
        <f t="shared" si="89"/>
        <v>0</v>
      </c>
    </row>
    <row r="130" spans="1:18" s="89" customFormat="1" ht="12" hidden="1" customHeight="1">
      <c r="A130" s="132">
        <v>7600</v>
      </c>
      <c r="B130" s="179" t="s">
        <v>184</v>
      </c>
      <c r="C130" s="170">
        <v>0</v>
      </c>
      <c r="D130" s="170">
        <v>0</v>
      </c>
      <c r="E130" s="244"/>
      <c r="F130" s="244"/>
      <c r="G130" s="244"/>
      <c r="H130" s="232">
        <f t="shared" si="87"/>
        <v>0</v>
      </c>
      <c r="I130" s="233">
        <v>0</v>
      </c>
      <c r="J130" s="244"/>
      <c r="K130" s="244"/>
      <c r="L130" s="244"/>
      <c r="M130" s="232">
        <f t="shared" si="88"/>
        <v>0</v>
      </c>
      <c r="N130" s="233">
        <v>0</v>
      </c>
      <c r="O130" s="244"/>
      <c r="P130" s="244"/>
      <c r="Q130" s="244"/>
      <c r="R130" s="232">
        <f t="shared" si="89"/>
        <v>0</v>
      </c>
    </row>
    <row r="131" spans="1:18" s="89" customFormat="1" ht="12" hidden="1" customHeight="1">
      <c r="A131" s="132">
        <v>7700</v>
      </c>
      <c r="B131" s="126" t="s">
        <v>114</v>
      </c>
      <c r="C131" s="170">
        <v>0</v>
      </c>
      <c r="D131" s="170">
        <v>0</v>
      </c>
      <c r="E131" s="244"/>
      <c r="F131" s="244"/>
      <c r="G131" s="244"/>
      <c r="H131" s="232">
        <f t="shared" si="87"/>
        <v>0</v>
      </c>
      <c r="I131" s="233">
        <v>0</v>
      </c>
      <c r="J131" s="244"/>
      <c r="K131" s="244"/>
      <c r="L131" s="244"/>
      <c r="M131" s="232">
        <f t="shared" si="88"/>
        <v>0</v>
      </c>
      <c r="N131" s="233">
        <v>0</v>
      </c>
      <c r="O131" s="244"/>
      <c r="P131" s="244"/>
      <c r="Q131" s="244"/>
      <c r="R131" s="232">
        <f t="shared" si="89"/>
        <v>0</v>
      </c>
    </row>
    <row r="132" spans="1:18" s="89" customFormat="1" ht="21" hidden="1" customHeight="1">
      <c r="A132" s="140" t="s">
        <v>185</v>
      </c>
      <c r="B132" s="124" t="s">
        <v>115</v>
      </c>
      <c r="C132" s="170">
        <v>0</v>
      </c>
      <c r="D132" s="170">
        <v>0</v>
      </c>
      <c r="E132" s="233">
        <f t="shared" ref="E132:G132" si="183">E133+E139+E143+E146</f>
        <v>0</v>
      </c>
      <c r="F132" s="233">
        <f t="shared" ref="F132" si="184">F133+F139+F143+F146</f>
        <v>0</v>
      </c>
      <c r="G132" s="233">
        <f t="shared" si="183"/>
        <v>0</v>
      </c>
      <c r="H132" s="232">
        <f t="shared" si="87"/>
        <v>0</v>
      </c>
      <c r="I132" s="233">
        <v>0</v>
      </c>
      <c r="J132" s="233">
        <f t="shared" ref="J132:L132" si="185">J133+J139+J143+J146</f>
        <v>0</v>
      </c>
      <c r="K132" s="233">
        <f t="shared" ref="K132" si="186">K133+K139+K143+K146</f>
        <v>0</v>
      </c>
      <c r="L132" s="233">
        <f t="shared" si="185"/>
        <v>0</v>
      </c>
      <c r="M132" s="232">
        <f t="shared" si="88"/>
        <v>0</v>
      </c>
      <c r="N132" s="233">
        <v>0</v>
      </c>
      <c r="O132" s="233">
        <f t="shared" ref="O132:Q132" si="187">O133+O139+O143+O146</f>
        <v>0</v>
      </c>
      <c r="P132" s="233">
        <f t="shared" ref="P132" si="188">P133+P139+P143+P146</f>
        <v>0</v>
      </c>
      <c r="Q132" s="233">
        <f t="shared" si="187"/>
        <v>0</v>
      </c>
      <c r="R132" s="232">
        <f t="shared" si="89"/>
        <v>0</v>
      </c>
    </row>
    <row r="133" spans="1:18" s="89" customFormat="1" ht="12" hidden="1" customHeight="1">
      <c r="A133" s="132">
        <v>7100</v>
      </c>
      <c r="B133" s="179" t="s">
        <v>116</v>
      </c>
      <c r="C133" s="170">
        <v>0</v>
      </c>
      <c r="D133" s="170">
        <v>0</v>
      </c>
      <c r="E133" s="233">
        <f t="shared" ref="E133:G133" si="189">E134+E135</f>
        <v>0</v>
      </c>
      <c r="F133" s="233">
        <f t="shared" ref="F133" si="190">F134+F135</f>
        <v>0</v>
      </c>
      <c r="G133" s="233">
        <f t="shared" si="189"/>
        <v>0</v>
      </c>
      <c r="H133" s="232">
        <f t="shared" si="87"/>
        <v>0</v>
      </c>
      <c r="I133" s="233">
        <v>0</v>
      </c>
      <c r="J133" s="233">
        <f t="shared" ref="J133:L133" si="191">J134+J135</f>
        <v>0</v>
      </c>
      <c r="K133" s="233">
        <f t="shared" ref="K133" si="192">K134+K135</f>
        <v>0</v>
      </c>
      <c r="L133" s="233">
        <f t="shared" si="191"/>
        <v>0</v>
      </c>
      <c r="M133" s="232">
        <f t="shared" si="88"/>
        <v>0</v>
      </c>
      <c r="N133" s="233">
        <v>0</v>
      </c>
      <c r="O133" s="233">
        <f t="shared" ref="O133:Q133" si="193">O134+O135</f>
        <v>0</v>
      </c>
      <c r="P133" s="233">
        <f t="shared" ref="P133" si="194">P134+P135</f>
        <v>0</v>
      </c>
      <c r="Q133" s="233">
        <f t="shared" si="193"/>
        <v>0</v>
      </c>
      <c r="R133" s="232">
        <f t="shared" si="89"/>
        <v>0</v>
      </c>
    </row>
    <row r="134" spans="1:18" s="89" customFormat="1" ht="24" hidden="1" customHeight="1">
      <c r="A134" s="133" t="s">
        <v>117</v>
      </c>
      <c r="B134" s="179" t="s">
        <v>118</v>
      </c>
      <c r="C134" s="170">
        <v>0</v>
      </c>
      <c r="D134" s="170">
        <v>0</v>
      </c>
      <c r="E134" s="233"/>
      <c r="F134" s="233"/>
      <c r="G134" s="233"/>
      <c r="H134" s="232">
        <f t="shared" si="87"/>
        <v>0</v>
      </c>
      <c r="I134" s="233">
        <v>0</v>
      </c>
      <c r="J134" s="233"/>
      <c r="K134" s="233"/>
      <c r="L134" s="233"/>
      <c r="M134" s="232">
        <f t="shared" si="88"/>
        <v>0</v>
      </c>
      <c r="N134" s="233">
        <v>0</v>
      </c>
      <c r="O134" s="233"/>
      <c r="P134" s="233"/>
      <c r="Q134" s="233"/>
      <c r="R134" s="232">
        <f t="shared" si="89"/>
        <v>0</v>
      </c>
    </row>
    <row r="135" spans="1:18" s="89" customFormat="1" ht="24" hidden="1" customHeight="1">
      <c r="A135" s="133">
        <v>7130</v>
      </c>
      <c r="B135" s="179" t="s">
        <v>119</v>
      </c>
      <c r="C135" s="170">
        <v>0</v>
      </c>
      <c r="D135" s="170">
        <v>0</v>
      </c>
      <c r="E135" s="233">
        <f t="shared" ref="E135:G135" si="195">SUM(E136:E138)</f>
        <v>0</v>
      </c>
      <c r="F135" s="233">
        <f t="shared" ref="F135" si="196">SUM(F136:F138)</f>
        <v>0</v>
      </c>
      <c r="G135" s="233">
        <f t="shared" si="195"/>
        <v>0</v>
      </c>
      <c r="H135" s="232">
        <f t="shared" si="87"/>
        <v>0</v>
      </c>
      <c r="I135" s="233">
        <v>0</v>
      </c>
      <c r="J135" s="233">
        <f t="shared" ref="J135:L135" si="197">SUM(J136:J138)</f>
        <v>0</v>
      </c>
      <c r="K135" s="233">
        <f t="shared" ref="K135" si="198">SUM(K136:K138)</f>
        <v>0</v>
      </c>
      <c r="L135" s="233">
        <f t="shared" si="197"/>
        <v>0</v>
      </c>
      <c r="M135" s="232">
        <f t="shared" si="88"/>
        <v>0</v>
      </c>
      <c r="N135" s="233">
        <v>0</v>
      </c>
      <c r="O135" s="233">
        <f t="shared" ref="O135:Q135" si="199">SUM(O136:O138)</f>
        <v>0</v>
      </c>
      <c r="P135" s="233">
        <f t="shared" ref="P135" si="200">SUM(P136:P138)</f>
        <v>0</v>
      </c>
      <c r="Q135" s="233">
        <f t="shared" si="199"/>
        <v>0</v>
      </c>
      <c r="R135" s="232">
        <f t="shared" si="89"/>
        <v>0</v>
      </c>
    </row>
    <row r="136" spans="1:18" s="89" customFormat="1" ht="36" hidden="1" customHeight="1">
      <c r="A136" s="134">
        <v>7131</v>
      </c>
      <c r="B136" s="179" t="s">
        <v>120</v>
      </c>
      <c r="C136" s="170">
        <v>0</v>
      </c>
      <c r="D136" s="170">
        <v>0</v>
      </c>
      <c r="E136" s="233"/>
      <c r="F136" s="233"/>
      <c r="G136" s="233"/>
      <c r="H136" s="232">
        <f t="shared" si="87"/>
        <v>0</v>
      </c>
      <c r="I136" s="233">
        <v>0</v>
      </c>
      <c r="J136" s="233"/>
      <c r="K136" s="233"/>
      <c r="L136" s="233"/>
      <c r="M136" s="232">
        <f t="shared" si="88"/>
        <v>0</v>
      </c>
      <c r="N136" s="233">
        <v>0</v>
      </c>
      <c r="O136" s="233"/>
      <c r="P136" s="233"/>
      <c r="Q136" s="233"/>
      <c r="R136" s="232">
        <f t="shared" si="89"/>
        <v>0</v>
      </c>
    </row>
    <row r="137" spans="1:18" s="29" customFormat="1" ht="36" hidden="1" customHeight="1">
      <c r="A137" s="134">
        <v>7132</v>
      </c>
      <c r="B137" s="179" t="s">
        <v>121</v>
      </c>
      <c r="C137" s="170">
        <v>0</v>
      </c>
      <c r="D137" s="170">
        <v>0</v>
      </c>
      <c r="E137" s="233"/>
      <c r="F137" s="233"/>
      <c r="G137" s="233"/>
      <c r="H137" s="232">
        <f t="shared" si="87"/>
        <v>0</v>
      </c>
      <c r="I137" s="233">
        <v>0</v>
      </c>
      <c r="J137" s="233"/>
      <c r="K137" s="233"/>
      <c r="L137" s="233"/>
      <c r="M137" s="232">
        <f t="shared" si="88"/>
        <v>0</v>
      </c>
      <c r="N137" s="233">
        <v>0</v>
      </c>
      <c r="O137" s="233"/>
      <c r="P137" s="233"/>
      <c r="Q137" s="233"/>
      <c r="R137" s="232">
        <f t="shared" si="89"/>
        <v>0</v>
      </c>
    </row>
    <row r="138" spans="1:18" s="29" customFormat="1" ht="36" hidden="1" customHeight="1">
      <c r="A138" s="134" t="s">
        <v>186</v>
      </c>
      <c r="B138" s="179" t="s">
        <v>187</v>
      </c>
      <c r="C138" s="170">
        <v>0</v>
      </c>
      <c r="D138" s="170">
        <v>0</v>
      </c>
      <c r="E138" s="233"/>
      <c r="F138" s="233"/>
      <c r="G138" s="233"/>
      <c r="H138" s="232">
        <f t="shared" ref="H138:H201" si="201">SUM(D138:G138)</f>
        <v>0</v>
      </c>
      <c r="I138" s="233">
        <v>0</v>
      </c>
      <c r="J138" s="233"/>
      <c r="K138" s="233"/>
      <c r="L138" s="233"/>
      <c r="M138" s="232">
        <f t="shared" ref="M138:M201" si="202">SUM(I138:L138)</f>
        <v>0</v>
      </c>
      <c r="N138" s="233">
        <v>0</v>
      </c>
      <c r="O138" s="233"/>
      <c r="P138" s="233"/>
      <c r="Q138" s="233"/>
      <c r="R138" s="232">
        <f t="shared" ref="R138:R201" si="203">SUM(N138:Q138)</f>
        <v>0</v>
      </c>
    </row>
    <row r="139" spans="1:18" s="29" customFormat="1" ht="24" hidden="1" customHeight="1">
      <c r="A139" s="132">
        <v>7300</v>
      </c>
      <c r="B139" s="172" t="s">
        <v>155</v>
      </c>
      <c r="C139" s="170">
        <v>0</v>
      </c>
      <c r="D139" s="170">
        <v>0</v>
      </c>
      <c r="E139" s="233">
        <f t="shared" ref="E139:G139" si="204">SUM(E140:E142)</f>
        <v>0</v>
      </c>
      <c r="F139" s="233">
        <f t="shared" ref="F139" si="205">SUM(F140:F142)</f>
        <v>0</v>
      </c>
      <c r="G139" s="233">
        <f t="shared" si="204"/>
        <v>0</v>
      </c>
      <c r="H139" s="232">
        <f t="shared" si="201"/>
        <v>0</v>
      </c>
      <c r="I139" s="233">
        <v>0</v>
      </c>
      <c r="J139" s="233">
        <f t="shared" ref="J139:L139" si="206">SUM(J140:J142)</f>
        <v>0</v>
      </c>
      <c r="K139" s="233">
        <f t="shared" ref="K139" si="207">SUM(K140:K142)</f>
        <v>0</v>
      </c>
      <c r="L139" s="233">
        <f t="shared" si="206"/>
        <v>0</v>
      </c>
      <c r="M139" s="232">
        <f t="shared" si="202"/>
        <v>0</v>
      </c>
      <c r="N139" s="233">
        <v>0</v>
      </c>
      <c r="O139" s="233">
        <f t="shared" ref="O139:Q139" si="208">SUM(O140:O142)</f>
        <v>0</v>
      </c>
      <c r="P139" s="233">
        <f t="shared" ref="P139" si="209">SUM(P140:P142)</f>
        <v>0</v>
      </c>
      <c r="Q139" s="233">
        <f t="shared" si="208"/>
        <v>0</v>
      </c>
      <c r="R139" s="232">
        <f t="shared" si="203"/>
        <v>0</v>
      </c>
    </row>
    <row r="140" spans="1:18" s="4" customFormat="1" ht="24" hidden="1" customHeight="1">
      <c r="A140" s="133" t="s">
        <v>188</v>
      </c>
      <c r="B140" s="179" t="s">
        <v>170</v>
      </c>
      <c r="C140" s="204">
        <v>0</v>
      </c>
      <c r="D140" s="204">
        <v>0</v>
      </c>
      <c r="E140" s="252"/>
      <c r="F140" s="252"/>
      <c r="G140" s="252"/>
      <c r="H140" s="232">
        <f t="shared" si="201"/>
        <v>0</v>
      </c>
      <c r="I140" s="252">
        <v>0</v>
      </c>
      <c r="J140" s="252"/>
      <c r="K140" s="252"/>
      <c r="L140" s="252"/>
      <c r="M140" s="232">
        <f t="shared" si="202"/>
        <v>0</v>
      </c>
      <c r="N140" s="252">
        <v>0</v>
      </c>
      <c r="O140" s="252"/>
      <c r="P140" s="252"/>
      <c r="Q140" s="252"/>
      <c r="R140" s="232">
        <f t="shared" si="203"/>
        <v>0</v>
      </c>
    </row>
    <row r="141" spans="1:18" ht="48" hidden="1" customHeight="1">
      <c r="A141" s="133" t="s">
        <v>189</v>
      </c>
      <c r="B141" s="179" t="s">
        <v>156</v>
      </c>
      <c r="C141" s="204">
        <v>0</v>
      </c>
      <c r="D141" s="204">
        <v>0</v>
      </c>
      <c r="E141" s="252"/>
      <c r="F141" s="252"/>
      <c r="G141" s="252"/>
      <c r="H141" s="232">
        <f t="shared" si="201"/>
        <v>0</v>
      </c>
      <c r="I141" s="252">
        <v>0</v>
      </c>
      <c r="J141" s="252"/>
      <c r="K141" s="252"/>
      <c r="L141" s="252"/>
      <c r="M141" s="232">
        <f t="shared" si="202"/>
        <v>0</v>
      </c>
      <c r="N141" s="252">
        <v>0</v>
      </c>
      <c r="O141" s="252"/>
      <c r="P141" s="252"/>
      <c r="Q141" s="252"/>
      <c r="R141" s="232">
        <f t="shared" si="203"/>
        <v>0</v>
      </c>
    </row>
    <row r="142" spans="1:18" ht="36" hidden="1" customHeight="1">
      <c r="A142" s="133">
        <v>7350</v>
      </c>
      <c r="B142" s="179" t="s">
        <v>163</v>
      </c>
      <c r="C142" s="204">
        <v>0</v>
      </c>
      <c r="D142" s="204">
        <v>0</v>
      </c>
      <c r="E142" s="252"/>
      <c r="F142" s="252"/>
      <c r="G142" s="252"/>
      <c r="H142" s="232">
        <f t="shared" si="201"/>
        <v>0</v>
      </c>
      <c r="I142" s="252">
        <v>0</v>
      </c>
      <c r="J142" s="252"/>
      <c r="K142" s="252"/>
      <c r="L142" s="252"/>
      <c r="M142" s="232">
        <f t="shared" si="202"/>
        <v>0</v>
      </c>
      <c r="N142" s="252">
        <v>0</v>
      </c>
      <c r="O142" s="252"/>
      <c r="P142" s="252"/>
      <c r="Q142" s="252"/>
      <c r="R142" s="232">
        <f t="shared" si="203"/>
        <v>0</v>
      </c>
    </row>
    <row r="143" spans="1:18" ht="24" hidden="1" customHeight="1">
      <c r="A143" s="132">
        <v>7400</v>
      </c>
      <c r="B143" s="172" t="s">
        <v>161</v>
      </c>
      <c r="C143" s="170">
        <v>0</v>
      </c>
      <c r="D143" s="170">
        <v>0</v>
      </c>
      <c r="E143" s="233">
        <f t="shared" ref="E143:G143" si="210">SUM(E144:E145)</f>
        <v>0</v>
      </c>
      <c r="F143" s="233">
        <f t="shared" ref="F143" si="211">SUM(F144:F145)</f>
        <v>0</v>
      </c>
      <c r="G143" s="233">
        <f t="shared" si="210"/>
        <v>0</v>
      </c>
      <c r="H143" s="232">
        <f t="shared" si="201"/>
        <v>0</v>
      </c>
      <c r="I143" s="233">
        <v>0</v>
      </c>
      <c r="J143" s="233">
        <f t="shared" ref="J143:L143" si="212">SUM(J144:J145)</f>
        <v>0</v>
      </c>
      <c r="K143" s="233">
        <f t="shared" ref="K143" si="213">SUM(K144:K145)</f>
        <v>0</v>
      </c>
      <c r="L143" s="233">
        <f t="shared" si="212"/>
        <v>0</v>
      </c>
      <c r="M143" s="232">
        <f t="shared" si="202"/>
        <v>0</v>
      </c>
      <c r="N143" s="233">
        <v>0</v>
      </c>
      <c r="O143" s="233">
        <f t="shared" ref="O143:Q143" si="214">SUM(O144:O145)</f>
        <v>0</v>
      </c>
      <c r="P143" s="233">
        <f t="shared" ref="P143" si="215">SUM(P144:P145)</f>
        <v>0</v>
      </c>
      <c r="Q143" s="233">
        <f t="shared" si="214"/>
        <v>0</v>
      </c>
      <c r="R143" s="232">
        <f t="shared" si="203"/>
        <v>0</v>
      </c>
    </row>
    <row r="144" spans="1:18" ht="24" hidden="1" customHeight="1">
      <c r="A144" s="133">
        <v>7460</v>
      </c>
      <c r="B144" s="172" t="s">
        <v>162</v>
      </c>
      <c r="C144" s="204">
        <v>0</v>
      </c>
      <c r="D144" s="204">
        <v>0</v>
      </c>
      <c r="E144" s="252"/>
      <c r="F144" s="252"/>
      <c r="G144" s="252"/>
      <c r="H144" s="232">
        <f t="shared" si="201"/>
        <v>0</v>
      </c>
      <c r="I144" s="252">
        <v>0</v>
      </c>
      <c r="J144" s="252"/>
      <c r="K144" s="252"/>
      <c r="L144" s="252"/>
      <c r="M144" s="232">
        <f t="shared" si="202"/>
        <v>0</v>
      </c>
      <c r="N144" s="252">
        <v>0</v>
      </c>
      <c r="O144" s="252"/>
      <c r="P144" s="252"/>
      <c r="Q144" s="252"/>
      <c r="R144" s="232">
        <f t="shared" si="203"/>
        <v>0</v>
      </c>
    </row>
    <row r="145" spans="1:18" ht="48" hidden="1" customHeight="1">
      <c r="A145" s="133">
        <v>7470</v>
      </c>
      <c r="B145" s="179" t="s">
        <v>167</v>
      </c>
      <c r="C145" s="204">
        <v>0</v>
      </c>
      <c r="D145" s="204">
        <v>0</v>
      </c>
      <c r="E145" s="252"/>
      <c r="F145" s="252"/>
      <c r="G145" s="252"/>
      <c r="H145" s="232">
        <f t="shared" si="201"/>
        <v>0</v>
      </c>
      <c r="I145" s="252">
        <v>0</v>
      </c>
      <c r="J145" s="252"/>
      <c r="K145" s="252"/>
      <c r="L145" s="252"/>
      <c r="M145" s="232">
        <f t="shared" si="202"/>
        <v>0</v>
      </c>
      <c r="N145" s="252">
        <v>0</v>
      </c>
      <c r="O145" s="252"/>
      <c r="P145" s="252"/>
      <c r="Q145" s="252"/>
      <c r="R145" s="232">
        <f t="shared" si="203"/>
        <v>0</v>
      </c>
    </row>
    <row r="146" spans="1:18" ht="24" hidden="1" customHeight="1">
      <c r="A146" s="132">
        <v>7500</v>
      </c>
      <c r="B146" s="179" t="s">
        <v>157</v>
      </c>
      <c r="C146" s="170">
        <v>0</v>
      </c>
      <c r="D146" s="170">
        <v>0</v>
      </c>
      <c r="E146" s="233"/>
      <c r="F146" s="233"/>
      <c r="G146" s="233"/>
      <c r="H146" s="232">
        <f t="shared" si="201"/>
        <v>0</v>
      </c>
      <c r="I146" s="233">
        <v>0</v>
      </c>
      <c r="J146" s="233"/>
      <c r="K146" s="233"/>
      <c r="L146" s="233"/>
      <c r="M146" s="232">
        <f t="shared" si="202"/>
        <v>0</v>
      </c>
      <c r="N146" s="233">
        <v>0</v>
      </c>
      <c r="O146" s="233"/>
      <c r="P146" s="233"/>
      <c r="Q146" s="233"/>
      <c r="R146" s="232">
        <f t="shared" si="203"/>
        <v>0</v>
      </c>
    </row>
    <row r="147" spans="1:18" s="4" customFormat="1" ht="12" hidden="1" customHeight="1">
      <c r="A147" s="140" t="s">
        <v>133</v>
      </c>
      <c r="B147" s="124" t="s">
        <v>122</v>
      </c>
      <c r="C147" s="205">
        <v>0</v>
      </c>
      <c r="D147" s="205">
        <v>0</v>
      </c>
      <c r="E147" s="254">
        <f t="shared" ref="E147:G147" si="216">E148+E149</f>
        <v>0</v>
      </c>
      <c r="F147" s="254">
        <f t="shared" ref="F147" si="217">F148+F149</f>
        <v>0</v>
      </c>
      <c r="G147" s="254">
        <f t="shared" si="216"/>
        <v>0</v>
      </c>
      <c r="H147" s="232">
        <f t="shared" si="201"/>
        <v>0</v>
      </c>
      <c r="I147" s="254">
        <v>0</v>
      </c>
      <c r="J147" s="254">
        <f t="shared" ref="J147:L147" si="218">J148+J149</f>
        <v>0</v>
      </c>
      <c r="K147" s="254">
        <f t="shared" ref="K147" si="219">K148+K149</f>
        <v>0</v>
      </c>
      <c r="L147" s="254">
        <f t="shared" si="218"/>
        <v>0</v>
      </c>
      <c r="M147" s="232">
        <f t="shared" si="202"/>
        <v>0</v>
      </c>
      <c r="N147" s="254">
        <v>0</v>
      </c>
      <c r="O147" s="254">
        <f t="shared" ref="O147:Q147" si="220">O148+O149</f>
        <v>0</v>
      </c>
      <c r="P147" s="254">
        <f t="shared" ref="P147" si="221">P148+P149</f>
        <v>0</v>
      </c>
      <c r="Q147" s="254">
        <f t="shared" si="220"/>
        <v>0</v>
      </c>
      <c r="R147" s="232">
        <f t="shared" si="203"/>
        <v>0</v>
      </c>
    </row>
    <row r="148" spans="1:18" s="6" customFormat="1" ht="12" hidden="1" customHeight="1">
      <c r="A148" s="140">
        <v>5000</v>
      </c>
      <c r="B148" s="124" t="s">
        <v>123</v>
      </c>
      <c r="C148" s="170">
        <v>0</v>
      </c>
      <c r="D148" s="170">
        <v>0</v>
      </c>
      <c r="E148" s="244"/>
      <c r="F148" s="244"/>
      <c r="G148" s="244"/>
      <c r="H148" s="232">
        <f t="shared" si="201"/>
        <v>0</v>
      </c>
      <c r="I148" s="233">
        <v>0</v>
      </c>
      <c r="J148" s="244"/>
      <c r="K148" s="244"/>
      <c r="L148" s="244"/>
      <c r="M148" s="232">
        <f t="shared" si="202"/>
        <v>0</v>
      </c>
      <c r="N148" s="233">
        <v>0</v>
      </c>
      <c r="O148" s="244"/>
      <c r="P148" s="244"/>
      <c r="Q148" s="244"/>
      <c r="R148" s="232">
        <f t="shared" si="203"/>
        <v>0</v>
      </c>
    </row>
    <row r="149" spans="1:18" s="6" customFormat="1" ht="12" hidden="1" customHeight="1">
      <c r="A149" s="140">
        <v>9000</v>
      </c>
      <c r="B149" s="182" t="s">
        <v>164</v>
      </c>
      <c r="C149" s="170">
        <v>0</v>
      </c>
      <c r="D149" s="170">
        <v>0</v>
      </c>
      <c r="E149" s="233">
        <f t="shared" ref="E149:G149" si="222">E150+E156+E160+E163</f>
        <v>0</v>
      </c>
      <c r="F149" s="233">
        <f t="shared" ref="F149" si="223">F150+F156+F160+F163</f>
        <v>0</v>
      </c>
      <c r="G149" s="233">
        <f t="shared" si="222"/>
        <v>0</v>
      </c>
      <c r="H149" s="232">
        <f t="shared" si="201"/>
        <v>0</v>
      </c>
      <c r="I149" s="233">
        <v>0</v>
      </c>
      <c r="J149" s="233">
        <f t="shared" ref="J149:L149" si="224">J150+J156+J160+J163</f>
        <v>0</v>
      </c>
      <c r="K149" s="233">
        <f t="shared" ref="K149" si="225">K150+K156+K160+K163</f>
        <v>0</v>
      </c>
      <c r="L149" s="233">
        <f t="shared" si="224"/>
        <v>0</v>
      </c>
      <c r="M149" s="232">
        <f t="shared" si="202"/>
        <v>0</v>
      </c>
      <c r="N149" s="233">
        <v>0</v>
      </c>
      <c r="O149" s="233">
        <f t="shared" ref="O149:Q149" si="226">O150+O156+O160+O163</f>
        <v>0</v>
      </c>
      <c r="P149" s="233">
        <f t="shared" ref="P149" si="227">P150+P156+P160+P163</f>
        <v>0</v>
      </c>
      <c r="Q149" s="233">
        <f t="shared" si="226"/>
        <v>0</v>
      </c>
      <c r="R149" s="232">
        <f t="shared" si="203"/>
        <v>0</v>
      </c>
    </row>
    <row r="150" spans="1:18" s="6" customFormat="1" ht="12" hidden="1" customHeight="1">
      <c r="A150" s="141">
        <v>9100</v>
      </c>
      <c r="B150" s="179" t="s">
        <v>124</v>
      </c>
      <c r="C150" s="170">
        <v>0</v>
      </c>
      <c r="D150" s="170">
        <v>0</v>
      </c>
      <c r="E150" s="233">
        <f t="shared" ref="E150:G150" si="228">SUM(E151:E152)</f>
        <v>0</v>
      </c>
      <c r="F150" s="233">
        <f t="shared" ref="F150" si="229">SUM(F151:F152)</f>
        <v>0</v>
      </c>
      <c r="G150" s="233">
        <f t="shared" si="228"/>
        <v>0</v>
      </c>
      <c r="H150" s="232">
        <f t="shared" si="201"/>
        <v>0</v>
      </c>
      <c r="I150" s="233">
        <v>0</v>
      </c>
      <c r="J150" s="233">
        <f t="shared" ref="J150:L150" si="230">SUM(J151:J152)</f>
        <v>0</v>
      </c>
      <c r="K150" s="233">
        <f t="shared" ref="K150" si="231">SUM(K151:K152)</f>
        <v>0</v>
      </c>
      <c r="L150" s="233">
        <f t="shared" si="230"/>
        <v>0</v>
      </c>
      <c r="M150" s="232">
        <f t="shared" si="202"/>
        <v>0</v>
      </c>
      <c r="N150" s="233">
        <v>0</v>
      </c>
      <c r="O150" s="233">
        <f t="shared" ref="O150:Q150" si="232">SUM(O151:O152)</f>
        <v>0</v>
      </c>
      <c r="P150" s="233">
        <f t="shared" ref="P150" si="233">SUM(P151:P152)</f>
        <v>0</v>
      </c>
      <c r="Q150" s="233">
        <f t="shared" si="232"/>
        <v>0</v>
      </c>
      <c r="R150" s="232">
        <f t="shared" si="203"/>
        <v>0</v>
      </c>
    </row>
    <row r="151" spans="1:18" s="6" customFormat="1" ht="24" hidden="1" customHeight="1">
      <c r="A151" s="133" t="s">
        <v>125</v>
      </c>
      <c r="B151" s="179" t="s">
        <v>214</v>
      </c>
      <c r="C151" s="170">
        <v>0</v>
      </c>
      <c r="D151" s="170">
        <v>0</v>
      </c>
      <c r="E151" s="233"/>
      <c r="F151" s="233"/>
      <c r="G151" s="233"/>
      <c r="H151" s="232">
        <f t="shared" si="201"/>
        <v>0</v>
      </c>
      <c r="I151" s="233">
        <v>0</v>
      </c>
      <c r="J151" s="233"/>
      <c r="K151" s="233"/>
      <c r="L151" s="233"/>
      <c r="M151" s="232">
        <f t="shared" si="202"/>
        <v>0</v>
      </c>
      <c r="N151" s="233">
        <v>0</v>
      </c>
      <c r="O151" s="233"/>
      <c r="P151" s="233"/>
      <c r="Q151" s="233"/>
      <c r="R151" s="232">
        <f t="shared" si="203"/>
        <v>0</v>
      </c>
    </row>
    <row r="152" spans="1:18" s="6" customFormat="1" ht="24" hidden="1" customHeight="1">
      <c r="A152" s="133">
        <v>9140</v>
      </c>
      <c r="B152" s="179" t="s">
        <v>215</v>
      </c>
      <c r="C152" s="170">
        <v>0</v>
      </c>
      <c r="D152" s="170">
        <v>0</v>
      </c>
      <c r="E152" s="233">
        <f t="shared" ref="E152:G152" si="234">SUM(E153:E155)</f>
        <v>0</v>
      </c>
      <c r="F152" s="233">
        <f t="shared" ref="F152" si="235">SUM(F153:F155)</f>
        <v>0</v>
      </c>
      <c r="G152" s="233">
        <f t="shared" si="234"/>
        <v>0</v>
      </c>
      <c r="H152" s="232">
        <f t="shared" si="201"/>
        <v>0</v>
      </c>
      <c r="I152" s="233">
        <v>0</v>
      </c>
      <c r="J152" s="233">
        <f t="shared" ref="J152:L152" si="236">SUM(J153:J155)</f>
        <v>0</v>
      </c>
      <c r="K152" s="233">
        <f t="shared" ref="K152" si="237">SUM(K153:K155)</f>
        <v>0</v>
      </c>
      <c r="L152" s="233">
        <f t="shared" si="236"/>
        <v>0</v>
      </c>
      <c r="M152" s="232">
        <f t="shared" si="202"/>
        <v>0</v>
      </c>
      <c r="N152" s="233">
        <v>0</v>
      </c>
      <c r="O152" s="233">
        <f t="shared" ref="O152:Q152" si="238">SUM(O153:O155)</f>
        <v>0</v>
      </c>
      <c r="P152" s="233">
        <f t="shared" ref="P152" si="239">SUM(P153:P155)</f>
        <v>0</v>
      </c>
      <c r="Q152" s="233">
        <f t="shared" si="238"/>
        <v>0</v>
      </c>
      <c r="R152" s="232">
        <f t="shared" si="203"/>
        <v>0</v>
      </c>
    </row>
    <row r="153" spans="1:18" s="6" customFormat="1" ht="36" hidden="1" customHeight="1">
      <c r="A153" s="134">
        <v>9141</v>
      </c>
      <c r="B153" s="172" t="s">
        <v>190</v>
      </c>
      <c r="C153" s="204">
        <v>0</v>
      </c>
      <c r="D153" s="204">
        <v>0</v>
      </c>
      <c r="E153" s="252"/>
      <c r="F153" s="252"/>
      <c r="G153" s="252"/>
      <c r="H153" s="232">
        <f t="shared" si="201"/>
        <v>0</v>
      </c>
      <c r="I153" s="252">
        <v>0</v>
      </c>
      <c r="J153" s="252"/>
      <c r="K153" s="252"/>
      <c r="L153" s="252"/>
      <c r="M153" s="232">
        <f t="shared" si="202"/>
        <v>0</v>
      </c>
      <c r="N153" s="252">
        <v>0</v>
      </c>
      <c r="O153" s="252"/>
      <c r="P153" s="252"/>
      <c r="Q153" s="252"/>
      <c r="R153" s="232">
        <f t="shared" si="203"/>
        <v>0</v>
      </c>
    </row>
    <row r="154" spans="1:18" s="6" customFormat="1" ht="36" hidden="1" customHeight="1">
      <c r="A154" s="134">
        <v>9142</v>
      </c>
      <c r="B154" s="172" t="s">
        <v>191</v>
      </c>
      <c r="C154" s="204">
        <v>0</v>
      </c>
      <c r="D154" s="204">
        <v>0</v>
      </c>
      <c r="E154" s="252"/>
      <c r="F154" s="252"/>
      <c r="G154" s="252"/>
      <c r="H154" s="232">
        <f t="shared" si="201"/>
        <v>0</v>
      </c>
      <c r="I154" s="252">
        <v>0</v>
      </c>
      <c r="J154" s="252"/>
      <c r="K154" s="252"/>
      <c r="L154" s="252"/>
      <c r="M154" s="232">
        <f t="shared" si="202"/>
        <v>0</v>
      </c>
      <c r="N154" s="252">
        <v>0</v>
      </c>
      <c r="O154" s="252"/>
      <c r="P154" s="252"/>
      <c r="Q154" s="252"/>
      <c r="R154" s="232">
        <f t="shared" si="203"/>
        <v>0</v>
      </c>
    </row>
    <row r="155" spans="1:18" s="6" customFormat="1" ht="24" hidden="1" customHeight="1">
      <c r="A155" s="134">
        <v>9149</v>
      </c>
      <c r="B155" s="172" t="s">
        <v>192</v>
      </c>
      <c r="C155" s="204">
        <v>0</v>
      </c>
      <c r="D155" s="204">
        <v>0</v>
      </c>
      <c r="E155" s="252"/>
      <c r="F155" s="252"/>
      <c r="G155" s="252"/>
      <c r="H155" s="232">
        <f t="shared" si="201"/>
        <v>0</v>
      </c>
      <c r="I155" s="252">
        <v>0</v>
      </c>
      <c r="J155" s="252"/>
      <c r="K155" s="252"/>
      <c r="L155" s="252"/>
      <c r="M155" s="232">
        <f t="shared" si="202"/>
        <v>0</v>
      </c>
      <c r="N155" s="252">
        <v>0</v>
      </c>
      <c r="O155" s="252"/>
      <c r="P155" s="252"/>
      <c r="Q155" s="252"/>
      <c r="R155" s="232">
        <f t="shared" si="203"/>
        <v>0</v>
      </c>
    </row>
    <row r="156" spans="1:18" s="6" customFormat="1" ht="24" hidden="1" customHeight="1">
      <c r="A156" s="141">
        <v>9500</v>
      </c>
      <c r="B156" s="172" t="s">
        <v>165</v>
      </c>
      <c r="C156" s="170">
        <v>0</v>
      </c>
      <c r="D156" s="170">
        <v>0</v>
      </c>
      <c r="E156" s="233">
        <f t="shared" ref="E156:G156" si="240">SUM(E157:E159)</f>
        <v>0</v>
      </c>
      <c r="F156" s="233">
        <f t="shared" ref="F156" si="241">SUM(F157:F159)</f>
        <v>0</v>
      </c>
      <c r="G156" s="233">
        <f t="shared" si="240"/>
        <v>0</v>
      </c>
      <c r="H156" s="232">
        <f t="shared" si="201"/>
        <v>0</v>
      </c>
      <c r="I156" s="233">
        <v>0</v>
      </c>
      <c r="J156" s="233">
        <f t="shared" ref="J156:L156" si="242">SUM(J157:J159)</f>
        <v>0</v>
      </c>
      <c r="K156" s="233">
        <f t="shared" ref="K156" si="243">SUM(K157:K159)</f>
        <v>0</v>
      </c>
      <c r="L156" s="233">
        <f t="shared" si="242"/>
        <v>0</v>
      </c>
      <c r="M156" s="232">
        <f t="shared" si="202"/>
        <v>0</v>
      </c>
      <c r="N156" s="233">
        <v>0</v>
      </c>
      <c r="O156" s="233">
        <f t="shared" ref="O156:Q156" si="244">SUM(O157:O159)</f>
        <v>0</v>
      </c>
      <c r="P156" s="233">
        <f t="shared" ref="P156" si="245">SUM(P157:P159)</f>
        <v>0</v>
      </c>
      <c r="Q156" s="233">
        <f t="shared" si="244"/>
        <v>0</v>
      </c>
      <c r="R156" s="232">
        <f t="shared" si="203"/>
        <v>0</v>
      </c>
    </row>
    <row r="157" spans="1:18" s="6" customFormat="1" ht="24" hidden="1" customHeight="1">
      <c r="A157" s="133" t="s">
        <v>193</v>
      </c>
      <c r="B157" s="172" t="s">
        <v>171</v>
      </c>
      <c r="C157" s="170">
        <v>0</v>
      </c>
      <c r="D157" s="170">
        <v>0</v>
      </c>
      <c r="E157" s="233"/>
      <c r="F157" s="233"/>
      <c r="G157" s="233"/>
      <c r="H157" s="232">
        <f t="shared" si="201"/>
        <v>0</v>
      </c>
      <c r="I157" s="233">
        <v>0</v>
      </c>
      <c r="J157" s="233"/>
      <c r="K157" s="233"/>
      <c r="L157" s="233"/>
      <c r="M157" s="232">
        <f t="shared" si="202"/>
        <v>0</v>
      </c>
      <c r="N157" s="233">
        <v>0</v>
      </c>
      <c r="O157" s="233"/>
      <c r="P157" s="233"/>
      <c r="Q157" s="233"/>
      <c r="R157" s="232">
        <f t="shared" si="203"/>
        <v>0</v>
      </c>
    </row>
    <row r="158" spans="1:18" s="6" customFormat="1" ht="48" hidden="1" customHeight="1">
      <c r="A158" s="133">
        <v>9580</v>
      </c>
      <c r="B158" s="172" t="s">
        <v>166</v>
      </c>
      <c r="C158" s="204">
        <v>0</v>
      </c>
      <c r="D158" s="204">
        <v>0</v>
      </c>
      <c r="E158" s="252"/>
      <c r="F158" s="252"/>
      <c r="G158" s="252"/>
      <c r="H158" s="232">
        <f t="shared" si="201"/>
        <v>0</v>
      </c>
      <c r="I158" s="252">
        <v>0</v>
      </c>
      <c r="J158" s="252"/>
      <c r="K158" s="252"/>
      <c r="L158" s="252"/>
      <c r="M158" s="232">
        <f t="shared" si="202"/>
        <v>0</v>
      </c>
      <c r="N158" s="252">
        <v>0</v>
      </c>
      <c r="O158" s="252"/>
      <c r="P158" s="252"/>
      <c r="Q158" s="252"/>
      <c r="R158" s="232">
        <f t="shared" si="203"/>
        <v>0</v>
      </c>
    </row>
    <row r="159" spans="1:18" s="6" customFormat="1" ht="48" hidden="1" customHeight="1">
      <c r="A159" s="133">
        <v>9590</v>
      </c>
      <c r="B159" s="179" t="s">
        <v>172</v>
      </c>
      <c r="C159" s="204">
        <v>0</v>
      </c>
      <c r="D159" s="204">
        <v>0</v>
      </c>
      <c r="E159" s="252"/>
      <c r="F159" s="252"/>
      <c r="G159" s="252"/>
      <c r="H159" s="232">
        <f t="shared" si="201"/>
        <v>0</v>
      </c>
      <c r="I159" s="252">
        <v>0</v>
      </c>
      <c r="J159" s="252"/>
      <c r="K159" s="252"/>
      <c r="L159" s="252"/>
      <c r="M159" s="232">
        <f t="shared" si="202"/>
        <v>0</v>
      </c>
      <c r="N159" s="252">
        <v>0</v>
      </c>
      <c r="O159" s="252"/>
      <c r="P159" s="252"/>
      <c r="Q159" s="252"/>
      <c r="R159" s="232">
        <f t="shared" si="203"/>
        <v>0</v>
      </c>
    </row>
    <row r="160" spans="1:18" s="6" customFormat="1" ht="24" hidden="1" customHeight="1">
      <c r="A160" s="141">
        <v>9700</v>
      </c>
      <c r="B160" s="183" t="s">
        <v>194</v>
      </c>
      <c r="C160" s="170">
        <v>0</v>
      </c>
      <c r="D160" s="170">
        <v>0</v>
      </c>
      <c r="E160" s="233">
        <f t="shared" ref="E160:G160" si="246">SUM(E161:E162)</f>
        <v>0</v>
      </c>
      <c r="F160" s="233">
        <f t="shared" ref="F160" si="247">SUM(F161:F162)</f>
        <v>0</v>
      </c>
      <c r="G160" s="233">
        <f t="shared" si="246"/>
        <v>0</v>
      </c>
      <c r="H160" s="232">
        <f t="shared" si="201"/>
        <v>0</v>
      </c>
      <c r="I160" s="233">
        <v>0</v>
      </c>
      <c r="J160" s="233">
        <f t="shared" ref="J160:L160" si="248">SUM(J161:J162)</f>
        <v>0</v>
      </c>
      <c r="K160" s="233">
        <f t="shared" ref="K160" si="249">SUM(K161:K162)</f>
        <v>0</v>
      </c>
      <c r="L160" s="233">
        <f t="shared" si="248"/>
        <v>0</v>
      </c>
      <c r="M160" s="232">
        <f t="shared" si="202"/>
        <v>0</v>
      </c>
      <c r="N160" s="233">
        <v>0</v>
      </c>
      <c r="O160" s="233">
        <f t="shared" ref="O160:Q160" si="250">SUM(O161:O162)</f>
        <v>0</v>
      </c>
      <c r="P160" s="233">
        <f t="shared" ref="P160" si="251">SUM(P161:P162)</f>
        <v>0</v>
      </c>
      <c r="Q160" s="233">
        <f t="shared" si="250"/>
        <v>0</v>
      </c>
      <c r="R160" s="232">
        <f t="shared" si="203"/>
        <v>0</v>
      </c>
    </row>
    <row r="161" spans="1:18" s="6" customFormat="1" ht="24" hidden="1" customHeight="1">
      <c r="A161" s="133">
        <v>9710</v>
      </c>
      <c r="B161" s="184" t="s">
        <v>195</v>
      </c>
      <c r="C161" s="204">
        <v>0</v>
      </c>
      <c r="D161" s="204">
        <v>0</v>
      </c>
      <c r="E161" s="252"/>
      <c r="F161" s="252"/>
      <c r="G161" s="252"/>
      <c r="H161" s="232">
        <f t="shared" si="201"/>
        <v>0</v>
      </c>
      <c r="I161" s="252">
        <v>0</v>
      </c>
      <c r="J161" s="252"/>
      <c r="K161" s="252"/>
      <c r="L161" s="252"/>
      <c r="M161" s="232">
        <f t="shared" si="202"/>
        <v>0</v>
      </c>
      <c r="N161" s="252">
        <v>0</v>
      </c>
      <c r="O161" s="252"/>
      <c r="P161" s="252"/>
      <c r="Q161" s="252"/>
      <c r="R161" s="232">
        <f t="shared" si="203"/>
        <v>0</v>
      </c>
    </row>
    <row r="162" spans="1:18" s="6" customFormat="1" ht="48" hidden="1" customHeight="1">
      <c r="A162" s="142">
        <v>9720</v>
      </c>
      <c r="B162" s="183" t="s">
        <v>196</v>
      </c>
      <c r="C162" s="204">
        <v>0</v>
      </c>
      <c r="D162" s="204">
        <v>0</v>
      </c>
      <c r="E162" s="252"/>
      <c r="F162" s="252"/>
      <c r="G162" s="252"/>
      <c r="H162" s="232">
        <f t="shared" si="201"/>
        <v>0</v>
      </c>
      <c r="I162" s="252">
        <v>0</v>
      </c>
      <c r="J162" s="252"/>
      <c r="K162" s="252"/>
      <c r="L162" s="252"/>
      <c r="M162" s="232">
        <f t="shared" si="202"/>
        <v>0</v>
      </c>
      <c r="N162" s="252">
        <v>0</v>
      </c>
      <c r="O162" s="252"/>
      <c r="P162" s="252"/>
      <c r="Q162" s="252"/>
      <c r="R162" s="232">
        <f t="shared" si="203"/>
        <v>0</v>
      </c>
    </row>
    <row r="163" spans="1:18" s="6" customFormat="1" ht="24" hidden="1" customHeight="1">
      <c r="A163" s="141">
        <v>9600</v>
      </c>
      <c r="B163" s="179" t="s">
        <v>134</v>
      </c>
      <c r="C163" s="204">
        <v>0</v>
      </c>
      <c r="D163" s="204">
        <v>0</v>
      </c>
      <c r="E163" s="252"/>
      <c r="F163" s="252"/>
      <c r="G163" s="252"/>
      <c r="H163" s="232">
        <f t="shared" si="201"/>
        <v>0</v>
      </c>
      <c r="I163" s="252">
        <v>0</v>
      </c>
      <c r="J163" s="252"/>
      <c r="K163" s="252"/>
      <c r="L163" s="252"/>
      <c r="M163" s="232">
        <f t="shared" si="202"/>
        <v>0</v>
      </c>
      <c r="N163" s="252">
        <v>0</v>
      </c>
      <c r="O163" s="252"/>
      <c r="P163" s="252"/>
      <c r="Q163" s="252"/>
      <c r="R163" s="232">
        <f t="shared" si="203"/>
        <v>0</v>
      </c>
    </row>
    <row r="164" spans="1:18" s="6" customFormat="1" ht="52.5" hidden="1" customHeight="1">
      <c r="A164" s="130" t="s">
        <v>197</v>
      </c>
      <c r="B164" s="185" t="s">
        <v>47</v>
      </c>
      <c r="C164" s="206">
        <v>0</v>
      </c>
      <c r="D164" s="206">
        <v>0</v>
      </c>
      <c r="E164" s="262">
        <f t="shared" ref="E164:G164" si="252">E94-E119</f>
        <v>0</v>
      </c>
      <c r="F164" s="262">
        <f t="shared" ref="F164" si="253">F94-F119</f>
        <v>0</v>
      </c>
      <c r="G164" s="262">
        <f t="shared" si="252"/>
        <v>0</v>
      </c>
      <c r="H164" s="232">
        <f t="shared" si="201"/>
        <v>0</v>
      </c>
      <c r="I164" s="262">
        <v>0</v>
      </c>
      <c r="J164" s="262">
        <f t="shared" ref="J164:L164" si="254">J94-J119</f>
        <v>0</v>
      </c>
      <c r="K164" s="262">
        <f t="shared" ref="K164" si="255">K94-K119</f>
        <v>0</v>
      </c>
      <c r="L164" s="262">
        <f t="shared" si="254"/>
        <v>0</v>
      </c>
      <c r="M164" s="232">
        <f t="shared" si="202"/>
        <v>0</v>
      </c>
      <c r="N164" s="262">
        <v>0</v>
      </c>
      <c r="O164" s="262">
        <f t="shared" ref="O164:Q164" si="256">O94-O119</f>
        <v>0</v>
      </c>
      <c r="P164" s="262">
        <f t="shared" ref="P164" si="257">P94-P119</f>
        <v>0</v>
      </c>
      <c r="Q164" s="262">
        <f t="shared" si="256"/>
        <v>0</v>
      </c>
      <c r="R164" s="232">
        <f t="shared" si="203"/>
        <v>0</v>
      </c>
    </row>
    <row r="165" spans="1:18" s="6" customFormat="1" ht="12" hidden="1" customHeight="1">
      <c r="A165" s="143" t="s">
        <v>48</v>
      </c>
      <c r="B165" s="185" t="s">
        <v>49</v>
      </c>
      <c r="C165" s="206">
        <v>0</v>
      </c>
      <c r="D165" s="206">
        <v>0</v>
      </c>
      <c r="E165" s="262">
        <f t="shared" ref="E165:G165" si="258">E166+E169+E173+E172</f>
        <v>0</v>
      </c>
      <c r="F165" s="262">
        <f t="shared" ref="F165" si="259">F166+F169+F173+F172</f>
        <v>0</v>
      </c>
      <c r="G165" s="262">
        <f t="shared" si="258"/>
        <v>0</v>
      </c>
      <c r="H165" s="232">
        <f t="shared" si="201"/>
        <v>0</v>
      </c>
      <c r="I165" s="262">
        <v>0</v>
      </c>
      <c r="J165" s="262">
        <f t="shared" ref="J165:L165" si="260">J166+J169+J173+J172</f>
        <v>0</v>
      </c>
      <c r="K165" s="262">
        <f t="shared" ref="K165" si="261">K166+K169+K173+K172</f>
        <v>0</v>
      </c>
      <c r="L165" s="262">
        <f t="shared" si="260"/>
        <v>0</v>
      </c>
      <c r="M165" s="232">
        <f t="shared" si="202"/>
        <v>0</v>
      </c>
      <c r="N165" s="262">
        <v>0</v>
      </c>
      <c r="O165" s="262">
        <f t="shared" ref="O165:Q165" si="262">O166+O169+O173+O172</f>
        <v>0</v>
      </c>
      <c r="P165" s="262">
        <f t="shared" ref="P165" si="263">P166+P169+P173+P172</f>
        <v>0</v>
      </c>
      <c r="Q165" s="262">
        <f t="shared" si="262"/>
        <v>0</v>
      </c>
      <c r="R165" s="232">
        <f t="shared" si="203"/>
        <v>0</v>
      </c>
    </row>
    <row r="166" spans="1:18" s="6" customFormat="1" ht="12" hidden="1" customHeight="1">
      <c r="A166" s="141" t="s">
        <v>50</v>
      </c>
      <c r="B166" s="179" t="s">
        <v>51</v>
      </c>
      <c r="C166" s="98">
        <v>0</v>
      </c>
      <c r="D166" s="98">
        <v>0</v>
      </c>
      <c r="E166" s="231">
        <f t="shared" ref="E166:G166" si="264">E167+E168</f>
        <v>0</v>
      </c>
      <c r="F166" s="231">
        <f t="shared" ref="F166" si="265">F167+F168</f>
        <v>0</v>
      </c>
      <c r="G166" s="231">
        <f t="shared" si="264"/>
        <v>0</v>
      </c>
      <c r="H166" s="232">
        <f t="shared" si="201"/>
        <v>0</v>
      </c>
      <c r="I166" s="231">
        <v>0</v>
      </c>
      <c r="J166" s="231">
        <f t="shared" ref="J166:L166" si="266">J167+J168</f>
        <v>0</v>
      </c>
      <c r="K166" s="231">
        <f t="shared" ref="K166" si="267">K167+K168</f>
        <v>0</v>
      </c>
      <c r="L166" s="231">
        <f t="shared" si="266"/>
        <v>0</v>
      </c>
      <c r="M166" s="232">
        <f t="shared" si="202"/>
        <v>0</v>
      </c>
      <c r="N166" s="231">
        <v>0</v>
      </c>
      <c r="O166" s="231">
        <f t="shared" ref="O166:Q166" si="268">O167+O168</f>
        <v>0</v>
      </c>
      <c r="P166" s="231">
        <f t="shared" ref="P166" si="269">P167+P168</f>
        <v>0</v>
      </c>
      <c r="Q166" s="231">
        <f t="shared" si="268"/>
        <v>0</v>
      </c>
      <c r="R166" s="232">
        <f t="shared" si="203"/>
        <v>0</v>
      </c>
    </row>
    <row r="167" spans="1:18" s="6" customFormat="1" ht="12" hidden="1" customHeight="1">
      <c r="A167" s="141" t="s">
        <v>52</v>
      </c>
      <c r="B167" s="179" t="s">
        <v>53</v>
      </c>
      <c r="C167" s="98">
        <v>0</v>
      </c>
      <c r="D167" s="98">
        <v>0</v>
      </c>
      <c r="E167" s="231"/>
      <c r="F167" s="231"/>
      <c r="G167" s="231"/>
      <c r="H167" s="232">
        <f t="shared" si="201"/>
        <v>0</v>
      </c>
      <c r="I167" s="231">
        <v>0</v>
      </c>
      <c r="J167" s="231"/>
      <c r="K167" s="231"/>
      <c r="L167" s="231"/>
      <c r="M167" s="232">
        <f t="shared" si="202"/>
        <v>0</v>
      </c>
      <c r="N167" s="231">
        <v>0</v>
      </c>
      <c r="O167" s="231"/>
      <c r="P167" s="231"/>
      <c r="Q167" s="231"/>
      <c r="R167" s="232">
        <f t="shared" si="203"/>
        <v>0</v>
      </c>
    </row>
    <row r="168" spans="1:18" s="6" customFormat="1" ht="12" hidden="1" customHeight="1">
      <c r="A168" s="141" t="s">
        <v>54</v>
      </c>
      <c r="B168" s="179" t="s">
        <v>55</v>
      </c>
      <c r="C168" s="98">
        <v>0</v>
      </c>
      <c r="D168" s="98">
        <v>0</v>
      </c>
      <c r="E168" s="231"/>
      <c r="F168" s="231"/>
      <c r="G168" s="231"/>
      <c r="H168" s="232">
        <f t="shared" si="201"/>
        <v>0</v>
      </c>
      <c r="I168" s="231">
        <v>0</v>
      </c>
      <c r="J168" s="231"/>
      <c r="K168" s="231"/>
      <c r="L168" s="231"/>
      <c r="M168" s="232">
        <f t="shared" si="202"/>
        <v>0</v>
      </c>
      <c r="N168" s="231">
        <v>0</v>
      </c>
      <c r="O168" s="231"/>
      <c r="P168" s="231"/>
      <c r="Q168" s="231"/>
      <c r="R168" s="232">
        <f t="shared" si="203"/>
        <v>0</v>
      </c>
    </row>
    <row r="169" spans="1:18" s="6" customFormat="1" ht="12" hidden="1" customHeight="1">
      <c r="A169" s="141" t="s">
        <v>56</v>
      </c>
      <c r="B169" s="179" t="s">
        <v>57</v>
      </c>
      <c r="C169" s="98">
        <v>0</v>
      </c>
      <c r="D169" s="98">
        <v>0</v>
      </c>
      <c r="E169" s="231">
        <f t="shared" ref="E169:G169" si="270">E170+E171</f>
        <v>0</v>
      </c>
      <c r="F169" s="231">
        <f t="shared" ref="F169" si="271">F170+F171</f>
        <v>0</v>
      </c>
      <c r="G169" s="231">
        <f t="shared" si="270"/>
        <v>0</v>
      </c>
      <c r="H169" s="232">
        <f t="shared" si="201"/>
        <v>0</v>
      </c>
      <c r="I169" s="231">
        <v>0</v>
      </c>
      <c r="J169" s="231">
        <f t="shared" ref="J169:L169" si="272">J170+J171</f>
        <v>0</v>
      </c>
      <c r="K169" s="231">
        <f t="shared" ref="K169" si="273">K170+K171</f>
        <v>0</v>
      </c>
      <c r="L169" s="231">
        <f t="shared" si="272"/>
        <v>0</v>
      </c>
      <c r="M169" s="232">
        <f t="shared" si="202"/>
        <v>0</v>
      </c>
      <c r="N169" s="231">
        <v>0</v>
      </c>
      <c r="O169" s="231">
        <f t="shared" ref="O169:Q169" si="274">O170+O171</f>
        <v>0</v>
      </c>
      <c r="P169" s="231">
        <f t="shared" ref="P169" si="275">P170+P171</f>
        <v>0</v>
      </c>
      <c r="Q169" s="231">
        <f t="shared" si="274"/>
        <v>0</v>
      </c>
      <c r="R169" s="232">
        <f t="shared" si="203"/>
        <v>0</v>
      </c>
    </row>
    <row r="170" spans="1:18" s="6" customFormat="1" ht="12" hidden="1" customHeight="1">
      <c r="A170" s="141" t="s">
        <v>58</v>
      </c>
      <c r="B170" s="179" t="s">
        <v>59</v>
      </c>
      <c r="C170" s="98">
        <v>0</v>
      </c>
      <c r="D170" s="98">
        <v>0</v>
      </c>
      <c r="E170" s="231"/>
      <c r="F170" s="231"/>
      <c r="G170" s="231"/>
      <c r="H170" s="232">
        <f t="shared" si="201"/>
        <v>0</v>
      </c>
      <c r="I170" s="231">
        <v>0</v>
      </c>
      <c r="J170" s="231"/>
      <c r="K170" s="231"/>
      <c r="L170" s="231"/>
      <c r="M170" s="232">
        <f t="shared" si="202"/>
        <v>0</v>
      </c>
      <c r="N170" s="231">
        <v>0</v>
      </c>
      <c r="O170" s="231"/>
      <c r="P170" s="231"/>
      <c r="Q170" s="231"/>
      <c r="R170" s="232">
        <f t="shared" si="203"/>
        <v>0</v>
      </c>
    </row>
    <row r="171" spans="1:18" s="6" customFormat="1" ht="12" hidden="1" customHeight="1">
      <c r="A171" s="141" t="s">
        <v>60</v>
      </c>
      <c r="B171" s="179" t="s">
        <v>61</v>
      </c>
      <c r="C171" s="98">
        <v>0</v>
      </c>
      <c r="D171" s="98">
        <v>0</v>
      </c>
      <c r="E171" s="231"/>
      <c r="F171" s="231"/>
      <c r="G171" s="231"/>
      <c r="H171" s="232">
        <f t="shared" si="201"/>
        <v>0</v>
      </c>
      <c r="I171" s="231">
        <v>0</v>
      </c>
      <c r="J171" s="231"/>
      <c r="K171" s="231"/>
      <c r="L171" s="231"/>
      <c r="M171" s="232">
        <f t="shared" si="202"/>
        <v>0</v>
      </c>
      <c r="N171" s="231">
        <v>0</v>
      </c>
      <c r="O171" s="231"/>
      <c r="P171" s="231"/>
      <c r="Q171" s="231"/>
      <c r="R171" s="232">
        <f t="shared" si="203"/>
        <v>0</v>
      </c>
    </row>
    <row r="172" spans="1:18" s="6" customFormat="1" ht="12" hidden="1" customHeight="1">
      <c r="A172" s="141" t="s">
        <v>198</v>
      </c>
      <c r="B172" s="187" t="s">
        <v>168</v>
      </c>
      <c r="C172" s="98">
        <v>0</v>
      </c>
      <c r="D172" s="98">
        <v>0</v>
      </c>
      <c r="E172" s="231"/>
      <c r="F172" s="231"/>
      <c r="G172" s="231"/>
      <c r="H172" s="232">
        <f t="shared" si="201"/>
        <v>0</v>
      </c>
      <c r="I172" s="231">
        <v>0</v>
      </c>
      <c r="J172" s="231"/>
      <c r="K172" s="231"/>
      <c r="L172" s="231"/>
      <c r="M172" s="232">
        <f t="shared" si="202"/>
        <v>0</v>
      </c>
      <c r="N172" s="231">
        <v>0</v>
      </c>
      <c r="O172" s="231"/>
      <c r="P172" s="231"/>
      <c r="Q172" s="231"/>
      <c r="R172" s="232">
        <f t="shared" si="203"/>
        <v>0</v>
      </c>
    </row>
    <row r="173" spans="1:18" s="6" customFormat="1" ht="12" hidden="1" customHeight="1">
      <c r="A173" s="144" t="s">
        <v>62</v>
      </c>
      <c r="B173" s="125" t="s">
        <v>63</v>
      </c>
      <c r="C173" s="170">
        <v>0</v>
      </c>
      <c r="D173" s="170">
        <v>0</v>
      </c>
      <c r="E173" s="233">
        <f t="shared" ref="E173:G173" si="276">E174+E175+E176</f>
        <v>0</v>
      </c>
      <c r="F173" s="233">
        <f t="shared" ref="F173" si="277">F174+F175+F176</f>
        <v>0</v>
      </c>
      <c r="G173" s="233">
        <f t="shared" si="276"/>
        <v>0</v>
      </c>
      <c r="H173" s="232">
        <f t="shared" si="201"/>
        <v>0</v>
      </c>
      <c r="I173" s="233">
        <v>0</v>
      </c>
      <c r="J173" s="233">
        <f t="shared" ref="J173:L173" si="278">J174+J175+J176</f>
        <v>0</v>
      </c>
      <c r="K173" s="233">
        <f t="shared" ref="K173" si="279">K174+K175+K176</f>
        <v>0</v>
      </c>
      <c r="L173" s="233">
        <f t="shared" si="278"/>
        <v>0</v>
      </c>
      <c r="M173" s="232">
        <f t="shared" si="202"/>
        <v>0</v>
      </c>
      <c r="N173" s="233">
        <v>0</v>
      </c>
      <c r="O173" s="233">
        <f t="shared" ref="O173:Q173" si="280">O174+O175+O176</f>
        <v>0</v>
      </c>
      <c r="P173" s="233">
        <f t="shared" ref="P173" si="281">P174+P175+P176</f>
        <v>0</v>
      </c>
      <c r="Q173" s="233">
        <f t="shared" si="280"/>
        <v>0</v>
      </c>
      <c r="R173" s="232">
        <f t="shared" si="203"/>
        <v>0</v>
      </c>
    </row>
    <row r="174" spans="1:18" s="6" customFormat="1" ht="36" hidden="1" customHeight="1">
      <c r="A174" s="144" t="s">
        <v>64</v>
      </c>
      <c r="B174" s="179" t="s">
        <v>65</v>
      </c>
      <c r="C174" s="98">
        <v>0</v>
      </c>
      <c r="D174" s="98">
        <v>0</v>
      </c>
      <c r="E174" s="231"/>
      <c r="F174" s="231"/>
      <c r="G174" s="231"/>
      <c r="H174" s="232">
        <f t="shared" si="201"/>
        <v>0</v>
      </c>
      <c r="I174" s="231">
        <v>0</v>
      </c>
      <c r="J174" s="231"/>
      <c r="K174" s="231"/>
      <c r="L174" s="231"/>
      <c r="M174" s="232">
        <f t="shared" si="202"/>
        <v>0</v>
      </c>
      <c r="N174" s="231">
        <v>0</v>
      </c>
      <c r="O174" s="231"/>
      <c r="P174" s="231"/>
      <c r="Q174" s="231"/>
      <c r="R174" s="232">
        <f t="shared" si="203"/>
        <v>0</v>
      </c>
    </row>
    <row r="175" spans="1:18" s="6" customFormat="1" ht="36" hidden="1" customHeight="1">
      <c r="A175" s="144" t="s">
        <v>66</v>
      </c>
      <c r="B175" s="179" t="s">
        <v>67</v>
      </c>
      <c r="C175" s="98">
        <v>0</v>
      </c>
      <c r="D175" s="98">
        <v>0</v>
      </c>
      <c r="E175" s="231"/>
      <c r="F175" s="231"/>
      <c r="G175" s="231"/>
      <c r="H175" s="232">
        <f t="shared" si="201"/>
        <v>0</v>
      </c>
      <c r="I175" s="231">
        <v>0</v>
      </c>
      <c r="J175" s="231"/>
      <c r="K175" s="231"/>
      <c r="L175" s="231"/>
      <c r="M175" s="232">
        <f t="shared" si="202"/>
        <v>0</v>
      </c>
      <c r="N175" s="231">
        <v>0</v>
      </c>
      <c r="O175" s="231"/>
      <c r="P175" s="231"/>
      <c r="Q175" s="231"/>
      <c r="R175" s="232">
        <f t="shared" si="203"/>
        <v>0</v>
      </c>
    </row>
    <row r="176" spans="1:18" s="6" customFormat="1" ht="24" hidden="1" customHeight="1">
      <c r="A176" s="144" t="s">
        <v>68</v>
      </c>
      <c r="B176" s="125" t="s">
        <v>69</v>
      </c>
      <c r="C176" s="98">
        <v>0</v>
      </c>
      <c r="D176" s="98">
        <v>0</v>
      </c>
      <c r="E176" s="231"/>
      <c r="F176" s="231"/>
      <c r="G176" s="231"/>
      <c r="H176" s="232">
        <f t="shared" si="201"/>
        <v>0</v>
      </c>
      <c r="I176" s="231">
        <v>0</v>
      </c>
      <c r="J176" s="231"/>
      <c r="K176" s="231"/>
      <c r="L176" s="231"/>
      <c r="M176" s="232">
        <f t="shared" si="202"/>
        <v>0</v>
      </c>
      <c r="N176" s="231">
        <v>0</v>
      </c>
      <c r="O176" s="231"/>
      <c r="P176" s="231"/>
      <c r="Q176" s="231"/>
      <c r="R176" s="232">
        <f t="shared" si="203"/>
        <v>0</v>
      </c>
    </row>
    <row r="177" spans="1:18" s="6" customFormat="1" ht="34.200000000000003">
      <c r="A177" s="145"/>
      <c r="B177" s="188" t="s">
        <v>200</v>
      </c>
      <c r="C177" s="207"/>
      <c r="D177" s="190">
        <v>0</v>
      </c>
      <c r="E177" s="268"/>
      <c r="F177" s="268"/>
      <c r="G177" s="268"/>
      <c r="H177" s="269">
        <f t="shared" si="201"/>
        <v>0</v>
      </c>
      <c r="I177" s="347">
        <v>0</v>
      </c>
      <c r="J177" s="268"/>
      <c r="K177" s="268"/>
      <c r="L177" s="268"/>
      <c r="M177" s="269">
        <f t="shared" si="202"/>
        <v>0</v>
      </c>
      <c r="N177" s="347">
        <v>0</v>
      </c>
      <c r="O177" s="268"/>
      <c r="P177" s="268"/>
      <c r="Q177" s="268"/>
      <c r="R177" s="269">
        <f t="shared" si="203"/>
        <v>0</v>
      </c>
    </row>
    <row r="178" spans="1:18" s="6" customFormat="1" ht="20.399999999999999">
      <c r="A178" s="129" t="s">
        <v>201</v>
      </c>
      <c r="B178" s="123" t="s">
        <v>88</v>
      </c>
      <c r="C178" s="200">
        <v>88840065</v>
      </c>
      <c r="D178" s="200">
        <v>101607432</v>
      </c>
      <c r="E178" s="228">
        <f t="shared" ref="E178:G178" si="282">E179+E180+E182+E200</f>
        <v>-10231389</v>
      </c>
      <c r="F178" s="228">
        <f t="shared" ref="F178" si="283">F179+F180+F182+F200</f>
        <v>0</v>
      </c>
      <c r="G178" s="228">
        <f t="shared" si="282"/>
        <v>-7331031</v>
      </c>
      <c r="H178" s="229">
        <f t="shared" si="201"/>
        <v>84045012</v>
      </c>
      <c r="I178" s="228">
        <v>671449449</v>
      </c>
      <c r="J178" s="228">
        <f t="shared" ref="J178:L178" si="284">J179+J180+J182+J200</f>
        <v>-21817097</v>
      </c>
      <c r="K178" s="228">
        <f t="shared" ref="K178" si="285">K179+K180+K182+K200</f>
        <v>0</v>
      </c>
      <c r="L178" s="228">
        <f t="shared" si="284"/>
        <v>-20383069</v>
      </c>
      <c r="M178" s="229">
        <f t="shared" si="202"/>
        <v>629249283</v>
      </c>
      <c r="N178" s="228">
        <v>743308943</v>
      </c>
      <c r="O178" s="228">
        <f t="shared" ref="O178:Q178" si="286">O179+O180+O182+O200</f>
        <v>-5707882</v>
      </c>
      <c r="P178" s="228">
        <f t="shared" ref="P178" si="287">P179+P180+P182+P200</f>
        <v>0</v>
      </c>
      <c r="Q178" s="228">
        <f t="shared" si="286"/>
        <v>-39405634</v>
      </c>
      <c r="R178" s="229">
        <f t="shared" si="203"/>
        <v>698195427</v>
      </c>
    </row>
    <row r="179" spans="1:18" s="6" customFormat="1" ht="24" hidden="1" customHeight="1">
      <c r="A179" s="130" t="s">
        <v>177</v>
      </c>
      <c r="B179" s="124" t="s">
        <v>90</v>
      </c>
      <c r="C179" s="98"/>
      <c r="D179" s="98">
        <v>0</v>
      </c>
      <c r="E179" s="231"/>
      <c r="F179" s="231"/>
      <c r="G179" s="231"/>
      <c r="H179" s="232">
        <f t="shared" si="201"/>
        <v>0</v>
      </c>
      <c r="I179" s="231">
        <v>0</v>
      </c>
      <c r="J179" s="231"/>
      <c r="K179" s="231"/>
      <c r="L179" s="231"/>
      <c r="M179" s="232">
        <f t="shared" si="202"/>
        <v>0</v>
      </c>
      <c r="N179" s="231">
        <v>0</v>
      </c>
      <c r="O179" s="231"/>
      <c r="P179" s="231"/>
      <c r="Q179" s="231"/>
      <c r="R179" s="232">
        <f t="shared" si="203"/>
        <v>0</v>
      </c>
    </row>
    <row r="180" spans="1:18" s="6" customFormat="1" ht="12" hidden="1" customHeight="1">
      <c r="A180" s="130" t="s">
        <v>91</v>
      </c>
      <c r="B180" s="124" t="s">
        <v>92</v>
      </c>
      <c r="C180" s="98"/>
      <c r="D180" s="98">
        <v>0</v>
      </c>
      <c r="E180" s="231"/>
      <c r="F180" s="231"/>
      <c r="G180" s="231"/>
      <c r="H180" s="232">
        <f t="shared" si="201"/>
        <v>0</v>
      </c>
      <c r="I180" s="231">
        <v>0</v>
      </c>
      <c r="J180" s="231"/>
      <c r="K180" s="231"/>
      <c r="L180" s="231"/>
      <c r="M180" s="232">
        <f t="shared" si="202"/>
        <v>0</v>
      </c>
      <c r="N180" s="231">
        <v>0</v>
      </c>
      <c r="O180" s="231"/>
      <c r="P180" s="231"/>
      <c r="Q180" s="231"/>
      <c r="R180" s="232">
        <f t="shared" si="203"/>
        <v>0</v>
      </c>
    </row>
    <row r="181" spans="1:18" s="29" customFormat="1" ht="24" hidden="1" customHeight="1">
      <c r="A181" s="131">
        <v>21210</v>
      </c>
      <c r="B181" s="125" t="s">
        <v>93</v>
      </c>
      <c r="C181" s="98"/>
      <c r="D181" s="98">
        <v>0</v>
      </c>
      <c r="E181" s="231"/>
      <c r="F181" s="231"/>
      <c r="G181" s="231"/>
      <c r="H181" s="232">
        <f t="shared" si="201"/>
        <v>0</v>
      </c>
      <c r="I181" s="231">
        <v>0</v>
      </c>
      <c r="J181" s="231"/>
      <c r="K181" s="231"/>
      <c r="L181" s="231"/>
      <c r="M181" s="232">
        <f t="shared" si="202"/>
        <v>0</v>
      </c>
      <c r="N181" s="231">
        <v>0</v>
      </c>
      <c r="O181" s="231"/>
      <c r="P181" s="231"/>
      <c r="Q181" s="231"/>
      <c r="R181" s="232">
        <f t="shared" si="203"/>
        <v>0</v>
      </c>
    </row>
    <row r="182" spans="1:18" s="89" customFormat="1" ht="21" hidden="1" customHeight="1">
      <c r="A182" s="130" t="s">
        <v>178</v>
      </c>
      <c r="B182" s="124" t="s">
        <v>94</v>
      </c>
      <c r="C182" s="170">
        <v>0</v>
      </c>
      <c r="D182" s="170">
        <v>0</v>
      </c>
      <c r="E182" s="233">
        <f t="shared" ref="E182:G182" si="288">E183+E189</f>
        <v>0</v>
      </c>
      <c r="F182" s="233">
        <f t="shared" ref="F182" si="289">F183+F189</f>
        <v>0</v>
      </c>
      <c r="G182" s="233">
        <f t="shared" si="288"/>
        <v>0</v>
      </c>
      <c r="H182" s="232">
        <f t="shared" si="201"/>
        <v>0</v>
      </c>
      <c r="I182" s="233">
        <v>0</v>
      </c>
      <c r="J182" s="233">
        <f t="shared" ref="J182:L182" si="290">J183+J189</f>
        <v>0</v>
      </c>
      <c r="K182" s="233">
        <f t="shared" ref="K182" si="291">K183+K189</f>
        <v>0</v>
      </c>
      <c r="L182" s="233">
        <f t="shared" si="290"/>
        <v>0</v>
      </c>
      <c r="M182" s="232">
        <f t="shared" si="202"/>
        <v>0</v>
      </c>
      <c r="N182" s="233">
        <v>0</v>
      </c>
      <c r="O182" s="233">
        <f t="shared" ref="O182:Q182" si="292">O183+O189</f>
        <v>0</v>
      </c>
      <c r="P182" s="233">
        <f t="shared" ref="P182" si="293">P183+P189</f>
        <v>0</v>
      </c>
      <c r="Q182" s="233">
        <f t="shared" si="292"/>
        <v>0</v>
      </c>
      <c r="R182" s="232">
        <f t="shared" si="203"/>
        <v>0</v>
      </c>
    </row>
    <row r="183" spans="1:18" s="89" customFormat="1" ht="12" hidden="1" customHeight="1">
      <c r="A183" s="132">
        <v>18000</v>
      </c>
      <c r="B183" s="125" t="s">
        <v>95</v>
      </c>
      <c r="C183" s="170">
        <v>0</v>
      </c>
      <c r="D183" s="170">
        <v>0</v>
      </c>
      <c r="E183" s="233">
        <f t="shared" ref="E183:L184" si="294">E184</f>
        <v>0</v>
      </c>
      <c r="F183" s="233">
        <f t="shared" si="294"/>
        <v>0</v>
      </c>
      <c r="G183" s="233">
        <f t="shared" si="294"/>
        <v>0</v>
      </c>
      <c r="H183" s="232">
        <f t="shared" si="201"/>
        <v>0</v>
      </c>
      <c r="I183" s="233">
        <v>0</v>
      </c>
      <c r="J183" s="233">
        <f t="shared" si="294"/>
        <v>0</v>
      </c>
      <c r="K183" s="233">
        <f t="shared" si="294"/>
        <v>0</v>
      </c>
      <c r="L183" s="233">
        <f t="shared" si="294"/>
        <v>0</v>
      </c>
      <c r="M183" s="232">
        <f t="shared" si="202"/>
        <v>0</v>
      </c>
      <c r="N183" s="233">
        <v>0</v>
      </c>
      <c r="O183" s="233">
        <f t="shared" ref="O183:Q184" si="295">O184</f>
        <v>0</v>
      </c>
      <c r="P183" s="233">
        <f t="shared" si="295"/>
        <v>0</v>
      </c>
      <c r="Q183" s="233">
        <f t="shared" si="295"/>
        <v>0</v>
      </c>
      <c r="R183" s="232">
        <f t="shared" si="203"/>
        <v>0</v>
      </c>
    </row>
    <row r="184" spans="1:18" s="89" customFormat="1" ht="12" hidden="1" customHeight="1">
      <c r="A184" s="132">
        <v>18100</v>
      </c>
      <c r="B184" s="125" t="s">
        <v>96</v>
      </c>
      <c r="C184" s="170">
        <v>0</v>
      </c>
      <c r="D184" s="170">
        <v>0</v>
      </c>
      <c r="E184" s="233">
        <f t="shared" si="294"/>
        <v>0</v>
      </c>
      <c r="F184" s="233">
        <f t="shared" si="294"/>
        <v>0</v>
      </c>
      <c r="G184" s="233">
        <f t="shared" si="294"/>
        <v>0</v>
      </c>
      <c r="H184" s="232">
        <f t="shared" si="201"/>
        <v>0</v>
      </c>
      <c r="I184" s="233">
        <v>0</v>
      </c>
      <c r="J184" s="233">
        <f t="shared" si="294"/>
        <v>0</v>
      </c>
      <c r="K184" s="233">
        <f t="shared" si="294"/>
        <v>0</v>
      </c>
      <c r="L184" s="233">
        <f t="shared" si="294"/>
        <v>0</v>
      </c>
      <c r="M184" s="232">
        <f t="shared" si="202"/>
        <v>0</v>
      </c>
      <c r="N184" s="233">
        <v>0</v>
      </c>
      <c r="O184" s="233">
        <f t="shared" si="295"/>
        <v>0</v>
      </c>
      <c r="P184" s="233">
        <f t="shared" si="295"/>
        <v>0</v>
      </c>
      <c r="Q184" s="233">
        <f t="shared" si="295"/>
        <v>0</v>
      </c>
      <c r="R184" s="232">
        <f t="shared" si="203"/>
        <v>0</v>
      </c>
    </row>
    <row r="185" spans="1:18" s="89" customFormat="1" ht="24" hidden="1" customHeight="1">
      <c r="A185" s="133">
        <v>18130</v>
      </c>
      <c r="B185" s="172" t="s">
        <v>159</v>
      </c>
      <c r="C185" s="170">
        <v>0</v>
      </c>
      <c r="D185" s="170">
        <v>0</v>
      </c>
      <c r="E185" s="233">
        <f t="shared" ref="E185:G185" si="296">SUM(E186:E188)</f>
        <v>0</v>
      </c>
      <c r="F185" s="233">
        <f t="shared" ref="F185" si="297">SUM(F186:F188)</f>
        <v>0</v>
      </c>
      <c r="G185" s="233">
        <f t="shared" si="296"/>
        <v>0</v>
      </c>
      <c r="H185" s="232">
        <f t="shared" si="201"/>
        <v>0</v>
      </c>
      <c r="I185" s="233">
        <v>0</v>
      </c>
      <c r="J185" s="233">
        <f t="shared" ref="J185:L185" si="298">SUM(J186:J188)</f>
        <v>0</v>
      </c>
      <c r="K185" s="233">
        <f t="shared" ref="K185" si="299">SUM(K186:K188)</f>
        <v>0</v>
      </c>
      <c r="L185" s="233">
        <f t="shared" si="298"/>
        <v>0</v>
      </c>
      <c r="M185" s="232">
        <f t="shared" si="202"/>
        <v>0</v>
      </c>
      <c r="N185" s="233">
        <v>0</v>
      </c>
      <c r="O185" s="233">
        <f t="shared" ref="O185:Q185" si="300">SUM(O186:O188)</f>
        <v>0</v>
      </c>
      <c r="P185" s="233">
        <f t="shared" ref="P185" si="301">SUM(P186:P188)</f>
        <v>0</v>
      </c>
      <c r="Q185" s="233">
        <f t="shared" si="300"/>
        <v>0</v>
      </c>
      <c r="R185" s="232">
        <f t="shared" si="203"/>
        <v>0</v>
      </c>
    </row>
    <row r="186" spans="1:18" s="89" customFormat="1" ht="36" hidden="1" customHeight="1">
      <c r="A186" s="134">
        <v>18131</v>
      </c>
      <c r="B186" s="172" t="s">
        <v>160</v>
      </c>
      <c r="C186" s="170"/>
      <c r="D186" s="170">
        <v>0</v>
      </c>
      <c r="E186" s="233"/>
      <c r="F186" s="233"/>
      <c r="G186" s="233"/>
      <c r="H186" s="232">
        <f t="shared" si="201"/>
        <v>0</v>
      </c>
      <c r="I186" s="233">
        <v>0</v>
      </c>
      <c r="J186" s="233"/>
      <c r="K186" s="233"/>
      <c r="L186" s="233"/>
      <c r="M186" s="232">
        <f t="shared" si="202"/>
        <v>0</v>
      </c>
      <c r="N186" s="233">
        <v>0</v>
      </c>
      <c r="O186" s="233"/>
      <c r="P186" s="233"/>
      <c r="Q186" s="233"/>
      <c r="R186" s="232">
        <f t="shared" si="203"/>
        <v>0</v>
      </c>
    </row>
    <row r="187" spans="1:18" s="89" customFormat="1" ht="24" hidden="1" customHeight="1">
      <c r="A187" s="134">
        <v>18132</v>
      </c>
      <c r="B187" s="172" t="s">
        <v>169</v>
      </c>
      <c r="C187" s="170"/>
      <c r="D187" s="170">
        <v>0</v>
      </c>
      <c r="E187" s="233"/>
      <c r="F187" s="233"/>
      <c r="G187" s="233"/>
      <c r="H187" s="232">
        <f t="shared" si="201"/>
        <v>0</v>
      </c>
      <c r="I187" s="233">
        <v>0</v>
      </c>
      <c r="J187" s="233"/>
      <c r="K187" s="233"/>
      <c r="L187" s="233"/>
      <c r="M187" s="232">
        <f t="shared" si="202"/>
        <v>0</v>
      </c>
      <c r="N187" s="233">
        <v>0</v>
      </c>
      <c r="O187" s="233"/>
      <c r="P187" s="233"/>
      <c r="Q187" s="233"/>
      <c r="R187" s="232">
        <f t="shared" si="203"/>
        <v>0</v>
      </c>
    </row>
    <row r="188" spans="1:18" s="89" customFormat="1" ht="24" hidden="1" customHeight="1">
      <c r="A188" s="134">
        <v>18139</v>
      </c>
      <c r="B188" s="172" t="s">
        <v>179</v>
      </c>
      <c r="C188" s="170"/>
      <c r="D188" s="170">
        <v>0</v>
      </c>
      <c r="E188" s="233"/>
      <c r="F188" s="233"/>
      <c r="G188" s="233"/>
      <c r="H188" s="232">
        <f t="shared" si="201"/>
        <v>0</v>
      </c>
      <c r="I188" s="233">
        <v>0</v>
      </c>
      <c r="J188" s="233"/>
      <c r="K188" s="233"/>
      <c r="L188" s="233"/>
      <c r="M188" s="232">
        <f t="shared" si="202"/>
        <v>0</v>
      </c>
      <c r="N188" s="233">
        <v>0</v>
      </c>
      <c r="O188" s="233"/>
      <c r="P188" s="233"/>
      <c r="Q188" s="233"/>
      <c r="R188" s="232">
        <f t="shared" si="203"/>
        <v>0</v>
      </c>
    </row>
    <row r="189" spans="1:18" s="89" customFormat="1" ht="12" hidden="1" customHeight="1">
      <c r="A189" s="135" t="s">
        <v>180</v>
      </c>
      <c r="B189" s="173" t="s">
        <v>173</v>
      </c>
      <c r="C189" s="201">
        <v>0</v>
      </c>
      <c r="D189" s="201">
        <v>0</v>
      </c>
      <c r="E189" s="238">
        <f t="shared" ref="E189:L189" si="302">E190</f>
        <v>0</v>
      </c>
      <c r="F189" s="238">
        <f t="shared" si="302"/>
        <v>0</v>
      </c>
      <c r="G189" s="238">
        <f t="shared" si="302"/>
        <v>0</v>
      </c>
      <c r="H189" s="232">
        <f t="shared" si="201"/>
        <v>0</v>
      </c>
      <c r="I189" s="238">
        <v>0</v>
      </c>
      <c r="J189" s="238">
        <f t="shared" si="302"/>
        <v>0</v>
      </c>
      <c r="K189" s="238">
        <f t="shared" si="302"/>
        <v>0</v>
      </c>
      <c r="L189" s="238">
        <f t="shared" si="302"/>
        <v>0</v>
      </c>
      <c r="M189" s="232">
        <f t="shared" si="202"/>
        <v>0</v>
      </c>
      <c r="N189" s="238">
        <v>0</v>
      </c>
      <c r="O189" s="238">
        <f t="shared" ref="O189:Q189" si="303">O190</f>
        <v>0</v>
      </c>
      <c r="P189" s="238">
        <f t="shared" si="303"/>
        <v>0</v>
      </c>
      <c r="Q189" s="238">
        <f t="shared" si="303"/>
        <v>0</v>
      </c>
      <c r="R189" s="232">
        <f t="shared" si="203"/>
        <v>0</v>
      </c>
    </row>
    <row r="190" spans="1:18" s="89" customFormat="1" ht="24" hidden="1" customHeight="1">
      <c r="A190" s="135">
        <v>19500</v>
      </c>
      <c r="B190" s="172" t="s">
        <v>174</v>
      </c>
      <c r="C190" s="170">
        <v>0</v>
      </c>
      <c r="D190" s="170">
        <v>0</v>
      </c>
      <c r="E190" s="233">
        <f t="shared" ref="E190:G190" si="304">SUM(E191:E193)</f>
        <v>0</v>
      </c>
      <c r="F190" s="233">
        <f t="shared" ref="F190" si="305">SUM(F191:F193)</f>
        <v>0</v>
      </c>
      <c r="G190" s="233">
        <f t="shared" si="304"/>
        <v>0</v>
      </c>
      <c r="H190" s="232">
        <f t="shared" si="201"/>
        <v>0</v>
      </c>
      <c r="I190" s="233">
        <v>0</v>
      </c>
      <c r="J190" s="233">
        <f t="shared" ref="J190:L190" si="306">SUM(J191:J193)</f>
        <v>0</v>
      </c>
      <c r="K190" s="233">
        <f t="shared" ref="K190" si="307">SUM(K191:K193)</f>
        <v>0</v>
      </c>
      <c r="L190" s="233">
        <f t="shared" si="306"/>
        <v>0</v>
      </c>
      <c r="M190" s="232">
        <f t="shared" si="202"/>
        <v>0</v>
      </c>
      <c r="N190" s="233">
        <v>0</v>
      </c>
      <c r="O190" s="233">
        <f t="shared" ref="O190:Q190" si="308">SUM(O191:O193)</f>
        <v>0</v>
      </c>
      <c r="P190" s="233">
        <f t="shared" ref="P190" si="309">SUM(P191:P193)</f>
        <v>0</v>
      </c>
      <c r="Q190" s="233">
        <f t="shared" si="308"/>
        <v>0</v>
      </c>
      <c r="R190" s="232">
        <f t="shared" si="203"/>
        <v>0</v>
      </c>
    </row>
    <row r="191" spans="1:18" s="89" customFormat="1" ht="24" hidden="1" customHeight="1">
      <c r="A191" s="136">
        <v>19550</v>
      </c>
      <c r="B191" s="172" t="s">
        <v>175</v>
      </c>
      <c r="C191" s="170"/>
      <c r="D191" s="170">
        <v>0</v>
      </c>
      <c r="E191" s="233"/>
      <c r="F191" s="233"/>
      <c r="G191" s="233"/>
      <c r="H191" s="232">
        <f t="shared" si="201"/>
        <v>0</v>
      </c>
      <c r="I191" s="233">
        <v>0</v>
      </c>
      <c r="J191" s="233"/>
      <c r="K191" s="233"/>
      <c r="L191" s="233"/>
      <c r="M191" s="232">
        <f t="shared" si="202"/>
        <v>0</v>
      </c>
      <c r="N191" s="233">
        <v>0</v>
      </c>
      <c r="O191" s="233"/>
      <c r="P191" s="233"/>
      <c r="Q191" s="233"/>
      <c r="R191" s="232">
        <f t="shared" si="203"/>
        <v>0</v>
      </c>
    </row>
    <row r="192" spans="1:18" s="89" customFormat="1" ht="36" hidden="1" customHeight="1">
      <c r="A192" s="136">
        <v>19560</v>
      </c>
      <c r="B192" s="172" t="s">
        <v>181</v>
      </c>
      <c r="C192" s="170"/>
      <c r="D192" s="170">
        <v>0</v>
      </c>
      <c r="E192" s="233"/>
      <c r="F192" s="233"/>
      <c r="G192" s="233"/>
      <c r="H192" s="232">
        <f t="shared" si="201"/>
        <v>0</v>
      </c>
      <c r="I192" s="233">
        <v>0</v>
      </c>
      <c r="J192" s="233"/>
      <c r="K192" s="233"/>
      <c r="L192" s="233"/>
      <c r="M192" s="232">
        <f t="shared" si="202"/>
        <v>0</v>
      </c>
      <c r="N192" s="233">
        <v>0</v>
      </c>
      <c r="O192" s="233"/>
      <c r="P192" s="233"/>
      <c r="Q192" s="233"/>
      <c r="R192" s="232">
        <f t="shared" si="203"/>
        <v>0</v>
      </c>
    </row>
    <row r="193" spans="1:18" s="89" customFormat="1" ht="72" hidden="1" customHeight="1">
      <c r="A193" s="136">
        <v>19570</v>
      </c>
      <c r="B193" s="172" t="s">
        <v>182</v>
      </c>
      <c r="C193" s="170"/>
      <c r="D193" s="170">
        <v>0</v>
      </c>
      <c r="E193" s="233"/>
      <c r="F193" s="233"/>
      <c r="G193" s="233"/>
      <c r="H193" s="232">
        <f t="shared" si="201"/>
        <v>0</v>
      </c>
      <c r="I193" s="233">
        <v>0</v>
      </c>
      <c r="J193" s="233"/>
      <c r="K193" s="233"/>
      <c r="L193" s="233"/>
      <c r="M193" s="232">
        <f t="shared" si="202"/>
        <v>0</v>
      </c>
      <c r="N193" s="233">
        <v>0</v>
      </c>
      <c r="O193" s="233"/>
      <c r="P193" s="233"/>
      <c r="Q193" s="233"/>
      <c r="R193" s="232">
        <f t="shared" si="203"/>
        <v>0</v>
      </c>
    </row>
    <row r="194" spans="1:18" s="6" customFormat="1" ht="36" hidden="1" customHeight="1">
      <c r="A194" s="209" t="s">
        <v>222</v>
      </c>
      <c r="B194" s="208" t="s">
        <v>216</v>
      </c>
      <c r="C194" s="106">
        <f>C195</f>
        <v>0</v>
      </c>
      <c r="D194" s="106">
        <v>0</v>
      </c>
      <c r="E194" s="232">
        <f t="shared" ref="E194:L194" si="310">E195</f>
        <v>0</v>
      </c>
      <c r="F194" s="232">
        <f t="shared" si="310"/>
        <v>0</v>
      </c>
      <c r="G194" s="232">
        <f t="shared" si="310"/>
        <v>0</v>
      </c>
      <c r="H194" s="232">
        <f t="shared" si="201"/>
        <v>0</v>
      </c>
      <c r="I194" s="233">
        <v>0</v>
      </c>
      <c r="J194" s="232">
        <f t="shared" si="310"/>
        <v>0</v>
      </c>
      <c r="K194" s="232">
        <f t="shared" si="310"/>
        <v>0</v>
      </c>
      <c r="L194" s="232">
        <f t="shared" si="310"/>
        <v>0</v>
      </c>
      <c r="M194" s="232">
        <f t="shared" si="202"/>
        <v>0</v>
      </c>
      <c r="N194" s="233">
        <v>0</v>
      </c>
      <c r="O194" s="232">
        <f t="shared" ref="O194:Q194" si="311">O195</f>
        <v>0</v>
      </c>
      <c r="P194" s="232">
        <f t="shared" si="311"/>
        <v>0</v>
      </c>
      <c r="Q194" s="232">
        <f t="shared" si="311"/>
        <v>0</v>
      </c>
      <c r="R194" s="232">
        <f t="shared" si="203"/>
        <v>0</v>
      </c>
    </row>
    <row r="195" spans="1:18" s="6" customFormat="1" ht="36" hidden="1" customHeight="1">
      <c r="A195" s="209">
        <v>17100</v>
      </c>
      <c r="B195" s="208" t="s">
        <v>217</v>
      </c>
      <c r="C195" s="106">
        <f>SUM(C196:C199)</f>
        <v>0</v>
      </c>
      <c r="D195" s="106">
        <v>0</v>
      </c>
      <c r="E195" s="232">
        <f t="shared" ref="E195:G195" si="312">SUM(E196:E199)</f>
        <v>0</v>
      </c>
      <c r="F195" s="232">
        <f t="shared" ref="F195" si="313">SUM(F196:F199)</f>
        <v>0</v>
      </c>
      <c r="G195" s="232">
        <f t="shared" si="312"/>
        <v>0</v>
      </c>
      <c r="H195" s="232">
        <f t="shared" si="201"/>
        <v>0</v>
      </c>
      <c r="I195" s="233">
        <v>0</v>
      </c>
      <c r="J195" s="232">
        <f t="shared" ref="J195:L195" si="314">SUM(J196:J199)</f>
        <v>0</v>
      </c>
      <c r="K195" s="232">
        <f t="shared" ref="K195" si="315">SUM(K196:K199)</f>
        <v>0</v>
      </c>
      <c r="L195" s="232">
        <f t="shared" si="314"/>
        <v>0</v>
      </c>
      <c r="M195" s="232">
        <f t="shared" si="202"/>
        <v>0</v>
      </c>
      <c r="N195" s="233">
        <v>0</v>
      </c>
      <c r="O195" s="232">
        <f t="shared" ref="O195:Q195" si="316">SUM(O196:O199)</f>
        <v>0</v>
      </c>
      <c r="P195" s="232">
        <f t="shared" ref="P195" si="317">SUM(P196:P199)</f>
        <v>0</v>
      </c>
      <c r="Q195" s="232">
        <f t="shared" si="316"/>
        <v>0</v>
      </c>
      <c r="R195" s="232">
        <f t="shared" si="203"/>
        <v>0</v>
      </c>
    </row>
    <row r="196" spans="1:18" s="6" customFormat="1" ht="60" hidden="1" customHeight="1">
      <c r="A196" s="149">
        <v>17110</v>
      </c>
      <c r="B196" s="208" t="s">
        <v>218</v>
      </c>
      <c r="C196" s="106"/>
      <c r="D196" s="106">
        <v>0</v>
      </c>
      <c r="E196" s="233"/>
      <c r="F196" s="233"/>
      <c r="G196" s="233"/>
      <c r="H196" s="232">
        <f t="shared" si="201"/>
        <v>0</v>
      </c>
      <c r="I196" s="233">
        <v>0</v>
      </c>
      <c r="J196" s="233"/>
      <c r="K196" s="233"/>
      <c r="L196" s="233"/>
      <c r="M196" s="232">
        <f t="shared" si="202"/>
        <v>0</v>
      </c>
      <c r="N196" s="233">
        <v>0</v>
      </c>
      <c r="O196" s="233"/>
      <c r="P196" s="233"/>
      <c r="Q196" s="233"/>
      <c r="R196" s="232">
        <f t="shared" si="203"/>
        <v>0</v>
      </c>
    </row>
    <row r="197" spans="1:18" s="6" customFormat="1" ht="60" hidden="1" customHeight="1">
      <c r="A197" s="149">
        <v>17120</v>
      </c>
      <c r="B197" s="208" t="s">
        <v>219</v>
      </c>
      <c r="C197" s="106"/>
      <c r="D197" s="106">
        <v>0</v>
      </c>
      <c r="E197" s="233"/>
      <c r="F197" s="233"/>
      <c r="G197" s="233"/>
      <c r="H197" s="232">
        <f t="shared" si="201"/>
        <v>0</v>
      </c>
      <c r="I197" s="233">
        <v>0</v>
      </c>
      <c r="J197" s="233"/>
      <c r="K197" s="233"/>
      <c r="L197" s="233"/>
      <c r="M197" s="232">
        <f t="shared" si="202"/>
        <v>0</v>
      </c>
      <c r="N197" s="233">
        <v>0</v>
      </c>
      <c r="O197" s="233"/>
      <c r="P197" s="233"/>
      <c r="Q197" s="233"/>
      <c r="R197" s="232">
        <f t="shared" si="203"/>
        <v>0</v>
      </c>
    </row>
    <row r="198" spans="1:18" s="6" customFormat="1" ht="108" hidden="1" customHeight="1">
      <c r="A198" s="149">
        <v>17130</v>
      </c>
      <c r="B198" s="208" t="s">
        <v>220</v>
      </c>
      <c r="C198" s="106"/>
      <c r="D198" s="106">
        <v>0</v>
      </c>
      <c r="E198" s="233"/>
      <c r="F198" s="233"/>
      <c r="G198" s="233"/>
      <c r="H198" s="232">
        <f t="shared" si="201"/>
        <v>0</v>
      </c>
      <c r="I198" s="233">
        <v>0</v>
      </c>
      <c r="J198" s="233"/>
      <c r="K198" s="233"/>
      <c r="L198" s="233"/>
      <c r="M198" s="232">
        <f t="shared" si="202"/>
        <v>0</v>
      </c>
      <c r="N198" s="233">
        <v>0</v>
      </c>
      <c r="O198" s="233"/>
      <c r="P198" s="233"/>
      <c r="Q198" s="233"/>
      <c r="R198" s="232">
        <f t="shared" si="203"/>
        <v>0</v>
      </c>
    </row>
    <row r="199" spans="1:18" s="6" customFormat="1" ht="108" hidden="1" customHeight="1">
      <c r="A199" s="149">
        <v>17140</v>
      </c>
      <c r="B199" s="208" t="s">
        <v>221</v>
      </c>
      <c r="C199" s="106"/>
      <c r="D199" s="106">
        <v>0</v>
      </c>
      <c r="E199" s="233"/>
      <c r="F199" s="233"/>
      <c r="G199" s="233"/>
      <c r="H199" s="232">
        <f t="shared" si="201"/>
        <v>0</v>
      </c>
      <c r="I199" s="233">
        <v>0</v>
      </c>
      <c r="J199" s="233"/>
      <c r="K199" s="233"/>
      <c r="L199" s="233"/>
      <c r="M199" s="232">
        <f t="shared" si="202"/>
        <v>0</v>
      </c>
      <c r="N199" s="233">
        <v>0</v>
      </c>
      <c r="O199" s="233"/>
      <c r="P199" s="233"/>
      <c r="Q199" s="233"/>
      <c r="R199" s="232">
        <f t="shared" si="203"/>
        <v>0</v>
      </c>
    </row>
    <row r="200" spans="1:18" s="89" customFormat="1" ht="12">
      <c r="A200" s="137">
        <v>21700</v>
      </c>
      <c r="B200" s="124" t="s">
        <v>97</v>
      </c>
      <c r="C200" s="170">
        <v>88840065</v>
      </c>
      <c r="D200" s="170">
        <v>101607432</v>
      </c>
      <c r="E200" s="233">
        <f t="shared" ref="E200:G200" si="318">E201+E202</f>
        <v>-10231389</v>
      </c>
      <c r="F200" s="233">
        <f t="shared" ref="F200" si="319">F201+F202</f>
        <v>0</v>
      </c>
      <c r="G200" s="233">
        <f t="shared" si="318"/>
        <v>-7331031</v>
      </c>
      <c r="H200" s="232">
        <f t="shared" si="201"/>
        <v>84045012</v>
      </c>
      <c r="I200" s="233">
        <v>671449449</v>
      </c>
      <c r="J200" s="233">
        <f t="shared" ref="J200:L200" si="320">J201+J202</f>
        <v>-21817097</v>
      </c>
      <c r="K200" s="233">
        <f t="shared" ref="K200" si="321">K201+K202</f>
        <v>0</v>
      </c>
      <c r="L200" s="233">
        <f t="shared" si="320"/>
        <v>-20383069</v>
      </c>
      <c r="M200" s="232">
        <f t="shared" si="202"/>
        <v>629249283</v>
      </c>
      <c r="N200" s="233">
        <v>743308943</v>
      </c>
      <c r="O200" s="233">
        <f t="shared" ref="O200:Q200" si="322">O201+O202</f>
        <v>-5707882</v>
      </c>
      <c r="P200" s="233">
        <f t="shared" ref="P200" si="323">P201+P202</f>
        <v>0</v>
      </c>
      <c r="Q200" s="233">
        <f t="shared" si="322"/>
        <v>-39405634</v>
      </c>
      <c r="R200" s="232">
        <f t="shared" si="203"/>
        <v>698195427</v>
      </c>
    </row>
    <row r="201" spans="1:18" s="89" customFormat="1" ht="24">
      <c r="A201" s="138">
        <v>21710</v>
      </c>
      <c r="B201" s="125" t="s">
        <v>98</v>
      </c>
      <c r="C201" s="170">
        <v>88840065</v>
      </c>
      <c r="D201" s="170">
        <v>101607432</v>
      </c>
      <c r="E201" s="233">
        <f>E203</f>
        <v>-10231389</v>
      </c>
      <c r="F201" s="233"/>
      <c r="G201" s="233">
        <f>G203</f>
        <v>-7331031</v>
      </c>
      <c r="H201" s="232">
        <f t="shared" si="201"/>
        <v>84045012</v>
      </c>
      <c r="I201" s="233">
        <v>671449449</v>
      </c>
      <c r="J201" s="233">
        <f>J203</f>
        <v>-21817097</v>
      </c>
      <c r="K201" s="233"/>
      <c r="L201" s="233">
        <f>L203</f>
        <v>-20383069</v>
      </c>
      <c r="M201" s="232">
        <f t="shared" si="202"/>
        <v>629249283</v>
      </c>
      <c r="N201" s="233">
        <v>743308943</v>
      </c>
      <c r="O201" s="233">
        <f>O203</f>
        <v>-5707882</v>
      </c>
      <c r="P201" s="233"/>
      <c r="Q201" s="233">
        <f>Q203</f>
        <v>-39405634</v>
      </c>
      <c r="R201" s="232">
        <f t="shared" si="203"/>
        <v>698195427</v>
      </c>
    </row>
    <row r="202" spans="1:18" s="29" customFormat="1" ht="24" hidden="1" customHeight="1">
      <c r="A202" s="138">
        <v>21720</v>
      </c>
      <c r="B202" s="125" t="s">
        <v>99</v>
      </c>
      <c r="C202" s="170"/>
      <c r="D202" s="170">
        <v>0</v>
      </c>
      <c r="E202" s="233"/>
      <c r="F202" s="233"/>
      <c r="G202" s="233"/>
      <c r="H202" s="232">
        <f t="shared" ref="H202:H260" si="324">SUM(D202:G202)</f>
        <v>0</v>
      </c>
      <c r="I202" s="233">
        <v>0</v>
      </c>
      <c r="J202" s="233"/>
      <c r="K202" s="233"/>
      <c r="L202" s="233"/>
      <c r="M202" s="232">
        <f t="shared" ref="M202:M260" si="325">SUM(I202:L202)</f>
        <v>0</v>
      </c>
      <c r="N202" s="233">
        <v>0</v>
      </c>
      <c r="O202" s="233"/>
      <c r="P202" s="233"/>
      <c r="Q202" s="233"/>
      <c r="R202" s="232">
        <f t="shared" ref="R202:R260" si="326">SUM(N202:Q202)</f>
        <v>0</v>
      </c>
    </row>
    <row r="203" spans="1:18" s="29" customFormat="1" ht="11.4">
      <c r="A203" s="129" t="s">
        <v>100</v>
      </c>
      <c r="B203" s="123" t="s">
        <v>101</v>
      </c>
      <c r="C203" s="168">
        <v>88840065</v>
      </c>
      <c r="D203" s="168">
        <v>101607432</v>
      </c>
      <c r="E203" s="243">
        <f t="shared" ref="E203:G203" si="327">E204+E231</f>
        <v>-10231389</v>
      </c>
      <c r="F203" s="243">
        <f t="shared" ref="F203" si="328">F204+F231</f>
        <v>0</v>
      </c>
      <c r="G203" s="243">
        <f t="shared" si="327"/>
        <v>-7331031</v>
      </c>
      <c r="H203" s="270">
        <f t="shared" si="324"/>
        <v>84045012</v>
      </c>
      <c r="I203" s="243">
        <v>671449449</v>
      </c>
      <c r="J203" s="243">
        <f t="shared" ref="J203:L203" si="329">J204+J231</f>
        <v>-21817097</v>
      </c>
      <c r="K203" s="243">
        <f t="shared" ref="K203" si="330">K204+K231</f>
        <v>0</v>
      </c>
      <c r="L203" s="243">
        <f t="shared" si="329"/>
        <v>-20383069</v>
      </c>
      <c r="M203" s="270">
        <f t="shared" si="325"/>
        <v>629249283</v>
      </c>
      <c r="N203" s="243">
        <v>743308943</v>
      </c>
      <c r="O203" s="243">
        <f t="shared" ref="O203:Q203" si="331">O204+O231</f>
        <v>-5707882</v>
      </c>
      <c r="P203" s="243">
        <f t="shared" ref="P203" si="332">P204+P231</f>
        <v>0</v>
      </c>
      <c r="Q203" s="243">
        <f t="shared" si="331"/>
        <v>-39405634</v>
      </c>
      <c r="R203" s="270">
        <f t="shared" si="326"/>
        <v>698195427</v>
      </c>
    </row>
    <row r="204" spans="1:18" s="29" customFormat="1" ht="20.399999999999999">
      <c r="A204" s="130" t="s">
        <v>102</v>
      </c>
      <c r="B204" s="124" t="s">
        <v>103</v>
      </c>
      <c r="C204" s="170">
        <v>88840065</v>
      </c>
      <c r="D204" s="170">
        <v>101607432</v>
      </c>
      <c r="E204" s="233">
        <f t="shared" ref="E204:G204" si="333">E205+E209+E210+E213+E216</f>
        <v>-10231389</v>
      </c>
      <c r="F204" s="233">
        <f t="shared" ref="F204" si="334">F205+F209+F210+F213+F216</f>
        <v>0</v>
      </c>
      <c r="G204" s="233">
        <f t="shared" si="333"/>
        <v>-7331031</v>
      </c>
      <c r="H204" s="232">
        <f t="shared" si="324"/>
        <v>84045012</v>
      </c>
      <c r="I204" s="233">
        <v>671449449</v>
      </c>
      <c r="J204" s="233">
        <f t="shared" ref="J204:L204" si="335">J205+J209+J210+J213+J216</f>
        <v>-21817097</v>
      </c>
      <c r="K204" s="233">
        <f t="shared" ref="K204" si="336">K205+K209+K210+K213+K216</f>
        <v>0</v>
      </c>
      <c r="L204" s="233">
        <f t="shared" si="335"/>
        <v>-20383069</v>
      </c>
      <c r="M204" s="232">
        <f t="shared" si="325"/>
        <v>629249283</v>
      </c>
      <c r="N204" s="233">
        <v>743308943</v>
      </c>
      <c r="O204" s="233">
        <f t="shared" ref="O204:Q204" si="337">O205+O209+O210+O213+O216</f>
        <v>-5707882</v>
      </c>
      <c r="P204" s="233">
        <f t="shared" ref="P204" si="338">P205+P209+P210+P213+P216</f>
        <v>0</v>
      </c>
      <c r="Q204" s="233">
        <f t="shared" si="337"/>
        <v>-39405634</v>
      </c>
      <c r="R204" s="232">
        <f t="shared" si="326"/>
        <v>698195427</v>
      </c>
    </row>
    <row r="205" spans="1:18" s="29" customFormat="1" ht="12" hidden="1" customHeight="1">
      <c r="A205" s="130" t="s">
        <v>104</v>
      </c>
      <c r="B205" s="124" t="s">
        <v>105</v>
      </c>
      <c r="C205" s="170">
        <v>0</v>
      </c>
      <c r="D205" s="170">
        <v>0</v>
      </c>
      <c r="E205" s="233">
        <f t="shared" ref="E205:G205" si="339">E206+E208</f>
        <v>0</v>
      </c>
      <c r="F205" s="233">
        <f t="shared" ref="F205" si="340">F206+F208</f>
        <v>0</v>
      </c>
      <c r="G205" s="233">
        <f t="shared" si="339"/>
        <v>0</v>
      </c>
      <c r="H205" s="232">
        <f t="shared" si="324"/>
        <v>0</v>
      </c>
      <c r="I205" s="233">
        <v>0</v>
      </c>
      <c r="J205" s="233">
        <f t="shared" ref="J205:L205" si="341">J206+J208</f>
        <v>0</v>
      </c>
      <c r="K205" s="233">
        <f t="shared" ref="K205" si="342">K206+K208</f>
        <v>0</v>
      </c>
      <c r="L205" s="233">
        <f t="shared" si="341"/>
        <v>0</v>
      </c>
      <c r="M205" s="232">
        <f t="shared" si="325"/>
        <v>0</v>
      </c>
      <c r="N205" s="233">
        <v>0</v>
      </c>
      <c r="O205" s="233">
        <f t="shared" ref="O205:Q205" si="343">O206+O208</f>
        <v>0</v>
      </c>
      <c r="P205" s="233">
        <f t="shared" ref="P205" si="344">P206+P208</f>
        <v>0</v>
      </c>
      <c r="Q205" s="233">
        <f t="shared" si="343"/>
        <v>0</v>
      </c>
      <c r="R205" s="232">
        <f t="shared" si="326"/>
        <v>0</v>
      </c>
    </row>
    <row r="206" spans="1:18" s="29" customFormat="1" ht="12" hidden="1" customHeight="1">
      <c r="A206" s="132">
        <v>1000</v>
      </c>
      <c r="B206" s="125" t="s">
        <v>106</v>
      </c>
      <c r="C206" s="170"/>
      <c r="D206" s="170">
        <v>0</v>
      </c>
      <c r="E206" s="244"/>
      <c r="F206" s="244"/>
      <c r="G206" s="244"/>
      <c r="H206" s="232">
        <f t="shared" si="324"/>
        <v>0</v>
      </c>
      <c r="I206" s="233">
        <v>0</v>
      </c>
      <c r="J206" s="244"/>
      <c r="K206" s="244"/>
      <c r="L206" s="244"/>
      <c r="M206" s="232">
        <f t="shared" si="325"/>
        <v>0</v>
      </c>
      <c r="N206" s="233">
        <v>0</v>
      </c>
      <c r="O206" s="244"/>
      <c r="P206" s="244"/>
      <c r="Q206" s="244"/>
      <c r="R206" s="232">
        <f t="shared" si="326"/>
        <v>0</v>
      </c>
    </row>
    <row r="207" spans="1:18" s="29" customFormat="1" ht="12" hidden="1" customHeight="1">
      <c r="A207" s="139">
        <v>1100</v>
      </c>
      <c r="B207" s="125" t="s">
        <v>107</v>
      </c>
      <c r="C207" s="170"/>
      <c r="D207" s="170">
        <v>0</v>
      </c>
      <c r="E207" s="244"/>
      <c r="F207" s="244"/>
      <c r="G207" s="244"/>
      <c r="H207" s="232">
        <f t="shared" si="324"/>
        <v>0</v>
      </c>
      <c r="I207" s="233">
        <v>0</v>
      </c>
      <c r="J207" s="244"/>
      <c r="K207" s="244"/>
      <c r="L207" s="244"/>
      <c r="M207" s="232">
        <f t="shared" si="325"/>
        <v>0</v>
      </c>
      <c r="N207" s="233">
        <v>0</v>
      </c>
      <c r="O207" s="244"/>
      <c r="P207" s="244"/>
      <c r="Q207" s="244"/>
      <c r="R207" s="232">
        <f t="shared" si="326"/>
        <v>0</v>
      </c>
    </row>
    <row r="208" spans="1:18" s="29" customFormat="1" ht="12" hidden="1" customHeight="1">
      <c r="A208" s="132">
        <v>2000</v>
      </c>
      <c r="B208" s="125" t="s">
        <v>108</v>
      </c>
      <c r="C208" s="170"/>
      <c r="D208" s="170">
        <v>0</v>
      </c>
      <c r="E208" s="244"/>
      <c r="F208" s="244"/>
      <c r="G208" s="244"/>
      <c r="H208" s="232">
        <f t="shared" si="324"/>
        <v>0</v>
      </c>
      <c r="I208" s="233">
        <v>0</v>
      </c>
      <c r="J208" s="244"/>
      <c r="K208" s="244"/>
      <c r="L208" s="244"/>
      <c r="M208" s="232">
        <f t="shared" si="325"/>
        <v>0</v>
      </c>
      <c r="N208" s="233">
        <v>0</v>
      </c>
      <c r="O208" s="244"/>
      <c r="P208" s="244"/>
      <c r="Q208" s="244"/>
      <c r="R208" s="232">
        <f t="shared" si="326"/>
        <v>0</v>
      </c>
    </row>
    <row r="209" spans="1:18" s="29" customFormat="1" ht="12" hidden="1" customHeight="1">
      <c r="A209" s="140">
        <v>4000</v>
      </c>
      <c r="B209" s="124" t="s">
        <v>132</v>
      </c>
      <c r="C209" s="170"/>
      <c r="D209" s="170">
        <v>0</v>
      </c>
      <c r="E209" s="244"/>
      <c r="F209" s="244"/>
      <c r="G209" s="244"/>
      <c r="H209" s="232">
        <f t="shared" si="324"/>
        <v>0</v>
      </c>
      <c r="I209" s="233">
        <v>0</v>
      </c>
      <c r="J209" s="244"/>
      <c r="K209" s="244"/>
      <c r="L209" s="244"/>
      <c r="M209" s="232">
        <f t="shared" si="325"/>
        <v>0</v>
      </c>
      <c r="N209" s="233">
        <v>0</v>
      </c>
      <c r="O209" s="244"/>
      <c r="P209" s="244"/>
      <c r="Q209" s="244"/>
      <c r="R209" s="232">
        <f t="shared" si="326"/>
        <v>0</v>
      </c>
    </row>
    <row r="210" spans="1:18" s="29" customFormat="1" ht="12">
      <c r="A210" s="140" t="s">
        <v>109</v>
      </c>
      <c r="B210" s="124" t="s">
        <v>110</v>
      </c>
      <c r="C210" s="170">
        <v>88840065</v>
      </c>
      <c r="D210" s="170">
        <v>101607432</v>
      </c>
      <c r="E210" s="233">
        <f t="shared" ref="E210:G210" si="345">E211+E212</f>
        <v>-10231389</v>
      </c>
      <c r="F210" s="233">
        <f t="shared" ref="F210" si="346">F211+F212</f>
        <v>0</v>
      </c>
      <c r="G210" s="233">
        <f t="shared" si="345"/>
        <v>-7331031</v>
      </c>
      <c r="H210" s="232">
        <f t="shared" si="324"/>
        <v>84045012</v>
      </c>
      <c r="I210" s="233">
        <v>671449449</v>
      </c>
      <c r="J210" s="233">
        <f t="shared" ref="J210:L210" si="347">J211+J212</f>
        <v>-21817097</v>
      </c>
      <c r="K210" s="233">
        <f t="shared" ref="K210" si="348">K211+K212</f>
        <v>0</v>
      </c>
      <c r="L210" s="233">
        <f t="shared" si="347"/>
        <v>-20383069</v>
      </c>
      <c r="M210" s="232">
        <f t="shared" si="325"/>
        <v>629249283</v>
      </c>
      <c r="N210" s="233">
        <v>743308943</v>
      </c>
      <c r="O210" s="233">
        <f t="shared" ref="O210:Q210" si="349">O211+O212</f>
        <v>-5707882</v>
      </c>
      <c r="P210" s="233">
        <f t="shared" ref="P210" si="350">P211+P212</f>
        <v>0</v>
      </c>
      <c r="Q210" s="233">
        <f t="shared" si="349"/>
        <v>-39405634</v>
      </c>
      <c r="R210" s="232">
        <f t="shared" si="326"/>
        <v>698195427</v>
      </c>
    </row>
    <row r="211" spans="1:18" s="29" customFormat="1" ht="12">
      <c r="A211" s="132">
        <v>3000</v>
      </c>
      <c r="B211" s="125" t="s">
        <v>111</v>
      </c>
      <c r="C211" s="202">
        <v>88840065</v>
      </c>
      <c r="D211" s="202">
        <v>101607432</v>
      </c>
      <c r="E211" s="345">
        <f>E276</f>
        <v>-10231389</v>
      </c>
      <c r="F211" s="246"/>
      <c r="G211" s="345">
        <f>G271</f>
        <v>-7331031</v>
      </c>
      <c r="H211" s="232">
        <f t="shared" si="324"/>
        <v>84045012</v>
      </c>
      <c r="I211" s="345">
        <v>671449449</v>
      </c>
      <c r="J211" s="345">
        <f>J276</f>
        <v>-21817097</v>
      </c>
      <c r="K211" s="345"/>
      <c r="L211" s="345">
        <f>L271</f>
        <v>-20383069</v>
      </c>
      <c r="M211" s="232">
        <f t="shared" si="325"/>
        <v>629249283</v>
      </c>
      <c r="N211" s="345">
        <v>743308943</v>
      </c>
      <c r="O211" s="345">
        <f>O276</f>
        <v>-5707882</v>
      </c>
      <c r="P211" s="246"/>
      <c r="Q211" s="345">
        <f>Q271</f>
        <v>-39405634</v>
      </c>
      <c r="R211" s="232">
        <f t="shared" si="326"/>
        <v>698195427</v>
      </c>
    </row>
    <row r="212" spans="1:18" s="29" customFormat="1" ht="12" hidden="1" customHeight="1">
      <c r="A212" s="132">
        <v>6000</v>
      </c>
      <c r="B212" s="125" t="s">
        <v>112</v>
      </c>
      <c r="C212" s="203"/>
      <c r="D212" s="203">
        <v>0</v>
      </c>
      <c r="E212" s="248"/>
      <c r="F212" s="248"/>
      <c r="G212" s="248"/>
      <c r="H212" s="232">
        <f t="shared" si="324"/>
        <v>0</v>
      </c>
      <c r="I212" s="346">
        <v>0</v>
      </c>
      <c r="J212" s="248"/>
      <c r="K212" s="248"/>
      <c r="L212" s="248"/>
      <c r="M212" s="232">
        <f t="shared" si="325"/>
        <v>0</v>
      </c>
      <c r="N212" s="346">
        <v>0</v>
      </c>
      <c r="O212" s="248"/>
      <c r="P212" s="248"/>
      <c r="Q212" s="248"/>
      <c r="R212" s="232">
        <f t="shared" si="326"/>
        <v>0</v>
      </c>
    </row>
    <row r="213" spans="1:18" s="29" customFormat="1" ht="24" hidden="1" customHeight="1">
      <c r="A213" s="140" t="s">
        <v>113</v>
      </c>
      <c r="B213" s="124" t="s">
        <v>183</v>
      </c>
      <c r="C213" s="170">
        <v>0</v>
      </c>
      <c r="D213" s="170">
        <v>0</v>
      </c>
      <c r="E213" s="233">
        <f t="shared" ref="E213:G213" si="351">E214+E215</f>
        <v>0</v>
      </c>
      <c r="F213" s="233">
        <f t="shared" ref="F213" si="352">F214+F215</f>
        <v>0</v>
      </c>
      <c r="G213" s="233">
        <f t="shared" si="351"/>
        <v>0</v>
      </c>
      <c r="H213" s="232">
        <f t="shared" si="324"/>
        <v>0</v>
      </c>
      <c r="I213" s="233">
        <v>0</v>
      </c>
      <c r="J213" s="233">
        <f t="shared" ref="J213:L213" si="353">J214+J215</f>
        <v>0</v>
      </c>
      <c r="K213" s="233">
        <f t="shared" ref="K213" si="354">K214+K215</f>
        <v>0</v>
      </c>
      <c r="L213" s="233">
        <f t="shared" si="353"/>
        <v>0</v>
      </c>
      <c r="M213" s="232">
        <f t="shared" si="325"/>
        <v>0</v>
      </c>
      <c r="N213" s="233">
        <v>0</v>
      </c>
      <c r="O213" s="233">
        <f t="shared" ref="O213:Q213" si="355">O214+O215</f>
        <v>0</v>
      </c>
      <c r="P213" s="233">
        <f t="shared" ref="P213" si="356">P214+P215</f>
        <v>0</v>
      </c>
      <c r="Q213" s="233">
        <f t="shared" si="355"/>
        <v>0</v>
      </c>
      <c r="R213" s="232">
        <f t="shared" si="326"/>
        <v>0</v>
      </c>
    </row>
    <row r="214" spans="1:18" s="29" customFormat="1" ht="12" hidden="1" customHeight="1">
      <c r="A214" s="132">
        <v>7600</v>
      </c>
      <c r="B214" s="179" t="s">
        <v>184</v>
      </c>
      <c r="C214" s="170"/>
      <c r="D214" s="170">
        <v>0</v>
      </c>
      <c r="E214" s="244"/>
      <c r="F214" s="244"/>
      <c r="G214" s="244"/>
      <c r="H214" s="232">
        <f t="shared" si="324"/>
        <v>0</v>
      </c>
      <c r="I214" s="233">
        <v>0</v>
      </c>
      <c r="J214" s="244"/>
      <c r="K214" s="244"/>
      <c r="L214" s="244"/>
      <c r="M214" s="232">
        <f t="shared" si="325"/>
        <v>0</v>
      </c>
      <c r="N214" s="233">
        <v>0</v>
      </c>
      <c r="O214" s="244"/>
      <c r="P214" s="244"/>
      <c r="Q214" s="244"/>
      <c r="R214" s="232">
        <f t="shared" si="326"/>
        <v>0</v>
      </c>
    </row>
    <row r="215" spans="1:18" s="29" customFormat="1" ht="12" hidden="1" customHeight="1">
      <c r="A215" s="132">
        <v>7700</v>
      </c>
      <c r="B215" s="126" t="s">
        <v>114</v>
      </c>
      <c r="C215" s="170"/>
      <c r="D215" s="170">
        <v>0</v>
      </c>
      <c r="E215" s="244"/>
      <c r="F215" s="244"/>
      <c r="G215" s="244"/>
      <c r="H215" s="232">
        <f t="shared" si="324"/>
        <v>0</v>
      </c>
      <c r="I215" s="233">
        <v>0</v>
      </c>
      <c r="J215" s="244"/>
      <c r="K215" s="244"/>
      <c r="L215" s="244"/>
      <c r="M215" s="232">
        <f t="shared" si="325"/>
        <v>0</v>
      </c>
      <c r="N215" s="233">
        <v>0</v>
      </c>
      <c r="O215" s="244"/>
      <c r="P215" s="244"/>
      <c r="Q215" s="244"/>
      <c r="R215" s="232">
        <f t="shared" si="326"/>
        <v>0</v>
      </c>
    </row>
    <row r="216" spans="1:18" s="29" customFormat="1" ht="21" hidden="1" customHeight="1">
      <c r="A216" s="140" t="s">
        <v>185</v>
      </c>
      <c r="B216" s="124" t="s">
        <v>115</v>
      </c>
      <c r="C216" s="170">
        <v>0</v>
      </c>
      <c r="D216" s="170">
        <v>0</v>
      </c>
      <c r="E216" s="233">
        <f t="shared" ref="E216:G216" si="357">E217+E223+E227+E230</f>
        <v>0</v>
      </c>
      <c r="F216" s="233">
        <f t="shared" ref="F216" si="358">F217+F223+F227+F230</f>
        <v>0</v>
      </c>
      <c r="G216" s="233">
        <f t="shared" si="357"/>
        <v>0</v>
      </c>
      <c r="H216" s="232">
        <f t="shared" si="324"/>
        <v>0</v>
      </c>
      <c r="I216" s="233">
        <v>0</v>
      </c>
      <c r="J216" s="233">
        <f t="shared" ref="J216:L216" si="359">J217+J223+J227+J230</f>
        <v>0</v>
      </c>
      <c r="K216" s="233">
        <f t="shared" ref="K216" si="360">K217+K223+K227+K230</f>
        <v>0</v>
      </c>
      <c r="L216" s="233">
        <f t="shared" si="359"/>
        <v>0</v>
      </c>
      <c r="M216" s="232">
        <f t="shared" si="325"/>
        <v>0</v>
      </c>
      <c r="N216" s="233">
        <v>0</v>
      </c>
      <c r="O216" s="233">
        <f t="shared" ref="O216:Q216" si="361">O217+O223+O227+O230</f>
        <v>0</v>
      </c>
      <c r="P216" s="233">
        <f t="shared" ref="P216" si="362">P217+P223+P227+P230</f>
        <v>0</v>
      </c>
      <c r="Q216" s="233">
        <f t="shared" si="361"/>
        <v>0</v>
      </c>
      <c r="R216" s="232">
        <f t="shared" si="326"/>
        <v>0</v>
      </c>
    </row>
    <row r="217" spans="1:18" s="29" customFormat="1" ht="12" hidden="1" customHeight="1">
      <c r="A217" s="132">
        <v>7100</v>
      </c>
      <c r="B217" s="179" t="s">
        <v>116</v>
      </c>
      <c r="C217" s="170">
        <v>0</v>
      </c>
      <c r="D217" s="170">
        <v>0</v>
      </c>
      <c r="E217" s="233">
        <f t="shared" ref="E217:G217" si="363">E218+E219</f>
        <v>0</v>
      </c>
      <c r="F217" s="233">
        <f t="shared" ref="F217" si="364">F218+F219</f>
        <v>0</v>
      </c>
      <c r="G217" s="233">
        <f t="shared" si="363"/>
        <v>0</v>
      </c>
      <c r="H217" s="232">
        <f t="shared" si="324"/>
        <v>0</v>
      </c>
      <c r="I217" s="233">
        <v>0</v>
      </c>
      <c r="J217" s="233">
        <f t="shared" ref="J217:L217" si="365">J218+J219</f>
        <v>0</v>
      </c>
      <c r="K217" s="233">
        <f t="shared" ref="K217" si="366">K218+K219</f>
        <v>0</v>
      </c>
      <c r="L217" s="233">
        <f t="shared" si="365"/>
        <v>0</v>
      </c>
      <c r="M217" s="232">
        <f t="shared" si="325"/>
        <v>0</v>
      </c>
      <c r="N217" s="233">
        <v>0</v>
      </c>
      <c r="O217" s="233">
        <f t="shared" ref="O217:Q217" si="367">O218+O219</f>
        <v>0</v>
      </c>
      <c r="P217" s="233">
        <f t="shared" ref="P217" si="368">P218+P219</f>
        <v>0</v>
      </c>
      <c r="Q217" s="233">
        <f t="shared" si="367"/>
        <v>0</v>
      </c>
      <c r="R217" s="232">
        <f t="shared" si="326"/>
        <v>0</v>
      </c>
    </row>
    <row r="218" spans="1:18" s="29" customFormat="1" ht="24" hidden="1" customHeight="1">
      <c r="A218" s="133" t="s">
        <v>117</v>
      </c>
      <c r="B218" s="179" t="s">
        <v>118</v>
      </c>
      <c r="C218" s="170"/>
      <c r="D218" s="170">
        <v>0</v>
      </c>
      <c r="E218" s="233"/>
      <c r="F218" s="233"/>
      <c r="G218" s="233"/>
      <c r="H218" s="232">
        <f t="shared" si="324"/>
        <v>0</v>
      </c>
      <c r="I218" s="233">
        <v>0</v>
      </c>
      <c r="J218" s="233"/>
      <c r="K218" s="233"/>
      <c r="L218" s="233"/>
      <c r="M218" s="232">
        <f t="shared" si="325"/>
        <v>0</v>
      </c>
      <c r="N218" s="233">
        <v>0</v>
      </c>
      <c r="O218" s="233"/>
      <c r="P218" s="233"/>
      <c r="Q218" s="233"/>
      <c r="R218" s="232">
        <f t="shared" si="326"/>
        <v>0</v>
      </c>
    </row>
    <row r="219" spans="1:18" s="29" customFormat="1" ht="24" hidden="1" customHeight="1">
      <c r="A219" s="133">
        <v>7130</v>
      </c>
      <c r="B219" s="179" t="s">
        <v>119</v>
      </c>
      <c r="C219" s="170">
        <v>0</v>
      </c>
      <c r="D219" s="170">
        <v>0</v>
      </c>
      <c r="E219" s="233">
        <f t="shared" ref="E219:G219" si="369">SUM(E220:E222)</f>
        <v>0</v>
      </c>
      <c r="F219" s="233">
        <f t="shared" ref="F219" si="370">SUM(F220:F222)</f>
        <v>0</v>
      </c>
      <c r="G219" s="233">
        <f t="shared" si="369"/>
        <v>0</v>
      </c>
      <c r="H219" s="232">
        <f t="shared" si="324"/>
        <v>0</v>
      </c>
      <c r="I219" s="233">
        <v>0</v>
      </c>
      <c r="J219" s="233">
        <f t="shared" ref="J219:L219" si="371">SUM(J220:J222)</f>
        <v>0</v>
      </c>
      <c r="K219" s="233">
        <f t="shared" ref="K219" si="372">SUM(K220:K222)</f>
        <v>0</v>
      </c>
      <c r="L219" s="233">
        <f t="shared" si="371"/>
        <v>0</v>
      </c>
      <c r="M219" s="232">
        <f t="shared" si="325"/>
        <v>0</v>
      </c>
      <c r="N219" s="233">
        <v>0</v>
      </c>
      <c r="O219" s="233">
        <f t="shared" ref="O219:Q219" si="373">SUM(O220:O222)</f>
        <v>0</v>
      </c>
      <c r="P219" s="233">
        <f t="shared" ref="P219" si="374">SUM(P220:P222)</f>
        <v>0</v>
      </c>
      <c r="Q219" s="233">
        <f t="shared" si="373"/>
        <v>0</v>
      </c>
      <c r="R219" s="232">
        <f t="shared" si="326"/>
        <v>0</v>
      </c>
    </row>
    <row r="220" spans="1:18" s="29" customFormat="1" ht="36" hidden="1" customHeight="1">
      <c r="A220" s="134">
        <v>7131</v>
      </c>
      <c r="B220" s="179" t="s">
        <v>120</v>
      </c>
      <c r="C220" s="170"/>
      <c r="D220" s="170">
        <v>0</v>
      </c>
      <c r="E220" s="233"/>
      <c r="F220" s="233"/>
      <c r="G220" s="233"/>
      <c r="H220" s="232">
        <f t="shared" si="324"/>
        <v>0</v>
      </c>
      <c r="I220" s="233">
        <v>0</v>
      </c>
      <c r="J220" s="233"/>
      <c r="K220" s="233"/>
      <c r="L220" s="233"/>
      <c r="M220" s="232">
        <f t="shared" si="325"/>
        <v>0</v>
      </c>
      <c r="N220" s="233">
        <v>0</v>
      </c>
      <c r="O220" s="233"/>
      <c r="P220" s="233"/>
      <c r="Q220" s="233"/>
      <c r="R220" s="232">
        <f t="shared" si="326"/>
        <v>0</v>
      </c>
    </row>
    <row r="221" spans="1:18" s="29" customFormat="1" ht="36" hidden="1" customHeight="1">
      <c r="A221" s="134">
        <v>7132</v>
      </c>
      <c r="B221" s="179" t="s">
        <v>121</v>
      </c>
      <c r="C221" s="170"/>
      <c r="D221" s="170">
        <v>0</v>
      </c>
      <c r="E221" s="233"/>
      <c r="F221" s="233"/>
      <c r="G221" s="233"/>
      <c r="H221" s="232">
        <f t="shared" si="324"/>
        <v>0</v>
      </c>
      <c r="I221" s="233">
        <v>0</v>
      </c>
      <c r="J221" s="233"/>
      <c r="K221" s="233"/>
      <c r="L221" s="233"/>
      <c r="M221" s="232">
        <f t="shared" si="325"/>
        <v>0</v>
      </c>
      <c r="N221" s="233">
        <v>0</v>
      </c>
      <c r="O221" s="233"/>
      <c r="P221" s="233"/>
      <c r="Q221" s="233"/>
      <c r="R221" s="232">
        <f t="shared" si="326"/>
        <v>0</v>
      </c>
    </row>
    <row r="222" spans="1:18" s="29" customFormat="1" ht="36" hidden="1" customHeight="1">
      <c r="A222" s="134" t="s">
        <v>186</v>
      </c>
      <c r="B222" s="179" t="s">
        <v>187</v>
      </c>
      <c r="C222" s="170"/>
      <c r="D222" s="170">
        <v>0</v>
      </c>
      <c r="E222" s="233"/>
      <c r="F222" s="233"/>
      <c r="G222" s="233"/>
      <c r="H222" s="232">
        <f t="shared" si="324"/>
        <v>0</v>
      </c>
      <c r="I222" s="233">
        <v>0</v>
      </c>
      <c r="J222" s="233"/>
      <c r="K222" s="233"/>
      <c r="L222" s="233"/>
      <c r="M222" s="232">
        <f t="shared" si="325"/>
        <v>0</v>
      </c>
      <c r="N222" s="233">
        <v>0</v>
      </c>
      <c r="O222" s="233"/>
      <c r="P222" s="233"/>
      <c r="Q222" s="233"/>
      <c r="R222" s="232">
        <f t="shared" si="326"/>
        <v>0</v>
      </c>
    </row>
    <row r="223" spans="1:18" s="29" customFormat="1" ht="24" hidden="1" customHeight="1">
      <c r="A223" s="132">
        <v>7300</v>
      </c>
      <c r="B223" s="172" t="s">
        <v>155</v>
      </c>
      <c r="C223" s="170">
        <v>0</v>
      </c>
      <c r="D223" s="170">
        <v>0</v>
      </c>
      <c r="E223" s="233">
        <f t="shared" ref="E223:G223" si="375">SUM(E224:E226)</f>
        <v>0</v>
      </c>
      <c r="F223" s="233">
        <f t="shared" ref="F223" si="376">SUM(F224:F226)</f>
        <v>0</v>
      </c>
      <c r="G223" s="233">
        <f t="shared" si="375"/>
        <v>0</v>
      </c>
      <c r="H223" s="232">
        <f t="shared" si="324"/>
        <v>0</v>
      </c>
      <c r="I223" s="233">
        <v>0</v>
      </c>
      <c r="J223" s="233">
        <f t="shared" ref="J223:L223" si="377">SUM(J224:J226)</f>
        <v>0</v>
      </c>
      <c r="K223" s="233">
        <f t="shared" ref="K223" si="378">SUM(K224:K226)</f>
        <v>0</v>
      </c>
      <c r="L223" s="233">
        <f t="shared" si="377"/>
        <v>0</v>
      </c>
      <c r="M223" s="232">
        <f t="shared" si="325"/>
        <v>0</v>
      </c>
      <c r="N223" s="233">
        <v>0</v>
      </c>
      <c r="O223" s="233">
        <f t="shared" ref="O223:Q223" si="379">SUM(O224:O226)</f>
        <v>0</v>
      </c>
      <c r="P223" s="233">
        <f t="shared" ref="P223" si="380">SUM(P224:P226)</f>
        <v>0</v>
      </c>
      <c r="Q223" s="233">
        <f t="shared" si="379"/>
        <v>0</v>
      </c>
      <c r="R223" s="232">
        <f t="shared" si="326"/>
        <v>0</v>
      </c>
    </row>
    <row r="224" spans="1:18" s="29" customFormat="1" ht="24" hidden="1" customHeight="1">
      <c r="A224" s="133" t="s">
        <v>188</v>
      </c>
      <c r="B224" s="179" t="s">
        <v>170</v>
      </c>
      <c r="C224" s="204"/>
      <c r="D224" s="204">
        <v>0</v>
      </c>
      <c r="E224" s="252"/>
      <c r="F224" s="252"/>
      <c r="G224" s="252"/>
      <c r="H224" s="232">
        <f t="shared" si="324"/>
        <v>0</v>
      </c>
      <c r="I224" s="252">
        <v>0</v>
      </c>
      <c r="J224" s="252"/>
      <c r="K224" s="252"/>
      <c r="L224" s="252"/>
      <c r="M224" s="232">
        <f t="shared" si="325"/>
        <v>0</v>
      </c>
      <c r="N224" s="252">
        <v>0</v>
      </c>
      <c r="O224" s="252"/>
      <c r="P224" s="252"/>
      <c r="Q224" s="252"/>
      <c r="R224" s="232">
        <f t="shared" si="326"/>
        <v>0</v>
      </c>
    </row>
    <row r="225" spans="1:18" s="29" customFormat="1" ht="48" hidden="1" customHeight="1">
      <c r="A225" s="133" t="s">
        <v>189</v>
      </c>
      <c r="B225" s="179" t="s">
        <v>156</v>
      </c>
      <c r="C225" s="204"/>
      <c r="D225" s="204">
        <v>0</v>
      </c>
      <c r="E225" s="252"/>
      <c r="F225" s="252"/>
      <c r="G225" s="252"/>
      <c r="H225" s="232">
        <f t="shared" si="324"/>
        <v>0</v>
      </c>
      <c r="I225" s="252">
        <v>0</v>
      </c>
      <c r="J225" s="252"/>
      <c r="K225" s="252"/>
      <c r="L225" s="252"/>
      <c r="M225" s="232">
        <f t="shared" si="325"/>
        <v>0</v>
      </c>
      <c r="N225" s="252">
        <v>0</v>
      </c>
      <c r="O225" s="252"/>
      <c r="P225" s="252"/>
      <c r="Q225" s="252"/>
      <c r="R225" s="232">
        <f t="shared" si="326"/>
        <v>0</v>
      </c>
    </row>
    <row r="226" spans="1:18" s="29" customFormat="1" ht="36" hidden="1" customHeight="1">
      <c r="A226" s="133">
        <v>7350</v>
      </c>
      <c r="B226" s="179" t="s">
        <v>163</v>
      </c>
      <c r="C226" s="204"/>
      <c r="D226" s="204">
        <v>0</v>
      </c>
      <c r="E226" s="252"/>
      <c r="F226" s="252"/>
      <c r="G226" s="252"/>
      <c r="H226" s="232">
        <f t="shared" si="324"/>
        <v>0</v>
      </c>
      <c r="I226" s="252">
        <v>0</v>
      </c>
      <c r="J226" s="252"/>
      <c r="K226" s="252"/>
      <c r="L226" s="252"/>
      <c r="M226" s="232">
        <f t="shared" si="325"/>
        <v>0</v>
      </c>
      <c r="N226" s="252">
        <v>0</v>
      </c>
      <c r="O226" s="252"/>
      <c r="P226" s="252"/>
      <c r="Q226" s="252"/>
      <c r="R226" s="232">
        <f t="shared" si="326"/>
        <v>0</v>
      </c>
    </row>
    <row r="227" spans="1:18" s="29" customFormat="1" ht="24" hidden="1" customHeight="1">
      <c r="A227" s="132">
        <v>7400</v>
      </c>
      <c r="B227" s="172" t="s">
        <v>161</v>
      </c>
      <c r="C227" s="170">
        <v>0</v>
      </c>
      <c r="D227" s="170">
        <v>0</v>
      </c>
      <c r="E227" s="233">
        <f t="shared" ref="E227:G227" si="381">SUM(E228:E229)</f>
        <v>0</v>
      </c>
      <c r="F227" s="233">
        <f t="shared" ref="F227" si="382">SUM(F228:F229)</f>
        <v>0</v>
      </c>
      <c r="G227" s="233">
        <f t="shared" si="381"/>
        <v>0</v>
      </c>
      <c r="H227" s="232">
        <f t="shared" si="324"/>
        <v>0</v>
      </c>
      <c r="I227" s="233">
        <v>0</v>
      </c>
      <c r="J227" s="233">
        <f t="shared" ref="J227:L227" si="383">SUM(J228:J229)</f>
        <v>0</v>
      </c>
      <c r="K227" s="233">
        <f t="shared" ref="K227" si="384">SUM(K228:K229)</f>
        <v>0</v>
      </c>
      <c r="L227" s="233">
        <f t="shared" si="383"/>
        <v>0</v>
      </c>
      <c r="M227" s="232">
        <f t="shared" si="325"/>
        <v>0</v>
      </c>
      <c r="N227" s="233">
        <v>0</v>
      </c>
      <c r="O227" s="233">
        <f t="shared" ref="O227:Q227" si="385">SUM(O228:O229)</f>
        <v>0</v>
      </c>
      <c r="P227" s="233">
        <f t="shared" ref="P227" si="386">SUM(P228:P229)</f>
        <v>0</v>
      </c>
      <c r="Q227" s="233">
        <f t="shared" si="385"/>
        <v>0</v>
      </c>
      <c r="R227" s="232">
        <f t="shared" si="326"/>
        <v>0</v>
      </c>
    </row>
    <row r="228" spans="1:18" s="29" customFormat="1" ht="24" hidden="1" customHeight="1">
      <c r="A228" s="133">
        <v>7460</v>
      </c>
      <c r="B228" s="172" t="s">
        <v>162</v>
      </c>
      <c r="C228" s="204"/>
      <c r="D228" s="204">
        <v>0</v>
      </c>
      <c r="E228" s="252"/>
      <c r="F228" s="252"/>
      <c r="G228" s="252"/>
      <c r="H228" s="232">
        <f t="shared" si="324"/>
        <v>0</v>
      </c>
      <c r="I228" s="252">
        <v>0</v>
      </c>
      <c r="J228" s="252"/>
      <c r="K228" s="252"/>
      <c r="L228" s="252"/>
      <c r="M228" s="232">
        <f t="shared" si="325"/>
        <v>0</v>
      </c>
      <c r="N228" s="252">
        <v>0</v>
      </c>
      <c r="O228" s="252"/>
      <c r="P228" s="252"/>
      <c r="Q228" s="252"/>
      <c r="R228" s="232">
        <f t="shared" si="326"/>
        <v>0</v>
      </c>
    </row>
    <row r="229" spans="1:18" s="29" customFormat="1" ht="48" hidden="1" customHeight="1">
      <c r="A229" s="133">
        <v>7470</v>
      </c>
      <c r="B229" s="179" t="s">
        <v>167</v>
      </c>
      <c r="C229" s="204"/>
      <c r="D229" s="204">
        <v>0</v>
      </c>
      <c r="E229" s="252"/>
      <c r="F229" s="252"/>
      <c r="G229" s="252"/>
      <c r="H229" s="232">
        <f t="shared" si="324"/>
        <v>0</v>
      </c>
      <c r="I229" s="252">
        <v>0</v>
      </c>
      <c r="J229" s="252"/>
      <c r="K229" s="252"/>
      <c r="L229" s="252"/>
      <c r="M229" s="232">
        <f t="shared" si="325"/>
        <v>0</v>
      </c>
      <c r="N229" s="252">
        <v>0</v>
      </c>
      <c r="O229" s="252"/>
      <c r="P229" s="252"/>
      <c r="Q229" s="252"/>
      <c r="R229" s="232">
        <f t="shared" si="326"/>
        <v>0</v>
      </c>
    </row>
    <row r="230" spans="1:18" s="29" customFormat="1" ht="24" hidden="1" customHeight="1">
      <c r="A230" s="132">
        <v>7500</v>
      </c>
      <c r="B230" s="179" t="s">
        <v>157</v>
      </c>
      <c r="C230" s="170"/>
      <c r="D230" s="170">
        <v>0</v>
      </c>
      <c r="E230" s="233"/>
      <c r="F230" s="233"/>
      <c r="G230" s="233"/>
      <c r="H230" s="232">
        <f t="shared" si="324"/>
        <v>0</v>
      </c>
      <c r="I230" s="233">
        <v>0</v>
      </c>
      <c r="J230" s="233"/>
      <c r="K230" s="233"/>
      <c r="L230" s="233"/>
      <c r="M230" s="232">
        <f t="shared" si="325"/>
        <v>0</v>
      </c>
      <c r="N230" s="233">
        <v>0</v>
      </c>
      <c r="O230" s="233"/>
      <c r="P230" s="233"/>
      <c r="Q230" s="233"/>
      <c r="R230" s="232">
        <f t="shared" si="326"/>
        <v>0</v>
      </c>
    </row>
    <row r="231" spans="1:18" s="29" customFormat="1" ht="12" hidden="1" customHeight="1">
      <c r="A231" s="140" t="s">
        <v>133</v>
      </c>
      <c r="B231" s="124" t="s">
        <v>122</v>
      </c>
      <c r="C231" s="205">
        <v>0</v>
      </c>
      <c r="D231" s="205">
        <v>0</v>
      </c>
      <c r="E231" s="254">
        <f t="shared" ref="E231:G231" si="387">E232+E233</f>
        <v>0</v>
      </c>
      <c r="F231" s="254">
        <f t="shared" ref="F231" si="388">F232+F233</f>
        <v>0</v>
      </c>
      <c r="G231" s="254">
        <f t="shared" si="387"/>
        <v>0</v>
      </c>
      <c r="H231" s="232">
        <f t="shared" si="324"/>
        <v>0</v>
      </c>
      <c r="I231" s="254">
        <v>0</v>
      </c>
      <c r="J231" s="254">
        <f t="shared" ref="J231:L231" si="389">J232+J233</f>
        <v>0</v>
      </c>
      <c r="K231" s="254">
        <f t="shared" ref="K231" si="390">K232+K233</f>
        <v>0</v>
      </c>
      <c r="L231" s="254">
        <f t="shared" si="389"/>
        <v>0</v>
      </c>
      <c r="M231" s="232">
        <f t="shared" si="325"/>
        <v>0</v>
      </c>
      <c r="N231" s="254">
        <v>0</v>
      </c>
      <c r="O231" s="254">
        <f t="shared" ref="O231:Q231" si="391">O232+O233</f>
        <v>0</v>
      </c>
      <c r="P231" s="254">
        <f t="shared" ref="P231" si="392">P232+P233</f>
        <v>0</v>
      </c>
      <c r="Q231" s="254">
        <f t="shared" si="391"/>
        <v>0</v>
      </c>
      <c r="R231" s="232">
        <f t="shared" si="326"/>
        <v>0</v>
      </c>
    </row>
    <row r="232" spans="1:18" s="29" customFormat="1" ht="12" hidden="1" customHeight="1">
      <c r="A232" s="140">
        <v>5000</v>
      </c>
      <c r="B232" s="124" t="s">
        <v>123</v>
      </c>
      <c r="C232" s="170"/>
      <c r="D232" s="170">
        <v>0</v>
      </c>
      <c r="E232" s="244"/>
      <c r="F232" s="244"/>
      <c r="G232" s="244"/>
      <c r="H232" s="232">
        <f t="shared" si="324"/>
        <v>0</v>
      </c>
      <c r="I232" s="233">
        <v>0</v>
      </c>
      <c r="J232" s="244"/>
      <c r="K232" s="244"/>
      <c r="L232" s="244"/>
      <c r="M232" s="232">
        <f t="shared" si="325"/>
        <v>0</v>
      </c>
      <c r="N232" s="233">
        <v>0</v>
      </c>
      <c r="O232" s="244"/>
      <c r="P232" s="244"/>
      <c r="Q232" s="244"/>
      <c r="R232" s="232">
        <f t="shared" si="326"/>
        <v>0</v>
      </c>
    </row>
    <row r="233" spans="1:18" s="29" customFormat="1" ht="12" hidden="1" customHeight="1">
      <c r="A233" s="140">
        <v>9000</v>
      </c>
      <c r="B233" s="182" t="s">
        <v>164</v>
      </c>
      <c r="C233" s="170">
        <v>0</v>
      </c>
      <c r="D233" s="170">
        <v>0</v>
      </c>
      <c r="E233" s="233">
        <f t="shared" ref="E233:G233" si="393">E234+E240+E244+E247</f>
        <v>0</v>
      </c>
      <c r="F233" s="233">
        <f t="shared" ref="F233" si="394">F234+F240+F244+F247</f>
        <v>0</v>
      </c>
      <c r="G233" s="233">
        <f t="shared" si="393"/>
        <v>0</v>
      </c>
      <c r="H233" s="232">
        <f t="shared" si="324"/>
        <v>0</v>
      </c>
      <c r="I233" s="233">
        <v>0</v>
      </c>
      <c r="J233" s="233">
        <f t="shared" ref="J233:L233" si="395">J234+J240+J244+J247</f>
        <v>0</v>
      </c>
      <c r="K233" s="233">
        <f t="shared" ref="K233" si="396">K234+K240+K244+K247</f>
        <v>0</v>
      </c>
      <c r="L233" s="233">
        <f t="shared" si="395"/>
        <v>0</v>
      </c>
      <c r="M233" s="232">
        <f t="shared" si="325"/>
        <v>0</v>
      </c>
      <c r="N233" s="233">
        <v>0</v>
      </c>
      <c r="O233" s="233">
        <f t="shared" ref="O233:Q233" si="397">O234+O240+O244+O247</f>
        <v>0</v>
      </c>
      <c r="P233" s="233">
        <f t="shared" ref="P233" si="398">P234+P240+P244+P247</f>
        <v>0</v>
      </c>
      <c r="Q233" s="233">
        <f t="shared" si="397"/>
        <v>0</v>
      </c>
      <c r="R233" s="232">
        <f t="shared" si="326"/>
        <v>0</v>
      </c>
    </row>
    <row r="234" spans="1:18" s="29" customFormat="1" ht="12" hidden="1" customHeight="1">
      <c r="A234" s="141">
        <v>9100</v>
      </c>
      <c r="B234" s="179" t="s">
        <v>124</v>
      </c>
      <c r="C234" s="170">
        <v>0</v>
      </c>
      <c r="D234" s="170">
        <v>0</v>
      </c>
      <c r="E234" s="233">
        <f t="shared" ref="E234:G234" si="399">SUM(E235:E236)</f>
        <v>0</v>
      </c>
      <c r="F234" s="233">
        <f t="shared" ref="F234" si="400">SUM(F235:F236)</f>
        <v>0</v>
      </c>
      <c r="G234" s="233">
        <f t="shared" si="399"/>
        <v>0</v>
      </c>
      <c r="H234" s="232">
        <f t="shared" si="324"/>
        <v>0</v>
      </c>
      <c r="I234" s="233">
        <v>0</v>
      </c>
      <c r="J234" s="233">
        <f t="shared" ref="J234:L234" si="401">SUM(J235:J236)</f>
        <v>0</v>
      </c>
      <c r="K234" s="233">
        <f t="shared" ref="K234" si="402">SUM(K235:K236)</f>
        <v>0</v>
      </c>
      <c r="L234" s="233">
        <f t="shared" si="401"/>
        <v>0</v>
      </c>
      <c r="M234" s="232">
        <f t="shared" si="325"/>
        <v>0</v>
      </c>
      <c r="N234" s="233">
        <v>0</v>
      </c>
      <c r="O234" s="233">
        <f t="shared" ref="O234:Q234" si="403">SUM(O235:O236)</f>
        <v>0</v>
      </c>
      <c r="P234" s="233">
        <f t="shared" ref="P234" si="404">SUM(P235:P236)</f>
        <v>0</v>
      </c>
      <c r="Q234" s="233">
        <f t="shared" si="403"/>
        <v>0</v>
      </c>
      <c r="R234" s="232">
        <f t="shared" si="326"/>
        <v>0</v>
      </c>
    </row>
    <row r="235" spans="1:18" s="29" customFormat="1" ht="24" hidden="1" customHeight="1">
      <c r="A235" s="133" t="s">
        <v>125</v>
      </c>
      <c r="B235" s="179" t="s">
        <v>214</v>
      </c>
      <c r="C235" s="170"/>
      <c r="D235" s="170">
        <v>0</v>
      </c>
      <c r="E235" s="233"/>
      <c r="F235" s="233"/>
      <c r="G235" s="233"/>
      <c r="H235" s="232">
        <f t="shared" si="324"/>
        <v>0</v>
      </c>
      <c r="I235" s="233">
        <v>0</v>
      </c>
      <c r="J235" s="233"/>
      <c r="K235" s="233"/>
      <c r="L235" s="233"/>
      <c r="M235" s="232">
        <f t="shared" si="325"/>
        <v>0</v>
      </c>
      <c r="N235" s="233">
        <v>0</v>
      </c>
      <c r="O235" s="233"/>
      <c r="P235" s="233"/>
      <c r="Q235" s="233"/>
      <c r="R235" s="232">
        <f t="shared" si="326"/>
        <v>0</v>
      </c>
    </row>
    <row r="236" spans="1:18" s="29" customFormat="1" ht="24" hidden="1" customHeight="1">
      <c r="A236" s="133">
        <v>9140</v>
      </c>
      <c r="B236" s="179" t="s">
        <v>215</v>
      </c>
      <c r="C236" s="170">
        <v>0</v>
      </c>
      <c r="D236" s="170">
        <v>0</v>
      </c>
      <c r="E236" s="233">
        <f t="shared" ref="E236:G236" si="405">SUM(E237:E239)</f>
        <v>0</v>
      </c>
      <c r="F236" s="233">
        <f t="shared" ref="F236" si="406">SUM(F237:F239)</f>
        <v>0</v>
      </c>
      <c r="G236" s="233">
        <f t="shared" si="405"/>
        <v>0</v>
      </c>
      <c r="H236" s="232">
        <f t="shared" si="324"/>
        <v>0</v>
      </c>
      <c r="I236" s="233">
        <v>0</v>
      </c>
      <c r="J236" s="233">
        <f t="shared" ref="J236:L236" si="407">SUM(J237:J239)</f>
        <v>0</v>
      </c>
      <c r="K236" s="233">
        <f t="shared" ref="K236" si="408">SUM(K237:K239)</f>
        <v>0</v>
      </c>
      <c r="L236" s="233">
        <f t="shared" si="407"/>
        <v>0</v>
      </c>
      <c r="M236" s="232">
        <f t="shared" si="325"/>
        <v>0</v>
      </c>
      <c r="N236" s="233">
        <v>0</v>
      </c>
      <c r="O236" s="233">
        <f t="shared" ref="O236:Q236" si="409">SUM(O237:O239)</f>
        <v>0</v>
      </c>
      <c r="P236" s="233">
        <f t="shared" ref="P236" si="410">SUM(P237:P239)</f>
        <v>0</v>
      </c>
      <c r="Q236" s="233">
        <f t="shared" si="409"/>
        <v>0</v>
      </c>
      <c r="R236" s="232">
        <f t="shared" si="326"/>
        <v>0</v>
      </c>
    </row>
    <row r="237" spans="1:18" s="29" customFormat="1" ht="36" hidden="1" customHeight="1">
      <c r="A237" s="134">
        <v>9141</v>
      </c>
      <c r="B237" s="172" t="s">
        <v>190</v>
      </c>
      <c r="C237" s="204"/>
      <c r="D237" s="204">
        <v>0</v>
      </c>
      <c r="E237" s="252"/>
      <c r="F237" s="252"/>
      <c r="G237" s="252"/>
      <c r="H237" s="232">
        <f t="shared" si="324"/>
        <v>0</v>
      </c>
      <c r="I237" s="252">
        <v>0</v>
      </c>
      <c r="J237" s="252"/>
      <c r="K237" s="252"/>
      <c r="L237" s="252"/>
      <c r="M237" s="232">
        <f t="shared" si="325"/>
        <v>0</v>
      </c>
      <c r="N237" s="252">
        <v>0</v>
      </c>
      <c r="O237" s="252"/>
      <c r="P237" s="252"/>
      <c r="Q237" s="252"/>
      <c r="R237" s="232">
        <f t="shared" si="326"/>
        <v>0</v>
      </c>
    </row>
    <row r="238" spans="1:18" s="29" customFormat="1" ht="36" hidden="1" customHeight="1">
      <c r="A238" s="134">
        <v>9142</v>
      </c>
      <c r="B238" s="172" t="s">
        <v>191</v>
      </c>
      <c r="C238" s="204"/>
      <c r="D238" s="204">
        <v>0</v>
      </c>
      <c r="E238" s="252"/>
      <c r="F238" s="252"/>
      <c r="G238" s="252"/>
      <c r="H238" s="232">
        <f t="shared" si="324"/>
        <v>0</v>
      </c>
      <c r="I238" s="252">
        <v>0</v>
      </c>
      <c r="J238" s="252"/>
      <c r="K238" s="252"/>
      <c r="L238" s="252"/>
      <c r="M238" s="232">
        <f t="shared" si="325"/>
        <v>0</v>
      </c>
      <c r="N238" s="252">
        <v>0</v>
      </c>
      <c r="O238" s="252"/>
      <c r="P238" s="252"/>
      <c r="Q238" s="252"/>
      <c r="R238" s="232">
        <f t="shared" si="326"/>
        <v>0</v>
      </c>
    </row>
    <row r="239" spans="1:18" s="29" customFormat="1" ht="24" hidden="1" customHeight="1">
      <c r="A239" s="134">
        <v>9149</v>
      </c>
      <c r="B239" s="172" t="s">
        <v>192</v>
      </c>
      <c r="C239" s="204"/>
      <c r="D239" s="204">
        <v>0</v>
      </c>
      <c r="E239" s="252"/>
      <c r="F239" s="252"/>
      <c r="G239" s="252"/>
      <c r="H239" s="232">
        <f t="shared" si="324"/>
        <v>0</v>
      </c>
      <c r="I239" s="252">
        <v>0</v>
      </c>
      <c r="J239" s="252"/>
      <c r="K239" s="252"/>
      <c r="L239" s="252"/>
      <c r="M239" s="232">
        <f t="shared" si="325"/>
        <v>0</v>
      </c>
      <c r="N239" s="252">
        <v>0</v>
      </c>
      <c r="O239" s="252"/>
      <c r="P239" s="252"/>
      <c r="Q239" s="252"/>
      <c r="R239" s="232">
        <f t="shared" si="326"/>
        <v>0</v>
      </c>
    </row>
    <row r="240" spans="1:18" s="29" customFormat="1" ht="24" hidden="1" customHeight="1">
      <c r="A240" s="141">
        <v>9500</v>
      </c>
      <c r="B240" s="172" t="s">
        <v>165</v>
      </c>
      <c r="C240" s="170">
        <v>0</v>
      </c>
      <c r="D240" s="170">
        <v>0</v>
      </c>
      <c r="E240" s="233">
        <f t="shared" ref="E240:G240" si="411">SUM(E241:E243)</f>
        <v>0</v>
      </c>
      <c r="F240" s="233">
        <f t="shared" ref="F240" si="412">SUM(F241:F243)</f>
        <v>0</v>
      </c>
      <c r="G240" s="233">
        <f t="shared" si="411"/>
        <v>0</v>
      </c>
      <c r="H240" s="232">
        <f t="shared" si="324"/>
        <v>0</v>
      </c>
      <c r="I240" s="233">
        <v>0</v>
      </c>
      <c r="J240" s="233">
        <f t="shared" ref="J240:L240" si="413">SUM(J241:J243)</f>
        <v>0</v>
      </c>
      <c r="K240" s="233">
        <f t="shared" ref="K240" si="414">SUM(K241:K243)</f>
        <v>0</v>
      </c>
      <c r="L240" s="233">
        <f t="shared" si="413"/>
        <v>0</v>
      </c>
      <c r="M240" s="232">
        <f t="shared" si="325"/>
        <v>0</v>
      </c>
      <c r="N240" s="233">
        <v>0</v>
      </c>
      <c r="O240" s="233">
        <f t="shared" ref="O240:Q240" si="415">SUM(O241:O243)</f>
        <v>0</v>
      </c>
      <c r="P240" s="233">
        <f t="shared" ref="P240" si="416">SUM(P241:P243)</f>
        <v>0</v>
      </c>
      <c r="Q240" s="233">
        <f t="shared" si="415"/>
        <v>0</v>
      </c>
      <c r="R240" s="232">
        <f t="shared" si="326"/>
        <v>0</v>
      </c>
    </row>
    <row r="241" spans="1:18" s="29" customFormat="1" ht="24" hidden="1" customHeight="1">
      <c r="A241" s="133" t="s">
        <v>193</v>
      </c>
      <c r="B241" s="172" t="s">
        <v>171</v>
      </c>
      <c r="C241" s="170"/>
      <c r="D241" s="170">
        <v>0</v>
      </c>
      <c r="E241" s="233"/>
      <c r="F241" s="233"/>
      <c r="G241" s="233"/>
      <c r="H241" s="232">
        <f t="shared" si="324"/>
        <v>0</v>
      </c>
      <c r="I241" s="233">
        <v>0</v>
      </c>
      <c r="J241" s="233"/>
      <c r="K241" s="233"/>
      <c r="L241" s="233"/>
      <c r="M241" s="232">
        <f t="shared" si="325"/>
        <v>0</v>
      </c>
      <c r="N241" s="233">
        <v>0</v>
      </c>
      <c r="O241" s="233"/>
      <c r="P241" s="233"/>
      <c r="Q241" s="233"/>
      <c r="R241" s="232">
        <f t="shared" si="326"/>
        <v>0</v>
      </c>
    </row>
    <row r="242" spans="1:18" s="29" customFormat="1" ht="48" hidden="1" customHeight="1">
      <c r="A242" s="133">
        <v>9580</v>
      </c>
      <c r="B242" s="172" t="s">
        <v>166</v>
      </c>
      <c r="C242" s="204"/>
      <c r="D242" s="204">
        <v>0</v>
      </c>
      <c r="E242" s="252"/>
      <c r="F242" s="252"/>
      <c r="G242" s="252"/>
      <c r="H242" s="232">
        <f t="shared" si="324"/>
        <v>0</v>
      </c>
      <c r="I242" s="252">
        <v>0</v>
      </c>
      <c r="J242" s="252"/>
      <c r="K242" s="252"/>
      <c r="L242" s="252"/>
      <c r="M242" s="232">
        <f t="shared" si="325"/>
        <v>0</v>
      </c>
      <c r="N242" s="252">
        <v>0</v>
      </c>
      <c r="O242" s="252"/>
      <c r="P242" s="252"/>
      <c r="Q242" s="252"/>
      <c r="R242" s="232">
        <f t="shared" si="326"/>
        <v>0</v>
      </c>
    </row>
    <row r="243" spans="1:18" s="29" customFormat="1" ht="48" hidden="1" customHeight="1">
      <c r="A243" s="133">
        <v>9590</v>
      </c>
      <c r="B243" s="179" t="s">
        <v>172</v>
      </c>
      <c r="C243" s="204"/>
      <c r="D243" s="204">
        <v>0</v>
      </c>
      <c r="E243" s="252"/>
      <c r="F243" s="252"/>
      <c r="G243" s="252"/>
      <c r="H243" s="232">
        <f t="shared" si="324"/>
        <v>0</v>
      </c>
      <c r="I243" s="252">
        <v>0</v>
      </c>
      <c r="J243" s="252"/>
      <c r="K243" s="252"/>
      <c r="L243" s="252"/>
      <c r="M243" s="232">
        <f t="shared" si="325"/>
        <v>0</v>
      </c>
      <c r="N243" s="252">
        <v>0</v>
      </c>
      <c r="O243" s="252"/>
      <c r="P243" s="252"/>
      <c r="Q243" s="252"/>
      <c r="R243" s="232">
        <f t="shared" si="326"/>
        <v>0</v>
      </c>
    </row>
    <row r="244" spans="1:18" s="29" customFormat="1" ht="24" hidden="1" customHeight="1">
      <c r="A244" s="141">
        <v>9700</v>
      </c>
      <c r="B244" s="183" t="s">
        <v>194</v>
      </c>
      <c r="C244" s="170">
        <v>0</v>
      </c>
      <c r="D244" s="170">
        <v>0</v>
      </c>
      <c r="E244" s="233">
        <f t="shared" ref="E244:G244" si="417">SUM(E245:E246)</f>
        <v>0</v>
      </c>
      <c r="F244" s="233">
        <f t="shared" ref="F244" si="418">SUM(F245:F246)</f>
        <v>0</v>
      </c>
      <c r="G244" s="233">
        <f t="shared" si="417"/>
        <v>0</v>
      </c>
      <c r="H244" s="232">
        <f t="shared" si="324"/>
        <v>0</v>
      </c>
      <c r="I244" s="233">
        <v>0</v>
      </c>
      <c r="J244" s="233">
        <f t="shared" ref="J244:L244" si="419">SUM(J245:J246)</f>
        <v>0</v>
      </c>
      <c r="K244" s="233">
        <f t="shared" ref="K244" si="420">SUM(K245:K246)</f>
        <v>0</v>
      </c>
      <c r="L244" s="233">
        <f t="shared" si="419"/>
        <v>0</v>
      </c>
      <c r="M244" s="232">
        <f t="shared" si="325"/>
        <v>0</v>
      </c>
      <c r="N244" s="233">
        <v>0</v>
      </c>
      <c r="O244" s="233">
        <f t="shared" ref="O244:Q244" si="421">SUM(O245:O246)</f>
        <v>0</v>
      </c>
      <c r="P244" s="233">
        <f t="shared" ref="P244" si="422">SUM(P245:P246)</f>
        <v>0</v>
      </c>
      <c r="Q244" s="233">
        <f t="shared" si="421"/>
        <v>0</v>
      </c>
      <c r="R244" s="232">
        <f t="shared" si="326"/>
        <v>0</v>
      </c>
    </row>
    <row r="245" spans="1:18" s="29" customFormat="1" ht="24" hidden="1" customHeight="1">
      <c r="A245" s="133">
        <v>9710</v>
      </c>
      <c r="B245" s="184" t="s">
        <v>195</v>
      </c>
      <c r="C245" s="204"/>
      <c r="D245" s="204">
        <v>0</v>
      </c>
      <c r="E245" s="252"/>
      <c r="F245" s="252"/>
      <c r="G245" s="252"/>
      <c r="H245" s="232">
        <f t="shared" si="324"/>
        <v>0</v>
      </c>
      <c r="I245" s="252">
        <v>0</v>
      </c>
      <c r="J245" s="252"/>
      <c r="K245" s="252"/>
      <c r="L245" s="252"/>
      <c r="M245" s="232">
        <f t="shared" si="325"/>
        <v>0</v>
      </c>
      <c r="N245" s="252">
        <v>0</v>
      </c>
      <c r="O245" s="252"/>
      <c r="P245" s="252"/>
      <c r="Q245" s="252"/>
      <c r="R245" s="232">
        <f t="shared" si="326"/>
        <v>0</v>
      </c>
    </row>
    <row r="246" spans="1:18" s="29" customFormat="1" ht="48" hidden="1" customHeight="1">
      <c r="A246" s="142">
        <v>9720</v>
      </c>
      <c r="B246" s="183" t="s">
        <v>196</v>
      </c>
      <c r="C246" s="204"/>
      <c r="D246" s="204">
        <v>0</v>
      </c>
      <c r="E246" s="252"/>
      <c r="F246" s="252"/>
      <c r="G246" s="252"/>
      <c r="H246" s="232">
        <f t="shared" si="324"/>
        <v>0</v>
      </c>
      <c r="I246" s="252">
        <v>0</v>
      </c>
      <c r="J246" s="252"/>
      <c r="K246" s="252"/>
      <c r="L246" s="252"/>
      <c r="M246" s="232">
        <f t="shared" si="325"/>
        <v>0</v>
      </c>
      <c r="N246" s="252">
        <v>0</v>
      </c>
      <c r="O246" s="252"/>
      <c r="P246" s="252"/>
      <c r="Q246" s="252"/>
      <c r="R246" s="232">
        <f t="shared" si="326"/>
        <v>0</v>
      </c>
    </row>
    <row r="247" spans="1:18" s="29" customFormat="1" ht="24" hidden="1" customHeight="1">
      <c r="A247" s="141">
        <v>9600</v>
      </c>
      <c r="B247" s="179" t="s">
        <v>134</v>
      </c>
      <c r="C247" s="204"/>
      <c r="D247" s="204">
        <v>0</v>
      </c>
      <c r="E247" s="252"/>
      <c r="F247" s="252"/>
      <c r="G247" s="252"/>
      <c r="H247" s="232">
        <f t="shared" si="324"/>
        <v>0</v>
      </c>
      <c r="I247" s="252">
        <v>0</v>
      </c>
      <c r="J247" s="252"/>
      <c r="K247" s="252"/>
      <c r="L247" s="252"/>
      <c r="M247" s="232">
        <f t="shared" si="325"/>
        <v>0</v>
      </c>
      <c r="N247" s="252">
        <v>0</v>
      </c>
      <c r="O247" s="252"/>
      <c r="P247" s="252"/>
      <c r="Q247" s="252"/>
      <c r="R247" s="232">
        <f t="shared" si="326"/>
        <v>0</v>
      </c>
    </row>
    <row r="248" spans="1:18" s="29" customFormat="1" ht="52.5" hidden="1" customHeight="1">
      <c r="A248" s="130" t="s">
        <v>197</v>
      </c>
      <c r="B248" s="185" t="s">
        <v>47</v>
      </c>
      <c r="C248" s="206"/>
      <c r="D248" s="206">
        <v>0</v>
      </c>
      <c r="E248" s="262">
        <f t="shared" ref="E248:G248" si="423">E178-E203</f>
        <v>0</v>
      </c>
      <c r="F248" s="262">
        <f t="shared" ref="F248" si="424">F178-F203</f>
        <v>0</v>
      </c>
      <c r="G248" s="262">
        <f t="shared" si="423"/>
        <v>0</v>
      </c>
      <c r="H248" s="232">
        <f t="shared" si="324"/>
        <v>0</v>
      </c>
      <c r="I248" s="262">
        <v>0</v>
      </c>
      <c r="J248" s="262">
        <f t="shared" ref="J248:L248" si="425">J178-J203</f>
        <v>0</v>
      </c>
      <c r="K248" s="262">
        <f t="shared" ref="K248" si="426">K178-K203</f>
        <v>0</v>
      </c>
      <c r="L248" s="262">
        <f t="shared" si="425"/>
        <v>0</v>
      </c>
      <c r="M248" s="232">
        <f t="shared" si="325"/>
        <v>0</v>
      </c>
      <c r="N248" s="262">
        <v>0</v>
      </c>
      <c r="O248" s="262">
        <f t="shared" ref="O248:Q248" si="427">O178-O203</f>
        <v>0</v>
      </c>
      <c r="P248" s="262">
        <f t="shared" ref="P248" si="428">P178-P203</f>
        <v>0</v>
      </c>
      <c r="Q248" s="262">
        <f t="shared" si="427"/>
        <v>0</v>
      </c>
      <c r="R248" s="232">
        <f t="shared" si="326"/>
        <v>0</v>
      </c>
    </row>
    <row r="249" spans="1:18" s="29" customFormat="1" ht="12" hidden="1" customHeight="1">
      <c r="A249" s="143" t="s">
        <v>48</v>
      </c>
      <c r="B249" s="185" t="s">
        <v>49</v>
      </c>
      <c r="C249" s="206">
        <v>0</v>
      </c>
      <c r="D249" s="206">
        <v>0</v>
      </c>
      <c r="E249" s="262">
        <f t="shared" ref="E249:G249" si="429">E250+E253+E257+E256</f>
        <v>0</v>
      </c>
      <c r="F249" s="262">
        <f t="shared" ref="F249" si="430">F250+F253+F257+F256</f>
        <v>0</v>
      </c>
      <c r="G249" s="262">
        <f t="shared" si="429"/>
        <v>0</v>
      </c>
      <c r="H249" s="232">
        <f t="shared" si="324"/>
        <v>0</v>
      </c>
      <c r="I249" s="262">
        <v>0</v>
      </c>
      <c r="J249" s="262">
        <f t="shared" ref="J249:L249" si="431">J250+J253+J257+J256</f>
        <v>0</v>
      </c>
      <c r="K249" s="262">
        <f t="shared" ref="K249" si="432">K250+K253+K257+K256</f>
        <v>0</v>
      </c>
      <c r="L249" s="262">
        <f t="shared" si="431"/>
        <v>0</v>
      </c>
      <c r="M249" s="232">
        <f t="shared" si="325"/>
        <v>0</v>
      </c>
      <c r="N249" s="262">
        <v>0</v>
      </c>
      <c r="O249" s="262">
        <f t="shared" ref="O249:Q249" si="433">O250+O253+O257+O256</f>
        <v>0</v>
      </c>
      <c r="P249" s="262">
        <f t="shared" ref="P249" si="434">P250+P253+P257+P256</f>
        <v>0</v>
      </c>
      <c r="Q249" s="262">
        <f t="shared" si="433"/>
        <v>0</v>
      </c>
      <c r="R249" s="232">
        <f t="shared" si="326"/>
        <v>0</v>
      </c>
    </row>
    <row r="250" spans="1:18" s="29" customFormat="1" ht="12" hidden="1" customHeight="1">
      <c r="A250" s="141" t="s">
        <v>50</v>
      </c>
      <c r="B250" s="179" t="s">
        <v>51</v>
      </c>
      <c r="C250" s="98">
        <v>0</v>
      </c>
      <c r="D250" s="98">
        <v>0</v>
      </c>
      <c r="E250" s="231">
        <f t="shared" ref="E250:G250" si="435">E251+E252</f>
        <v>0</v>
      </c>
      <c r="F250" s="231">
        <f t="shared" ref="F250" si="436">F251+F252</f>
        <v>0</v>
      </c>
      <c r="G250" s="231">
        <f t="shared" si="435"/>
        <v>0</v>
      </c>
      <c r="H250" s="232">
        <f t="shared" si="324"/>
        <v>0</v>
      </c>
      <c r="I250" s="231">
        <v>0</v>
      </c>
      <c r="J250" s="231">
        <f t="shared" ref="J250:L250" si="437">J251+J252</f>
        <v>0</v>
      </c>
      <c r="K250" s="231">
        <f t="shared" ref="K250" si="438">K251+K252</f>
        <v>0</v>
      </c>
      <c r="L250" s="231">
        <f t="shared" si="437"/>
        <v>0</v>
      </c>
      <c r="M250" s="232">
        <f t="shared" si="325"/>
        <v>0</v>
      </c>
      <c r="N250" s="231">
        <v>0</v>
      </c>
      <c r="O250" s="231">
        <f t="shared" ref="O250:Q250" si="439">O251+O252</f>
        <v>0</v>
      </c>
      <c r="P250" s="231">
        <f t="shared" ref="P250" si="440">P251+P252</f>
        <v>0</v>
      </c>
      <c r="Q250" s="231">
        <f t="shared" si="439"/>
        <v>0</v>
      </c>
      <c r="R250" s="232">
        <f t="shared" si="326"/>
        <v>0</v>
      </c>
    </row>
    <row r="251" spans="1:18" s="29" customFormat="1" ht="12" hidden="1" customHeight="1">
      <c r="A251" s="141" t="s">
        <v>52</v>
      </c>
      <c r="B251" s="179" t="s">
        <v>53</v>
      </c>
      <c r="C251" s="98"/>
      <c r="D251" s="98">
        <v>0</v>
      </c>
      <c r="E251" s="231"/>
      <c r="F251" s="231"/>
      <c r="G251" s="231"/>
      <c r="H251" s="232">
        <f t="shared" si="324"/>
        <v>0</v>
      </c>
      <c r="I251" s="231">
        <v>0</v>
      </c>
      <c r="J251" s="231"/>
      <c r="K251" s="231"/>
      <c r="L251" s="231"/>
      <c r="M251" s="232">
        <f t="shared" si="325"/>
        <v>0</v>
      </c>
      <c r="N251" s="231">
        <v>0</v>
      </c>
      <c r="O251" s="231"/>
      <c r="P251" s="231"/>
      <c r="Q251" s="231"/>
      <c r="R251" s="232">
        <f t="shared" si="326"/>
        <v>0</v>
      </c>
    </row>
    <row r="252" spans="1:18" s="29" customFormat="1" ht="12" hidden="1" customHeight="1">
      <c r="A252" s="141" t="s">
        <v>54</v>
      </c>
      <c r="B252" s="179" t="s">
        <v>55</v>
      </c>
      <c r="C252" s="98"/>
      <c r="D252" s="98">
        <v>0</v>
      </c>
      <c r="E252" s="231"/>
      <c r="F252" s="231"/>
      <c r="G252" s="231"/>
      <c r="H252" s="232">
        <f t="shared" si="324"/>
        <v>0</v>
      </c>
      <c r="I252" s="231">
        <v>0</v>
      </c>
      <c r="J252" s="231"/>
      <c r="K252" s="231"/>
      <c r="L252" s="231"/>
      <c r="M252" s="232">
        <f t="shared" si="325"/>
        <v>0</v>
      </c>
      <c r="N252" s="231">
        <v>0</v>
      </c>
      <c r="O252" s="231"/>
      <c r="P252" s="231"/>
      <c r="Q252" s="231"/>
      <c r="R252" s="232">
        <f t="shared" si="326"/>
        <v>0</v>
      </c>
    </row>
    <row r="253" spans="1:18" s="29" customFormat="1" ht="12" hidden="1" customHeight="1">
      <c r="A253" s="141" t="s">
        <v>56</v>
      </c>
      <c r="B253" s="179" t="s">
        <v>57</v>
      </c>
      <c r="C253" s="98">
        <v>0</v>
      </c>
      <c r="D253" s="98">
        <v>0</v>
      </c>
      <c r="E253" s="231">
        <f t="shared" ref="E253:G253" si="441">E254+E255</f>
        <v>0</v>
      </c>
      <c r="F253" s="231">
        <f t="shared" ref="F253" si="442">F254+F255</f>
        <v>0</v>
      </c>
      <c r="G253" s="231">
        <f t="shared" si="441"/>
        <v>0</v>
      </c>
      <c r="H253" s="232">
        <f t="shared" si="324"/>
        <v>0</v>
      </c>
      <c r="I253" s="231">
        <v>0</v>
      </c>
      <c r="J253" s="231">
        <f t="shared" ref="J253:L253" si="443">J254+J255</f>
        <v>0</v>
      </c>
      <c r="K253" s="231">
        <f t="shared" ref="K253" si="444">K254+K255</f>
        <v>0</v>
      </c>
      <c r="L253" s="231">
        <f t="shared" si="443"/>
        <v>0</v>
      </c>
      <c r="M253" s="232">
        <f t="shared" si="325"/>
        <v>0</v>
      </c>
      <c r="N253" s="231">
        <v>0</v>
      </c>
      <c r="O253" s="231">
        <f t="shared" ref="O253:Q253" si="445">O254+O255</f>
        <v>0</v>
      </c>
      <c r="P253" s="231">
        <f t="shared" ref="P253" si="446">P254+P255</f>
        <v>0</v>
      </c>
      <c r="Q253" s="231">
        <f t="shared" si="445"/>
        <v>0</v>
      </c>
      <c r="R253" s="232">
        <f t="shared" si="326"/>
        <v>0</v>
      </c>
    </row>
    <row r="254" spans="1:18" s="29" customFormat="1" ht="12" hidden="1" customHeight="1">
      <c r="A254" s="141" t="s">
        <v>58</v>
      </c>
      <c r="B254" s="179" t="s">
        <v>59</v>
      </c>
      <c r="C254" s="98"/>
      <c r="D254" s="98">
        <v>0</v>
      </c>
      <c r="E254" s="231"/>
      <c r="F254" s="231"/>
      <c r="G254" s="231"/>
      <c r="H254" s="232">
        <f t="shared" si="324"/>
        <v>0</v>
      </c>
      <c r="I254" s="231">
        <v>0</v>
      </c>
      <c r="J254" s="231"/>
      <c r="K254" s="231"/>
      <c r="L254" s="231"/>
      <c r="M254" s="232">
        <f t="shared" si="325"/>
        <v>0</v>
      </c>
      <c r="N254" s="231">
        <v>0</v>
      </c>
      <c r="O254" s="231"/>
      <c r="P254" s="231"/>
      <c r="Q254" s="231"/>
      <c r="R254" s="232">
        <f t="shared" si="326"/>
        <v>0</v>
      </c>
    </row>
    <row r="255" spans="1:18" s="29" customFormat="1" ht="12" hidden="1" customHeight="1">
      <c r="A255" s="141" t="s">
        <v>60</v>
      </c>
      <c r="B255" s="179" t="s">
        <v>61</v>
      </c>
      <c r="C255" s="98"/>
      <c r="D255" s="98">
        <v>0</v>
      </c>
      <c r="E255" s="231"/>
      <c r="F255" s="231"/>
      <c r="G255" s="231"/>
      <c r="H255" s="232">
        <f t="shared" si="324"/>
        <v>0</v>
      </c>
      <c r="I255" s="231">
        <v>0</v>
      </c>
      <c r="J255" s="231"/>
      <c r="K255" s="231"/>
      <c r="L255" s="231"/>
      <c r="M255" s="232">
        <f t="shared" si="325"/>
        <v>0</v>
      </c>
      <c r="N255" s="231">
        <v>0</v>
      </c>
      <c r="O255" s="231"/>
      <c r="P255" s="231"/>
      <c r="Q255" s="231"/>
      <c r="R255" s="232">
        <f t="shared" si="326"/>
        <v>0</v>
      </c>
    </row>
    <row r="256" spans="1:18" s="29" customFormat="1" ht="12" hidden="1" customHeight="1">
      <c r="A256" s="141" t="s">
        <v>198</v>
      </c>
      <c r="B256" s="187" t="s">
        <v>168</v>
      </c>
      <c r="C256" s="98"/>
      <c r="D256" s="98">
        <v>0</v>
      </c>
      <c r="E256" s="231"/>
      <c r="F256" s="231"/>
      <c r="G256" s="231"/>
      <c r="H256" s="232">
        <f t="shared" si="324"/>
        <v>0</v>
      </c>
      <c r="I256" s="231">
        <v>0</v>
      </c>
      <c r="J256" s="231"/>
      <c r="K256" s="231"/>
      <c r="L256" s="231"/>
      <c r="M256" s="232">
        <f t="shared" si="325"/>
        <v>0</v>
      </c>
      <c r="N256" s="231">
        <v>0</v>
      </c>
      <c r="O256" s="231"/>
      <c r="P256" s="231"/>
      <c r="Q256" s="231"/>
      <c r="R256" s="232">
        <f t="shared" si="326"/>
        <v>0</v>
      </c>
    </row>
    <row r="257" spans="1:18" s="29" customFormat="1" ht="12" hidden="1" customHeight="1">
      <c r="A257" s="144" t="s">
        <v>62</v>
      </c>
      <c r="B257" s="125" t="s">
        <v>63</v>
      </c>
      <c r="C257" s="170">
        <v>0</v>
      </c>
      <c r="D257" s="170">
        <v>0</v>
      </c>
      <c r="E257" s="233">
        <f t="shared" ref="E257:G257" si="447">E258+E259+E260</f>
        <v>0</v>
      </c>
      <c r="F257" s="233">
        <f t="shared" ref="F257" si="448">F258+F259+F260</f>
        <v>0</v>
      </c>
      <c r="G257" s="233">
        <f t="shared" si="447"/>
        <v>0</v>
      </c>
      <c r="H257" s="232">
        <f t="shared" si="324"/>
        <v>0</v>
      </c>
      <c r="I257" s="233">
        <v>0</v>
      </c>
      <c r="J257" s="233">
        <f t="shared" ref="J257:L257" si="449">J258+J259+J260</f>
        <v>0</v>
      </c>
      <c r="K257" s="233">
        <f t="shared" ref="K257" si="450">K258+K259+K260</f>
        <v>0</v>
      </c>
      <c r="L257" s="233">
        <f t="shared" si="449"/>
        <v>0</v>
      </c>
      <c r="M257" s="232">
        <f t="shared" si="325"/>
        <v>0</v>
      </c>
      <c r="N257" s="233">
        <v>0</v>
      </c>
      <c r="O257" s="233">
        <f t="shared" ref="O257:Q257" si="451">O258+O259+O260</f>
        <v>0</v>
      </c>
      <c r="P257" s="233">
        <f t="shared" ref="P257" si="452">P258+P259+P260</f>
        <v>0</v>
      </c>
      <c r="Q257" s="233">
        <f t="shared" si="451"/>
        <v>0</v>
      </c>
      <c r="R257" s="232">
        <f t="shared" si="326"/>
        <v>0</v>
      </c>
    </row>
    <row r="258" spans="1:18" s="29" customFormat="1" ht="36" hidden="1" customHeight="1">
      <c r="A258" s="144" t="s">
        <v>64</v>
      </c>
      <c r="B258" s="179" t="s">
        <v>65</v>
      </c>
      <c r="C258" s="98"/>
      <c r="D258" s="98">
        <v>0</v>
      </c>
      <c r="E258" s="231"/>
      <c r="F258" s="231"/>
      <c r="G258" s="231"/>
      <c r="H258" s="232">
        <f t="shared" si="324"/>
        <v>0</v>
      </c>
      <c r="I258" s="231">
        <v>0</v>
      </c>
      <c r="J258" s="231"/>
      <c r="K258" s="231"/>
      <c r="L258" s="231"/>
      <c r="M258" s="232">
        <f t="shared" si="325"/>
        <v>0</v>
      </c>
      <c r="N258" s="231">
        <v>0</v>
      </c>
      <c r="O258" s="231"/>
      <c r="P258" s="231"/>
      <c r="Q258" s="231"/>
      <c r="R258" s="232">
        <f t="shared" si="326"/>
        <v>0</v>
      </c>
    </row>
    <row r="259" spans="1:18" s="29" customFormat="1" ht="36" hidden="1" customHeight="1">
      <c r="A259" s="144" t="s">
        <v>66</v>
      </c>
      <c r="B259" s="179" t="s">
        <v>67</v>
      </c>
      <c r="C259" s="98"/>
      <c r="D259" s="98">
        <v>0</v>
      </c>
      <c r="E259" s="231"/>
      <c r="F259" s="231"/>
      <c r="G259" s="231"/>
      <c r="H259" s="232">
        <f t="shared" si="324"/>
        <v>0</v>
      </c>
      <c r="I259" s="231">
        <v>0</v>
      </c>
      <c r="J259" s="231"/>
      <c r="K259" s="231"/>
      <c r="L259" s="231"/>
      <c r="M259" s="232">
        <f t="shared" si="325"/>
        <v>0</v>
      </c>
      <c r="N259" s="231">
        <v>0</v>
      </c>
      <c r="O259" s="231"/>
      <c r="P259" s="231"/>
      <c r="Q259" s="231"/>
      <c r="R259" s="232">
        <f t="shared" si="326"/>
        <v>0</v>
      </c>
    </row>
    <row r="260" spans="1:18" s="29" customFormat="1" ht="24" hidden="1" customHeight="1">
      <c r="A260" s="144" t="s">
        <v>68</v>
      </c>
      <c r="B260" s="125" t="s">
        <v>69</v>
      </c>
      <c r="C260" s="98"/>
      <c r="D260" s="98">
        <v>0</v>
      </c>
      <c r="E260" s="231"/>
      <c r="F260" s="231"/>
      <c r="G260" s="231"/>
      <c r="H260" s="232">
        <f t="shared" si="324"/>
        <v>0</v>
      </c>
      <c r="I260" s="231">
        <v>0</v>
      </c>
      <c r="J260" s="231"/>
      <c r="K260" s="231"/>
      <c r="L260" s="231"/>
      <c r="M260" s="232">
        <f t="shared" si="325"/>
        <v>0</v>
      </c>
      <c r="N260" s="231">
        <v>0</v>
      </c>
      <c r="O260" s="231"/>
      <c r="P260" s="231"/>
      <c r="Q260" s="231"/>
      <c r="R260" s="232">
        <f t="shared" si="326"/>
        <v>0</v>
      </c>
    </row>
    <row r="261" spans="1:18" s="29" customFormat="1" ht="12">
      <c r="A261" s="271"/>
      <c r="B261" s="272"/>
      <c r="C261" s="253"/>
      <c r="D261" s="254"/>
      <c r="E261" s="253"/>
      <c r="F261" s="253"/>
      <c r="G261" s="253"/>
      <c r="H261" s="232"/>
      <c r="I261" s="254"/>
      <c r="J261" s="253"/>
      <c r="K261" s="253"/>
      <c r="L261" s="253"/>
      <c r="M261" s="232"/>
      <c r="N261" s="254"/>
      <c r="O261" s="253"/>
      <c r="P261" s="253"/>
      <c r="Q261" s="253"/>
      <c r="R261" s="232"/>
    </row>
    <row r="262" spans="1:18" ht="12">
      <c r="A262" s="33"/>
      <c r="B262" s="164"/>
      <c r="C262" s="165"/>
      <c r="D262" s="163"/>
      <c r="E262" s="165"/>
      <c r="F262" s="163"/>
      <c r="G262" s="163"/>
      <c r="H262" s="163"/>
      <c r="I262" s="163"/>
      <c r="J262" s="165"/>
      <c r="K262" s="163"/>
      <c r="L262" s="163"/>
      <c r="M262" s="163"/>
      <c r="N262" s="163"/>
      <c r="O262" s="165"/>
      <c r="P262" s="163"/>
      <c r="Q262" s="163"/>
      <c r="R262" s="163"/>
    </row>
    <row r="263" spans="1:18" ht="12">
      <c r="A263" s="33"/>
      <c r="B263" s="164"/>
      <c r="C263" s="165"/>
      <c r="D263" s="163"/>
      <c r="E263" s="165"/>
      <c r="F263" s="163"/>
      <c r="G263" s="163"/>
      <c r="H263" s="163"/>
      <c r="I263" s="163"/>
      <c r="J263" s="165"/>
      <c r="K263" s="163"/>
      <c r="L263" s="163"/>
      <c r="M263" s="163"/>
      <c r="N263" s="163"/>
      <c r="O263" s="165"/>
      <c r="P263" s="163"/>
      <c r="Q263" s="163"/>
      <c r="R263" s="163"/>
    </row>
    <row r="264" spans="1:18" ht="13.2">
      <c r="A264" s="369" t="s">
        <v>236</v>
      </c>
      <c r="B264" s="370" t="s">
        <v>237</v>
      </c>
      <c r="C264" s="482"/>
      <c r="D264" s="482"/>
      <c r="E264" s="482"/>
      <c r="F264" s="482"/>
      <c r="G264" s="482"/>
      <c r="H264" s="482"/>
      <c r="I264" s="482"/>
      <c r="J264" s="482"/>
      <c r="K264" s="482"/>
      <c r="L264" s="482"/>
      <c r="M264" s="482"/>
      <c r="N264" s="482"/>
      <c r="O264" s="482"/>
      <c r="P264" s="482"/>
      <c r="Q264" s="482"/>
      <c r="R264" s="482"/>
    </row>
    <row r="265" spans="1:18" ht="13.2">
      <c r="A265" s="371"/>
      <c r="B265" s="372" t="s">
        <v>238</v>
      </c>
      <c r="C265" s="482"/>
      <c r="D265" s="482"/>
      <c r="E265" s="482"/>
      <c r="F265" s="482"/>
      <c r="G265" s="482"/>
      <c r="H265" s="482"/>
      <c r="I265" s="482"/>
      <c r="J265" s="482"/>
      <c r="K265" s="482"/>
      <c r="L265" s="482"/>
      <c r="M265" s="482"/>
      <c r="N265" s="482"/>
      <c r="O265" s="482"/>
      <c r="P265" s="482"/>
      <c r="Q265" s="482"/>
      <c r="R265" s="482"/>
    </row>
    <row r="266" spans="1:18" ht="13.2">
      <c r="A266" s="373" t="s">
        <v>223</v>
      </c>
      <c r="B266" s="374" t="s">
        <v>434</v>
      </c>
      <c r="C266" s="482"/>
      <c r="D266" s="482"/>
      <c r="E266" s="482"/>
      <c r="F266" s="482"/>
      <c r="G266" s="482"/>
      <c r="H266" s="482"/>
      <c r="I266" s="482"/>
      <c r="J266" s="482"/>
      <c r="K266" s="482"/>
      <c r="L266" s="482"/>
      <c r="M266" s="482"/>
      <c r="N266" s="482"/>
      <c r="O266" s="482"/>
      <c r="P266" s="482"/>
      <c r="Q266" s="482"/>
      <c r="R266" s="482"/>
    </row>
    <row r="267" spans="1:18" ht="13.2">
      <c r="A267" s="375" t="s">
        <v>240</v>
      </c>
      <c r="B267" s="376" t="s">
        <v>241</v>
      </c>
      <c r="C267" s="482"/>
      <c r="D267" s="482"/>
      <c r="E267" s="482"/>
      <c r="F267" s="482"/>
      <c r="G267" s="482"/>
      <c r="H267" s="482"/>
      <c r="I267" s="482"/>
      <c r="J267" s="482"/>
      <c r="K267" s="482"/>
      <c r="L267" s="482"/>
      <c r="M267" s="482"/>
      <c r="N267" s="482"/>
      <c r="O267" s="482"/>
      <c r="P267" s="482"/>
      <c r="Q267" s="482"/>
      <c r="R267" s="482"/>
    </row>
    <row r="268" spans="1:18" ht="13.2">
      <c r="A268" s="377"/>
      <c r="B268" s="376"/>
      <c r="C268" s="482"/>
      <c r="D268" s="482"/>
      <c r="E268" s="482"/>
      <c r="F268" s="482"/>
      <c r="G268" s="482"/>
      <c r="H268" s="482"/>
      <c r="I268" s="482"/>
      <c r="J268" s="482"/>
      <c r="K268" s="482"/>
      <c r="L268" s="482"/>
      <c r="M268" s="482"/>
      <c r="N268" s="482"/>
      <c r="O268" s="482"/>
      <c r="P268" s="482"/>
      <c r="Q268" s="482"/>
      <c r="R268" s="482"/>
    </row>
    <row r="269" spans="1:18" ht="13.2">
      <c r="A269" s="378" t="s">
        <v>224</v>
      </c>
      <c r="B269" s="374" t="s">
        <v>242</v>
      </c>
      <c r="C269" s="482"/>
      <c r="D269" s="482"/>
      <c r="E269" s="482"/>
      <c r="F269" s="482"/>
      <c r="G269" s="548">
        <f>SUM(G270:G272)</f>
        <v>-7833637</v>
      </c>
      <c r="H269" s="482"/>
      <c r="I269" s="482"/>
      <c r="J269" s="482"/>
      <c r="K269" s="548">
        <f>K270</f>
        <v>26442121</v>
      </c>
      <c r="L269" s="548">
        <f>SUM(L270:L272)</f>
        <v>-21119859</v>
      </c>
      <c r="M269" s="548"/>
      <c r="N269" s="548"/>
      <c r="O269" s="548"/>
      <c r="P269" s="548">
        <f>P270</f>
        <v>37297427</v>
      </c>
      <c r="Q269" s="548">
        <f>SUM(Q270:Q272)</f>
        <v>-40113506</v>
      </c>
      <c r="R269" s="482"/>
    </row>
    <row r="270" spans="1:18" ht="92.4" customHeight="1">
      <c r="A270" s="375" t="s">
        <v>243</v>
      </c>
      <c r="B270" s="376" t="s">
        <v>396</v>
      </c>
      <c r="C270" s="482"/>
      <c r="D270" s="482"/>
      <c r="E270" s="482"/>
      <c r="F270" s="482"/>
      <c r="G270" s="482"/>
      <c r="H270" s="482"/>
      <c r="I270" s="482"/>
      <c r="J270" s="482"/>
      <c r="K270" s="482">
        <v>26442121</v>
      </c>
      <c r="L270" s="482"/>
      <c r="M270" s="482"/>
      <c r="N270" s="482"/>
      <c r="O270" s="482"/>
      <c r="P270" s="482">
        <v>37297427</v>
      </c>
      <c r="Q270" s="482"/>
      <c r="R270" s="482"/>
    </row>
    <row r="271" spans="1:18" ht="13.2">
      <c r="A271" s="375" t="s">
        <v>250</v>
      </c>
      <c r="B271" s="376" t="s">
        <v>1074</v>
      </c>
      <c r="C271" s="482"/>
      <c r="D271" s="482"/>
      <c r="E271" s="482"/>
      <c r="F271" s="482"/>
      <c r="G271" s="482">
        <f>-7331031</f>
        <v>-7331031</v>
      </c>
      <c r="H271" s="482"/>
      <c r="I271" s="482"/>
      <c r="J271" s="482"/>
      <c r="K271" s="482"/>
      <c r="L271" s="482">
        <f>-20383069</f>
        <v>-20383069</v>
      </c>
      <c r="M271" s="482"/>
      <c r="N271" s="482"/>
      <c r="O271" s="482"/>
      <c r="P271" s="482"/>
      <c r="Q271" s="482">
        <f>-39405634</f>
        <v>-39405634</v>
      </c>
      <c r="R271" s="482"/>
    </row>
    <row r="272" spans="1:18" ht="26.4">
      <c r="A272" s="375" t="s">
        <v>257</v>
      </c>
      <c r="B272" s="376" t="s">
        <v>1075</v>
      </c>
      <c r="C272" s="482"/>
      <c r="D272" s="482"/>
      <c r="E272" s="482"/>
      <c r="F272" s="482"/>
      <c r="G272" s="482">
        <f>-502606</f>
        <v>-502606</v>
      </c>
      <c r="H272" s="482"/>
      <c r="I272" s="482"/>
      <c r="J272" s="482"/>
      <c r="K272" s="482"/>
      <c r="L272" s="482">
        <f>-736790</f>
        <v>-736790</v>
      </c>
      <c r="M272" s="482"/>
      <c r="N272" s="482"/>
      <c r="O272" s="482"/>
      <c r="P272" s="482"/>
      <c r="Q272" s="482">
        <f>-707872</f>
        <v>-707872</v>
      </c>
      <c r="R272" s="482"/>
    </row>
    <row r="273" spans="1:31" ht="13.2">
      <c r="A273" s="377"/>
      <c r="B273" s="376"/>
      <c r="C273" s="482"/>
      <c r="D273" s="482"/>
      <c r="E273" s="482"/>
      <c r="F273" s="482"/>
      <c r="G273" s="482"/>
      <c r="H273" s="482"/>
      <c r="I273" s="482"/>
      <c r="J273" s="482"/>
      <c r="K273" s="482"/>
      <c r="L273" s="482"/>
      <c r="M273" s="482"/>
      <c r="N273" s="482"/>
      <c r="O273" s="482"/>
      <c r="P273" s="482"/>
      <c r="Q273" s="482"/>
      <c r="R273" s="482"/>
    </row>
    <row r="274" spans="1:31" ht="13.2">
      <c r="A274" s="369" t="s">
        <v>245</v>
      </c>
      <c r="B274" s="370" t="s">
        <v>140</v>
      </c>
      <c r="C274" s="482"/>
      <c r="D274" s="482"/>
      <c r="E274" s="482"/>
      <c r="F274" s="482"/>
      <c r="G274" s="482"/>
      <c r="H274" s="482"/>
      <c r="I274" s="482"/>
      <c r="J274" s="482"/>
      <c r="K274" s="482"/>
      <c r="L274" s="482"/>
      <c r="M274" s="482"/>
      <c r="N274" s="482"/>
      <c r="O274" s="482"/>
      <c r="P274" s="482"/>
      <c r="Q274" s="482"/>
      <c r="R274" s="482"/>
    </row>
    <row r="275" spans="1:31" ht="13.2">
      <c r="A275" s="371"/>
      <c r="B275" s="372" t="s">
        <v>238</v>
      </c>
      <c r="C275" s="482"/>
      <c r="D275" s="482"/>
      <c r="E275" s="482"/>
      <c r="F275" s="482"/>
      <c r="G275" s="482"/>
      <c r="H275" s="482"/>
      <c r="I275" s="482"/>
      <c r="J275" s="482"/>
      <c r="K275" s="482"/>
      <c r="L275" s="482"/>
      <c r="M275" s="482"/>
      <c r="N275" s="482"/>
      <c r="O275" s="482"/>
      <c r="P275" s="482"/>
      <c r="Q275" s="482"/>
      <c r="R275" s="482"/>
    </row>
    <row r="276" spans="1:31" ht="13.2">
      <c r="A276" s="373" t="s">
        <v>223</v>
      </c>
      <c r="B276" s="374" t="s">
        <v>434</v>
      </c>
      <c r="C276" s="482"/>
      <c r="D276" s="482"/>
      <c r="E276" s="546">
        <f>SUM(E277:E307)</f>
        <v>-10231389</v>
      </c>
      <c r="F276" s="546"/>
      <c r="G276" s="546"/>
      <c r="H276" s="546"/>
      <c r="I276" s="546"/>
      <c r="J276" s="546">
        <f t="shared" ref="J276:O276" si="453">SUM(J277:J307)</f>
        <v>-21817097</v>
      </c>
      <c r="K276" s="546"/>
      <c r="L276" s="546"/>
      <c r="M276" s="546"/>
      <c r="N276" s="546"/>
      <c r="O276" s="546">
        <f t="shared" si="453"/>
        <v>-5707882</v>
      </c>
      <c r="P276" s="482"/>
      <c r="Q276" s="482"/>
      <c r="R276" s="482"/>
    </row>
    <row r="277" spans="1:31" ht="52.8">
      <c r="A277" s="377"/>
      <c r="B277" s="453" t="s">
        <v>310</v>
      </c>
      <c r="C277" s="482"/>
      <c r="D277" s="482"/>
      <c r="E277" s="482">
        <v>-587081</v>
      </c>
      <c r="F277" s="482"/>
      <c r="G277" s="482"/>
      <c r="H277" s="482"/>
      <c r="I277" s="482"/>
      <c r="J277" s="482">
        <v>-520</v>
      </c>
      <c r="K277" s="482"/>
      <c r="L277" s="482"/>
      <c r="M277" s="482"/>
      <c r="N277" s="482"/>
      <c r="O277" s="482"/>
      <c r="P277" s="482"/>
      <c r="Q277" s="482"/>
      <c r="R277" s="482"/>
    </row>
    <row r="278" spans="1:31" ht="39.6">
      <c r="A278" s="377"/>
      <c r="B278" s="453" t="s">
        <v>311</v>
      </c>
      <c r="C278" s="482"/>
      <c r="D278" s="482"/>
      <c r="E278" s="482">
        <v>-11244</v>
      </c>
      <c r="F278" s="482"/>
      <c r="G278" s="482"/>
      <c r="H278" s="482"/>
      <c r="I278" s="482"/>
      <c r="J278" s="482"/>
      <c r="K278" s="482"/>
      <c r="L278" s="482"/>
      <c r="M278" s="482"/>
      <c r="N278" s="482"/>
      <c r="O278" s="482"/>
      <c r="P278" s="482"/>
      <c r="Q278" s="482"/>
      <c r="R278" s="482"/>
    </row>
    <row r="279" spans="1:31" ht="39.6">
      <c r="A279" s="377"/>
      <c r="B279" s="453" t="s">
        <v>312</v>
      </c>
      <c r="C279" s="482"/>
      <c r="D279" s="482"/>
      <c r="E279" s="482">
        <v>-4204</v>
      </c>
      <c r="F279" s="482"/>
      <c r="G279" s="482"/>
      <c r="H279" s="482"/>
      <c r="I279" s="482"/>
      <c r="J279" s="482"/>
      <c r="K279" s="482"/>
      <c r="L279" s="482"/>
      <c r="M279" s="482"/>
      <c r="N279" s="482"/>
      <c r="O279" s="482"/>
      <c r="P279" s="482"/>
      <c r="Q279" s="482"/>
      <c r="R279" s="482"/>
    </row>
    <row r="280" spans="1:31" ht="39.6">
      <c r="A280" s="377"/>
      <c r="B280" s="376" t="s">
        <v>321</v>
      </c>
      <c r="C280" s="45"/>
      <c r="D280" s="45"/>
      <c r="E280" s="493">
        <v>-7831</v>
      </c>
      <c r="F280" s="163"/>
      <c r="G280" s="163"/>
      <c r="H280" s="163"/>
      <c r="I280" s="163"/>
      <c r="J280" s="165"/>
      <c r="K280" s="163"/>
      <c r="L280" s="163"/>
      <c r="M280" s="163"/>
      <c r="N280" s="163"/>
      <c r="O280" s="165"/>
      <c r="P280" s="163"/>
      <c r="Q280" s="163"/>
      <c r="R280" s="163"/>
    </row>
    <row r="281" spans="1:31" ht="13.2">
      <c r="A281" s="377"/>
      <c r="B281" s="904" t="s">
        <v>1008</v>
      </c>
      <c r="C281" s="45"/>
      <c r="D281" s="45"/>
      <c r="E281" s="45"/>
      <c r="F281" s="163"/>
      <c r="G281" s="163"/>
      <c r="H281" s="163"/>
      <c r="I281" s="163"/>
      <c r="J281" s="165"/>
      <c r="K281" s="163"/>
      <c r="L281" s="163"/>
      <c r="M281" s="163"/>
      <c r="N281" s="163"/>
      <c r="O281" s="165"/>
      <c r="P281" s="163"/>
      <c r="Q281" s="163"/>
      <c r="R281" s="163"/>
    </row>
    <row r="282" spans="1:31" s="45" customFormat="1" ht="39.6">
      <c r="A282" s="498"/>
      <c r="B282" s="418" t="s">
        <v>1006</v>
      </c>
      <c r="C282" s="584"/>
      <c r="D282" s="585"/>
      <c r="E282" s="584">
        <v>-2265007</v>
      </c>
      <c r="F282" s="585"/>
      <c r="G282" s="585"/>
      <c r="H282" s="585"/>
      <c r="I282" s="585"/>
      <c r="J282" s="584">
        <v>-2873774</v>
      </c>
      <c r="K282" s="585"/>
      <c r="L282" s="585"/>
      <c r="M282" s="585"/>
      <c r="N282" s="585"/>
      <c r="O282" s="584">
        <v>-3034184</v>
      </c>
      <c r="P282" s="585"/>
      <c r="Q282" s="585"/>
      <c r="R282" s="585"/>
    </row>
    <row r="283" spans="1:31" s="45" customFormat="1" ht="69.599999999999994" customHeight="1">
      <c r="A283" s="498"/>
      <c r="B283" s="475" t="s">
        <v>1007</v>
      </c>
      <c r="C283" s="482"/>
      <c r="D283" s="483"/>
      <c r="E283" s="482">
        <v>-6500</v>
      </c>
      <c r="F283" s="485"/>
      <c r="G283" s="485"/>
      <c r="H283" s="482"/>
      <c r="I283" s="482"/>
      <c r="J283" s="482"/>
      <c r="K283" s="482"/>
      <c r="L283" s="482"/>
      <c r="M283" s="482"/>
      <c r="N283" s="482"/>
      <c r="O283" s="482"/>
      <c r="P283" s="482"/>
      <c r="Q283" s="482"/>
      <c r="R283" s="482"/>
    </row>
    <row r="284" spans="1:31" s="45" customFormat="1" ht="88.2" customHeight="1">
      <c r="A284" s="498"/>
      <c r="B284" s="418" t="s">
        <v>991</v>
      </c>
      <c r="C284" s="584"/>
      <c r="D284" s="585"/>
      <c r="E284" s="584">
        <v>-12890</v>
      </c>
      <c r="F284" s="562"/>
      <c r="G284" s="562"/>
      <c r="H284" s="562"/>
      <c r="I284" s="562"/>
      <c r="J284" s="562"/>
      <c r="K284" s="562"/>
      <c r="L284" s="562"/>
      <c r="M284" s="562"/>
      <c r="N284" s="562"/>
      <c r="O284" s="562"/>
      <c r="P284" s="562"/>
      <c r="Q284" s="562"/>
      <c r="AC284" s="553"/>
      <c r="AD284" s="553"/>
      <c r="AE284" s="553"/>
    </row>
    <row r="285" spans="1:31" s="45" customFormat="1" ht="89.25" customHeight="1">
      <c r="A285" s="498"/>
      <c r="B285" s="418" t="s">
        <v>991</v>
      </c>
      <c r="E285" s="482">
        <v>-25977</v>
      </c>
      <c r="F285" s="562"/>
      <c r="G285" s="562"/>
      <c r="H285" s="562"/>
      <c r="I285" s="562"/>
      <c r="J285" s="562"/>
      <c r="K285" s="562"/>
      <c r="L285" s="562"/>
      <c r="M285" s="562"/>
      <c r="N285" s="562"/>
      <c r="O285" s="562"/>
      <c r="P285" s="562"/>
      <c r="Q285" s="562"/>
      <c r="AC285" s="553"/>
      <c r="AD285" s="553"/>
      <c r="AE285" s="553"/>
    </row>
    <row r="286" spans="1:31" s="45" customFormat="1" ht="69.599999999999994" customHeight="1">
      <c r="A286" s="498"/>
      <c r="B286" s="958" t="s">
        <v>1013</v>
      </c>
      <c r="C286" s="957"/>
      <c r="D286" s="832"/>
      <c r="E286" s="1352">
        <f>1474286-73</f>
        <v>1474213</v>
      </c>
      <c r="F286" s="832"/>
      <c r="G286" s="832"/>
      <c r="H286" s="832"/>
      <c r="I286" s="832"/>
      <c r="J286" s="832">
        <v>620539</v>
      </c>
      <c r="K286" s="832"/>
      <c r="L286" s="832"/>
      <c r="M286" s="832"/>
      <c r="N286" s="832"/>
      <c r="O286" s="832">
        <v>335022</v>
      </c>
      <c r="P286" s="832"/>
      <c r="Q286" s="832"/>
      <c r="R286" s="832"/>
      <c r="AC286" s="553"/>
      <c r="AD286" s="553"/>
      <c r="AE286" s="553"/>
    </row>
    <row r="287" spans="1:31" s="312" customFormat="1" ht="92.4">
      <c r="A287" s="498"/>
      <c r="B287" s="428" t="s">
        <v>992</v>
      </c>
      <c r="C287" s="482"/>
      <c r="D287" s="483"/>
      <c r="E287" s="950">
        <v>-1050000</v>
      </c>
      <c r="F287" s="951"/>
      <c r="G287" s="951"/>
      <c r="H287" s="951"/>
      <c r="I287" s="951"/>
      <c r="J287" s="950">
        <v>-1360000</v>
      </c>
      <c r="K287" s="951"/>
      <c r="L287" s="951"/>
      <c r="M287" s="951"/>
      <c r="N287" s="951"/>
      <c r="O287" s="950">
        <v>-250028</v>
      </c>
      <c r="P287" s="483"/>
      <c r="Q287" s="562"/>
      <c r="R287" s="45"/>
      <c r="S287" s="45"/>
    </row>
    <row r="288" spans="1:31" s="312" customFormat="1" ht="53.25" customHeight="1">
      <c r="A288" s="498"/>
      <c r="B288" s="376" t="s">
        <v>993</v>
      </c>
      <c r="C288" s="482"/>
      <c r="D288" s="483"/>
      <c r="E288" s="950">
        <v>-516173</v>
      </c>
      <c r="F288" s="951"/>
      <c r="G288" s="951"/>
      <c r="H288" s="951"/>
      <c r="I288" s="951"/>
      <c r="J288" s="950"/>
      <c r="K288" s="951"/>
      <c r="L288" s="951"/>
      <c r="M288" s="951"/>
      <c r="N288" s="951"/>
      <c r="O288" s="950"/>
      <c r="P288" s="483"/>
      <c r="Q288" s="562"/>
      <c r="R288" s="45"/>
      <c r="S288" s="45"/>
    </row>
    <row r="289" spans="1:31" s="312" customFormat="1" ht="69.599999999999994" customHeight="1">
      <c r="A289" s="498"/>
      <c r="B289" s="813" t="s">
        <v>995</v>
      </c>
      <c r="C289" s="482"/>
      <c r="D289" s="483"/>
      <c r="E289" s="950">
        <v>-165</v>
      </c>
      <c r="F289" s="483"/>
      <c r="G289" s="483"/>
      <c r="H289" s="483"/>
      <c r="I289" s="483"/>
      <c r="J289" s="950">
        <v>-47365</v>
      </c>
      <c r="K289" s="483"/>
      <c r="L289" s="483"/>
      <c r="M289" s="483"/>
      <c r="N289" s="483"/>
      <c r="O289" s="950">
        <v>-206740</v>
      </c>
      <c r="P289" s="483"/>
      <c r="Q289" s="562"/>
      <c r="R289" s="45"/>
      <c r="S289" s="45"/>
    </row>
    <row r="290" spans="1:31" s="312" customFormat="1" ht="28.8" customHeight="1">
      <c r="A290" s="498"/>
      <c r="B290" s="428" t="s">
        <v>996</v>
      </c>
      <c r="C290" s="952"/>
      <c r="D290" s="699"/>
      <c r="E290" s="953">
        <v>-8153967</v>
      </c>
      <c r="F290" s="699"/>
      <c r="G290" s="699"/>
      <c r="H290" s="699"/>
      <c r="I290" s="699"/>
      <c r="J290" s="952"/>
      <c r="K290" s="699"/>
      <c r="L290" s="699"/>
      <c r="M290" s="699"/>
      <c r="N290" s="699"/>
      <c r="O290" s="952"/>
      <c r="P290" s="699"/>
      <c r="Q290" s="562"/>
      <c r="R290" s="45"/>
      <c r="S290" s="45"/>
    </row>
    <row r="291" spans="1:31" s="312" customFormat="1" ht="30" customHeight="1">
      <c r="A291" s="498"/>
      <c r="B291" s="814" t="s">
        <v>996</v>
      </c>
      <c r="C291" s="952"/>
      <c r="D291" s="699"/>
      <c r="E291" s="952"/>
      <c r="F291" s="699"/>
      <c r="G291" s="699"/>
      <c r="H291" s="699"/>
      <c r="I291" s="699"/>
      <c r="J291" s="953">
        <v>-10141500</v>
      </c>
      <c r="K291" s="699"/>
      <c r="L291" s="699"/>
      <c r="M291" s="699"/>
      <c r="N291" s="699"/>
      <c r="O291" s="952"/>
      <c r="P291" s="699"/>
      <c r="Q291" s="562"/>
      <c r="R291" s="45"/>
      <c r="S291" s="45"/>
    </row>
    <row r="292" spans="1:31" s="312" customFormat="1" ht="26.4">
      <c r="A292" s="377"/>
      <c r="B292" s="428" t="s">
        <v>996</v>
      </c>
      <c r="C292" s="482"/>
      <c r="D292" s="483"/>
      <c r="E292" s="482"/>
      <c r="F292" s="483"/>
      <c r="G292" s="483"/>
      <c r="H292" s="483"/>
      <c r="I292" s="483"/>
      <c r="J292" s="482"/>
      <c r="K292" s="483"/>
      <c r="L292" s="483"/>
      <c r="M292" s="483"/>
      <c r="N292" s="483"/>
      <c r="O292" s="482">
        <v>-3120542</v>
      </c>
      <c r="P292" s="483"/>
      <c r="Q292" s="562"/>
      <c r="R292" s="45"/>
      <c r="S292" s="45"/>
    </row>
    <row r="293" spans="1:31" s="45" customFormat="1" ht="75.599999999999994" customHeight="1">
      <c r="A293" s="377"/>
      <c r="B293" s="418" t="s">
        <v>997</v>
      </c>
      <c r="E293" s="562">
        <v>-1526866</v>
      </c>
      <c r="F293" s="562"/>
      <c r="G293" s="562"/>
      <c r="H293" s="562"/>
      <c r="I293" s="562"/>
      <c r="J293" s="562"/>
      <c r="K293" s="562"/>
      <c r="L293" s="562"/>
      <c r="M293" s="562"/>
      <c r="N293" s="562"/>
      <c r="O293" s="562"/>
      <c r="P293" s="562"/>
      <c r="Q293" s="562"/>
      <c r="AC293" s="553"/>
      <c r="AD293" s="553"/>
      <c r="AE293" s="553"/>
    </row>
    <row r="294" spans="1:31" s="45" customFormat="1" ht="67.8" customHeight="1">
      <c r="A294" s="377"/>
      <c r="B294" s="418" t="s">
        <v>998</v>
      </c>
      <c r="E294" s="562">
        <v>-512916</v>
      </c>
      <c r="F294" s="562"/>
      <c r="G294" s="562"/>
      <c r="H294" s="562"/>
      <c r="I294" s="562"/>
      <c r="J294" s="562"/>
      <c r="K294" s="562"/>
      <c r="L294" s="562"/>
      <c r="M294" s="562"/>
      <c r="N294" s="562"/>
      <c r="O294" s="562"/>
      <c r="P294" s="562"/>
      <c r="Q294" s="562"/>
      <c r="AC294" s="553"/>
      <c r="AD294" s="553"/>
      <c r="AE294" s="553"/>
    </row>
    <row r="295" spans="1:31" s="45" customFormat="1" ht="79.2">
      <c r="A295" s="459"/>
      <c r="B295" s="418" t="s">
        <v>1003</v>
      </c>
      <c r="C295" s="584"/>
      <c r="D295" s="585"/>
      <c r="E295" s="584">
        <v>-8130</v>
      </c>
      <c r="F295" s="584"/>
      <c r="G295" s="584"/>
      <c r="H295" s="584"/>
      <c r="I295" s="584"/>
      <c r="J295" s="584"/>
      <c r="K295" s="585"/>
      <c r="L295" s="585"/>
      <c r="M295" s="585"/>
      <c r="N295" s="585"/>
      <c r="O295" s="584"/>
      <c r="P295" s="585"/>
      <c r="Q295" s="585"/>
      <c r="R295" s="585"/>
    </row>
    <row r="296" spans="1:31" s="45" customFormat="1" ht="42" customHeight="1">
      <c r="A296" s="459"/>
      <c r="B296" s="418" t="s">
        <v>1004</v>
      </c>
      <c r="C296" s="584"/>
      <c r="D296" s="585"/>
      <c r="E296" s="584">
        <v>-3463</v>
      </c>
      <c r="F296" s="584"/>
      <c r="G296" s="584"/>
      <c r="H296" s="584"/>
      <c r="I296" s="584"/>
      <c r="J296" s="584">
        <v>-10426</v>
      </c>
      <c r="K296" s="585"/>
      <c r="L296" s="585"/>
      <c r="M296" s="585"/>
      <c r="N296" s="585"/>
      <c r="O296" s="584"/>
      <c r="P296" s="585"/>
      <c r="Q296" s="585"/>
      <c r="R296" s="585"/>
    </row>
    <row r="297" spans="1:31" ht="52.8">
      <c r="A297" s="377"/>
      <c r="B297" s="376" t="s">
        <v>1066</v>
      </c>
      <c r="C297" s="45"/>
      <c r="D297" s="45"/>
      <c r="E297" s="562">
        <v>374760</v>
      </c>
      <c r="F297" s="562"/>
      <c r="G297" s="562"/>
      <c r="H297" s="562"/>
      <c r="I297" s="562"/>
      <c r="J297" s="562">
        <v>531419</v>
      </c>
      <c r="K297" s="562"/>
      <c r="L297" s="562"/>
      <c r="M297" s="562"/>
      <c r="N297" s="562"/>
      <c r="O297" s="562">
        <v>568590</v>
      </c>
      <c r="P297" s="562"/>
      <c r="Q297" s="562"/>
      <c r="R297" s="45"/>
    </row>
    <row r="298" spans="1:31" ht="52.8">
      <c r="A298" s="377"/>
      <c r="B298" s="376" t="s">
        <v>1067</v>
      </c>
      <c r="C298" s="45"/>
      <c r="D298" s="45"/>
      <c r="E298" s="562">
        <v>2637375</v>
      </c>
      <c r="F298" s="562"/>
      <c r="G298" s="562"/>
      <c r="H298" s="562"/>
      <c r="I298" s="562"/>
      <c r="J298" s="562">
        <v>-8526349</v>
      </c>
      <c r="K298" s="562"/>
      <c r="L298" s="562"/>
      <c r="M298" s="562"/>
      <c r="N298" s="562"/>
      <c r="O298" s="562"/>
      <c r="P298" s="562"/>
      <c r="Q298" s="562"/>
      <c r="R298" s="45"/>
    </row>
    <row r="299" spans="1:31" ht="105.6">
      <c r="A299" s="377"/>
      <c r="B299" s="376" t="s">
        <v>1068</v>
      </c>
      <c r="C299" s="45"/>
      <c r="D299" s="45"/>
      <c r="E299" s="562">
        <v>-25323</v>
      </c>
      <c r="F299" s="562"/>
      <c r="G299" s="562"/>
      <c r="H299" s="562"/>
      <c r="I299" s="562"/>
      <c r="J299" s="562">
        <v>-9121</v>
      </c>
      <c r="K299" s="562"/>
      <c r="L299" s="562"/>
      <c r="M299" s="562"/>
      <c r="N299" s="562"/>
      <c r="O299" s="562"/>
      <c r="P299" s="562"/>
      <c r="Q299" s="562"/>
      <c r="R299" s="45"/>
    </row>
    <row r="300" spans="1:31" ht="13.2">
      <c r="A300" s="377"/>
      <c r="B300" s="376"/>
      <c r="C300" s="165"/>
      <c r="D300" s="163"/>
      <c r="E300" s="165"/>
      <c r="F300" s="163"/>
      <c r="G300" s="163"/>
      <c r="H300" s="163"/>
      <c r="I300" s="163"/>
      <c r="J300" s="165"/>
      <c r="K300" s="163"/>
      <c r="L300" s="163"/>
      <c r="M300" s="163"/>
      <c r="N300" s="163"/>
      <c r="O300" s="165"/>
      <c r="P300" s="163"/>
      <c r="Q300" s="163"/>
      <c r="R300" s="163"/>
    </row>
    <row r="301" spans="1:31" ht="13.2">
      <c r="A301" s="377"/>
      <c r="B301" s="376"/>
      <c r="C301" s="165"/>
      <c r="D301" s="163"/>
      <c r="E301" s="165"/>
      <c r="F301" s="163"/>
      <c r="G301" s="163"/>
      <c r="H301" s="163"/>
      <c r="I301" s="163"/>
      <c r="J301" s="165"/>
      <c r="K301" s="163"/>
      <c r="L301" s="163"/>
      <c r="M301" s="163"/>
      <c r="N301" s="163"/>
      <c r="O301" s="165"/>
      <c r="P301" s="163"/>
      <c r="Q301" s="163"/>
      <c r="R301" s="163"/>
    </row>
    <row r="302" spans="1:31" ht="13.2" hidden="1">
      <c r="A302" s="377"/>
      <c r="B302" s="376"/>
      <c r="C302" s="165"/>
      <c r="D302" s="163"/>
      <c r="E302" s="165"/>
      <c r="F302" s="163"/>
      <c r="G302" s="163"/>
      <c r="H302" s="163"/>
      <c r="I302" s="163"/>
      <c r="J302" s="165"/>
      <c r="K302" s="163"/>
      <c r="L302" s="163"/>
      <c r="M302" s="163"/>
      <c r="N302" s="163"/>
      <c r="O302" s="165"/>
      <c r="P302" s="163"/>
      <c r="Q302" s="163"/>
      <c r="R302" s="163"/>
    </row>
    <row r="303" spans="1:31" ht="13.2" hidden="1">
      <c r="A303" s="377"/>
      <c r="B303" s="376"/>
      <c r="C303" s="165"/>
      <c r="D303" s="163"/>
      <c r="E303" s="165"/>
      <c r="F303" s="163"/>
      <c r="G303" s="163"/>
      <c r="H303" s="163"/>
      <c r="I303" s="163"/>
      <c r="J303" s="165"/>
      <c r="K303" s="163"/>
      <c r="L303" s="163"/>
      <c r="M303" s="163"/>
      <c r="N303" s="163"/>
      <c r="O303" s="165"/>
      <c r="P303" s="163"/>
      <c r="Q303" s="163"/>
      <c r="R303" s="163"/>
    </row>
    <row r="304" spans="1:31" ht="13.2" hidden="1">
      <c r="A304" s="377"/>
      <c r="B304" s="376"/>
      <c r="C304" s="165"/>
      <c r="D304" s="163"/>
      <c r="E304" s="165"/>
      <c r="F304" s="163"/>
      <c r="G304" s="163"/>
      <c r="H304" s="163"/>
      <c r="I304" s="163"/>
      <c r="J304" s="165"/>
      <c r="K304" s="163"/>
      <c r="L304" s="163"/>
      <c r="M304" s="163"/>
      <c r="N304" s="163"/>
      <c r="O304" s="165"/>
      <c r="P304" s="163"/>
      <c r="Q304" s="163"/>
      <c r="R304" s="163"/>
    </row>
    <row r="305" spans="1:18" ht="13.2" hidden="1">
      <c r="A305" s="377"/>
      <c r="B305" s="376"/>
      <c r="C305" s="165"/>
      <c r="D305" s="163"/>
      <c r="E305" s="165"/>
      <c r="F305" s="163"/>
      <c r="G305" s="163"/>
      <c r="H305" s="163"/>
      <c r="I305" s="163"/>
      <c r="J305" s="165"/>
      <c r="K305" s="163"/>
      <c r="L305" s="163"/>
      <c r="M305" s="163"/>
      <c r="N305" s="163"/>
      <c r="O305" s="165"/>
      <c r="P305" s="163"/>
      <c r="Q305" s="163"/>
      <c r="R305" s="163"/>
    </row>
    <row r="306" spans="1:18" ht="13.2" hidden="1">
      <c r="A306" s="377"/>
      <c r="B306" s="376"/>
      <c r="C306" s="165"/>
      <c r="D306" s="163"/>
      <c r="E306" s="165"/>
      <c r="F306" s="163"/>
      <c r="G306" s="163"/>
      <c r="H306" s="163"/>
      <c r="I306" s="163"/>
      <c r="J306" s="165"/>
      <c r="K306" s="163"/>
      <c r="L306" s="163"/>
      <c r="M306" s="163"/>
      <c r="N306" s="163"/>
      <c r="O306" s="165"/>
      <c r="P306" s="163"/>
      <c r="Q306" s="163"/>
      <c r="R306" s="163"/>
    </row>
    <row r="307" spans="1:18" ht="13.2" hidden="1">
      <c r="A307" s="377"/>
      <c r="B307" s="376"/>
      <c r="C307" s="165"/>
      <c r="D307" s="163"/>
      <c r="E307" s="165"/>
      <c r="F307" s="163"/>
      <c r="G307" s="163"/>
      <c r="H307" s="163"/>
      <c r="I307" s="163"/>
      <c r="J307" s="165"/>
      <c r="K307" s="163"/>
      <c r="L307" s="163"/>
      <c r="M307" s="163"/>
      <c r="N307" s="163"/>
      <c r="O307" s="165"/>
      <c r="P307" s="163"/>
      <c r="Q307" s="163"/>
      <c r="R307" s="163"/>
    </row>
    <row r="308" spans="1:18" ht="13.2" hidden="1">
      <c r="A308" s="377"/>
      <c r="B308" s="376"/>
      <c r="C308" s="165"/>
      <c r="D308" s="163"/>
      <c r="E308" s="165"/>
      <c r="F308" s="163"/>
      <c r="G308" s="163"/>
      <c r="H308" s="163"/>
      <c r="I308" s="163"/>
      <c r="J308" s="165"/>
      <c r="K308" s="163"/>
      <c r="L308" s="163"/>
      <c r="M308" s="163"/>
      <c r="N308" s="163"/>
      <c r="O308" s="165"/>
      <c r="P308" s="163"/>
      <c r="Q308" s="163"/>
      <c r="R308" s="163"/>
    </row>
    <row r="309" spans="1:18" ht="13.2" hidden="1">
      <c r="A309" s="377"/>
      <c r="B309" s="376"/>
      <c r="C309" s="165"/>
      <c r="D309" s="163"/>
      <c r="E309" s="165"/>
      <c r="F309" s="163"/>
      <c r="G309" s="163"/>
      <c r="H309" s="163"/>
      <c r="I309" s="163"/>
      <c r="J309" s="165"/>
      <c r="K309" s="163"/>
      <c r="L309" s="163"/>
      <c r="M309" s="163"/>
      <c r="N309" s="163"/>
      <c r="O309" s="165"/>
      <c r="P309" s="163"/>
      <c r="Q309" s="163"/>
      <c r="R309" s="163"/>
    </row>
    <row r="310" spans="1:18" ht="13.2" hidden="1">
      <c r="A310" s="377"/>
      <c r="B310" s="376"/>
      <c r="C310" s="165"/>
      <c r="D310" s="163"/>
      <c r="E310" s="165"/>
      <c r="F310" s="163"/>
      <c r="G310" s="163"/>
      <c r="H310" s="163"/>
      <c r="I310" s="163"/>
      <c r="J310" s="165"/>
      <c r="K310" s="163"/>
      <c r="L310" s="163"/>
      <c r="M310" s="163"/>
      <c r="N310" s="163"/>
      <c r="O310" s="165"/>
      <c r="P310" s="163"/>
      <c r="Q310" s="163"/>
      <c r="R310" s="163"/>
    </row>
    <row r="311" spans="1:18" ht="13.2" hidden="1">
      <c r="A311" s="377"/>
      <c r="B311" s="376"/>
      <c r="C311" s="165"/>
      <c r="D311" s="163"/>
      <c r="E311" s="165"/>
      <c r="F311" s="163"/>
      <c r="G311" s="163"/>
      <c r="H311" s="163"/>
      <c r="I311" s="163"/>
      <c r="J311" s="165"/>
      <c r="K311" s="163"/>
      <c r="L311" s="163"/>
      <c r="M311" s="163"/>
      <c r="N311" s="163"/>
      <c r="O311" s="165"/>
      <c r="P311" s="163"/>
      <c r="Q311" s="163"/>
      <c r="R311" s="163"/>
    </row>
    <row r="312" spans="1:18" ht="13.2" hidden="1">
      <c r="A312" s="377"/>
      <c r="B312" s="376"/>
      <c r="C312" s="165"/>
      <c r="D312" s="163"/>
      <c r="E312" s="165"/>
      <c r="F312" s="163"/>
      <c r="G312" s="163"/>
      <c r="H312" s="163"/>
      <c r="I312" s="163"/>
      <c r="J312" s="165"/>
      <c r="K312" s="163"/>
      <c r="L312" s="163"/>
      <c r="M312" s="163"/>
      <c r="N312" s="163"/>
      <c r="O312" s="165"/>
      <c r="P312" s="163"/>
      <c r="Q312" s="163"/>
      <c r="R312" s="163"/>
    </row>
    <row r="313" spans="1:18" ht="13.2" hidden="1">
      <c r="A313" s="377"/>
      <c r="B313" s="376"/>
      <c r="C313" s="165"/>
      <c r="D313" s="163"/>
      <c r="E313" s="165"/>
      <c r="F313" s="163"/>
      <c r="G313" s="163"/>
      <c r="H313" s="163"/>
      <c r="I313" s="163"/>
      <c r="J313" s="165"/>
      <c r="K313" s="163"/>
      <c r="L313" s="163"/>
      <c r="M313" s="163"/>
      <c r="N313" s="163"/>
      <c r="O313" s="165"/>
      <c r="P313" s="163"/>
      <c r="Q313" s="163"/>
      <c r="R313" s="163"/>
    </row>
    <row r="314" spans="1:18" ht="13.2" hidden="1">
      <c r="A314" s="377"/>
      <c r="B314" s="376"/>
      <c r="C314" s="165"/>
      <c r="D314" s="163"/>
      <c r="E314" s="165"/>
      <c r="F314" s="163"/>
      <c r="G314" s="163"/>
      <c r="H314" s="163"/>
      <c r="I314" s="163"/>
      <c r="J314" s="165"/>
      <c r="K314" s="163"/>
      <c r="L314" s="163"/>
      <c r="M314" s="163"/>
      <c r="N314" s="163"/>
      <c r="O314" s="165"/>
      <c r="P314" s="163"/>
      <c r="Q314" s="163"/>
      <c r="R314" s="163"/>
    </row>
    <row r="315" spans="1:18" ht="13.2" hidden="1">
      <c r="A315" s="377"/>
      <c r="B315" s="376"/>
      <c r="C315" s="165"/>
      <c r="D315" s="163"/>
      <c r="E315" s="165"/>
      <c r="F315" s="163"/>
      <c r="G315" s="163"/>
      <c r="H315" s="163"/>
      <c r="I315" s="163"/>
      <c r="J315" s="165"/>
      <c r="K315" s="163"/>
      <c r="L315" s="163"/>
      <c r="M315" s="163"/>
      <c r="N315" s="163"/>
      <c r="O315" s="165"/>
      <c r="P315" s="163"/>
      <c r="Q315" s="163"/>
      <c r="R315" s="163"/>
    </row>
    <row r="316" spans="1:18" ht="13.2" hidden="1">
      <c r="A316" s="377"/>
      <c r="B316" s="376"/>
      <c r="C316" s="165"/>
      <c r="D316" s="163"/>
      <c r="E316" s="165"/>
      <c r="F316" s="163"/>
      <c r="G316" s="163"/>
      <c r="H316" s="163"/>
      <c r="I316" s="163"/>
      <c r="J316" s="165"/>
      <c r="K316" s="163"/>
      <c r="L316" s="163"/>
      <c r="M316" s="163"/>
      <c r="N316" s="163"/>
      <c r="O316" s="165"/>
      <c r="P316" s="163"/>
      <c r="Q316" s="163"/>
      <c r="R316" s="163"/>
    </row>
    <row r="317" spans="1:18" ht="13.2" hidden="1">
      <c r="A317" s="377"/>
      <c r="B317" s="376"/>
      <c r="C317" s="165"/>
      <c r="D317" s="163"/>
      <c r="E317" s="165"/>
      <c r="F317" s="163"/>
      <c r="G317" s="163"/>
      <c r="H317" s="163"/>
      <c r="I317" s="163"/>
      <c r="J317" s="165"/>
      <c r="K317" s="163"/>
      <c r="L317" s="163"/>
      <c r="M317" s="163"/>
      <c r="N317" s="163"/>
      <c r="O317" s="165"/>
      <c r="P317" s="163"/>
      <c r="Q317" s="163"/>
      <c r="R317" s="163"/>
    </row>
    <row r="318" spans="1:18" ht="13.2" hidden="1">
      <c r="A318" s="377"/>
      <c r="B318" s="376"/>
      <c r="C318" s="165"/>
      <c r="D318" s="163"/>
      <c r="E318" s="165"/>
      <c r="F318" s="163"/>
      <c r="G318" s="163"/>
      <c r="H318" s="163"/>
      <c r="I318" s="163"/>
      <c r="J318" s="165"/>
      <c r="K318" s="163"/>
      <c r="L318" s="163"/>
      <c r="M318" s="163"/>
      <c r="N318" s="163"/>
      <c r="O318" s="165"/>
      <c r="P318" s="163"/>
      <c r="Q318" s="163"/>
      <c r="R318" s="163"/>
    </row>
    <row r="319" spans="1:18" ht="13.2" hidden="1">
      <c r="A319" s="377"/>
      <c r="B319" s="376"/>
      <c r="C319" s="165"/>
      <c r="D319" s="163"/>
      <c r="E319" s="165"/>
      <c r="F319" s="163"/>
      <c r="G319" s="163"/>
      <c r="H319" s="163"/>
      <c r="I319" s="163"/>
      <c r="J319" s="165"/>
      <c r="K319" s="163"/>
      <c r="L319" s="163"/>
      <c r="M319" s="163"/>
      <c r="N319" s="163"/>
      <c r="O319" s="165"/>
      <c r="P319" s="163"/>
      <c r="Q319" s="163"/>
      <c r="R319" s="163"/>
    </row>
    <row r="320" spans="1:18" ht="13.2">
      <c r="A320" s="378" t="s">
        <v>224</v>
      </c>
      <c r="B320" s="374" t="s">
        <v>242</v>
      </c>
      <c r="C320" s="165"/>
      <c r="D320" s="163"/>
      <c r="E320" s="165"/>
      <c r="F320" s="163"/>
      <c r="G320" s="163"/>
      <c r="H320" s="163"/>
      <c r="I320" s="163"/>
      <c r="J320" s="165"/>
      <c r="K320" s="163"/>
      <c r="L320" s="163"/>
      <c r="M320" s="163"/>
      <c r="N320" s="163"/>
      <c r="O320" s="165"/>
      <c r="P320" s="163"/>
      <c r="Q320" s="163"/>
      <c r="R320" s="163"/>
    </row>
    <row r="321" spans="1:18" ht="13.2">
      <c r="A321" s="375" t="s">
        <v>243</v>
      </c>
      <c r="B321" s="376" t="s">
        <v>244</v>
      </c>
      <c r="C321" s="165"/>
      <c r="D321" s="163"/>
      <c r="E321" s="165"/>
      <c r="F321" s="163"/>
      <c r="G321" s="163"/>
      <c r="H321" s="163"/>
      <c r="I321" s="163"/>
      <c r="J321" s="165"/>
      <c r="K321" s="163"/>
      <c r="L321" s="163"/>
      <c r="M321" s="163"/>
      <c r="N321" s="163"/>
      <c r="O321" s="165"/>
      <c r="P321" s="163"/>
      <c r="Q321" s="163"/>
      <c r="R321" s="163"/>
    </row>
    <row r="322" spans="1:18" ht="13.2">
      <c r="A322" s="375"/>
      <c r="B322" s="376"/>
      <c r="C322" s="165"/>
      <c r="D322" s="163"/>
      <c r="E322" s="165"/>
      <c r="F322" s="163"/>
      <c r="G322" s="163"/>
      <c r="H322" s="163"/>
      <c r="I322" s="163"/>
      <c r="J322" s="165"/>
      <c r="K322" s="163"/>
      <c r="L322" s="163"/>
      <c r="M322" s="163"/>
      <c r="N322" s="163"/>
      <c r="O322" s="165"/>
      <c r="P322" s="163"/>
      <c r="Q322" s="163"/>
      <c r="R322" s="163"/>
    </row>
    <row r="323" spans="1:18" ht="13.2">
      <c r="A323" s="375"/>
      <c r="B323" s="376"/>
      <c r="C323" s="165"/>
      <c r="D323" s="163"/>
      <c r="E323" s="165"/>
      <c r="F323" s="163"/>
      <c r="G323" s="163"/>
      <c r="H323" s="163"/>
      <c r="I323" s="163"/>
      <c r="J323" s="165"/>
      <c r="K323" s="163"/>
      <c r="L323" s="163"/>
      <c r="M323" s="163"/>
      <c r="N323" s="163"/>
      <c r="O323" s="165"/>
      <c r="P323" s="163"/>
      <c r="Q323" s="163"/>
      <c r="R323" s="163"/>
    </row>
    <row r="324" spans="1:18" ht="12">
      <c r="A324" s="33"/>
      <c r="B324" s="34"/>
      <c r="C324" s="165"/>
      <c r="D324" s="163"/>
      <c r="E324" s="165"/>
      <c r="F324" s="163"/>
      <c r="G324" s="163"/>
      <c r="H324" s="163"/>
      <c r="I324" s="163"/>
      <c r="J324" s="165"/>
      <c r="K324" s="163"/>
      <c r="L324" s="163"/>
      <c r="M324" s="163"/>
      <c r="N324" s="163"/>
      <c r="O324" s="165"/>
      <c r="P324" s="163"/>
      <c r="Q324" s="163"/>
      <c r="R324" s="163"/>
    </row>
    <row r="325" spans="1:18" ht="12">
      <c r="A325" s="33"/>
      <c r="B325" s="34"/>
      <c r="C325" s="1316">
        <f>C35-C326</f>
        <v>0</v>
      </c>
      <c r="D325" s="1316">
        <f t="shared" ref="D325:R325" si="454">D35-D326</f>
        <v>0</v>
      </c>
      <c r="E325" s="1316">
        <f t="shared" si="454"/>
        <v>0</v>
      </c>
      <c r="F325" s="1316">
        <f t="shared" si="454"/>
        <v>0</v>
      </c>
      <c r="G325" s="1316">
        <f t="shared" si="454"/>
        <v>0</v>
      </c>
      <c r="H325" s="1316">
        <f t="shared" si="454"/>
        <v>0</v>
      </c>
      <c r="I325" s="1316">
        <f t="shared" si="454"/>
        <v>0</v>
      </c>
      <c r="J325" s="1316">
        <f t="shared" si="454"/>
        <v>0</v>
      </c>
      <c r="K325" s="1316">
        <f t="shared" si="454"/>
        <v>0</v>
      </c>
      <c r="L325" s="1316">
        <f t="shared" si="454"/>
        <v>0</v>
      </c>
      <c r="M325" s="1316">
        <f t="shared" si="454"/>
        <v>0</v>
      </c>
      <c r="N325" s="1316">
        <f t="shared" si="454"/>
        <v>0</v>
      </c>
      <c r="O325" s="1316">
        <f t="shared" si="454"/>
        <v>0</v>
      </c>
      <c r="P325" s="1316">
        <f t="shared" si="454"/>
        <v>0</v>
      </c>
      <c r="Q325" s="1316">
        <f t="shared" si="454"/>
        <v>0</v>
      </c>
      <c r="R325" s="1316">
        <f t="shared" si="454"/>
        <v>0</v>
      </c>
    </row>
    <row r="326" spans="1:18" s="1307" customFormat="1" ht="13.2">
      <c r="A326" s="1304"/>
      <c r="B326" s="1305" t="s">
        <v>1084</v>
      </c>
      <c r="C326" s="1306">
        <f>SUM(C327:C331)</f>
        <v>106523451</v>
      </c>
      <c r="D326" s="1306">
        <f>SUM(D327:D331)</f>
        <v>125895427</v>
      </c>
      <c r="E326" s="1306">
        <f t="shared" ref="E326:H326" si="455">SUM(E327:E331)</f>
        <v>-10231389</v>
      </c>
      <c r="F326" s="1306">
        <f t="shared" si="455"/>
        <v>0</v>
      </c>
      <c r="G326" s="1306">
        <f t="shared" si="455"/>
        <v>-7833637</v>
      </c>
      <c r="H326" s="1306">
        <f t="shared" si="455"/>
        <v>107830401</v>
      </c>
      <c r="I326" s="1306">
        <f>SUM(I327:I331)</f>
        <v>692874835</v>
      </c>
      <c r="J326" s="1306">
        <f t="shared" ref="J326:K326" si="456">SUM(J327:J331)</f>
        <v>-21817097</v>
      </c>
      <c r="K326" s="1306">
        <f t="shared" si="456"/>
        <v>26442121</v>
      </c>
      <c r="L326" s="1306">
        <f t="shared" ref="L326" si="457">SUM(L327:L331)</f>
        <v>-21119859</v>
      </c>
      <c r="M326" s="1306">
        <f t="shared" ref="M326" si="458">SUM(M327:M331)</f>
        <v>676380000</v>
      </c>
      <c r="N326" s="1306">
        <f t="shared" ref="N326" si="459">SUM(N327:N331)</f>
        <v>761808943</v>
      </c>
      <c r="O326" s="1306">
        <f t="shared" ref="O326" si="460">SUM(O327:O331)</f>
        <v>-5707882</v>
      </c>
      <c r="P326" s="1306">
        <f t="shared" ref="P326" si="461">SUM(P327:P331)</f>
        <v>37297427</v>
      </c>
      <c r="Q326" s="1306">
        <f t="shared" ref="Q326" si="462">SUM(Q327:Q331)</f>
        <v>-40113506</v>
      </c>
      <c r="R326" s="1306">
        <f t="shared" ref="R326" si="463">SUM(R327:R331)</f>
        <v>753284982</v>
      </c>
    </row>
    <row r="327" spans="1:18" s="1307" customFormat="1" ht="13.2">
      <c r="A327" s="1308" t="s">
        <v>1076</v>
      </c>
      <c r="B327" s="1309" t="s">
        <v>1077</v>
      </c>
      <c r="C327" s="1310">
        <v>1500000</v>
      </c>
      <c r="D327" s="1311">
        <v>1500000</v>
      </c>
      <c r="E327" s="1311"/>
      <c r="F327" s="1304"/>
      <c r="G327" s="1304"/>
      <c r="H327" s="1311">
        <f t="shared" ref="H327:H331" si="464">SUM(D327:G327)</f>
        <v>1500000</v>
      </c>
      <c r="I327" s="1311">
        <v>1500000</v>
      </c>
      <c r="J327" s="1311"/>
      <c r="K327" s="1304"/>
      <c r="L327" s="1304"/>
      <c r="M327" s="1311">
        <f t="shared" ref="M327:M331" si="465">SUM(I327:L327)</f>
        <v>1500000</v>
      </c>
      <c r="N327" s="1311">
        <v>1500000</v>
      </c>
      <c r="O327" s="1311"/>
      <c r="P327" s="1304"/>
      <c r="Q327" s="1304"/>
      <c r="R327" s="1311">
        <f t="shared" ref="R327:R331" si="466">SUM(N327:Q327)</f>
        <v>1500000</v>
      </c>
    </row>
    <row r="328" spans="1:18" s="1307" customFormat="1" ht="13.2">
      <c r="A328" s="1308" t="s">
        <v>1078</v>
      </c>
      <c r="B328" s="1309" t="s">
        <v>1079</v>
      </c>
      <c r="C328" s="1310">
        <v>16183386</v>
      </c>
      <c r="D328" s="1311">
        <v>17000000</v>
      </c>
      <c r="E328" s="1311"/>
      <c r="F328" s="1304"/>
      <c r="G328" s="1311">
        <f>G272</f>
        <v>-502606</v>
      </c>
      <c r="H328" s="1311">
        <f t="shared" si="464"/>
        <v>16497394</v>
      </c>
      <c r="I328" s="1311">
        <v>17000000</v>
      </c>
      <c r="J328" s="1311"/>
      <c r="K328" s="1304"/>
      <c r="L328" s="1311">
        <f>L272</f>
        <v>-736790</v>
      </c>
      <c r="M328" s="1311">
        <f t="shared" si="465"/>
        <v>16263210</v>
      </c>
      <c r="N328" s="1311">
        <v>17000000</v>
      </c>
      <c r="O328" s="1311"/>
      <c r="P328" s="1304"/>
      <c r="Q328" s="1311">
        <f>Q272</f>
        <v>-707872</v>
      </c>
      <c r="R328" s="1311">
        <f t="shared" si="466"/>
        <v>16292128</v>
      </c>
    </row>
    <row r="329" spans="1:18" s="1307" customFormat="1" ht="26.4">
      <c r="A329" s="1308" t="s">
        <v>1080</v>
      </c>
      <c r="B329" s="1309" t="s">
        <v>1081</v>
      </c>
      <c r="C329" s="1310"/>
      <c r="D329" s="1311">
        <v>5787995</v>
      </c>
      <c r="E329" s="1311"/>
      <c r="F329" s="1304"/>
      <c r="G329" s="1304"/>
      <c r="H329" s="1311">
        <f t="shared" si="464"/>
        <v>5787995</v>
      </c>
      <c r="I329" s="1311">
        <v>2925386</v>
      </c>
      <c r="J329" s="1311"/>
      <c r="K329" s="1304"/>
      <c r="L329" s="1304"/>
      <c r="M329" s="1311">
        <f t="shared" si="465"/>
        <v>2925386</v>
      </c>
      <c r="N329" s="1311">
        <v>0</v>
      </c>
      <c r="O329" s="1311"/>
      <c r="P329" s="1304"/>
      <c r="Q329" s="1304"/>
      <c r="R329" s="1311">
        <f t="shared" si="466"/>
        <v>0</v>
      </c>
    </row>
    <row r="330" spans="1:18" s="1307" customFormat="1" ht="30" customHeight="1">
      <c r="A330" s="1308" t="s">
        <v>1085</v>
      </c>
      <c r="B330" s="1309" t="s">
        <v>405</v>
      </c>
      <c r="C330" s="1310"/>
      <c r="D330" s="1311"/>
      <c r="E330" s="1311"/>
      <c r="F330" s="1304"/>
      <c r="G330" s="1304"/>
      <c r="H330" s="1311"/>
      <c r="I330" s="1311"/>
      <c r="J330" s="1311"/>
      <c r="K330" s="1315">
        <v>26442121</v>
      </c>
      <c r="L330" s="1304"/>
      <c r="M330" s="1311">
        <f t="shared" si="465"/>
        <v>26442121</v>
      </c>
      <c r="N330" s="1315"/>
      <c r="O330" s="1315"/>
      <c r="P330" s="1315">
        <v>37297427</v>
      </c>
      <c r="Q330" s="1304"/>
      <c r="R330" s="1311">
        <f t="shared" si="466"/>
        <v>37297427</v>
      </c>
    </row>
    <row r="331" spans="1:18" s="1307" customFormat="1" ht="66">
      <c r="A331" s="1308" t="s">
        <v>1082</v>
      </c>
      <c r="B331" s="1309" t="s">
        <v>1083</v>
      </c>
      <c r="C331" s="1310">
        <v>88840065</v>
      </c>
      <c r="D331" s="1311">
        <v>101607432</v>
      </c>
      <c r="E331" s="1311">
        <f>E276</f>
        <v>-10231389</v>
      </c>
      <c r="F331" s="1304"/>
      <c r="G331" s="1311">
        <f>G271</f>
        <v>-7331031</v>
      </c>
      <c r="H331" s="1311">
        <f t="shared" si="464"/>
        <v>84045012</v>
      </c>
      <c r="I331" s="1311">
        <v>671449449</v>
      </c>
      <c r="J331" s="1311">
        <f>J276</f>
        <v>-21817097</v>
      </c>
      <c r="K331" s="1304"/>
      <c r="L331" s="1311">
        <f>L271</f>
        <v>-20383069</v>
      </c>
      <c r="M331" s="1311">
        <f t="shared" si="465"/>
        <v>629249283</v>
      </c>
      <c r="N331" s="1311">
        <v>743308943</v>
      </c>
      <c r="O331" s="1311">
        <f>O276</f>
        <v>-5707882</v>
      </c>
      <c r="P331" s="1304"/>
      <c r="Q331" s="1311">
        <f>Q271</f>
        <v>-39405634</v>
      </c>
      <c r="R331" s="1311">
        <f t="shared" si="466"/>
        <v>698195427</v>
      </c>
    </row>
    <row r="332" spans="1:18" s="1307" customFormat="1" ht="13.2">
      <c r="A332" s="1312"/>
      <c r="B332" s="1313"/>
      <c r="C332" s="1314"/>
      <c r="D332" s="1312"/>
      <c r="E332" s="1311"/>
      <c r="F332" s="1304"/>
      <c r="G332" s="1304"/>
      <c r="H332" s="1304"/>
      <c r="I332" s="1304"/>
      <c r="J332" s="1311"/>
      <c r="K332" s="1304"/>
      <c r="L332" s="1304"/>
      <c r="M332" s="1304"/>
      <c r="N332" s="1304"/>
      <c r="O332" s="1311"/>
      <c r="P332" s="1304"/>
      <c r="Q332" s="1304"/>
      <c r="R332" s="1304"/>
    </row>
    <row r="333" spans="1:18" ht="13.2">
      <c r="A333" s="1302"/>
      <c r="B333" s="899"/>
      <c r="C333" s="1303"/>
      <c r="D333" s="1302"/>
      <c r="E333" s="413"/>
      <c r="F333" s="414"/>
      <c r="G333" s="414"/>
      <c r="H333" s="414"/>
      <c r="I333" s="414"/>
      <c r="J333" s="413"/>
      <c r="K333" s="414"/>
      <c r="L333" s="414"/>
      <c r="M333" s="414"/>
      <c r="N333" s="414"/>
      <c r="O333" s="413"/>
      <c r="P333" s="414"/>
      <c r="Q333" s="414"/>
      <c r="R333" s="414"/>
    </row>
    <row r="334" spans="1:18" ht="12">
      <c r="E334" s="165"/>
      <c r="F334" s="163"/>
      <c r="G334" s="163"/>
      <c r="H334" s="163"/>
      <c r="I334" s="163"/>
      <c r="J334" s="165"/>
      <c r="K334" s="163"/>
      <c r="L334" s="163"/>
      <c r="M334" s="163"/>
      <c r="N334" s="163"/>
      <c r="O334" s="165"/>
      <c r="P334" s="163"/>
      <c r="Q334" s="163"/>
      <c r="R334" s="163"/>
    </row>
    <row r="335" spans="1:18" ht="12">
      <c r="E335" s="165"/>
      <c r="F335" s="163"/>
      <c r="G335" s="163"/>
      <c r="H335" s="163"/>
      <c r="I335" s="163"/>
      <c r="J335" s="165"/>
      <c r="K335" s="163"/>
      <c r="L335" s="163"/>
      <c r="M335" s="163"/>
      <c r="N335" s="163"/>
      <c r="O335" s="165"/>
      <c r="P335" s="163"/>
      <c r="Q335" s="163"/>
      <c r="R335" s="163"/>
    </row>
    <row r="336" spans="1:18" ht="12">
      <c r="E336" s="165"/>
      <c r="F336" s="163"/>
      <c r="G336" s="163"/>
      <c r="H336" s="163"/>
      <c r="I336" s="163"/>
      <c r="J336" s="165"/>
      <c r="K336" s="163"/>
      <c r="L336" s="163"/>
      <c r="M336" s="163"/>
      <c r="N336" s="163"/>
      <c r="O336" s="165"/>
      <c r="P336" s="163"/>
      <c r="Q336" s="163"/>
      <c r="R336" s="163"/>
    </row>
    <row r="337" spans="5:18" ht="12">
      <c r="E337" s="165"/>
      <c r="F337" s="163"/>
      <c r="G337" s="163"/>
      <c r="H337" s="163"/>
      <c r="I337" s="163"/>
      <c r="J337" s="165"/>
      <c r="K337" s="163"/>
      <c r="L337" s="163"/>
      <c r="M337" s="163"/>
      <c r="N337" s="163"/>
      <c r="O337" s="165"/>
      <c r="P337" s="163"/>
      <c r="Q337" s="163"/>
      <c r="R337" s="163"/>
    </row>
    <row r="338" spans="5:18" ht="12">
      <c r="E338" s="165"/>
      <c r="F338" s="163"/>
      <c r="G338" s="163"/>
      <c r="H338" s="163"/>
      <c r="I338" s="163"/>
      <c r="J338" s="165"/>
      <c r="K338" s="163"/>
      <c r="L338" s="163"/>
      <c r="M338" s="163"/>
      <c r="N338" s="163"/>
      <c r="O338" s="165"/>
      <c r="P338" s="163"/>
      <c r="Q338" s="163"/>
      <c r="R338" s="163"/>
    </row>
    <row r="339" spans="5:18" ht="12">
      <c r="E339" s="165"/>
      <c r="F339" s="163"/>
      <c r="G339" s="163"/>
      <c r="H339" s="163"/>
      <c r="I339" s="163"/>
      <c r="J339" s="165"/>
      <c r="K339" s="163"/>
      <c r="L339" s="163"/>
      <c r="M339" s="163"/>
      <c r="N339" s="163"/>
      <c r="O339" s="165"/>
      <c r="P339" s="163"/>
      <c r="Q339" s="163"/>
      <c r="R339" s="163"/>
    </row>
    <row r="340" spans="5:18" ht="12">
      <c r="E340" s="165"/>
      <c r="F340" s="163"/>
      <c r="G340" s="163"/>
      <c r="H340" s="163"/>
      <c r="I340" s="163"/>
      <c r="J340" s="165"/>
      <c r="K340" s="163"/>
      <c r="L340" s="163"/>
      <c r="M340" s="163"/>
      <c r="N340" s="163"/>
      <c r="O340" s="165"/>
      <c r="P340" s="163"/>
      <c r="Q340" s="163"/>
      <c r="R340" s="163"/>
    </row>
    <row r="341" spans="5:18" ht="12">
      <c r="E341" s="165"/>
      <c r="F341" s="163"/>
      <c r="G341" s="163"/>
      <c r="H341" s="163"/>
      <c r="I341" s="163"/>
      <c r="J341" s="165"/>
      <c r="K341" s="163"/>
      <c r="L341" s="163"/>
      <c r="M341" s="163"/>
      <c r="N341" s="163"/>
      <c r="O341" s="165"/>
      <c r="P341" s="163"/>
      <c r="Q341" s="163"/>
      <c r="R341" s="163"/>
    </row>
    <row r="342" spans="5:18" ht="12">
      <c r="E342" s="165"/>
      <c r="F342" s="163"/>
      <c r="G342" s="163"/>
      <c r="H342" s="163"/>
      <c r="I342" s="163"/>
      <c r="J342" s="165"/>
      <c r="K342" s="163"/>
      <c r="L342" s="163"/>
      <c r="M342" s="163"/>
      <c r="N342" s="163"/>
      <c r="O342" s="165"/>
      <c r="P342" s="163"/>
      <c r="Q342" s="163"/>
      <c r="R342" s="163"/>
    </row>
    <row r="343" spans="5:18" ht="12">
      <c r="E343" s="165"/>
      <c r="F343" s="163"/>
      <c r="G343" s="163"/>
      <c r="H343" s="163"/>
      <c r="I343" s="163"/>
      <c r="J343" s="165"/>
      <c r="K343" s="163"/>
      <c r="L343" s="163"/>
      <c r="M343" s="163"/>
      <c r="N343" s="163"/>
      <c r="O343" s="165"/>
      <c r="P343" s="163"/>
      <c r="Q343" s="163"/>
      <c r="R343" s="163"/>
    </row>
    <row r="344" spans="5:18" ht="12">
      <c r="E344" s="165"/>
      <c r="F344" s="163"/>
      <c r="G344" s="163"/>
      <c r="H344" s="163"/>
      <c r="I344" s="163"/>
      <c r="J344" s="165"/>
      <c r="K344" s="163"/>
      <c r="L344" s="163"/>
      <c r="M344" s="163"/>
      <c r="N344" s="163"/>
      <c r="O344" s="165"/>
      <c r="P344" s="163"/>
      <c r="Q344" s="163"/>
      <c r="R344" s="163"/>
    </row>
    <row r="345" spans="5:18" ht="12">
      <c r="E345" s="165"/>
      <c r="F345" s="163"/>
      <c r="G345" s="163"/>
      <c r="H345" s="163"/>
      <c r="I345" s="163"/>
      <c r="J345" s="165"/>
      <c r="K345" s="163"/>
      <c r="L345" s="163"/>
      <c r="M345" s="163"/>
      <c r="N345" s="163"/>
      <c r="O345" s="165"/>
      <c r="P345" s="163"/>
      <c r="Q345" s="163"/>
      <c r="R345" s="163"/>
    </row>
    <row r="346" spans="5:18" ht="12">
      <c r="E346" s="165"/>
      <c r="F346" s="163"/>
      <c r="G346" s="163"/>
      <c r="H346" s="163"/>
      <c r="I346" s="163"/>
      <c r="J346" s="165"/>
      <c r="K346" s="163"/>
      <c r="L346" s="163"/>
      <c r="M346" s="163"/>
      <c r="N346" s="163"/>
      <c r="O346" s="165"/>
      <c r="P346" s="163"/>
      <c r="Q346" s="163"/>
      <c r="R346" s="163"/>
    </row>
    <row r="347" spans="5:18" ht="12">
      <c r="E347" s="165"/>
      <c r="F347" s="163"/>
      <c r="G347" s="163"/>
      <c r="H347" s="163"/>
      <c r="I347" s="163"/>
      <c r="J347" s="165"/>
      <c r="K347" s="163"/>
      <c r="L347" s="163"/>
      <c r="M347" s="163"/>
      <c r="N347" s="163"/>
      <c r="O347" s="165"/>
      <c r="P347" s="163"/>
      <c r="Q347" s="163"/>
      <c r="R347" s="163"/>
    </row>
    <row r="348" spans="5:18" ht="12">
      <c r="E348" s="165"/>
      <c r="F348" s="163"/>
      <c r="G348" s="163"/>
      <c r="H348" s="163"/>
      <c r="I348" s="163"/>
      <c r="J348" s="165"/>
      <c r="K348" s="163"/>
      <c r="L348" s="163"/>
      <c r="M348" s="163"/>
      <c r="N348" s="163"/>
      <c r="O348" s="165"/>
      <c r="P348" s="163"/>
      <c r="Q348" s="163"/>
      <c r="R348" s="163"/>
    </row>
    <row r="349" spans="5:18" ht="12">
      <c r="E349" s="165"/>
      <c r="F349" s="163"/>
      <c r="G349" s="163"/>
      <c r="H349" s="163"/>
      <c r="I349" s="163"/>
      <c r="J349" s="165"/>
      <c r="K349" s="163"/>
      <c r="L349" s="163"/>
      <c r="M349" s="163"/>
      <c r="N349" s="163"/>
      <c r="O349" s="165"/>
      <c r="P349" s="163"/>
      <c r="Q349" s="163"/>
      <c r="R349" s="163"/>
    </row>
    <row r="350" spans="5:18" ht="12">
      <c r="E350" s="165"/>
      <c r="F350" s="163"/>
      <c r="G350" s="163"/>
      <c r="H350" s="163"/>
      <c r="I350" s="163"/>
      <c r="J350" s="165"/>
      <c r="K350" s="163"/>
      <c r="L350" s="163"/>
      <c r="M350" s="163"/>
      <c r="N350" s="163"/>
      <c r="O350" s="165"/>
      <c r="P350" s="163"/>
      <c r="Q350" s="163"/>
      <c r="R350" s="163"/>
    </row>
    <row r="351" spans="5:18" ht="12">
      <c r="E351" s="165"/>
      <c r="F351" s="163"/>
      <c r="G351" s="163"/>
      <c r="H351" s="163"/>
      <c r="I351" s="163"/>
      <c r="J351" s="165"/>
      <c r="K351" s="163"/>
      <c r="L351" s="163"/>
      <c r="M351" s="163"/>
      <c r="N351" s="163"/>
      <c r="O351" s="165"/>
      <c r="P351" s="163"/>
      <c r="Q351" s="163"/>
      <c r="R351" s="163"/>
    </row>
    <row r="352" spans="5:18" ht="12">
      <c r="E352" s="165"/>
      <c r="F352" s="163"/>
      <c r="G352" s="163"/>
      <c r="H352" s="163"/>
      <c r="I352" s="163"/>
      <c r="J352" s="165"/>
      <c r="K352" s="163"/>
      <c r="L352" s="163"/>
      <c r="M352" s="163"/>
      <c r="N352" s="163"/>
      <c r="O352" s="165"/>
      <c r="P352" s="163"/>
      <c r="Q352" s="163"/>
      <c r="R352" s="163"/>
    </row>
    <row r="353" spans="5:18" ht="12">
      <c r="E353" s="165"/>
      <c r="F353" s="163"/>
      <c r="G353" s="163"/>
      <c r="H353" s="163"/>
      <c r="I353" s="163"/>
      <c r="J353" s="165"/>
      <c r="K353" s="163"/>
      <c r="L353" s="163"/>
      <c r="M353" s="163"/>
      <c r="N353" s="163"/>
      <c r="O353" s="165"/>
      <c r="P353" s="163"/>
      <c r="Q353" s="163"/>
      <c r="R353" s="163"/>
    </row>
    <row r="354" spans="5:18" ht="12">
      <c r="E354" s="165"/>
      <c r="F354" s="163"/>
      <c r="G354" s="163"/>
      <c r="H354" s="163"/>
      <c r="I354" s="163"/>
      <c r="J354" s="165"/>
      <c r="K354" s="163"/>
      <c r="L354" s="163"/>
      <c r="M354" s="163"/>
      <c r="N354" s="163"/>
      <c r="O354" s="165"/>
      <c r="P354" s="163"/>
      <c r="Q354" s="163"/>
      <c r="R354" s="163"/>
    </row>
    <row r="355" spans="5:18" ht="12">
      <c r="E355" s="165"/>
      <c r="F355" s="163"/>
      <c r="G355" s="163"/>
      <c r="H355" s="163"/>
      <c r="I355" s="163"/>
      <c r="J355" s="165"/>
      <c r="K355" s="163"/>
      <c r="L355" s="163"/>
      <c r="M355" s="163"/>
      <c r="N355" s="163"/>
      <c r="O355" s="165"/>
      <c r="P355" s="163"/>
      <c r="Q355" s="163"/>
      <c r="R355" s="163"/>
    </row>
    <row r="356" spans="5:18" ht="12">
      <c r="E356" s="165"/>
      <c r="F356" s="163"/>
      <c r="G356" s="163"/>
      <c r="H356" s="163"/>
      <c r="I356" s="163"/>
      <c r="J356" s="165"/>
      <c r="K356" s="163"/>
      <c r="L356" s="163"/>
      <c r="M356" s="163"/>
      <c r="N356" s="163"/>
      <c r="O356" s="165"/>
      <c r="P356" s="163"/>
      <c r="Q356" s="163"/>
      <c r="R356" s="163"/>
    </row>
    <row r="357" spans="5:18" ht="12">
      <c r="E357" s="165"/>
      <c r="F357" s="163"/>
      <c r="G357" s="163"/>
      <c r="H357" s="163"/>
      <c r="I357" s="163"/>
      <c r="J357" s="165"/>
      <c r="K357" s="163"/>
      <c r="L357" s="163"/>
      <c r="M357" s="163"/>
      <c r="N357" s="163"/>
      <c r="O357" s="165"/>
      <c r="P357" s="163"/>
      <c r="Q357" s="163"/>
      <c r="R357" s="163"/>
    </row>
    <row r="358" spans="5:18" ht="12">
      <c r="E358" s="165"/>
      <c r="F358" s="163"/>
      <c r="G358" s="163"/>
      <c r="H358" s="163"/>
      <c r="I358" s="163"/>
      <c r="J358" s="165"/>
      <c r="K358" s="163"/>
      <c r="L358" s="163"/>
      <c r="M358" s="163"/>
      <c r="N358" s="163"/>
      <c r="O358" s="165"/>
      <c r="P358" s="163"/>
      <c r="Q358" s="163"/>
      <c r="R358" s="163"/>
    </row>
    <row r="359" spans="5:18" ht="12">
      <c r="E359" s="165"/>
      <c r="F359" s="163"/>
      <c r="G359" s="163"/>
      <c r="H359" s="163"/>
      <c r="I359" s="163"/>
      <c r="J359" s="165"/>
      <c r="K359" s="163"/>
      <c r="L359" s="163"/>
      <c r="M359" s="163"/>
      <c r="N359" s="163"/>
      <c r="O359" s="165"/>
      <c r="P359" s="163"/>
      <c r="Q359" s="163"/>
      <c r="R359" s="163"/>
    </row>
    <row r="360" spans="5:18" ht="12">
      <c r="E360" s="165"/>
      <c r="F360" s="163"/>
      <c r="G360" s="163"/>
      <c r="H360" s="163"/>
      <c r="I360" s="163"/>
      <c r="J360" s="165"/>
      <c r="K360" s="163"/>
      <c r="L360" s="163"/>
      <c r="M360" s="163"/>
      <c r="N360" s="163"/>
      <c r="O360" s="165"/>
      <c r="P360" s="163"/>
      <c r="Q360" s="163"/>
      <c r="R360" s="163"/>
    </row>
    <row r="361" spans="5:18" ht="12">
      <c r="E361" s="165"/>
      <c r="F361" s="163"/>
      <c r="G361" s="163"/>
      <c r="H361" s="163"/>
      <c r="I361" s="163"/>
      <c r="J361" s="165"/>
      <c r="K361" s="163"/>
      <c r="L361" s="163"/>
      <c r="M361" s="163"/>
      <c r="N361" s="163"/>
      <c r="O361" s="165"/>
      <c r="P361" s="163"/>
      <c r="Q361" s="163"/>
      <c r="R361" s="163"/>
    </row>
    <row r="362" spans="5:18" ht="12">
      <c r="E362" s="165"/>
      <c r="F362" s="163"/>
      <c r="G362" s="163"/>
      <c r="H362" s="163"/>
      <c r="I362" s="163"/>
      <c r="J362" s="165"/>
      <c r="K362" s="163"/>
      <c r="L362" s="163"/>
      <c r="M362" s="163"/>
      <c r="N362" s="163"/>
      <c r="O362" s="165"/>
      <c r="P362" s="163"/>
      <c r="Q362" s="163"/>
      <c r="R362" s="163"/>
    </row>
    <row r="363" spans="5:18" ht="12">
      <c r="E363" s="165"/>
      <c r="F363" s="163"/>
      <c r="G363" s="163"/>
      <c r="H363" s="163"/>
      <c r="I363" s="163"/>
      <c r="J363" s="165"/>
      <c r="K363" s="163"/>
      <c r="L363" s="163"/>
      <c r="M363" s="163"/>
      <c r="N363" s="163"/>
      <c r="O363" s="165"/>
      <c r="P363" s="163"/>
      <c r="Q363" s="163"/>
      <c r="R363" s="163"/>
    </row>
    <row r="364" spans="5:18" ht="12">
      <c r="E364" s="165"/>
      <c r="F364" s="163"/>
      <c r="G364" s="163"/>
      <c r="H364" s="163"/>
      <c r="I364" s="163"/>
      <c r="J364" s="165"/>
      <c r="K364" s="163"/>
      <c r="L364" s="163"/>
      <c r="M364" s="163"/>
      <c r="N364" s="163"/>
      <c r="O364" s="165"/>
      <c r="P364" s="163"/>
      <c r="Q364" s="163"/>
      <c r="R364" s="163"/>
    </row>
    <row r="365" spans="5:18" ht="12">
      <c r="E365" s="165"/>
      <c r="F365" s="163"/>
      <c r="G365" s="163"/>
      <c r="H365" s="163"/>
      <c r="I365" s="163"/>
      <c r="J365" s="165"/>
      <c r="K365" s="163"/>
      <c r="L365" s="163"/>
      <c r="M365" s="163"/>
      <c r="N365" s="163"/>
      <c r="O365" s="165"/>
      <c r="P365" s="163"/>
      <c r="Q365" s="163"/>
      <c r="R365" s="163"/>
    </row>
    <row r="366" spans="5:18" ht="12">
      <c r="E366" s="165"/>
      <c r="F366" s="163"/>
      <c r="G366" s="163"/>
      <c r="H366" s="163"/>
      <c r="I366" s="163"/>
      <c r="J366" s="165"/>
      <c r="K366" s="163"/>
      <c r="L366" s="163"/>
      <c r="M366" s="163"/>
      <c r="N366" s="163"/>
      <c r="O366" s="165"/>
      <c r="P366" s="163"/>
      <c r="Q366" s="163"/>
      <c r="R366" s="163"/>
    </row>
    <row r="367" spans="5:18" ht="12">
      <c r="E367" s="165"/>
      <c r="F367" s="163"/>
      <c r="G367" s="163"/>
      <c r="H367" s="163"/>
      <c r="I367" s="163"/>
      <c r="J367" s="165"/>
      <c r="K367" s="163"/>
      <c r="L367" s="163"/>
      <c r="M367" s="163"/>
      <c r="N367" s="163"/>
      <c r="O367" s="165"/>
      <c r="P367" s="163"/>
      <c r="Q367" s="163"/>
      <c r="R367" s="163"/>
    </row>
    <row r="368" spans="5:18" ht="12">
      <c r="E368" s="165"/>
      <c r="F368" s="163"/>
      <c r="G368" s="163"/>
      <c r="H368" s="163"/>
      <c r="I368" s="163"/>
      <c r="J368" s="165"/>
      <c r="K368" s="163"/>
      <c r="L368" s="163"/>
      <c r="M368" s="163"/>
      <c r="N368" s="163"/>
      <c r="O368" s="165"/>
      <c r="P368" s="163"/>
      <c r="Q368" s="163"/>
      <c r="R368" s="163"/>
    </row>
    <row r="369" spans="5:18" ht="12">
      <c r="E369" s="165"/>
      <c r="F369" s="163"/>
      <c r="G369" s="163"/>
      <c r="H369" s="163"/>
      <c r="I369" s="163"/>
      <c r="J369" s="165"/>
      <c r="K369" s="163"/>
      <c r="L369" s="163"/>
      <c r="M369" s="163"/>
      <c r="N369" s="163"/>
      <c r="O369" s="165"/>
      <c r="P369" s="163"/>
      <c r="Q369" s="163"/>
      <c r="R369" s="163"/>
    </row>
    <row r="370" spans="5:18" ht="12">
      <c r="E370" s="165"/>
      <c r="F370" s="163"/>
      <c r="G370" s="163"/>
      <c r="H370" s="163"/>
      <c r="I370" s="163"/>
      <c r="J370" s="165"/>
      <c r="K370" s="163"/>
      <c r="L370" s="163"/>
      <c r="M370" s="163"/>
      <c r="N370" s="163"/>
      <c r="O370" s="165"/>
      <c r="P370" s="163"/>
      <c r="Q370" s="163"/>
      <c r="R370" s="163"/>
    </row>
    <row r="371" spans="5:18" ht="12">
      <c r="E371" s="165"/>
      <c r="F371" s="163"/>
      <c r="G371" s="163"/>
      <c r="H371" s="163"/>
      <c r="I371" s="163"/>
      <c r="J371" s="165"/>
      <c r="K371" s="163"/>
      <c r="L371" s="163"/>
      <c r="M371" s="163"/>
      <c r="N371" s="163"/>
      <c r="O371" s="165"/>
      <c r="P371" s="163"/>
      <c r="Q371" s="163"/>
      <c r="R371" s="163"/>
    </row>
    <row r="372" spans="5:18" ht="12">
      <c r="E372" s="165"/>
      <c r="F372" s="163"/>
      <c r="G372" s="163"/>
      <c r="H372" s="163"/>
      <c r="I372" s="163"/>
      <c r="J372" s="165"/>
      <c r="K372" s="163"/>
      <c r="L372" s="163"/>
      <c r="M372" s="163"/>
      <c r="N372" s="163"/>
      <c r="O372" s="165"/>
      <c r="P372" s="163"/>
      <c r="Q372" s="163"/>
      <c r="R372" s="163"/>
    </row>
    <row r="373" spans="5:18" ht="12">
      <c r="E373" s="165"/>
      <c r="F373" s="163"/>
      <c r="G373" s="163"/>
      <c r="H373" s="163"/>
      <c r="I373" s="163"/>
      <c r="J373" s="165"/>
      <c r="K373" s="163"/>
      <c r="L373" s="163"/>
      <c r="M373" s="163"/>
      <c r="N373" s="163"/>
      <c r="O373" s="165"/>
      <c r="P373" s="163"/>
      <c r="Q373" s="163"/>
      <c r="R373" s="163"/>
    </row>
    <row r="374" spans="5:18" ht="12">
      <c r="E374" s="165"/>
      <c r="F374" s="163"/>
      <c r="G374" s="163"/>
      <c r="H374" s="163"/>
      <c r="I374" s="163"/>
      <c r="J374" s="165"/>
      <c r="K374" s="163"/>
      <c r="L374" s="163"/>
      <c r="M374" s="163"/>
      <c r="N374" s="163"/>
      <c r="O374" s="165"/>
      <c r="P374" s="163"/>
      <c r="Q374" s="163"/>
      <c r="R374" s="163"/>
    </row>
    <row r="375" spans="5:18" ht="12">
      <c r="E375" s="165"/>
      <c r="F375" s="163"/>
      <c r="G375" s="163"/>
      <c r="H375" s="163"/>
      <c r="I375" s="163"/>
      <c r="J375" s="165"/>
      <c r="K375" s="163"/>
      <c r="L375" s="163"/>
      <c r="M375" s="163"/>
      <c r="N375" s="163"/>
      <c r="O375" s="165"/>
      <c r="P375" s="163"/>
      <c r="Q375" s="163"/>
      <c r="R375" s="163"/>
    </row>
    <row r="376" spans="5:18" ht="12">
      <c r="E376" s="165"/>
      <c r="F376" s="163"/>
      <c r="G376" s="163"/>
      <c r="H376" s="163"/>
      <c r="I376" s="163"/>
      <c r="J376" s="165"/>
      <c r="K376" s="163"/>
      <c r="L376" s="163"/>
      <c r="M376" s="163"/>
      <c r="N376" s="163"/>
      <c r="O376" s="165"/>
      <c r="P376" s="163"/>
      <c r="Q376" s="163"/>
      <c r="R376" s="163"/>
    </row>
    <row r="377" spans="5:18" ht="12">
      <c r="E377" s="165"/>
      <c r="F377" s="163"/>
      <c r="G377" s="163"/>
      <c r="H377" s="163"/>
      <c r="I377" s="163"/>
      <c r="J377" s="165"/>
      <c r="K377" s="163"/>
      <c r="L377" s="163"/>
      <c r="M377" s="163"/>
      <c r="N377" s="163"/>
      <c r="O377" s="165"/>
      <c r="P377" s="163"/>
      <c r="Q377" s="163"/>
      <c r="R377" s="163"/>
    </row>
    <row r="378" spans="5:18" ht="12">
      <c r="E378" s="165"/>
      <c r="F378" s="163"/>
      <c r="G378" s="163"/>
      <c r="H378" s="163"/>
      <c r="I378" s="163"/>
      <c r="J378" s="165"/>
      <c r="K378" s="163"/>
      <c r="L378" s="163"/>
      <c r="M378" s="163"/>
      <c r="N378" s="163"/>
      <c r="O378" s="165"/>
      <c r="P378" s="163"/>
      <c r="Q378" s="163"/>
      <c r="R378" s="163"/>
    </row>
    <row r="379" spans="5:18" ht="12">
      <c r="E379" s="165"/>
      <c r="F379" s="163"/>
      <c r="G379" s="163"/>
      <c r="H379" s="163"/>
      <c r="I379" s="163"/>
      <c r="J379" s="165"/>
      <c r="K379" s="163"/>
      <c r="L379" s="163"/>
      <c r="M379" s="163"/>
      <c r="N379" s="163"/>
      <c r="O379" s="165"/>
      <c r="P379" s="163"/>
      <c r="Q379" s="163"/>
      <c r="R379" s="163"/>
    </row>
    <row r="380" spans="5:18" ht="12">
      <c r="E380" s="165"/>
      <c r="F380" s="163"/>
      <c r="G380" s="163"/>
      <c r="H380" s="163"/>
      <c r="I380" s="163"/>
      <c r="J380" s="165"/>
      <c r="K380" s="163"/>
      <c r="L380" s="163"/>
      <c r="M380" s="163"/>
      <c r="N380" s="163"/>
      <c r="O380" s="165"/>
      <c r="P380" s="163"/>
      <c r="Q380" s="163"/>
      <c r="R380" s="163"/>
    </row>
    <row r="381" spans="5:18" ht="12">
      <c r="E381" s="165"/>
      <c r="F381" s="163"/>
      <c r="G381" s="163"/>
      <c r="H381" s="163"/>
      <c r="I381" s="163"/>
      <c r="J381" s="165"/>
      <c r="K381" s="163"/>
      <c r="L381" s="163"/>
      <c r="M381" s="163"/>
      <c r="N381" s="163"/>
      <c r="O381" s="165"/>
      <c r="P381" s="163"/>
      <c r="Q381" s="163"/>
      <c r="R381" s="163"/>
    </row>
    <row r="382" spans="5:18" ht="12">
      <c r="E382" s="165"/>
      <c r="F382" s="163"/>
      <c r="G382" s="163"/>
      <c r="H382" s="163"/>
      <c r="I382" s="163"/>
      <c r="J382" s="165"/>
      <c r="K382" s="163"/>
      <c r="L382" s="163"/>
      <c r="M382" s="163"/>
      <c r="N382" s="163"/>
      <c r="O382" s="165"/>
      <c r="P382" s="163"/>
      <c r="Q382" s="163"/>
      <c r="R382" s="163"/>
    </row>
    <row r="383" spans="5:18" ht="12">
      <c r="E383" s="165"/>
      <c r="F383" s="163"/>
      <c r="G383" s="163"/>
      <c r="H383" s="163"/>
      <c r="I383" s="163"/>
      <c r="J383" s="165"/>
      <c r="K383" s="163"/>
      <c r="L383" s="163"/>
      <c r="M383" s="163"/>
      <c r="N383" s="163"/>
      <c r="O383" s="165"/>
      <c r="P383" s="163"/>
      <c r="Q383" s="163"/>
      <c r="R383" s="163"/>
    </row>
    <row r="384" spans="5:18" ht="12">
      <c r="E384" s="165"/>
      <c r="F384" s="163"/>
      <c r="G384" s="163"/>
      <c r="H384" s="163"/>
      <c r="I384" s="163"/>
      <c r="J384" s="165"/>
      <c r="K384" s="163"/>
      <c r="L384" s="163"/>
      <c r="M384" s="163"/>
      <c r="N384" s="163"/>
      <c r="O384" s="165"/>
      <c r="P384" s="163"/>
      <c r="Q384" s="163"/>
      <c r="R384" s="163"/>
    </row>
    <row r="385" spans="5:18" ht="12">
      <c r="E385" s="165"/>
      <c r="F385" s="163"/>
      <c r="G385" s="163"/>
      <c r="H385" s="163"/>
      <c r="I385" s="163"/>
      <c r="J385" s="165"/>
      <c r="K385" s="163"/>
      <c r="L385" s="163"/>
      <c r="M385" s="163"/>
      <c r="N385" s="163"/>
      <c r="O385" s="165"/>
      <c r="P385" s="163"/>
      <c r="Q385" s="163"/>
      <c r="R385" s="163"/>
    </row>
    <row r="386" spans="5:18" ht="12">
      <c r="E386" s="165"/>
      <c r="F386" s="163"/>
      <c r="G386" s="163"/>
      <c r="H386" s="163"/>
      <c r="I386" s="163"/>
      <c r="J386" s="165"/>
      <c r="K386" s="163"/>
      <c r="L386" s="163"/>
      <c r="M386" s="163"/>
      <c r="N386" s="163"/>
      <c r="O386" s="165"/>
      <c r="P386" s="163"/>
      <c r="Q386" s="163"/>
      <c r="R386" s="163"/>
    </row>
    <row r="387" spans="5:18" ht="12">
      <c r="E387" s="165"/>
      <c r="F387" s="163"/>
      <c r="G387" s="163"/>
      <c r="H387" s="163"/>
      <c r="I387" s="163"/>
      <c r="J387" s="165"/>
      <c r="K387" s="163"/>
      <c r="L387" s="163"/>
      <c r="M387" s="163"/>
      <c r="N387" s="163"/>
      <c r="O387" s="165"/>
      <c r="P387" s="163"/>
      <c r="Q387" s="163"/>
      <c r="R387" s="163"/>
    </row>
    <row r="388" spans="5:18" ht="12">
      <c r="E388" s="165"/>
      <c r="F388" s="163"/>
      <c r="G388" s="163"/>
      <c r="H388" s="163"/>
      <c r="I388" s="163"/>
      <c r="J388" s="165"/>
      <c r="K388" s="163"/>
      <c r="L388" s="163"/>
      <c r="M388" s="163"/>
      <c r="N388" s="163"/>
      <c r="O388" s="165"/>
      <c r="P388" s="163"/>
      <c r="Q388" s="163"/>
      <c r="R388" s="163"/>
    </row>
    <row r="389" spans="5:18" ht="12">
      <c r="E389" s="165"/>
      <c r="F389" s="163"/>
      <c r="G389" s="163"/>
      <c r="H389" s="163"/>
      <c r="I389" s="163"/>
      <c r="J389" s="165"/>
      <c r="K389" s="163"/>
      <c r="L389" s="163"/>
      <c r="M389" s="163"/>
      <c r="N389" s="163"/>
      <c r="O389" s="165"/>
      <c r="P389" s="163"/>
      <c r="Q389" s="163"/>
      <c r="R389" s="163"/>
    </row>
    <row r="390" spans="5:18" ht="12">
      <c r="E390" s="165"/>
      <c r="F390" s="163"/>
      <c r="G390" s="163"/>
      <c r="H390" s="163"/>
      <c r="I390" s="163"/>
      <c r="J390" s="165"/>
      <c r="K390" s="163"/>
      <c r="L390" s="163"/>
      <c r="M390" s="163"/>
      <c r="N390" s="163"/>
      <c r="O390" s="165"/>
      <c r="P390" s="163"/>
      <c r="Q390" s="163"/>
      <c r="R390" s="163"/>
    </row>
    <row r="391" spans="5:18" ht="12">
      <c r="E391" s="165"/>
      <c r="F391" s="163"/>
      <c r="G391" s="163"/>
      <c r="H391" s="163"/>
      <c r="I391" s="163"/>
      <c r="J391" s="165"/>
      <c r="K391" s="163"/>
      <c r="L391" s="163"/>
      <c r="M391" s="163"/>
      <c r="N391" s="163"/>
      <c r="O391" s="165"/>
      <c r="P391" s="163"/>
      <c r="Q391" s="163"/>
      <c r="R391" s="163"/>
    </row>
    <row r="392" spans="5:18" ht="12">
      <c r="E392" s="165"/>
      <c r="F392" s="163"/>
      <c r="G392" s="163"/>
      <c r="H392" s="163"/>
      <c r="I392" s="163"/>
      <c r="J392" s="165"/>
      <c r="K392" s="163"/>
      <c r="L392" s="163"/>
      <c r="M392" s="163"/>
      <c r="N392" s="163"/>
      <c r="O392" s="165"/>
      <c r="P392" s="163"/>
      <c r="Q392" s="163"/>
      <c r="R392" s="163"/>
    </row>
    <row r="393" spans="5:18" ht="12">
      <c r="E393" s="165"/>
      <c r="F393" s="163"/>
      <c r="G393" s="163"/>
      <c r="H393" s="163"/>
      <c r="I393" s="163"/>
      <c r="J393" s="165"/>
      <c r="K393" s="163"/>
      <c r="L393" s="163"/>
      <c r="M393" s="163"/>
      <c r="N393" s="163"/>
      <c r="O393" s="165"/>
      <c r="P393" s="163"/>
      <c r="Q393" s="163"/>
      <c r="R393" s="163"/>
    </row>
    <row r="394" spans="5:18" ht="12">
      <c r="E394" s="165"/>
      <c r="F394" s="163"/>
      <c r="G394" s="163"/>
      <c r="H394" s="163"/>
      <c r="I394" s="163"/>
      <c r="J394" s="165"/>
      <c r="K394" s="163"/>
      <c r="L394" s="163"/>
      <c r="M394" s="163"/>
      <c r="N394" s="163"/>
      <c r="O394" s="165"/>
      <c r="P394" s="163"/>
      <c r="Q394" s="163"/>
      <c r="R394" s="163"/>
    </row>
    <row r="395" spans="5:18" ht="12">
      <c r="E395" s="165"/>
      <c r="F395" s="163"/>
      <c r="G395" s="163"/>
      <c r="H395" s="163"/>
      <c r="I395" s="163"/>
      <c r="J395" s="165"/>
      <c r="K395" s="163"/>
      <c r="L395" s="163"/>
      <c r="M395" s="163"/>
      <c r="N395" s="163"/>
      <c r="O395" s="165"/>
      <c r="P395" s="163"/>
      <c r="Q395" s="163"/>
      <c r="R395" s="163"/>
    </row>
    <row r="396" spans="5:18" ht="12">
      <c r="E396" s="165"/>
      <c r="F396" s="163"/>
      <c r="G396" s="163"/>
      <c r="H396" s="163"/>
      <c r="I396" s="163"/>
      <c r="J396" s="165"/>
      <c r="K396" s="163"/>
      <c r="L396" s="163"/>
      <c r="M396" s="163"/>
      <c r="N396" s="163"/>
      <c r="O396" s="165"/>
      <c r="P396" s="163"/>
      <c r="Q396" s="163"/>
      <c r="R396" s="163"/>
    </row>
    <row r="397" spans="5:18" ht="12">
      <c r="E397" s="165"/>
      <c r="F397" s="163"/>
      <c r="G397" s="163"/>
      <c r="H397" s="163"/>
      <c r="I397" s="163"/>
      <c r="J397" s="165"/>
      <c r="K397" s="163"/>
      <c r="L397" s="163"/>
      <c r="M397" s="163"/>
      <c r="N397" s="163"/>
      <c r="O397" s="165"/>
      <c r="P397" s="163"/>
      <c r="Q397" s="163"/>
      <c r="R397" s="163"/>
    </row>
    <row r="398" spans="5:18" ht="12">
      <c r="E398" s="165"/>
      <c r="F398" s="163"/>
      <c r="G398" s="163"/>
      <c r="H398" s="163"/>
      <c r="I398" s="163"/>
      <c r="J398" s="165"/>
      <c r="K398" s="163"/>
      <c r="L398" s="163"/>
      <c r="M398" s="163"/>
      <c r="N398" s="163"/>
      <c r="O398" s="165"/>
      <c r="P398" s="163"/>
      <c r="Q398" s="163"/>
      <c r="R398" s="163"/>
    </row>
    <row r="399" spans="5:18" ht="12">
      <c r="E399" s="165"/>
      <c r="F399" s="163"/>
      <c r="G399" s="163"/>
      <c r="H399" s="163"/>
      <c r="I399" s="163"/>
      <c r="J399" s="165"/>
      <c r="K399" s="163"/>
      <c r="L399" s="163"/>
      <c r="M399" s="163"/>
      <c r="N399" s="163"/>
      <c r="O399" s="165"/>
      <c r="P399" s="163"/>
      <c r="Q399" s="163"/>
      <c r="R399" s="163"/>
    </row>
    <row r="400" spans="5:18" ht="12">
      <c r="E400" s="165"/>
      <c r="F400" s="163"/>
      <c r="G400" s="163"/>
      <c r="H400" s="163"/>
      <c r="I400" s="163"/>
      <c r="J400" s="165"/>
      <c r="K400" s="163"/>
      <c r="L400" s="163"/>
      <c r="M400" s="163"/>
      <c r="N400" s="163"/>
      <c r="O400" s="165"/>
      <c r="P400" s="163"/>
      <c r="Q400" s="163"/>
      <c r="R400" s="163"/>
    </row>
    <row r="401" spans="5:18" ht="12">
      <c r="E401" s="165"/>
      <c r="F401" s="163"/>
      <c r="G401" s="163"/>
      <c r="H401" s="163"/>
      <c r="I401" s="163"/>
      <c r="J401" s="165"/>
      <c r="K401" s="163"/>
      <c r="L401" s="163"/>
      <c r="M401" s="163"/>
      <c r="N401" s="163"/>
      <c r="O401" s="165"/>
      <c r="P401" s="163"/>
      <c r="Q401" s="163"/>
      <c r="R401" s="163"/>
    </row>
    <row r="402" spans="5:18">
      <c r="E402" s="35"/>
      <c r="F402" s="33"/>
      <c r="G402" s="33"/>
      <c r="H402" s="36"/>
      <c r="I402" s="33"/>
      <c r="J402" s="35"/>
      <c r="K402" s="33"/>
      <c r="L402" s="33"/>
      <c r="M402" s="36"/>
      <c r="N402" s="33"/>
      <c r="O402" s="35"/>
      <c r="P402" s="33"/>
      <c r="Q402" s="33"/>
      <c r="R402" s="36"/>
    </row>
    <row r="403" spans="5:18">
      <c r="E403" s="35"/>
      <c r="F403" s="33"/>
      <c r="G403" s="33"/>
      <c r="H403" s="36"/>
      <c r="I403" s="33"/>
      <c r="J403" s="35"/>
      <c r="K403" s="33"/>
      <c r="L403" s="33"/>
      <c r="M403" s="36"/>
      <c r="N403" s="33"/>
      <c r="O403" s="35"/>
      <c r="P403" s="33"/>
      <c r="Q403" s="33"/>
      <c r="R403" s="36"/>
    </row>
    <row r="404" spans="5:18">
      <c r="E404" s="35"/>
      <c r="F404" s="33"/>
      <c r="G404" s="33"/>
      <c r="H404" s="36"/>
      <c r="I404" s="33"/>
      <c r="J404" s="35"/>
      <c r="K404" s="33"/>
      <c r="L404" s="33"/>
      <c r="M404" s="36"/>
      <c r="N404" s="33"/>
      <c r="O404" s="35"/>
      <c r="P404" s="33"/>
      <c r="Q404" s="33"/>
      <c r="R404" s="36"/>
    </row>
    <row r="405" spans="5:18">
      <c r="E405" s="35"/>
      <c r="F405" s="33"/>
      <c r="G405" s="33"/>
      <c r="H405" s="36"/>
      <c r="I405" s="33"/>
      <c r="J405" s="35"/>
      <c r="K405" s="33"/>
      <c r="L405" s="33"/>
      <c r="M405" s="36"/>
      <c r="N405" s="33"/>
      <c r="O405" s="35"/>
      <c r="P405" s="33"/>
      <c r="Q405" s="33"/>
      <c r="R405" s="36"/>
    </row>
    <row r="406" spans="5:18">
      <c r="E406" s="35"/>
      <c r="F406" s="33"/>
      <c r="G406" s="33"/>
      <c r="H406" s="36"/>
      <c r="I406" s="33"/>
      <c r="J406" s="35"/>
      <c r="K406" s="33"/>
      <c r="L406" s="33"/>
      <c r="M406" s="36"/>
      <c r="N406" s="33"/>
      <c r="O406" s="35"/>
      <c r="P406" s="33"/>
      <c r="Q406" s="33"/>
      <c r="R406" s="36"/>
    </row>
    <row r="407" spans="5:18">
      <c r="E407" s="35"/>
      <c r="F407" s="33"/>
      <c r="G407" s="33"/>
      <c r="H407" s="36"/>
      <c r="I407" s="33"/>
      <c r="J407" s="35"/>
      <c r="K407" s="33"/>
      <c r="L407" s="33"/>
      <c r="M407" s="36"/>
      <c r="N407" s="33"/>
      <c r="O407" s="35"/>
      <c r="P407" s="33"/>
      <c r="Q407" s="33"/>
      <c r="R407" s="36"/>
    </row>
    <row r="408" spans="5:18">
      <c r="E408" s="35"/>
      <c r="F408" s="33"/>
      <c r="G408" s="33"/>
      <c r="H408" s="36"/>
      <c r="I408" s="33"/>
      <c r="J408" s="35"/>
      <c r="K408" s="33"/>
      <c r="L408" s="33"/>
      <c r="M408" s="36"/>
      <c r="N408" s="33"/>
      <c r="O408" s="35"/>
      <c r="P408" s="33"/>
      <c r="Q408" s="33"/>
      <c r="R408" s="36"/>
    </row>
    <row r="409" spans="5:18">
      <c r="E409" s="35"/>
      <c r="F409" s="33"/>
      <c r="G409" s="33"/>
      <c r="H409" s="36"/>
      <c r="I409" s="33"/>
      <c r="J409" s="35"/>
      <c r="K409" s="33"/>
      <c r="L409" s="33"/>
      <c r="M409" s="36"/>
      <c r="N409" s="33"/>
      <c r="O409" s="35"/>
      <c r="P409" s="33"/>
      <c r="Q409" s="33"/>
      <c r="R409" s="36"/>
    </row>
    <row r="410" spans="5:18">
      <c r="E410" s="35"/>
      <c r="F410" s="33"/>
      <c r="G410" s="33"/>
      <c r="H410" s="36"/>
      <c r="I410" s="33"/>
      <c r="J410" s="35"/>
      <c r="K410" s="33"/>
      <c r="L410" s="33"/>
      <c r="M410" s="36"/>
      <c r="N410" s="33"/>
      <c r="O410" s="35"/>
      <c r="P410" s="33"/>
      <c r="Q410" s="33"/>
      <c r="R410" s="36"/>
    </row>
    <row r="411" spans="5:18">
      <c r="E411" s="35"/>
      <c r="F411" s="33"/>
      <c r="G411" s="33"/>
      <c r="H411" s="36"/>
      <c r="I411" s="33"/>
      <c r="J411" s="35"/>
      <c r="K411" s="33"/>
      <c r="L411" s="33"/>
      <c r="M411" s="36"/>
      <c r="N411" s="33"/>
      <c r="O411" s="35"/>
      <c r="P411" s="33"/>
      <c r="Q411" s="33"/>
      <c r="R411" s="36"/>
    </row>
    <row r="412" spans="5:18">
      <c r="E412" s="35"/>
      <c r="F412" s="33"/>
      <c r="G412" s="33"/>
      <c r="H412" s="36"/>
      <c r="I412" s="33"/>
      <c r="J412" s="35"/>
      <c r="K412" s="33"/>
      <c r="L412" s="33"/>
      <c r="M412" s="36"/>
      <c r="N412" s="33"/>
      <c r="O412" s="35"/>
      <c r="P412" s="33"/>
      <c r="Q412" s="33"/>
      <c r="R412" s="36"/>
    </row>
    <row r="413" spans="5:18">
      <c r="E413" s="35"/>
      <c r="F413" s="33"/>
      <c r="G413" s="33"/>
      <c r="H413" s="36"/>
      <c r="I413" s="33"/>
      <c r="J413" s="35"/>
      <c r="K413" s="33"/>
      <c r="L413" s="33"/>
      <c r="M413" s="36"/>
      <c r="N413" s="33"/>
      <c r="O413" s="35"/>
      <c r="P413" s="33"/>
      <c r="Q413" s="33"/>
      <c r="R413" s="36"/>
    </row>
    <row r="414" spans="5:18">
      <c r="E414" s="35"/>
      <c r="F414" s="33"/>
      <c r="G414" s="33"/>
      <c r="H414" s="36"/>
      <c r="I414" s="33"/>
      <c r="J414" s="35"/>
      <c r="K414" s="33"/>
      <c r="L414" s="33"/>
      <c r="M414" s="36"/>
      <c r="N414" s="33"/>
      <c r="O414" s="35"/>
      <c r="P414" s="33"/>
      <c r="Q414" s="33"/>
      <c r="R414" s="36"/>
    </row>
    <row r="415" spans="5:18">
      <c r="E415" s="35"/>
      <c r="F415" s="33"/>
      <c r="G415" s="33"/>
      <c r="H415" s="36"/>
      <c r="I415" s="33"/>
      <c r="J415" s="35"/>
      <c r="K415" s="33"/>
      <c r="L415" s="33"/>
      <c r="M415" s="36"/>
      <c r="N415" s="33"/>
      <c r="O415" s="35"/>
      <c r="P415" s="33"/>
      <c r="Q415" s="33"/>
      <c r="R415" s="36"/>
    </row>
    <row r="416" spans="5:18">
      <c r="E416" s="35"/>
      <c r="F416" s="33"/>
      <c r="G416" s="33"/>
      <c r="H416" s="36"/>
      <c r="I416" s="33"/>
      <c r="J416" s="35"/>
      <c r="K416" s="33"/>
      <c r="L416" s="33"/>
      <c r="M416" s="36"/>
      <c r="N416" s="33"/>
      <c r="O416" s="35"/>
      <c r="P416" s="33"/>
      <c r="Q416" s="33"/>
      <c r="R416" s="36"/>
    </row>
    <row r="417" spans="5:18">
      <c r="E417" s="35"/>
      <c r="F417" s="33"/>
      <c r="G417" s="33"/>
      <c r="H417" s="36"/>
      <c r="I417" s="33"/>
      <c r="J417" s="35"/>
      <c r="K417" s="33"/>
      <c r="L417" s="33"/>
      <c r="M417" s="36"/>
      <c r="N417" s="33"/>
      <c r="O417" s="35"/>
      <c r="P417" s="33"/>
      <c r="Q417" s="33"/>
      <c r="R417" s="36"/>
    </row>
    <row r="418" spans="5:18">
      <c r="E418" s="35"/>
      <c r="F418" s="33"/>
      <c r="G418" s="33"/>
      <c r="H418" s="36"/>
      <c r="I418" s="33"/>
      <c r="J418" s="35"/>
      <c r="K418" s="33"/>
      <c r="L418" s="33"/>
      <c r="M418" s="36"/>
      <c r="N418" s="33"/>
      <c r="O418" s="35"/>
      <c r="P418" s="33"/>
      <c r="Q418" s="33"/>
      <c r="R418" s="36"/>
    </row>
    <row r="419" spans="5:18">
      <c r="E419" s="35"/>
      <c r="F419" s="33"/>
      <c r="G419" s="33"/>
      <c r="H419" s="36"/>
      <c r="I419" s="33"/>
      <c r="J419" s="35"/>
      <c r="K419" s="33"/>
      <c r="L419" s="33"/>
      <c r="M419" s="36"/>
      <c r="N419" s="33"/>
      <c r="O419" s="35"/>
      <c r="P419" s="33"/>
      <c r="Q419" s="33"/>
      <c r="R419" s="36"/>
    </row>
    <row r="420" spans="5:18">
      <c r="E420" s="35"/>
      <c r="F420" s="33"/>
      <c r="G420" s="33"/>
      <c r="H420" s="36"/>
      <c r="I420" s="33"/>
      <c r="J420" s="35"/>
      <c r="K420" s="33"/>
      <c r="L420" s="33"/>
      <c r="M420" s="36"/>
      <c r="N420" s="33"/>
      <c r="O420" s="35"/>
      <c r="P420" s="33"/>
      <c r="Q420" s="33"/>
      <c r="R420" s="36"/>
    </row>
    <row r="421" spans="5:18">
      <c r="E421" s="35"/>
      <c r="F421" s="33"/>
      <c r="G421" s="33"/>
      <c r="H421" s="36"/>
      <c r="I421" s="33"/>
      <c r="J421" s="35"/>
      <c r="K421" s="33"/>
      <c r="L421" s="33"/>
      <c r="M421" s="36"/>
      <c r="N421" s="33"/>
      <c r="O421" s="35"/>
      <c r="P421" s="33"/>
      <c r="Q421" s="33"/>
      <c r="R421" s="36"/>
    </row>
    <row r="422" spans="5:18">
      <c r="E422" s="35"/>
      <c r="F422" s="33"/>
      <c r="G422" s="33"/>
      <c r="H422" s="36"/>
      <c r="I422" s="33"/>
      <c r="J422" s="35"/>
      <c r="K422" s="33"/>
      <c r="L422" s="33"/>
      <c r="M422" s="36"/>
      <c r="N422" s="33"/>
      <c r="O422" s="35"/>
      <c r="P422" s="33"/>
      <c r="Q422" s="33"/>
      <c r="R422" s="36"/>
    </row>
    <row r="423" spans="5:18">
      <c r="E423" s="35"/>
      <c r="F423" s="33"/>
      <c r="G423" s="33"/>
      <c r="H423" s="36"/>
      <c r="I423" s="33"/>
      <c r="J423" s="35"/>
      <c r="K423" s="33"/>
      <c r="L423" s="33"/>
      <c r="M423" s="36"/>
      <c r="N423" s="33"/>
      <c r="O423" s="35"/>
      <c r="P423" s="33"/>
      <c r="Q423" s="33"/>
      <c r="R423" s="36"/>
    </row>
    <row r="424" spans="5:18">
      <c r="E424" s="35"/>
      <c r="F424" s="33"/>
      <c r="G424" s="33"/>
      <c r="H424" s="36"/>
      <c r="I424" s="33"/>
      <c r="J424" s="35"/>
      <c r="K424" s="33"/>
      <c r="L424" s="33"/>
      <c r="M424" s="36"/>
      <c r="N424" s="33"/>
      <c r="O424" s="35"/>
      <c r="P424" s="33"/>
      <c r="Q424" s="33"/>
      <c r="R424" s="36"/>
    </row>
    <row r="425" spans="5:18">
      <c r="E425" s="35"/>
      <c r="F425" s="33"/>
      <c r="G425" s="33"/>
      <c r="H425" s="36"/>
      <c r="I425" s="33"/>
      <c r="J425" s="35"/>
      <c r="K425" s="33"/>
      <c r="L425" s="33"/>
      <c r="M425" s="36"/>
      <c r="N425" s="33"/>
      <c r="O425" s="35"/>
      <c r="P425" s="33"/>
      <c r="Q425" s="33"/>
      <c r="R425" s="36"/>
    </row>
    <row r="426" spans="5:18">
      <c r="E426" s="35"/>
      <c r="F426" s="33"/>
      <c r="G426" s="33"/>
      <c r="H426" s="36"/>
      <c r="I426" s="33"/>
      <c r="J426" s="35"/>
      <c r="K426" s="33"/>
      <c r="L426" s="33"/>
      <c r="M426" s="36"/>
      <c r="N426" s="33"/>
      <c r="O426" s="35"/>
      <c r="P426" s="33"/>
      <c r="Q426" s="33"/>
      <c r="R426" s="36"/>
    </row>
    <row r="427" spans="5:18">
      <c r="E427" s="35"/>
      <c r="F427" s="33"/>
      <c r="G427" s="33"/>
      <c r="H427" s="36"/>
      <c r="I427" s="33"/>
      <c r="J427" s="35"/>
      <c r="K427" s="33"/>
      <c r="L427" s="33"/>
      <c r="M427" s="36"/>
      <c r="N427" s="33"/>
      <c r="O427" s="35"/>
      <c r="P427" s="33"/>
      <c r="Q427" s="33"/>
      <c r="R427" s="36"/>
    </row>
    <row r="428" spans="5:18">
      <c r="E428" s="35"/>
      <c r="F428" s="33"/>
      <c r="G428" s="33"/>
      <c r="H428" s="36"/>
      <c r="I428" s="33"/>
      <c r="J428" s="35"/>
      <c r="K428" s="33"/>
      <c r="L428" s="33"/>
      <c r="M428" s="36"/>
      <c r="N428" s="33"/>
      <c r="O428" s="35"/>
      <c r="P428" s="33"/>
      <c r="Q428" s="33"/>
      <c r="R428" s="36"/>
    </row>
    <row r="429" spans="5:18">
      <c r="E429" s="35"/>
      <c r="F429" s="33"/>
      <c r="G429" s="33"/>
      <c r="H429" s="36"/>
      <c r="I429" s="33"/>
      <c r="J429" s="35"/>
      <c r="K429" s="33"/>
      <c r="L429" s="33"/>
      <c r="M429" s="36"/>
      <c r="N429" s="33"/>
      <c r="O429" s="35"/>
      <c r="P429" s="33"/>
      <c r="Q429" s="33"/>
      <c r="R429" s="36"/>
    </row>
    <row r="430" spans="5:18">
      <c r="E430" s="35"/>
      <c r="F430" s="33"/>
      <c r="G430" s="33"/>
      <c r="H430" s="36"/>
      <c r="I430" s="33"/>
      <c r="J430" s="35"/>
      <c r="K430" s="33"/>
      <c r="L430" s="33"/>
      <c r="M430" s="36"/>
      <c r="N430" s="33"/>
      <c r="O430" s="35"/>
      <c r="P430" s="33"/>
      <c r="Q430" s="33"/>
      <c r="R430" s="36"/>
    </row>
    <row r="431" spans="5:18">
      <c r="E431" s="35"/>
      <c r="F431" s="33"/>
      <c r="G431" s="33"/>
      <c r="H431" s="36"/>
      <c r="I431" s="33"/>
      <c r="J431" s="35"/>
      <c r="K431" s="33"/>
      <c r="L431" s="33"/>
      <c r="M431" s="36"/>
      <c r="N431" s="33"/>
      <c r="O431" s="35"/>
      <c r="P431" s="33"/>
      <c r="Q431" s="33"/>
      <c r="R431" s="36"/>
    </row>
    <row r="432" spans="5:18">
      <c r="E432" s="35"/>
      <c r="F432" s="33"/>
      <c r="G432" s="33"/>
      <c r="H432" s="36"/>
      <c r="I432" s="33"/>
      <c r="J432" s="35"/>
      <c r="K432" s="33"/>
      <c r="L432" s="33"/>
      <c r="M432" s="36"/>
      <c r="N432" s="33"/>
      <c r="O432" s="35"/>
      <c r="P432" s="33"/>
      <c r="Q432" s="33"/>
      <c r="R432" s="36"/>
    </row>
    <row r="433" spans="5:18">
      <c r="E433" s="35"/>
      <c r="F433" s="33"/>
      <c r="G433" s="33"/>
      <c r="H433" s="36"/>
      <c r="I433" s="33"/>
      <c r="J433" s="35"/>
      <c r="K433" s="33"/>
      <c r="L433" s="33"/>
      <c r="M433" s="36"/>
      <c r="N433" s="33"/>
      <c r="O433" s="35"/>
      <c r="P433" s="33"/>
      <c r="Q433" s="33"/>
      <c r="R433" s="36"/>
    </row>
    <row r="434" spans="5:18">
      <c r="E434" s="35"/>
      <c r="F434" s="33"/>
      <c r="G434" s="33"/>
      <c r="H434" s="36"/>
      <c r="I434" s="33"/>
      <c r="J434" s="35"/>
      <c r="K434" s="33"/>
      <c r="L434" s="33"/>
      <c r="M434" s="36"/>
      <c r="N434" s="33"/>
      <c r="O434" s="35"/>
      <c r="P434" s="33"/>
      <c r="Q434" s="33"/>
      <c r="R434" s="36"/>
    </row>
    <row r="435" spans="5:18">
      <c r="E435" s="35"/>
      <c r="F435" s="33"/>
      <c r="G435" s="33"/>
      <c r="H435" s="36"/>
      <c r="I435" s="33"/>
      <c r="J435" s="35"/>
      <c r="K435" s="33"/>
      <c r="L435" s="33"/>
      <c r="M435" s="36"/>
      <c r="N435" s="33"/>
      <c r="O435" s="35"/>
      <c r="P435" s="33"/>
      <c r="Q435" s="33"/>
      <c r="R435" s="36"/>
    </row>
    <row r="436" spans="5:18">
      <c r="E436" s="35"/>
      <c r="F436" s="33"/>
      <c r="G436" s="33"/>
      <c r="H436" s="36"/>
      <c r="I436" s="33"/>
      <c r="J436" s="35"/>
      <c r="K436" s="33"/>
      <c r="L436" s="33"/>
      <c r="M436" s="36"/>
      <c r="N436" s="33"/>
      <c r="O436" s="35"/>
      <c r="P436" s="33"/>
      <c r="Q436" s="33"/>
      <c r="R436" s="36"/>
    </row>
    <row r="437" spans="5:18">
      <c r="E437" s="35"/>
      <c r="F437" s="33"/>
      <c r="G437" s="33"/>
      <c r="H437" s="36"/>
      <c r="I437" s="33"/>
      <c r="J437" s="35"/>
      <c r="K437" s="33"/>
      <c r="L437" s="33"/>
      <c r="M437" s="36"/>
      <c r="N437" s="33"/>
      <c r="O437" s="35"/>
      <c r="P437" s="33"/>
      <c r="Q437" s="33"/>
      <c r="R437" s="36"/>
    </row>
    <row r="438" spans="5:18">
      <c r="E438" s="35"/>
      <c r="F438" s="33"/>
      <c r="G438" s="33"/>
      <c r="H438" s="36"/>
      <c r="I438" s="33"/>
      <c r="J438" s="35"/>
      <c r="K438" s="33"/>
      <c r="L438" s="33"/>
      <c r="M438" s="36"/>
      <c r="N438" s="33"/>
      <c r="O438" s="35"/>
      <c r="P438" s="33"/>
      <c r="Q438" s="33"/>
      <c r="R438" s="36"/>
    </row>
    <row r="439" spans="5:18">
      <c r="E439" s="35"/>
      <c r="F439" s="33"/>
      <c r="G439" s="33"/>
      <c r="H439" s="36"/>
      <c r="I439" s="33"/>
      <c r="J439" s="35"/>
      <c r="K439" s="33"/>
      <c r="L439" s="33"/>
      <c r="M439" s="36"/>
      <c r="N439" s="33"/>
      <c r="O439" s="35"/>
      <c r="P439" s="33"/>
      <c r="Q439" s="33"/>
      <c r="R439" s="36"/>
    </row>
    <row r="440" spans="5:18">
      <c r="E440" s="35"/>
      <c r="F440" s="33"/>
      <c r="G440" s="33"/>
      <c r="H440" s="36"/>
      <c r="I440" s="33"/>
      <c r="J440" s="35"/>
      <c r="K440" s="33"/>
      <c r="L440" s="33"/>
      <c r="M440" s="36"/>
      <c r="N440" s="33"/>
      <c r="O440" s="35"/>
      <c r="P440" s="33"/>
      <c r="Q440" s="33"/>
      <c r="R440" s="36"/>
    </row>
    <row r="441" spans="5:18">
      <c r="E441" s="35"/>
      <c r="F441" s="33"/>
      <c r="G441" s="33"/>
      <c r="H441" s="36"/>
      <c r="I441" s="33"/>
      <c r="J441" s="35"/>
      <c r="K441" s="33"/>
      <c r="L441" s="33"/>
      <c r="M441" s="36"/>
      <c r="N441" s="33"/>
      <c r="O441" s="35"/>
      <c r="P441" s="33"/>
      <c r="Q441" s="33"/>
      <c r="R441" s="36"/>
    </row>
    <row r="442" spans="5:18">
      <c r="E442" s="35"/>
      <c r="F442" s="33"/>
      <c r="G442" s="33"/>
      <c r="H442" s="36"/>
      <c r="I442" s="33"/>
      <c r="J442" s="35"/>
      <c r="K442" s="33"/>
      <c r="L442" s="33"/>
      <c r="M442" s="36"/>
      <c r="N442" s="33"/>
      <c r="O442" s="35"/>
      <c r="P442" s="33"/>
      <c r="Q442" s="33"/>
      <c r="R442" s="36"/>
    </row>
    <row r="443" spans="5:18">
      <c r="E443" s="35"/>
      <c r="F443" s="33"/>
      <c r="G443" s="33"/>
      <c r="H443" s="36"/>
      <c r="I443" s="33"/>
      <c r="J443" s="35"/>
      <c r="K443" s="33"/>
      <c r="L443" s="33"/>
      <c r="M443" s="36"/>
      <c r="N443" s="33"/>
      <c r="O443" s="35"/>
      <c r="P443" s="33"/>
      <c r="Q443" s="33"/>
      <c r="R443" s="36"/>
    </row>
    <row r="444" spans="5:18">
      <c r="E444" s="35"/>
      <c r="F444" s="33"/>
      <c r="G444" s="33"/>
      <c r="H444" s="36"/>
      <c r="I444" s="33"/>
      <c r="J444" s="35"/>
      <c r="K444" s="33"/>
      <c r="L444" s="33"/>
      <c r="M444" s="36"/>
      <c r="N444" s="33"/>
      <c r="O444" s="35"/>
      <c r="P444" s="33"/>
      <c r="Q444" s="33"/>
      <c r="R444" s="36"/>
    </row>
    <row r="445" spans="5:18">
      <c r="E445" s="35"/>
      <c r="F445" s="33"/>
      <c r="G445" s="33"/>
      <c r="H445" s="36"/>
      <c r="I445" s="33"/>
      <c r="J445" s="35"/>
      <c r="K445" s="33"/>
      <c r="L445" s="33"/>
      <c r="M445" s="36"/>
      <c r="N445" s="33"/>
      <c r="O445" s="35"/>
      <c r="P445" s="33"/>
      <c r="Q445" s="33"/>
      <c r="R445" s="36"/>
    </row>
    <row r="446" spans="5:18">
      <c r="E446" s="35"/>
      <c r="F446" s="33"/>
      <c r="G446" s="33"/>
      <c r="H446" s="36"/>
      <c r="I446" s="33"/>
      <c r="J446" s="35"/>
      <c r="K446" s="33"/>
      <c r="L446" s="33"/>
      <c r="M446" s="36"/>
      <c r="N446" s="33"/>
      <c r="O446" s="35"/>
      <c r="P446" s="33"/>
      <c r="Q446" s="33"/>
      <c r="R446" s="36"/>
    </row>
    <row r="447" spans="5:18">
      <c r="E447" s="35"/>
      <c r="F447" s="33"/>
      <c r="G447" s="33"/>
      <c r="H447" s="36"/>
      <c r="I447" s="33"/>
      <c r="J447" s="35"/>
      <c r="K447" s="33"/>
      <c r="L447" s="33"/>
      <c r="M447" s="36"/>
      <c r="N447" s="33"/>
      <c r="O447" s="35"/>
      <c r="P447" s="33"/>
      <c r="Q447" s="33"/>
      <c r="R447" s="36"/>
    </row>
    <row r="448" spans="5:18">
      <c r="E448" s="35"/>
      <c r="F448" s="33"/>
      <c r="G448" s="33"/>
      <c r="H448" s="36"/>
      <c r="I448" s="33"/>
      <c r="J448" s="35"/>
      <c r="K448" s="33"/>
      <c r="L448" s="33"/>
      <c r="M448" s="36"/>
      <c r="N448" s="33"/>
      <c r="O448" s="35"/>
      <c r="P448" s="33"/>
      <c r="Q448" s="33"/>
      <c r="R448" s="36"/>
    </row>
    <row r="449" spans="5:18">
      <c r="E449" s="35"/>
      <c r="F449" s="33"/>
      <c r="G449" s="33"/>
      <c r="H449" s="36"/>
      <c r="I449" s="33"/>
      <c r="J449" s="35"/>
      <c r="K449" s="33"/>
      <c r="L449" s="33"/>
      <c r="M449" s="36"/>
      <c r="N449" s="33"/>
      <c r="O449" s="35"/>
      <c r="P449" s="33"/>
      <c r="Q449" s="33"/>
      <c r="R449" s="36"/>
    </row>
    <row r="450" spans="5:18">
      <c r="E450" s="35"/>
      <c r="F450" s="33"/>
      <c r="G450" s="33"/>
      <c r="H450" s="36"/>
      <c r="I450" s="33"/>
      <c r="J450" s="35"/>
      <c r="K450" s="33"/>
      <c r="L450" s="33"/>
      <c r="M450" s="36"/>
      <c r="N450" s="33"/>
      <c r="O450" s="35"/>
      <c r="P450" s="33"/>
      <c r="Q450" s="33"/>
      <c r="R450" s="36"/>
    </row>
    <row r="451" spans="5:18">
      <c r="E451" s="35"/>
      <c r="F451" s="33"/>
      <c r="G451" s="33"/>
      <c r="H451" s="36"/>
      <c r="I451" s="33"/>
      <c r="J451" s="35"/>
      <c r="K451" s="33"/>
      <c r="L451" s="33"/>
      <c r="M451" s="36"/>
      <c r="N451" s="33"/>
      <c r="O451" s="35"/>
      <c r="P451" s="33"/>
      <c r="Q451" s="33"/>
      <c r="R451" s="36"/>
    </row>
    <row r="452" spans="5:18">
      <c r="E452" s="35"/>
      <c r="F452" s="33"/>
      <c r="G452" s="33"/>
      <c r="H452" s="36"/>
      <c r="I452" s="33"/>
      <c r="J452" s="35"/>
      <c r="K452" s="33"/>
      <c r="L452" s="33"/>
      <c r="M452" s="36"/>
      <c r="N452" s="33"/>
      <c r="O452" s="35"/>
      <c r="P452" s="33"/>
      <c r="Q452" s="33"/>
      <c r="R452" s="36"/>
    </row>
    <row r="453" spans="5:18">
      <c r="E453" s="35"/>
      <c r="F453" s="33"/>
      <c r="G453" s="33"/>
      <c r="H453" s="36"/>
      <c r="I453" s="33"/>
      <c r="J453" s="35"/>
      <c r="K453" s="33"/>
      <c r="L453" s="33"/>
      <c r="M453" s="36"/>
      <c r="N453" s="33"/>
      <c r="O453" s="35"/>
      <c r="P453" s="33"/>
      <c r="Q453" s="33"/>
      <c r="R453" s="36"/>
    </row>
    <row r="454" spans="5:18">
      <c r="E454" s="35"/>
      <c r="F454" s="33"/>
      <c r="G454" s="33"/>
      <c r="H454" s="36"/>
      <c r="I454" s="33"/>
      <c r="J454" s="35"/>
      <c r="K454" s="33"/>
      <c r="L454" s="33"/>
      <c r="M454" s="36"/>
      <c r="N454" s="33"/>
      <c r="O454" s="35"/>
      <c r="P454" s="33"/>
      <c r="Q454" s="33"/>
      <c r="R454" s="36"/>
    </row>
    <row r="455" spans="5:18">
      <c r="E455" s="35"/>
      <c r="F455" s="33"/>
      <c r="G455" s="33"/>
      <c r="H455" s="36"/>
      <c r="I455" s="33"/>
      <c r="J455" s="35"/>
      <c r="K455" s="33"/>
      <c r="L455" s="33"/>
      <c r="M455" s="36"/>
      <c r="N455" s="33"/>
      <c r="O455" s="35"/>
      <c r="P455" s="33"/>
      <c r="Q455" s="33"/>
      <c r="R455" s="36"/>
    </row>
  </sheetData>
  <mergeCells count="23">
    <mergeCell ref="O5:Q5"/>
    <mergeCell ref="A5:A7"/>
    <mergeCell ref="B5:B7"/>
    <mergeCell ref="C5:C7"/>
    <mergeCell ref="R5:R7"/>
    <mergeCell ref="L6:L7"/>
    <mergeCell ref="O6:O7"/>
    <mergeCell ref="Q6:Q7"/>
    <mergeCell ref="J6:J7"/>
    <mergeCell ref="I5:I7"/>
    <mergeCell ref="J5:L5"/>
    <mergeCell ref="M5:M7"/>
    <mergeCell ref="N5:N7"/>
    <mergeCell ref="P6:P7"/>
    <mergeCell ref="K6:K7"/>
    <mergeCell ref="F6:F7"/>
    <mergeCell ref="B2:H2"/>
    <mergeCell ref="B3:H3"/>
    <mergeCell ref="D5:D7"/>
    <mergeCell ref="E5:G5"/>
    <mergeCell ref="H5:H7"/>
    <mergeCell ref="E6:E7"/>
    <mergeCell ref="G6:G7"/>
  </mergeCells>
  <phoneticPr fontId="4" type="noConversion"/>
  <pageMargins left="0.27559055118110237" right="0.27559055118110237" top="0.39370078740157483" bottom="0.43307086614173229" header="0.23622047244094491" footer="0.23622047244094491"/>
  <pageSetup paperSize="9" scale="60" orientation="landscape" r:id="rId1"/>
  <headerFooter alignWithMargins="0">
    <oddFooter>&amp;L&amp;F&amp;C&amp;P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sheetPr>
  <dimension ref="A1:U131"/>
  <sheetViews>
    <sheetView zoomScale="74" zoomScaleNormal="74" workbookViewId="0">
      <pane xSplit="2" ySplit="8" topLeftCell="C85" activePane="bottomRight" state="frozen"/>
      <selection activeCell="A177" activeCellId="2" sqref="A8:A9 A93 A177"/>
      <selection pane="topRight" activeCell="A177" activeCellId="2" sqref="A8:A9 A93 A177"/>
      <selection pane="bottomLeft" activeCell="A177" activeCellId="2" sqref="A8:A9 A93 A177"/>
      <selection pane="bottomRight" activeCell="C121" sqref="C121"/>
    </sheetView>
  </sheetViews>
  <sheetFormatPr defaultColWidth="9.109375" defaultRowHeight="10.199999999999999"/>
  <cols>
    <col min="1" max="1" width="11.6640625" style="46" customWidth="1"/>
    <col min="2" max="2" width="34.6640625" style="47" customWidth="1"/>
    <col min="3" max="3" width="12.109375" style="157" customWidth="1"/>
    <col min="4" max="4" width="12.6640625" style="46" customWidth="1"/>
    <col min="5" max="5" width="10.33203125" style="46" customWidth="1"/>
    <col min="6" max="6" width="9.77734375" style="342" customWidth="1"/>
    <col min="7" max="7" width="9.88671875" style="342" customWidth="1"/>
    <col min="8" max="8" width="12" style="342" customWidth="1"/>
    <col min="9" max="9" width="12.109375" style="46" customWidth="1"/>
    <col min="10" max="10" width="11.5546875" style="342" customWidth="1"/>
    <col min="11" max="11" width="10.44140625" style="46" customWidth="1"/>
    <col min="12" max="12" width="9.44140625" style="46" customWidth="1"/>
    <col min="13" max="13" width="11.33203125" style="46" customWidth="1"/>
    <col min="14" max="14" width="11.88671875" style="342" customWidth="1"/>
    <col min="15" max="15" width="10.44140625" style="46" customWidth="1"/>
    <col min="16" max="17" width="9.44140625" style="46" customWidth="1"/>
    <col min="18" max="18" width="12" style="24" customWidth="1"/>
    <col min="19" max="19" width="9.109375" style="24"/>
    <col min="20" max="21" width="9.5546875" style="24" bestFit="1" customWidth="1"/>
    <col min="22" max="16384" width="9.109375" style="24"/>
  </cols>
  <sheetData>
    <row r="1" spans="1:21">
      <c r="O1" s="349"/>
    </row>
    <row r="2" spans="1:21" ht="12.75" customHeight="1">
      <c r="B2" s="1481"/>
      <c r="C2" s="1481"/>
      <c r="D2" s="1481"/>
      <c r="E2" s="1481"/>
      <c r="F2" s="1481"/>
      <c r="G2" s="1481"/>
      <c r="H2" s="1481"/>
      <c r="I2" s="1481"/>
      <c r="J2" s="1481"/>
    </row>
    <row r="3" spans="1:21" s="1" customFormat="1" ht="12.75" customHeight="1">
      <c r="A3" s="221"/>
      <c r="B3" s="1400" t="s">
        <v>490</v>
      </c>
      <c r="C3" s="1400"/>
      <c r="D3" s="1400"/>
      <c r="E3" s="1400"/>
      <c r="F3" s="1400"/>
      <c r="G3" s="1400"/>
      <c r="H3" s="1400"/>
      <c r="I3" s="578"/>
      <c r="J3" s="578"/>
      <c r="K3" s="578"/>
      <c r="L3" s="578"/>
      <c r="M3" s="220"/>
      <c r="N3" s="578"/>
      <c r="O3" s="578"/>
      <c r="P3" s="578"/>
      <c r="Q3" s="578"/>
      <c r="R3" s="220"/>
    </row>
    <row r="4" spans="1:21" s="1" customFormat="1" ht="13.2">
      <c r="A4" s="221"/>
      <c r="B4" s="578"/>
      <c r="C4" s="222"/>
      <c r="D4" s="578"/>
      <c r="E4" s="578"/>
      <c r="F4" s="578"/>
      <c r="G4" s="578"/>
      <c r="H4" s="578"/>
      <c r="I4" s="578"/>
      <c r="J4" s="578"/>
      <c r="K4" s="578"/>
      <c r="L4" s="578"/>
      <c r="M4" s="578"/>
      <c r="N4" s="578"/>
      <c r="O4" s="578"/>
      <c r="P4" s="578"/>
      <c r="Q4" s="578"/>
      <c r="R4" s="578"/>
    </row>
    <row r="5" spans="1:21" s="1" customFormat="1" ht="14.25" customHeight="1">
      <c r="A5" s="1396" t="s">
        <v>213</v>
      </c>
      <c r="B5" s="1357"/>
      <c r="C5" s="1360" t="s">
        <v>202</v>
      </c>
      <c r="D5" s="1363" t="s">
        <v>246</v>
      </c>
      <c r="E5" s="1371" t="s">
        <v>232</v>
      </c>
      <c r="F5" s="1372"/>
      <c r="G5" s="1373"/>
      <c r="H5" s="1354" t="s">
        <v>491</v>
      </c>
      <c r="I5" s="1366" t="s">
        <v>247</v>
      </c>
      <c r="J5" s="1374" t="s">
        <v>232</v>
      </c>
      <c r="K5" s="1375"/>
      <c r="L5" s="1376"/>
      <c r="M5" s="1384" t="s">
        <v>492</v>
      </c>
      <c r="N5" s="1381" t="s">
        <v>248</v>
      </c>
      <c r="O5" s="1387" t="s">
        <v>232</v>
      </c>
      <c r="P5" s="1388"/>
      <c r="Q5" s="1389"/>
      <c r="R5" s="1393" t="s">
        <v>493</v>
      </c>
    </row>
    <row r="6" spans="1:21"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21" s="1" customFormat="1" ht="30" customHeight="1">
      <c r="A7" s="1396"/>
      <c r="B7" s="1359"/>
      <c r="C7" s="1362"/>
      <c r="D7" s="1365"/>
      <c r="E7" s="1370"/>
      <c r="F7" s="1370"/>
      <c r="G7" s="1370"/>
      <c r="H7" s="1356"/>
      <c r="I7" s="1368"/>
      <c r="J7" s="1378"/>
      <c r="K7" s="1378"/>
      <c r="L7" s="1378"/>
      <c r="M7" s="1386"/>
      <c r="N7" s="1383"/>
      <c r="O7" s="1380"/>
      <c r="P7" s="1380"/>
      <c r="Q7" s="1380"/>
      <c r="R7" s="1395"/>
    </row>
    <row r="8" spans="1:21"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21" s="26" customFormat="1" ht="12">
      <c r="A9" s="379"/>
      <c r="B9" s="380" t="s">
        <v>73</v>
      </c>
      <c r="C9" s="381"/>
      <c r="D9" s="382"/>
      <c r="E9" s="382"/>
      <c r="F9" s="382"/>
      <c r="G9" s="382"/>
      <c r="H9" s="382"/>
      <c r="I9" s="383"/>
      <c r="J9" s="383"/>
      <c r="K9" s="383"/>
      <c r="L9" s="383"/>
      <c r="M9" s="383"/>
      <c r="N9" s="383"/>
      <c r="O9" s="383"/>
      <c r="P9" s="383"/>
      <c r="Q9" s="383"/>
      <c r="R9" s="384"/>
    </row>
    <row r="10" spans="1:21" ht="71.400000000000006">
      <c r="A10" s="146" t="s">
        <v>205</v>
      </c>
      <c r="B10" s="350" t="s">
        <v>83</v>
      </c>
      <c r="C10" s="155">
        <v>1268992768</v>
      </c>
      <c r="D10" s="366">
        <v>1244343191</v>
      </c>
      <c r="E10" s="155">
        <f>E11+E13+E14+E15+E16</f>
        <v>114140513</v>
      </c>
      <c r="F10" s="155">
        <f>F11+F13+F14+F15+F16</f>
        <v>0</v>
      </c>
      <c r="G10" s="155">
        <f>G11+G13+G14+G15+G16</f>
        <v>0</v>
      </c>
      <c r="H10" s="156">
        <f t="shared" ref="H10:H17" si="0">SUM(D10:G10)</f>
        <v>1358483704</v>
      </c>
      <c r="I10" s="156">
        <v>1248862454</v>
      </c>
      <c r="J10" s="155">
        <f>J11+J13+J14+J15+J16</f>
        <v>272364581</v>
      </c>
      <c r="K10" s="155">
        <f>K11+K13+K14+K15+K16</f>
        <v>0</v>
      </c>
      <c r="L10" s="155">
        <f>L11+L13+L14+L15+L16</f>
        <v>0</v>
      </c>
      <c r="M10" s="156">
        <f t="shared" ref="M10:M17" si="1">SUM(I10:L10)</f>
        <v>1521227035</v>
      </c>
      <c r="N10" s="155">
        <v>1311675883</v>
      </c>
      <c r="O10" s="155">
        <f>O11+O13+O14+O15+O16</f>
        <v>249732137</v>
      </c>
      <c r="P10" s="155">
        <f>P11+P13+P14+P15+P16</f>
        <v>0</v>
      </c>
      <c r="Q10" s="155">
        <f>Q11+Q13+Q14+Q15+Q16</f>
        <v>0</v>
      </c>
      <c r="R10" s="156">
        <f t="shared" ref="R10:R17" si="2">SUM(N10:Q10)</f>
        <v>1561408020</v>
      </c>
      <c r="T10" s="561"/>
      <c r="U10" s="561"/>
    </row>
    <row r="11" spans="1:21" ht="11.4">
      <c r="A11" s="15" t="s">
        <v>74</v>
      </c>
      <c r="B11" s="351" t="s">
        <v>75</v>
      </c>
      <c r="C11" s="181">
        <v>1252256757</v>
      </c>
      <c r="D11" s="205">
        <v>1223364065</v>
      </c>
      <c r="E11" s="181">
        <f>E12</f>
        <v>109668616</v>
      </c>
      <c r="F11" s="181">
        <f>F12</f>
        <v>0</v>
      </c>
      <c r="G11" s="181">
        <f>G12</f>
        <v>0</v>
      </c>
      <c r="H11" s="212">
        <f t="shared" si="0"/>
        <v>1333032681</v>
      </c>
      <c r="I11" s="212">
        <v>1232462037</v>
      </c>
      <c r="J11" s="181">
        <f>J12</f>
        <v>141428182</v>
      </c>
      <c r="K11" s="181">
        <v>0</v>
      </c>
      <c r="L11" s="181">
        <v>0</v>
      </c>
      <c r="M11" s="212">
        <f t="shared" si="1"/>
        <v>1373890219</v>
      </c>
      <c r="N11" s="181">
        <v>1295520845</v>
      </c>
      <c r="O11" s="181">
        <f>O12</f>
        <v>124104697</v>
      </c>
      <c r="P11" s="181">
        <v>0</v>
      </c>
      <c r="Q11" s="181">
        <v>0</v>
      </c>
      <c r="R11" s="212">
        <f t="shared" si="2"/>
        <v>1419625542</v>
      </c>
    </row>
    <row r="12" spans="1:21" ht="12">
      <c r="A12" s="16" t="s">
        <v>76</v>
      </c>
      <c r="B12" s="351" t="s">
        <v>77</v>
      </c>
      <c r="C12" s="171">
        <v>1252256757</v>
      </c>
      <c r="D12" s="170">
        <v>1223364065</v>
      </c>
      <c r="E12" s="171">
        <f>109668616</f>
        <v>109668616</v>
      </c>
      <c r="F12" s="171">
        <v>0</v>
      </c>
      <c r="G12" s="171">
        <v>0</v>
      </c>
      <c r="H12" s="211">
        <f t="shared" si="0"/>
        <v>1333032681</v>
      </c>
      <c r="I12" s="211">
        <v>1232462037</v>
      </c>
      <c r="J12" s="171">
        <v>141428182</v>
      </c>
      <c r="K12" s="171">
        <v>0</v>
      </c>
      <c r="L12" s="171">
        <v>0</v>
      </c>
      <c r="M12" s="211">
        <f t="shared" si="1"/>
        <v>1373890219</v>
      </c>
      <c r="N12" s="171">
        <v>1295520845</v>
      </c>
      <c r="O12" s="171">
        <v>124104697</v>
      </c>
      <c r="P12" s="171">
        <v>0</v>
      </c>
      <c r="Q12" s="171">
        <v>0</v>
      </c>
      <c r="R12" s="211">
        <f t="shared" si="2"/>
        <v>1419625542</v>
      </c>
    </row>
    <row r="13" spans="1:21" s="27" customFormat="1" ht="11.4">
      <c r="A13" s="17" t="s">
        <v>78</v>
      </c>
      <c r="B13" s="352" t="s">
        <v>79</v>
      </c>
      <c r="C13" s="181">
        <v>1684857</v>
      </c>
      <c r="D13" s="205">
        <v>5993252</v>
      </c>
      <c r="E13" s="181">
        <v>0</v>
      </c>
      <c r="F13" s="181">
        <v>0</v>
      </c>
      <c r="G13" s="181">
        <v>0</v>
      </c>
      <c r="H13" s="212">
        <f t="shared" si="0"/>
        <v>5993252</v>
      </c>
      <c r="I13" s="212">
        <v>2088160</v>
      </c>
      <c r="J13" s="181">
        <v>0</v>
      </c>
      <c r="K13" s="181">
        <v>0</v>
      </c>
      <c r="L13" s="181">
        <v>0</v>
      </c>
      <c r="M13" s="212">
        <f t="shared" si="1"/>
        <v>2088160</v>
      </c>
      <c r="N13" s="181">
        <v>2085211</v>
      </c>
      <c r="O13" s="181">
        <v>0</v>
      </c>
      <c r="P13" s="181">
        <v>0</v>
      </c>
      <c r="Q13" s="181">
        <v>0</v>
      </c>
      <c r="R13" s="212">
        <f t="shared" si="2"/>
        <v>2085211</v>
      </c>
    </row>
    <row r="14" spans="1:21" s="7" customFormat="1" ht="22.8">
      <c r="A14" s="5" t="s">
        <v>89</v>
      </c>
      <c r="B14" s="351" t="s">
        <v>90</v>
      </c>
      <c r="C14" s="181">
        <v>40460</v>
      </c>
      <c r="D14" s="205">
        <v>40140</v>
      </c>
      <c r="E14" s="181">
        <v>0</v>
      </c>
      <c r="F14" s="181">
        <v>0</v>
      </c>
      <c r="G14" s="181">
        <v>0</v>
      </c>
      <c r="H14" s="212">
        <f t="shared" si="0"/>
        <v>40140</v>
      </c>
      <c r="I14" s="212">
        <v>39820</v>
      </c>
      <c r="J14" s="181">
        <v>0</v>
      </c>
      <c r="K14" s="181">
        <v>0</v>
      </c>
      <c r="L14" s="181">
        <v>0</v>
      </c>
      <c r="M14" s="212">
        <f t="shared" si="1"/>
        <v>39820</v>
      </c>
      <c r="N14" s="181">
        <v>39820</v>
      </c>
      <c r="O14" s="181">
        <v>0</v>
      </c>
      <c r="P14" s="181">
        <v>0</v>
      </c>
      <c r="Q14" s="181">
        <v>0</v>
      </c>
      <c r="R14" s="212">
        <f t="shared" si="2"/>
        <v>39820</v>
      </c>
    </row>
    <row r="15" spans="1:21" s="7" customFormat="1" ht="12" hidden="1" customHeight="1">
      <c r="A15" s="5" t="s">
        <v>91</v>
      </c>
      <c r="B15" s="351" t="s">
        <v>82</v>
      </c>
      <c r="C15" s="181"/>
      <c r="D15" s="205">
        <v>0</v>
      </c>
      <c r="E15" s="181"/>
      <c r="F15" s="181"/>
      <c r="G15" s="181"/>
      <c r="H15" s="212">
        <f t="shared" si="0"/>
        <v>0</v>
      </c>
      <c r="I15" s="212">
        <v>0</v>
      </c>
      <c r="J15" s="181"/>
      <c r="K15" s="181"/>
      <c r="L15" s="181"/>
      <c r="M15" s="212">
        <f t="shared" si="1"/>
        <v>0</v>
      </c>
      <c r="N15" s="181">
        <v>0</v>
      </c>
      <c r="O15" s="181"/>
      <c r="P15" s="181"/>
      <c r="Q15" s="181"/>
      <c r="R15" s="212">
        <f t="shared" si="2"/>
        <v>0</v>
      </c>
    </row>
    <row r="16" spans="1:21" s="7" customFormat="1" ht="20.399999999999999">
      <c r="A16" s="5" t="s">
        <v>206</v>
      </c>
      <c r="B16" s="351" t="s">
        <v>94</v>
      </c>
      <c r="C16" s="181">
        <v>15010694</v>
      </c>
      <c r="D16" s="205">
        <v>14945734</v>
      </c>
      <c r="E16" s="181">
        <f>8856-738-1+530550+1476000+2457230</f>
        <v>4471897</v>
      </c>
      <c r="F16" s="181">
        <v>0</v>
      </c>
      <c r="G16" s="181"/>
      <c r="H16" s="212">
        <f t="shared" si="0"/>
        <v>19417631</v>
      </c>
      <c r="I16" s="212">
        <v>14272437</v>
      </c>
      <c r="J16" s="181">
        <f>10332+12+25058+120903756+6152952+273844+1476000+2094445</f>
        <v>130936399</v>
      </c>
      <c r="K16" s="181">
        <v>0</v>
      </c>
      <c r="L16" s="181"/>
      <c r="M16" s="212">
        <f t="shared" si="1"/>
        <v>145208836</v>
      </c>
      <c r="N16" s="181">
        <v>14030007</v>
      </c>
      <c r="O16" s="181">
        <f>122414694+7380+9+25938+1476000+1703419</f>
        <v>125627440</v>
      </c>
      <c r="P16" s="181">
        <v>0</v>
      </c>
      <c r="Q16" s="181"/>
      <c r="R16" s="212">
        <f t="shared" si="2"/>
        <v>139657447</v>
      </c>
    </row>
    <row r="17" spans="1:21" s="8" customFormat="1" ht="11.4">
      <c r="A17" s="151" t="s">
        <v>100</v>
      </c>
      <c r="B17" s="350" t="s">
        <v>101</v>
      </c>
      <c r="C17" s="155">
        <v>1402793908</v>
      </c>
      <c r="D17" s="366">
        <v>1397044226</v>
      </c>
      <c r="E17" s="155">
        <f>E18+E40</f>
        <v>18901190</v>
      </c>
      <c r="F17" s="155">
        <f>F18+F40</f>
        <v>9324458</v>
      </c>
      <c r="G17" s="155">
        <f>G18+G40</f>
        <v>0</v>
      </c>
      <c r="H17" s="156">
        <f t="shared" si="0"/>
        <v>1425269874</v>
      </c>
      <c r="I17" s="156">
        <v>1265239648</v>
      </c>
      <c r="J17" s="155">
        <f>J18+J40</f>
        <v>148237600</v>
      </c>
      <c r="K17" s="155">
        <f>K18+K40</f>
        <v>12673969</v>
      </c>
      <c r="L17" s="155">
        <f>L18+L40</f>
        <v>0</v>
      </c>
      <c r="M17" s="156">
        <f t="shared" si="1"/>
        <v>1426151217</v>
      </c>
      <c r="N17" s="155">
        <v>1284428331</v>
      </c>
      <c r="O17" s="155">
        <f>O18+O40</f>
        <v>143160250</v>
      </c>
      <c r="P17" s="155">
        <f>P18+P40</f>
        <v>6475572</v>
      </c>
      <c r="Q17" s="155">
        <f>Q18+Q40</f>
        <v>0</v>
      </c>
      <c r="R17" s="156">
        <f t="shared" si="2"/>
        <v>1434064153</v>
      </c>
      <c r="T17" s="563"/>
      <c r="U17" s="563"/>
    </row>
    <row r="18" spans="1:21" s="8" customFormat="1" ht="20.399999999999999">
      <c r="A18" s="5" t="s">
        <v>5</v>
      </c>
      <c r="B18" s="351" t="s">
        <v>103</v>
      </c>
      <c r="C18" s="171">
        <v>1402224300</v>
      </c>
      <c r="D18" s="170">
        <v>1396474618</v>
      </c>
      <c r="E18" s="171">
        <f>E19+E23+E24+E27+E29</f>
        <v>18901190</v>
      </c>
      <c r="F18" s="171">
        <f>F19+F23+F24+F27+F29</f>
        <v>9324458</v>
      </c>
      <c r="G18" s="171">
        <f>G19+G23+G24+G27+G29</f>
        <v>0</v>
      </c>
      <c r="H18" s="353">
        <f t="shared" ref="H18:H65" si="3">SUM(D18:G18)</f>
        <v>1424700266</v>
      </c>
      <c r="I18" s="211">
        <v>1264670040</v>
      </c>
      <c r="J18" s="171">
        <f>J19+J23+J24+J27+J29</f>
        <v>148237600</v>
      </c>
      <c r="K18" s="171">
        <f>K19+K23+K24+K27+K29</f>
        <v>12673969</v>
      </c>
      <c r="L18" s="171">
        <f>L19+L23+L24+L27+L29</f>
        <v>0</v>
      </c>
      <c r="M18" s="353">
        <f t="shared" ref="M18:M65" si="4">SUM(I18:L18)</f>
        <v>1425581609</v>
      </c>
      <c r="N18" s="171">
        <v>1283858723</v>
      </c>
      <c r="O18" s="171">
        <f>O19+O23+O24+O27+O29</f>
        <v>143160250</v>
      </c>
      <c r="P18" s="171">
        <f>P19+P23+P24+P27+P29</f>
        <v>6475572</v>
      </c>
      <c r="Q18" s="171">
        <f>Q19+Q23+Q24+Q27+Q29</f>
        <v>0</v>
      </c>
      <c r="R18" s="353">
        <f t="shared" ref="R18:R65" si="5">SUM(N18:Q18)</f>
        <v>1433494545</v>
      </c>
    </row>
    <row r="19" spans="1:21" s="8" customFormat="1" ht="12">
      <c r="A19" s="15" t="s">
        <v>6</v>
      </c>
      <c r="B19" s="351" t="s">
        <v>105</v>
      </c>
      <c r="C19" s="171">
        <v>9290498</v>
      </c>
      <c r="D19" s="170">
        <v>9599729</v>
      </c>
      <c r="E19" s="171">
        <f>E20+E22</f>
        <v>0</v>
      </c>
      <c r="F19" s="171">
        <f>F20+F22</f>
        <v>0</v>
      </c>
      <c r="G19" s="171">
        <f>G20+G22</f>
        <v>0</v>
      </c>
      <c r="H19" s="353">
        <f t="shared" si="3"/>
        <v>9599729</v>
      </c>
      <c r="I19" s="211">
        <v>9603739</v>
      </c>
      <c r="J19" s="171">
        <f>J20+J22</f>
        <v>0</v>
      </c>
      <c r="K19" s="171">
        <f>K20+K22</f>
        <v>0</v>
      </c>
      <c r="L19" s="171">
        <f>L20+L22</f>
        <v>0</v>
      </c>
      <c r="M19" s="353">
        <f t="shared" si="4"/>
        <v>9603739</v>
      </c>
      <c r="N19" s="171">
        <v>9512159</v>
      </c>
      <c r="O19" s="171">
        <f>O20+O22</f>
        <v>134067</v>
      </c>
      <c r="P19" s="171">
        <f>P20+P22</f>
        <v>0</v>
      </c>
      <c r="Q19" s="171">
        <f>Q20+Q22</f>
        <v>0</v>
      </c>
      <c r="R19" s="353">
        <f t="shared" si="5"/>
        <v>9646226</v>
      </c>
    </row>
    <row r="20" spans="1:21" s="8" customFormat="1" ht="12">
      <c r="A20" s="87">
        <v>1000</v>
      </c>
      <c r="B20" s="354" t="s">
        <v>106</v>
      </c>
      <c r="C20" s="171">
        <v>6866460</v>
      </c>
      <c r="D20" s="170">
        <v>6866460</v>
      </c>
      <c r="E20" s="171">
        <v>0</v>
      </c>
      <c r="F20" s="171">
        <v>0</v>
      </c>
      <c r="G20" s="171">
        <v>0</v>
      </c>
      <c r="H20" s="353">
        <f t="shared" si="3"/>
        <v>6866460</v>
      </c>
      <c r="I20" s="211">
        <v>6866460</v>
      </c>
      <c r="J20" s="171">
        <v>0</v>
      </c>
      <c r="K20" s="171">
        <v>0</v>
      </c>
      <c r="L20" s="171">
        <v>0</v>
      </c>
      <c r="M20" s="353">
        <f t="shared" si="4"/>
        <v>6866460</v>
      </c>
      <c r="N20" s="171">
        <v>6866460</v>
      </c>
      <c r="O20" s="171">
        <v>0</v>
      </c>
      <c r="P20" s="171">
        <v>0</v>
      </c>
      <c r="Q20" s="171">
        <v>0</v>
      </c>
      <c r="R20" s="353">
        <f t="shared" si="5"/>
        <v>6866460</v>
      </c>
    </row>
    <row r="21" spans="1:21" s="8" customFormat="1" ht="12">
      <c r="A21" s="87">
        <v>1100</v>
      </c>
      <c r="B21" s="354" t="s">
        <v>107</v>
      </c>
      <c r="C21" s="171">
        <v>5537255</v>
      </c>
      <c r="D21" s="170">
        <v>5537255</v>
      </c>
      <c r="E21" s="171">
        <v>0</v>
      </c>
      <c r="F21" s="171">
        <v>0</v>
      </c>
      <c r="G21" s="171">
        <v>0</v>
      </c>
      <c r="H21" s="353">
        <f t="shared" si="3"/>
        <v>5537255</v>
      </c>
      <c r="I21" s="211">
        <v>5537255</v>
      </c>
      <c r="J21" s="171">
        <v>0</v>
      </c>
      <c r="K21" s="171">
        <v>0</v>
      </c>
      <c r="L21" s="171">
        <v>0</v>
      </c>
      <c r="M21" s="353">
        <f t="shared" si="4"/>
        <v>5537255</v>
      </c>
      <c r="N21" s="171">
        <v>5537255</v>
      </c>
      <c r="O21" s="171">
        <v>0</v>
      </c>
      <c r="P21" s="171">
        <v>0</v>
      </c>
      <c r="Q21" s="171">
        <v>0</v>
      </c>
      <c r="R21" s="353">
        <f t="shared" si="5"/>
        <v>5537255</v>
      </c>
    </row>
    <row r="22" spans="1:21" s="8" customFormat="1" ht="12">
      <c r="A22" s="87">
        <v>2000</v>
      </c>
      <c r="B22" s="354" t="s">
        <v>108</v>
      </c>
      <c r="C22" s="171">
        <v>2424038</v>
      </c>
      <c r="D22" s="170">
        <v>2733269</v>
      </c>
      <c r="E22" s="171">
        <v>0</v>
      </c>
      <c r="F22" s="171">
        <v>0</v>
      </c>
      <c r="G22" s="171">
        <v>0</v>
      </c>
      <c r="H22" s="353">
        <f t="shared" si="3"/>
        <v>2733269</v>
      </c>
      <c r="I22" s="211">
        <v>2737279</v>
      </c>
      <c r="J22" s="171">
        <v>0</v>
      </c>
      <c r="K22" s="171">
        <v>0</v>
      </c>
      <c r="L22" s="171">
        <v>0</v>
      </c>
      <c r="M22" s="353">
        <f t="shared" si="4"/>
        <v>2737279</v>
      </c>
      <c r="N22" s="171">
        <v>2645699</v>
      </c>
      <c r="O22" s="171">
        <v>134067</v>
      </c>
      <c r="P22" s="171">
        <v>0</v>
      </c>
      <c r="Q22" s="171">
        <v>0</v>
      </c>
      <c r="R22" s="353">
        <f t="shared" si="5"/>
        <v>2779766</v>
      </c>
    </row>
    <row r="23" spans="1:21" s="8" customFormat="1" ht="12">
      <c r="A23" s="88">
        <v>4000</v>
      </c>
      <c r="B23" s="351" t="s">
        <v>132</v>
      </c>
      <c r="C23" s="171">
        <v>514132</v>
      </c>
      <c r="D23" s="170">
        <v>1322863</v>
      </c>
      <c r="E23" s="171">
        <f>E81+E87+E111</f>
        <v>-1281694</v>
      </c>
      <c r="F23" s="171">
        <v>0</v>
      </c>
      <c r="G23" s="171">
        <v>0</v>
      </c>
      <c r="H23" s="353">
        <f t="shared" si="3"/>
        <v>41169</v>
      </c>
      <c r="I23" s="211">
        <v>3744610</v>
      </c>
      <c r="J23" s="171">
        <f>J81+J87+J111</f>
        <v>-3731504</v>
      </c>
      <c r="K23" s="171">
        <v>0</v>
      </c>
      <c r="L23" s="171">
        <v>0</v>
      </c>
      <c r="M23" s="353">
        <f t="shared" si="4"/>
        <v>13106</v>
      </c>
      <c r="N23" s="171">
        <v>3766756</v>
      </c>
      <c r="O23" s="171">
        <f>O81+O87+O111</f>
        <v>-3766756</v>
      </c>
      <c r="P23" s="171">
        <v>0</v>
      </c>
      <c r="Q23" s="171">
        <v>0</v>
      </c>
      <c r="R23" s="353">
        <f t="shared" si="5"/>
        <v>0</v>
      </c>
    </row>
    <row r="24" spans="1:21" s="8" customFormat="1" ht="12">
      <c r="A24" s="88" t="s">
        <v>109</v>
      </c>
      <c r="B24" s="351" t="s">
        <v>110</v>
      </c>
      <c r="C24" s="171">
        <v>1390417371</v>
      </c>
      <c r="D24" s="170">
        <v>1385080392</v>
      </c>
      <c r="E24" s="171">
        <f>E25+E26</f>
        <v>20182884</v>
      </c>
      <c r="F24" s="171">
        <f>F25+F26</f>
        <v>9324458</v>
      </c>
      <c r="G24" s="171">
        <f>G25+G26</f>
        <v>0</v>
      </c>
      <c r="H24" s="353">
        <f t="shared" si="3"/>
        <v>1414587734</v>
      </c>
      <c r="I24" s="211">
        <v>1250850575</v>
      </c>
      <c r="J24" s="171">
        <f>J25+J26</f>
        <v>151969104</v>
      </c>
      <c r="K24" s="171">
        <f>K25+K26</f>
        <v>12673969</v>
      </c>
      <c r="L24" s="171">
        <f>L25+L26</f>
        <v>0</v>
      </c>
      <c r="M24" s="353">
        <f t="shared" si="4"/>
        <v>1415493648</v>
      </c>
      <c r="N24" s="171">
        <v>1270071034</v>
      </c>
      <c r="O24" s="171">
        <f>O25+O26</f>
        <v>146827522</v>
      </c>
      <c r="P24" s="171">
        <f>P25+P26</f>
        <v>6475572</v>
      </c>
      <c r="Q24" s="171">
        <f>Q25+Q26</f>
        <v>0</v>
      </c>
      <c r="R24" s="353">
        <f t="shared" si="5"/>
        <v>1423374128</v>
      </c>
    </row>
    <row r="25" spans="1:21" s="8" customFormat="1" ht="12">
      <c r="A25" s="87">
        <v>3000</v>
      </c>
      <c r="B25" s="354" t="s">
        <v>111</v>
      </c>
      <c r="C25" s="171">
        <v>4131566</v>
      </c>
      <c r="D25" s="170">
        <v>5367575</v>
      </c>
      <c r="E25" s="171">
        <v>0</v>
      </c>
      <c r="F25" s="171">
        <v>0</v>
      </c>
      <c r="G25" s="171">
        <v>0</v>
      </c>
      <c r="H25" s="353">
        <f t="shared" si="3"/>
        <v>5367575</v>
      </c>
      <c r="I25" s="211">
        <v>5281660</v>
      </c>
      <c r="J25" s="171">
        <v>0</v>
      </c>
      <c r="K25" s="171">
        <v>0</v>
      </c>
      <c r="L25" s="171">
        <v>0</v>
      </c>
      <c r="M25" s="353">
        <f t="shared" si="4"/>
        <v>5281660</v>
      </c>
      <c r="N25" s="171">
        <v>5756323</v>
      </c>
      <c r="O25" s="171">
        <v>-100977</v>
      </c>
      <c r="P25" s="171">
        <v>0</v>
      </c>
      <c r="Q25" s="171">
        <v>0</v>
      </c>
      <c r="R25" s="353">
        <f t="shared" si="5"/>
        <v>5655346</v>
      </c>
    </row>
    <row r="26" spans="1:21" s="8" customFormat="1" ht="12">
      <c r="A26" s="87">
        <v>6000</v>
      </c>
      <c r="B26" s="354" t="s">
        <v>112</v>
      </c>
      <c r="C26" s="171">
        <v>1386285805</v>
      </c>
      <c r="D26" s="170">
        <v>1379712817</v>
      </c>
      <c r="E26" s="171">
        <f>E73+E84+E89+E98</f>
        <v>20182884</v>
      </c>
      <c r="F26" s="171">
        <f>F118+F119+F120+F121</f>
        <v>9324458</v>
      </c>
      <c r="G26" s="171">
        <f>G111+G112+G113+G114</f>
        <v>0</v>
      </c>
      <c r="H26" s="353">
        <f t="shared" si="3"/>
        <v>1409220159</v>
      </c>
      <c r="I26" s="211">
        <v>1245568915</v>
      </c>
      <c r="J26" s="171">
        <f>J73+J84+J89+J98</f>
        <v>151969104</v>
      </c>
      <c r="K26" s="171">
        <f>K118+K119+K120+K121</f>
        <v>12673969</v>
      </c>
      <c r="L26" s="171">
        <f>L111+L112+L113+L114</f>
        <v>0</v>
      </c>
      <c r="M26" s="353">
        <f t="shared" si="4"/>
        <v>1410211988</v>
      </c>
      <c r="N26" s="171">
        <v>1264314711</v>
      </c>
      <c r="O26" s="171">
        <f>O73+O84+O89+O98</f>
        <v>146928499</v>
      </c>
      <c r="P26" s="171">
        <f>P118+P119+P120+P121</f>
        <v>6475572</v>
      </c>
      <c r="Q26" s="171">
        <f>Q111+Q112+Q113+Q114</f>
        <v>0</v>
      </c>
      <c r="R26" s="353">
        <f t="shared" si="5"/>
        <v>1417718782</v>
      </c>
    </row>
    <row r="27" spans="1:21" s="8" customFormat="1" ht="22.8">
      <c r="A27" s="88" t="s">
        <v>113</v>
      </c>
      <c r="B27" s="351" t="s">
        <v>183</v>
      </c>
      <c r="C27" s="171">
        <v>12258</v>
      </c>
      <c r="D27" s="170">
        <v>12112</v>
      </c>
      <c r="E27" s="171">
        <f>E28</f>
        <v>0</v>
      </c>
      <c r="F27" s="171">
        <f>F28</f>
        <v>0</v>
      </c>
      <c r="G27" s="171">
        <f>G28</f>
        <v>0</v>
      </c>
      <c r="H27" s="353">
        <f t="shared" si="3"/>
        <v>12112</v>
      </c>
      <c r="I27" s="211">
        <v>12112</v>
      </c>
      <c r="J27" s="171">
        <f>J28</f>
        <v>0</v>
      </c>
      <c r="K27" s="171">
        <f>K28</f>
        <v>0</v>
      </c>
      <c r="L27" s="171">
        <f>L28</f>
        <v>0</v>
      </c>
      <c r="M27" s="353">
        <f t="shared" si="4"/>
        <v>12112</v>
      </c>
      <c r="N27" s="171">
        <v>12112</v>
      </c>
      <c r="O27" s="171">
        <f>O28</f>
        <v>0</v>
      </c>
      <c r="P27" s="171">
        <f>P28</f>
        <v>0</v>
      </c>
      <c r="Q27" s="171">
        <f>Q28</f>
        <v>0</v>
      </c>
      <c r="R27" s="353">
        <f t="shared" si="5"/>
        <v>12112</v>
      </c>
    </row>
    <row r="28" spans="1:21" s="8" customFormat="1" ht="12">
      <c r="A28" s="87">
        <v>7700</v>
      </c>
      <c r="B28" s="355" t="s">
        <v>114</v>
      </c>
      <c r="C28" s="171">
        <v>12258</v>
      </c>
      <c r="D28" s="170">
        <v>12112</v>
      </c>
      <c r="E28" s="171">
        <v>0</v>
      </c>
      <c r="F28" s="171">
        <v>0</v>
      </c>
      <c r="G28" s="171">
        <v>0</v>
      </c>
      <c r="H28" s="353">
        <f t="shared" si="3"/>
        <v>12112</v>
      </c>
      <c r="I28" s="211">
        <v>12112</v>
      </c>
      <c r="J28" s="171">
        <v>0</v>
      </c>
      <c r="K28" s="171">
        <v>0</v>
      </c>
      <c r="L28" s="171">
        <v>0</v>
      </c>
      <c r="M28" s="353">
        <f t="shared" si="4"/>
        <v>12112</v>
      </c>
      <c r="N28" s="171">
        <v>12112</v>
      </c>
      <c r="O28" s="171">
        <v>0</v>
      </c>
      <c r="P28" s="171">
        <v>0</v>
      </c>
      <c r="Q28" s="171">
        <v>0</v>
      </c>
      <c r="R28" s="353">
        <f t="shared" si="5"/>
        <v>12112</v>
      </c>
    </row>
    <row r="29" spans="1:21" s="7" customFormat="1" ht="12">
      <c r="A29" s="88" t="s">
        <v>207</v>
      </c>
      <c r="B29" s="351" t="s">
        <v>115</v>
      </c>
      <c r="C29" s="171">
        <v>1990041</v>
      </c>
      <c r="D29" s="170">
        <v>459522</v>
      </c>
      <c r="E29" s="171">
        <f>E30+E33+E37</f>
        <v>0</v>
      </c>
      <c r="F29" s="171">
        <f>F30+F33+F37</f>
        <v>0</v>
      </c>
      <c r="G29" s="171">
        <f>G30+G33+G37</f>
        <v>0</v>
      </c>
      <c r="H29" s="353">
        <f t="shared" si="3"/>
        <v>459522</v>
      </c>
      <c r="I29" s="211">
        <v>459004</v>
      </c>
      <c r="J29" s="171">
        <f>J30+J33+J37</f>
        <v>0</v>
      </c>
      <c r="K29" s="171">
        <f>K30+K33+K37</f>
        <v>0</v>
      </c>
      <c r="L29" s="171">
        <f>L30+L33+L37</f>
        <v>0</v>
      </c>
      <c r="M29" s="353">
        <f t="shared" si="4"/>
        <v>459004</v>
      </c>
      <c r="N29" s="171">
        <v>496662</v>
      </c>
      <c r="O29" s="171">
        <f>O30+O33+O37</f>
        <v>-34583</v>
      </c>
      <c r="P29" s="171">
        <f>P30+P33+P37</f>
        <v>0</v>
      </c>
      <c r="Q29" s="171">
        <f>Q30+Q33+Q37</f>
        <v>0</v>
      </c>
      <c r="R29" s="353">
        <f t="shared" si="5"/>
        <v>462079</v>
      </c>
    </row>
    <row r="30" spans="1:21" s="7" customFormat="1" ht="12" hidden="1" customHeight="1">
      <c r="A30" s="87">
        <v>7100</v>
      </c>
      <c r="B30" s="355" t="s">
        <v>116</v>
      </c>
      <c r="C30" s="170">
        <v>0</v>
      </c>
      <c r="D30" s="170">
        <v>0</v>
      </c>
      <c r="E30" s="171">
        <f>SUM(E31:E32)</f>
        <v>0</v>
      </c>
      <c r="F30" s="171">
        <f>SUM(F31:F32)</f>
        <v>0</v>
      </c>
      <c r="G30" s="171">
        <f>SUM(G31:G32)</f>
        <v>0</v>
      </c>
      <c r="H30" s="353">
        <f t="shared" si="3"/>
        <v>0</v>
      </c>
      <c r="I30" s="211">
        <v>0</v>
      </c>
      <c r="J30" s="171">
        <f>SUM(J31:J32)</f>
        <v>0</v>
      </c>
      <c r="K30" s="171">
        <f>SUM(K31:K32)</f>
        <v>0</v>
      </c>
      <c r="L30" s="171">
        <f>SUM(L31:L32)</f>
        <v>0</v>
      </c>
      <c r="M30" s="353">
        <f t="shared" si="4"/>
        <v>0</v>
      </c>
      <c r="N30" s="171">
        <v>0</v>
      </c>
      <c r="O30" s="171">
        <f>SUM(O31:O32)</f>
        <v>0</v>
      </c>
      <c r="P30" s="171">
        <f>SUM(P31:P32)</f>
        <v>0</v>
      </c>
      <c r="Q30" s="171">
        <f>SUM(Q31:Q32)</f>
        <v>0</v>
      </c>
      <c r="R30" s="353">
        <f t="shared" si="5"/>
        <v>0</v>
      </c>
    </row>
    <row r="31" spans="1:21" s="7" customFormat="1" ht="24" hidden="1" customHeight="1">
      <c r="A31" s="148" t="s">
        <v>208</v>
      </c>
      <c r="B31" s="355" t="s">
        <v>148</v>
      </c>
      <c r="C31" s="170"/>
      <c r="D31" s="170">
        <v>0</v>
      </c>
      <c r="E31" s="171"/>
      <c r="F31" s="171"/>
      <c r="G31" s="171"/>
      <c r="H31" s="353">
        <f t="shared" si="3"/>
        <v>0</v>
      </c>
      <c r="I31" s="211">
        <v>0</v>
      </c>
      <c r="J31" s="171"/>
      <c r="K31" s="171"/>
      <c r="L31" s="171"/>
      <c r="M31" s="353">
        <f t="shared" si="4"/>
        <v>0</v>
      </c>
      <c r="N31" s="171">
        <v>0</v>
      </c>
      <c r="O31" s="171"/>
      <c r="P31" s="171"/>
      <c r="Q31" s="171"/>
      <c r="R31" s="353">
        <f t="shared" si="5"/>
        <v>0</v>
      </c>
    </row>
    <row r="32" spans="1:21" s="29" customFormat="1" ht="24" hidden="1" customHeight="1">
      <c r="A32" s="148" t="s">
        <v>7</v>
      </c>
      <c r="B32" s="355" t="s">
        <v>8</v>
      </c>
      <c r="C32" s="170"/>
      <c r="D32" s="170">
        <v>0</v>
      </c>
      <c r="E32" s="171"/>
      <c r="F32" s="171"/>
      <c r="G32" s="171"/>
      <c r="H32" s="353">
        <f t="shared" si="3"/>
        <v>0</v>
      </c>
      <c r="I32" s="211">
        <v>0</v>
      </c>
      <c r="J32" s="171"/>
      <c r="K32" s="171"/>
      <c r="L32" s="171"/>
      <c r="M32" s="353">
        <f t="shared" si="4"/>
        <v>0</v>
      </c>
      <c r="N32" s="171">
        <v>0</v>
      </c>
      <c r="O32" s="171"/>
      <c r="P32" s="171"/>
      <c r="Q32" s="171"/>
      <c r="R32" s="353">
        <f t="shared" si="5"/>
        <v>0</v>
      </c>
    </row>
    <row r="33" spans="1:18" s="26" customFormat="1" ht="24">
      <c r="A33" s="150">
        <v>7300</v>
      </c>
      <c r="B33" s="208" t="s">
        <v>155</v>
      </c>
      <c r="C33" s="170">
        <v>1990041</v>
      </c>
      <c r="D33" s="170">
        <v>459522</v>
      </c>
      <c r="E33" s="171">
        <f>SUM(E34:E36)</f>
        <v>0</v>
      </c>
      <c r="F33" s="171">
        <f>SUM(F34:F36)</f>
        <v>0</v>
      </c>
      <c r="G33" s="171">
        <f>SUM(G34:G36)</f>
        <v>0</v>
      </c>
      <c r="H33" s="353">
        <f t="shared" si="3"/>
        <v>459522</v>
      </c>
      <c r="I33" s="211">
        <v>459004</v>
      </c>
      <c r="J33" s="171">
        <f>SUM(J34:J36)</f>
        <v>0</v>
      </c>
      <c r="K33" s="171">
        <f>SUM(K34:K36)</f>
        <v>0</v>
      </c>
      <c r="L33" s="171">
        <f>SUM(L34:L36)</f>
        <v>0</v>
      </c>
      <c r="M33" s="353">
        <f t="shared" si="4"/>
        <v>459004</v>
      </c>
      <c r="N33" s="171">
        <v>496662</v>
      </c>
      <c r="O33" s="171">
        <f>SUM(O34:O36)</f>
        <v>-34583</v>
      </c>
      <c r="P33" s="171">
        <f>SUM(P34:P36)</f>
        <v>0</v>
      </c>
      <c r="Q33" s="171">
        <f>SUM(Q34:Q36)</f>
        <v>0</v>
      </c>
      <c r="R33" s="353">
        <f t="shared" si="5"/>
        <v>462079</v>
      </c>
    </row>
    <row r="34" spans="1:18" ht="24">
      <c r="A34" s="148" t="s">
        <v>188</v>
      </c>
      <c r="B34" s="355" t="s">
        <v>170</v>
      </c>
      <c r="C34" s="98">
        <v>1904195</v>
      </c>
      <c r="D34" s="170">
        <v>353780</v>
      </c>
      <c r="E34" s="171">
        <v>0</v>
      </c>
      <c r="F34" s="171">
        <v>0</v>
      </c>
      <c r="G34" s="171">
        <v>0</v>
      </c>
      <c r="H34" s="353">
        <f t="shared" si="3"/>
        <v>353780</v>
      </c>
      <c r="I34" s="211">
        <v>350170</v>
      </c>
      <c r="J34" s="171">
        <v>0</v>
      </c>
      <c r="K34" s="171">
        <v>0</v>
      </c>
      <c r="L34" s="171">
        <v>0</v>
      </c>
      <c r="M34" s="353">
        <f t="shared" si="4"/>
        <v>350170</v>
      </c>
      <c r="N34" s="171">
        <v>382660</v>
      </c>
      <c r="O34" s="171">
        <v>-32490</v>
      </c>
      <c r="P34" s="171">
        <v>0</v>
      </c>
      <c r="Q34" s="171">
        <v>0</v>
      </c>
      <c r="R34" s="353">
        <f t="shared" si="5"/>
        <v>350170</v>
      </c>
    </row>
    <row r="35" spans="1:18" ht="36" hidden="1" customHeight="1">
      <c r="A35" s="148" t="s">
        <v>189</v>
      </c>
      <c r="B35" s="355" t="s">
        <v>156</v>
      </c>
      <c r="C35" s="98"/>
      <c r="D35" s="170">
        <v>0</v>
      </c>
      <c r="E35" s="171"/>
      <c r="F35" s="171"/>
      <c r="G35" s="171"/>
      <c r="H35" s="353">
        <f t="shared" si="3"/>
        <v>0</v>
      </c>
      <c r="I35" s="211">
        <v>0</v>
      </c>
      <c r="J35" s="171"/>
      <c r="K35" s="171"/>
      <c r="L35" s="171"/>
      <c r="M35" s="353">
        <f t="shared" si="4"/>
        <v>0</v>
      </c>
      <c r="N35" s="171">
        <v>0</v>
      </c>
      <c r="O35" s="171"/>
      <c r="P35" s="171"/>
      <c r="Q35" s="171"/>
      <c r="R35" s="353">
        <f t="shared" si="5"/>
        <v>0</v>
      </c>
    </row>
    <row r="36" spans="1:18" ht="36">
      <c r="A36" s="148">
        <v>7350</v>
      </c>
      <c r="B36" s="355" t="s">
        <v>163</v>
      </c>
      <c r="C36" s="169">
        <v>85846</v>
      </c>
      <c r="D36" s="170">
        <v>105742</v>
      </c>
      <c r="E36" s="171">
        <v>0</v>
      </c>
      <c r="F36" s="171">
        <v>0</v>
      </c>
      <c r="G36" s="171">
        <v>0</v>
      </c>
      <c r="H36" s="353">
        <f t="shared" si="3"/>
        <v>105742</v>
      </c>
      <c r="I36" s="211">
        <v>108834</v>
      </c>
      <c r="J36" s="171">
        <v>0</v>
      </c>
      <c r="K36" s="171">
        <v>0</v>
      </c>
      <c r="L36" s="171">
        <v>0</v>
      </c>
      <c r="M36" s="353">
        <f t="shared" si="4"/>
        <v>108834</v>
      </c>
      <c r="N36" s="171">
        <v>114002</v>
      </c>
      <c r="O36" s="171">
        <f>-600+O97</f>
        <v>-2093</v>
      </c>
      <c r="P36" s="171">
        <v>0</v>
      </c>
      <c r="Q36" s="171">
        <v>0</v>
      </c>
      <c r="R36" s="353">
        <f t="shared" si="5"/>
        <v>111909</v>
      </c>
    </row>
    <row r="37" spans="1:18" ht="24" hidden="1" customHeight="1">
      <c r="A37" s="150">
        <v>7400</v>
      </c>
      <c r="B37" s="208" t="s">
        <v>161</v>
      </c>
      <c r="C37" s="171">
        <v>0</v>
      </c>
      <c r="D37" s="170">
        <v>0</v>
      </c>
      <c r="E37" s="171">
        <f>SUM(E38:E39)</f>
        <v>0</v>
      </c>
      <c r="F37" s="171">
        <f>SUM(F38:F39)</f>
        <v>0</v>
      </c>
      <c r="G37" s="171">
        <f>SUM(G38:G39)</f>
        <v>0</v>
      </c>
      <c r="H37" s="353">
        <f t="shared" si="3"/>
        <v>0</v>
      </c>
      <c r="I37" s="211">
        <v>0</v>
      </c>
      <c r="J37" s="171">
        <f>SUM(J38:J39)</f>
        <v>0</v>
      </c>
      <c r="K37" s="171">
        <f>SUM(K38:K39)</f>
        <v>0</v>
      </c>
      <c r="L37" s="171">
        <f>SUM(L38:L39)</f>
        <v>0</v>
      </c>
      <c r="M37" s="353">
        <f t="shared" si="4"/>
        <v>0</v>
      </c>
      <c r="N37" s="171">
        <v>0</v>
      </c>
      <c r="O37" s="171">
        <f>SUM(O38:O39)</f>
        <v>0</v>
      </c>
      <c r="P37" s="171">
        <f>SUM(P38:P39)</f>
        <v>0</v>
      </c>
      <c r="Q37" s="171">
        <f>SUM(Q38:Q39)</f>
        <v>0</v>
      </c>
      <c r="R37" s="353">
        <f t="shared" si="5"/>
        <v>0</v>
      </c>
    </row>
    <row r="38" spans="1:18" ht="24" hidden="1" customHeight="1">
      <c r="A38" s="148">
        <v>7460</v>
      </c>
      <c r="B38" s="208" t="s">
        <v>162</v>
      </c>
      <c r="C38" s="356"/>
      <c r="D38" s="367">
        <v>0</v>
      </c>
      <c r="E38" s="171"/>
      <c r="F38" s="171"/>
      <c r="G38" s="171"/>
      <c r="H38" s="353">
        <f t="shared" si="3"/>
        <v>0</v>
      </c>
      <c r="I38" s="211">
        <v>0</v>
      </c>
      <c r="J38" s="171"/>
      <c r="K38" s="171"/>
      <c r="L38" s="171"/>
      <c r="M38" s="353">
        <f t="shared" si="4"/>
        <v>0</v>
      </c>
      <c r="N38" s="171">
        <v>0</v>
      </c>
      <c r="O38" s="171"/>
      <c r="P38" s="171"/>
      <c r="Q38" s="171"/>
      <c r="R38" s="353">
        <f t="shared" si="5"/>
        <v>0</v>
      </c>
    </row>
    <row r="39" spans="1:18" s="27" customFormat="1" ht="36" hidden="1" customHeight="1">
      <c r="A39" s="148">
        <v>7470</v>
      </c>
      <c r="B39" s="355" t="s">
        <v>167</v>
      </c>
      <c r="C39" s="356"/>
      <c r="D39" s="367">
        <v>0</v>
      </c>
      <c r="E39" s="171"/>
      <c r="F39" s="171"/>
      <c r="G39" s="171"/>
      <c r="H39" s="353">
        <f t="shared" si="3"/>
        <v>0</v>
      </c>
      <c r="I39" s="211">
        <v>0</v>
      </c>
      <c r="J39" s="171"/>
      <c r="K39" s="171"/>
      <c r="L39" s="171"/>
      <c r="M39" s="353">
        <f t="shared" si="4"/>
        <v>0</v>
      </c>
      <c r="N39" s="171">
        <v>0</v>
      </c>
      <c r="O39" s="171"/>
      <c r="P39" s="171"/>
      <c r="Q39" s="171"/>
      <c r="R39" s="353">
        <f t="shared" si="5"/>
        <v>0</v>
      </c>
    </row>
    <row r="40" spans="1:18" s="27" customFormat="1" ht="12" hidden="1" customHeight="1">
      <c r="A40" s="88" t="s">
        <v>133</v>
      </c>
      <c r="B40" s="351" t="s">
        <v>122</v>
      </c>
      <c r="C40" s="171">
        <v>569608</v>
      </c>
      <c r="D40" s="170">
        <v>569608</v>
      </c>
      <c r="E40" s="171">
        <f>E41+E42</f>
        <v>0</v>
      </c>
      <c r="F40" s="171">
        <f>F41+F42</f>
        <v>0</v>
      </c>
      <c r="G40" s="171">
        <f>G41+G42</f>
        <v>0</v>
      </c>
      <c r="H40" s="353">
        <f t="shared" si="3"/>
        <v>569608</v>
      </c>
      <c r="I40" s="211">
        <v>569608</v>
      </c>
      <c r="J40" s="171">
        <f>J41+J42</f>
        <v>0</v>
      </c>
      <c r="K40" s="171">
        <f>K41+K42</f>
        <v>0</v>
      </c>
      <c r="L40" s="171">
        <f>L41+L42</f>
        <v>0</v>
      </c>
      <c r="M40" s="353">
        <f t="shared" si="4"/>
        <v>569608</v>
      </c>
      <c r="N40" s="171">
        <v>569608</v>
      </c>
      <c r="O40" s="171">
        <f>O41+O42</f>
        <v>0</v>
      </c>
      <c r="P40" s="171">
        <f>P41+P42</f>
        <v>0</v>
      </c>
      <c r="Q40" s="171">
        <f>Q41+Q42</f>
        <v>0</v>
      </c>
      <c r="R40" s="353">
        <f t="shared" si="5"/>
        <v>569608</v>
      </c>
    </row>
    <row r="41" spans="1:18" s="27" customFormat="1" ht="12" hidden="1" customHeight="1">
      <c r="A41" s="88">
        <v>5000</v>
      </c>
      <c r="B41" s="351" t="s">
        <v>123</v>
      </c>
      <c r="C41" s="171">
        <v>569608</v>
      </c>
      <c r="D41" s="170">
        <v>569608</v>
      </c>
      <c r="E41" s="171">
        <v>0</v>
      </c>
      <c r="F41" s="171">
        <v>0</v>
      </c>
      <c r="G41" s="171"/>
      <c r="H41" s="353">
        <f t="shared" si="3"/>
        <v>569608</v>
      </c>
      <c r="I41" s="211">
        <v>569608</v>
      </c>
      <c r="J41" s="171">
        <v>0</v>
      </c>
      <c r="K41" s="171">
        <v>0</v>
      </c>
      <c r="L41" s="171"/>
      <c r="M41" s="353">
        <f t="shared" si="4"/>
        <v>569608</v>
      </c>
      <c r="N41" s="171">
        <v>569608</v>
      </c>
      <c r="O41" s="171">
        <v>0</v>
      </c>
      <c r="P41" s="171">
        <v>0</v>
      </c>
      <c r="Q41" s="171"/>
      <c r="R41" s="353">
        <f t="shared" si="5"/>
        <v>569608</v>
      </c>
    </row>
    <row r="42" spans="1:18" s="13" customFormat="1" ht="12.75" hidden="1" customHeight="1">
      <c r="A42" s="88">
        <v>9000</v>
      </c>
      <c r="B42" s="357" t="s">
        <v>164</v>
      </c>
      <c r="C42" s="171">
        <v>0</v>
      </c>
      <c r="D42" s="170">
        <v>0</v>
      </c>
      <c r="E42" s="171">
        <f>E43+E46+E50</f>
        <v>0</v>
      </c>
      <c r="F42" s="171">
        <f>F43+F46+F50</f>
        <v>0</v>
      </c>
      <c r="G42" s="171">
        <f>G43+G46+G50</f>
        <v>0</v>
      </c>
      <c r="H42" s="353">
        <f t="shared" si="3"/>
        <v>0</v>
      </c>
      <c r="I42" s="211">
        <v>0</v>
      </c>
      <c r="J42" s="171">
        <f>J43+J46+J50</f>
        <v>0</v>
      </c>
      <c r="K42" s="171">
        <f>K43+K46+K50</f>
        <v>0</v>
      </c>
      <c r="L42" s="171">
        <f>L43+L46+L50</f>
        <v>0</v>
      </c>
      <c r="M42" s="353">
        <f t="shared" si="4"/>
        <v>0</v>
      </c>
      <c r="N42" s="171">
        <v>0</v>
      </c>
      <c r="O42" s="171">
        <f>O43+O46+O50</f>
        <v>0</v>
      </c>
      <c r="P42" s="171">
        <f>P43+P46+P50</f>
        <v>0</v>
      </c>
      <c r="Q42" s="171">
        <f>Q43+Q46+Q50</f>
        <v>0</v>
      </c>
      <c r="R42" s="353">
        <f t="shared" si="5"/>
        <v>0</v>
      </c>
    </row>
    <row r="43" spans="1:18" s="13" customFormat="1" ht="12.75" hidden="1" customHeight="1">
      <c r="A43" s="147">
        <v>9100</v>
      </c>
      <c r="B43" s="355" t="s">
        <v>9</v>
      </c>
      <c r="C43" s="171">
        <v>0</v>
      </c>
      <c r="D43" s="170">
        <v>0</v>
      </c>
      <c r="E43" s="171">
        <f>E44+E45</f>
        <v>0</v>
      </c>
      <c r="F43" s="171">
        <f>F44+F45</f>
        <v>0</v>
      </c>
      <c r="G43" s="171">
        <f>G44+G45</f>
        <v>0</v>
      </c>
      <c r="H43" s="353">
        <f t="shared" si="3"/>
        <v>0</v>
      </c>
      <c r="I43" s="211">
        <v>0</v>
      </c>
      <c r="J43" s="171">
        <f>J44+J45</f>
        <v>0</v>
      </c>
      <c r="K43" s="171">
        <f>K44+K45</f>
        <v>0</v>
      </c>
      <c r="L43" s="171">
        <f>L44+L45</f>
        <v>0</v>
      </c>
      <c r="M43" s="353">
        <f t="shared" si="4"/>
        <v>0</v>
      </c>
      <c r="N43" s="171">
        <v>0</v>
      </c>
      <c r="O43" s="171">
        <f>O44+O45</f>
        <v>0</v>
      </c>
      <c r="P43" s="171">
        <f>P44+P45</f>
        <v>0</v>
      </c>
      <c r="Q43" s="171">
        <f>Q44+Q45</f>
        <v>0</v>
      </c>
      <c r="R43" s="353">
        <f t="shared" si="5"/>
        <v>0</v>
      </c>
    </row>
    <row r="44" spans="1:18" s="13" customFormat="1" ht="12.75" hidden="1" customHeight="1">
      <c r="A44" s="148" t="s">
        <v>209</v>
      </c>
      <c r="B44" s="358" t="s">
        <v>210</v>
      </c>
      <c r="C44" s="171"/>
      <c r="D44" s="170">
        <v>0</v>
      </c>
      <c r="E44" s="171"/>
      <c r="F44" s="171"/>
      <c r="G44" s="171"/>
      <c r="H44" s="353">
        <f t="shared" si="3"/>
        <v>0</v>
      </c>
      <c r="I44" s="211">
        <v>0</v>
      </c>
      <c r="J44" s="171"/>
      <c r="K44" s="171"/>
      <c r="L44" s="171"/>
      <c r="M44" s="353">
        <f t="shared" si="4"/>
        <v>0</v>
      </c>
      <c r="N44" s="171">
        <v>0</v>
      </c>
      <c r="O44" s="171"/>
      <c r="P44" s="171"/>
      <c r="Q44" s="171"/>
      <c r="R44" s="353">
        <f t="shared" si="5"/>
        <v>0</v>
      </c>
    </row>
    <row r="45" spans="1:18" s="13" customFormat="1" ht="12.75" hidden="1" customHeight="1">
      <c r="A45" s="148" t="s">
        <v>10</v>
      </c>
      <c r="B45" s="355" t="s">
        <v>230</v>
      </c>
      <c r="C45" s="171"/>
      <c r="D45" s="170">
        <v>0</v>
      </c>
      <c r="E45" s="171"/>
      <c r="F45" s="171"/>
      <c r="G45" s="171"/>
      <c r="H45" s="353">
        <f t="shared" si="3"/>
        <v>0</v>
      </c>
      <c r="I45" s="211">
        <v>0</v>
      </c>
      <c r="J45" s="171"/>
      <c r="K45" s="171"/>
      <c r="L45" s="171"/>
      <c r="M45" s="353">
        <f t="shared" si="4"/>
        <v>0</v>
      </c>
      <c r="N45" s="171">
        <v>0</v>
      </c>
      <c r="O45" s="171"/>
      <c r="P45" s="171"/>
      <c r="Q45" s="171"/>
      <c r="R45" s="353">
        <f t="shared" si="5"/>
        <v>0</v>
      </c>
    </row>
    <row r="46" spans="1:18" s="13" customFormat="1" ht="12.75" hidden="1" customHeight="1">
      <c r="A46" s="147">
        <v>9500</v>
      </c>
      <c r="B46" s="208" t="s">
        <v>165</v>
      </c>
      <c r="C46" s="171">
        <v>0</v>
      </c>
      <c r="D46" s="170">
        <v>0</v>
      </c>
      <c r="E46" s="171">
        <f>SUM(E47:E49)</f>
        <v>0</v>
      </c>
      <c r="F46" s="171">
        <f>SUM(F47:F49)</f>
        <v>0</v>
      </c>
      <c r="G46" s="171">
        <f>SUM(G47:G49)</f>
        <v>0</v>
      </c>
      <c r="H46" s="353">
        <f t="shared" si="3"/>
        <v>0</v>
      </c>
      <c r="I46" s="211">
        <v>0</v>
      </c>
      <c r="J46" s="171">
        <f>SUM(J47:J49)</f>
        <v>0</v>
      </c>
      <c r="K46" s="171">
        <f>SUM(K47:K49)</f>
        <v>0</v>
      </c>
      <c r="L46" s="171">
        <f>SUM(L47:L49)</f>
        <v>0</v>
      </c>
      <c r="M46" s="353">
        <f t="shared" si="4"/>
        <v>0</v>
      </c>
      <c r="N46" s="171">
        <v>0</v>
      </c>
      <c r="O46" s="171">
        <f>SUM(O47:O49)</f>
        <v>0</v>
      </c>
      <c r="P46" s="171">
        <f>SUM(P47:P49)</f>
        <v>0</v>
      </c>
      <c r="Q46" s="171">
        <f>SUM(Q47:Q49)</f>
        <v>0</v>
      </c>
      <c r="R46" s="353">
        <f t="shared" si="5"/>
        <v>0</v>
      </c>
    </row>
    <row r="47" spans="1:18" s="13" customFormat="1" ht="12.75" hidden="1" customHeight="1">
      <c r="A47" s="148" t="s">
        <v>193</v>
      </c>
      <c r="B47" s="208" t="s">
        <v>171</v>
      </c>
      <c r="C47" s="359"/>
      <c r="D47" s="368">
        <v>0</v>
      </c>
      <c r="E47" s="171"/>
      <c r="F47" s="171"/>
      <c r="G47" s="171"/>
      <c r="H47" s="353">
        <f t="shared" si="3"/>
        <v>0</v>
      </c>
      <c r="I47" s="211">
        <v>0</v>
      </c>
      <c r="J47" s="171"/>
      <c r="K47" s="171"/>
      <c r="L47" s="171"/>
      <c r="M47" s="353">
        <f t="shared" si="4"/>
        <v>0</v>
      </c>
      <c r="N47" s="171">
        <v>0</v>
      </c>
      <c r="O47" s="171"/>
      <c r="P47" s="171"/>
      <c r="Q47" s="171"/>
      <c r="R47" s="353">
        <f t="shared" si="5"/>
        <v>0</v>
      </c>
    </row>
    <row r="48" spans="1:18" s="13" customFormat="1" ht="12.75" hidden="1" customHeight="1">
      <c r="A48" s="148">
        <v>9580</v>
      </c>
      <c r="B48" s="208" t="s">
        <v>166</v>
      </c>
      <c r="C48" s="359"/>
      <c r="D48" s="368">
        <v>0</v>
      </c>
      <c r="E48" s="171"/>
      <c r="F48" s="171"/>
      <c r="G48" s="171"/>
      <c r="H48" s="353">
        <f t="shared" si="3"/>
        <v>0</v>
      </c>
      <c r="I48" s="211">
        <v>0</v>
      </c>
      <c r="J48" s="171"/>
      <c r="K48" s="171"/>
      <c r="L48" s="171"/>
      <c r="M48" s="353">
        <f t="shared" si="4"/>
        <v>0</v>
      </c>
      <c r="N48" s="171">
        <v>0</v>
      </c>
      <c r="O48" s="171"/>
      <c r="P48" s="171"/>
      <c r="Q48" s="171"/>
      <c r="R48" s="353">
        <f t="shared" si="5"/>
        <v>0</v>
      </c>
    </row>
    <row r="49" spans="1:18" s="13" customFormat="1" ht="12.75" hidden="1" customHeight="1">
      <c r="A49" s="148">
        <v>9590</v>
      </c>
      <c r="B49" s="355" t="s">
        <v>172</v>
      </c>
      <c r="C49" s="359"/>
      <c r="D49" s="368">
        <v>0</v>
      </c>
      <c r="E49" s="171"/>
      <c r="F49" s="171"/>
      <c r="G49" s="171"/>
      <c r="H49" s="353">
        <f t="shared" si="3"/>
        <v>0</v>
      </c>
      <c r="I49" s="211">
        <v>0</v>
      </c>
      <c r="J49" s="171"/>
      <c r="K49" s="171"/>
      <c r="L49" s="171"/>
      <c r="M49" s="353">
        <f t="shared" si="4"/>
        <v>0</v>
      </c>
      <c r="N49" s="171">
        <v>0</v>
      </c>
      <c r="O49" s="171"/>
      <c r="P49" s="171"/>
      <c r="Q49" s="171"/>
      <c r="R49" s="353">
        <f t="shared" si="5"/>
        <v>0</v>
      </c>
    </row>
    <row r="50" spans="1:18" s="13" customFormat="1" ht="12.75" hidden="1" customHeight="1">
      <c r="A50" s="147">
        <v>9700</v>
      </c>
      <c r="B50" s="208" t="s">
        <v>194</v>
      </c>
      <c r="C50" s="171">
        <v>0</v>
      </c>
      <c r="D50" s="170">
        <v>0</v>
      </c>
      <c r="E50" s="171">
        <f>SUM(E51:E52)</f>
        <v>0</v>
      </c>
      <c r="F50" s="171">
        <f>SUM(F51:F52)</f>
        <v>0</v>
      </c>
      <c r="G50" s="171">
        <f>SUM(G51:G52)</f>
        <v>0</v>
      </c>
      <c r="H50" s="353">
        <f t="shared" si="3"/>
        <v>0</v>
      </c>
      <c r="I50" s="211">
        <v>0</v>
      </c>
      <c r="J50" s="171">
        <f>SUM(J51:J52)</f>
        <v>0</v>
      </c>
      <c r="K50" s="171">
        <f>SUM(K51:K52)</f>
        <v>0</v>
      </c>
      <c r="L50" s="171">
        <f>SUM(L51:L52)</f>
        <v>0</v>
      </c>
      <c r="M50" s="353">
        <f t="shared" si="4"/>
        <v>0</v>
      </c>
      <c r="N50" s="171">
        <v>0</v>
      </c>
      <c r="O50" s="171">
        <f>SUM(O51:O52)</f>
        <v>0</v>
      </c>
      <c r="P50" s="171">
        <f>SUM(P51:P52)</f>
        <v>0</v>
      </c>
      <c r="Q50" s="171">
        <f>SUM(Q51:Q52)</f>
        <v>0</v>
      </c>
      <c r="R50" s="353">
        <f t="shared" si="5"/>
        <v>0</v>
      </c>
    </row>
    <row r="51" spans="1:18" s="13" customFormat="1" ht="12.75" hidden="1" customHeight="1">
      <c r="A51" s="148">
        <v>9710</v>
      </c>
      <c r="B51" s="360" t="s">
        <v>195</v>
      </c>
      <c r="C51" s="359"/>
      <c r="D51" s="368">
        <v>0</v>
      </c>
      <c r="E51" s="171"/>
      <c r="F51" s="171"/>
      <c r="G51" s="171"/>
      <c r="H51" s="353">
        <f t="shared" si="3"/>
        <v>0</v>
      </c>
      <c r="I51" s="211">
        <v>0</v>
      </c>
      <c r="J51" s="171"/>
      <c r="K51" s="171"/>
      <c r="L51" s="171"/>
      <c r="M51" s="353">
        <f t="shared" si="4"/>
        <v>0</v>
      </c>
      <c r="N51" s="171">
        <v>0</v>
      </c>
      <c r="O51" s="171"/>
      <c r="P51" s="171"/>
      <c r="Q51" s="171"/>
      <c r="R51" s="353">
        <f t="shared" si="5"/>
        <v>0</v>
      </c>
    </row>
    <row r="52" spans="1:18" s="13" customFormat="1" ht="12.75" hidden="1" customHeight="1">
      <c r="A52" s="152">
        <v>9720</v>
      </c>
      <c r="B52" s="358" t="s">
        <v>196</v>
      </c>
      <c r="C52" s="359"/>
      <c r="D52" s="368">
        <v>0</v>
      </c>
      <c r="E52" s="171"/>
      <c r="F52" s="171"/>
      <c r="G52" s="171"/>
      <c r="H52" s="353">
        <f t="shared" si="3"/>
        <v>0</v>
      </c>
      <c r="I52" s="211">
        <v>0</v>
      </c>
      <c r="J52" s="171"/>
      <c r="K52" s="171"/>
      <c r="L52" s="171"/>
      <c r="M52" s="353">
        <f t="shared" si="4"/>
        <v>0</v>
      </c>
      <c r="N52" s="171">
        <v>0</v>
      </c>
      <c r="O52" s="171"/>
      <c r="P52" s="171"/>
      <c r="Q52" s="171"/>
      <c r="R52" s="353">
        <f t="shared" si="5"/>
        <v>0</v>
      </c>
    </row>
    <row r="53" spans="1:18" s="13" customFormat="1" ht="12.75" customHeight="1">
      <c r="A53" s="143" t="s">
        <v>11</v>
      </c>
      <c r="B53" s="361" t="s">
        <v>47</v>
      </c>
      <c r="C53" s="181">
        <v>-133801140</v>
      </c>
      <c r="D53" s="205">
        <v>-152701035</v>
      </c>
      <c r="E53" s="181">
        <f>E10-E17</f>
        <v>95239323</v>
      </c>
      <c r="F53" s="181">
        <f>F10-F17</f>
        <v>-9324458</v>
      </c>
      <c r="G53" s="181">
        <f>G10-G17</f>
        <v>0</v>
      </c>
      <c r="H53" s="353">
        <f t="shared" si="3"/>
        <v>-66786170</v>
      </c>
      <c r="I53" s="211">
        <v>-16377194</v>
      </c>
      <c r="J53" s="181">
        <f>J10-J17</f>
        <v>124126981</v>
      </c>
      <c r="K53" s="181">
        <f>K10-K17</f>
        <v>-12673969</v>
      </c>
      <c r="L53" s="181">
        <f>L10-L17</f>
        <v>0</v>
      </c>
      <c r="M53" s="353">
        <f t="shared" si="4"/>
        <v>95075818</v>
      </c>
      <c r="N53" s="181">
        <v>27247552</v>
      </c>
      <c r="O53" s="181">
        <f>O10-O17</f>
        <v>106571887</v>
      </c>
      <c r="P53" s="181">
        <f>P10-P17</f>
        <v>-6475572</v>
      </c>
      <c r="Q53" s="181">
        <f>Q10-Q17</f>
        <v>0</v>
      </c>
      <c r="R53" s="353">
        <f t="shared" si="5"/>
        <v>127343867</v>
      </c>
    </row>
    <row r="54" spans="1:18" s="13" customFormat="1" ht="12.75" customHeight="1">
      <c r="A54" s="143" t="s">
        <v>48</v>
      </c>
      <c r="B54" s="361" t="s">
        <v>49</v>
      </c>
      <c r="C54" s="181">
        <v>133801140</v>
      </c>
      <c r="D54" s="205">
        <v>152701035</v>
      </c>
      <c r="E54" s="181">
        <f>E55+E58+E61+E65</f>
        <v>-95239323</v>
      </c>
      <c r="F54" s="181">
        <f>F55+F58+F61+F65</f>
        <v>9324458</v>
      </c>
      <c r="G54" s="181">
        <f>G55+G58+G61+G65</f>
        <v>0</v>
      </c>
      <c r="H54" s="353">
        <f t="shared" si="3"/>
        <v>66786170</v>
      </c>
      <c r="I54" s="211">
        <v>16377194</v>
      </c>
      <c r="J54" s="181">
        <f>J55+J58+J61+J65</f>
        <v>-124126981</v>
      </c>
      <c r="K54" s="181">
        <f>K55+K58+K61+K65</f>
        <v>12673969</v>
      </c>
      <c r="L54" s="181">
        <f>L55+L58+L61+L65</f>
        <v>0</v>
      </c>
      <c r="M54" s="353">
        <f t="shared" si="4"/>
        <v>-95075818</v>
      </c>
      <c r="N54" s="181">
        <v>-27247552</v>
      </c>
      <c r="O54" s="181">
        <f>O55+O58+O61+O65</f>
        <v>-106571887</v>
      </c>
      <c r="P54" s="181">
        <f>P55+P58+P61+P65</f>
        <v>6475572</v>
      </c>
      <c r="Q54" s="181">
        <f>Q55+Q58+Q61+Q65</f>
        <v>0</v>
      </c>
      <c r="R54" s="353">
        <f t="shared" si="5"/>
        <v>-127343867</v>
      </c>
    </row>
    <row r="55" spans="1:18" s="13" customFormat="1" ht="12.75" customHeight="1">
      <c r="A55" s="147" t="s">
        <v>50</v>
      </c>
      <c r="B55" s="355" t="s">
        <v>51</v>
      </c>
      <c r="C55" s="171">
        <v>0</v>
      </c>
      <c r="D55" s="170">
        <v>50526344</v>
      </c>
      <c r="E55" s="171">
        <f>E56+E57</f>
        <v>-50526344</v>
      </c>
      <c r="F55" s="171">
        <f>F56+F57</f>
        <v>0</v>
      </c>
      <c r="G55" s="171">
        <f>G56+G57</f>
        <v>0</v>
      </c>
      <c r="H55" s="353">
        <f t="shared" si="3"/>
        <v>0</v>
      </c>
      <c r="I55" s="211">
        <v>0</v>
      </c>
      <c r="J55" s="171">
        <f>J56+J57</f>
        <v>0</v>
      </c>
      <c r="K55" s="171">
        <f>K56+K57</f>
        <v>0</v>
      </c>
      <c r="L55" s="171">
        <f>L56+L57</f>
        <v>0</v>
      </c>
      <c r="M55" s="353">
        <f t="shared" si="4"/>
        <v>0</v>
      </c>
      <c r="N55" s="171">
        <v>0</v>
      </c>
      <c r="O55" s="171">
        <f>O56+O57</f>
        <v>0</v>
      </c>
      <c r="P55" s="171">
        <f>P56+P57</f>
        <v>0</v>
      </c>
      <c r="Q55" s="171">
        <f>Q56+Q57</f>
        <v>0</v>
      </c>
      <c r="R55" s="353">
        <f t="shared" si="5"/>
        <v>0</v>
      </c>
    </row>
    <row r="56" spans="1:18" s="13" customFormat="1" ht="12.75" customHeight="1">
      <c r="A56" s="147" t="s">
        <v>52</v>
      </c>
      <c r="B56" s="355" t="s">
        <v>53</v>
      </c>
      <c r="C56" s="171">
        <v>0</v>
      </c>
      <c r="D56" s="170">
        <v>50526344</v>
      </c>
      <c r="E56" s="171">
        <v>-50526344</v>
      </c>
      <c r="F56" s="171">
        <v>0</v>
      </c>
      <c r="G56" s="171">
        <v>0</v>
      </c>
      <c r="H56" s="353">
        <f t="shared" si="3"/>
        <v>0</v>
      </c>
      <c r="I56" s="211">
        <v>0</v>
      </c>
      <c r="J56" s="171">
        <v>0</v>
      </c>
      <c r="K56" s="171">
        <v>0</v>
      </c>
      <c r="L56" s="171">
        <v>0</v>
      </c>
      <c r="M56" s="353">
        <f t="shared" si="4"/>
        <v>0</v>
      </c>
      <c r="N56" s="171">
        <v>0</v>
      </c>
      <c r="O56" s="171">
        <v>0</v>
      </c>
      <c r="P56" s="171">
        <v>0</v>
      </c>
      <c r="Q56" s="171">
        <v>0</v>
      </c>
      <c r="R56" s="353">
        <f t="shared" si="5"/>
        <v>0</v>
      </c>
    </row>
    <row r="57" spans="1:18" s="13" customFormat="1" ht="12.75" hidden="1" customHeight="1">
      <c r="A57" s="147" t="s">
        <v>54</v>
      </c>
      <c r="B57" s="355" t="s">
        <v>55</v>
      </c>
      <c r="C57" s="171"/>
      <c r="D57" s="170">
        <v>0</v>
      </c>
      <c r="E57" s="171"/>
      <c r="F57" s="171"/>
      <c r="G57" s="171"/>
      <c r="H57" s="353">
        <f t="shared" si="3"/>
        <v>0</v>
      </c>
      <c r="I57" s="211">
        <v>0</v>
      </c>
      <c r="J57" s="171"/>
      <c r="K57" s="171"/>
      <c r="L57" s="171"/>
      <c r="M57" s="353">
        <f t="shared" si="4"/>
        <v>0</v>
      </c>
      <c r="N57" s="171">
        <v>0</v>
      </c>
      <c r="O57" s="171"/>
      <c r="P57" s="171"/>
      <c r="Q57" s="171"/>
      <c r="R57" s="353">
        <f t="shared" si="5"/>
        <v>0</v>
      </c>
    </row>
    <row r="58" spans="1:18" s="13" customFormat="1" ht="12.75" hidden="1" customHeight="1">
      <c r="A58" s="147" t="s">
        <v>56</v>
      </c>
      <c r="B58" s="355" t="s">
        <v>57</v>
      </c>
      <c r="C58" s="171">
        <v>0</v>
      </c>
      <c r="D58" s="170">
        <v>0</v>
      </c>
      <c r="E58" s="171">
        <f>E59+E60</f>
        <v>0</v>
      </c>
      <c r="F58" s="171">
        <f>F59+F60</f>
        <v>0</v>
      </c>
      <c r="G58" s="171">
        <f>G59+G60</f>
        <v>0</v>
      </c>
      <c r="H58" s="353">
        <f t="shared" si="3"/>
        <v>0</v>
      </c>
      <c r="I58" s="211">
        <v>0</v>
      </c>
      <c r="J58" s="171">
        <f>J59+J60</f>
        <v>0</v>
      </c>
      <c r="K58" s="171">
        <f>K59+K60</f>
        <v>0</v>
      </c>
      <c r="L58" s="171">
        <f>L59+L60</f>
        <v>0</v>
      </c>
      <c r="M58" s="353">
        <f t="shared" si="4"/>
        <v>0</v>
      </c>
      <c r="N58" s="171">
        <v>0</v>
      </c>
      <c r="O58" s="171">
        <f>O59+O60</f>
        <v>0</v>
      </c>
      <c r="P58" s="171">
        <f>P59+P60</f>
        <v>0</v>
      </c>
      <c r="Q58" s="171">
        <f>Q59+Q60</f>
        <v>0</v>
      </c>
      <c r="R58" s="353">
        <f t="shared" si="5"/>
        <v>0</v>
      </c>
    </row>
    <row r="59" spans="1:18" s="13" customFormat="1" ht="12.75" hidden="1" customHeight="1">
      <c r="A59" s="147" t="s">
        <v>58</v>
      </c>
      <c r="B59" s="355" t="s">
        <v>59</v>
      </c>
      <c r="C59" s="171"/>
      <c r="D59" s="170">
        <v>0</v>
      </c>
      <c r="E59" s="171"/>
      <c r="F59" s="171"/>
      <c r="G59" s="171"/>
      <c r="H59" s="353">
        <f t="shared" si="3"/>
        <v>0</v>
      </c>
      <c r="I59" s="211">
        <v>0</v>
      </c>
      <c r="J59" s="171"/>
      <c r="K59" s="171"/>
      <c r="L59" s="171"/>
      <c r="M59" s="353">
        <f t="shared" si="4"/>
        <v>0</v>
      </c>
      <c r="N59" s="171">
        <v>0</v>
      </c>
      <c r="O59" s="171"/>
      <c r="P59" s="171"/>
      <c r="Q59" s="171"/>
      <c r="R59" s="353">
        <f t="shared" si="5"/>
        <v>0</v>
      </c>
    </row>
    <row r="60" spans="1:18" s="13" customFormat="1" ht="12.75" hidden="1" customHeight="1">
      <c r="A60" s="147" t="s">
        <v>60</v>
      </c>
      <c r="B60" s="355" t="s">
        <v>61</v>
      </c>
      <c r="C60" s="171"/>
      <c r="D60" s="170">
        <v>0</v>
      </c>
      <c r="E60" s="171"/>
      <c r="F60" s="171"/>
      <c r="G60" s="171"/>
      <c r="H60" s="353">
        <f t="shared" si="3"/>
        <v>0</v>
      </c>
      <c r="I60" s="211">
        <v>0</v>
      </c>
      <c r="J60" s="171"/>
      <c r="K60" s="171"/>
      <c r="L60" s="171"/>
      <c r="M60" s="353">
        <f t="shared" si="4"/>
        <v>0</v>
      </c>
      <c r="N60" s="171">
        <v>0</v>
      </c>
      <c r="O60" s="171"/>
      <c r="P60" s="171"/>
      <c r="Q60" s="171"/>
      <c r="R60" s="353">
        <f t="shared" si="5"/>
        <v>0</v>
      </c>
    </row>
    <row r="61" spans="1:18" s="13" customFormat="1" ht="12.75" customHeight="1">
      <c r="A61" s="153" t="s">
        <v>62</v>
      </c>
      <c r="B61" s="354" t="s">
        <v>63</v>
      </c>
      <c r="C61" s="171">
        <v>133801140</v>
      </c>
      <c r="D61" s="170">
        <v>102174691</v>
      </c>
      <c r="E61" s="171">
        <f>E62+E63+E64</f>
        <v>-44712979</v>
      </c>
      <c r="F61" s="171">
        <f>F62+F63+F64</f>
        <v>9324458</v>
      </c>
      <c r="G61" s="171">
        <f>G62+G63+G64</f>
        <v>0</v>
      </c>
      <c r="H61" s="353">
        <f t="shared" si="3"/>
        <v>66786170</v>
      </c>
      <c r="I61" s="211">
        <v>16377194</v>
      </c>
      <c r="J61" s="171">
        <f>J62+J63+J64</f>
        <v>-124126981</v>
      </c>
      <c r="K61" s="171">
        <f>K62+K63+K64</f>
        <v>12673969</v>
      </c>
      <c r="L61" s="171">
        <f>L62+L63+L64</f>
        <v>0</v>
      </c>
      <c r="M61" s="353">
        <f t="shared" si="4"/>
        <v>-95075818</v>
      </c>
      <c r="N61" s="171">
        <v>-27247552</v>
      </c>
      <c r="O61" s="171">
        <f>O62+O63+O64</f>
        <v>-106571887</v>
      </c>
      <c r="P61" s="171">
        <f>P62+P63+P64</f>
        <v>6475572</v>
      </c>
      <c r="Q61" s="171">
        <f>Q62+Q63+Q64</f>
        <v>0</v>
      </c>
      <c r="R61" s="353">
        <f t="shared" si="5"/>
        <v>-127343867</v>
      </c>
    </row>
    <row r="62" spans="1:18" s="13" customFormat="1" ht="12.75" hidden="1" customHeight="1">
      <c r="A62" s="153" t="s">
        <v>66</v>
      </c>
      <c r="B62" s="362" t="s">
        <v>67</v>
      </c>
      <c r="C62" s="171"/>
      <c r="D62" s="170">
        <v>0</v>
      </c>
      <c r="E62" s="171"/>
      <c r="F62" s="171"/>
      <c r="G62" s="171"/>
      <c r="H62" s="353">
        <f t="shared" si="3"/>
        <v>0</v>
      </c>
      <c r="I62" s="211">
        <v>0</v>
      </c>
      <c r="J62" s="171"/>
      <c r="K62" s="171"/>
      <c r="L62" s="171"/>
      <c r="M62" s="353">
        <f t="shared" si="4"/>
        <v>0</v>
      </c>
      <c r="N62" s="171">
        <v>0</v>
      </c>
      <c r="O62" s="171"/>
      <c r="P62" s="171"/>
      <c r="Q62" s="171"/>
      <c r="R62" s="353">
        <f t="shared" si="5"/>
        <v>0</v>
      </c>
    </row>
    <row r="63" spans="1:18" s="13" customFormat="1" ht="12.75" customHeight="1">
      <c r="A63" s="153" t="s">
        <v>80</v>
      </c>
      <c r="B63" s="362" t="s">
        <v>70</v>
      </c>
      <c r="C63" s="171">
        <v>133801140</v>
      </c>
      <c r="D63" s="170">
        <v>102174691</v>
      </c>
      <c r="E63" s="171">
        <f>-E53-E56</f>
        <v>-44712979</v>
      </c>
      <c r="F63" s="171">
        <f>-F53</f>
        <v>9324458</v>
      </c>
      <c r="G63" s="171">
        <f>-G53</f>
        <v>0</v>
      </c>
      <c r="H63" s="353">
        <f t="shared" si="3"/>
        <v>66786170</v>
      </c>
      <c r="I63" s="211">
        <v>16377194</v>
      </c>
      <c r="J63" s="171">
        <f>-J53</f>
        <v>-124126981</v>
      </c>
      <c r="K63" s="171">
        <f>-K53</f>
        <v>12673969</v>
      </c>
      <c r="L63" s="171">
        <f>-L53</f>
        <v>0</v>
      </c>
      <c r="M63" s="353">
        <f t="shared" si="4"/>
        <v>-95075818</v>
      </c>
      <c r="N63" s="171">
        <v>-27247552</v>
      </c>
      <c r="O63" s="171">
        <f>-O53</f>
        <v>-106571887</v>
      </c>
      <c r="P63" s="171">
        <f>-P53</f>
        <v>6475572</v>
      </c>
      <c r="Q63" s="171">
        <f>-Q53</f>
        <v>0</v>
      </c>
      <c r="R63" s="353">
        <f t="shared" si="5"/>
        <v>-127343867</v>
      </c>
    </row>
    <row r="64" spans="1:18" s="13" customFormat="1" ht="12.75" hidden="1" customHeight="1">
      <c r="A64" s="153" t="s">
        <v>211</v>
      </c>
      <c r="B64" s="362" t="s">
        <v>212</v>
      </c>
      <c r="C64" s="171"/>
      <c r="D64" s="170">
        <v>0</v>
      </c>
      <c r="E64" s="171"/>
      <c r="F64" s="171"/>
      <c r="G64" s="171"/>
      <c r="H64" s="353">
        <f t="shared" si="3"/>
        <v>0</v>
      </c>
      <c r="I64" s="211">
        <v>0</v>
      </c>
      <c r="J64" s="171"/>
      <c r="K64" s="171"/>
      <c r="L64" s="171"/>
      <c r="M64" s="353">
        <f t="shared" si="4"/>
        <v>0</v>
      </c>
      <c r="N64" s="171">
        <v>0</v>
      </c>
      <c r="O64" s="171"/>
      <c r="P64" s="171"/>
      <c r="Q64" s="171"/>
      <c r="R64" s="353">
        <f t="shared" si="5"/>
        <v>0</v>
      </c>
    </row>
    <row r="65" spans="1:18" s="13" customFormat="1" ht="12.75" hidden="1" customHeight="1">
      <c r="A65" s="153" t="s">
        <v>198</v>
      </c>
      <c r="B65" s="362" t="s">
        <v>168</v>
      </c>
      <c r="C65" s="171"/>
      <c r="D65" s="170">
        <v>0</v>
      </c>
      <c r="E65" s="171"/>
      <c r="F65" s="171"/>
      <c r="G65" s="171"/>
      <c r="H65" s="353">
        <f t="shared" si="3"/>
        <v>0</v>
      </c>
      <c r="I65" s="211">
        <v>0</v>
      </c>
      <c r="J65" s="171"/>
      <c r="K65" s="171"/>
      <c r="L65" s="171"/>
      <c r="M65" s="353">
        <f t="shared" si="4"/>
        <v>0</v>
      </c>
      <c r="N65" s="171">
        <v>0</v>
      </c>
      <c r="O65" s="171"/>
      <c r="P65" s="171"/>
      <c r="Q65" s="171"/>
      <c r="R65" s="353">
        <f t="shared" si="5"/>
        <v>0</v>
      </c>
    </row>
    <row r="66" spans="1:18" s="13" customFormat="1" ht="12.75" customHeight="1">
      <c r="A66" s="154"/>
      <c r="B66" s="351"/>
      <c r="C66" s="171"/>
      <c r="D66" s="170"/>
      <c r="E66" s="169"/>
      <c r="F66" s="169"/>
      <c r="G66" s="169"/>
      <c r="H66" s="348"/>
      <c r="I66" s="212"/>
      <c r="J66" s="169"/>
      <c r="K66" s="169"/>
      <c r="L66" s="169"/>
      <c r="M66" s="348"/>
      <c r="N66" s="169"/>
      <c r="O66" s="169"/>
      <c r="P66" s="169"/>
      <c r="Q66" s="169"/>
      <c r="R66" s="348"/>
    </row>
    <row r="67" spans="1:18" s="29" customFormat="1" ht="12">
      <c r="A67" s="271"/>
      <c r="B67" s="272"/>
      <c r="C67" s="253"/>
      <c r="D67" s="254"/>
      <c r="E67" s="253"/>
      <c r="F67" s="253"/>
      <c r="G67" s="253"/>
      <c r="H67" s="232"/>
      <c r="I67" s="254"/>
      <c r="J67" s="253"/>
      <c r="K67" s="253"/>
      <c r="L67" s="253"/>
      <c r="M67" s="232"/>
      <c r="N67" s="254"/>
      <c r="O67" s="253"/>
      <c r="P67" s="253"/>
      <c r="Q67" s="253"/>
      <c r="R67" s="232"/>
    </row>
    <row r="68" spans="1:18" s="3" customFormat="1" ht="12">
      <c r="A68" s="33"/>
      <c r="B68" s="164"/>
      <c r="C68" s="165"/>
      <c r="D68" s="163"/>
      <c r="E68" s="165"/>
      <c r="F68" s="163"/>
      <c r="G68" s="163"/>
      <c r="H68" s="163"/>
      <c r="I68" s="163"/>
      <c r="J68" s="165"/>
      <c r="K68" s="163"/>
      <c r="L68" s="163"/>
      <c r="M68" s="163"/>
      <c r="N68" s="163"/>
      <c r="O68" s="165"/>
      <c r="P68" s="163"/>
      <c r="Q68" s="163"/>
      <c r="R68" s="163"/>
    </row>
    <row r="69" spans="1:18" s="3" customFormat="1" ht="12">
      <c r="A69" s="33"/>
      <c r="B69" s="164"/>
      <c r="C69" s="165"/>
      <c r="D69" s="163"/>
      <c r="E69" s="165"/>
      <c r="F69" s="163"/>
      <c r="G69" s="163"/>
      <c r="H69" s="163"/>
      <c r="I69" s="163"/>
      <c r="J69" s="165"/>
      <c r="K69" s="163"/>
      <c r="L69" s="163"/>
      <c r="M69" s="163"/>
      <c r="N69" s="163"/>
      <c r="O69" s="165"/>
      <c r="P69" s="163"/>
      <c r="Q69" s="163"/>
      <c r="R69" s="163"/>
    </row>
    <row r="70" spans="1:18" s="3" customFormat="1" ht="13.2">
      <c r="A70" s="369" t="s">
        <v>236</v>
      </c>
      <c r="B70" s="370" t="s">
        <v>237</v>
      </c>
      <c r="C70" s="165"/>
      <c r="D70" s="163"/>
      <c r="E70" s="165"/>
      <c r="F70" s="163"/>
      <c r="G70" s="163"/>
      <c r="H70" s="163"/>
      <c r="I70" s="163"/>
      <c r="J70" s="165"/>
      <c r="K70" s="163"/>
      <c r="L70" s="163"/>
      <c r="M70" s="163"/>
      <c r="N70" s="163"/>
      <c r="O70" s="165"/>
      <c r="P70" s="163"/>
      <c r="Q70" s="163"/>
      <c r="R70" s="163"/>
    </row>
    <row r="71" spans="1:18" s="3" customFormat="1" ht="13.2">
      <c r="A71" s="586"/>
      <c r="B71" s="530" t="s">
        <v>238</v>
      </c>
      <c r="C71" s="165"/>
      <c r="D71" s="163"/>
      <c r="E71" s="165"/>
      <c r="F71" s="163"/>
      <c r="G71" s="163"/>
      <c r="H71" s="163"/>
      <c r="I71" s="163"/>
      <c r="J71" s="165"/>
      <c r="K71" s="163"/>
      <c r="L71" s="163"/>
      <c r="M71" s="163"/>
      <c r="N71" s="163"/>
      <c r="O71" s="165"/>
      <c r="P71" s="163"/>
      <c r="Q71" s="163"/>
      <c r="R71" s="163"/>
    </row>
    <row r="72" spans="1:18" s="3" customFormat="1" ht="13.2">
      <c r="A72" s="425" t="s">
        <v>223</v>
      </c>
      <c r="B72" s="520" t="s">
        <v>434</v>
      </c>
      <c r="C72" s="165"/>
      <c r="D72" s="163"/>
      <c r="E72" s="165"/>
      <c r="F72" s="163"/>
      <c r="G72" s="163"/>
      <c r="H72" s="163"/>
      <c r="I72" s="163"/>
      <c r="J72" s="165"/>
      <c r="K72" s="163"/>
      <c r="L72" s="163"/>
      <c r="M72" s="163"/>
      <c r="N72" s="163"/>
      <c r="O72" s="165"/>
      <c r="P72" s="163"/>
      <c r="Q72" s="163"/>
      <c r="R72" s="163"/>
    </row>
    <row r="73" spans="1:18" s="3" customFormat="1" ht="40.799999999999997" customHeight="1">
      <c r="A73" s="781" t="s">
        <v>240</v>
      </c>
      <c r="B73" s="529" t="s">
        <v>669</v>
      </c>
      <c r="C73" s="469"/>
      <c r="D73" s="470"/>
      <c r="E73" s="469">
        <f>E74+E75+E76+E77+E78+E79+E80</f>
        <v>25754344</v>
      </c>
      <c r="F73" s="469"/>
      <c r="G73" s="469"/>
      <c r="H73" s="469"/>
      <c r="I73" s="469"/>
      <c r="J73" s="469">
        <f>J74+J75+J76+J77+J78+J79+J80</f>
        <v>148114731</v>
      </c>
      <c r="K73" s="469"/>
      <c r="L73" s="469"/>
      <c r="M73" s="469"/>
      <c r="N73" s="469"/>
      <c r="O73" s="469">
        <f>O74+O75+O76+O77+O78+O79+O80</f>
        <v>143193410</v>
      </c>
      <c r="P73" s="469"/>
      <c r="Q73" s="469"/>
      <c r="R73" s="469"/>
    </row>
    <row r="74" spans="1:18" s="3" customFormat="1" ht="303" customHeight="1">
      <c r="A74" s="781" t="s">
        <v>435</v>
      </c>
      <c r="B74" s="782" t="s">
        <v>670</v>
      </c>
      <c r="C74" s="469"/>
      <c r="D74" s="470"/>
      <c r="E74" s="783">
        <v>24067463</v>
      </c>
      <c r="F74" s="469"/>
      <c r="G74" s="469"/>
      <c r="H74" s="469"/>
      <c r="I74" s="469"/>
      <c r="J74" s="784">
        <f>120903756+25961080</f>
        <v>146864836</v>
      </c>
      <c r="K74" s="469"/>
      <c r="L74" s="469"/>
      <c r="M74" s="469"/>
      <c r="N74" s="469"/>
      <c r="O74" s="783">
        <f>116813520+25784602</f>
        <v>142598122</v>
      </c>
      <c r="P74" s="469"/>
      <c r="Q74" s="469"/>
      <c r="R74" s="469"/>
    </row>
    <row r="75" spans="1:18" s="3" customFormat="1" ht="66.599999999999994" customHeight="1">
      <c r="A75" s="781" t="s">
        <v>436</v>
      </c>
      <c r="B75" s="782" t="s">
        <v>469</v>
      </c>
      <c r="C75" s="469"/>
      <c r="D75" s="470"/>
      <c r="E75" s="783">
        <v>484861</v>
      </c>
      <c r="F75" s="469"/>
      <c r="G75" s="469"/>
      <c r="H75" s="469"/>
      <c r="I75" s="469"/>
      <c r="J75" s="783">
        <v>783323</v>
      </c>
      <c r="K75" s="469"/>
      <c r="L75" s="469"/>
      <c r="M75" s="469"/>
      <c r="N75" s="469"/>
      <c r="O75" s="783">
        <v>204337</v>
      </c>
      <c r="P75" s="469"/>
      <c r="Q75" s="469"/>
      <c r="R75" s="469"/>
    </row>
    <row r="76" spans="1:18" s="3" customFormat="1" ht="39.6">
      <c r="A76" s="781" t="s">
        <v>437</v>
      </c>
      <c r="B76" s="782" t="s">
        <v>438</v>
      </c>
      <c r="C76" s="469"/>
      <c r="D76" s="470"/>
      <c r="E76" s="783">
        <v>228042</v>
      </c>
      <c r="F76" s="469"/>
      <c r="G76" s="469"/>
      <c r="H76" s="469"/>
      <c r="I76" s="469"/>
      <c r="J76" s="783">
        <v>204606</v>
      </c>
      <c r="K76" s="469"/>
      <c r="L76" s="469"/>
      <c r="M76" s="469"/>
      <c r="N76" s="469"/>
      <c r="O76" s="783">
        <v>183045</v>
      </c>
      <c r="P76" s="469"/>
      <c r="Q76" s="469"/>
      <c r="R76" s="469"/>
    </row>
    <row r="77" spans="1:18" s="3" customFormat="1" ht="52.8">
      <c r="A77" s="781" t="s">
        <v>439</v>
      </c>
      <c r="B77" s="782" t="s">
        <v>440</v>
      </c>
      <c r="C77" s="469"/>
      <c r="D77" s="470"/>
      <c r="E77" s="783">
        <v>69491</v>
      </c>
      <c r="F77" s="469"/>
      <c r="G77" s="469"/>
      <c r="H77" s="469"/>
      <c r="I77" s="469"/>
      <c r="J77" s="783">
        <v>156533</v>
      </c>
      <c r="K77" s="469"/>
      <c r="L77" s="469"/>
      <c r="M77" s="469"/>
      <c r="N77" s="469"/>
      <c r="O77" s="783">
        <v>109659</v>
      </c>
      <c r="P77" s="469"/>
      <c r="Q77" s="469"/>
      <c r="R77" s="469"/>
    </row>
    <row r="78" spans="1:18" s="3" customFormat="1" ht="67.2" customHeight="1">
      <c r="A78" s="781" t="s">
        <v>441</v>
      </c>
      <c r="B78" s="782" t="s">
        <v>442</v>
      </c>
      <c r="C78" s="469"/>
      <c r="D78" s="470"/>
      <c r="E78" s="783">
        <v>105747</v>
      </c>
      <c r="F78" s="469"/>
      <c r="G78" s="469"/>
      <c r="H78" s="469"/>
      <c r="I78" s="469"/>
      <c r="J78" s="783">
        <v>110353</v>
      </c>
      <c r="K78" s="469"/>
      <c r="L78" s="469"/>
      <c r="M78" s="469"/>
      <c r="N78" s="469"/>
      <c r="O78" s="783">
        <v>102627</v>
      </c>
      <c r="P78" s="469"/>
      <c r="Q78" s="469"/>
      <c r="R78" s="469"/>
    </row>
    <row r="79" spans="1:18" ht="69.599999999999994" customHeight="1">
      <c r="A79" s="781" t="s">
        <v>443</v>
      </c>
      <c r="B79" s="782" t="s">
        <v>444</v>
      </c>
      <c r="C79" s="469"/>
      <c r="D79" s="470"/>
      <c r="E79" s="783">
        <v>800000</v>
      </c>
      <c r="F79" s="469"/>
      <c r="G79" s="469"/>
      <c r="H79" s="469"/>
      <c r="I79" s="469"/>
      <c r="J79" s="783">
        <v>0</v>
      </c>
      <c r="K79" s="469"/>
      <c r="L79" s="469"/>
      <c r="M79" s="469"/>
      <c r="N79" s="469"/>
      <c r="O79" s="783">
        <v>0</v>
      </c>
      <c r="P79" s="469"/>
      <c r="Q79" s="469"/>
      <c r="R79" s="469"/>
    </row>
    <row r="80" spans="1:18" ht="54.6" customHeight="1">
      <c r="A80" s="781" t="s">
        <v>445</v>
      </c>
      <c r="B80" s="782" t="s">
        <v>446</v>
      </c>
      <c r="C80" s="469"/>
      <c r="D80" s="470"/>
      <c r="E80" s="783">
        <v>-1260</v>
      </c>
      <c r="F80" s="469"/>
      <c r="G80" s="469"/>
      <c r="H80" s="469"/>
      <c r="I80" s="469"/>
      <c r="J80" s="783">
        <v>-4920</v>
      </c>
      <c r="K80" s="469"/>
      <c r="L80" s="469"/>
      <c r="M80" s="469"/>
      <c r="N80" s="469"/>
      <c r="O80" s="783">
        <f>-4440+60</f>
        <v>-4380</v>
      </c>
      <c r="P80" s="469"/>
      <c r="Q80" s="469"/>
      <c r="R80" s="469"/>
    </row>
    <row r="81" spans="1:18" ht="44.4" customHeight="1">
      <c r="A81" s="781" t="s">
        <v>253</v>
      </c>
      <c r="B81" s="529" t="s">
        <v>447</v>
      </c>
      <c r="C81" s="469"/>
      <c r="D81" s="470"/>
      <c r="E81" s="469">
        <v>-1281694</v>
      </c>
      <c r="F81" s="469"/>
      <c r="G81" s="469"/>
      <c r="H81" s="469"/>
      <c r="I81" s="469"/>
      <c r="J81" s="469">
        <v>-3650554</v>
      </c>
      <c r="K81" s="469"/>
      <c r="L81" s="469"/>
      <c r="M81" s="469"/>
      <c r="N81" s="469"/>
      <c r="O81" s="469">
        <v>-3747157</v>
      </c>
      <c r="P81" s="469"/>
      <c r="Q81" s="469"/>
      <c r="R81" s="469"/>
    </row>
    <row r="82" spans="1:18" ht="81.599999999999994" customHeight="1">
      <c r="A82" s="781" t="s">
        <v>255</v>
      </c>
      <c r="B82" s="529" t="s">
        <v>448</v>
      </c>
      <c r="C82" s="469"/>
      <c r="D82" s="470"/>
      <c r="E82" s="469">
        <v>-43132</v>
      </c>
      <c r="F82" s="470"/>
      <c r="G82" s="470"/>
      <c r="H82" s="470"/>
      <c r="I82" s="470"/>
      <c r="J82" s="469">
        <v>-188496</v>
      </c>
      <c r="K82" s="470"/>
      <c r="L82" s="470"/>
      <c r="M82" s="470"/>
      <c r="N82" s="470"/>
      <c r="O82" s="469">
        <f>-172013+2398</f>
        <v>-169615</v>
      </c>
      <c r="P82" s="470"/>
      <c r="Q82" s="470"/>
      <c r="R82" s="470"/>
    </row>
    <row r="83" spans="1:18" ht="84" customHeight="1">
      <c r="A83" s="781" t="s">
        <v>281</v>
      </c>
      <c r="B83" s="529" t="s">
        <v>449</v>
      </c>
      <c r="C83" s="469"/>
      <c r="D83" s="470"/>
      <c r="E83" s="469">
        <v>42328</v>
      </c>
      <c r="F83" s="470"/>
      <c r="G83" s="470"/>
      <c r="H83" s="470"/>
      <c r="I83" s="470"/>
      <c r="J83" s="469">
        <v>1473022</v>
      </c>
      <c r="K83" s="470"/>
      <c r="L83" s="470"/>
      <c r="M83" s="470"/>
      <c r="N83" s="470"/>
      <c r="O83" s="469">
        <f>1162894-3996</f>
        <v>1158898</v>
      </c>
      <c r="P83" s="470"/>
      <c r="Q83" s="470"/>
      <c r="R83" s="470"/>
    </row>
    <row r="84" spans="1:18" ht="39.6">
      <c r="A84" s="781" t="s">
        <v>283</v>
      </c>
      <c r="B84" s="529" t="s">
        <v>671</v>
      </c>
      <c r="C84" s="469"/>
      <c r="D84" s="470"/>
      <c r="E84" s="469">
        <f>E85+E86</f>
        <v>-1850817</v>
      </c>
      <c r="F84" s="470"/>
      <c r="G84" s="470"/>
      <c r="H84" s="470"/>
      <c r="I84" s="470"/>
      <c r="J84" s="469">
        <f>J85+J86</f>
        <v>-382372</v>
      </c>
      <c r="K84" s="470"/>
      <c r="L84" s="470"/>
      <c r="M84" s="470"/>
      <c r="N84" s="470"/>
      <c r="O84" s="469">
        <f>O85+O86</f>
        <v>-1965962</v>
      </c>
      <c r="P84" s="470"/>
      <c r="Q84" s="470"/>
      <c r="R84" s="470"/>
    </row>
    <row r="85" spans="1:18" ht="39.6">
      <c r="A85" s="781" t="s">
        <v>470</v>
      </c>
      <c r="B85" s="782" t="s">
        <v>672</v>
      </c>
      <c r="C85" s="469"/>
      <c r="D85" s="470"/>
      <c r="E85" s="783">
        <v>-1851017</v>
      </c>
      <c r="F85" s="470"/>
      <c r="G85" s="470"/>
      <c r="H85" s="470"/>
      <c r="I85" s="470"/>
      <c r="J85" s="783">
        <v>-384952</v>
      </c>
      <c r="K85" s="470"/>
      <c r="L85" s="470"/>
      <c r="M85" s="470"/>
      <c r="N85" s="470"/>
      <c r="O85" s="783">
        <v>-1966442</v>
      </c>
      <c r="P85" s="470"/>
      <c r="Q85" s="470"/>
      <c r="R85" s="470"/>
    </row>
    <row r="86" spans="1:18" ht="55.2" customHeight="1">
      <c r="A86" s="781" t="s">
        <v>471</v>
      </c>
      <c r="B86" s="782" t="s">
        <v>450</v>
      </c>
      <c r="C86" s="469"/>
      <c r="D86" s="470"/>
      <c r="E86" s="783">
        <v>200</v>
      </c>
      <c r="F86" s="470"/>
      <c r="G86" s="470"/>
      <c r="H86" s="470"/>
      <c r="I86" s="470"/>
      <c r="J86" s="783">
        <v>2580</v>
      </c>
      <c r="K86" s="470"/>
      <c r="L86" s="470"/>
      <c r="M86" s="470"/>
      <c r="N86" s="470"/>
      <c r="O86" s="783">
        <f>580-100</f>
        <v>480</v>
      </c>
      <c r="P86" s="470"/>
      <c r="Q86" s="470"/>
      <c r="R86" s="470"/>
    </row>
    <row r="87" spans="1:18" ht="39.6">
      <c r="A87" s="781" t="s">
        <v>285</v>
      </c>
      <c r="B87" s="529" t="s">
        <v>673</v>
      </c>
      <c r="C87" s="469"/>
      <c r="D87" s="470"/>
      <c r="E87" s="469">
        <v>0</v>
      </c>
      <c r="F87" s="470"/>
      <c r="G87" s="470"/>
      <c r="H87" s="470"/>
      <c r="I87" s="470"/>
      <c r="J87" s="469">
        <v>-17634</v>
      </c>
      <c r="K87" s="470"/>
      <c r="L87" s="470"/>
      <c r="M87" s="470"/>
      <c r="N87" s="470"/>
      <c r="O87" s="469">
        <v>0</v>
      </c>
      <c r="P87" s="470"/>
      <c r="Q87" s="470"/>
      <c r="R87" s="470"/>
    </row>
    <row r="88" spans="1:18" ht="205.2" customHeight="1">
      <c r="A88" s="781" t="s">
        <v>287</v>
      </c>
      <c r="B88" s="529" t="s">
        <v>674</v>
      </c>
      <c r="C88" s="469"/>
      <c r="D88" s="470"/>
      <c r="E88" s="469">
        <v>0</v>
      </c>
      <c r="F88" s="470"/>
      <c r="G88" s="470"/>
      <c r="H88" s="470"/>
      <c r="I88" s="470"/>
      <c r="J88" s="469">
        <v>0</v>
      </c>
      <c r="K88" s="470"/>
      <c r="L88" s="470"/>
      <c r="M88" s="470"/>
      <c r="N88" s="470"/>
      <c r="O88" s="469">
        <v>0</v>
      </c>
      <c r="P88" s="470"/>
      <c r="Q88" s="470"/>
      <c r="R88" s="470"/>
    </row>
    <row r="89" spans="1:18" ht="57" customHeight="1">
      <c r="A89" s="781" t="s">
        <v>289</v>
      </c>
      <c r="B89" s="785" t="s">
        <v>675</v>
      </c>
      <c r="C89" s="469"/>
      <c r="D89" s="470"/>
      <c r="E89" s="469">
        <f>E90+E91+E92+E93+E94+E95</f>
        <v>650443</v>
      </c>
      <c r="F89" s="470"/>
      <c r="G89" s="470"/>
      <c r="H89" s="470"/>
      <c r="I89" s="470"/>
      <c r="J89" s="469">
        <f>J90+J91+J92+J93+J94+J95</f>
        <v>206905</v>
      </c>
      <c r="K89" s="470"/>
      <c r="L89" s="470"/>
      <c r="M89" s="470"/>
      <c r="N89" s="470"/>
      <c r="O89" s="469">
        <f>O90+O91+O92+O93+O94+O95</f>
        <v>-274376</v>
      </c>
      <c r="P89" s="470"/>
      <c r="Q89" s="470"/>
      <c r="R89" s="470"/>
    </row>
    <row r="90" spans="1:18" ht="39.6">
      <c r="A90" s="781" t="s">
        <v>676</v>
      </c>
      <c r="B90" s="782" t="s">
        <v>677</v>
      </c>
      <c r="C90" s="469"/>
      <c r="D90" s="470"/>
      <c r="E90" s="786">
        <v>50808</v>
      </c>
      <c r="F90" s="470"/>
      <c r="G90" s="470"/>
      <c r="H90" s="470"/>
      <c r="I90" s="470"/>
      <c r="J90" s="783">
        <v>58696</v>
      </c>
      <c r="K90" s="470"/>
      <c r="L90" s="470"/>
      <c r="M90" s="470"/>
      <c r="N90" s="470"/>
      <c r="O90" s="783">
        <v>76489</v>
      </c>
      <c r="P90" s="470"/>
      <c r="Q90" s="470"/>
      <c r="R90" s="470"/>
    </row>
    <row r="91" spans="1:18" ht="52.8">
      <c r="A91" s="781" t="s">
        <v>678</v>
      </c>
      <c r="B91" s="782" t="s">
        <v>679</v>
      </c>
      <c r="C91" s="469"/>
      <c r="D91" s="470"/>
      <c r="E91" s="783">
        <v>433812</v>
      </c>
      <c r="F91" s="470"/>
      <c r="G91" s="470"/>
      <c r="H91" s="470"/>
      <c r="I91" s="470"/>
      <c r="J91" s="783">
        <v>-15430</v>
      </c>
      <c r="K91" s="470"/>
      <c r="L91" s="470"/>
      <c r="M91" s="470"/>
      <c r="N91" s="470"/>
      <c r="O91" s="783">
        <v>-510971</v>
      </c>
      <c r="P91" s="470"/>
      <c r="Q91" s="470"/>
      <c r="R91" s="470"/>
    </row>
    <row r="92" spans="1:18" ht="39.6">
      <c r="A92" s="781" t="s">
        <v>680</v>
      </c>
      <c r="B92" s="782" t="s">
        <v>451</v>
      </c>
      <c r="C92" s="469"/>
      <c r="D92" s="470"/>
      <c r="E92" s="783">
        <v>6646</v>
      </c>
      <c r="F92" s="470"/>
      <c r="G92" s="470"/>
      <c r="H92" s="470"/>
      <c r="I92" s="470"/>
      <c r="J92" s="783">
        <v>6635</v>
      </c>
      <c r="K92" s="470"/>
      <c r="L92" s="470"/>
      <c r="M92" s="470"/>
      <c r="N92" s="470"/>
      <c r="O92" s="783">
        <v>6648</v>
      </c>
      <c r="P92" s="470"/>
      <c r="Q92" s="470"/>
      <c r="R92" s="470"/>
    </row>
    <row r="93" spans="1:18" ht="57" customHeight="1">
      <c r="A93" s="781" t="s">
        <v>681</v>
      </c>
      <c r="B93" s="782" t="s">
        <v>682</v>
      </c>
      <c r="C93" s="469"/>
      <c r="D93" s="470"/>
      <c r="E93" s="783">
        <v>160655</v>
      </c>
      <c r="F93" s="470"/>
      <c r="G93" s="470"/>
      <c r="H93" s="470"/>
      <c r="I93" s="470"/>
      <c r="J93" s="783">
        <v>156820</v>
      </c>
      <c r="K93" s="470"/>
      <c r="L93" s="470"/>
      <c r="M93" s="470"/>
      <c r="N93" s="470"/>
      <c r="O93" s="783">
        <v>152981</v>
      </c>
      <c r="P93" s="470"/>
      <c r="Q93" s="470"/>
      <c r="R93" s="470"/>
    </row>
    <row r="94" spans="1:18" ht="54" customHeight="1">
      <c r="A94" s="781" t="s">
        <v>683</v>
      </c>
      <c r="B94" s="782" t="s">
        <v>452</v>
      </c>
      <c r="C94" s="469"/>
      <c r="D94" s="470"/>
      <c r="E94" s="783">
        <v>40</v>
      </c>
      <c r="F94" s="470"/>
      <c r="G94" s="470"/>
      <c r="H94" s="470"/>
      <c r="I94" s="470"/>
      <c r="J94" s="783">
        <v>-60</v>
      </c>
      <c r="K94" s="470"/>
      <c r="L94" s="470"/>
      <c r="M94" s="470"/>
      <c r="N94" s="470"/>
      <c r="O94" s="783">
        <v>-140</v>
      </c>
      <c r="P94" s="470"/>
      <c r="Q94" s="470"/>
      <c r="R94" s="470"/>
    </row>
    <row r="95" spans="1:18" ht="47.4" customHeight="1">
      <c r="A95" s="781" t="s">
        <v>684</v>
      </c>
      <c r="B95" s="782" t="s">
        <v>453</v>
      </c>
      <c r="C95" s="469"/>
      <c r="D95" s="470"/>
      <c r="E95" s="783">
        <v>-1518</v>
      </c>
      <c r="F95" s="470"/>
      <c r="G95" s="470"/>
      <c r="H95" s="470"/>
      <c r="I95" s="470"/>
      <c r="J95" s="783">
        <v>244</v>
      </c>
      <c r="K95" s="470"/>
      <c r="L95" s="470"/>
      <c r="M95" s="470"/>
      <c r="N95" s="470"/>
      <c r="O95" s="783">
        <v>617</v>
      </c>
      <c r="P95" s="470"/>
      <c r="Q95" s="470"/>
      <c r="R95" s="470"/>
    </row>
    <row r="96" spans="1:18" ht="93.6" customHeight="1">
      <c r="A96" s="781" t="s">
        <v>454</v>
      </c>
      <c r="B96" s="785" t="s">
        <v>685</v>
      </c>
      <c r="C96" s="469"/>
      <c r="D96" s="470"/>
      <c r="E96" s="469">
        <v>40736</v>
      </c>
      <c r="F96" s="470"/>
      <c r="G96" s="470"/>
      <c r="H96" s="470"/>
      <c r="I96" s="470"/>
      <c r="J96" s="469">
        <f>10206-307</f>
        <v>9899</v>
      </c>
      <c r="K96" s="470"/>
      <c r="L96" s="470"/>
      <c r="M96" s="470"/>
      <c r="N96" s="470"/>
      <c r="O96" s="469">
        <f>-22472-240</f>
        <v>-22712</v>
      </c>
      <c r="P96" s="470"/>
      <c r="Q96" s="470"/>
      <c r="R96" s="470"/>
    </row>
    <row r="97" spans="1:18" ht="82.8" customHeight="1">
      <c r="A97" s="781" t="s">
        <v>455</v>
      </c>
      <c r="B97" s="785" t="s">
        <v>686</v>
      </c>
      <c r="C97" s="469"/>
      <c r="D97" s="470"/>
      <c r="E97" s="469">
        <v>0</v>
      </c>
      <c r="F97" s="470"/>
      <c r="G97" s="470"/>
      <c r="H97" s="470"/>
      <c r="I97" s="470"/>
      <c r="J97" s="469">
        <v>0</v>
      </c>
      <c r="K97" s="470"/>
      <c r="L97" s="470"/>
      <c r="M97" s="470"/>
      <c r="N97" s="470"/>
      <c r="O97" s="469">
        <v>-1493</v>
      </c>
      <c r="P97" s="470"/>
      <c r="Q97" s="470"/>
      <c r="R97" s="470"/>
    </row>
    <row r="98" spans="1:18" ht="57" customHeight="1">
      <c r="A98" s="781" t="s">
        <v>474</v>
      </c>
      <c r="B98" s="529" t="s">
        <v>687</v>
      </c>
      <c r="C98" s="469"/>
      <c r="D98" s="470"/>
      <c r="E98" s="469">
        <f>E99+E100+E101+E102+E103+E104+E105+E106+E107+E108+E109</f>
        <v>-4371086</v>
      </c>
      <c r="F98" s="470"/>
      <c r="G98" s="470"/>
      <c r="H98" s="470"/>
      <c r="I98" s="470"/>
      <c r="J98" s="469">
        <f>J99+J100+J101+J102+J103+J104+J105+J106+J107+J108+J109</f>
        <v>4029840</v>
      </c>
      <c r="K98" s="470"/>
      <c r="L98" s="470"/>
      <c r="M98" s="470"/>
      <c r="N98" s="470"/>
      <c r="O98" s="469">
        <f>O99+O100+O101+O102+O103+O104+O105+O106+O107+O108+O109</f>
        <v>5975427</v>
      </c>
      <c r="P98" s="470"/>
      <c r="Q98" s="470"/>
      <c r="R98" s="470"/>
    </row>
    <row r="99" spans="1:18" ht="229.2" customHeight="1">
      <c r="A99" s="781" t="s">
        <v>688</v>
      </c>
      <c r="B99" s="782" t="s">
        <v>689</v>
      </c>
      <c r="C99" s="469"/>
      <c r="D99" s="470"/>
      <c r="E99" s="783">
        <v>2104789</v>
      </c>
      <c r="F99" s="470"/>
      <c r="G99" s="470"/>
      <c r="H99" s="470"/>
      <c r="I99" s="470"/>
      <c r="J99" s="784">
        <f>4175773+6152952</f>
        <v>10328725</v>
      </c>
      <c r="K99" s="470"/>
      <c r="L99" s="470"/>
      <c r="M99" s="470"/>
      <c r="N99" s="470"/>
      <c r="O99" s="783">
        <f>3632301+5601174</f>
        <v>9233475</v>
      </c>
      <c r="P99" s="470"/>
      <c r="Q99" s="470"/>
      <c r="R99" s="470"/>
    </row>
    <row r="100" spans="1:18" ht="52.8">
      <c r="A100" s="781" t="s">
        <v>690</v>
      </c>
      <c r="B100" s="782" t="s">
        <v>472</v>
      </c>
      <c r="C100" s="469"/>
      <c r="D100" s="470"/>
      <c r="E100" s="783">
        <v>55326</v>
      </c>
      <c r="F100" s="470"/>
      <c r="G100" s="470"/>
      <c r="H100" s="470"/>
      <c r="I100" s="470"/>
      <c r="J100" s="783">
        <v>65996</v>
      </c>
      <c r="K100" s="470"/>
      <c r="L100" s="470"/>
      <c r="M100" s="470"/>
      <c r="N100" s="470"/>
      <c r="O100" s="783">
        <v>-9371</v>
      </c>
      <c r="P100" s="470"/>
      <c r="Q100" s="470"/>
      <c r="R100" s="470"/>
    </row>
    <row r="101" spans="1:18" ht="66">
      <c r="A101" s="781" t="s">
        <v>691</v>
      </c>
      <c r="B101" s="782" t="s">
        <v>692</v>
      </c>
      <c r="C101" s="469"/>
      <c r="D101" s="470"/>
      <c r="E101" s="783">
        <v>393409</v>
      </c>
      <c r="F101" s="470"/>
      <c r="G101" s="470"/>
      <c r="H101" s="470"/>
      <c r="I101" s="470"/>
      <c r="J101" s="783">
        <v>552938</v>
      </c>
      <c r="K101" s="470"/>
      <c r="L101" s="470"/>
      <c r="M101" s="470"/>
      <c r="N101" s="470"/>
      <c r="O101" s="783">
        <v>1637428</v>
      </c>
      <c r="P101" s="470"/>
      <c r="Q101" s="470"/>
      <c r="R101" s="470"/>
    </row>
    <row r="102" spans="1:18" ht="52.8">
      <c r="A102" s="781" t="s">
        <v>693</v>
      </c>
      <c r="B102" s="782" t="s">
        <v>456</v>
      </c>
      <c r="C102" s="469"/>
      <c r="D102" s="470"/>
      <c r="E102" s="783">
        <v>4060</v>
      </c>
      <c r="F102" s="470"/>
      <c r="G102" s="470"/>
      <c r="H102" s="470"/>
      <c r="I102" s="470"/>
      <c r="J102" s="783">
        <v>-3603</v>
      </c>
      <c r="K102" s="470"/>
      <c r="L102" s="470"/>
      <c r="M102" s="470"/>
      <c r="N102" s="470"/>
      <c r="O102" s="783">
        <v>-20795</v>
      </c>
      <c r="P102" s="470"/>
      <c r="Q102" s="470"/>
      <c r="R102" s="470"/>
    </row>
    <row r="103" spans="1:18" ht="52.8">
      <c r="A103" s="781" t="s">
        <v>694</v>
      </c>
      <c r="B103" s="782" t="s">
        <v>473</v>
      </c>
      <c r="C103" s="469"/>
      <c r="D103" s="470"/>
      <c r="E103" s="783">
        <v>53920</v>
      </c>
      <c r="F103" s="470"/>
      <c r="G103" s="470"/>
      <c r="H103" s="470"/>
      <c r="I103" s="470"/>
      <c r="J103" s="783">
        <v>74204</v>
      </c>
      <c r="K103" s="470"/>
      <c r="L103" s="470"/>
      <c r="M103" s="470"/>
      <c r="N103" s="470"/>
      <c r="O103" s="783">
        <v>-20554</v>
      </c>
      <c r="P103" s="470"/>
      <c r="Q103" s="470"/>
      <c r="R103" s="470"/>
    </row>
    <row r="104" spans="1:18" ht="79.2">
      <c r="A104" s="781" t="s">
        <v>695</v>
      </c>
      <c r="B104" s="782" t="s">
        <v>457</v>
      </c>
      <c r="C104" s="469"/>
      <c r="D104" s="470"/>
      <c r="E104" s="783">
        <v>1020</v>
      </c>
      <c r="F104" s="470"/>
      <c r="G104" s="470"/>
      <c r="H104" s="470"/>
      <c r="I104" s="470"/>
      <c r="J104" s="783">
        <v>2400</v>
      </c>
      <c r="K104" s="470"/>
      <c r="L104" s="470"/>
      <c r="M104" s="470"/>
      <c r="N104" s="470"/>
      <c r="O104" s="783">
        <f>4000+40</f>
        <v>4040</v>
      </c>
      <c r="P104" s="470"/>
      <c r="Q104" s="470"/>
      <c r="R104" s="470"/>
    </row>
    <row r="105" spans="1:18" ht="52.8">
      <c r="A105" s="781" t="s">
        <v>696</v>
      </c>
      <c r="B105" s="782" t="s">
        <v>458</v>
      </c>
      <c r="C105" s="469"/>
      <c r="D105" s="470"/>
      <c r="E105" s="783">
        <v>-851659</v>
      </c>
      <c r="F105" s="470"/>
      <c r="G105" s="470"/>
      <c r="H105" s="470"/>
      <c r="I105" s="470"/>
      <c r="J105" s="783">
        <v>-850687</v>
      </c>
      <c r="K105" s="470"/>
      <c r="L105" s="470"/>
      <c r="M105" s="470"/>
      <c r="N105" s="470"/>
      <c r="O105" s="783">
        <v>-596527</v>
      </c>
      <c r="P105" s="470"/>
      <c r="Q105" s="470"/>
      <c r="R105" s="470"/>
    </row>
    <row r="106" spans="1:18" ht="44.4" customHeight="1">
      <c r="A106" s="781" t="s">
        <v>697</v>
      </c>
      <c r="B106" s="782" t="s">
        <v>459</v>
      </c>
      <c r="C106" s="469"/>
      <c r="D106" s="470"/>
      <c r="E106" s="783">
        <v>-6004938</v>
      </c>
      <c r="F106" s="470"/>
      <c r="G106" s="470"/>
      <c r="H106" s="470"/>
      <c r="I106" s="470"/>
      <c r="J106" s="783">
        <v>-6021156</v>
      </c>
      <c r="K106" s="470"/>
      <c r="L106" s="470"/>
      <c r="M106" s="470"/>
      <c r="N106" s="470"/>
      <c r="O106" s="783">
        <v>-4131870</v>
      </c>
      <c r="P106" s="470"/>
      <c r="Q106" s="470"/>
      <c r="R106" s="470"/>
    </row>
    <row r="107" spans="1:18" ht="66">
      <c r="A107" s="781" t="s">
        <v>698</v>
      </c>
      <c r="B107" s="782" t="s">
        <v>460</v>
      </c>
      <c r="C107" s="469"/>
      <c r="D107" s="470"/>
      <c r="E107" s="783">
        <v>-104002</v>
      </c>
      <c r="F107" s="470"/>
      <c r="G107" s="470"/>
      <c r="H107" s="470"/>
      <c r="I107" s="470"/>
      <c r="J107" s="783">
        <v>-96402</v>
      </c>
      <c r="K107" s="470"/>
      <c r="L107" s="470"/>
      <c r="M107" s="470"/>
      <c r="N107" s="470"/>
      <c r="O107" s="783">
        <v>-99288</v>
      </c>
      <c r="P107" s="470"/>
      <c r="Q107" s="470"/>
      <c r="R107" s="470"/>
    </row>
    <row r="108" spans="1:18" ht="52.8">
      <c r="A108" s="781" t="s">
        <v>699</v>
      </c>
      <c r="B108" s="782" t="s">
        <v>461</v>
      </c>
      <c r="C108" s="469"/>
      <c r="D108" s="470"/>
      <c r="E108" s="783">
        <v>-19493</v>
      </c>
      <c r="F108" s="470"/>
      <c r="G108" s="470"/>
      <c r="H108" s="470"/>
      <c r="I108" s="470"/>
      <c r="J108" s="783">
        <v>-19562</v>
      </c>
      <c r="K108" s="470"/>
      <c r="L108" s="470"/>
      <c r="M108" s="470"/>
      <c r="N108" s="470"/>
      <c r="O108" s="783">
        <v>-18598</v>
      </c>
      <c r="P108" s="470"/>
      <c r="Q108" s="470"/>
      <c r="R108" s="470"/>
    </row>
    <row r="109" spans="1:18" ht="66">
      <c r="A109" s="781" t="s">
        <v>700</v>
      </c>
      <c r="B109" s="782" t="s">
        <v>462</v>
      </c>
      <c r="C109" s="469"/>
      <c r="D109" s="470"/>
      <c r="E109" s="783">
        <v>-3518</v>
      </c>
      <c r="F109" s="470"/>
      <c r="G109" s="470"/>
      <c r="H109" s="470"/>
      <c r="I109" s="470"/>
      <c r="J109" s="783">
        <v>-3013</v>
      </c>
      <c r="K109" s="470"/>
      <c r="L109" s="470"/>
      <c r="M109" s="470"/>
      <c r="N109" s="470"/>
      <c r="O109" s="783">
        <v>-2513</v>
      </c>
      <c r="P109" s="470"/>
      <c r="Q109" s="470"/>
      <c r="R109" s="470"/>
    </row>
    <row r="110" spans="1:18" ht="94.8" customHeight="1">
      <c r="A110" s="781" t="s">
        <v>701</v>
      </c>
      <c r="B110" s="529" t="s">
        <v>702</v>
      </c>
      <c r="C110" s="469"/>
      <c r="D110" s="470"/>
      <c r="E110" s="469">
        <v>6208017</v>
      </c>
      <c r="F110" s="470"/>
      <c r="G110" s="787"/>
      <c r="H110" s="470"/>
      <c r="I110" s="470"/>
      <c r="J110" s="469">
        <f>14560329-25830</f>
        <v>14534499</v>
      </c>
      <c r="K110" s="470"/>
      <c r="L110" s="787"/>
      <c r="M110" s="470"/>
      <c r="N110" s="470"/>
      <c r="O110" s="469">
        <f>15174110-17953</f>
        <v>15156157</v>
      </c>
      <c r="P110" s="470"/>
      <c r="Q110" s="787"/>
      <c r="R110" s="470"/>
    </row>
    <row r="111" spans="1:18" ht="45" customHeight="1">
      <c r="A111" s="781" t="s">
        <v>703</v>
      </c>
      <c r="B111" s="529" t="s">
        <v>463</v>
      </c>
      <c r="C111" s="469"/>
      <c r="D111" s="470"/>
      <c r="E111" s="469">
        <v>0</v>
      </c>
      <c r="F111" s="470"/>
      <c r="G111" s="469"/>
      <c r="H111" s="469"/>
      <c r="I111" s="470"/>
      <c r="J111" s="469">
        <v>-63316</v>
      </c>
      <c r="K111" s="470"/>
      <c r="L111" s="469"/>
      <c r="M111" s="469"/>
      <c r="N111" s="470"/>
      <c r="O111" s="469">
        <v>-19599</v>
      </c>
      <c r="P111" s="470"/>
      <c r="Q111" s="469"/>
      <c r="R111" s="470"/>
    </row>
    <row r="112" spans="1:18" ht="79.2">
      <c r="A112" s="788" t="s">
        <v>1093</v>
      </c>
      <c r="B112" s="529" t="s">
        <v>704</v>
      </c>
      <c r="C112" s="469"/>
      <c r="D112" s="470"/>
      <c r="E112" s="469">
        <v>530550</v>
      </c>
      <c r="F112" s="470"/>
      <c r="G112" s="469"/>
      <c r="H112" s="469"/>
      <c r="I112" s="470"/>
      <c r="J112" s="469">
        <v>273844</v>
      </c>
      <c r="K112" s="470"/>
      <c r="L112" s="469"/>
      <c r="M112" s="469"/>
      <c r="N112" s="470"/>
      <c r="O112" s="469"/>
      <c r="P112" s="470"/>
      <c r="Q112" s="469"/>
      <c r="R112" s="469"/>
    </row>
    <row r="113" spans="1:18" ht="118.8">
      <c r="A113" s="788" t="s">
        <v>705</v>
      </c>
      <c r="B113" s="529" t="s">
        <v>706</v>
      </c>
      <c r="C113" s="469"/>
      <c r="D113" s="470"/>
      <c r="E113" s="469">
        <v>1476000</v>
      </c>
      <c r="F113" s="470"/>
      <c r="G113" s="469"/>
      <c r="H113" s="469"/>
      <c r="I113" s="470"/>
      <c r="J113" s="469">
        <v>1476000</v>
      </c>
      <c r="K113" s="470"/>
      <c r="L113" s="469"/>
      <c r="M113" s="469"/>
      <c r="N113" s="470"/>
      <c r="O113" s="469">
        <v>1476000</v>
      </c>
      <c r="P113" s="470"/>
      <c r="Q113" s="469"/>
      <c r="R113" s="469"/>
    </row>
    <row r="114" spans="1:18" ht="66" customHeight="1">
      <c r="A114" s="788" t="s">
        <v>707</v>
      </c>
      <c r="B114" s="529" t="s">
        <v>708</v>
      </c>
      <c r="C114" s="469"/>
      <c r="D114" s="470"/>
      <c r="E114" s="469">
        <f>-738-1</f>
        <v>-739</v>
      </c>
      <c r="F114" s="470"/>
      <c r="G114" s="789"/>
      <c r="H114" s="789"/>
      <c r="I114" s="470"/>
      <c r="J114" s="469">
        <f>10332+12</f>
        <v>10344</v>
      </c>
      <c r="K114" s="470"/>
      <c r="L114" s="789"/>
      <c r="M114" s="789"/>
      <c r="N114" s="470"/>
      <c r="O114" s="469">
        <f>7380+9</f>
        <v>7389</v>
      </c>
      <c r="P114" s="470"/>
      <c r="Q114" s="789"/>
      <c r="R114" s="790"/>
    </row>
    <row r="115" spans="1:18" ht="68.400000000000006" customHeight="1">
      <c r="A115" s="788" t="s">
        <v>709</v>
      </c>
      <c r="B115" s="529" t="s">
        <v>710</v>
      </c>
      <c r="C115" s="469"/>
      <c r="D115" s="470"/>
      <c r="E115" s="469">
        <v>8856</v>
      </c>
      <c r="F115" s="470"/>
      <c r="G115" s="789"/>
      <c r="H115" s="789"/>
      <c r="I115" s="470"/>
      <c r="J115" s="469">
        <v>25058</v>
      </c>
      <c r="K115" s="470"/>
      <c r="L115" s="789"/>
      <c r="M115" s="789"/>
      <c r="N115" s="470"/>
      <c r="O115" s="469">
        <v>25938</v>
      </c>
      <c r="P115" s="470"/>
      <c r="Q115" s="789"/>
      <c r="R115" s="790"/>
    </row>
    <row r="116" spans="1:18" ht="39.6">
      <c r="A116" s="788" t="s">
        <v>711</v>
      </c>
      <c r="B116" s="529" t="s">
        <v>712</v>
      </c>
      <c r="C116" s="469"/>
      <c r="D116" s="470"/>
      <c r="E116" s="469">
        <v>109668616</v>
      </c>
      <c r="F116" s="470"/>
      <c r="G116" s="789"/>
      <c r="H116" s="789"/>
      <c r="I116" s="470"/>
      <c r="J116" s="469">
        <v>141428182</v>
      </c>
      <c r="K116" s="470"/>
      <c r="L116" s="789"/>
      <c r="M116" s="789"/>
      <c r="N116" s="470"/>
      <c r="O116" s="469">
        <v>124104697</v>
      </c>
      <c r="P116" s="470"/>
      <c r="Q116" s="789"/>
      <c r="R116" s="790"/>
    </row>
    <row r="117" spans="1:18" ht="13.2">
      <c r="A117" s="791" t="s">
        <v>224</v>
      </c>
      <c r="B117" s="792" t="s">
        <v>242</v>
      </c>
      <c r="C117" s="469"/>
      <c r="D117" s="470"/>
      <c r="E117" s="469"/>
      <c r="F117" s="787">
        <f>F118+F119+F120+F121</f>
        <v>9324458</v>
      </c>
      <c r="G117" s="789"/>
      <c r="H117" s="789"/>
      <c r="I117" s="470"/>
      <c r="J117" s="469"/>
      <c r="K117" s="787">
        <f>K118+K119+K120+K121</f>
        <v>12673969</v>
      </c>
      <c r="L117" s="789"/>
      <c r="M117" s="789"/>
      <c r="N117" s="470"/>
      <c r="O117" s="469"/>
      <c r="P117" s="787">
        <f>P118</f>
        <v>6475572</v>
      </c>
      <c r="Q117" s="789"/>
      <c r="R117" s="790"/>
    </row>
    <row r="118" spans="1:18" ht="146.4" customHeight="1">
      <c r="A118" s="781" t="s">
        <v>243</v>
      </c>
      <c r="B118" s="529" t="s">
        <v>713</v>
      </c>
      <c r="C118" s="469"/>
      <c r="D118" s="470"/>
      <c r="E118" s="469"/>
      <c r="F118" s="469">
        <v>2845517</v>
      </c>
      <c r="G118" s="789"/>
      <c r="H118" s="789"/>
      <c r="I118" s="469"/>
      <c r="J118" s="469"/>
      <c r="K118" s="469">
        <v>5945691</v>
      </c>
      <c r="L118" s="789"/>
      <c r="M118" s="789"/>
      <c r="N118" s="469"/>
      <c r="O118" s="469"/>
      <c r="P118" s="469">
        <v>6475572</v>
      </c>
      <c r="Q118" s="789"/>
      <c r="R118" s="790"/>
    </row>
    <row r="119" spans="1:18" ht="178.2" customHeight="1">
      <c r="A119" s="781" t="s">
        <v>250</v>
      </c>
      <c r="B119" s="529" t="s">
        <v>714</v>
      </c>
      <c r="C119" s="469"/>
      <c r="D119" s="470"/>
      <c r="E119" s="469"/>
      <c r="F119" s="469">
        <v>3702119</v>
      </c>
      <c r="G119" s="789"/>
      <c r="H119" s="789"/>
      <c r="I119" s="469"/>
      <c r="J119" s="469"/>
      <c r="K119" s="469">
        <v>3844597</v>
      </c>
      <c r="L119" s="789"/>
      <c r="M119" s="789"/>
      <c r="N119" s="469"/>
      <c r="O119" s="469"/>
      <c r="P119" s="469">
        <v>0</v>
      </c>
      <c r="Q119" s="789"/>
      <c r="R119" s="790"/>
    </row>
    <row r="120" spans="1:18" ht="181.2" customHeight="1">
      <c r="A120" s="781" t="s">
        <v>257</v>
      </c>
      <c r="B120" s="529" t="s">
        <v>715</v>
      </c>
      <c r="C120" s="469"/>
      <c r="D120" s="470"/>
      <c r="E120" s="469"/>
      <c r="F120" s="469">
        <v>2472044</v>
      </c>
      <c r="G120" s="793"/>
      <c r="H120" s="793"/>
      <c r="I120" s="469"/>
      <c r="J120" s="469"/>
      <c r="K120" s="469">
        <v>2567161</v>
      </c>
      <c r="L120" s="793"/>
      <c r="M120" s="793"/>
      <c r="N120" s="469"/>
      <c r="O120" s="469"/>
      <c r="P120" s="469">
        <v>0</v>
      </c>
      <c r="Q120" s="793"/>
      <c r="R120" s="790"/>
    </row>
    <row r="121" spans="1:18" ht="177.6" customHeight="1">
      <c r="A121" s="781" t="s">
        <v>324</v>
      </c>
      <c r="B121" s="529" t="s">
        <v>716</v>
      </c>
      <c r="C121" s="794"/>
      <c r="D121" s="795"/>
      <c r="E121" s="795"/>
      <c r="F121" s="796">
        <v>304778</v>
      </c>
      <c r="G121" s="793"/>
      <c r="H121" s="793"/>
      <c r="I121" s="796"/>
      <c r="J121" s="796"/>
      <c r="K121" s="789">
        <v>316520</v>
      </c>
      <c r="L121" s="797"/>
      <c r="M121" s="797"/>
      <c r="N121" s="796"/>
      <c r="O121" s="796"/>
      <c r="P121" s="796">
        <v>0</v>
      </c>
      <c r="Q121" s="797"/>
      <c r="R121" s="798"/>
    </row>
    <row r="125" spans="1:18" ht="13.2">
      <c r="B125" s="1348"/>
      <c r="C125" s="1348"/>
      <c r="D125" s="1348"/>
      <c r="E125" s="1348"/>
      <c r="F125" s="1348"/>
    </row>
    <row r="126" spans="1:18" ht="18">
      <c r="B126" s="1349" t="s">
        <v>1095</v>
      </c>
      <c r="C126" s="1349"/>
      <c r="D126" s="1349"/>
      <c r="E126" s="1349"/>
      <c r="F126" s="1350"/>
      <c r="N126" s="1350" t="s">
        <v>1096</v>
      </c>
    </row>
    <row r="127" spans="1:18" ht="13.2">
      <c r="B127" s="1351"/>
      <c r="C127" s="1351"/>
      <c r="D127" s="1351"/>
      <c r="E127" s="1351"/>
      <c r="F127" s="1351"/>
    </row>
    <row r="128" spans="1:18" ht="13.2">
      <c r="B128" s="1351"/>
      <c r="C128" s="1351"/>
      <c r="D128" s="1351"/>
      <c r="E128" s="1351"/>
      <c r="F128" s="1351"/>
    </row>
    <row r="129" spans="2:6" ht="13.2">
      <c r="B129" s="1351" t="s">
        <v>1099</v>
      </c>
      <c r="C129" s="1351"/>
      <c r="D129" s="1351"/>
      <c r="E129" s="1351"/>
      <c r="F129" s="1351"/>
    </row>
    <row r="130" spans="2:6" ht="13.2">
      <c r="B130" s="1351" t="s">
        <v>1097</v>
      </c>
      <c r="C130" s="1351"/>
      <c r="D130" s="1351"/>
      <c r="E130" s="1351"/>
      <c r="F130" s="1351"/>
    </row>
    <row r="131" spans="2:6" ht="13.2">
      <c r="B131" s="1351" t="s">
        <v>1098</v>
      </c>
      <c r="C131" s="1351"/>
      <c r="D131" s="1351"/>
      <c r="E131" s="1351"/>
      <c r="F131" s="1351"/>
    </row>
  </sheetData>
  <mergeCells count="23">
    <mergeCell ref="B2:J2"/>
    <mergeCell ref="A5:A7"/>
    <mergeCell ref="B5:B7"/>
    <mergeCell ref="C5:C7"/>
    <mergeCell ref="I5:I7"/>
    <mergeCell ref="D5:D7"/>
    <mergeCell ref="E5:G5"/>
    <mergeCell ref="H5:H7"/>
    <mergeCell ref="J5:L5"/>
    <mergeCell ref="J6:J7"/>
    <mergeCell ref="K6:K7"/>
    <mergeCell ref="F6:F7"/>
    <mergeCell ref="B3:H3"/>
    <mergeCell ref="R5:R7"/>
    <mergeCell ref="E6:E7"/>
    <mergeCell ref="G6:G7"/>
    <mergeCell ref="L6:L7"/>
    <mergeCell ref="O6:O7"/>
    <mergeCell ref="Q6:Q7"/>
    <mergeCell ref="M5:M7"/>
    <mergeCell ref="N5:N7"/>
    <mergeCell ref="O5:Q5"/>
    <mergeCell ref="P6:P7"/>
  </mergeCells>
  <phoneticPr fontId="59" type="noConversion"/>
  <pageMargins left="0.23622047244094491" right="0.19685039370078741" top="0.23622047244094491" bottom="0.27559055118110237" header="0.19685039370078741" footer="0.15748031496062992"/>
  <pageSetup paperSize="9" scale="65" orientation="landscape" r:id="rId1"/>
  <headerFooter alignWithMargins="0">
    <oddFooter>&amp;L&amp;F&amp;C&amp;P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C000"/>
  </sheetPr>
  <dimension ref="A1:R409"/>
  <sheetViews>
    <sheetView zoomScale="70" zoomScaleNormal="70" workbookViewId="0">
      <pane xSplit="2" ySplit="8" topLeftCell="C119" activePane="bottomRight" state="frozen"/>
      <selection activeCell="A177" activeCellId="2" sqref="A8:A9 A93 A177"/>
      <selection pane="topRight" activeCell="A177" activeCellId="2" sqref="A8:A9 A93 A177"/>
      <selection pane="bottomLeft" activeCell="A177" activeCellId="2" sqref="A8:A9 A93 A177"/>
      <selection pane="bottomRight" activeCell="E271" sqref="E271"/>
    </sheetView>
  </sheetViews>
  <sheetFormatPr defaultColWidth="9.109375" defaultRowHeight="10.199999999999999"/>
  <cols>
    <col min="1" max="1" width="11.44140625" style="21" bestFit="1" customWidth="1"/>
    <col min="2" max="2" width="38.88671875" style="1" customWidth="1"/>
    <col min="3" max="3" width="13" style="22" customWidth="1"/>
    <col min="4" max="4" width="12" style="21"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363"/>
      <c r="J2" s="363"/>
      <c r="K2" s="566"/>
      <c r="L2" s="363"/>
      <c r="M2" s="220"/>
      <c r="N2" s="363"/>
      <c r="O2" s="363"/>
      <c r="P2" s="566"/>
      <c r="Q2" s="363"/>
      <c r="R2" s="220"/>
    </row>
    <row r="3" spans="1:18" s="1" customFormat="1" ht="13.2">
      <c r="A3" s="221"/>
      <c r="B3" s="1400" t="s">
        <v>489</v>
      </c>
      <c r="C3" s="1400"/>
      <c r="D3" s="1400"/>
      <c r="E3" s="1400"/>
      <c r="F3" s="1400"/>
      <c r="G3" s="1400"/>
      <c r="H3" s="1400"/>
      <c r="I3" s="567"/>
      <c r="J3" s="567"/>
      <c r="K3" s="567"/>
      <c r="L3" s="567"/>
      <c r="M3" s="220"/>
      <c r="N3" s="567"/>
      <c r="O3" s="567"/>
      <c r="P3" s="567"/>
      <c r="Q3" s="567"/>
      <c r="R3" s="220"/>
    </row>
    <row r="4" spans="1:18" s="1" customFormat="1" ht="13.2">
      <c r="A4" s="221"/>
      <c r="B4" s="567"/>
      <c r="C4" s="222"/>
      <c r="D4" s="567"/>
      <c r="E4" s="567"/>
      <c r="F4" s="567"/>
      <c r="G4" s="567"/>
      <c r="H4" s="567"/>
      <c r="I4" s="567"/>
      <c r="J4" s="567"/>
      <c r="K4" s="567"/>
      <c r="L4" s="567"/>
      <c r="M4" s="567"/>
      <c r="N4" s="567"/>
      <c r="O4" s="567"/>
      <c r="P4" s="567"/>
      <c r="Q4" s="567"/>
      <c r="R4" s="567"/>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5"/>
      <c r="B9" s="386" t="s">
        <v>126</v>
      </c>
      <c r="C9" s="387"/>
      <c r="D9" s="387"/>
      <c r="E9" s="226"/>
      <c r="F9" s="226"/>
      <c r="G9" s="226"/>
      <c r="H9" s="226"/>
      <c r="I9" s="365"/>
      <c r="J9" s="226"/>
      <c r="K9" s="226"/>
      <c r="L9" s="226"/>
      <c r="M9" s="226"/>
      <c r="N9" s="365"/>
      <c r="O9" s="226"/>
      <c r="P9" s="226"/>
      <c r="Q9" s="226"/>
      <c r="R9" s="226"/>
    </row>
    <row r="10" spans="1:18" s="4" customFormat="1" ht="20.399999999999999">
      <c r="A10" s="129" t="s">
        <v>201</v>
      </c>
      <c r="B10" s="99" t="s">
        <v>88</v>
      </c>
      <c r="C10" s="193">
        <v>11462228</v>
      </c>
      <c r="D10" s="193">
        <v>11462228</v>
      </c>
      <c r="E10" s="228">
        <f>E11+E12+E14+E32</f>
        <v>0</v>
      </c>
      <c r="F10" s="228">
        <f t="shared" ref="F10:G10" si="0">F11+F12+F14+F32</f>
        <v>0</v>
      </c>
      <c r="G10" s="228">
        <f t="shared" si="0"/>
        <v>0</v>
      </c>
      <c r="H10" s="229">
        <f t="shared" ref="H10:H73" si="1">SUM(D10:G10)</f>
        <v>11462228</v>
      </c>
      <c r="I10" s="228">
        <v>11728401</v>
      </c>
      <c r="J10" s="228">
        <f>J11+J12+J14+J32</f>
        <v>0</v>
      </c>
      <c r="K10" s="228">
        <f t="shared" ref="K10:L10" si="2">K11+K12+K14+K32</f>
        <v>0</v>
      </c>
      <c r="L10" s="228">
        <f t="shared" si="2"/>
        <v>0</v>
      </c>
      <c r="M10" s="229">
        <f t="shared" ref="M10:M73" si="3">SUM(I10:L10)</f>
        <v>11728401</v>
      </c>
      <c r="N10" s="228">
        <v>11462228</v>
      </c>
      <c r="O10" s="228">
        <f>O11+O12+O14+O32</f>
        <v>0</v>
      </c>
      <c r="P10" s="228">
        <f t="shared" ref="P10:Q10" si="4">P11+P12+P14+P32</f>
        <v>0</v>
      </c>
      <c r="Q10" s="228">
        <f t="shared" si="4"/>
        <v>0</v>
      </c>
      <c r="R10" s="229">
        <f t="shared" ref="R10:R73" si="5">SUM(N10:Q10)</f>
        <v>11462228</v>
      </c>
    </row>
    <row r="11" spans="1:18" ht="22.8">
      <c r="A11" s="130" t="s">
        <v>177</v>
      </c>
      <c r="B11" s="100" t="s">
        <v>90</v>
      </c>
      <c r="C11" s="158">
        <v>290000</v>
      </c>
      <c r="D11" s="158">
        <v>290000</v>
      </c>
      <c r="E11" s="231"/>
      <c r="F11" s="231"/>
      <c r="G11" s="231"/>
      <c r="H11" s="232">
        <f t="shared" si="1"/>
        <v>290000</v>
      </c>
      <c r="I11" s="231">
        <v>290000</v>
      </c>
      <c r="J11" s="231"/>
      <c r="K11" s="231"/>
      <c r="L11" s="231"/>
      <c r="M11" s="232">
        <f t="shared" si="3"/>
        <v>290000</v>
      </c>
      <c r="N11" s="231">
        <v>290000</v>
      </c>
      <c r="O11" s="231"/>
      <c r="P11" s="231"/>
      <c r="Q11" s="231"/>
      <c r="R11" s="232">
        <f t="shared" si="5"/>
        <v>290000</v>
      </c>
    </row>
    <row r="12" spans="1:18" ht="12" hidden="1" customHeight="1">
      <c r="A12" s="130" t="s">
        <v>91</v>
      </c>
      <c r="B12" s="100" t="s">
        <v>92</v>
      </c>
      <c r="C12" s="158"/>
      <c r="D12" s="158">
        <v>0</v>
      </c>
      <c r="E12" s="231"/>
      <c r="F12" s="231"/>
      <c r="G12" s="231"/>
      <c r="H12" s="232">
        <f t="shared" si="1"/>
        <v>0</v>
      </c>
      <c r="I12" s="231">
        <v>0</v>
      </c>
      <c r="J12" s="231"/>
      <c r="K12" s="231"/>
      <c r="L12" s="231"/>
      <c r="M12" s="232">
        <f t="shared" si="3"/>
        <v>0</v>
      </c>
      <c r="N12" s="231">
        <v>0</v>
      </c>
      <c r="O12" s="231"/>
      <c r="P12" s="231"/>
      <c r="Q12" s="231"/>
      <c r="R12" s="232">
        <f t="shared" si="5"/>
        <v>0</v>
      </c>
    </row>
    <row r="13" spans="1:18" ht="24" hidden="1" customHeight="1">
      <c r="A13" s="131">
        <v>21210</v>
      </c>
      <c r="B13" s="101" t="s">
        <v>93</v>
      </c>
      <c r="C13" s="158"/>
      <c r="D13" s="158">
        <v>0</v>
      </c>
      <c r="E13" s="231"/>
      <c r="F13" s="231"/>
      <c r="G13" s="231"/>
      <c r="H13" s="232">
        <f t="shared" si="1"/>
        <v>0</v>
      </c>
      <c r="I13" s="231">
        <v>0</v>
      </c>
      <c r="J13" s="231"/>
      <c r="K13" s="231"/>
      <c r="L13" s="231"/>
      <c r="M13" s="232">
        <f t="shared" si="3"/>
        <v>0</v>
      </c>
      <c r="N13" s="231">
        <v>0</v>
      </c>
      <c r="O13" s="231"/>
      <c r="P13" s="231"/>
      <c r="Q13" s="231"/>
      <c r="R13" s="232">
        <f t="shared" si="5"/>
        <v>0</v>
      </c>
    </row>
    <row r="14" spans="1:18" ht="21" hidden="1" customHeight="1">
      <c r="A14" s="130" t="s">
        <v>178</v>
      </c>
      <c r="B14" s="100" t="s">
        <v>94</v>
      </c>
      <c r="C14" s="106">
        <v>0</v>
      </c>
      <c r="D14" s="106">
        <v>0</v>
      </c>
      <c r="E14" s="233">
        <f>E15+E21</f>
        <v>0</v>
      </c>
      <c r="F14" s="233">
        <f t="shared" ref="F14:G14" si="6">F15+F21</f>
        <v>0</v>
      </c>
      <c r="G14" s="233">
        <f t="shared" si="6"/>
        <v>0</v>
      </c>
      <c r="H14" s="232">
        <f t="shared" si="1"/>
        <v>0</v>
      </c>
      <c r="I14" s="233">
        <v>0</v>
      </c>
      <c r="J14" s="233">
        <f>J15+J21</f>
        <v>0</v>
      </c>
      <c r="K14" s="233">
        <f t="shared" ref="K14:L14" si="7">K15+K21</f>
        <v>0</v>
      </c>
      <c r="L14" s="233">
        <f t="shared" si="7"/>
        <v>0</v>
      </c>
      <c r="M14" s="232">
        <f t="shared" si="3"/>
        <v>0</v>
      </c>
      <c r="N14" s="233">
        <v>0</v>
      </c>
      <c r="O14" s="233">
        <f>O15+O21</f>
        <v>0</v>
      </c>
      <c r="P14" s="233">
        <f t="shared" ref="P14:Q14" si="8">P15+P21</f>
        <v>0</v>
      </c>
      <c r="Q14" s="233">
        <f t="shared" si="8"/>
        <v>0</v>
      </c>
      <c r="R14" s="232">
        <f t="shared" si="5"/>
        <v>0</v>
      </c>
    </row>
    <row r="15" spans="1:18" ht="12" hidden="1" customHeight="1">
      <c r="A15" s="132">
        <v>18000</v>
      </c>
      <c r="B15" s="101" t="s">
        <v>95</v>
      </c>
      <c r="C15" s="106">
        <v>0</v>
      </c>
      <c r="D15" s="106">
        <v>0</v>
      </c>
      <c r="E15" s="233">
        <f t="shared" ref="E15:L16" si="9">E16</f>
        <v>0</v>
      </c>
      <c r="F15" s="233">
        <f t="shared" si="9"/>
        <v>0</v>
      </c>
      <c r="G15" s="233">
        <f t="shared" si="9"/>
        <v>0</v>
      </c>
      <c r="H15" s="232">
        <f t="shared" si="1"/>
        <v>0</v>
      </c>
      <c r="I15" s="233">
        <v>0</v>
      </c>
      <c r="J15" s="233">
        <f t="shared" si="9"/>
        <v>0</v>
      </c>
      <c r="K15" s="233">
        <f t="shared" si="9"/>
        <v>0</v>
      </c>
      <c r="L15" s="233">
        <f t="shared" si="9"/>
        <v>0</v>
      </c>
      <c r="M15" s="232">
        <f t="shared" si="3"/>
        <v>0</v>
      </c>
      <c r="N15" s="233">
        <v>0</v>
      </c>
      <c r="O15" s="233">
        <f t="shared" ref="O15:Q16" si="10">O16</f>
        <v>0</v>
      </c>
      <c r="P15" s="233">
        <f t="shared" si="10"/>
        <v>0</v>
      </c>
      <c r="Q15" s="233">
        <f t="shared" si="10"/>
        <v>0</v>
      </c>
      <c r="R15" s="232">
        <f t="shared" si="5"/>
        <v>0</v>
      </c>
    </row>
    <row r="16" spans="1:18" ht="12" hidden="1" customHeight="1">
      <c r="A16" s="132">
        <v>18100</v>
      </c>
      <c r="B16" s="101" t="s">
        <v>96</v>
      </c>
      <c r="C16" s="106">
        <v>0</v>
      </c>
      <c r="D16" s="106">
        <v>0</v>
      </c>
      <c r="E16" s="233">
        <f>E17</f>
        <v>0</v>
      </c>
      <c r="F16" s="233">
        <f t="shared" si="9"/>
        <v>0</v>
      </c>
      <c r="G16" s="233">
        <f t="shared" si="9"/>
        <v>0</v>
      </c>
      <c r="H16" s="232">
        <f t="shared" si="1"/>
        <v>0</v>
      </c>
      <c r="I16" s="233">
        <v>0</v>
      </c>
      <c r="J16" s="233">
        <f>J17</f>
        <v>0</v>
      </c>
      <c r="K16" s="233">
        <f t="shared" si="9"/>
        <v>0</v>
      </c>
      <c r="L16" s="233">
        <f t="shared" si="9"/>
        <v>0</v>
      </c>
      <c r="M16" s="232">
        <f t="shared" si="3"/>
        <v>0</v>
      </c>
      <c r="N16" s="233">
        <v>0</v>
      </c>
      <c r="O16" s="233">
        <f>O17</f>
        <v>0</v>
      </c>
      <c r="P16" s="233">
        <f t="shared" si="10"/>
        <v>0</v>
      </c>
      <c r="Q16" s="233">
        <f t="shared" si="10"/>
        <v>0</v>
      </c>
      <c r="R16" s="232">
        <f t="shared" si="5"/>
        <v>0</v>
      </c>
    </row>
    <row r="17" spans="1:18" s="4" customFormat="1" ht="24" hidden="1" customHeight="1">
      <c r="A17" s="133">
        <v>18130</v>
      </c>
      <c r="B17" s="108" t="s">
        <v>159</v>
      </c>
      <c r="C17" s="106">
        <v>0</v>
      </c>
      <c r="D17" s="106">
        <v>0</v>
      </c>
      <c r="E17" s="233">
        <f>SUM(E18:E20)</f>
        <v>0</v>
      </c>
      <c r="F17" s="233">
        <f t="shared" ref="F17:G17" si="11">SUM(F18:F20)</f>
        <v>0</v>
      </c>
      <c r="G17" s="233">
        <f t="shared" si="11"/>
        <v>0</v>
      </c>
      <c r="H17" s="232">
        <f t="shared" si="1"/>
        <v>0</v>
      </c>
      <c r="I17" s="233">
        <v>0</v>
      </c>
      <c r="J17" s="233">
        <f>SUM(J18:J20)</f>
        <v>0</v>
      </c>
      <c r="K17" s="233">
        <f t="shared" ref="K17:L17" si="12">SUM(K18:K20)</f>
        <v>0</v>
      </c>
      <c r="L17" s="233">
        <f t="shared" si="12"/>
        <v>0</v>
      </c>
      <c r="M17" s="232">
        <f t="shared" si="3"/>
        <v>0</v>
      </c>
      <c r="N17" s="233">
        <v>0</v>
      </c>
      <c r="O17" s="233">
        <f>SUM(O18:O20)</f>
        <v>0</v>
      </c>
      <c r="P17" s="233">
        <f t="shared" ref="P17:Q17" si="13">SUM(P18:P20)</f>
        <v>0</v>
      </c>
      <c r="Q17" s="233">
        <f t="shared" si="13"/>
        <v>0</v>
      </c>
      <c r="R17" s="232">
        <f t="shared" si="5"/>
        <v>0</v>
      </c>
    </row>
    <row r="18" spans="1:18" s="6" customFormat="1" ht="24" hidden="1" customHeight="1">
      <c r="A18" s="134">
        <v>18131</v>
      </c>
      <c r="B18" s="108" t="s">
        <v>160</v>
      </c>
      <c r="C18" s="106"/>
      <c r="D18" s="106">
        <v>0</v>
      </c>
      <c r="E18" s="233"/>
      <c r="F18" s="233"/>
      <c r="G18" s="233"/>
      <c r="H18" s="232">
        <f t="shared" si="1"/>
        <v>0</v>
      </c>
      <c r="I18" s="233">
        <v>0</v>
      </c>
      <c r="J18" s="233"/>
      <c r="K18" s="233"/>
      <c r="L18" s="233"/>
      <c r="M18" s="232">
        <f t="shared" si="3"/>
        <v>0</v>
      </c>
      <c r="N18" s="233">
        <v>0</v>
      </c>
      <c r="O18" s="233"/>
      <c r="P18" s="233"/>
      <c r="Q18" s="233"/>
      <c r="R18" s="232">
        <f t="shared" si="5"/>
        <v>0</v>
      </c>
    </row>
    <row r="19" spans="1:18" s="6" customFormat="1" ht="24" hidden="1" customHeight="1">
      <c r="A19" s="134">
        <v>18132</v>
      </c>
      <c r="B19" s="108" t="s">
        <v>169</v>
      </c>
      <c r="C19" s="106"/>
      <c r="D19" s="106">
        <v>0</v>
      </c>
      <c r="E19" s="233"/>
      <c r="F19" s="233"/>
      <c r="G19" s="233"/>
      <c r="H19" s="232">
        <f t="shared" si="1"/>
        <v>0</v>
      </c>
      <c r="I19" s="233">
        <v>0</v>
      </c>
      <c r="J19" s="233"/>
      <c r="K19" s="233"/>
      <c r="L19" s="233"/>
      <c r="M19" s="232">
        <f t="shared" si="3"/>
        <v>0</v>
      </c>
      <c r="N19" s="233">
        <v>0</v>
      </c>
      <c r="O19" s="233"/>
      <c r="P19" s="233"/>
      <c r="Q19" s="233"/>
      <c r="R19" s="232">
        <f t="shared" si="5"/>
        <v>0</v>
      </c>
    </row>
    <row r="20" spans="1:18" s="6" customFormat="1" ht="24" hidden="1" customHeight="1">
      <c r="A20" s="134">
        <v>18139</v>
      </c>
      <c r="B20" s="108" t="s">
        <v>179</v>
      </c>
      <c r="C20" s="106"/>
      <c r="D20" s="106">
        <v>0</v>
      </c>
      <c r="E20" s="233"/>
      <c r="F20" s="233"/>
      <c r="G20" s="233"/>
      <c r="H20" s="232">
        <f t="shared" si="1"/>
        <v>0</v>
      </c>
      <c r="I20" s="233">
        <v>0</v>
      </c>
      <c r="J20" s="233"/>
      <c r="K20" s="233"/>
      <c r="L20" s="233"/>
      <c r="M20" s="232">
        <f t="shared" si="3"/>
        <v>0</v>
      </c>
      <c r="N20" s="233">
        <v>0</v>
      </c>
      <c r="O20" s="233"/>
      <c r="P20" s="233"/>
      <c r="Q20" s="233"/>
      <c r="R20" s="232">
        <f t="shared" si="5"/>
        <v>0</v>
      </c>
    </row>
    <row r="21" spans="1:18" s="6" customFormat="1" ht="12" hidden="1" customHeight="1">
      <c r="A21" s="135" t="s">
        <v>180</v>
      </c>
      <c r="B21" s="109" t="s">
        <v>173</v>
      </c>
      <c r="C21" s="194">
        <v>0</v>
      </c>
      <c r="D21" s="194">
        <v>0</v>
      </c>
      <c r="E21" s="238">
        <f t="shared" ref="E21:L21" si="14">E22</f>
        <v>0</v>
      </c>
      <c r="F21" s="238">
        <f t="shared" si="14"/>
        <v>0</v>
      </c>
      <c r="G21" s="238">
        <f t="shared" si="14"/>
        <v>0</v>
      </c>
      <c r="H21" s="232">
        <f t="shared" si="1"/>
        <v>0</v>
      </c>
      <c r="I21" s="238">
        <v>0</v>
      </c>
      <c r="J21" s="238">
        <f t="shared" si="14"/>
        <v>0</v>
      </c>
      <c r="K21" s="238">
        <f t="shared" si="14"/>
        <v>0</v>
      </c>
      <c r="L21" s="238">
        <f t="shared" si="14"/>
        <v>0</v>
      </c>
      <c r="M21" s="232">
        <f t="shared" si="3"/>
        <v>0</v>
      </c>
      <c r="N21" s="238">
        <v>0</v>
      </c>
      <c r="O21" s="238">
        <f t="shared" ref="O21:Q21" si="15">O22</f>
        <v>0</v>
      </c>
      <c r="P21" s="238">
        <f t="shared" si="15"/>
        <v>0</v>
      </c>
      <c r="Q21" s="238">
        <f t="shared" si="15"/>
        <v>0</v>
      </c>
      <c r="R21" s="232">
        <f t="shared" si="5"/>
        <v>0</v>
      </c>
    </row>
    <row r="22" spans="1:18" s="6" customFormat="1" ht="12" hidden="1" customHeight="1">
      <c r="A22" s="135">
        <v>19500</v>
      </c>
      <c r="B22" s="108" t="s">
        <v>174</v>
      </c>
      <c r="C22" s="106">
        <v>0</v>
      </c>
      <c r="D22" s="106">
        <v>0</v>
      </c>
      <c r="E22" s="233">
        <f>SUM(E23:E25)</f>
        <v>0</v>
      </c>
      <c r="F22" s="233">
        <f t="shared" ref="F22:G22" si="16">SUM(F23:F25)</f>
        <v>0</v>
      </c>
      <c r="G22" s="233">
        <f t="shared" si="16"/>
        <v>0</v>
      </c>
      <c r="H22" s="232">
        <f t="shared" si="1"/>
        <v>0</v>
      </c>
      <c r="I22" s="233">
        <v>0</v>
      </c>
      <c r="J22" s="233">
        <f>SUM(J23:J25)</f>
        <v>0</v>
      </c>
      <c r="K22" s="233">
        <f t="shared" ref="K22:L22" si="17">SUM(K23:K25)</f>
        <v>0</v>
      </c>
      <c r="L22" s="233">
        <f t="shared" si="17"/>
        <v>0</v>
      </c>
      <c r="M22" s="232">
        <f t="shared" si="3"/>
        <v>0</v>
      </c>
      <c r="N22" s="233">
        <v>0</v>
      </c>
      <c r="O22" s="233">
        <f>SUM(O23:O25)</f>
        <v>0</v>
      </c>
      <c r="P22" s="233">
        <f t="shared" ref="P22:Q22" si="18">SUM(P23:P25)</f>
        <v>0</v>
      </c>
      <c r="Q22" s="233">
        <f t="shared" si="18"/>
        <v>0</v>
      </c>
      <c r="R22" s="232">
        <f t="shared" si="5"/>
        <v>0</v>
      </c>
    </row>
    <row r="23" spans="1:18" s="6" customFormat="1" ht="24" hidden="1" customHeight="1">
      <c r="A23" s="136">
        <v>19550</v>
      </c>
      <c r="B23" s="108" t="s">
        <v>175</v>
      </c>
      <c r="C23" s="106"/>
      <c r="D23" s="106">
        <v>0</v>
      </c>
      <c r="E23" s="233"/>
      <c r="F23" s="233"/>
      <c r="G23" s="233"/>
      <c r="H23" s="232">
        <f t="shared" si="1"/>
        <v>0</v>
      </c>
      <c r="I23" s="233">
        <v>0</v>
      </c>
      <c r="J23" s="233"/>
      <c r="K23" s="233"/>
      <c r="L23" s="233"/>
      <c r="M23" s="232">
        <f t="shared" si="3"/>
        <v>0</v>
      </c>
      <c r="N23" s="233">
        <v>0</v>
      </c>
      <c r="O23" s="233"/>
      <c r="P23" s="233"/>
      <c r="Q23" s="233"/>
      <c r="R23" s="232">
        <f t="shared" si="5"/>
        <v>0</v>
      </c>
    </row>
    <row r="24" spans="1:18" s="6" customFormat="1" ht="36" hidden="1" customHeight="1">
      <c r="A24" s="136">
        <v>19560</v>
      </c>
      <c r="B24" s="108" t="s">
        <v>181</v>
      </c>
      <c r="C24" s="106"/>
      <c r="D24" s="106">
        <v>0</v>
      </c>
      <c r="E24" s="233"/>
      <c r="F24" s="233"/>
      <c r="G24" s="233"/>
      <c r="H24" s="232">
        <f t="shared" si="1"/>
        <v>0</v>
      </c>
      <c r="I24" s="233">
        <v>0</v>
      </c>
      <c r="J24" s="233"/>
      <c r="K24" s="233"/>
      <c r="L24" s="233"/>
      <c r="M24" s="232">
        <f t="shared" si="3"/>
        <v>0</v>
      </c>
      <c r="N24" s="233">
        <v>0</v>
      </c>
      <c r="O24" s="233"/>
      <c r="P24" s="233"/>
      <c r="Q24" s="233"/>
      <c r="R24" s="232">
        <f t="shared" si="5"/>
        <v>0</v>
      </c>
    </row>
    <row r="25" spans="1:18" s="6" customFormat="1" ht="60" hidden="1" customHeight="1">
      <c r="A25" s="136">
        <v>19570</v>
      </c>
      <c r="B25" s="108" t="s">
        <v>182</v>
      </c>
      <c r="C25" s="106"/>
      <c r="D25" s="106">
        <v>0</v>
      </c>
      <c r="E25" s="233"/>
      <c r="F25" s="233"/>
      <c r="G25" s="233"/>
      <c r="H25" s="232">
        <f t="shared" si="1"/>
        <v>0</v>
      </c>
      <c r="I25" s="233">
        <v>0</v>
      </c>
      <c r="J25" s="233"/>
      <c r="K25" s="233"/>
      <c r="L25" s="233"/>
      <c r="M25" s="232">
        <f t="shared" si="3"/>
        <v>0</v>
      </c>
      <c r="N25" s="233">
        <v>0</v>
      </c>
      <c r="O25" s="233"/>
      <c r="P25" s="233"/>
      <c r="Q25" s="233"/>
      <c r="R25" s="232">
        <f t="shared" si="5"/>
        <v>0</v>
      </c>
    </row>
    <row r="26" spans="1:18" s="6" customFormat="1" ht="24" hidden="1" customHeight="1">
      <c r="A26" s="209" t="s">
        <v>222</v>
      </c>
      <c r="B26" s="208" t="s">
        <v>216</v>
      </c>
      <c r="C26" s="106">
        <f>C27</f>
        <v>0</v>
      </c>
      <c r="D26" s="106">
        <v>0</v>
      </c>
      <c r="E26" s="232">
        <f t="shared" ref="E26:L26" si="19">E27</f>
        <v>0</v>
      </c>
      <c r="F26" s="232">
        <f t="shared" si="19"/>
        <v>0</v>
      </c>
      <c r="G26" s="232">
        <f t="shared" si="19"/>
        <v>0</v>
      </c>
      <c r="H26" s="232">
        <f t="shared" si="1"/>
        <v>0</v>
      </c>
      <c r="I26" s="233">
        <v>0</v>
      </c>
      <c r="J26" s="232">
        <f t="shared" si="19"/>
        <v>0</v>
      </c>
      <c r="K26" s="232">
        <f t="shared" si="19"/>
        <v>0</v>
      </c>
      <c r="L26" s="232">
        <f t="shared" si="19"/>
        <v>0</v>
      </c>
      <c r="M26" s="232">
        <f t="shared" si="3"/>
        <v>0</v>
      </c>
      <c r="N26" s="233">
        <v>0</v>
      </c>
      <c r="O26" s="232">
        <f t="shared" ref="O26:Q26" si="20">O27</f>
        <v>0</v>
      </c>
      <c r="P26" s="232">
        <f t="shared" si="20"/>
        <v>0</v>
      </c>
      <c r="Q26" s="232">
        <f t="shared" si="20"/>
        <v>0</v>
      </c>
      <c r="R26" s="232">
        <f t="shared" si="5"/>
        <v>0</v>
      </c>
    </row>
    <row r="27" spans="1:18" s="6" customFormat="1" ht="36" hidden="1" customHeight="1">
      <c r="A27" s="209">
        <v>17100</v>
      </c>
      <c r="B27" s="208" t="s">
        <v>217</v>
      </c>
      <c r="C27" s="106">
        <f>SUM(C28:C31)</f>
        <v>0</v>
      </c>
      <c r="D27" s="106">
        <v>0</v>
      </c>
      <c r="E27" s="232">
        <f t="shared" ref="E27:G27" si="21">SUM(E28:E31)</f>
        <v>0</v>
      </c>
      <c r="F27" s="232">
        <f t="shared" ref="F27" si="22">SUM(F28:F31)</f>
        <v>0</v>
      </c>
      <c r="G27" s="232">
        <f t="shared" si="21"/>
        <v>0</v>
      </c>
      <c r="H27" s="232">
        <f t="shared" si="1"/>
        <v>0</v>
      </c>
      <c r="I27" s="233">
        <v>0</v>
      </c>
      <c r="J27" s="232">
        <f t="shared" ref="J27:L27" si="23">SUM(J28:J31)</f>
        <v>0</v>
      </c>
      <c r="K27" s="232">
        <f t="shared" ref="K27" si="24">SUM(K28:K31)</f>
        <v>0</v>
      </c>
      <c r="L27" s="232">
        <f t="shared" si="23"/>
        <v>0</v>
      </c>
      <c r="M27" s="232">
        <f t="shared" si="3"/>
        <v>0</v>
      </c>
      <c r="N27" s="233">
        <v>0</v>
      </c>
      <c r="O27" s="232">
        <f t="shared" ref="O27:Q27" si="25">SUM(O28:O31)</f>
        <v>0</v>
      </c>
      <c r="P27" s="232">
        <f t="shared" ref="P27" si="26">SUM(P28:P31)</f>
        <v>0</v>
      </c>
      <c r="Q27" s="232">
        <f t="shared" si="25"/>
        <v>0</v>
      </c>
      <c r="R27" s="232">
        <f t="shared" si="5"/>
        <v>0</v>
      </c>
    </row>
    <row r="28" spans="1:18" s="6" customFormat="1" ht="48" hidden="1" customHeight="1">
      <c r="A28" s="149">
        <v>17110</v>
      </c>
      <c r="B28" s="208" t="s">
        <v>218</v>
      </c>
      <c r="C28" s="106"/>
      <c r="D28" s="106">
        <v>0</v>
      </c>
      <c r="E28" s="233"/>
      <c r="F28" s="233"/>
      <c r="G28" s="233"/>
      <c r="H28" s="232">
        <f t="shared" si="1"/>
        <v>0</v>
      </c>
      <c r="I28" s="233">
        <v>0</v>
      </c>
      <c r="J28" s="233"/>
      <c r="K28" s="233"/>
      <c r="L28" s="233"/>
      <c r="M28" s="232">
        <f t="shared" si="3"/>
        <v>0</v>
      </c>
      <c r="N28" s="233">
        <v>0</v>
      </c>
      <c r="O28" s="233"/>
      <c r="P28" s="233"/>
      <c r="Q28" s="233"/>
      <c r="R28" s="232">
        <f t="shared" si="5"/>
        <v>0</v>
      </c>
    </row>
    <row r="29" spans="1:18" s="6" customFormat="1" ht="48" hidden="1" customHeight="1">
      <c r="A29" s="149">
        <v>17120</v>
      </c>
      <c r="B29" s="208" t="s">
        <v>219</v>
      </c>
      <c r="C29" s="106"/>
      <c r="D29" s="106">
        <v>0</v>
      </c>
      <c r="E29" s="233"/>
      <c r="F29" s="233"/>
      <c r="G29" s="233"/>
      <c r="H29" s="232">
        <f t="shared" si="1"/>
        <v>0</v>
      </c>
      <c r="I29" s="233">
        <v>0</v>
      </c>
      <c r="J29" s="233"/>
      <c r="K29" s="233"/>
      <c r="L29" s="233"/>
      <c r="M29" s="232">
        <f t="shared" si="3"/>
        <v>0</v>
      </c>
      <c r="N29" s="233">
        <v>0</v>
      </c>
      <c r="O29" s="233"/>
      <c r="P29" s="233"/>
      <c r="Q29" s="233"/>
      <c r="R29" s="232">
        <f t="shared" si="5"/>
        <v>0</v>
      </c>
    </row>
    <row r="30" spans="1:18" s="6" customFormat="1" ht="96" hidden="1" customHeight="1">
      <c r="A30" s="149">
        <v>17130</v>
      </c>
      <c r="B30" s="208" t="s">
        <v>220</v>
      </c>
      <c r="C30" s="106"/>
      <c r="D30" s="106">
        <v>0</v>
      </c>
      <c r="E30" s="233"/>
      <c r="F30" s="233"/>
      <c r="G30" s="233"/>
      <c r="H30" s="232">
        <f t="shared" si="1"/>
        <v>0</v>
      </c>
      <c r="I30" s="233">
        <v>0</v>
      </c>
      <c r="J30" s="233"/>
      <c r="K30" s="233"/>
      <c r="L30" s="233"/>
      <c r="M30" s="232">
        <f t="shared" si="3"/>
        <v>0</v>
      </c>
      <c r="N30" s="233">
        <v>0</v>
      </c>
      <c r="O30" s="233"/>
      <c r="P30" s="233"/>
      <c r="Q30" s="233"/>
      <c r="R30" s="232">
        <f t="shared" si="5"/>
        <v>0</v>
      </c>
    </row>
    <row r="31" spans="1:18" s="6" customFormat="1" ht="96" hidden="1" customHeight="1">
      <c r="A31" s="149">
        <v>17140</v>
      </c>
      <c r="B31" s="208" t="s">
        <v>221</v>
      </c>
      <c r="C31" s="106"/>
      <c r="D31" s="106">
        <v>0</v>
      </c>
      <c r="E31" s="233"/>
      <c r="F31" s="233"/>
      <c r="G31" s="233"/>
      <c r="H31" s="232">
        <f t="shared" si="1"/>
        <v>0</v>
      </c>
      <c r="I31" s="233">
        <v>0</v>
      </c>
      <c r="J31" s="233"/>
      <c r="K31" s="233"/>
      <c r="L31" s="233"/>
      <c r="M31" s="232">
        <f t="shared" si="3"/>
        <v>0</v>
      </c>
      <c r="N31" s="233">
        <v>0</v>
      </c>
      <c r="O31" s="233"/>
      <c r="P31" s="233"/>
      <c r="Q31" s="233"/>
      <c r="R31" s="232">
        <f t="shared" si="5"/>
        <v>0</v>
      </c>
    </row>
    <row r="32" spans="1:18" s="6" customFormat="1" ht="12">
      <c r="A32" s="137">
        <v>21700</v>
      </c>
      <c r="B32" s="100" t="s">
        <v>97</v>
      </c>
      <c r="C32" s="106">
        <v>11172228</v>
      </c>
      <c r="D32" s="106">
        <v>11172228</v>
      </c>
      <c r="E32" s="233">
        <f>E33+E34</f>
        <v>0</v>
      </c>
      <c r="F32" s="233">
        <f t="shared" ref="F32:G32" si="27">F33+F34</f>
        <v>0</v>
      </c>
      <c r="G32" s="233">
        <f t="shared" si="27"/>
        <v>0</v>
      </c>
      <c r="H32" s="232">
        <f t="shared" si="1"/>
        <v>11172228</v>
      </c>
      <c r="I32" s="233">
        <v>11438401</v>
      </c>
      <c r="J32" s="233">
        <f>J33+J34</f>
        <v>0</v>
      </c>
      <c r="K32" s="233">
        <f t="shared" ref="K32:L32" si="28">K33+K34</f>
        <v>0</v>
      </c>
      <c r="L32" s="233">
        <f t="shared" si="28"/>
        <v>0</v>
      </c>
      <c r="M32" s="232">
        <f t="shared" si="3"/>
        <v>11438401</v>
      </c>
      <c r="N32" s="233">
        <v>11172228</v>
      </c>
      <c r="O32" s="233">
        <f>O33+O34</f>
        <v>0</v>
      </c>
      <c r="P32" s="233">
        <f t="shared" ref="P32:Q32" si="29">P33+P34</f>
        <v>0</v>
      </c>
      <c r="Q32" s="233">
        <f t="shared" si="29"/>
        <v>0</v>
      </c>
      <c r="R32" s="232">
        <f t="shared" si="5"/>
        <v>11172228</v>
      </c>
    </row>
    <row r="33" spans="1:18" s="6" customFormat="1" ht="24">
      <c r="A33" s="138">
        <v>21710</v>
      </c>
      <c r="B33" s="101" t="s">
        <v>98</v>
      </c>
      <c r="C33" s="106">
        <v>11172228</v>
      </c>
      <c r="D33" s="106">
        <v>11172228</v>
      </c>
      <c r="E33" s="233"/>
      <c r="F33" s="233"/>
      <c r="G33" s="233"/>
      <c r="H33" s="232">
        <f t="shared" si="1"/>
        <v>11172228</v>
      </c>
      <c r="I33" s="233">
        <v>11438401</v>
      </c>
      <c r="J33" s="233"/>
      <c r="K33" s="233"/>
      <c r="L33" s="233"/>
      <c r="M33" s="232">
        <f t="shared" si="3"/>
        <v>11438401</v>
      </c>
      <c r="N33" s="233">
        <v>11172228</v>
      </c>
      <c r="O33" s="233"/>
      <c r="P33" s="233"/>
      <c r="Q33" s="233"/>
      <c r="R33" s="232">
        <f t="shared" si="5"/>
        <v>11172228</v>
      </c>
    </row>
    <row r="34" spans="1:18" s="6" customFormat="1" ht="24" hidden="1" customHeight="1">
      <c r="A34" s="138">
        <v>21720</v>
      </c>
      <c r="B34" s="101" t="s">
        <v>99</v>
      </c>
      <c r="C34" s="106"/>
      <c r="D34" s="106">
        <v>0</v>
      </c>
      <c r="E34" s="233"/>
      <c r="F34" s="233"/>
      <c r="G34" s="233"/>
      <c r="H34" s="232">
        <f t="shared" si="1"/>
        <v>0</v>
      </c>
      <c r="I34" s="233">
        <v>0</v>
      </c>
      <c r="J34" s="233"/>
      <c r="K34" s="233"/>
      <c r="L34" s="233"/>
      <c r="M34" s="232">
        <f t="shared" si="3"/>
        <v>0</v>
      </c>
      <c r="N34" s="233">
        <v>0</v>
      </c>
      <c r="O34" s="233"/>
      <c r="P34" s="233"/>
      <c r="Q34" s="233"/>
      <c r="R34" s="232">
        <f t="shared" si="5"/>
        <v>0</v>
      </c>
    </row>
    <row r="35" spans="1:18" s="6" customFormat="1" ht="11.4">
      <c r="A35" s="129" t="s">
        <v>100</v>
      </c>
      <c r="B35" s="99" t="s">
        <v>101</v>
      </c>
      <c r="C35" s="104">
        <v>11462228</v>
      </c>
      <c r="D35" s="104">
        <v>11462228</v>
      </c>
      <c r="E35" s="243">
        <f t="shared" ref="E35:G35" si="30">E36+E63</f>
        <v>0</v>
      </c>
      <c r="F35" s="243">
        <f t="shared" ref="F35" si="31">F36+F63</f>
        <v>0</v>
      </c>
      <c r="G35" s="243">
        <f t="shared" si="30"/>
        <v>0</v>
      </c>
      <c r="H35" s="229">
        <f t="shared" si="1"/>
        <v>11462228</v>
      </c>
      <c r="I35" s="243">
        <v>11728401</v>
      </c>
      <c r="J35" s="243">
        <f t="shared" ref="J35:L35" si="32">J36+J63</f>
        <v>0</v>
      </c>
      <c r="K35" s="243">
        <f t="shared" ref="K35" si="33">K36+K63</f>
        <v>0</v>
      </c>
      <c r="L35" s="243">
        <f t="shared" si="32"/>
        <v>0</v>
      </c>
      <c r="M35" s="229">
        <f t="shared" si="3"/>
        <v>11728401</v>
      </c>
      <c r="N35" s="243">
        <v>11462228</v>
      </c>
      <c r="O35" s="243">
        <f t="shared" ref="O35:Q35" si="34">O36+O63</f>
        <v>0</v>
      </c>
      <c r="P35" s="243">
        <f t="shared" ref="P35" si="35">P36+P63</f>
        <v>0</v>
      </c>
      <c r="Q35" s="243">
        <f t="shared" si="34"/>
        <v>0</v>
      </c>
      <c r="R35" s="229">
        <f t="shared" si="5"/>
        <v>11462228</v>
      </c>
    </row>
    <row r="36" spans="1:18" s="6" customFormat="1" ht="20.399999999999999">
      <c r="A36" s="130" t="s">
        <v>102</v>
      </c>
      <c r="B36" s="100" t="s">
        <v>103</v>
      </c>
      <c r="C36" s="106">
        <v>11196259</v>
      </c>
      <c r="D36" s="106">
        <v>11196259</v>
      </c>
      <c r="E36" s="233">
        <f>E37+E41+E42+E45+E48</f>
        <v>0</v>
      </c>
      <c r="F36" s="233">
        <f t="shared" ref="F36:G36" si="36">F37+F41+F42+F45+F48</f>
        <v>0</v>
      </c>
      <c r="G36" s="233">
        <f t="shared" si="36"/>
        <v>0</v>
      </c>
      <c r="H36" s="232">
        <f t="shared" si="1"/>
        <v>11196259</v>
      </c>
      <c r="I36" s="233">
        <v>11462432</v>
      </c>
      <c r="J36" s="233">
        <f>J37+J41+J42+J45+J48</f>
        <v>0</v>
      </c>
      <c r="K36" s="233">
        <f t="shared" ref="K36:L36" si="37">K37+K41+K42+K45+K48</f>
        <v>0</v>
      </c>
      <c r="L36" s="233">
        <f t="shared" si="37"/>
        <v>0</v>
      </c>
      <c r="M36" s="232">
        <f t="shared" si="3"/>
        <v>11462432</v>
      </c>
      <c r="N36" s="233">
        <v>11196259</v>
      </c>
      <c r="O36" s="233">
        <f>O37+O41+O42+O45+O48</f>
        <v>0</v>
      </c>
      <c r="P36" s="233">
        <f t="shared" ref="P36:Q36" si="38">P37+P41+P42+P45+P48</f>
        <v>0</v>
      </c>
      <c r="Q36" s="233">
        <f t="shared" si="38"/>
        <v>0</v>
      </c>
      <c r="R36" s="232">
        <f t="shared" si="5"/>
        <v>11196259</v>
      </c>
    </row>
    <row r="37" spans="1:18" s="6" customFormat="1" ht="12">
      <c r="A37" s="130" t="s">
        <v>104</v>
      </c>
      <c r="B37" s="100" t="s">
        <v>105</v>
      </c>
      <c r="C37" s="106">
        <v>11095209</v>
      </c>
      <c r="D37" s="106">
        <v>11095209</v>
      </c>
      <c r="E37" s="233">
        <f>E38+E40</f>
        <v>0</v>
      </c>
      <c r="F37" s="233">
        <f t="shared" ref="F37:G37" si="39">F38+F40</f>
        <v>0</v>
      </c>
      <c r="G37" s="233">
        <f t="shared" si="39"/>
        <v>0</v>
      </c>
      <c r="H37" s="232">
        <f t="shared" si="1"/>
        <v>11095209</v>
      </c>
      <c r="I37" s="233">
        <v>11361382</v>
      </c>
      <c r="J37" s="233">
        <f>J38+J40</f>
        <v>0</v>
      </c>
      <c r="K37" s="233">
        <f t="shared" ref="K37:L37" si="40">K38+K40</f>
        <v>0</v>
      </c>
      <c r="L37" s="233">
        <f t="shared" si="40"/>
        <v>0</v>
      </c>
      <c r="M37" s="232">
        <f t="shared" si="3"/>
        <v>11361382</v>
      </c>
      <c r="N37" s="233">
        <v>11095209</v>
      </c>
      <c r="O37" s="233">
        <f>O38+O40</f>
        <v>0</v>
      </c>
      <c r="P37" s="233">
        <f t="shared" ref="P37:Q37" si="41">P38+P40</f>
        <v>0</v>
      </c>
      <c r="Q37" s="233">
        <f t="shared" si="41"/>
        <v>0</v>
      </c>
      <c r="R37" s="232">
        <f t="shared" si="5"/>
        <v>11095209</v>
      </c>
    </row>
    <row r="38" spans="1:18" s="6" customFormat="1" ht="12">
      <c r="A38" s="132">
        <v>1000</v>
      </c>
      <c r="B38" s="101" t="s">
        <v>106</v>
      </c>
      <c r="C38" s="106">
        <v>9115575</v>
      </c>
      <c r="D38" s="106">
        <v>9115575</v>
      </c>
      <c r="E38" s="244"/>
      <c r="F38" s="244"/>
      <c r="G38" s="244"/>
      <c r="H38" s="232">
        <f t="shared" si="1"/>
        <v>9115575</v>
      </c>
      <c r="I38" s="233">
        <v>9381748</v>
      </c>
      <c r="J38" s="244"/>
      <c r="K38" s="244"/>
      <c r="L38" s="244"/>
      <c r="M38" s="232">
        <f t="shared" si="3"/>
        <v>9381748</v>
      </c>
      <c r="N38" s="233">
        <v>9115575</v>
      </c>
      <c r="O38" s="244"/>
      <c r="P38" s="244"/>
      <c r="Q38" s="244"/>
      <c r="R38" s="232">
        <f t="shared" si="5"/>
        <v>9115575</v>
      </c>
    </row>
    <row r="39" spans="1:18" s="6" customFormat="1" ht="12">
      <c r="A39" s="139">
        <v>1100</v>
      </c>
      <c r="B39" s="101" t="s">
        <v>107</v>
      </c>
      <c r="C39" s="106">
        <v>6903011</v>
      </c>
      <c r="D39" s="106">
        <v>6903011</v>
      </c>
      <c r="E39" s="244"/>
      <c r="F39" s="244"/>
      <c r="G39" s="244"/>
      <c r="H39" s="232">
        <f t="shared" si="1"/>
        <v>6903011</v>
      </c>
      <c r="I39" s="233">
        <v>6903011</v>
      </c>
      <c r="J39" s="244"/>
      <c r="K39" s="244"/>
      <c r="L39" s="244"/>
      <c r="M39" s="232">
        <f t="shared" si="3"/>
        <v>6903011</v>
      </c>
      <c r="N39" s="233">
        <v>6903011</v>
      </c>
      <c r="O39" s="244"/>
      <c r="P39" s="244"/>
      <c r="Q39" s="244"/>
      <c r="R39" s="232">
        <f t="shared" si="5"/>
        <v>6903011</v>
      </c>
    </row>
    <row r="40" spans="1:18" s="6" customFormat="1" ht="12">
      <c r="A40" s="132">
        <v>2000</v>
      </c>
      <c r="B40" s="101" t="s">
        <v>108</v>
      </c>
      <c r="C40" s="106">
        <v>1979634</v>
      </c>
      <c r="D40" s="106">
        <v>1979634</v>
      </c>
      <c r="E40" s="244"/>
      <c r="F40" s="244"/>
      <c r="G40" s="244"/>
      <c r="H40" s="232">
        <f t="shared" si="1"/>
        <v>1979634</v>
      </c>
      <c r="I40" s="233">
        <v>1979634</v>
      </c>
      <c r="J40" s="244"/>
      <c r="K40" s="244"/>
      <c r="L40" s="244"/>
      <c r="M40" s="232">
        <f t="shared" si="3"/>
        <v>1979634</v>
      </c>
      <c r="N40" s="233">
        <v>1979634</v>
      </c>
      <c r="O40" s="244"/>
      <c r="P40" s="244"/>
      <c r="Q40" s="244"/>
      <c r="R40" s="232">
        <f t="shared" si="5"/>
        <v>1979634</v>
      </c>
    </row>
    <row r="41" spans="1:18" s="6" customFormat="1" ht="12" hidden="1" customHeight="1">
      <c r="A41" s="140">
        <v>4000</v>
      </c>
      <c r="B41" s="100" t="s">
        <v>132</v>
      </c>
      <c r="C41" s="106"/>
      <c r="D41" s="106">
        <v>0</v>
      </c>
      <c r="E41" s="244"/>
      <c r="F41" s="244"/>
      <c r="G41" s="244"/>
      <c r="H41" s="232">
        <f t="shared" si="1"/>
        <v>0</v>
      </c>
      <c r="I41" s="233">
        <v>0</v>
      </c>
      <c r="J41" s="244"/>
      <c r="K41" s="244"/>
      <c r="L41" s="244"/>
      <c r="M41" s="232">
        <f t="shared" si="3"/>
        <v>0</v>
      </c>
      <c r="N41" s="233">
        <v>0</v>
      </c>
      <c r="O41" s="244"/>
      <c r="P41" s="244"/>
      <c r="Q41" s="244"/>
      <c r="R41" s="232">
        <f t="shared" si="5"/>
        <v>0</v>
      </c>
    </row>
    <row r="42" spans="1:18" s="6" customFormat="1" ht="12" hidden="1" customHeight="1">
      <c r="A42" s="140" t="s">
        <v>109</v>
      </c>
      <c r="B42" s="100" t="s">
        <v>110</v>
      </c>
      <c r="C42" s="106">
        <v>0</v>
      </c>
      <c r="D42" s="106">
        <v>0</v>
      </c>
      <c r="E42" s="233">
        <f>E43+E44</f>
        <v>0</v>
      </c>
      <c r="F42" s="233">
        <f t="shared" ref="F42:G42" si="42">F43+F44</f>
        <v>0</v>
      </c>
      <c r="G42" s="233">
        <f t="shared" si="42"/>
        <v>0</v>
      </c>
      <c r="H42" s="232">
        <f t="shared" si="1"/>
        <v>0</v>
      </c>
      <c r="I42" s="233">
        <v>0</v>
      </c>
      <c r="J42" s="233">
        <f>J43+J44</f>
        <v>0</v>
      </c>
      <c r="K42" s="233">
        <f t="shared" ref="K42:L42" si="43">K43+K44</f>
        <v>0</v>
      </c>
      <c r="L42" s="233">
        <f t="shared" si="43"/>
        <v>0</v>
      </c>
      <c r="M42" s="232">
        <f t="shared" si="3"/>
        <v>0</v>
      </c>
      <c r="N42" s="233">
        <v>0</v>
      </c>
      <c r="O42" s="233">
        <f>O43+O44</f>
        <v>0</v>
      </c>
      <c r="P42" s="233">
        <f t="shared" ref="P42:Q42" si="44">P43+P44</f>
        <v>0</v>
      </c>
      <c r="Q42" s="233">
        <f t="shared" si="44"/>
        <v>0</v>
      </c>
      <c r="R42" s="232">
        <f t="shared" si="5"/>
        <v>0</v>
      </c>
    </row>
    <row r="43" spans="1:18" s="6" customFormat="1" ht="12" hidden="1" customHeight="1">
      <c r="A43" s="132">
        <v>3000</v>
      </c>
      <c r="B43" s="101" t="s">
        <v>111</v>
      </c>
      <c r="C43" s="195"/>
      <c r="D43" s="195">
        <v>0</v>
      </c>
      <c r="E43" s="246"/>
      <c r="F43" s="246"/>
      <c r="G43" s="246"/>
      <c r="H43" s="232">
        <f t="shared" si="1"/>
        <v>0</v>
      </c>
      <c r="I43" s="345">
        <v>0</v>
      </c>
      <c r="J43" s="246"/>
      <c r="K43" s="246"/>
      <c r="L43" s="246"/>
      <c r="M43" s="232">
        <f t="shared" si="3"/>
        <v>0</v>
      </c>
      <c r="N43" s="345">
        <v>0</v>
      </c>
      <c r="O43" s="246"/>
      <c r="P43" s="246"/>
      <c r="Q43" s="246"/>
      <c r="R43" s="232">
        <f t="shared" si="5"/>
        <v>0</v>
      </c>
    </row>
    <row r="44" spans="1:18" s="6" customFormat="1" ht="12" hidden="1" customHeight="1">
      <c r="A44" s="132">
        <v>6000</v>
      </c>
      <c r="B44" s="101" t="s">
        <v>112</v>
      </c>
      <c r="C44" s="196"/>
      <c r="D44" s="196">
        <v>0</v>
      </c>
      <c r="E44" s="248"/>
      <c r="F44" s="248"/>
      <c r="G44" s="248"/>
      <c r="H44" s="232">
        <f t="shared" si="1"/>
        <v>0</v>
      </c>
      <c r="I44" s="346">
        <v>0</v>
      </c>
      <c r="J44" s="248"/>
      <c r="K44" s="248"/>
      <c r="L44" s="248"/>
      <c r="M44" s="232">
        <f t="shared" si="3"/>
        <v>0</v>
      </c>
      <c r="N44" s="346">
        <v>0</v>
      </c>
      <c r="O44" s="248"/>
      <c r="P44" s="248"/>
      <c r="Q44" s="248"/>
      <c r="R44" s="232">
        <f t="shared" si="5"/>
        <v>0</v>
      </c>
    </row>
    <row r="45" spans="1:18" s="6" customFormat="1" ht="22.8">
      <c r="A45" s="140" t="s">
        <v>113</v>
      </c>
      <c r="B45" s="100" t="s">
        <v>183</v>
      </c>
      <c r="C45" s="106">
        <v>101050</v>
      </c>
      <c r="D45" s="106">
        <v>101050</v>
      </c>
      <c r="E45" s="233">
        <f>E46+E47</f>
        <v>0</v>
      </c>
      <c r="F45" s="233">
        <f t="shared" ref="F45:G45" si="45">F46+F47</f>
        <v>0</v>
      </c>
      <c r="G45" s="233">
        <f t="shared" si="45"/>
        <v>0</v>
      </c>
      <c r="H45" s="232">
        <f t="shared" si="1"/>
        <v>101050</v>
      </c>
      <c r="I45" s="233">
        <v>101050</v>
      </c>
      <c r="J45" s="233">
        <f>J46+J47</f>
        <v>0</v>
      </c>
      <c r="K45" s="233">
        <f t="shared" ref="K45:L45" si="46">K46+K47</f>
        <v>0</v>
      </c>
      <c r="L45" s="233">
        <f t="shared" si="46"/>
        <v>0</v>
      </c>
      <c r="M45" s="232">
        <f t="shared" si="3"/>
        <v>101050</v>
      </c>
      <c r="N45" s="233">
        <v>101050</v>
      </c>
      <c r="O45" s="233">
        <f>O46+O47</f>
        <v>0</v>
      </c>
      <c r="P45" s="233">
        <f t="shared" ref="P45:Q45" si="47">P46+P47</f>
        <v>0</v>
      </c>
      <c r="Q45" s="233">
        <f t="shared" si="47"/>
        <v>0</v>
      </c>
      <c r="R45" s="232">
        <f t="shared" si="5"/>
        <v>101050</v>
      </c>
    </row>
    <row r="46" spans="1:18" s="6" customFormat="1" ht="12" hidden="1" customHeight="1">
      <c r="A46" s="132">
        <v>7600</v>
      </c>
      <c r="B46" s="112" t="s">
        <v>184</v>
      </c>
      <c r="C46" s="106"/>
      <c r="D46" s="106">
        <v>0</v>
      </c>
      <c r="E46" s="244"/>
      <c r="F46" s="244"/>
      <c r="G46" s="244"/>
      <c r="H46" s="232">
        <f t="shared" si="1"/>
        <v>0</v>
      </c>
      <c r="I46" s="233">
        <v>0</v>
      </c>
      <c r="J46" s="244"/>
      <c r="K46" s="244"/>
      <c r="L46" s="244"/>
      <c r="M46" s="232">
        <f t="shared" si="3"/>
        <v>0</v>
      </c>
      <c r="N46" s="233">
        <v>0</v>
      </c>
      <c r="O46" s="244"/>
      <c r="P46" s="244"/>
      <c r="Q46" s="244"/>
      <c r="R46" s="232">
        <f t="shared" si="5"/>
        <v>0</v>
      </c>
    </row>
    <row r="47" spans="1:18" s="6" customFormat="1" ht="12">
      <c r="A47" s="132">
        <v>7700</v>
      </c>
      <c r="B47" s="102" t="s">
        <v>114</v>
      </c>
      <c r="C47" s="106">
        <v>101050</v>
      </c>
      <c r="D47" s="106">
        <v>101050</v>
      </c>
      <c r="E47" s="244"/>
      <c r="F47" s="244"/>
      <c r="G47" s="244"/>
      <c r="H47" s="232">
        <f t="shared" si="1"/>
        <v>101050</v>
      </c>
      <c r="I47" s="233">
        <v>101050</v>
      </c>
      <c r="J47" s="244"/>
      <c r="K47" s="244"/>
      <c r="L47" s="244"/>
      <c r="M47" s="232">
        <f t="shared" si="3"/>
        <v>101050</v>
      </c>
      <c r="N47" s="233">
        <v>101050</v>
      </c>
      <c r="O47" s="244"/>
      <c r="P47" s="244"/>
      <c r="Q47" s="244"/>
      <c r="R47" s="232">
        <f t="shared" si="5"/>
        <v>101050</v>
      </c>
    </row>
    <row r="48" spans="1:18" s="6" customFormat="1" ht="21" hidden="1" customHeight="1">
      <c r="A48" s="140" t="s">
        <v>185</v>
      </c>
      <c r="B48" s="100" t="s">
        <v>115</v>
      </c>
      <c r="C48" s="106">
        <v>0</v>
      </c>
      <c r="D48" s="106">
        <v>0</v>
      </c>
      <c r="E48" s="233">
        <f t="shared" ref="E48:G48" si="48">E49+E55+E59+E62</f>
        <v>0</v>
      </c>
      <c r="F48" s="233">
        <f t="shared" ref="F48" si="49">F49+F55+F59+F62</f>
        <v>0</v>
      </c>
      <c r="G48" s="233">
        <f t="shared" si="48"/>
        <v>0</v>
      </c>
      <c r="H48" s="232">
        <f t="shared" si="1"/>
        <v>0</v>
      </c>
      <c r="I48" s="233">
        <v>0</v>
      </c>
      <c r="J48" s="233">
        <f t="shared" ref="J48:L48" si="50">J49+J55+J59+J62</f>
        <v>0</v>
      </c>
      <c r="K48" s="233">
        <f t="shared" ref="K48" si="51">K49+K55+K59+K62</f>
        <v>0</v>
      </c>
      <c r="L48" s="233">
        <f t="shared" si="50"/>
        <v>0</v>
      </c>
      <c r="M48" s="232">
        <f t="shared" si="3"/>
        <v>0</v>
      </c>
      <c r="N48" s="233">
        <v>0</v>
      </c>
      <c r="O48" s="233">
        <f t="shared" ref="O48:Q48" si="52">O49+O55+O59+O62</f>
        <v>0</v>
      </c>
      <c r="P48" s="233">
        <f t="shared" ref="P48" si="53">P49+P55+P59+P62</f>
        <v>0</v>
      </c>
      <c r="Q48" s="233">
        <f t="shared" si="52"/>
        <v>0</v>
      </c>
      <c r="R48" s="232">
        <f t="shared" si="5"/>
        <v>0</v>
      </c>
    </row>
    <row r="49" spans="1:18" s="6" customFormat="1" ht="12" hidden="1" customHeight="1">
      <c r="A49" s="132">
        <v>7100</v>
      </c>
      <c r="B49" s="112" t="s">
        <v>116</v>
      </c>
      <c r="C49" s="106">
        <v>0</v>
      </c>
      <c r="D49" s="106">
        <v>0</v>
      </c>
      <c r="E49" s="233">
        <f>E50+E51</f>
        <v>0</v>
      </c>
      <c r="F49" s="233">
        <f t="shared" ref="F49:G49" si="54">F50+F51</f>
        <v>0</v>
      </c>
      <c r="G49" s="233">
        <f t="shared" si="54"/>
        <v>0</v>
      </c>
      <c r="H49" s="232">
        <f t="shared" si="1"/>
        <v>0</v>
      </c>
      <c r="I49" s="233">
        <v>0</v>
      </c>
      <c r="J49" s="233">
        <f>J50+J51</f>
        <v>0</v>
      </c>
      <c r="K49" s="233">
        <f t="shared" ref="K49:L49" si="55">K50+K51</f>
        <v>0</v>
      </c>
      <c r="L49" s="233">
        <f t="shared" si="55"/>
        <v>0</v>
      </c>
      <c r="M49" s="232">
        <f t="shared" si="3"/>
        <v>0</v>
      </c>
      <c r="N49" s="233">
        <v>0</v>
      </c>
      <c r="O49" s="233">
        <f>O50+O51</f>
        <v>0</v>
      </c>
      <c r="P49" s="233">
        <f t="shared" ref="P49:Q49" si="56">P50+P51</f>
        <v>0</v>
      </c>
      <c r="Q49" s="233">
        <f t="shared" si="56"/>
        <v>0</v>
      </c>
      <c r="R49" s="232">
        <f t="shared" si="5"/>
        <v>0</v>
      </c>
    </row>
    <row r="50" spans="1:18" s="6" customFormat="1" ht="24" hidden="1" customHeight="1">
      <c r="A50" s="133" t="s">
        <v>117</v>
      </c>
      <c r="B50" s="112" t="s">
        <v>118</v>
      </c>
      <c r="C50" s="106"/>
      <c r="D50" s="106">
        <v>0</v>
      </c>
      <c r="E50" s="233"/>
      <c r="F50" s="233"/>
      <c r="G50" s="233"/>
      <c r="H50" s="232">
        <f t="shared" si="1"/>
        <v>0</v>
      </c>
      <c r="I50" s="233">
        <v>0</v>
      </c>
      <c r="J50" s="233"/>
      <c r="K50" s="233"/>
      <c r="L50" s="233"/>
      <c r="M50" s="232">
        <f t="shared" si="3"/>
        <v>0</v>
      </c>
      <c r="N50" s="233">
        <v>0</v>
      </c>
      <c r="O50" s="233"/>
      <c r="P50" s="233"/>
      <c r="Q50" s="233"/>
      <c r="R50" s="232">
        <f t="shared" si="5"/>
        <v>0</v>
      </c>
    </row>
    <row r="51" spans="1:18" s="6" customFormat="1" ht="24" hidden="1" customHeight="1">
      <c r="A51" s="133">
        <v>7130</v>
      </c>
      <c r="B51" s="112" t="s">
        <v>119</v>
      </c>
      <c r="C51" s="106">
        <v>0</v>
      </c>
      <c r="D51" s="106">
        <v>0</v>
      </c>
      <c r="E51" s="233">
        <f>SUM(E52:E54)</f>
        <v>0</v>
      </c>
      <c r="F51" s="233">
        <f t="shared" ref="F51:G51" si="57">SUM(F52:F54)</f>
        <v>0</v>
      </c>
      <c r="G51" s="233">
        <f t="shared" si="57"/>
        <v>0</v>
      </c>
      <c r="H51" s="232">
        <f t="shared" si="1"/>
        <v>0</v>
      </c>
      <c r="I51" s="233">
        <v>0</v>
      </c>
      <c r="J51" s="233">
        <f>SUM(J52:J54)</f>
        <v>0</v>
      </c>
      <c r="K51" s="233">
        <f t="shared" ref="K51:L51" si="58">SUM(K52:K54)</f>
        <v>0</v>
      </c>
      <c r="L51" s="233">
        <f t="shared" si="58"/>
        <v>0</v>
      </c>
      <c r="M51" s="232">
        <f t="shared" si="3"/>
        <v>0</v>
      </c>
      <c r="N51" s="233">
        <v>0</v>
      </c>
      <c r="O51" s="233">
        <f>SUM(O52:O54)</f>
        <v>0</v>
      </c>
      <c r="P51" s="233">
        <f t="shared" ref="P51:Q51" si="59">SUM(P52:P54)</f>
        <v>0</v>
      </c>
      <c r="Q51" s="233">
        <f t="shared" si="59"/>
        <v>0</v>
      </c>
      <c r="R51" s="232">
        <f t="shared" si="5"/>
        <v>0</v>
      </c>
    </row>
    <row r="52" spans="1:18" s="6" customFormat="1" ht="36" hidden="1" customHeight="1">
      <c r="A52" s="134">
        <v>7131</v>
      </c>
      <c r="B52" s="112" t="s">
        <v>120</v>
      </c>
      <c r="C52" s="106"/>
      <c r="D52" s="106">
        <v>0</v>
      </c>
      <c r="E52" s="233"/>
      <c r="F52" s="233"/>
      <c r="G52" s="233"/>
      <c r="H52" s="232">
        <f t="shared" si="1"/>
        <v>0</v>
      </c>
      <c r="I52" s="233">
        <v>0</v>
      </c>
      <c r="J52" s="233"/>
      <c r="K52" s="233"/>
      <c r="L52" s="233"/>
      <c r="M52" s="232">
        <f t="shared" si="3"/>
        <v>0</v>
      </c>
      <c r="N52" s="233">
        <v>0</v>
      </c>
      <c r="O52" s="233"/>
      <c r="P52" s="233"/>
      <c r="Q52" s="233"/>
      <c r="R52" s="232">
        <f t="shared" si="5"/>
        <v>0</v>
      </c>
    </row>
    <row r="53" spans="1:18" s="6" customFormat="1" ht="36" hidden="1" customHeight="1">
      <c r="A53" s="134">
        <v>7132</v>
      </c>
      <c r="B53" s="112" t="s">
        <v>121</v>
      </c>
      <c r="C53" s="106"/>
      <c r="D53" s="106">
        <v>0</v>
      </c>
      <c r="E53" s="233"/>
      <c r="F53" s="233"/>
      <c r="G53" s="233"/>
      <c r="H53" s="232">
        <f t="shared" si="1"/>
        <v>0</v>
      </c>
      <c r="I53" s="233">
        <v>0</v>
      </c>
      <c r="J53" s="233"/>
      <c r="K53" s="233"/>
      <c r="L53" s="233"/>
      <c r="M53" s="232">
        <f t="shared" si="3"/>
        <v>0</v>
      </c>
      <c r="N53" s="233">
        <v>0</v>
      </c>
      <c r="O53" s="233"/>
      <c r="P53" s="233"/>
      <c r="Q53" s="233"/>
      <c r="R53" s="232">
        <f t="shared" si="5"/>
        <v>0</v>
      </c>
    </row>
    <row r="54" spans="1:18" s="6" customFormat="1" ht="24" hidden="1" customHeight="1">
      <c r="A54" s="134" t="s">
        <v>186</v>
      </c>
      <c r="B54" s="112" t="s">
        <v>187</v>
      </c>
      <c r="C54" s="106"/>
      <c r="D54" s="106">
        <v>0</v>
      </c>
      <c r="E54" s="233"/>
      <c r="F54" s="233"/>
      <c r="G54" s="233"/>
      <c r="H54" s="232">
        <f t="shared" si="1"/>
        <v>0</v>
      </c>
      <c r="I54" s="233">
        <v>0</v>
      </c>
      <c r="J54" s="233"/>
      <c r="K54" s="233"/>
      <c r="L54" s="233"/>
      <c r="M54" s="232">
        <f t="shared" si="3"/>
        <v>0</v>
      </c>
      <c r="N54" s="233">
        <v>0</v>
      </c>
      <c r="O54" s="233"/>
      <c r="P54" s="233"/>
      <c r="Q54" s="233"/>
      <c r="R54" s="232">
        <f t="shared" si="5"/>
        <v>0</v>
      </c>
    </row>
    <row r="55" spans="1:18" s="6" customFormat="1" ht="24" hidden="1" customHeight="1">
      <c r="A55" s="132">
        <v>7300</v>
      </c>
      <c r="B55" s="108" t="s">
        <v>155</v>
      </c>
      <c r="C55" s="106">
        <v>0</v>
      </c>
      <c r="D55" s="106">
        <v>0</v>
      </c>
      <c r="E55" s="233">
        <f>SUM(E56:E58)</f>
        <v>0</v>
      </c>
      <c r="F55" s="233">
        <f t="shared" ref="F55:G55" si="60">SUM(F56:F58)</f>
        <v>0</v>
      </c>
      <c r="G55" s="233">
        <f t="shared" si="60"/>
        <v>0</v>
      </c>
      <c r="H55" s="232">
        <f t="shared" si="1"/>
        <v>0</v>
      </c>
      <c r="I55" s="233">
        <v>0</v>
      </c>
      <c r="J55" s="233">
        <f>SUM(J56:J58)</f>
        <v>0</v>
      </c>
      <c r="K55" s="233">
        <f t="shared" ref="K55:L55" si="61">SUM(K56:K58)</f>
        <v>0</v>
      </c>
      <c r="L55" s="233">
        <f t="shared" si="61"/>
        <v>0</v>
      </c>
      <c r="M55" s="232">
        <f t="shared" si="3"/>
        <v>0</v>
      </c>
      <c r="N55" s="233">
        <v>0</v>
      </c>
      <c r="O55" s="233">
        <f>SUM(O56:O58)</f>
        <v>0</v>
      </c>
      <c r="P55" s="233">
        <f t="shared" ref="P55:Q55" si="62">SUM(P56:P58)</f>
        <v>0</v>
      </c>
      <c r="Q55" s="233">
        <f t="shared" si="62"/>
        <v>0</v>
      </c>
      <c r="R55" s="232">
        <f t="shared" si="5"/>
        <v>0</v>
      </c>
    </row>
    <row r="56" spans="1:18" s="6" customFormat="1" ht="24" hidden="1" customHeight="1">
      <c r="A56" s="133" t="s">
        <v>188</v>
      </c>
      <c r="B56" s="112" t="s">
        <v>170</v>
      </c>
      <c r="C56" s="197"/>
      <c r="D56" s="197">
        <v>0</v>
      </c>
      <c r="E56" s="252"/>
      <c r="F56" s="252"/>
      <c r="G56" s="252"/>
      <c r="H56" s="232">
        <f t="shared" si="1"/>
        <v>0</v>
      </c>
      <c r="I56" s="252">
        <v>0</v>
      </c>
      <c r="J56" s="252"/>
      <c r="K56" s="252"/>
      <c r="L56" s="252"/>
      <c r="M56" s="232">
        <f t="shared" si="3"/>
        <v>0</v>
      </c>
      <c r="N56" s="252">
        <v>0</v>
      </c>
      <c r="O56" s="252"/>
      <c r="P56" s="252"/>
      <c r="Q56" s="252"/>
      <c r="R56" s="232">
        <f t="shared" si="5"/>
        <v>0</v>
      </c>
    </row>
    <row r="57" spans="1:18" s="29" customFormat="1" ht="48" hidden="1" customHeight="1">
      <c r="A57" s="133" t="s">
        <v>189</v>
      </c>
      <c r="B57" s="112" t="s">
        <v>156</v>
      </c>
      <c r="C57" s="197"/>
      <c r="D57" s="197">
        <v>0</v>
      </c>
      <c r="E57" s="252"/>
      <c r="F57" s="252"/>
      <c r="G57" s="252"/>
      <c r="H57" s="232">
        <f t="shared" si="1"/>
        <v>0</v>
      </c>
      <c r="I57" s="252">
        <v>0</v>
      </c>
      <c r="J57" s="252"/>
      <c r="K57" s="252"/>
      <c r="L57" s="252"/>
      <c r="M57" s="232">
        <f t="shared" si="3"/>
        <v>0</v>
      </c>
      <c r="N57" s="252">
        <v>0</v>
      </c>
      <c r="O57" s="252"/>
      <c r="P57" s="252"/>
      <c r="Q57" s="252"/>
      <c r="R57" s="232">
        <f t="shared" si="5"/>
        <v>0</v>
      </c>
    </row>
    <row r="58" spans="1:18" s="89" customFormat="1" ht="36" hidden="1" customHeight="1">
      <c r="A58" s="133">
        <v>7350</v>
      </c>
      <c r="B58" s="112" t="s">
        <v>163</v>
      </c>
      <c r="C58" s="197"/>
      <c r="D58" s="197">
        <v>0</v>
      </c>
      <c r="E58" s="252"/>
      <c r="F58" s="252"/>
      <c r="G58" s="252"/>
      <c r="H58" s="232">
        <f t="shared" si="1"/>
        <v>0</v>
      </c>
      <c r="I58" s="252">
        <v>0</v>
      </c>
      <c r="J58" s="252"/>
      <c r="K58" s="252"/>
      <c r="L58" s="252"/>
      <c r="M58" s="232">
        <f t="shared" si="3"/>
        <v>0</v>
      </c>
      <c r="N58" s="252">
        <v>0</v>
      </c>
      <c r="O58" s="252"/>
      <c r="P58" s="252"/>
      <c r="Q58" s="252"/>
      <c r="R58" s="232">
        <f t="shared" si="5"/>
        <v>0</v>
      </c>
    </row>
    <row r="59" spans="1:18" s="89" customFormat="1" ht="24" hidden="1" customHeight="1">
      <c r="A59" s="132">
        <v>7400</v>
      </c>
      <c r="B59" s="108" t="s">
        <v>161</v>
      </c>
      <c r="C59" s="106">
        <v>0</v>
      </c>
      <c r="D59" s="106">
        <v>0</v>
      </c>
      <c r="E59" s="233">
        <f>SUM(E60:E61)</f>
        <v>0</v>
      </c>
      <c r="F59" s="233">
        <f t="shared" ref="F59:G59" si="63">SUM(F60:F61)</f>
        <v>0</v>
      </c>
      <c r="G59" s="233">
        <f t="shared" si="63"/>
        <v>0</v>
      </c>
      <c r="H59" s="232">
        <f t="shared" si="1"/>
        <v>0</v>
      </c>
      <c r="I59" s="233">
        <v>0</v>
      </c>
      <c r="J59" s="233">
        <f>SUM(J60:J61)</f>
        <v>0</v>
      </c>
      <c r="K59" s="233">
        <f t="shared" ref="K59:L59" si="64">SUM(K60:K61)</f>
        <v>0</v>
      </c>
      <c r="L59" s="233">
        <f t="shared" si="64"/>
        <v>0</v>
      </c>
      <c r="M59" s="232">
        <f t="shared" si="3"/>
        <v>0</v>
      </c>
      <c r="N59" s="233">
        <v>0</v>
      </c>
      <c r="O59" s="233">
        <f>SUM(O60:O61)</f>
        <v>0</v>
      </c>
      <c r="P59" s="233">
        <f t="shared" ref="P59:Q59" si="65">SUM(P60:P61)</f>
        <v>0</v>
      </c>
      <c r="Q59" s="233">
        <f t="shared" si="65"/>
        <v>0</v>
      </c>
      <c r="R59" s="232">
        <f t="shared" si="5"/>
        <v>0</v>
      </c>
    </row>
    <row r="60" spans="1:18" s="89" customFormat="1" ht="24" hidden="1" customHeight="1">
      <c r="A60" s="133">
        <v>7460</v>
      </c>
      <c r="B60" s="108" t="s">
        <v>162</v>
      </c>
      <c r="C60" s="197"/>
      <c r="D60" s="197">
        <v>0</v>
      </c>
      <c r="E60" s="252"/>
      <c r="F60" s="252"/>
      <c r="G60" s="252"/>
      <c r="H60" s="232">
        <f t="shared" si="1"/>
        <v>0</v>
      </c>
      <c r="I60" s="252">
        <v>0</v>
      </c>
      <c r="J60" s="252"/>
      <c r="K60" s="252"/>
      <c r="L60" s="252"/>
      <c r="M60" s="232">
        <f t="shared" si="3"/>
        <v>0</v>
      </c>
      <c r="N60" s="252">
        <v>0</v>
      </c>
      <c r="O60" s="252"/>
      <c r="P60" s="252"/>
      <c r="Q60" s="252"/>
      <c r="R60" s="232">
        <f t="shared" si="5"/>
        <v>0</v>
      </c>
    </row>
    <row r="61" spans="1:18" s="89" customFormat="1" ht="48" hidden="1" customHeight="1">
      <c r="A61" s="133">
        <v>7470</v>
      </c>
      <c r="B61" s="112" t="s">
        <v>167</v>
      </c>
      <c r="C61" s="197"/>
      <c r="D61" s="197">
        <v>0</v>
      </c>
      <c r="E61" s="252"/>
      <c r="F61" s="252"/>
      <c r="G61" s="252"/>
      <c r="H61" s="232">
        <f t="shared" si="1"/>
        <v>0</v>
      </c>
      <c r="I61" s="252">
        <v>0</v>
      </c>
      <c r="J61" s="252"/>
      <c r="K61" s="252"/>
      <c r="L61" s="252"/>
      <c r="M61" s="232">
        <f t="shared" si="3"/>
        <v>0</v>
      </c>
      <c r="N61" s="252">
        <v>0</v>
      </c>
      <c r="O61" s="252"/>
      <c r="P61" s="252"/>
      <c r="Q61" s="252"/>
      <c r="R61" s="232">
        <f t="shared" si="5"/>
        <v>0</v>
      </c>
    </row>
    <row r="62" spans="1:18" s="89" customFormat="1" ht="24" hidden="1" customHeight="1">
      <c r="A62" s="132">
        <v>7500</v>
      </c>
      <c r="B62" s="112" t="s">
        <v>157</v>
      </c>
      <c r="C62" s="106"/>
      <c r="D62" s="106">
        <v>0</v>
      </c>
      <c r="E62" s="233"/>
      <c r="F62" s="233"/>
      <c r="G62" s="233"/>
      <c r="H62" s="232">
        <f t="shared" si="1"/>
        <v>0</v>
      </c>
      <c r="I62" s="233">
        <v>0</v>
      </c>
      <c r="J62" s="233"/>
      <c r="K62" s="233"/>
      <c r="L62" s="233"/>
      <c r="M62" s="232">
        <f t="shared" si="3"/>
        <v>0</v>
      </c>
      <c r="N62" s="233">
        <v>0</v>
      </c>
      <c r="O62" s="233"/>
      <c r="P62" s="233"/>
      <c r="Q62" s="233"/>
      <c r="R62" s="232">
        <f t="shared" si="5"/>
        <v>0</v>
      </c>
    </row>
    <row r="63" spans="1:18" s="89" customFormat="1" ht="12">
      <c r="A63" s="140" t="s">
        <v>133</v>
      </c>
      <c r="B63" s="100" t="s">
        <v>122</v>
      </c>
      <c r="C63" s="162">
        <v>265969</v>
      </c>
      <c r="D63" s="162">
        <v>265969</v>
      </c>
      <c r="E63" s="254">
        <f>E64+E65</f>
        <v>0</v>
      </c>
      <c r="F63" s="254">
        <f t="shared" ref="F63:G63" si="66">F64+F65</f>
        <v>0</v>
      </c>
      <c r="G63" s="254">
        <f t="shared" si="66"/>
        <v>0</v>
      </c>
      <c r="H63" s="232">
        <f t="shared" si="1"/>
        <v>265969</v>
      </c>
      <c r="I63" s="254">
        <v>265969</v>
      </c>
      <c r="J63" s="254">
        <f>J64+J65</f>
        <v>0</v>
      </c>
      <c r="K63" s="254">
        <f t="shared" ref="K63:L63" si="67">K64+K65</f>
        <v>0</v>
      </c>
      <c r="L63" s="254">
        <f t="shared" si="67"/>
        <v>0</v>
      </c>
      <c r="M63" s="232">
        <f t="shared" si="3"/>
        <v>265969</v>
      </c>
      <c r="N63" s="254">
        <v>265969</v>
      </c>
      <c r="O63" s="254">
        <f>O64+O65</f>
        <v>0</v>
      </c>
      <c r="P63" s="254">
        <f t="shared" ref="P63:Q63" si="68">P64+P65</f>
        <v>0</v>
      </c>
      <c r="Q63" s="254">
        <f t="shared" si="68"/>
        <v>0</v>
      </c>
      <c r="R63" s="232">
        <f t="shared" si="5"/>
        <v>265969</v>
      </c>
    </row>
    <row r="64" spans="1:18" s="89" customFormat="1" ht="12">
      <c r="A64" s="140">
        <v>5000</v>
      </c>
      <c r="B64" s="100" t="s">
        <v>123</v>
      </c>
      <c r="C64" s="106">
        <v>265969</v>
      </c>
      <c r="D64" s="106">
        <v>265969</v>
      </c>
      <c r="E64" s="244"/>
      <c r="F64" s="244"/>
      <c r="G64" s="244"/>
      <c r="H64" s="232">
        <f t="shared" si="1"/>
        <v>265969</v>
      </c>
      <c r="I64" s="233">
        <v>265969</v>
      </c>
      <c r="J64" s="244"/>
      <c r="K64" s="244"/>
      <c r="L64" s="244"/>
      <c r="M64" s="232">
        <f t="shared" si="3"/>
        <v>265969</v>
      </c>
      <c r="N64" s="233">
        <v>265969</v>
      </c>
      <c r="O64" s="244"/>
      <c r="P64" s="244"/>
      <c r="Q64" s="244"/>
      <c r="R64" s="232">
        <f t="shared" si="5"/>
        <v>265969</v>
      </c>
    </row>
    <row r="65" spans="1:18" s="89" customFormat="1" ht="12" hidden="1" customHeight="1">
      <c r="A65" s="140">
        <v>9000</v>
      </c>
      <c r="B65" s="115" t="s">
        <v>164</v>
      </c>
      <c r="C65" s="106">
        <v>0</v>
      </c>
      <c r="D65" s="106">
        <v>0</v>
      </c>
      <c r="E65" s="233">
        <f t="shared" ref="E65:G65" si="69">E66+E72+E76+E79</f>
        <v>0</v>
      </c>
      <c r="F65" s="233">
        <f t="shared" ref="F65" si="70">F66+F72+F76+F79</f>
        <v>0</v>
      </c>
      <c r="G65" s="233">
        <f t="shared" si="69"/>
        <v>0</v>
      </c>
      <c r="H65" s="232">
        <f t="shared" si="1"/>
        <v>0</v>
      </c>
      <c r="I65" s="233">
        <v>0</v>
      </c>
      <c r="J65" s="233">
        <f t="shared" ref="J65:L65" si="71">J66+J72+J76+J79</f>
        <v>0</v>
      </c>
      <c r="K65" s="233">
        <f t="shared" ref="K65" si="72">K66+K72+K76+K79</f>
        <v>0</v>
      </c>
      <c r="L65" s="233">
        <f t="shared" si="71"/>
        <v>0</v>
      </c>
      <c r="M65" s="232">
        <f t="shared" si="3"/>
        <v>0</v>
      </c>
      <c r="N65" s="233">
        <v>0</v>
      </c>
      <c r="O65" s="233">
        <f t="shared" ref="O65:Q65" si="73">O66+O72+O76+O79</f>
        <v>0</v>
      </c>
      <c r="P65" s="233">
        <f t="shared" ref="P65" si="74">P66+P72+P76+P79</f>
        <v>0</v>
      </c>
      <c r="Q65" s="233">
        <f t="shared" si="73"/>
        <v>0</v>
      </c>
      <c r="R65" s="232">
        <f t="shared" si="5"/>
        <v>0</v>
      </c>
    </row>
    <row r="66" spans="1:18" s="89" customFormat="1" ht="12" hidden="1" customHeight="1">
      <c r="A66" s="141">
        <v>9100</v>
      </c>
      <c r="B66" s="112" t="s">
        <v>124</v>
      </c>
      <c r="C66" s="106">
        <v>0</v>
      </c>
      <c r="D66" s="106">
        <v>0</v>
      </c>
      <c r="E66" s="233">
        <f t="shared" ref="E66:G66" si="75">SUM(E67:E68)</f>
        <v>0</v>
      </c>
      <c r="F66" s="233">
        <f t="shared" ref="F66" si="76">SUM(F67:F68)</f>
        <v>0</v>
      </c>
      <c r="G66" s="233">
        <f t="shared" si="75"/>
        <v>0</v>
      </c>
      <c r="H66" s="232">
        <f t="shared" si="1"/>
        <v>0</v>
      </c>
      <c r="I66" s="233">
        <v>0</v>
      </c>
      <c r="J66" s="233">
        <f t="shared" ref="J66:L66" si="77">SUM(J67:J68)</f>
        <v>0</v>
      </c>
      <c r="K66" s="233">
        <f t="shared" ref="K66" si="78">SUM(K67:K68)</f>
        <v>0</v>
      </c>
      <c r="L66" s="233">
        <f t="shared" si="77"/>
        <v>0</v>
      </c>
      <c r="M66" s="232">
        <f t="shared" si="3"/>
        <v>0</v>
      </c>
      <c r="N66" s="233">
        <v>0</v>
      </c>
      <c r="O66" s="233">
        <f t="shared" ref="O66:Q66" si="79">SUM(O67:O68)</f>
        <v>0</v>
      </c>
      <c r="P66" s="233">
        <f t="shared" ref="P66" si="80">SUM(P67:P68)</f>
        <v>0</v>
      </c>
      <c r="Q66" s="233">
        <f t="shared" si="79"/>
        <v>0</v>
      </c>
      <c r="R66" s="232">
        <f t="shared" si="5"/>
        <v>0</v>
      </c>
    </row>
    <row r="67" spans="1:18" s="89" customFormat="1" ht="24" hidden="1" customHeight="1">
      <c r="A67" s="133" t="s">
        <v>125</v>
      </c>
      <c r="B67" s="112" t="s">
        <v>203</v>
      </c>
      <c r="C67" s="106"/>
      <c r="D67" s="106">
        <v>0</v>
      </c>
      <c r="E67" s="233"/>
      <c r="F67" s="233"/>
      <c r="G67" s="233"/>
      <c r="H67" s="232">
        <f t="shared" si="1"/>
        <v>0</v>
      </c>
      <c r="I67" s="233">
        <v>0</v>
      </c>
      <c r="J67" s="233"/>
      <c r="K67" s="233"/>
      <c r="L67" s="233"/>
      <c r="M67" s="232">
        <f t="shared" si="3"/>
        <v>0</v>
      </c>
      <c r="N67" s="233">
        <v>0</v>
      </c>
      <c r="O67" s="233"/>
      <c r="P67" s="233"/>
      <c r="Q67" s="233"/>
      <c r="R67" s="232">
        <f t="shared" si="5"/>
        <v>0</v>
      </c>
    </row>
    <row r="68" spans="1:18" s="89" customFormat="1" ht="24" hidden="1" customHeight="1">
      <c r="A68" s="133">
        <v>9140</v>
      </c>
      <c r="B68" s="112" t="s">
        <v>204</v>
      </c>
      <c r="C68" s="106">
        <v>0</v>
      </c>
      <c r="D68" s="106">
        <v>0</v>
      </c>
      <c r="E68" s="233">
        <f>SUM(E69:E71)</f>
        <v>0</v>
      </c>
      <c r="F68" s="233">
        <f t="shared" ref="F68:G68" si="81">SUM(F69:F71)</f>
        <v>0</v>
      </c>
      <c r="G68" s="233">
        <f t="shared" si="81"/>
        <v>0</v>
      </c>
      <c r="H68" s="232">
        <f t="shared" si="1"/>
        <v>0</v>
      </c>
      <c r="I68" s="233">
        <v>0</v>
      </c>
      <c r="J68" s="233">
        <f>SUM(J69:J71)</f>
        <v>0</v>
      </c>
      <c r="K68" s="233">
        <f t="shared" ref="K68:L68" si="82">SUM(K69:K71)</f>
        <v>0</v>
      </c>
      <c r="L68" s="233">
        <f t="shared" si="82"/>
        <v>0</v>
      </c>
      <c r="M68" s="232">
        <f t="shared" si="3"/>
        <v>0</v>
      </c>
      <c r="N68" s="233">
        <v>0</v>
      </c>
      <c r="O68" s="233">
        <f>SUM(O69:O71)</f>
        <v>0</v>
      </c>
      <c r="P68" s="233">
        <f t="shared" ref="P68:Q68" si="83">SUM(P69:P71)</f>
        <v>0</v>
      </c>
      <c r="Q68" s="233">
        <f t="shared" si="83"/>
        <v>0</v>
      </c>
      <c r="R68" s="232">
        <f t="shared" si="5"/>
        <v>0</v>
      </c>
    </row>
    <row r="69" spans="1:18" s="89" customFormat="1" ht="36" hidden="1" customHeight="1">
      <c r="A69" s="134">
        <v>9141</v>
      </c>
      <c r="B69" s="108" t="s">
        <v>190</v>
      </c>
      <c r="C69" s="197"/>
      <c r="D69" s="197">
        <v>0</v>
      </c>
      <c r="E69" s="252"/>
      <c r="F69" s="252"/>
      <c r="G69" s="252"/>
      <c r="H69" s="232">
        <f t="shared" si="1"/>
        <v>0</v>
      </c>
      <c r="I69" s="252">
        <v>0</v>
      </c>
      <c r="J69" s="252"/>
      <c r="K69" s="252"/>
      <c r="L69" s="252"/>
      <c r="M69" s="232">
        <f t="shared" si="3"/>
        <v>0</v>
      </c>
      <c r="N69" s="252">
        <v>0</v>
      </c>
      <c r="O69" s="252"/>
      <c r="P69" s="252"/>
      <c r="Q69" s="252"/>
      <c r="R69" s="232">
        <f t="shared" si="5"/>
        <v>0</v>
      </c>
    </row>
    <row r="70" spans="1:18" s="89" customFormat="1" ht="36" hidden="1" customHeight="1">
      <c r="A70" s="134">
        <v>9142</v>
      </c>
      <c r="B70" s="108" t="s">
        <v>191</v>
      </c>
      <c r="C70" s="197"/>
      <c r="D70" s="197">
        <v>0</v>
      </c>
      <c r="E70" s="252"/>
      <c r="F70" s="252"/>
      <c r="G70" s="252"/>
      <c r="H70" s="232">
        <f t="shared" si="1"/>
        <v>0</v>
      </c>
      <c r="I70" s="252">
        <v>0</v>
      </c>
      <c r="J70" s="252"/>
      <c r="K70" s="252"/>
      <c r="L70" s="252"/>
      <c r="M70" s="232">
        <f t="shared" si="3"/>
        <v>0</v>
      </c>
      <c r="N70" s="252">
        <v>0</v>
      </c>
      <c r="O70" s="252"/>
      <c r="P70" s="252"/>
      <c r="Q70" s="252"/>
      <c r="R70" s="232">
        <f t="shared" si="5"/>
        <v>0</v>
      </c>
    </row>
    <row r="71" spans="1:18" s="89" customFormat="1" ht="24" hidden="1" customHeight="1">
      <c r="A71" s="134">
        <v>9149</v>
      </c>
      <c r="B71" s="108" t="s">
        <v>192</v>
      </c>
      <c r="C71" s="197"/>
      <c r="D71" s="197">
        <v>0</v>
      </c>
      <c r="E71" s="252"/>
      <c r="F71" s="252"/>
      <c r="G71" s="252"/>
      <c r="H71" s="232">
        <f t="shared" si="1"/>
        <v>0</v>
      </c>
      <c r="I71" s="252">
        <v>0</v>
      </c>
      <c r="J71" s="252"/>
      <c r="K71" s="252"/>
      <c r="L71" s="252"/>
      <c r="M71" s="232">
        <f t="shared" si="3"/>
        <v>0</v>
      </c>
      <c r="N71" s="252">
        <v>0</v>
      </c>
      <c r="O71" s="252"/>
      <c r="P71" s="252"/>
      <c r="Q71" s="252"/>
      <c r="R71" s="232">
        <f t="shared" si="5"/>
        <v>0</v>
      </c>
    </row>
    <row r="72" spans="1:18" s="29" customFormat="1" ht="24" hidden="1" customHeight="1">
      <c r="A72" s="141">
        <v>9500</v>
      </c>
      <c r="B72" s="108" t="s">
        <v>165</v>
      </c>
      <c r="C72" s="106">
        <v>0</v>
      </c>
      <c r="D72" s="106">
        <v>0</v>
      </c>
      <c r="E72" s="233">
        <f>SUM(E73:E75)</f>
        <v>0</v>
      </c>
      <c r="F72" s="233">
        <f t="shared" ref="F72:G72" si="84">SUM(F73:F75)</f>
        <v>0</v>
      </c>
      <c r="G72" s="233">
        <f t="shared" si="84"/>
        <v>0</v>
      </c>
      <c r="H72" s="232">
        <f t="shared" si="1"/>
        <v>0</v>
      </c>
      <c r="I72" s="233">
        <v>0</v>
      </c>
      <c r="J72" s="233">
        <f>SUM(J73:J75)</f>
        <v>0</v>
      </c>
      <c r="K72" s="233">
        <f t="shared" ref="K72:L72" si="85">SUM(K73:K75)</f>
        <v>0</v>
      </c>
      <c r="L72" s="233">
        <f t="shared" si="85"/>
        <v>0</v>
      </c>
      <c r="M72" s="232">
        <f t="shared" si="3"/>
        <v>0</v>
      </c>
      <c r="N72" s="233">
        <v>0</v>
      </c>
      <c r="O72" s="233">
        <f>SUM(O73:O75)</f>
        <v>0</v>
      </c>
      <c r="P72" s="233">
        <f t="shared" ref="P72:Q72" si="86">SUM(P73:P75)</f>
        <v>0</v>
      </c>
      <c r="Q72" s="233">
        <f t="shared" si="86"/>
        <v>0</v>
      </c>
      <c r="R72" s="232">
        <f t="shared" si="5"/>
        <v>0</v>
      </c>
    </row>
    <row r="73" spans="1:18" s="29" customFormat="1" ht="24" hidden="1" customHeight="1">
      <c r="A73" s="133" t="s">
        <v>193</v>
      </c>
      <c r="B73" s="108" t="s">
        <v>171</v>
      </c>
      <c r="C73" s="106"/>
      <c r="D73" s="106">
        <v>0</v>
      </c>
      <c r="E73" s="233"/>
      <c r="F73" s="233"/>
      <c r="G73" s="233"/>
      <c r="H73" s="232">
        <f t="shared" si="1"/>
        <v>0</v>
      </c>
      <c r="I73" s="233">
        <v>0</v>
      </c>
      <c r="J73" s="233"/>
      <c r="K73" s="233"/>
      <c r="L73" s="233"/>
      <c r="M73" s="232">
        <f t="shared" si="3"/>
        <v>0</v>
      </c>
      <c r="N73" s="233">
        <v>0</v>
      </c>
      <c r="O73" s="233"/>
      <c r="P73" s="233"/>
      <c r="Q73" s="233"/>
      <c r="R73" s="232">
        <f t="shared" si="5"/>
        <v>0</v>
      </c>
    </row>
    <row r="74" spans="1:18" s="28" customFormat="1" ht="48" hidden="1" customHeight="1">
      <c r="A74" s="133">
        <v>9580</v>
      </c>
      <c r="B74" s="108" t="s">
        <v>166</v>
      </c>
      <c r="C74" s="197"/>
      <c r="D74" s="197">
        <v>0</v>
      </c>
      <c r="E74" s="252"/>
      <c r="F74" s="252"/>
      <c r="G74" s="252"/>
      <c r="H74" s="232">
        <f t="shared" ref="H74:H137" si="87">SUM(D74:G74)</f>
        <v>0</v>
      </c>
      <c r="I74" s="252">
        <v>0</v>
      </c>
      <c r="J74" s="252"/>
      <c r="K74" s="252"/>
      <c r="L74" s="252"/>
      <c r="M74" s="232">
        <f t="shared" ref="M74:M137" si="88">SUM(I74:L74)</f>
        <v>0</v>
      </c>
      <c r="N74" s="252">
        <v>0</v>
      </c>
      <c r="O74" s="252"/>
      <c r="P74" s="252"/>
      <c r="Q74" s="252"/>
      <c r="R74" s="232">
        <f t="shared" ref="R74:R137" si="89">SUM(N74:Q74)</f>
        <v>0</v>
      </c>
    </row>
    <row r="75" spans="1:18" s="4" customFormat="1" ht="48" hidden="1" customHeight="1">
      <c r="A75" s="133">
        <v>9590</v>
      </c>
      <c r="B75" s="112" t="s">
        <v>172</v>
      </c>
      <c r="C75" s="197"/>
      <c r="D75" s="197">
        <v>0</v>
      </c>
      <c r="E75" s="252"/>
      <c r="F75" s="252"/>
      <c r="G75" s="252"/>
      <c r="H75" s="232">
        <f t="shared" si="87"/>
        <v>0</v>
      </c>
      <c r="I75" s="252">
        <v>0</v>
      </c>
      <c r="J75" s="252"/>
      <c r="K75" s="252"/>
      <c r="L75" s="252"/>
      <c r="M75" s="232">
        <f t="shared" si="88"/>
        <v>0</v>
      </c>
      <c r="N75" s="252">
        <v>0</v>
      </c>
      <c r="O75" s="252"/>
      <c r="P75" s="252"/>
      <c r="Q75" s="252"/>
      <c r="R75" s="232">
        <f t="shared" si="89"/>
        <v>0</v>
      </c>
    </row>
    <row r="76" spans="1:18" ht="24" hidden="1" customHeight="1">
      <c r="A76" s="141">
        <v>9700</v>
      </c>
      <c r="B76" s="116" t="s">
        <v>194</v>
      </c>
      <c r="C76" s="106">
        <v>0</v>
      </c>
      <c r="D76" s="106">
        <v>0</v>
      </c>
      <c r="E76" s="233">
        <f>SUM(E77:E78)</f>
        <v>0</v>
      </c>
      <c r="F76" s="233">
        <f t="shared" ref="F76:G76" si="90">SUM(F77:F78)</f>
        <v>0</v>
      </c>
      <c r="G76" s="233">
        <f t="shared" si="90"/>
        <v>0</v>
      </c>
      <c r="H76" s="232">
        <f t="shared" si="87"/>
        <v>0</v>
      </c>
      <c r="I76" s="233">
        <v>0</v>
      </c>
      <c r="J76" s="233">
        <f>SUM(J77:J78)</f>
        <v>0</v>
      </c>
      <c r="K76" s="233">
        <f t="shared" ref="K76:L76" si="91">SUM(K77:K78)</f>
        <v>0</v>
      </c>
      <c r="L76" s="233">
        <f t="shared" si="91"/>
        <v>0</v>
      </c>
      <c r="M76" s="232">
        <f t="shared" si="88"/>
        <v>0</v>
      </c>
      <c r="N76" s="233">
        <v>0</v>
      </c>
      <c r="O76" s="233">
        <f>SUM(O77:O78)</f>
        <v>0</v>
      </c>
      <c r="P76" s="233">
        <f t="shared" ref="P76:Q76" si="92">SUM(P77:P78)</f>
        <v>0</v>
      </c>
      <c r="Q76" s="233">
        <f t="shared" si="92"/>
        <v>0</v>
      </c>
      <c r="R76" s="232">
        <f t="shared" si="89"/>
        <v>0</v>
      </c>
    </row>
    <row r="77" spans="1:18" ht="24" hidden="1" customHeight="1">
      <c r="A77" s="133">
        <v>9710</v>
      </c>
      <c r="B77" s="117" t="s">
        <v>195</v>
      </c>
      <c r="C77" s="197"/>
      <c r="D77" s="197">
        <v>0</v>
      </c>
      <c r="E77" s="252"/>
      <c r="F77" s="252"/>
      <c r="G77" s="252"/>
      <c r="H77" s="232">
        <f t="shared" si="87"/>
        <v>0</v>
      </c>
      <c r="I77" s="252">
        <v>0</v>
      </c>
      <c r="J77" s="252"/>
      <c r="K77" s="252"/>
      <c r="L77" s="252"/>
      <c r="M77" s="232">
        <f t="shared" si="88"/>
        <v>0</v>
      </c>
      <c r="N77" s="252">
        <v>0</v>
      </c>
      <c r="O77" s="252"/>
      <c r="P77" s="252"/>
      <c r="Q77" s="252"/>
      <c r="R77" s="232">
        <f t="shared" si="89"/>
        <v>0</v>
      </c>
    </row>
    <row r="78" spans="1:18" ht="36" hidden="1" customHeight="1">
      <c r="A78" s="142">
        <v>9720</v>
      </c>
      <c r="B78" s="116" t="s">
        <v>196</v>
      </c>
      <c r="C78" s="197"/>
      <c r="D78" s="197">
        <v>0</v>
      </c>
      <c r="E78" s="252"/>
      <c r="F78" s="252"/>
      <c r="G78" s="252"/>
      <c r="H78" s="232">
        <f t="shared" si="87"/>
        <v>0</v>
      </c>
      <c r="I78" s="252">
        <v>0</v>
      </c>
      <c r="J78" s="252"/>
      <c r="K78" s="252"/>
      <c r="L78" s="252"/>
      <c r="M78" s="232">
        <f t="shared" si="88"/>
        <v>0</v>
      </c>
      <c r="N78" s="252">
        <v>0</v>
      </c>
      <c r="O78" s="252"/>
      <c r="P78" s="252"/>
      <c r="Q78" s="252"/>
      <c r="R78" s="232">
        <f t="shared" si="89"/>
        <v>0</v>
      </c>
    </row>
    <row r="79" spans="1:18" ht="24" hidden="1" customHeight="1">
      <c r="A79" s="141">
        <v>9600</v>
      </c>
      <c r="B79" s="112" t="s">
        <v>134</v>
      </c>
      <c r="C79" s="197"/>
      <c r="D79" s="197">
        <v>0</v>
      </c>
      <c r="E79" s="252"/>
      <c r="F79" s="252"/>
      <c r="G79" s="252"/>
      <c r="H79" s="232">
        <f t="shared" si="87"/>
        <v>0</v>
      </c>
      <c r="I79" s="252">
        <v>0</v>
      </c>
      <c r="J79" s="252"/>
      <c r="K79" s="252"/>
      <c r="L79" s="252"/>
      <c r="M79" s="232">
        <f t="shared" si="88"/>
        <v>0</v>
      </c>
      <c r="N79" s="252">
        <v>0</v>
      </c>
      <c r="O79" s="252"/>
      <c r="P79" s="252"/>
      <c r="Q79" s="252"/>
      <c r="R79" s="232">
        <f t="shared" si="89"/>
        <v>0</v>
      </c>
    </row>
    <row r="80" spans="1:18" ht="52.5" hidden="1" customHeight="1">
      <c r="A80" s="130" t="s">
        <v>197</v>
      </c>
      <c r="B80" s="118" t="s">
        <v>47</v>
      </c>
      <c r="C80" s="198"/>
      <c r="D80" s="198">
        <v>0</v>
      </c>
      <c r="E80" s="262">
        <f>E10-E35</f>
        <v>0</v>
      </c>
      <c r="F80" s="262">
        <f t="shared" ref="F80:G80" si="93">F10-F35</f>
        <v>0</v>
      </c>
      <c r="G80" s="262">
        <f t="shared" si="93"/>
        <v>0</v>
      </c>
      <c r="H80" s="232">
        <f t="shared" si="87"/>
        <v>0</v>
      </c>
      <c r="I80" s="262">
        <v>0</v>
      </c>
      <c r="J80" s="262">
        <f>J10-J35</f>
        <v>0</v>
      </c>
      <c r="K80" s="262">
        <f t="shared" ref="K80:L80" si="94">K10-K35</f>
        <v>0</v>
      </c>
      <c r="L80" s="262">
        <f t="shared" si="94"/>
        <v>0</v>
      </c>
      <c r="M80" s="232">
        <f t="shared" si="88"/>
        <v>0</v>
      </c>
      <c r="N80" s="262">
        <v>0</v>
      </c>
      <c r="O80" s="262">
        <f>O10-O35</f>
        <v>0</v>
      </c>
      <c r="P80" s="262">
        <f t="shared" ref="P80:Q80" si="95">P10-P35</f>
        <v>0</v>
      </c>
      <c r="Q80" s="262">
        <f t="shared" si="95"/>
        <v>0</v>
      </c>
      <c r="R80" s="232">
        <f t="shared" si="89"/>
        <v>0</v>
      </c>
    </row>
    <row r="81" spans="1:18" ht="12" hidden="1" customHeight="1">
      <c r="A81" s="143" t="s">
        <v>48</v>
      </c>
      <c r="B81" s="118" t="s">
        <v>49</v>
      </c>
      <c r="C81" s="198">
        <v>0</v>
      </c>
      <c r="D81" s="198">
        <v>0</v>
      </c>
      <c r="E81" s="262">
        <f>E82+E85+E89+E88</f>
        <v>0</v>
      </c>
      <c r="F81" s="262">
        <f t="shared" ref="F81:G81" si="96">F82+F85+F89+F88</f>
        <v>0</v>
      </c>
      <c r="G81" s="262">
        <f t="shared" si="96"/>
        <v>0</v>
      </c>
      <c r="H81" s="232">
        <f t="shared" si="87"/>
        <v>0</v>
      </c>
      <c r="I81" s="262">
        <v>0</v>
      </c>
      <c r="J81" s="262">
        <f>J82+J85+J89+J88</f>
        <v>0</v>
      </c>
      <c r="K81" s="262">
        <f t="shared" ref="K81:L81" si="97">K82+K85+K89+K88</f>
        <v>0</v>
      </c>
      <c r="L81" s="262">
        <f t="shared" si="97"/>
        <v>0</v>
      </c>
      <c r="M81" s="232">
        <f t="shared" si="88"/>
        <v>0</v>
      </c>
      <c r="N81" s="262">
        <v>0</v>
      </c>
      <c r="O81" s="262">
        <f>O82+O85+O89+O88</f>
        <v>0</v>
      </c>
      <c r="P81" s="262">
        <f t="shared" ref="P81:Q81" si="98">P82+P85+P89+P88</f>
        <v>0</v>
      </c>
      <c r="Q81" s="262">
        <f t="shared" si="98"/>
        <v>0</v>
      </c>
      <c r="R81" s="232">
        <f t="shared" si="89"/>
        <v>0</v>
      </c>
    </row>
    <row r="82" spans="1:18" s="4" customFormat="1" ht="12" hidden="1" customHeight="1">
      <c r="A82" s="141" t="s">
        <v>50</v>
      </c>
      <c r="B82" s="112" t="s">
        <v>51</v>
      </c>
      <c r="C82" s="158">
        <v>0</v>
      </c>
      <c r="D82" s="158">
        <v>0</v>
      </c>
      <c r="E82" s="231">
        <f>E83+E84</f>
        <v>0</v>
      </c>
      <c r="F82" s="231">
        <f t="shared" ref="F82:G82" si="99">F83+F84</f>
        <v>0</v>
      </c>
      <c r="G82" s="231">
        <f t="shared" si="99"/>
        <v>0</v>
      </c>
      <c r="H82" s="232">
        <f t="shared" si="87"/>
        <v>0</v>
      </c>
      <c r="I82" s="231">
        <v>0</v>
      </c>
      <c r="J82" s="231">
        <f>J83+J84</f>
        <v>0</v>
      </c>
      <c r="K82" s="231">
        <f t="shared" ref="K82:L82" si="100">K83+K84</f>
        <v>0</v>
      </c>
      <c r="L82" s="231">
        <f t="shared" si="100"/>
        <v>0</v>
      </c>
      <c r="M82" s="232">
        <f t="shared" si="88"/>
        <v>0</v>
      </c>
      <c r="N82" s="231">
        <v>0</v>
      </c>
      <c r="O82" s="231">
        <f>O83+O84</f>
        <v>0</v>
      </c>
      <c r="P82" s="231">
        <f t="shared" ref="P82:Q82" si="101">P83+P84</f>
        <v>0</v>
      </c>
      <c r="Q82" s="231">
        <f t="shared" si="101"/>
        <v>0</v>
      </c>
      <c r="R82" s="232">
        <f t="shared" si="89"/>
        <v>0</v>
      </c>
    </row>
    <row r="83" spans="1:18" s="6" customFormat="1" ht="12" hidden="1" customHeight="1">
      <c r="A83" s="141" t="s">
        <v>52</v>
      </c>
      <c r="B83" s="112" t="s">
        <v>53</v>
      </c>
      <c r="C83" s="158"/>
      <c r="D83" s="158">
        <v>0</v>
      </c>
      <c r="E83" s="231"/>
      <c r="F83" s="231"/>
      <c r="G83" s="231"/>
      <c r="H83" s="232">
        <f t="shared" si="87"/>
        <v>0</v>
      </c>
      <c r="I83" s="231">
        <v>0</v>
      </c>
      <c r="J83" s="231"/>
      <c r="K83" s="231"/>
      <c r="L83" s="231"/>
      <c r="M83" s="232">
        <f t="shared" si="88"/>
        <v>0</v>
      </c>
      <c r="N83" s="231">
        <v>0</v>
      </c>
      <c r="O83" s="231"/>
      <c r="P83" s="231"/>
      <c r="Q83" s="231"/>
      <c r="R83" s="232">
        <f t="shared" si="89"/>
        <v>0</v>
      </c>
    </row>
    <row r="84" spans="1:18" s="6" customFormat="1" ht="12" hidden="1" customHeight="1">
      <c r="A84" s="141" t="s">
        <v>54</v>
      </c>
      <c r="B84" s="112" t="s">
        <v>55</v>
      </c>
      <c r="C84" s="158"/>
      <c r="D84" s="158">
        <v>0</v>
      </c>
      <c r="E84" s="231"/>
      <c r="F84" s="231"/>
      <c r="G84" s="231"/>
      <c r="H84" s="232">
        <f t="shared" si="87"/>
        <v>0</v>
      </c>
      <c r="I84" s="231">
        <v>0</v>
      </c>
      <c r="J84" s="231"/>
      <c r="K84" s="231"/>
      <c r="L84" s="231"/>
      <c r="M84" s="232">
        <f t="shared" si="88"/>
        <v>0</v>
      </c>
      <c r="N84" s="231">
        <v>0</v>
      </c>
      <c r="O84" s="231"/>
      <c r="P84" s="231"/>
      <c r="Q84" s="231"/>
      <c r="R84" s="232">
        <f t="shared" si="89"/>
        <v>0</v>
      </c>
    </row>
    <row r="85" spans="1:18" s="6" customFormat="1" ht="12" hidden="1" customHeight="1">
      <c r="A85" s="141" t="s">
        <v>56</v>
      </c>
      <c r="B85" s="112" t="s">
        <v>57</v>
      </c>
      <c r="C85" s="158">
        <v>0</v>
      </c>
      <c r="D85" s="158">
        <v>0</v>
      </c>
      <c r="E85" s="231">
        <f>E86+E87</f>
        <v>0</v>
      </c>
      <c r="F85" s="231">
        <f t="shared" ref="F85:G85" si="102">F86+F87</f>
        <v>0</v>
      </c>
      <c r="G85" s="231">
        <f t="shared" si="102"/>
        <v>0</v>
      </c>
      <c r="H85" s="232">
        <f t="shared" si="87"/>
        <v>0</v>
      </c>
      <c r="I85" s="231">
        <v>0</v>
      </c>
      <c r="J85" s="231">
        <f>J86+J87</f>
        <v>0</v>
      </c>
      <c r="K85" s="231">
        <f t="shared" ref="K85:L85" si="103">K86+K87</f>
        <v>0</v>
      </c>
      <c r="L85" s="231">
        <f t="shared" si="103"/>
        <v>0</v>
      </c>
      <c r="M85" s="232">
        <f t="shared" si="88"/>
        <v>0</v>
      </c>
      <c r="N85" s="231">
        <v>0</v>
      </c>
      <c r="O85" s="231">
        <f>O86+O87</f>
        <v>0</v>
      </c>
      <c r="P85" s="231">
        <f t="shared" ref="P85:Q85" si="104">P86+P87</f>
        <v>0</v>
      </c>
      <c r="Q85" s="231">
        <f t="shared" si="104"/>
        <v>0</v>
      </c>
      <c r="R85" s="232">
        <f t="shared" si="89"/>
        <v>0</v>
      </c>
    </row>
    <row r="86" spans="1:18" s="6" customFormat="1" ht="12" hidden="1" customHeight="1">
      <c r="A86" s="141" t="s">
        <v>58</v>
      </c>
      <c r="B86" s="112" t="s">
        <v>59</v>
      </c>
      <c r="C86" s="158"/>
      <c r="D86" s="158">
        <v>0</v>
      </c>
      <c r="E86" s="231"/>
      <c r="F86" s="231"/>
      <c r="G86" s="231"/>
      <c r="H86" s="232">
        <f t="shared" si="87"/>
        <v>0</v>
      </c>
      <c r="I86" s="231">
        <v>0</v>
      </c>
      <c r="J86" s="231"/>
      <c r="K86" s="231"/>
      <c r="L86" s="231"/>
      <c r="M86" s="232">
        <f t="shared" si="88"/>
        <v>0</v>
      </c>
      <c r="N86" s="231">
        <v>0</v>
      </c>
      <c r="O86" s="231"/>
      <c r="P86" s="231"/>
      <c r="Q86" s="231"/>
      <c r="R86" s="232">
        <f t="shared" si="89"/>
        <v>0</v>
      </c>
    </row>
    <row r="87" spans="1:18" s="6" customFormat="1" ht="12" hidden="1" customHeight="1">
      <c r="A87" s="141" t="s">
        <v>60</v>
      </c>
      <c r="B87" s="112" t="s">
        <v>61</v>
      </c>
      <c r="C87" s="158"/>
      <c r="D87" s="158">
        <v>0</v>
      </c>
      <c r="E87" s="231"/>
      <c r="F87" s="231"/>
      <c r="G87" s="231"/>
      <c r="H87" s="232">
        <f t="shared" si="87"/>
        <v>0</v>
      </c>
      <c r="I87" s="231">
        <v>0</v>
      </c>
      <c r="J87" s="231"/>
      <c r="K87" s="231"/>
      <c r="L87" s="231"/>
      <c r="M87" s="232">
        <f t="shared" si="88"/>
        <v>0</v>
      </c>
      <c r="N87" s="231">
        <v>0</v>
      </c>
      <c r="O87" s="231"/>
      <c r="P87" s="231"/>
      <c r="Q87" s="231"/>
      <c r="R87" s="232">
        <f t="shared" si="89"/>
        <v>0</v>
      </c>
    </row>
    <row r="88" spans="1:18" s="6" customFormat="1" ht="12" hidden="1" customHeight="1">
      <c r="A88" s="141" t="s">
        <v>198</v>
      </c>
      <c r="B88" s="120" t="s">
        <v>168</v>
      </c>
      <c r="C88" s="158"/>
      <c r="D88" s="158">
        <v>0</v>
      </c>
      <c r="E88" s="231"/>
      <c r="F88" s="231"/>
      <c r="G88" s="231"/>
      <c r="H88" s="232">
        <f t="shared" si="87"/>
        <v>0</v>
      </c>
      <c r="I88" s="231">
        <v>0</v>
      </c>
      <c r="J88" s="231"/>
      <c r="K88" s="231"/>
      <c r="L88" s="231"/>
      <c r="M88" s="232">
        <f t="shared" si="88"/>
        <v>0</v>
      </c>
      <c r="N88" s="231">
        <v>0</v>
      </c>
      <c r="O88" s="231"/>
      <c r="P88" s="231"/>
      <c r="Q88" s="231"/>
      <c r="R88" s="232">
        <f t="shared" si="89"/>
        <v>0</v>
      </c>
    </row>
    <row r="89" spans="1:18" s="6" customFormat="1" ht="12" hidden="1" customHeight="1">
      <c r="A89" s="144" t="s">
        <v>62</v>
      </c>
      <c r="B89" s="101" t="s">
        <v>63</v>
      </c>
      <c r="C89" s="106">
        <v>0</v>
      </c>
      <c r="D89" s="106">
        <v>0</v>
      </c>
      <c r="E89" s="233">
        <f t="shared" ref="E89:G89" si="105">E90+E91+E92</f>
        <v>0</v>
      </c>
      <c r="F89" s="233">
        <f t="shared" ref="F89" si="106">F90+F91+F92</f>
        <v>0</v>
      </c>
      <c r="G89" s="233">
        <f t="shared" si="105"/>
        <v>0</v>
      </c>
      <c r="H89" s="232">
        <f t="shared" si="87"/>
        <v>0</v>
      </c>
      <c r="I89" s="233">
        <v>0</v>
      </c>
      <c r="J89" s="233">
        <f t="shared" ref="J89:L89" si="107">J90+J91+J92</f>
        <v>0</v>
      </c>
      <c r="K89" s="233">
        <f t="shared" ref="K89" si="108">K90+K91+K92</f>
        <v>0</v>
      </c>
      <c r="L89" s="233">
        <f t="shared" si="107"/>
        <v>0</v>
      </c>
      <c r="M89" s="232">
        <f t="shared" si="88"/>
        <v>0</v>
      </c>
      <c r="N89" s="233">
        <v>0</v>
      </c>
      <c r="O89" s="233">
        <f t="shared" ref="O89:Q89" si="109">O90+O91+O92</f>
        <v>0</v>
      </c>
      <c r="P89" s="233">
        <f t="shared" ref="P89" si="110">P90+P91+P92</f>
        <v>0</v>
      </c>
      <c r="Q89" s="233">
        <f t="shared" si="109"/>
        <v>0</v>
      </c>
      <c r="R89" s="232">
        <f t="shared" si="89"/>
        <v>0</v>
      </c>
    </row>
    <row r="90" spans="1:18" s="6" customFormat="1" ht="36" hidden="1" customHeight="1">
      <c r="A90" s="144" t="s">
        <v>64</v>
      </c>
      <c r="B90" s="112" t="s">
        <v>65</v>
      </c>
      <c r="C90" s="158"/>
      <c r="D90" s="158">
        <v>0</v>
      </c>
      <c r="E90" s="231"/>
      <c r="F90" s="231"/>
      <c r="G90" s="231"/>
      <c r="H90" s="232">
        <f t="shared" si="87"/>
        <v>0</v>
      </c>
      <c r="I90" s="231">
        <v>0</v>
      </c>
      <c r="J90" s="231"/>
      <c r="K90" s="231"/>
      <c r="L90" s="231"/>
      <c r="M90" s="232">
        <f t="shared" si="88"/>
        <v>0</v>
      </c>
      <c r="N90" s="231">
        <v>0</v>
      </c>
      <c r="O90" s="231"/>
      <c r="P90" s="231"/>
      <c r="Q90" s="231"/>
      <c r="R90" s="232">
        <f t="shared" si="89"/>
        <v>0</v>
      </c>
    </row>
    <row r="91" spans="1:18" s="6" customFormat="1" ht="24" hidden="1" customHeight="1">
      <c r="A91" s="144" t="s">
        <v>66</v>
      </c>
      <c r="B91" s="112" t="s">
        <v>67</v>
      </c>
      <c r="C91" s="158"/>
      <c r="D91" s="158">
        <v>0</v>
      </c>
      <c r="E91" s="231"/>
      <c r="F91" s="231"/>
      <c r="G91" s="231"/>
      <c r="H91" s="232">
        <f t="shared" si="87"/>
        <v>0</v>
      </c>
      <c r="I91" s="231">
        <v>0</v>
      </c>
      <c r="J91" s="231"/>
      <c r="K91" s="231"/>
      <c r="L91" s="231"/>
      <c r="M91" s="232">
        <f t="shared" si="88"/>
        <v>0</v>
      </c>
      <c r="N91" s="231">
        <v>0</v>
      </c>
      <c r="O91" s="231"/>
      <c r="P91" s="231"/>
      <c r="Q91" s="231"/>
      <c r="R91" s="232">
        <f t="shared" si="89"/>
        <v>0</v>
      </c>
    </row>
    <row r="92" spans="1:18" s="6" customFormat="1" ht="24" hidden="1" customHeight="1">
      <c r="A92" s="144" t="s">
        <v>68</v>
      </c>
      <c r="B92" s="101" t="s">
        <v>69</v>
      </c>
      <c r="C92" s="158"/>
      <c r="D92" s="158">
        <v>0</v>
      </c>
      <c r="E92" s="231"/>
      <c r="F92" s="231"/>
      <c r="G92" s="231"/>
      <c r="H92" s="232">
        <f t="shared" si="87"/>
        <v>0</v>
      </c>
      <c r="I92" s="231">
        <v>0</v>
      </c>
      <c r="J92" s="231"/>
      <c r="K92" s="231"/>
      <c r="L92" s="231"/>
      <c r="M92" s="232">
        <f t="shared" si="88"/>
        <v>0</v>
      </c>
      <c r="N92" s="231">
        <v>0</v>
      </c>
      <c r="O92" s="231"/>
      <c r="P92" s="231"/>
      <c r="Q92" s="231"/>
      <c r="R92" s="232">
        <f t="shared" si="89"/>
        <v>0</v>
      </c>
    </row>
    <row r="93" spans="1:18" s="6" customFormat="1" ht="12">
      <c r="A93" s="145"/>
      <c r="B93" s="121" t="s">
        <v>199</v>
      </c>
      <c r="C93" s="199"/>
      <c r="D93" s="122">
        <v>0</v>
      </c>
      <c r="E93" s="268"/>
      <c r="F93" s="268"/>
      <c r="G93" s="268"/>
      <c r="H93" s="269">
        <f t="shared" si="87"/>
        <v>0</v>
      </c>
      <c r="I93" s="347">
        <v>0</v>
      </c>
      <c r="J93" s="268"/>
      <c r="K93" s="268"/>
      <c r="L93" s="268"/>
      <c r="M93" s="269">
        <f t="shared" si="88"/>
        <v>0</v>
      </c>
      <c r="N93" s="347">
        <v>0</v>
      </c>
      <c r="O93" s="268"/>
      <c r="P93" s="268"/>
      <c r="Q93" s="268"/>
      <c r="R93" s="269">
        <f t="shared" si="89"/>
        <v>0</v>
      </c>
    </row>
    <row r="94" spans="1:18" s="6" customFormat="1" ht="20.399999999999999">
      <c r="A94" s="129" t="s">
        <v>201</v>
      </c>
      <c r="B94" s="99" t="s">
        <v>88</v>
      </c>
      <c r="C94" s="193">
        <v>11462228</v>
      </c>
      <c r="D94" s="193">
        <v>11462228</v>
      </c>
      <c r="E94" s="228">
        <f t="shared" ref="E94:G94" si="111">E95+E96+E98+E116</f>
        <v>0</v>
      </c>
      <c r="F94" s="228">
        <f t="shared" ref="F94" si="112">F95+F96+F98+F116</f>
        <v>0</v>
      </c>
      <c r="G94" s="228">
        <f t="shared" si="111"/>
        <v>0</v>
      </c>
      <c r="H94" s="229">
        <f t="shared" si="87"/>
        <v>11462228</v>
      </c>
      <c r="I94" s="228">
        <v>11728401</v>
      </c>
      <c r="J94" s="228">
        <f t="shared" ref="J94:L94" si="113">J95+J96+J98+J116</f>
        <v>0</v>
      </c>
      <c r="K94" s="228">
        <f t="shared" ref="K94" si="114">K95+K96+K98+K116</f>
        <v>0</v>
      </c>
      <c r="L94" s="228">
        <f t="shared" si="113"/>
        <v>0</v>
      </c>
      <c r="M94" s="229">
        <f t="shared" si="88"/>
        <v>11728401</v>
      </c>
      <c r="N94" s="228">
        <v>11462228</v>
      </c>
      <c r="O94" s="228">
        <f t="shared" ref="O94:Q94" si="115">O95+O96+O98+O116</f>
        <v>0</v>
      </c>
      <c r="P94" s="228">
        <f t="shared" ref="P94" si="116">P95+P96+P98+P116</f>
        <v>0</v>
      </c>
      <c r="Q94" s="228">
        <f t="shared" si="115"/>
        <v>0</v>
      </c>
      <c r="R94" s="229">
        <f t="shared" si="89"/>
        <v>11462228</v>
      </c>
    </row>
    <row r="95" spans="1:18" s="6" customFormat="1" ht="22.8">
      <c r="A95" s="130" t="s">
        <v>177</v>
      </c>
      <c r="B95" s="100" t="s">
        <v>90</v>
      </c>
      <c r="C95" s="158">
        <v>290000</v>
      </c>
      <c r="D95" s="158">
        <v>290000</v>
      </c>
      <c r="E95" s="231"/>
      <c r="F95" s="231"/>
      <c r="G95" s="231"/>
      <c r="H95" s="232">
        <f t="shared" si="87"/>
        <v>290000</v>
      </c>
      <c r="I95" s="231">
        <v>290000</v>
      </c>
      <c r="J95" s="231"/>
      <c r="K95" s="231"/>
      <c r="L95" s="231"/>
      <c r="M95" s="232">
        <f t="shared" si="88"/>
        <v>290000</v>
      </c>
      <c r="N95" s="231">
        <v>290000</v>
      </c>
      <c r="O95" s="231"/>
      <c r="P95" s="231"/>
      <c r="Q95" s="231"/>
      <c r="R95" s="232">
        <f t="shared" si="89"/>
        <v>290000</v>
      </c>
    </row>
    <row r="96" spans="1:18" s="6" customFormat="1" ht="12" hidden="1" customHeight="1">
      <c r="A96" s="130" t="s">
        <v>91</v>
      </c>
      <c r="B96" s="100" t="s">
        <v>92</v>
      </c>
      <c r="C96" s="158"/>
      <c r="D96" s="158">
        <v>0</v>
      </c>
      <c r="E96" s="231"/>
      <c r="F96" s="231"/>
      <c r="G96" s="231"/>
      <c r="H96" s="232">
        <f t="shared" si="87"/>
        <v>0</v>
      </c>
      <c r="I96" s="231">
        <v>0</v>
      </c>
      <c r="J96" s="231"/>
      <c r="K96" s="231"/>
      <c r="L96" s="231"/>
      <c r="M96" s="232">
        <f t="shared" si="88"/>
        <v>0</v>
      </c>
      <c r="N96" s="231">
        <v>0</v>
      </c>
      <c r="O96" s="231"/>
      <c r="P96" s="231"/>
      <c r="Q96" s="231"/>
      <c r="R96" s="232">
        <f t="shared" si="89"/>
        <v>0</v>
      </c>
    </row>
    <row r="97" spans="1:18" s="6" customFormat="1" ht="24" hidden="1" customHeight="1">
      <c r="A97" s="131">
        <v>21210</v>
      </c>
      <c r="B97" s="101" t="s">
        <v>93</v>
      </c>
      <c r="C97" s="158"/>
      <c r="D97" s="158">
        <v>0</v>
      </c>
      <c r="E97" s="231"/>
      <c r="F97" s="231"/>
      <c r="G97" s="231"/>
      <c r="H97" s="232">
        <f t="shared" si="87"/>
        <v>0</v>
      </c>
      <c r="I97" s="231">
        <v>0</v>
      </c>
      <c r="J97" s="231"/>
      <c r="K97" s="231"/>
      <c r="L97" s="231"/>
      <c r="M97" s="232">
        <f t="shared" si="88"/>
        <v>0</v>
      </c>
      <c r="N97" s="231">
        <v>0</v>
      </c>
      <c r="O97" s="231"/>
      <c r="P97" s="231"/>
      <c r="Q97" s="231"/>
      <c r="R97" s="232">
        <f t="shared" si="89"/>
        <v>0</v>
      </c>
    </row>
    <row r="98" spans="1:18" s="6" customFormat="1" ht="21" hidden="1" customHeight="1">
      <c r="A98" s="130" t="s">
        <v>178</v>
      </c>
      <c r="B98" s="100" t="s">
        <v>94</v>
      </c>
      <c r="C98" s="106">
        <v>0</v>
      </c>
      <c r="D98" s="106">
        <v>0</v>
      </c>
      <c r="E98" s="233">
        <f t="shared" ref="E98:G98" si="117">E99+E105</f>
        <v>0</v>
      </c>
      <c r="F98" s="233">
        <f t="shared" ref="F98" si="118">F99+F105</f>
        <v>0</v>
      </c>
      <c r="G98" s="233">
        <f t="shared" si="117"/>
        <v>0</v>
      </c>
      <c r="H98" s="232">
        <f t="shared" si="87"/>
        <v>0</v>
      </c>
      <c r="I98" s="233">
        <v>0</v>
      </c>
      <c r="J98" s="233">
        <f t="shared" ref="J98:L98" si="119">J99+J105</f>
        <v>0</v>
      </c>
      <c r="K98" s="233">
        <f t="shared" ref="K98" si="120">K99+K105</f>
        <v>0</v>
      </c>
      <c r="L98" s="233">
        <f t="shared" si="119"/>
        <v>0</v>
      </c>
      <c r="M98" s="232">
        <f t="shared" si="88"/>
        <v>0</v>
      </c>
      <c r="N98" s="233">
        <v>0</v>
      </c>
      <c r="O98" s="233">
        <f t="shared" ref="O98:Q98" si="121">O99+O105</f>
        <v>0</v>
      </c>
      <c r="P98" s="233">
        <f t="shared" ref="P98" si="122">P99+P105</f>
        <v>0</v>
      </c>
      <c r="Q98" s="233">
        <f t="shared" si="121"/>
        <v>0</v>
      </c>
      <c r="R98" s="232">
        <f t="shared" si="89"/>
        <v>0</v>
      </c>
    </row>
    <row r="99" spans="1:18" s="6" customFormat="1" ht="12" hidden="1" customHeight="1">
      <c r="A99" s="132">
        <v>18000</v>
      </c>
      <c r="B99" s="101" t="s">
        <v>95</v>
      </c>
      <c r="C99" s="106">
        <v>0</v>
      </c>
      <c r="D99" s="106">
        <v>0</v>
      </c>
      <c r="E99" s="233">
        <f t="shared" ref="E99:L100" si="123">E100</f>
        <v>0</v>
      </c>
      <c r="F99" s="233">
        <f t="shared" si="123"/>
        <v>0</v>
      </c>
      <c r="G99" s="233">
        <f t="shared" si="123"/>
        <v>0</v>
      </c>
      <c r="H99" s="232">
        <f t="shared" si="87"/>
        <v>0</v>
      </c>
      <c r="I99" s="233">
        <v>0</v>
      </c>
      <c r="J99" s="233">
        <f t="shared" si="123"/>
        <v>0</v>
      </c>
      <c r="K99" s="233">
        <f t="shared" si="123"/>
        <v>0</v>
      </c>
      <c r="L99" s="233">
        <f t="shared" si="123"/>
        <v>0</v>
      </c>
      <c r="M99" s="232">
        <f t="shared" si="88"/>
        <v>0</v>
      </c>
      <c r="N99" s="233">
        <v>0</v>
      </c>
      <c r="O99" s="233">
        <f t="shared" ref="O99:Q100" si="124">O100</f>
        <v>0</v>
      </c>
      <c r="P99" s="233">
        <f t="shared" si="124"/>
        <v>0</v>
      </c>
      <c r="Q99" s="233">
        <f t="shared" si="124"/>
        <v>0</v>
      </c>
      <c r="R99" s="232">
        <f t="shared" si="89"/>
        <v>0</v>
      </c>
    </row>
    <row r="100" spans="1:18" s="6" customFormat="1" ht="12" hidden="1" customHeight="1">
      <c r="A100" s="132">
        <v>18100</v>
      </c>
      <c r="B100" s="101" t="s">
        <v>96</v>
      </c>
      <c r="C100" s="106">
        <v>0</v>
      </c>
      <c r="D100" s="106">
        <v>0</v>
      </c>
      <c r="E100" s="233">
        <f t="shared" si="123"/>
        <v>0</v>
      </c>
      <c r="F100" s="233">
        <f t="shared" si="123"/>
        <v>0</v>
      </c>
      <c r="G100" s="233">
        <f t="shared" si="123"/>
        <v>0</v>
      </c>
      <c r="H100" s="232">
        <f t="shared" si="87"/>
        <v>0</v>
      </c>
      <c r="I100" s="233">
        <v>0</v>
      </c>
      <c r="J100" s="233">
        <f t="shared" si="123"/>
        <v>0</v>
      </c>
      <c r="K100" s="233">
        <f t="shared" si="123"/>
        <v>0</v>
      </c>
      <c r="L100" s="233">
        <f t="shared" si="123"/>
        <v>0</v>
      </c>
      <c r="M100" s="232">
        <f t="shared" si="88"/>
        <v>0</v>
      </c>
      <c r="N100" s="233">
        <v>0</v>
      </c>
      <c r="O100" s="233">
        <f t="shared" si="124"/>
        <v>0</v>
      </c>
      <c r="P100" s="233">
        <f t="shared" si="124"/>
        <v>0</v>
      </c>
      <c r="Q100" s="233">
        <f t="shared" si="124"/>
        <v>0</v>
      </c>
      <c r="R100" s="232">
        <f t="shared" si="89"/>
        <v>0</v>
      </c>
    </row>
    <row r="101" spans="1:18" s="6" customFormat="1" ht="24" hidden="1" customHeight="1">
      <c r="A101" s="133">
        <v>18130</v>
      </c>
      <c r="B101" s="108" t="s">
        <v>159</v>
      </c>
      <c r="C101" s="106">
        <v>0</v>
      </c>
      <c r="D101" s="106">
        <v>0</v>
      </c>
      <c r="E101" s="233">
        <f t="shared" ref="E101:G101" si="125">SUM(E102:E104)</f>
        <v>0</v>
      </c>
      <c r="F101" s="233">
        <f t="shared" ref="F101" si="126">SUM(F102:F104)</f>
        <v>0</v>
      </c>
      <c r="G101" s="233">
        <f t="shared" si="125"/>
        <v>0</v>
      </c>
      <c r="H101" s="232">
        <f t="shared" si="87"/>
        <v>0</v>
      </c>
      <c r="I101" s="233">
        <v>0</v>
      </c>
      <c r="J101" s="233">
        <f t="shared" ref="J101:L101" si="127">SUM(J102:J104)</f>
        <v>0</v>
      </c>
      <c r="K101" s="233">
        <f t="shared" ref="K101" si="128">SUM(K102:K104)</f>
        <v>0</v>
      </c>
      <c r="L101" s="233">
        <f t="shared" si="127"/>
        <v>0</v>
      </c>
      <c r="M101" s="232">
        <f t="shared" si="88"/>
        <v>0</v>
      </c>
      <c r="N101" s="233">
        <v>0</v>
      </c>
      <c r="O101" s="233">
        <f t="shared" ref="O101:Q101" si="129">SUM(O102:O104)</f>
        <v>0</v>
      </c>
      <c r="P101" s="233">
        <f t="shared" ref="P101" si="130">SUM(P102:P104)</f>
        <v>0</v>
      </c>
      <c r="Q101" s="233">
        <f t="shared" si="129"/>
        <v>0</v>
      </c>
      <c r="R101" s="232">
        <f t="shared" si="89"/>
        <v>0</v>
      </c>
    </row>
    <row r="102" spans="1:18" s="6" customFormat="1" ht="24" hidden="1" customHeight="1">
      <c r="A102" s="134">
        <v>18131</v>
      </c>
      <c r="B102" s="108" t="s">
        <v>160</v>
      </c>
      <c r="C102" s="106"/>
      <c r="D102" s="106">
        <v>0</v>
      </c>
      <c r="E102" s="233"/>
      <c r="F102" s="233"/>
      <c r="G102" s="233"/>
      <c r="H102" s="232">
        <f t="shared" si="87"/>
        <v>0</v>
      </c>
      <c r="I102" s="233">
        <v>0</v>
      </c>
      <c r="J102" s="233"/>
      <c r="K102" s="233"/>
      <c r="L102" s="233"/>
      <c r="M102" s="232">
        <f t="shared" si="88"/>
        <v>0</v>
      </c>
      <c r="N102" s="233">
        <v>0</v>
      </c>
      <c r="O102" s="233"/>
      <c r="P102" s="233"/>
      <c r="Q102" s="233"/>
      <c r="R102" s="232">
        <f t="shared" si="89"/>
        <v>0</v>
      </c>
    </row>
    <row r="103" spans="1:18" s="6" customFormat="1" ht="24" hidden="1" customHeight="1">
      <c r="A103" s="134">
        <v>18132</v>
      </c>
      <c r="B103" s="108" t="s">
        <v>169</v>
      </c>
      <c r="C103" s="106"/>
      <c r="D103" s="106">
        <v>0</v>
      </c>
      <c r="E103" s="233"/>
      <c r="F103" s="233"/>
      <c r="G103" s="233"/>
      <c r="H103" s="232">
        <f t="shared" si="87"/>
        <v>0</v>
      </c>
      <c r="I103" s="233">
        <v>0</v>
      </c>
      <c r="J103" s="233"/>
      <c r="K103" s="233"/>
      <c r="L103" s="233"/>
      <c r="M103" s="232">
        <f t="shared" si="88"/>
        <v>0</v>
      </c>
      <c r="N103" s="233">
        <v>0</v>
      </c>
      <c r="O103" s="233"/>
      <c r="P103" s="233"/>
      <c r="Q103" s="233"/>
      <c r="R103" s="232">
        <f t="shared" si="89"/>
        <v>0</v>
      </c>
    </row>
    <row r="104" spans="1:18" s="6" customFormat="1" ht="24" hidden="1" customHeight="1">
      <c r="A104" s="134">
        <v>18139</v>
      </c>
      <c r="B104" s="108" t="s">
        <v>179</v>
      </c>
      <c r="C104" s="106"/>
      <c r="D104" s="106">
        <v>0</v>
      </c>
      <c r="E104" s="233"/>
      <c r="F104" s="233"/>
      <c r="G104" s="233"/>
      <c r="H104" s="232">
        <f t="shared" si="87"/>
        <v>0</v>
      </c>
      <c r="I104" s="233">
        <v>0</v>
      </c>
      <c r="J104" s="233"/>
      <c r="K104" s="233"/>
      <c r="L104" s="233"/>
      <c r="M104" s="232">
        <f t="shared" si="88"/>
        <v>0</v>
      </c>
      <c r="N104" s="233">
        <v>0</v>
      </c>
      <c r="O104" s="233"/>
      <c r="P104" s="233"/>
      <c r="Q104" s="233"/>
      <c r="R104" s="232">
        <f t="shared" si="89"/>
        <v>0</v>
      </c>
    </row>
    <row r="105" spans="1:18" s="6" customFormat="1" ht="12" hidden="1" customHeight="1">
      <c r="A105" s="135" t="s">
        <v>180</v>
      </c>
      <c r="B105" s="109" t="s">
        <v>173</v>
      </c>
      <c r="C105" s="194">
        <v>0</v>
      </c>
      <c r="D105" s="194">
        <v>0</v>
      </c>
      <c r="E105" s="238">
        <f t="shared" ref="E105:L105" si="131">E106</f>
        <v>0</v>
      </c>
      <c r="F105" s="238">
        <f t="shared" si="131"/>
        <v>0</v>
      </c>
      <c r="G105" s="238">
        <f t="shared" si="131"/>
        <v>0</v>
      </c>
      <c r="H105" s="232">
        <f t="shared" si="87"/>
        <v>0</v>
      </c>
      <c r="I105" s="238">
        <v>0</v>
      </c>
      <c r="J105" s="238">
        <f t="shared" si="131"/>
        <v>0</v>
      </c>
      <c r="K105" s="238">
        <f t="shared" si="131"/>
        <v>0</v>
      </c>
      <c r="L105" s="238">
        <f t="shared" si="131"/>
        <v>0</v>
      </c>
      <c r="M105" s="232">
        <f t="shared" si="88"/>
        <v>0</v>
      </c>
      <c r="N105" s="238">
        <v>0</v>
      </c>
      <c r="O105" s="238">
        <f t="shared" ref="O105:Q105" si="132">O106</f>
        <v>0</v>
      </c>
      <c r="P105" s="238">
        <f t="shared" si="132"/>
        <v>0</v>
      </c>
      <c r="Q105" s="238">
        <f t="shared" si="132"/>
        <v>0</v>
      </c>
      <c r="R105" s="232">
        <f t="shared" si="89"/>
        <v>0</v>
      </c>
    </row>
    <row r="106" spans="1:18" s="6" customFormat="1" ht="12" hidden="1" customHeight="1">
      <c r="A106" s="135">
        <v>19500</v>
      </c>
      <c r="B106" s="108" t="s">
        <v>174</v>
      </c>
      <c r="C106" s="106">
        <v>0</v>
      </c>
      <c r="D106" s="106">
        <v>0</v>
      </c>
      <c r="E106" s="233">
        <f t="shared" ref="E106:G106" si="133">SUM(E107:E109)</f>
        <v>0</v>
      </c>
      <c r="F106" s="233">
        <f t="shared" ref="F106" si="134">SUM(F107:F109)</f>
        <v>0</v>
      </c>
      <c r="G106" s="233">
        <f t="shared" si="133"/>
        <v>0</v>
      </c>
      <c r="H106" s="232">
        <f t="shared" si="87"/>
        <v>0</v>
      </c>
      <c r="I106" s="233">
        <v>0</v>
      </c>
      <c r="J106" s="233">
        <f t="shared" ref="J106:L106" si="135">SUM(J107:J109)</f>
        <v>0</v>
      </c>
      <c r="K106" s="233">
        <f t="shared" ref="K106" si="136">SUM(K107:K109)</f>
        <v>0</v>
      </c>
      <c r="L106" s="233">
        <f t="shared" si="135"/>
        <v>0</v>
      </c>
      <c r="M106" s="232">
        <f t="shared" si="88"/>
        <v>0</v>
      </c>
      <c r="N106" s="233">
        <v>0</v>
      </c>
      <c r="O106" s="233">
        <f t="shared" ref="O106:Q106" si="137">SUM(O107:O109)</f>
        <v>0</v>
      </c>
      <c r="P106" s="233">
        <f t="shared" ref="P106" si="138">SUM(P107:P109)</f>
        <v>0</v>
      </c>
      <c r="Q106" s="233">
        <f t="shared" si="137"/>
        <v>0</v>
      </c>
      <c r="R106" s="232">
        <f t="shared" si="89"/>
        <v>0</v>
      </c>
    </row>
    <row r="107" spans="1:18" s="6" customFormat="1" ht="24" hidden="1" customHeight="1">
      <c r="A107" s="136">
        <v>19550</v>
      </c>
      <c r="B107" s="108" t="s">
        <v>175</v>
      </c>
      <c r="C107" s="106"/>
      <c r="D107" s="106">
        <v>0</v>
      </c>
      <c r="E107" s="233"/>
      <c r="F107" s="233"/>
      <c r="G107" s="233"/>
      <c r="H107" s="232">
        <f t="shared" si="87"/>
        <v>0</v>
      </c>
      <c r="I107" s="233">
        <v>0</v>
      </c>
      <c r="J107" s="233"/>
      <c r="K107" s="233"/>
      <c r="L107" s="233"/>
      <c r="M107" s="232">
        <f t="shared" si="88"/>
        <v>0</v>
      </c>
      <c r="N107" s="233">
        <v>0</v>
      </c>
      <c r="O107" s="233"/>
      <c r="P107" s="233"/>
      <c r="Q107" s="233"/>
      <c r="R107" s="232">
        <f t="shared" si="89"/>
        <v>0</v>
      </c>
    </row>
    <row r="108" spans="1:18" s="6" customFormat="1" ht="36" hidden="1" customHeight="1">
      <c r="A108" s="136">
        <v>19560</v>
      </c>
      <c r="B108" s="108" t="s">
        <v>181</v>
      </c>
      <c r="C108" s="106"/>
      <c r="D108" s="106">
        <v>0</v>
      </c>
      <c r="E108" s="233"/>
      <c r="F108" s="233"/>
      <c r="G108" s="233"/>
      <c r="H108" s="232">
        <f t="shared" si="87"/>
        <v>0</v>
      </c>
      <c r="I108" s="233">
        <v>0</v>
      </c>
      <c r="J108" s="233"/>
      <c r="K108" s="233"/>
      <c r="L108" s="233"/>
      <c r="M108" s="232">
        <f t="shared" si="88"/>
        <v>0</v>
      </c>
      <c r="N108" s="233">
        <v>0</v>
      </c>
      <c r="O108" s="233"/>
      <c r="P108" s="233"/>
      <c r="Q108" s="233"/>
      <c r="R108" s="232">
        <f t="shared" si="89"/>
        <v>0</v>
      </c>
    </row>
    <row r="109" spans="1:18" s="6" customFormat="1" ht="60" hidden="1" customHeight="1">
      <c r="A109" s="136">
        <v>19570</v>
      </c>
      <c r="B109" s="108" t="s">
        <v>182</v>
      </c>
      <c r="C109" s="106"/>
      <c r="D109" s="106">
        <v>0</v>
      </c>
      <c r="E109" s="233"/>
      <c r="F109" s="233"/>
      <c r="G109" s="233"/>
      <c r="H109" s="232">
        <f t="shared" si="87"/>
        <v>0</v>
      </c>
      <c r="I109" s="233">
        <v>0</v>
      </c>
      <c r="J109" s="233"/>
      <c r="K109" s="233"/>
      <c r="L109" s="233"/>
      <c r="M109" s="232">
        <f t="shared" si="88"/>
        <v>0</v>
      </c>
      <c r="N109" s="233">
        <v>0</v>
      </c>
      <c r="O109" s="233"/>
      <c r="P109" s="233"/>
      <c r="Q109" s="233"/>
      <c r="R109" s="232">
        <f t="shared" si="89"/>
        <v>0</v>
      </c>
    </row>
    <row r="110" spans="1:18" s="6" customFormat="1" ht="24" hidden="1" customHeight="1">
      <c r="A110" s="209" t="s">
        <v>222</v>
      </c>
      <c r="B110" s="208" t="s">
        <v>216</v>
      </c>
      <c r="C110" s="106">
        <f>C111</f>
        <v>0</v>
      </c>
      <c r="D110" s="106">
        <v>0</v>
      </c>
      <c r="E110" s="232">
        <f t="shared" ref="E110:L110" si="139">E111</f>
        <v>0</v>
      </c>
      <c r="F110" s="232">
        <f t="shared" si="139"/>
        <v>0</v>
      </c>
      <c r="G110" s="232">
        <f t="shared" si="139"/>
        <v>0</v>
      </c>
      <c r="H110" s="232">
        <f t="shared" si="87"/>
        <v>0</v>
      </c>
      <c r="I110" s="233">
        <v>0</v>
      </c>
      <c r="J110" s="232">
        <f t="shared" si="139"/>
        <v>0</v>
      </c>
      <c r="K110" s="232">
        <f t="shared" si="139"/>
        <v>0</v>
      </c>
      <c r="L110" s="232">
        <f t="shared" si="139"/>
        <v>0</v>
      </c>
      <c r="M110" s="232">
        <f t="shared" si="88"/>
        <v>0</v>
      </c>
      <c r="N110" s="233">
        <v>0</v>
      </c>
      <c r="O110" s="232">
        <f t="shared" ref="O110:Q110" si="140">O111</f>
        <v>0</v>
      </c>
      <c r="P110" s="232">
        <f t="shared" si="140"/>
        <v>0</v>
      </c>
      <c r="Q110" s="232">
        <f t="shared" si="140"/>
        <v>0</v>
      </c>
      <c r="R110" s="232">
        <f t="shared" si="89"/>
        <v>0</v>
      </c>
    </row>
    <row r="111" spans="1:18" s="6" customFormat="1" ht="36" hidden="1" customHeight="1">
      <c r="A111" s="209">
        <v>17100</v>
      </c>
      <c r="B111" s="208" t="s">
        <v>217</v>
      </c>
      <c r="C111" s="106">
        <f>SUM(C112:C115)</f>
        <v>0</v>
      </c>
      <c r="D111" s="106">
        <v>0</v>
      </c>
      <c r="E111" s="232">
        <f t="shared" ref="E111:G111" si="141">SUM(E112:E115)</f>
        <v>0</v>
      </c>
      <c r="F111" s="232">
        <f t="shared" ref="F111" si="142">SUM(F112:F115)</f>
        <v>0</v>
      </c>
      <c r="G111" s="232">
        <f t="shared" si="141"/>
        <v>0</v>
      </c>
      <c r="H111" s="232">
        <f t="shared" si="87"/>
        <v>0</v>
      </c>
      <c r="I111" s="233">
        <v>0</v>
      </c>
      <c r="J111" s="232">
        <f t="shared" ref="J111:L111" si="143">SUM(J112:J115)</f>
        <v>0</v>
      </c>
      <c r="K111" s="232">
        <f t="shared" ref="K111" si="144">SUM(K112:K115)</f>
        <v>0</v>
      </c>
      <c r="L111" s="232">
        <f t="shared" si="143"/>
        <v>0</v>
      </c>
      <c r="M111" s="232">
        <f t="shared" si="88"/>
        <v>0</v>
      </c>
      <c r="N111" s="233">
        <v>0</v>
      </c>
      <c r="O111" s="232">
        <f t="shared" ref="O111:Q111" si="145">SUM(O112:O115)</f>
        <v>0</v>
      </c>
      <c r="P111" s="232">
        <f t="shared" ref="P111" si="146">SUM(P112:P115)</f>
        <v>0</v>
      </c>
      <c r="Q111" s="232">
        <f t="shared" si="145"/>
        <v>0</v>
      </c>
      <c r="R111" s="232">
        <f t="shared" si="89"/>
        <v>0</v>
      </c>
    </row>
    <row r="112" spans="1:18" s="6" customFormat="1" ht="48" hidden="1" customHeight="1">
      <c r="A112" s="149">
        <v>17110</v>
      </c>
      <c r="B112" s="208" t="s">
        <v>218</v>
      </c>
      <c r="C112" s="106"/>
      <c r="D112" s="106">
        <v>0</v>
      </c>
      <c r="E112" s="233"/>
      <c r="F112" s="233"/>
      <c r="G112" s="233"/>
      <c r="H112" s="232">
        <f t="shared" si="87"/>
        <v>0</v>
      </c>
      <c r="I112" s="233">
        <v>0</v>
      </c>
      <c r="J112" s="233"/>
      <c r="K112" s="233"/>
      <c r="L112" s="233"/>
      <c r="M112" s="232">
        <f t="shared" si="88"/>
        <v>0</v>
      </c>
      <c r="N112" s="233">
        <v>0</v>
      </c>
      <c r="O112" s="233"/>
      <c r="P112" s="233"/>
      <c r="Q112" s="233"/>
      <c r="R112" s="232">
        <f t="shared" si="89"/>
        <v>0</v>
      </c>
    </row>
    <row r="113" spans="1:18" s="6" customFormat="1" ht="48" hidden="1" customHeight="1">
      <c r="A113" s="149">
        <v>17120</v>
      </c>
      <c r="B113" s="208" t="s">
        <v>219</v>
      </c>
      <c r="C113" s="106"/>
      <c r="D113" s="106">
        <v>0</v>
      </c>
      <c r="E113" s="233"/>
      <c r="F113" s="233"/>
      <c r="G113" s="233"/>
      <c r="H113" s="232">
        <f t="shared" si="87"/>
        <v>0</v>
      </c>
      <c r="I113" s="233">
        <v>0</v>
      </c>
      <c r="J113" s="233"/>
      <c r="K113" s="233"/>
      <c r="L113" s="233"/>
      <c r="M113" s="232">
        <f t="shared" si="88"/>
        <v>0</v>
      </c>
      <c r="N113" s="233">
        <v>0</v>
      </c>
      <c r="O113" s="233"/>
      <c r="P113" s="233"/>
      <c r="Q113" s="233"/>
      <c r="R113" s="232">
        <f t="shared" si="89"/>
        <v>0</v>
      </c>
    </row>
    <row r="114" spans="1:18" s="6" customFormat="1" ht="96" hidden="1" customHeight="1">
      <c r="A114" s="149">
        <v>17130</v>
      </c>
      <c r="B114" s="208" t="s">
        <v>220</v>
      </c>
      <c r="C114" s="106"/>
      <c r="D114" s="106">
        <v>0</v>
      </c>
      <c r="E114" s="233"/>
      <c r="F114" s="233"/>
      <c r="G114" s="233"/>
      <c r="H114" s="232">
        <f t="shared" si="87"/>
        <v>0</v>
      </c>
      <c r="I114" s="233">
        <v>0</v>
      </c>
      <c r="J114" s="233"/>
      <c r="K114" s="233"/>
      <c r="L114" s="233"/>
      <c r="M114" s="232">
        <f t="shared" si="88"/>
        <v>0</v>
      </c>
      <c r="N114" s="233">
        <v>0</v>
      </c>
      <c r="O114" s="233"/>
      <c r="P114" s="233"/>
      <c r="Q114" s="233"/>
      <c r="R114" s="232">
        <f t="shared" si="89"/>
        <v>0</v>
      </c>
    </row>
    <row r="115" spans="1:18" s="6" customFormat="1" ht="96" hidden="1" customHeight="1">
      <c r="A115" s="149">
        <v>17140</v>
      </c>
      <c r="B115" s="208" t="s">
        <v>221</v>
      </c>
      <c r="C115" s="106"/>
      <c r="D115" s="106">
        <v>0</v>
      </c>
      <c r="E115" s="233"/>
      <c r="F115" s="233"/>
      <c r="G115" s="233"/>
      <c r="H115" s="232">
        <f t="shared" si="87"/>
        <v>0</v>
      </c>
      <c r="I115" s="233">
        <v>0</v>
      </c>
      <c r="J115" s="233"/>
      <c r="K115" s="233"/>
      <c r="L115" s="233"/>
      <c r="M115" s="232">
        <f t="shared" si="88"/>
        <v>0</v>
      </c>
      <c r="N115" s="233">
        <v>0</v>
      </c>
      <c r="O115" s="233"/>
      <c r="P115" s="233"/>
      <c r="Q115" s="233"/>
      <c r="R115" s="232">
        <f t="shared" si="89"/>
        <v>0</v>
      </c>
    </row>
    <row r="116" spans="1:18" s="6" customFormat="1" ht="12">
      <c r="A116" s="137">
        <v>21700</v>
      </c>
      <c r="B116" s="100" t="s">
        <v>97</v>
      </c>
      <c r="C116" s="106">
        <v>11172228</v>
      </c>
      <c r="D116" s="106">
        <v>11172228</v>
      </c>
      <c r="E116" s="233">
        <f t="shared" ref="E116:G116" si="147">E117+E118</f>
        <v>0</v>
      </c>
      <c r="F116" s="233">
        <f t="shared" ref="F116" si="148">F117+F118</f>
        <v>0</v>
      </c>
      <c r="G116" s="233">
        <f t="shared" si="147"/>
        <v>0</v>
      </c>
      <c r="H116" s="232">
        <f t="shared" si="87"/>
        <v>11172228</v>
      </c>
      <c r="I116" s="233">
        <v>11438401</v>
      </c>
      <c r="J116" s="233">
        <f t="shared" ref="J116:L116" si="149">J117+J118</f>
        <v>0</v>
      </c>
      <c r="K116" s="233">
        <f t="shared" ref="K116" si="150">K117+K118</f>
        <v>0</v>
      </c>
      <c r="L116" s="233">
        <f t="shared" si="149"/>
        <v>0</v>
      </c>
      <c r="M116" s="232">
        <f t="shared" si="88"/>
        <v>11438401</v>
      </c>
      <c r="N116" s="233">
        <v>11172228</v>
      </c>
      <c r="O116" s="233">
        <f t="shared" ref="O116:Q116" si="151">O117+O118</f>
        <v>0</v>
      </c>
      <c r="P116" s="233">
        <f t="shared" ref="P116" si="152">P117+P118</f>
        <v>0</v>
      </c>
      <c r="Q116" s="233">
        <f t="shared" si="151"/>
        <v>0</v>
      </c>
      <c r="R116" s="232">
        <f t="shared" si="89"/>
        <v>11172228</v>
      </c>
    </row>
    <row r="117" spans="1:18" s="6" customFormat="1" ht="24">
      <c r="A117" s="138">
        <v>21710</v>
      </c>
      <c r="B117" s="101" t="s">
        <v>98</v>
      </c>
      <c r="C117" s="106">
        <v>11172228</v>
      </c>
      <c r="D117" s="106">
        <v>11172228</v>
      </c>
      <c r="E117" s="233"/>
      <c r="F117" s="233"/>
      <c r="G117" s="233"/>
      <c r="H117" s="232">
        <f t="shared" si="87"/>
        <v>11172228</v>
      </c>
      <c r="I117" s="233">
        <v>11438401</v>
      </c>
      <c r="J117" s="233"/>
      <c r="K117" s="233"/>
      <c r="L117" s="233"/>
      <c r="M117" s="232">
        <f t="shared" si="88"/>
        <v>11438401</v>
      </c>
      <c r="N117" s="233">
        <v>11172228</v>
      </c>
      <c r="O117" s="233"/>
      <c r="P117" s="233"/>
      <c r="Q117" s="233"/>
      <c r="R117" s="232">
        <f t="shared" si="89"/>
        <v>11172228</v>
      </c>
    </row>
    <row r="118" spans="1:18" s="6" customFormat="1" ht="24" hidden="1" customHeight="1">
      <c r="A118" s="138">
        <v>21720</v>
      </c>
      <c r="B118" s="101" t="s">
        <v>99</v>
      </c>
      <c r="C118" s="106"/>
      <c r="D118" s="106">
        <v>0</v>
      </c>
      <c r="E118" s="233"/>
      <c r="F118" s="233"/>
      <c r="G118" s="233"/>
      <c r="H118" s="232">
        <f t="shared" si="87"/>
        <v>0</v>
      </c>
      <c r="I118" s="233">
        <v>0</v>
      </c>
      <c r="J118" s="233"/>
      <c r="K118" s="233"/>
      <c r="L118" s="233"/>
      <c r="M118" s="232">
        <f t="shared" si="88"/>
        <v>0</v>
      </c>
      <c r="N118" s="233">
        <v>0</v>
      </c>
      <c r="O118" s="233"/>
      <c r="P118" s="233"/>
      <c r="Q118" s="233"/>
      <c r="R118" s="232">
        <f t="shared" si="89"/>
        <v>0</v>
      </c>
    </row>
    <row r="119" spans="1:18" s="6" customFormat="1" ht="11.4">
      <c r="A119" s="129" t="s">
        <v>100</v>
      </c>
      <c r="B119" s="99" t="s">
        <v>101</v>
      </c>
      <c r="C119" s="104">
        <v>11462228</v>
      </c>
      <c r="D119" s="104">
        <v>11462228</v>
      </c>
      <c r="E119" s="243">
        <f t="shared" ref="E119:G119" si="153">E120+E147</f>
        <v>0</v>
      </c>
      <c r="F119" s="243">
        <f t="shared" ref="F119" si="154">F120+F147</f>
        <v>0</v>
      </c>
      <c r="G119" s="243">
        <f t="shared" si="153"/>
        <v>0</v>
      </c>
      <c r="H119" s="229">
        <f t="shared" si="87"/>
        <v>11462228</v>
      </c>
      <c r="I119" s="243">
        <v>11728401</v>
      </c>
      <c r="J119" s="243">
        <f t="shared" ref="J119:L119" si="155">J120+J147</f>
        <v>0</v>
      </c>
      <c r="K119" s="243">
        <f t="shared" ref="K119" si="156">K120+K147</f>
        <v>0</v>
      </c>
      <c r="L119" s="243">
        <f t="shared" si="155"/>
        <v>0</v>
      </c>
      <c r="M119" s="229">
        <f t="shared" si="88"/>
        <v>11728401</v>
      </c>
      <c r="N119" s="243">
        <v>11462228</v>
      </c>
      <c r="O119" s="243">
        <f t="shared" ref="O119:Q119" si="157">O120+O147</f>
        <v>0</v>
      </c>
      <c r="P119" s="243">
        <f t="shared" ref="P119" si="158">P120+P147</f>
        <v>0</v>
      </c>
      <c r="Q119" s="243">
        <f t="shared" si="157"/>
        <v>0</v>
      </c>
      <c r="R119" s="229">
        <f t="shared" si="89"/>
        <v>11462228</v>
      </c>
    </row>
    <row r="120" spans="1:18" s="6" customFormat="1" ht="20.399999999999999">
      <c r="A120" s="130" t="s">
        <v>102</v>
      </c>
      <c r="B120" s="100" t="s">
        <v>103</v>
      </c>
      <c r="C120" s="106">
        <v>11196259</v>
      </c>
      <c r="D120" s="106">
        <v>11196259</v>
      </c>
      <c r="E120" s="233">
        <f t="shared" ref="E120:G120" si="159">E121+E125+E126+E129+E132</f>
        <v>0</v>
      </c>
      <c r="F120" s="233">
        <f t="shared" ref="F120" si="160">F121+F125+F126+F129+F132</f>
        <v>0</v>
      </c>
      <c r="G120" s="233">
        <f t="shared" si="159"/>
        <v>0</v>
      </c>
      <c r="H120" s="232">
        <f t="shared" si="87"/>
        <v>11196259</v>
      </c>
      <c r="I120" s="233">
        <v>11462432</v>
      </c>
      <c r="J120" s="233">
        <f t="shared" ref="J120:L120" si="161">J121+J125+J126+J129+J132</f>
        <v>0</v>
      </c>
      <c r="K120" s="233">
        <f t="shared" ref="K120" si="162">K121+K125+K126+K129+K132</f>
        <v>0</v>
      </c>
      <c r="L120" s="233">
        <f t="shared" si="161"/>
        <v>0</v>
      </c>
      <c r="M120" s="232">
        <f t="shared" si="88"/>
        <v>11462432</v>
      </c>
      <c r="N120" s="233">
        <v>11196259</v>
      </c>
      <c r="O120" s="233">
        <f t="shared" ref="O120:Q120" si="163">O121+O125+O126+O129+O132</f>
        <v>0</v>
      </c>
      <c r="P120" s="233">
        <f t="shared" ref="P120" si="164">P121+P125+P126+P129+P132</f>
        <v>0</v>
      </c>
      <c r="Q120" s="233">
        <f t="shared" si="163"/>
        <v>0</v>
      </c>
      <c r="R120" s="232">
        <f t="shared" si="89"/>
        <v>11196259</v>
      </c>
    </row>
    <row r="121" spans="1:18" s="6" customFormat="1" ht="12">
      <c r="A121" s="130" t="s">
        <v>104</v>
      </c>
      <c r="B121" s="100" t="s">
        <v>105</v>
      </c>
      <c r="C121" s="106">
        <v>11095209</v>
      </c>
      <c r="D121" s="106">
        <v>11095209</v>
      </c>
      <c r="E121" s="233">
        <f t="shared" ref="E121:G121" si="165">E122+E124</f>
        <v>0</v>
      </c>
      <c r="F121" s="233">
        <f t="shared" ref="F121" si="166">F122+F124</f>
        <v>0</v>
      </c>
      <c r="G121" s="233">
        <f t="shared" si="165"/>
        <v>0</v>
      </c>
      <c r="H121" s="232">
        <f t="shared" si="87"/>
        <v>11095209</v>
      </c>
      <c r="I121" s="233">
        <v>11361382</v>
      </c>
      <c r="J121" s="233">
        <f t="shared" ref="J121:L121" si="167">J122+J124</f>
        <v>0</v>
      </c>
      <c r="K121" s="233">
        <f t="shared" ref="K121" si="168">K122+K124</f>
        <v>0</v>
      </c>
      <c r="L121" s="233">
        <f t="shared" si="167"/>
        <v>0</v>
      </c>
      <c r="M121" s="232">
        <f t="shared" si="88"/>
        <v>11361382</v>
      </c>
      <c r="N121" s="233">
        <v>11095209</v>
      </c>
      <c r="O121" s="233">
        <f t="shared" ref="O121:Q121" si="169">O122+O124</f>
        <v>0</v>
      </c>
      <c r="P121" s="233">
        <f t="shared" ref="P121" si="170">P122+P124</f>
        <v>0</v>
      </c>
      <c r="Q121" s="233">
        <f t="shared" si="169"/>
        <v>0</v>
      </c>
      <c r="R121" s="232">
        <f t="shared" si="89"/>
        <v>11095209</v>
      </c>
    </row>
    <row r="122" spans="1:18" s="29" customFormat="1" ht="12">
      <c r="A122" s="132">
        <v>1000</v>
      </c>
      <c r="B122" s="101" t="s">
        <v>106</v>
      </c>
      <c r="C122" s="106">
        <v>9115575</v>
      </c>
      <c r="D122" s="106">
        <v>9115575</v>
      </c>
      <c r="E122" s="244"/>
      <c r="F122" s="244"/>
      <c r="G122" s="244"/>
      <c r="H122" s="232">
        <f t="shared" si="87"/>
        <v>9115575</v>
      </c>
      <c r="I122" s="233">
        <v>9381748</v>
      </c>
      <c r="J122" s="244"/>
      <c r="K122" s="244"/>
      <c r="L122" s="244"/>
      <c r="M122" s="232">
        <f t="shared" si="88"/>
        <v>9381748</v>
      </c>
      <c r="N122" s="233">
        <v>9115575</v>
      </c>
      <c r="O122" s="244"/>
      <c r="P122" s="244"/>
      <c r="Q122" s="244"/>
      <c r="R122" s="232">
        <f t="shared" si="89"/>
        <v>9115575</v>
      </c>
    </row>
    <row r="123" spans="1:18" s="89" customFormat="1" ht="12">
      <c r="A123" s="139">
        <v>1100</v>
      </c>
      <c r="B123" s="101" t="s">
        <v>107</v>
      </c>
      <c r="C123" s="106">
        <v>6903011</v>
      </c>
      <c r="D123" s="106">
        <v>6903011</v>
      </c>
      <c r="E123" s="244"/>
      <c r="F123" s="244"/>
      <c r="G123" s="244"/>
      <c r="H123" s="232">
        <f t="shared" si="87"/>
        <v>6903011</v>
      </c>
      <c r="I123" s="233">
        <v>6903011</v>
      </c>
      <c r="J123" s="244"/>
      <c r="K123" s="244"/>
      <c r="L123" s="244"/>
      <c r="M123" s="232">
        <f t="shared" si="88"/>
        <v>6903011</v>
      </c>
      <c r="N123" s="233">
        <v>6903011</v>
      </c>
      <c r="O123" s="244"/>
      <c r="P123" s="244"/>
      <c r="Q123" s="244"/>
      <c r="R123" s="232">
        <f t="shared" si="89"/>
        <v>6903011</v>
      </c>
    </row>
    <row r="124" spans="1:18" s="89" customFormat="1" ht="12">
      <c r="A124" s="132">
        <v>2000</v>
      </c>
      <c r="B124" s="101" t="s">
        <v>108</v>
      </c>
      <c r="C124" s="106">
        <v>1979634</v>
      </c>
      <c r="D124" s="106">
        <v>1979634</v>
      </c>
      <c r="E124" s="244"/>
      <c r="F124" s="244"/>
      <c r="G124" s="244"/>
      <c r="H124" s="232">
        <f t="shared" si="87"/>
        <v>1979634</v>
      </c>
      <c r="I124" s="233">
        <v>1979634</v>
      </c>
      <c r="J124" s="244"/>
      <c r="K124" s="244"/>
      <c r="L124" s="244"/>
      <c r="M124" s="232">
        <f t="shared" si="88"/>
        <v>1979634</v>
      </c>
      <c r="N124" s="233">
        <v>1979634</v>
      </c>
      <c r="O124" s="244"/>
      <c r="P124" s="244"/>
      <c r="Q124" s="244"/>
      <c r="R124" s="232">
        <f t="shared" si="89"/>
        <v>1979634</v>
      </c>
    </row>
    <row r="125" spans="1:18" s="89" customFormat="1" ht="12" hidden="1" customHeight="1">
      <c r="A125" s="140">
        <v>4000</v>
      </c>
      <c r="B125" s="100" t="s">
        <v>132</v>
      </c>
      <c r="C125" s="106">
        <v>0</v>
      </c>
      <c r="D125" s="106">
        <v>0</v>
      </c>
      <c r="E125" s="244"/>
      <c r="F125" s="244"/>
      <c r="G125" s="244"/>
      <c r="H125" s="232">
        <f t="shared" si="87"/>
        <v>0</v>
      </c>
      <c r="I125" s="233">
        <v>0</v>
      </c>
      <c r="J125" s="244"/>
      <c r="K125" s="244"/>
      <c r="L125" s="244"/>
      <c r="M125" s="232">
        <f t="shared" si="88"/>
        <v>0</v>
      </c>
      <c r="N125" s="233">
        <v>0</v>
      </c>
      <c r="O125" s="244"/>
      <c r="P125" s="244"/>
      <c r="Q125" s="244"/>
      <c r="R125" s="232">
        <f t="shared" si="89"/>
        <v>0</v>
      </c>
    </row>
    <row r="126" spans="1:18" s="89" customFormat="1" ht="12" hidden="1" customHeight="1">
      <c r="A126" s="140" t="s">
        <v>109</v>
      </c>
      <c r="B126" s="100" t="s">
        <v>110</v>
      </c>
      <c r="C126" s="106">
        <v>0</v>
      </c>
      <c r="D126" s="106">
        <v>0</v>
      </c>
      <c r="E126" s="233">
        <f t="shared" ref="E126:G126" si="171">E127+E128</f>
        <v>0</v>
      </c>
      <c r="F126" s="233">
        <f t="shared" ref="F126" si="172">F127+F128</f>
        <v>0</v>
      </c>
      <c r="G126" s="233">
        <f t="shared" si="171"/>
        <v>0</v>
      </c>
      <c r="H126" s="232">
        <f t="shared" si="87"/>
        <v>0</v>
      </c>
      <c r="I126" s="233">
        <v>0</v>
      </c>
      <c r="J126" s="233">
        <f t="shared" ref="J126:L126" si="173">J127+J128</f>
        <v>0</v>
      </c>
      <c r="K126" s="233">
        <f t="shared" ref="K126" si="174">K127+K128</f>
        <v>0</v>
      </c>
      <c r="L126" s="233">
        <f t="shared" si="173"/>
        <v>0</v>
      </c>
      <c r="M126" s="232">
        <f t="shared" si="88"/>
        <v>0</v>
      </c>
      <c r="N126" s="233">
        <v>0</v>
      </c>
      <c r="O126" s="233">
        <f t="shared" ref="O126:Q126" si="175">O127+O128</f>
        <v>0</v>
      </c>
      <c r="P126" s="233">
        <f t="shared" ref="P126" si="176">P127+P128</f>
        <v>0</v>
      </c>
      <c r="Q126" s="233">
        <f t="shared" si="175"/>
        <v>0</v>
      </c>
      <c r="R126" s="232">
        <f t="shared" si="89"/>
        <v>0</v>
      </c>
    </row>
    <row r="127" spans="1:18" s="89" customFormat="1" ht="12" hidden="1" customHeight="1">
      <c r="A127" s="132">
        <v>3000</v>
      </c>
      <c r="B127" s="101" t="s">
        <v>111</v>
      </c>
      <c r="C127" s="195">
        <v>0</v>
      </c>
      <c r="D127" s="195">
        <v>0</v>
      </c>
      <c r="E127" s="246"/>
      <c r="F127" s="246"/>
      <c r="G127" s="246"/>
      <c r="H127" s="232">
        <f t="shared" si="87"/>
        <v>0</v>
      </c>
      <c r="I127" s="345">
        <v>0</v>
      </c>
      <c r="J127" s="246"/>
      <c r="K127" s="246"/>
      <c r="L127" s="246"/>
      <c r="M127" s="232">
        <f t="shared" si="88"/>
        <v>0</v>
      </c>
      <c r="N127" s="345">
        <v>0</v>
      </c>
      <c r="O127" s="246"/>
      <c r="P127" s="246"/>
      <c r="Q127" s="246"/>
      <c r="R127" s="232">
        <f t="shared" si="89"/>
        <v>0</v>
      </c>
    </row>
    <row r="128" spans="1:18" s="89" customFormat="1" ht="12" hidden="1" customHeight="1">
      <c r="A128" s="132">
        <v>6000</v>
      </c>
      <c r="B128" s="101" t="s">
        <v>112</v>
      </c>
      <c r="C128" s="196">
        <v>0</v>
      </c>
      <c r="D128" s="196">
        <v>0</v>
      </c>
      <c r="E128" s="248"/>
      <c r="F128" s="248"/>
      <c r="G128" s="248"/>
      <c r="H128" s="232">
        <f t="shared" si="87"/>
        <v>0</v>
      </c>
      <c r="I128" s="346">
        <v>0</v>
      </c>
      <c r="J128" s="248"/>
      <c r="K128" s="248"/>
      <c r="L128" s="248"/>
      <c r="M128" s="232">
        <f t="shared" si="88"/>
        <v>0</v>
      </c>
      <c r="N128" s="346">
        <v>0</v>
      </c>
      <c r="O128" s="248"/>
      <c r="P128" s="248"/>
      <c r="Q128" s="248"/>
      <c r="R128" s="232">
        <f t="shared" si="89"/>
        <v>0</v>
      </c>
    </row>
    <row r="129" spans="1:18" s="89" customFormat="1" ht="22.8">
      <c r="A129" s="140" t="s">
        <v>113</v>
      </c>
      <c r="B129" s="100" t="s">
        <v>183</v>
      </c>
      <c r="C129" s="106">
        <v>101050</v>
      </c>
      <c r="D129" s="106">
        <v>101050</v>
      </c>
      <c r="E129" s="233">
        <f t="shared" ref="E129:G129" si="177">E130+E131</f>
        <v>0</v>
      </c>
      <c r="F129" s="233">
        <f t="shared" ref="F129" si="178">F130+F131</f>
        <v>0</v>
      </c>
      <c r="G129" s="233">
        <f t="shared" si="177"/>
        <v>0</v>
      </c>
      <c r="H129" s="232">
        <f t="shared" si="87"/>
        <v>101050</v>
      </c>
      <c r="I129" s="233">
        <v>101050</v>
      </c>
      <c r="J129" s="233">
        <f t="shared" ref="J129:L129" si="179">J130+J131</f>
        <v>0</v>
      </c>
      <c r="K129" s="233">
        <f t="shared" ref="K129" si="180">K130+K131</f>
        <v>0</v>
      </c>
      <c r="L129" s="233">
        <f t="shared" si="179"/>
        <v>0</v>
      </c>
      <c r="M129" s="232">
        <f t="shared" si="88"/>
        <v>101050</v>
      </c>
      <c r="N129" s="233">
        <v>101050</v>
      </c>
      <c r="O129" s="233">
        <f t="shared" ref="O129:Q129" si="181">O130+O131</f>
        <v>0</v>
      </c>
      <c r="P129" s="233">
        <f t="shared" ref="P129" si="182">P130+P131</f>
        <v>0</v>
      </c>
      <c r="Q129" s="233">
        <f t="shared" si="181"/>
        <v>0</v>
      </c>
      <c r="R129" s="232">
        <f t="shared" si="89"/>
        <v>101050</v>
      </c>
    </row>
    <row r="130" spans="1:18" s="89" customFormat="1" ht="12" hidden="1" customHeight="1">
      <c r="A130" s="132">
        <v>7600</v>
      </c>
      <c r="B130" s="112" t="s">
        <v>184</v>
      </c>
      <c r="C130" s="106"/>
      <c r="D130" s="106">
        <v>0</v>
      </c>
      <c r="E130" s="244"/>
      <c r="F130" s="244"/>
      <c r="G130" s="244"/>
      <c r="H130" s="232">
        <f t="shared" si="87"/>
        <v>0</v>
      </c>
      <c r="I130" s="233">
        <v>0</v>
      </c>
      <c r="J130" s="244"/>
      <c r="K130" s="244"/>
      <c r="L130" s="244"/>
      <c r="M130" s="232">
        <f t="shared" si="88"/>
        <v>0</v>
      </c>
      <c r="N130" s="233">
        <v>0</v>
      </c>
      <c r="O130" s="244"/>
      <c r="P130" s="244"/>
      <c r="Q130" s="244"/>
      <c r="R130" s="232">
        <f t="shared" si="89"/>
        <v>0</v>
      </c>
    </row>
    <row r="131" spans="1:18" s="89" customFormat="1" ht="12">
      <c r="A131" s="132">
        <v>7700</v>
      </c>
      <c r="B131" s="102" t="s">
        <v>114</v>
      </c>
      <c r="C131" s="106">
        <v>101050</v>
      </c>
      <c r="D131" s="106">
        <v>101050</v>
      </c>
      <c r="E131" s="244"/>
      <c r="F131" s="244"/>
      <c r="G131" s="244"/>
      <c r="H131" s="232">
        <f t="shared" si="87"/>
        <v>101050</v>
      </c>
      <c r="I131" s="233">
        <v>101050</v>
      </c>
      <c r="J131" s="244"/>
      <c r="K131" s="244"/>
      <c r="L131" s="244"/>
      <c r="M131" s="232">
        <f t="shared" si="88"/>
        <v>101050</v>
      </c>
      <c r="N131" s="233">
        <v>101050</v>
      </c>
      <c r="O131" s="244"/>
      <c r="P131" s="244"/>
      <c r="Q131" s="244"/>
      <c r="R131" s="232">
        <f t="shared" si="89"/>
        <v>101050</v>
      </c>
    </row>
    <row r="132" spans="1:18" s="89" customFormat="1" ht="21" hidden="1" customHeight="1">
      <c r="A132" s="140" t="s">
        <v>185</v>
      </c>
      <c r="B132" s="100" t="s">
        <v>115</v>
      </c>
      <c r="C132" s="106">
        <v>0</v>
      </c>
      <c r="D132" s="106">
        <v>0</v>
      </c>
      <c r="E132" s="233">
        <f t="shared" ref="E132:G132" si="183">E133+E139+E143+E146</f>
        <v>0</v>
      </c>
      <c r="F132" s="233">
        <f t="shared" ref="F132" si="184">F133+F139+F143+F146</f>
        <v>0</v>
      </c>
      <c r="G132" s="233">
        <f t="shared" si="183"/>
        <v>0</v>
      </c>
      <c r="H132" s="232">
        <f t="shared" si="87"/>
        <v>0</v>
      </c>
      <c r="I132" s="233">
        <v>0</v>
      </c>
      <c r="J132" s="233">
        <f t="shared" ref="J132:L132" si="185">J133+J139+J143+J146</f>
        <v>0</v>
      </c>
      <c r="K132" s="233">
        <f t="shared" ref="K132" si="186">K133+K139+K143+K146</f>
        <v>0</v>
      </c>
      <c r="L132" s="233">
        <f t="shared" si="185"/>
        <v>0</v>
      </c>
      <c r="M132" s="232">
        <f t="shared" si="88"/>
        <v>0</v>
      </c>
      <c r="N132" s="233">
        <v>0</v>
      </c>
      <c r="O132" s="233">
        <f t="shared" ref="O132:Q132" si="187">O133+O139+O143+O146</f>
        <v>0</v>
      </c>
      <c r="P132" s="233">
        <f t="shared" ref="P132" si="188">P133+P139+P143+P146</f>
        <v>0</v>
      </c>
      <c r="Q132" s="233">
        <f t="shared" si="187"/>
        <v>0</v>
      </c>
      <c r="R132" s="232">
        <f t="shared" si="89"/>
        <v>0</v>
      </c>
    </row>
    <row r="133" spans="1:18" s="89" customFormat="1" ht="12" hidden="1" customHeight="1">
      <c r="A133" s="132">
        <v>7100</v>
      </c>
      <c r="B133" s="112" t="s">
        <v>116</v>
      </c>
      <c r="C133" s="106">
        <v>0</v>
      </c>
      <c r="D133" s="106">
        <v>0</v>
      </c>
      <c r="E133" s="233">
        <f t="shared" ref="E133:G133" si="189">E134+E135</f>
        <v>0</v>
      </c>
      <c r="F133" s="233">
        <f t="shared" ref="F133" si="190">F134+F135</f>
        <v>0</v>
      </c>
      <c r="G133" s="233">
        <f t="shared" si="189"/>
        <v>0</v>
      </c>
      <c r="H133" s="232">
        <f t="shared" si="87"/>
        <v>0</v>
      </c>
      <c r="I133" s="233">
        <v>0</v>
      </c>
      <c r="J133" s="233">
        <f t="shared" ref="J133:L133" si="191">J134+J135</f>
        <v>0</v>
      </c>
      <c r="K133" s="233">
        <f t="shared" ref="K133" si="192">K134+K135</f>
        <v>0</v>
      </c>
      <c r="L133" s="233">
        <f t="shared" si="191"/>
        <v>0</v>
      </c>
      <c r="M133" s="232">
        <f t="shared" si="88"/>
        <v>0</v>
      </c>
      <c r="N133" s="233">
        <v>0</v>
      </c>
      <c r="O133" s="233">
        <f t="shared" ref="O133:Q133" si="193">O134+O135</f>
        <v>0</v>
      </c>
      <c r="P133" s="233">
        <f t="shared" ref="P133" si="194">P134+P135</f>
        <v>0</v>
      </c>
      <c r="Q133" s="233">
        <f t="shared" si="193"/>
        <v>0</v>
      </c>
      <c r="R133" s="232">
        <f t="shared" si="89"/>
        <v>0</v>
      </c>
    </row>
    <row r="134" spans="1:18" s="89" customFormat="1" ht="24" hidden="1" customHeight="1">
      <c r="A134" s="133" t="s">
        <v>117</v>
      </c>
      <c r="B134" s="112" t="s">
        <v>118</v>
      </c>
      <c r="C134" s="106"/>
      <c r="D134" s="106">
        <v>0</v>
      </c>
      <c r="E134" s="233"/>
      <c r="F134" s="233"/>
      <c r="G134" s="233"/>
      <c r="H134" s="232">
        <f t="shared" si="87"/>
        <v>0</v>
      </c>
      <c r="I134" s="233">
        <v>0</v>
      </c>
      <c r="J134" s="233"/>
      <c r="K134" s="233"/>
      <c r="L134" s="233"/>
      <c r="M134" s="232">
        <f t="shared" si="88"/>
        <v>0</v>
      </c>
      <c r="N134" s="233">
        <v>0</v>
      </c>
      <c r="O134" s="233"/>
      <c r="P134" s="233"/>
      <c r="Q134" s="233"/>
      <c r="R134" s="232">
        <f t="shared" si="89"/>
        <v>0</v>
      </c>
    </row>
    <row r="135" spans="1:18" s="89" customFormat="1" ht="24" hidden="1" customHeight="1">
      <c r="A135" s="133">
        <v>7130</v>
      </c>
      <c r="B135" s="112" t="s">
        <v>119</v>
      </c>
      <c r="C135" s="106">
        <v>0</v>
      </c>
      <c r="D135" s="106">
        <v>0</v>
      </c>
      <c r="E135" s="233">
        <f t="shared" ref="E135:G135" si="195">SUM(E136:E138)</f>
        <v>0</v>
      </c>
      <c r="F135" s="233">
        <f t="shared" ref="F135" si="196">SUM(F136:F138)</f>
        <v>0</v>
      </c>
      <c r="G135" s="233">
        <f t="shared" si="195"/>
        <v>0</v>
      </c>
      <c r="H135" s="232">
        <f t="shared" si="87"/>
        <v>0</v>
      </c>
      <c r="I135" s="233">
        <v>0</v>
      </c>
      <c r="J135" s="233">
        <f t="shared" ref="J135:L135" si="197">SUM(J136:J138)</f>
        <v>0</v>
      </c>
      <c r="K135" s="233">
        <f t="shared" ref="K135" si="198">SUM(K136:K138)</f>
        <v>0</v>
      </c>
      <c r="L135" s="233">
        <f t="shared" si="197"/>
        <v>0</v>
      </c>
      <c r="M135" s="232">
        <f t="shared" si="88"/>
        <v>0</v>
      </c>
      <c r="N135" s="233">
        <v>0</v>
      </c>
      <c r="O135" s="233">
        <f t="shared" ref="O135:Q135" si="199">SUM(O136:O138)</f>
        <v>0</v>
      </c>
      <c r="P135" s="233">
        <f t="shared" ref="P135" si="200">SUM(P136:P138)</f>
        <v>0</v>
      </c>
      <c r="Q135" s="233">
        <f t="shared" si="199"/>
        <v>0</v>
      </c>
      <c r="R135" s="232">
        <f t="shared" si="89"/>
        <v>0</v>
      </c>
    </row>
    <row r="136" spans="1:18" s="89" customFormat="1" ht="36" hidden="1" customHeight="1">
      <c r="A136" s="134">
        <v>7131</v>
      </c>
      <c r="B136" s="112" t="s">
        <v>120</v>
      </c>
      <c r="C136" s="106"/>
      <c r="D136" s="106">
        <v>0</v>
      </c>
      <c r="E136" s="233"/>
      <c r="F136" s="233"/>
      <c r="G136" s="233"/>
      <c r="H136" s="232">
        <f t="shared" si="87"/>
        <v>0</v>
      </c>
      <c r="I136" s="233">
        <v>0</v>
      </c>
      <c r="J136" s="233"/>
      <c r="K136" s="233"/>
      <c r="L136" s="233"/>
      <c r="M136" s="232">
        <f t="shared" si="88"/>
        <v>0</v>
      </c>
      <c r="N136" s="233">
        <v>0</v>
      </c>
      <c r="O136" s="233"/>
      <c r="P136" s="233"/>
      <c r="Q136" s="233"/>
      <c r="R136" s="232">
        <f t="shared" si="89"/>
        <v>0</v>
      </c>
    </row>
    <row r="137" spans="1:18" s="29" customFormat="1" ht="36" hidden="1" customHeight="1">
      <c r="A137" s="134">
        <v>7132</v>
      </c>
      <c r="B137" s="112" t="s">
        <v>121</v>
      </c>
      <c r="C137" s="106"/>
      <c r="D137" s="106">
        <v>0</v>
      </c>
      <c r="E137" s="233"/>
      <c r="F137" s="233"/>
      <c r="G137" s="233"/>
      <c r="H137" s="232">
        <f t="shared" si="87"/>
        <v>0</v>
      </c>
      <c r="I137" s="233">
        <v>0</v>
      </c>
      <c r="J137" s="233"/>
      <c r="K137" s="233"/>
      <c r="L137" s="233"/>
      <c r="M137" s="232">
        <f t="shared" si="88"/>
        <v>0</v>
      </c>
      <c r="N137" s="233">
        <v>0</v>
      </c>
      <c r="O137" s="233"/>
      <c r="P137" s="233"/>
      <c r="Q137" s="233"/>
      <c r="R137" s="232">
        <f t="shared" si="89"/>
        <v>0</v>
      </c>
    </row>
    <row r="138" spans="1:18" s="29" customFormat="1" ht="24" hidden="1" customHeight="1">
      <c r="A138" s="134" t="s">
        <v>186</v>
      </c>
      <c r="B138" s="112" t="s">
        <v>187</v>
      </c>
      <c r="C138" s="106"/>
      <c r="D138" s="106">
        <v>0</v>
      </c>
      <c r="E138" s="233"/>
      <c r="F138" s="233"/>
      <c r="G138" s="233"/>
      <c r="H138" s="232">
        <f t="shared" ref="H138:H201" si="201">SUM(D138:G138)</f>
        <v>0</v>
      </c>
      <c r="I138" s="233">
        <v>0</v>
      </c>
      <c r="J138" s="233"/>
      <c r="K138" s="233"/>
      <c r="L138" s="233"/>
      <c r="M138" s="232">
        <f t="shared" ref="M138:M201" si="202">SUM(I138:L138)</f>
        <v>0</v>
      </c>
      <c r="N138" s="233">
        <v>0</v>
      </c>
      <c r="O138" s="233"/>
      <c r="P138" s="233"/>
      <c r="Q138" s="233"/>
      <c r="R138" s="232">
        <f t="shared" ref="R138:R201" si="203">SUM(N138:Q138)</f>
        <v>0</v>
      </c>
    </row>
    <row r="139" spans="1:18" s="29" customFormat="1" ht="24" hidden="1" customHeight="1">
      <c r="A139" s="132">
        <v>7300</v>
      </c>
      <c r="B139" s="108" t="s">
        <v>155</v>
      </c>
      <c r="C139" s="106">
        <v>0</v>
      </c>
      <c r="D139" s="106">
        <v>0</v>
      </c>
      <c r="E139" s="233">
        <f t="shared" ref="E139:G139" si="204">SUM(E140:E142)</f>
        <v>0</v>
      </c>
      <c r="F139" s="233">
        <f t="shared" ref="F139" si="205">SUM(F140:F142)</f>
        <v>0</v>
      </c>
      <c r="G139" s="233">
        <f t="shared" si="204"/>
        <v>0</v>
      </c>
      <c r="H139" s="232">
        <f t="shared" si="201"/>
        <v>0</v>
      </c>
      <c r="I139" s="233">
        <v>0</v>
      </c>
      <c r="J139" s="233">
        <f t="shared" ref="J139:L139" si="206">SUM(J140:J142)</f>
        <v>0</v>
      </c>
      <c r="K139" s="233">
        <f t="shared" ref="K139" si="207">SUM(K140:K142)</f>
        <v>0</v>
      </c>
      <c r="L139" s="233">
        <f t="shared" si="206"/>
        <v>0</v>
      </c>
      <c r="M139" s="232">
        <f t="shared" si="202"/>
        <v>0</v>
      </c>
      <c r="N139" s="233">
        <v>0</v>
      </c>
      <c r="O139" s="233">
        <f t="shared" ref="O139:Q139" si="208">SUM(O140:O142)</f>
        <v>0</v>
      </c>
      <c r="P139" s="233">
        <f t="shared" ref="P139" si="209">SUM(P140:P142)</f>
        <v>0</v>
      </c>
      <c r="Q139" s="233">
        <f t="shared" si="208"/>
        <v>0</v>
      </c>
      <c r="R139" s="232">
        <f t="shared" si="203"/>
        <v>0</v>
      </c>
    </row>
    <row r="140" spans="1:18" s="4" customFormat="1" ht="24" hidden="1" customHeight="1">
      <c r="A140" s="133" t="s">
        <v>188</v>
      </c>
      <c r="B140" s="112" t="s">
        <v>170</v>
      </c>
      <c r="C140" s="197"/>
      <c r="D140" s="197">
        <v>0</v>
      </c>
      <c r="E140" s="252"/>
      <c r="F140" s="252"/>
      <c r="G140" s="252"/>
      <c r="H140" s="232">
        <f t="shared" si="201"/>
        <v>0</v>
      </c>
      <c r="I140" s="252">
        <v>0</v>
      </c>
      <c r="J140" s="252"/>
      <c r="K140" s="252"/>
      <c r="L140" s="252"/>
      <c r="M140" s="232">
        <f t="shared" si="202"/>
        <v>0</v>
      </c>
      <c r="N140" s="252">
        <v>0</v>
      </c>
      <c r="O140" s="252"/>
      <c r="P140" s="252"/>
      <c r="Q140" s="252"/>
      <c r="R140" s="232">
        <f t="shared" si="203"/>
        <v>0</v>
      </c>
    </row>
    <row r="141" spans="1:18" ht="48" hidden="1" customHeight="1">
      <c r="A141" s="133" t="s">
        <v>189</v>
      </c>
      <c r="B141" s="112" t="s">
        <v>156</v>
      </c>
      <c r="C141" s="197"/>
      <c r="D141" s="197">
        <v>0</v>
      </c>
      <c r="E141" s="252"/>
      <c r="F141" s="252"/>
      <c r="G141" s="252"/>
      <c r="H141" s="232">
        <f t="shared" si="201"/>
        <v>0</v>
      </c>
      <c r="I141" s="252">
        <v>0</v>
      </c>
      <c r="J141" s="252"/>
      <c r="K141" s="252"/>
      <c r="L141" s="252"/>
      <c r="M141" s="232">
        <f t="shared" si="202"/>
        <v>0</v>
      </c>
      <c r="N141" s="252">
        <v>0</v>
      </c>
      <c r="O141" s="252"/>
      <c r="P141" s="252"/>
      <c r="Q141" s="252"/>
      <c r="R141" s="232">
        <f t="shared" si="203"/>
        <v>0</v>
      </c>
    </row>
    <row r="142" spans="1:18" ht="36" hidden="1" customHeight="1">
      <c r="A142" s="133">
        <v>7350</v>
      </c>
      <c r="B142" s="112" t="s">
        <v>163</v>
      </c>
      <c r="C142" s="197"/>
      <c r="D142" s="197">
        <v>0</v>
      </c>
      <c r="E142" s="252"/>
      <c r="F142" s="252"/>
      <c r="G142" s="252"/>
      <c r="H142" s="232">
        <f t="shared" si="201"/>
        <v>0</v>
      </c>
      <c r="I142" s="252">
        <v>0</v>
      </c>
      <c r="J142" s="252"/>
      <c r="K142" s="252"/>
      <c r="L142" s="252"/>
      <c r="M142" s="232">
        <f t="shared" si="202"/>
        <v>0</v>
      </c>
      <c r="N142" s="252">
        <v>0</v>
      </c>
      <c r="O142" s="252"/>
      <c r="P142" s="252"/>
      <c r="Q142" s="252"/>
      <c r="R142" s="232">
        <f t="shared" si="203"/>
        <v>0</v>
      </c>
    </row>
    <row r="143" spans="1:18" ht="24" hidden="1" customHeight="1">
      <c r="A143" s="132">
        <v>7400</v>
      </c>
      <c r="B143" s="108" t="s">
        <v>161</v>
      </c>
      <c r="C143" s="106">
        <v>0</v>
      </c>
      <c r="D143" s="106">
        <v>0</v>
      </c>
      <c r="E143" s="233">
        <f t="shared" ref="E143:G143" si="210">SUM(E144:E145)</f>
        <v>0</v>
      </c>
      <c r="F143" s="233">
        <f t="shared" ref="F143" si="211">SUM(F144:F145)</f>
        <v>0</v>
      </c>
      <c r="G143" s="233">
        <f t="shared" si="210"/>
        <v>0</v>
      </c>
      <c r="H143" s="232">
        <f t="shared" si="201"/>
        <v>0</v>
      </c>
      <c r="I143" s="233">
        <v>0</v>
      </c>
      <c r="J143" s="233">
        <f t="shared" ref="J143:L143" si="212">SUM(J144:J145)</f>
        <v>0</v>
      </c>
      <c r="K143" s="233">
        <f t="shared" ref="K143" si="213">SUM(K144:K145)</f>
        <v>0</v>
      </c>
      <c r="L143" s="233">
        <f t="shared" si="212"/>
        <v>0</v>
      </c>
      <c r="M143" s="232">
        <f t="shared" si="202"/>
        <v>0</v>
      </c>
      <c r="N143" s="233">
        <v>0</v>
      </c>
      <c r="O143" s="233">
        <f t="shared" ref="O143:Q143" si="214">SUM(O144:O145)</f>
        <v>0</v>
      </c>
      <c r="P143" s="233">
        <f t="shared" ref="P143" si="215">SUM(P144:P145)</f>
        <v>0</v>
      </c>
      <c r="Q143" s="233">
        <f t="shared" si="214"/>
        <v>0</v>
      </c>
      <c r="R143" s="232">
        <f t="shared" si="203"/>
        <v>0</v>
      </c>
    </row>
    <row r="144" spans="1:18" ht="24" hidden="1" customHeight="1">
      <c r="A144" s="133">
        <v>7460</v>
      </c>
      <c r="B144" s="108" t="s">
        <v>162</v>
      </c>
      <c r="C144" s="197"/>
      <c r="D144" s="197">
        <v>0</v>
      </c>
      <c r="E144" s="252"/>
      <c r="F144" s="252"/>
      <c r="G144" s="252"/>
      <c r="H144" s="232">
        <f t="shared" si="201"/>
        <v>0</v>
      </c>
      <c r="I144" s="252">
        <v>0</v>
      </c>
      <c r="J144" s="252"/>
      <c r="K144" s="252"/>
      <c r="L144" s="252"/>
      <c r="M144" s="232">
        <f t="shared" si="202"/>
        <v>0</v>
      </c>
      <c r="N144" s="252">
        <v>0</v>
      </c>
      <c r="O144" s="252"/>
      <c r="P144" s="252"/>
      <c r="Q144" s="252"/>
      <c r="R144" s="232">
        <f t="shared" si="203"/>
        <v>0</v>
      </c>
    </row>
    <row r="145" spans="1:18" ht="48" hidden="1" customHeight="1">
      <c r="A145" s="133">
        <v>7470</v>
      </c>
      <c r="B145" s="112" t="s">
        <v>167</v>
      </c>
      <c r="C145" s="197"/>
      <c r="D145" s="197">
        <v>0</v>
      </c>
      <c r="E145" s="252"/>
      <c r="F145" s="252"/>
      <c r="G145" s="252"/>
      <c r="H145" s="232">
        <f t="shared" si="201"/>
        <v>0</v>
      </c>
      <c r="I145" s="252">
        <v>0</v>
      </c>
      <c r="J145" s="252"/>
      <c r="K145" s="252"/>
      <c r="L145" s="252"/>
      <c r="M145" s="232">
        <f t="shared" si="202"/>
        <v>0</v>
      </c>
      <c r="N145" s="252">
        <v>0</v>
      </c>
      <c r="O145" s="252"/>
      <c r="P145" s="252"/>
      <c r="Q145" s="252"/>
      <c r="R145" s="232">
        <f t="shared" si="203"/>
        <v>0</v>
      </c>
    </row>
    <row r="146" spans="1:18" ht="24" hidden="1" customHeight="1">
      <c r="A146" s="132">
        <v>7500</v>
      </c>
      <c r="B146" s="112" t="s">
        <v>157</v>
      </c>
      <c r="C146" s="106"/>
      <c r="D146" s="106">
        <v>0</v>
      </c>
      <c r="E146" s="233"/>
      <c r="F146" s="233"/>
      <c r="G146" s="233"/>
      <c r="H146" s="232">
        <f t="shared" si="201"/>
        <v>0</v>
      </c>
      <c r="I146" s="233">
        <v>0</v>
      </c>
      <c r="J146" s="233"/>
      <c r="K146" s="233"/>
      <c r="L146" s="233"/>
      <c r="M146" s="232">
        <f t="shared" si="202"/>
        <v>0</v>
      </c>
      <c r="N146" s="233">
        <v>0</v>
      </c>
      <c r="O146" s="233"/>
      <c r="P146" s="233"/>
      <c r="Q146" s="233"/>
      <c r="R146" s="232">
        <f t="shared" si="203"/>
        <v>0</v>
      </c>
    </row>
    <row r="147" spans="1:18" s="4" customFormat="1" ht="12">
      <c r="A147" s="140" t="s">
        <v>133</v>
      </c>
      <c r="B147" s="100" t="s">
        <v>122</v>
      </c>
      <c r="C147" s="162">
        <v>265969</v>
      </c>
      <c r="D147" s="162">
        <v>265969</v>
      </c>
      <c r="E147" s="254">
        <f t="shared" ref="E147:G147" si="216">E148+E149</f>
        <v>0</v>
      </c>
      <c r="F147" s="254">
        <f t="shared" ref="F147" si="217">F148+F149</f>
        <v>0</v>
      </c>
      <c r="G147" s="254">
        <f t="shared" si="216"/>
        <v>0</v>
      </c>
      <c r="H147" s="232">
        <f t="shared" si="201"/>
        <v>265969</v>
      </c>
      <c r="I147" s="254">
        <v>265969</v>
      </c>
      <c r="J147" s="254">
        <f t="shared" ref="J147:L147" si="218">J148+J149</f>
        <v>0</v>
      </c>
      <c r="K147" s="254">
        <f t="shared" ref="K147" si="219">K148+K149</f>
        <v>0</v>
      </c>
      <c r="L147" s="254">
        <f t="shared" si="218"/>
        <v>0</v>
      </c>
      <c r="M147" s="232">
        <f t="shared" si="202"/>
        <v>265969</v>
      </c>
      <c r="N147" s="254">
        <v>265969</v>
      </c>
      <c r="O147" s="254">
        <f t="shared" ref="O147:Q147" si="220">O148+O149</f>
        <v>0</v>
      </c>
      <c r="P147" s="254">
        <f t="shared" ref="P147" si="221">P148+P149</f>
        <v>0</v>
      </c>
      <c r="Q147" s="254">
        <f t="shared" si="220"/>
        <v>0</v>
      </c>
      <c r="R147" s="232">
        <f t="shared" si="203"/>
        <v>265969</v>
      </c>
    </row>
    <row r="148" spans="1:18" s="6" customFormat="1" ht="12">
      <c r="A148" s="140">
        <v>5000</v>
      </c>
      <c r="B148" s="100" t="s">
        <v>123</v>
      </c>
      <c r="C148" s="106">
        <v>265969</v>
      </c>
      <c r="D148" s="106">
        <v>265969</v>
      </c>
      <c r="E148" s="244"/>
      <c r="F148" s="244"/>
      <c r="G148" s="244"/>
      <c r="H148" s="232">
        <f t="shared" si="201"/>
        <v>265969</v>
      </c>
      <c r="I148" s="233">
        <v>265969</v>
      </c>
      <c r="J148" s="244"/>
      <c r="K148" s="244"/>
      <c r="L148" s="244"/>
      <c r="M148" s="232">
        <f t="shared" si="202"/>
        <v>265969</v>
      </c>
      <c r="N148" s="233">
        <v>265969</v>
      </c>
      <c r="O148" s="244"/>
      <c r="P148" s="244"/>
      <c r="Q148" s="244"/>
      <c r="R148" s="232">
        <f t="shared" si="203"/>
        <v>265969</v>
      </c>
    </row>
    <row r="149" spans="1:18" s="6" customFormat="1" ht="12" hidden="1" customHeight="1">
      <c r="A149" s="140">
        <v>9000</v>
      </c>
      <c r="B149" s="115" t="s">
        <v>164</v>
      </c>
      <c r="C149" s="106">
        <v>0</v>
      </c>
      <c r="D149" s="106">
        <v>0</v>
      </c>
      <c r="E149" s="233">
        <f t="shared" ref="E149:G149" si="222">E150+E156+E160+E163</f>
        <v>0</v>
      </c>
      <c r="F149" s="233">
        <f t="shared" ref="F149" si="223">F150+F156+F160+F163</f>
        <v>0</v>
      </c>
      <c r="G149" s="233">
        <f t="shared" si="222"/>
        <v>0</v>
      </c>
      <c r="H149" s="232">
        <f t="shared" si="201"/>
        <v>0</v>
      </c>
      <c r="I149" s="233">
        <v>0</v>
      </c>
      <c r="J149" s="233">
        <f t="shared" ref="J149:L149" si="224">J150+J156+J160+J163</f>
        <v>0</v>
      </c>
      <c r="K149" s="233">
        <f t="shared" ref="K149" si="225">K150+K156+K160+K163</f>
        <v>0</v>
      </c>
      <c r="L149" s="233">
        <f t="shared" si="224"/>
        <v>0</v>
      </c>
      <c r="M149" s="232">
        <f t="shared" si="202"/>
        <v>0</v>
      </c>
      <c r="N149" s="233">
        <v>0</v>
      </c>
      <c r="O149" s="233">
        <f t="shared" ref="O149:Q149" si="226">O150+O156+O160+O163</f>
        <v>0</v>
      </c>
      <c r="P149" s="233">
        <f t="shared" ref="P149" si="227">P150+P156+P160+P163</f>
        <v>0</v>
      </c>
      <c r="Q149" s="233">
        <f t="shared" si="226"/>
        <v>0</v>
      </c>
      <c r="R149" s="232">
        <f t="shared" si="203"/>
        <v>0</v>
      </c>
    </row>
    <row r="150" spans="1:18" s="6" customFormat="1" ht="12" hidden="1" customHeight="1">
      <c r="A150" s="141">
        <v>9100</v>
      </c>
      <c r="B150" s="112" t="s">
        <v>124</v>
      </c>
      <c r="C150" s="106">
        <v>0</v>
      </c>
      <c r="D150" s="106">
        <v>0</v>
      </c>
      <c r="E150" s="233">
        <f t="shared" ref="E150:G150" si="228">SUM(E151:E152)</f>
        <v>0</v>
      </c>
      <c r="F150" s="233">
        <f t="shared" ref="F150" si="229">SUM(F151:F152)</f>
        <v>0</v>
      </c>
      <c r="G150" s="233">
        <f t="shared" si="228"/>
        <v>0</v>
      </c>
      <c r="H150" s="232">
        <f t="shared" si="201"/>
        <v>0</v>
      </c>
      <c r="I150" s="233">
        <v>0</v>
      </c>
      <c r="J150" s="233">
        <f t="shared" ref="J150:L150" si="230">SUM(J151:J152)</f>
        <v>0</v>
      </c>
      <c r="K150" s="233">
        <f t="shared" ref="K150" si="231">SUM(K151:K152)</f>
        <v>0</v>
      </c>
      <c r="L150" s="233">
        <f t="shared" si="230"/>
        <v>0</v>
      </c>
      <c r="M150" s="232">
        <f t="shared" si="202"/>
        <v>0</v>
      </c>
      <c r="N150" s="233">
        <v>0</v>
      </c>
      <c r="O150" s="233">
        <f t="shared" ref="O150:Q150" si="232">SUM(O151:O152)</f>
        <v>0</v>
      </c>
      <c r="P150" s="233">
        <f t="shared" ref="P150" si="233">SUM(P151:P152)</f>
        <v>0</v>
      </c>
      <c r="Q150" s="233">
        <f t="shared" si="232"/>
        <v>0</v>
      </c>
      <c r="R150" s="232">
        <f t="shared" si="203"/>
        <v>0</v>
      </c>
    </row>
    <row r="151" spans="1:18" s="6" customFormat="1" ht="24" hidden="1" customHeight="1">
      <c r="A151" s="133" t="s">
        <v>125</v>
      </c>
      <c r="B151" s="112" t="s">
        <v>203</v>
      </c>
      <c r="C151" s="106"/>
      <c r="D151" s="106">
        <v>0</v>
      </c>
      <c r="E151" s="233"/>
      <c r="F151" s="233"/>
      <c r="G151" s="233"/>
      <c r="H151" s="232">
        <f t="shared" si="201"/>
        <v>0</v>
      </c>
      <c r="I151" s="233">
        <v>0</v>
      </c>
      <c r="J151" s="233"/>
      <c r="K151" s="233"/>
      <c r="L151" s="233"/>
      <c r="M151" s="232">
        <f t="shared" si="202"/>
        <v>0</v>
      </c>
      <c r="N151" s="233">
        <v>0</v>
      </c>
      <c r="O151" s="233"/>
      <c r="P151" s="233"/>
      <c r="Q151" s="233"/>
      <c r="R151" s="232">
        <f t="shared" si="203"/>
        <v>0</v>
      </c>
    </row>
    <row r="152" spans="1:18" s="6" customFormat="1" ht="24" hidden="1" customHeight="1">
      <c r="A152" s="133">
        <v>9140</v>
      </c>
      <c r="B152" s="112" t="s">
        <v>204</v>
      </c>
      <c r="C152" s="106">
        <v>0</v>
      </c>
      <c r="D152" s="106">
        <v>0</v>
      </c>
      <c r="E152" s="233">
        <f t="shared" ref="E152:G152" si="234">SUM(E153:E155)</f>
        <v>0</v>
      </c>
      <c r="F152" s="233">
        <f t="shared" ref="F152" si="235">SUM(F153:F155)</f>
        <v>0</v>
      </c>
      <c r="G152" s="233">
        <f t="shared" si="234"/>
        <v>0</v>
      </c>
      <c r="H152" s="232">
        <f t="shared" si="201"/>
        <v>0</v>
      </c>
      <c r="I152" s="233">
        <v>0</v>
      </c>
      <c r="J152" s="233">
        <f t="shared" ref="J152:L152" si="236">SUM(J153:J155)</f>
        <v>0</v>
      </c>
      <c r="K152" s="233">
        <f t="shared" ref="K152" si="237">SUM(K153:K155)</f>
        <v>0</v>
      </c>
      <c r="L152" s="233">
        <f t="shared" si="236"/>
        <v>0</v>
      </c>
      <c r="M152" s="232">
        <f t="shared" si="202"/>
        <v>0</v>
      </c>
      <c r="N152" s="233">
        <v>0</v>
      </c>
      <c r="O152" s="233">
        <f t="shared" ref="O152:Q152" si="238">SUM(O153:O155)</f>
        <v>0</v>
      </c>
      <c r="P152" s="233">
        <f t="shared" ref="P152" si="239">SUM(P153:P155)</f>
        <v>0</v>
      </c>
      <c r="Q152" s="233">
        <f t="shared" si="238"/>
        <v>0</v>
      </c>
      <c r="R152" s="232">
        <f t="shared" si="203"/>
        <v>0</v>
      </c>
    </row>
    <row r="153" spans="1:18" s="6" customFormat="1" ht="36" hidden="1" customHeight="1">
      <c r="A153" s="134">
        <v>9141</v>
      </c>
      <c r="B153" s="108" t="s">
        <v>190</v>
      </c>
      <c r="C153" s="197"/>
      <c r="D153" s="197">
        <v>0</v>
      </c>
      <c r="E153" s="252"/>
      <c r="F153" s="252"/>
      <c r="G153" s="252"/>
      <c r="H153" s="232">
        <f t="shared" si="201"/>
        <v>0</v>
      </c>
      <c r="I153" s="252">
        <v>0</v>
      </c>
      <c r="J153" s="252"/>
      <c r="K153" s="252"/>
      <c r="L153" s="252"/>
      <c r="M153" s="232">
        <f t="shared" si="202"/>
        <v>0</v>
      </c>
      <c r="N153" s="252">
        <v>0</v>
      </c>
      <c r="O153" s="252"/>
      <c r="P153" s="252"/>
      <c r="Q153" s="252"/>
      <c r="R153" s="232">
        <f t="shared" si="203"/>
        <v>0</v>
      </c>
    </row>
    <row r="154" spans="1:18" s="6" customFormat="1" ht="36" hidden="1" customHeight="1">
      <c r="A154" s="134">
        <v>9142</v>
      </c>
      <c r="B154" s="108" t="s">
        <v>191</v>
      </c>
      <c r="C154" s="197"/>
      <c r="D154" s="197">
        <v>0</v>
      </c>
      <c r="E154" s="252"/>
      <c r="F154" s="252"/>
      <c r="G154" s="252"/>
      <c r="H154" s="232">
        <f t="shared" si="201"/>
        <v>0</v>
      </c>
      <c r="I154" s="252">
        <v>0</v>
      </c>
      <c r="J154" s="252"/>
      <c r="K154" s="252"/>
      <c r="L154" s="252"/>
      <c r="M154" s="232">
        <f t="shared" si="202"/>
        <v>0</v>
      </c>
      <c r="N154" s="252">
        <v>0</v>
      </c>
      <c r="O154" s="252"/>
      <c r="P154" s="252"/>
      <c r="Q154" s="252"/>
      <c r="R154" s="232">
        <f t="shared" si="203"/>
        <v>0</v>
      </c>
    </row>
    <row r="155" spans="1:18" s="6" customFormat="1" ht="24" hidden="1" customHeight="1">
      <c r="A155" s="134">
        <v>9149</v>
      </c>
      <c r="B155" s="108" t="s">
        <v>192</v>
      </c>
      <c r="C155" s="197"/>
      <c r="D155" s="197">
        <v>0</v>
      </c>
      <c r="E155" s="252"/>
      <c r="F155" s="252"/>
      <c r="G155" s="252"/>
      <c r="H155" s="232">
        <f t="shared" si="201"/>
        <v>0</v>
      </c>
      <c r="I155" s="252">
        <v>0</v>
      </c>
      <c r="J155" s="252"/>
      <c r="K155" s="252"/>
      <c r="L155" s="252"/>
      <c r="M155" s="232">
        <f t="shared" si="202"/>
        <v>0</v>
      </c>
      <c r="N155" s="252">
        <v>0</v>
      </c>
      <c r="O155" s="252"/>
      <c r="P155" s="252"/>
      <c r="Q155" s="252"/>
      <c r="R155" s="232">
        <f t="shared" si="203"/>
        <v>0</v>
      </c>
    </row>
    <row r="156" spans="1:18" s="6" customFormat="1" ht="24" hidden="1" customHeight="1">
      <c r="A156" s="141">
        <v>9500</v>
      </c>
      <c r="B156" s="108" t="s">
        <v>165</v>
      </c>
      <c r="C156" s="106">
        <v>0</v>
      </c>
      <c r="D156" s="106">
        <v>0</v>
      </c>
      <c r="E156" s="233">
        <f t="shared" ref="E156:G156" si="240">SUM(E157:E159)</f>
        <v>0</v>
      </c>
      <c r="F156" s="233">
        <f t="shared" ref="F156" si="241">SUM(F157:F159)</f>
        <v>0</v>
      </c>
      <c r="G156" s="233">
        <f t="shared" si="240"/>
        <v>0</v>
      </c>
      <c r="H156" s="232">
        <f t="shared" si="201"/>
        <v>0</v>
      </c>
      <c r="I156" s="233">
        <v>0</v>
      </c>
      <c r="J156" s="233">
        <f t="shared" ref="J156:L156" si="242">SUM(J157:J159)</f>
        <v>0</v>
      </c>
      <c r="K156" s="233">
        <f t="shared" ref="K156" si="243">SUM(K157:K159)</f>
        <v>0</v>
      </c>
      <c r="L156" s="233">
        <f t="shared" si="242"/>
        <v>0</v>
      </c>
      <c r="M156" s="232">
        <f t="shared" si="202"/>
        <v>0</v>
      </c>
      <c r="N156" s="233">
        <v>0</v>
      </c>
      <c r="O156" s="233">
        <f t="shared" ref="O156:Q156" si="244">SUM(O157:O159)</f>
        <v>0</v>
      </c>
      <c r="P156" s="233">
        <f t="shared" ref="P156" si="245">SUM(P157:P159)</f>
        <v>0</v>
      </c>
      <c r="Q156" s="233">
        <f t="shared" si="244"/>
        <v>0</v>
      </c>
      <c r="R156" s="232">
        <f t="shared" si="203"/>
        <v>0</v>
      </c>
    </row>
    <row r="157" spans="1:18" s="6" customFormat="1" ht="24" hidden="1" customHeight="1">
      <c r="A157" s="133" t="s">
        <v>193</v>
      </c>
      <c r="B157" s="108" t="s">
        <v>171</v>
      </c>
      <c r="C157" s="106"/>
      <c r="D157" s="106">
        <v>0</v>
      </c>
      <c r="E157" s="233"/>
      <c r="F157" s="233"/>
      <c r="G157" s="233"/>
      <c r="H157" s="232">
        <f t="shared" si="201"/>
        <v>0</v>
      </c>
      <c r="I157" s="233">
        <v>0</v>
      </c>
      <c r="J157" s="233"/>
      <c r="K157" s="233"/>
      <c r="L157" s="233"/>
      <c r="M157" s="232">
        <f t="shared" si="202"/>
        <v>0</v>
      </c>
      <c r="N157" s="233">
        <v>0</v>
      </c>
      <c r="O157" s="233"/>
      <c r="P157" s="233"/>
      <c r="Q157" s="233"/>
      <c r="R157" s="232">
        <f t="shared" si="203"/>
        <v>0</v>
      </c>
    </row>
    <row r="158" spans="1:18" s="6" customFormat="1" ht="48" hidden="1" customHeight="1">
      <c r="A158" s="133">
        <v>9580</v>
      </c>
      <c r="B158" s="108" t="s">
        <v>166</v>
      </c>
      <c r="C158" s="197"/>
      <c r="D158" s="197">
        <v>0</v>
      </c>
      <c r="E158" s="252"/>
      <c r="F158" s="252"/>
      <c r="G158" s="252"/>
      <c r="H158" s="232">
        <f t="shared" si="201"/>
        <v>0</v>
      </c>
      <c r="I158" s="252">
        <v>0</v>
      </c>
      <c r="J158" s="252"/>
      <c r="K158" s="252"/>
      <c r="L158" s="252"/>
      <c r="M158" s="232">
        <f t="shared" si="202"/>
        <v>0</v>
      </c>
      <c r="N158" s="252">
        <v>0</v>
      </c>
      <c r="O158" s="252"/>
      <c r="P158" s="252"/>
      <c r="Q158" s="252"/>
      <c r="R158" s="232">
        <f t="shared" si="203"/>
        <v>0</v>
      </c>
    </row>
    <row r="159" spans="1:18" s="6" customFormat="1" ht="48" hidden="1" customHeight="1">
      <c r="A159" s="133">
        <v>9590</v>
      </c>
      <c r="B159" s="112" t="s">
        <v>172</v>
      </c>
      <c r="C159" s="197"/>
      <c r="D159" s="197">
        <v>0</v>
      </c>
      <c r="E159" s="252"/>
      <c r="F159" s="252"/>
      <c r="G159" s="252"/>
      <c r="H159" s="232">
        <f t="shared" si="201"/>
        <v>0</v>
      </c>
      <c r="I159" s="252">
        <v>0</v>
      </c>
      <c r="J159" s="252"/>
      <c r="K159" s="252"/>
      <c r="L159" s="252"/>
      <c r="M159" s="232">
        <f t="shared" si="202"/>
        <v>0</v>
      </c>
      <c r="N159" s="252">
        <v>0</v>
      </c>
      <c r="O159" s="252"/>
      <c r="P159" s="252"/>
      <c r="Q159" s="252"/>
      <c r="R159" s="232">
        <f t="shared" si="203"/>
        <v>0</v>
      </c>
    </row>
    <row r="160" spans="1:18" s="6" customFormat="1" ht="24" hidden="1" customHeight="1">
      <c r="A160" s="141">
        <v>9700</v>
      </c>
      <c r="B160" s="116" t="s">
        <v>194</v>
      </c>
      <c r="C160" s="106">
        <v>0</v>
      </c>
      <c r="D160" s="106">
        <v>0</v>
      </c>
      <c r="E160" s="233">
        <f t="shared" ref="E160:G160" si="246">SUM(E161:E162)</f>
        <v>0</v>
      </c>
      <c r="F160" s="233">
        <f t="shared" ref="F160" si="247">SUM(F161:F162)</f>
        <v>0</v>
      </c>
      <c r="G160" s="233">
        <f t="shared" si="246"/>
        <v>0</v>
      </c>
      <c r="H160" s="232">
        <f t="shared" si="201"/>
        <v>0</v>
      </c>
      <c r="I160" s="233">
        <v>0</v>
      </c>
      <c r="J160" s="233">
        <f t="shared" ref="J160:L160" si="248">SUM(J161:J162)</f>
        <v>0</v>
      </c>
      <c r="K160" s="233">
        <f t="shared" ref="K160" si="249">SUM(K161:K162)</f>
        <v>0</v>
      </c>
      <c r="L160" s="233">
        <f t="shared" si="248"/>
        <v>0</v>
      </c>
      <c r="M160" s="232">
        <f t="shared" si="202"/>
        <v>0</v>
      </c>
      <c r="N160" s="233">
        <v>0</v>
      </c>
      <c r="O160" s="233">
        <f t="shared" ref="O160:Q160" si="250">SUM(O161:O162)</f>
        <v>0</v>
      </c>
      <c r="P160" s="233">
        <f t="shared" ref="P160" si="251">SUM(P161:P162)</f>
        <v>0</v>
      </c>
      <c r="Q160" s="233">
        <f t="shared" si="250"/>
        <v>0</v>
      </c>
      <c r="R160" s="232">
        <f t="shared" si="203"/>
        <v>0</v>
      </c>
    </row>
    <row r="161" spans="1:18" s="6" customFormat="1" ht="24" hidden="1" customHeight="1">
      <c r="A161" s="133">
        <v>9710</v>
      </c>
      <c r="B161" s="117" t="s">
        <v>195</v>
      </c>
      <c r="C161" s="197"/>
      <c r="D161" s="197">
        <v>0</v>
      </c>
      <c r="E161" s="252"/>
      <c r="F161" s="252"/>
      <c r="G161" s="252"/>
      <c r="H161" s="232">
        <f t="shared" si="201"/>
        <v>0</v>
      </c>
      <c r="I161" s="252">
        <v>0</v>
      </c>
      <c r="J161" s="252"/>
      <c r="K161" s="252"/>
      <c r="L161" s="252"/>
      <c r="M161" s="232">
        <f t="shared" si="202"/>
        <v>0</v>
      </c>
      <c r="N161" s="252">
        <v>0</v>
      </c>
      <c r="O161" s="252"/>
      <c r="P161" s="252"/>
      <c r="Q161" s="252"/>
      <c r="R161" s="232">
        <f t="shared" si="203"/>
        <v>0</v>
      </c>
    </row>
    <row r="162" spans="1:18" s="6" customFormat="1" ht="36" hidden="1" customHeight="1">
      <c r="A162" s="142">
        <v>9720</v>
      </c>
      <c r="B162" s="116" t="s">
        <v>196</v>
      </c>
      <c r="C162" s="197"/>
      <c r="D162" s="197">
        <v>0</v>
      </c>
      <c r="E162" s="252"/>
      <c r="F162" s="252"/>
      <c r="G162" s="252"/>
      <c r="H162" s="232">
        <f t="shared" si="201"/>
        <v>0</v>
      </c>
      <c r="I162" s="252">
        <v>0</v>
      </c>
      <c r="J162" s="252"/>
      <c r="K162" s="252"/>
      <c r="L162" s="252"/>
      <c r="M162" s="232">
        <f t="shared" si="202"/>
        <v>0</v>
      </c>
      <c r="N162" s="252">
        <v>0</v>
      </c>
      <c r="O162" s="252"/>
      <c r="P162" s="252"/>
      <c r="Q162" s="252"/>
      <c r="R162" s="232">
        <f t="shared" si="203"/>
        <v>0</v>
      </c>
    </row>
    <row r="163" spans="1:18" s="6" customFormat="1" ht="24" hidden="1" customHeight="1">
      <c r="A163" s="141">
        <v>9600</v>
      </c>
      <c r="B163" s="112" t="s">
        <v>134</v>
      </c>
      <c r="C163" s="197"/>
      <c r="D163" s="197">
        <v>0</v>
      </c>
      <c r="E163" s="252"/>
      <c r="F163" s="252"/>
      <c r="G163" s="252"/>
      <c r="H163" s="232">
        <f t="shared" si="201"/>
        <v>0</v>
      </c>
      <c r="I163" s="252">
        <v>0</v>
      </c>
      <c r="J163" s="252"/>
      <c r="K163" s="252"/>
      <c r="L163" s="252"/>
      <c r="M163" s="232">
        <f t="shared" si="202"/>
        <v>0</v>
      </c>
      <c r="N163" s="252">
        <v>0</v>
      </c>
      <c r="O163" s="252"/>
      <c r="P163" s="252"/>
      <c r="Q163" s="252"/>
      <c r="R163" s="232">
        <f t="shared" si="203"/>
        <v>0</v>
      </c>
    </row>
    <row r="164" spans="1:18" s="6" customFormat="1" ht="52.5" hidden="1" customHeight="1">
      <c r="A164" s="130" t="s">
        <v>197</v>
      </c>
      <c r="B164" s="118" t="s">
        <v>47</v>
      </c>
      <c r="C164" s="198"/>
      <c r="D164" s="198">
        <v>0</v>
      </c>
      <c r="E164" s="262">
        <f t="shared" ref="E164:G164" si="252">E94-E119</f>
        <v>0</v>
      </c>
      <c r="F164" s="262">
        <f t="shared" ref="F164" si="253">F94-F119</f>
        <v>0</v>
      </c>
      <c r="G164" s="262">
        <f t="shared" si="252"/>
        <v>0</v>
      </c>
      <c r="H164" s="232">
        <f t="shared" si="201"/>
        <v>0</v>
      </c>
      <c r="I164" s="262">
        <v>0</v>
      </c>
      <c r="J164" s="262">
        <f t="shared" ref="J164:L164" si="254">J94-J119</f>
        <v>0</v>
      </c>
      <c r="K164" s="262">
        <f t="shared" ref="K164" si="255">K94-K119</f>
        <v>0</v>
      </c>
      <c r="L164" s="262">
        <f t="shared" si="254"/>
        <v>0</v>
      </c>
      <c r="M164" s="232">
        <f t="shared" si="202"/>
        <v>0</v>
      </c>
      <c r="N164" s="262">
        <v>0</v>
      </c>
      <c r="O164" s="262">
        <f t="shared" ref="O164:Q164" si="256">O94-O119</f>
        <v>0</v>
      </c>
      <c r="P164" s="262">
        <f t="shared" ref="P164" si="257">P94-P119</f>
        <v>0</v>
      </c>
      <c r="Q164" s="262">
        <f t="shared" si="256"/>
        <v>0</v>
      </c>
      <c r="R164" s="232">
        <f t="shared" si="203"/>
        <v>0</v>
      </c>
    </row>
    <row r="165" spans="1:18" s="6" customFormat="1" ht="12" hidden="1" customHeight="1">
      <c r="A165" s="143" t="s">
        <v>48</v>
      </c>
      <c r="B165" s="118" t="s">
        <v>49</v>
      </c>
      <c r="C165" s="198">
        <v>0</v>
      </c>
      <c r="D165" s="198">
        <v>0</v>
      </c>
      <c r="E165" s="262">
        <f t="shared" ref="E165:G165" si="258">E166+E169+E173+E172</f>
        <v>0</v>
      </c>
      <c r="F165" s="262">
        <f t="shared" ref="F165" si="259">F166+F169+F173+F172</f>
        <v>0</v>
      </c>
      <c r="G165" s="262">
        <f t="shared" si="258"/>
        <v>0</v>
      </c>
      <c r="H165" s="232">
        <f t="shared" si="201"/>
        <v>0</v>
      </c>
      <c r="I165" s="262">
        <v>0</v>
      </c>
      <c r="J165" s="262">
        <f t="shared" ref="J165:L165" si="260">J166+J169+J173+J172</f>
        <v>0</v>
      </c>
      <c r="K165" s="262">
        <f t="shared" ref="K165" si="261">K166+K169+K173+K172</f>
        <v>0</v>
      </c>
      <c r="L165" s="262">
        <f t="shared" si="260"/>
        <v>0</v>
      </c>
      <c r="M165" s="232">
        <f t="shared" si="202"/>
        <v>0</v>
      </c>
      <c r="N165" s="262">
        <v>0</v>
      </c>
      <c r="O165" s="262">
        <f t="shared" ref="O165:Q165" si="262">O166+O169+O173+O172</f>
        <v>0</v>
      </c>
      <c r="P165" s="262">
        <f t="shared" ref="P165" si="263">P166+P169+P173+P172</f>
        <v>0</v>
      </c>
      <c r="Q165" s="262">
        <f t="shared" si="262"/>
        <v>0</v>
      </c>
      <c r="R165" s="232">
        <f t="shared" si="203"/>
        <v>0</v>
      </c>
    </row>
    <row r="166" spans="1:18" s="6" customFormat="1" ht="12" hidden="1" customHeight="1">
      <c r="A166" s="141" t="s">
        <v>50</v>
      </c>
      <c r="B166" s="112" t="s">
        <v>51</v>
      </c>
      <c r="C166" s="158">
        <v>0</v>
      </c>
      <c r="D166" s="158">
        <v>0</v>
      </c>
      <c r="E166" s="231">
        <f t="shared" ref="E166:G166" si="264">E167+E168</f>
        <v>0</v>
      </c>
      <c r="F166" s="231">
        <f t="shared" ref="F166" si="265">F167+F168</f>
        <v>0</v>
      </c>
      <c r="G166" s="231">
        <f t="shared" si="264"/>
        <v>0</v>
      </c>
      <c r="H166" s="232">
        <f t="shared" si="201"/>
        <v>0</v>
      </c>
      <c r="I166" s="231">
        <v>0</v>
      </c>
      <c r="J166" s="231">
        <f t="shared" ref="J166:L166" si="266">J167+J168</f>
        <v>0</v>
      </c>
      <c r="K166" s="231">
        <f t="shared" ref="K166" si="267">K167+K168</f>
        <v>0</v>
      </c>
      <c r="L166" s="231">
        <f t="shared" si="266"/>
        <v>0</v>
      </c>
      <c r="M166" s="232">
        <f t="shared" si="202"/>
        <v>0</v>
      </c>
      <c r="N166" s="231">
        <v>0</v>
      </c>
      <c r="O166" s="231">
        <f t="shared" ref="O166:Q166" si="268">O167+O168</f>
        <v>0</v>
      </c>
      <c r="P166" s="231">
        <f t="shared" ref="P166" si="269">P167+P168</f>
        <v>0</v>
      </c>
      <c r="Q166" s="231">
        <f t="shared" si="268"/>
        <v>0</v>
      </c>
      <c r="R166" s="232">
        <f t="shared" si="203"/>
        <v>0</v>
      </c>
    </row>
    <row r="167" spans="1:18" s="6" customFormat="1" ht="12" hidden="1" customHeight="1">
      <c r="A167" s="141" t="s">
        <v>52</v>
      </c>
      <c r="B167" s="112" t="s">
        <v>53</v>
      </c>
      <c r="C167" s="158"/>
      <c r="D167" s="158">
        <v>0</v>
      </c>
      <c r="E167" s="231"/>
      <c r="F167" s="231"/>
      <c r="G167" s="231"/>
      <c r="H167" s="232">
        <f t="shared" si="201"/>
        <v>0</v>
      </c>
      <c r="I167" s="231">
        <v>0</v>
      </c>
      <c r="J167" s="231"/>
      <c r="K167" s="231"/>
      <c r="L167" s="231"/>
      <c r="M167" s="232">
        <f t="shared" si="202"/>
        <v>0</v>
      </c>
      <c r="N167" s="231">
        <v>0</v>
      </c>
      <c r="O167" s="231"/>
      <c r="P167" s="231"/>
      <c r="Q167" s="231"/>
      <c r="R167" s="232">
        <f t="shared" si="203"/>
        <v>0</v>
      </c>
    </row>
    <row r="168" spans="1:18" s="6" customFormat="1" ht="12" hidden="1" customHeight="1">
      <c r="A168" s="141" t="s">
        <v>54</v>
      </c>
      <c r="B168" s="112" t="s">
        <v>55</v>
      </c>
      <c r="C168" s="158"/>
      <c r="D168" s="158">
        <v>0</v>
      </c>
      <c r="E168" s="231"/>
      <c r="F168" s="231"/>
      <c r="G168" s="231"/>
      <c r="H168" s="232">
        <f t="shared" si="201"/>
        <v>0</v>
      </c>
      <c r="I168" s="231">
        <v>0</v>
      </c>
      <c r="J168" s="231"/>
      <c r="K168" s="231"/>
      <c r="L168" s="231"/>
      <c r="M168" s="232">
        <f t="shared" si="202"/>
        <v>0</v>
      </c>
      <c r="N168" s="231">
        <v>0</v>
      </c>
      <c r="O168" s="231"/>
      <c r="P168" s="231"/>
      <c r="Q168" s="231"/>
      <c r="R168" s="232">
        <f t="shared" si="203"/>
        <v>0</v>
      </c>
    </row>
    <row r="169" spans="1:18" s="6" customFormat="1" ht="12" hidden="1" customHeight="1">
      <c r="A169" s="141" t="s">
        <v>56</v>
      </c>
      <c r="B169" s="112" t="s">
        <v>57</v>
      </c>
      <c r="C169" s="158">
        <v>0</v>
      </c>
      <c r="D169" s="158">
        <v>0</v>
      </c>
      <c r="E169" s="231">
        <f t="shared" ref="E169:G169" si="270">E170+E171</f>
        <v>0</v>
      </c>
      <c r="F169" s="231">
        <f t="shared" ref="F169" si="271">F170+F171</f>
        <v>0</v>
      </c>
      <c r="G169" s="231">
        <f t="shared" si="270"/>
        <v>0</v>
      </c>
      <c r="H169" s="232">
        <f t="shared" si="201"/>
        <v>0</v>
      </c>
      <c r="I169" s="231">
        <v>0</v>
      </c>
      <c r="J169" s="231">
        <f t="shared" ref="J169:L169" si="272">J170+J171</f>
        <v>0</v>
      </c>
      <c r="K169" s="231">
        <f t="shared" ref="K169" si="273">K170+K171</f>
        <v>0</v>
      </c>
      <c r="L169" s="231">
        <f t="shared" si="272"/>
        <v>0</v>
      </c>
      <c r="M169" s="232">
        <f t="shared" si="202"/>
        <v>0</v>
      </c>
      <c r="N169" s="231">
        <v>0</v>
      </c>
      <c r="O169" s="231">
        <f t="shared" ref="O169:Q169" si="274">O170+O171</f>
        <v>0</v>
      </c>
      <c r="P169" s="231">
        <f t="shared" ref="P169" si="275">P170+P171</f>
        <v>0</v>
      </c>
      <c r="Q169" s="231">
        <f t="shared" si="274"/>
        <v>0</v>
      </c>
      <c r="R169" s="232">
        <f t="shared" si="203"/>
        <v>0</v>
      </c>
    </row>
    <row r="170" spans="1:18" s="6" customFormat="1" ht="12" hidden="1" customHeight="1">
      <c r="A170" s="141" t="s">
        <v>58</v>
      </c>
      <c r="B170" s="112" t="s">
        <v>59</v>
      </c>
      <c r="C170" s="158"/>
      <c r="D170" s="158">
        <v>0</v>
      </c>
      <c r="E170" s="231"/>
      <c r="F170" s="231"/>
      <c r="G170" s="231"/>
      <c r="H170" s="232">
        <f t="shared" si="201"/>
        <v>0</v>
      </c>
      <c r="I170" s="231">
        <v>0</v>
      </c>
      <c r="J170" s="231"/>
      <c r="K170" s="231"/>
      <c r="L170" s="231"/>
      <c r="M170" s="232">
        <f t="shared" si="202"/>
        <v>0</v>
      </c>
      <c r="N170" s="231">
        <v>0</v>
      </c>
      <c r="O170" s="231"/>
      <c r="P170" s="231"/>
      <c r="Q170" s="231"/>
      <c r="R170" s="232">
        <f t="shared" si="203"/>
        <v>0</v>
      </c>
    </row>
    <row r="171" spans="1:18" s="6" customFormat="1" ht="12" hidden="1" customHeight="1">
      <c r="A171" s="141" t="s">
        <v>60</v>
      </c>
      <c r="B171" s="112" t="s">
        <v>61</v>
      </c>
      <c r="C171" s="158"/>
      <c r="D171" s="158">
        <v>0</v>
      </c>
      <c r="E171" s="231"/>
      <c r="F171" s="231"/>
      <c r="G171" s="231"/>
      <c r="H171" s="232">
        <f t="shared" si="201"/>
        <v>0</v>
      </c>
      <c r="I171" s="231">
        <v>0</v>
      </c>
      <c r="J171" s="231"/>
      <c r="K171" s="231"/>
      <c r="L171" s="231"/>
      <c r="M171" s="232">
        <f t="shared" si="202"/>
        <v>0</v>
      </c>
      <c r="N171" s="231">
        <v>0</v>
      </c>
      <c r="O171" s="231"/>
      <c r="P171" s="231"/>
      <c r="Q171" s="231"/>
      <c r="R171" s="232">
        <f t="shared" si="203"/>
        <v>0</v>
      </c>
    </row>
    <row r="172" spans="1:18" s="6" customFormat="1" ht="12" hidden="1" customHeight="1">
      <c r="A172" s="141" t="s">
        <v>198</v>
      </c>
      <c r="B172" s="120" t="s">
        <v>168</v>
      </c>
      <c r="C172" s="158"/>
      <c r="D172" s="158">
        <v>0</v>
      </c>
      <c r="E172" s="231"/>
      <c r="F172" s="231"/>
      <c r="G172" s="231"/>
      <c r="H172" s="232">
        <f t="shared" si="201"/>
        <v>0</v>
      </c>
      <c r="I172" s="231">
        <v>0</v>
      </c>
      <c r="J172" s="231"/>
      <c r="K172" s="231"/>
      <c r="L172" s="231"/>
      <c r="M172" s="232">
        <f t="shared" si="202"/>
        <v>0</v>
      </c>
      <c r="N172" s="231">
        <v>0</v>
      </c>
      <c r="O172" s="231"/>
      <c r="P172" s="231"/>
      <c r="Q172" s="231"/>
      <c r="R172" s="232">
        <f t="shared" si="203"/>
        <v>0</v>
      </c>
    </row>
    <row r="173" spans="1:18" s="6" customFormat="1" ht="12" hidden="1" customHeight="1">
      <c r="A173" s="144" t="s">
        <v>62</v>
      </c>
      <c r="B173" s="101" t="s">
        <v>63</v>
      </c>
      <c r="C173" s="106">
        <v>0</v>
      </c>
      <c r="D173" s="106">
        <v>0</v>
      </c>
      <c r="E173" s="233">
        <f t="shared" ref="E173:G173" si="276">E174+E175+E176</f>
        <v>0</v>
      </c>
      <c r="F173" s="233">
        <f t="shared" ref="F173" si="277">F174+F175+F176</f>
        <v>0</v>
      </c>
      <c r="G173" s="233">
        <f t="shared" si="276"/>
        <v>0</v>
      </c>
      <c r="H173" s="232">
        <f t="shared" si="201"/>
        <v>0</v>
      </c>
      <c r="I173" s="233">
        <v>0</v>
      </c>
      <c r="J173" s="233">
        <f t="shared" ref="J173:L173" si="278">J174+J175+J176</f>
        <v>0</v>
      </c>
      <c r="K173" s="233">
        <f t="shared" ref="K173" si="279">K174+K175+K176</f>
        <v>0</v>
      </c>
      <c r="L173" s="233">
        <f t="shared" si="278"/>
        <v>0</v>
      </c>
      <c r="M173" s="232">
        <f t="shared" si="202"/>
        <v>0</v>
      </c>
      <c r="N173" s="233">
        <v>0</v>
      </c>
      <c r="O173" s="233">
        <f t="shared" ref="O173:Q173" si="280">O174+O175+O176</f>
        <v>0</v>
      </c>
      <c r="P173" s="233">
        <f t="shared" ref="P173" si="281">P174+P175+P176</f>
        <v>0</v>
      </c>
      <c r="Q173" s="233">
        <f t="shared" si="280"/>
        <v>0</v>
      </c>
      <c r="R173" s="232">
        <f t="shared" si="203"/>
        <v>0</v>
      </c>
    </row>
    <row r="174" spans="1:18" s="6" customFormat="1" ht="36" hidden="1" customHeight="1">
      <c r="A174" s="144" t="s">
        <v>64</v>
      </c>
      <c r="B174" s="112" t="s">
        <v>65</v>
      </c>
      <c r="C174" s="158"/>
      <c r="D174" s="158">
        <v>0</v>
      </c>
      <c r="E174" s="231"/>
      <c r="F174" s="231"/>
      <c r="G174" s="231"/>
      <c r="H174" s="232">
        <f t="shared" si="201"/>
        <v>0</v>
      </c>
      <c r="I174" s="231">
        <v>0</v>
      </c>
      <c r="J174" s="231"/>
      <c r="K174" s="231"/>
      <c r="L174" s="231"/>
      <c r="M174" s="232">
        <f t="shared" si="202"/>
        <v>0</v>
      </c>
      <c r="N174" s="231">
        <v>0</v>
      </c>
      <c r="O174" s="231"/>
      <c r="P174" s="231"/>
      <c r="Q174" s="231"/>
      <c r="R174" s="232">
        <f t="shared" si="203"/>
        <v>0</v>
      </c>
    </row>
    <row r="175" spans="1:18" s="6" customFormat="1" ht="24" hidden="1" customHeight="1">
      <c r="A175" s="144" t="s">
        <v>66</v>
      </c>
      <c r="B175" s="112" t="s">
        <v>67</v>
      </c>
      <c r="C175" s="158"/>
      <c r="D175" s="158">
        <v>0</v>
      </c>
      <c r="E175" s="231"/>
      <c r="F175" s="231"/>
      <c r="G175" s="231"/>
      <c r="H175" s="232">
        <f t="shared" si="201"/>
        <v>0</v>
      </c>
      <c r="I175" s="231">
        <v>0</v>
      </c>
      <c r="J175" s="231"/>
      <c r="K175" s="231"/>
      <c r="L175" s="231"/>
      <c r="M175" s="232">
        <f t="shared" si="202"/>
        <v>0</v>
      </c>
      <c r="N175" s="231">
        <v>0</v>
      </c>
      <c r="O175" s="231"/>
      <c r="P175" s="231"/>
      <c r="Q175" s="231"/>
      <c r="R175" s="232">
        <f t="shared" si="203"/>
        <v>0</v>
      </c>
    </row>
    <row r="176" spans="1:18" s="6" customFormat="1" ht="24" hidden="1" customHeight="1">
      <c r="A176" s="144" t="s">
        <v>68</v>
      </c>
      <c r="B176" s="101" t="s">
        <v>69</v>
      </c>
      <c r="C176" s="158"/>
      <c r="D176" s="158">
        <v>0</v>
      </c>
      <c r="E176" s="231"/>
      <c r="F176" s="231"/>
      <c r="G176" s="231"/>
      <c r="H176" s="232">
        <f t="shared" si="201"/>
        <v>0</v>
      </c>
      <c r="I176" s="231">
        <v>0</v>
      </c>
      <c r="J176" s="231"/>
      <c r="K176" s="231"/>
      <c r="L176" s="231"/>
      <c r="M176" s="232">
        <f t="shared" si="202"/>
        <v>0</v>
      </c>
      <c r="N176" s="231">
        <v>0</v>
      </c>
      <c r="O176" s="231"/>
      <c r="P176" s="231"/>
      <c r="Q176" s="231"/>
      <c r="R176" s="232">
        <f t="shared" si="203"/>
        <v>0</v>
      </c>
    </row>
    <row r="177" spans="1:18" s="6" customFormat="1" ht="34.200000000000003">
      <c r="A177" s="145"/>
      <c r="B177" s="121" t="s">
        <v>200</v>
      </c>
      <c r="C177" s="199"/>
      <c r="D177" s="122">
        <v>0</v>
      </c>
      <c r="E177" s="268"/>
      <c r="F177" s="268"/>
      <c r="G177" s="268"/>
      <c r="H177" s="269">
        <f t="shared" si="201"/>
        <v>0</v>
      </c>
      <c r="I177" s="347">
        <v>0</v>
      </c>
      <c r="J177" s="268"/>
      <c r="K177" s="268"/>
      <c r="L177" s="268"/>
      <c r="M177" s="269">
        <f t="shared" si="202"/>
        <v>0</v>
      </c>
      <c r="N177" s="347">
        <v>0</v>
      </c>
      <c r="O177" s="268"/>
      <c r="P177" s="268"/>
      <c r="Q177" s="268"/>
      <c r="R177" s="269">
        <f t="shared" si="203"/>
        <v>0</v>
      </c>
    </row>
    <row r="178" spans="1:18" s="6" customFormat="1" ht="21" hidden="1" customHeight="1">
      <c r="A178" s="129" t="s">
        <v>201</v>
      </c>
      <c r="B178" s="99" t="s">
        <v>88</v>
      </c>
      <c r="C178" s="193">
        <v>0</v>
      </c>
      <c r="D178" s="193">
        <v>0</v>
      </c>
      <c r="E178" s="228">
        <f t="shared" ref="E178:G178" si="282">E179+E180+E182+E200</f>
        <v>0</v>
      </c>
      <c r="F178" s="228">
        <f t="shared" ref="F178" si="283">F179+F180+F182+F200</f>
        <v>0</v>
      </c>
      <c r="G178" s="228">
        <f t="shared" si="282"/>
        <v>0</v>
      </c>
      <c r="H178" s="229">
        <f t="shared" si="201"/>
        <v>0</v>
      </c>
      <c r="I178" s="228">
        <v>0</v>
      </c>
      <c r="J178" s="228">
        <f t="shared" ref="J178:L178" si="284">J179+J180+J182+J200</f>
        <v>0</v>
      </c>
      <c r="K178" s="228">
        <f t="shared" ref="K178" si="285">K179+K180+K182+K200</f>
        <v>0</v>
      </c>
      <c r="L178" s="228">
        <f t="shared" si="284"/>
        <v>0</v>
      </c>
      <c r="M178" s="229">
        <f t="shared" si="202"/>
        <v>0</v>
      </c>
      <c r="N178" s="228">
        <v>0</v>
      </c>
      <c r="O178" s="228">
        <f t="shared" ref="O178:Q178" si="286">O179+O180+O182+O200</f>
        <v>0</v>
      </c>
      <c r="P178" s="228">
        <f t="shared" ref="P178" si="287">P179+P180+P182+P200</f>
        <v>0</v>
      </c>
      <c r="Q178" s="228">
        <f t="shared" si="286"/>
        <v>0</v>
      </c>
      <c r="R178" s="229">
        <f t="shared" si="203"/>
        <v>0</v>
      </c>
    </row>
    <row r="179" spans="1:18" s="6" customFormat="1" ht="24" hidden="1" customHeight="1">
      <c r="A179" s="130" t="s">
        <v>177</v>
      </c>
      <c r="B179" s="100" t="s">
        <v>90</v>
      </c>
      <c r="C179" s="158"/>
      <c r="D179" s="158">
        <v>0</v>
      </c>
      <c r="E179" s="231"/>
      <c r="F179" s="231"/>
      <c r="G179" s="231"/>
      <c r="H179" s="232">
        <f t="shared" si="201"/>
        <v>0</v>
      </c>
      <c r="I179" s="231">
        <v>0</v>
      </c>
      <c r="J179" s="231"/>
      <c r="K179" s="231"/>
      <c r="L179" s="231"/>
      <c r="M179" s="232">
        <f t="shared" si="202"/>
        <v>0</v>
      </c>
      <c r="N179" s="231">
        <v>0</v>
      </c>
      <c r="O179" s="231"/>
      <c r="P179" s="231"/>
      <c r="Q179" s="231"/>
      <c r="R179" s="232">
        <f t="shared" si="203"/>
        <v>0</v>
      </c>
    </row>
    <row r="180" spans="1:18" s="6" customFormat="1" ht="12" hidden="1" customHeight="1">
      <c r="A180" s="130" t="s">
        <v>91</v>
      </c>
      <c r="B180" s="100" t="s">
        <v>92</v>
      </c>
      <c r="C180" s="158"/>
      <c r="D180" s="158">
        <v>0</v>
      </c>
      <c r="E180" s="231"/>
      <c r="F180" s="231"/>
      <c r="G180" s="231"/>
      <c r="H180" s="232">
        <f t="shared" si="201"/>
        <v>0</v>
      </c>
      <c r="I180" s="231">
        <v>0</v>
      </c>
      <c r="J180" s="231"/>
      <c r="K180" s="231"/>
      <c r="L180" s="231"/>
      <c r="M180" s="232">
        <f t="shared" si="202"/>
        <v>0</v>
      </c>
      <c r="N180" s="231">
        <v>0</v>
      </c>
      <c r="O180" s="231"/>
      <c r="P180" s="231"/>
      <c r="Q180" s="231"/>
      <c r="R180" s="232">
        <f t="shared" si="203"/>
        <v>0</v>
      </c>
    </row>
    <row r="181" spans="1:18" s="29" customFormat="1" ht="24" hidden="1" customHeight="1">
      <c r="A181" s="131">
        <v>21210</v>
      </c>
      <c r="B181" s="101" t="s">
        <v>93</v>
      </c>
      <c r="C181" s="158"/>
      <c r="D181" s="158">
        <v>0</v>
      </c>
      <c r="E181" s="231"/>
      <c r="F181" s="231"/>
      <c r="G181" s="231"/>
      <c r="H181" s="232">
        <f t="shared" si="201"/>
        <v>0</v>
      </c>
      <c r="I181" s="231">
        <v>0</v>
      </c>
      <c r="J181" s="231"/>
      <c r="K181" s="231"/>
      <c r="L181" s="231"/>
      <c r="M181" s="232">
        <f t="shared" si="202"/>
        <v>0</v>
      </c>
      <c r="N181" s="231">
        <v>0</v>
      </c>
      <c r="O181" s="231"/>
      <c r="P181" s="231"/>
      <c r="Q181" s="231"/>
      <c r="R181" s="232">
        <f t="shared" si="203"/>
        <v>0</v>
      </c>
    </row>
    <row r="182" spans="1:18" s="89" customFormat="1" ht="21" hidden="1" customHeight="1">
      <c r="A182" s="130" t="s">
        <v>178</v>
      </c>
      <c r="B182" s="100" t="s">
        <v>94</v>
      </c>
      <c r="C182" s="106">
        <v>0</v>
      </c>
      <c r="D182" s="106">
        <v>0</v>
      </c>
      <c r="E182" s="233">
        <f t="shared" ref="E182:G182" si="288">E183+E189</f>
        <v>0</v>
      </c>
      <c r="F182" s="233">
        <f t="shared" ref="F182" si="289">F183+F189</f>
        <v>0</v>
      </c>
      <c r="G182" s="233">
        <f t="shared" si="288"/>
        <v>0</v>
      </c>
      <c r="H182" s="232">
        <f t="shared" si="201"/>
        <v>0</v>
      </c>
      <c r="I182" s="233">
        <v>0</v>
      </c>
      <c r="J182" s="233">
        <f t="shared" ref="J182:L182" si="290">J183+J189</f>
        <v>0</v>
      </c>
      <c r="K182" s="233">
        <f t="shared" ref="K182" si="291">K183+K189</f>
        <v>0</v>
      </c>
      <c r="L182" s="233">
        <f t="shared" si="290"/>
        <v>0</v>
      </c>
      <c r="M182" s="232">
        <f t="shared" si="202"/>
        <v>0</v>
      </c>
      <c r="N182" s="233">
        <v>0</v>
      </c>
      <c r="O182" s="233">
        <f t="shared" ref="O182:Q182" si="292">O183+O189</f>
        <v>0</v>
      </c>
      <c r="P182" s="233">
        <f t="shared" ref="P182" si="293">P183+P189</f>
        <v>0</v>
      </c>
      <c r="Q182" s="233">
        <f t="shared" si="292"/>
        <v>0</v>
      </c>
      <c r="R182" s="232">
        <f t="shared" si="203"/>
        <v>0</v>
      </c>
    </row>
    <row r="183" spans="1:18" s="89" customFormat="1" ht="12" hidden="1" customHeight="1">
      <c r="A183" s="132">
        <v>18000</v>
      </c>
      <c r="B183" s="101" t="s">
        <v>95</v>
      </c>
      <c r="C183" s="106">
        <v>0</v>
      </c>
      <c r="D183" s="106">
        <v>0</v>
      </c>
      <c r="E183" s="233">
        <f t="shared" ref="E183:L184" si="294">E184</f>
        <v>0</v>
      </c>
      <c r="F183" s="233">
        <f t="shared" si="294"/>
        <v>0</v>
      </c>
      <c r="G183" s="233">
        <f t="shared" si="294"/>
        <v>0</v>
      </c>
      <c r="H183" s="232">
        <f t="shared" si="201"/>
        <v>0</v>
      </c>
      <c r="I183" s="233">
        <v>0</v>
      </c>
      <c r="J183" s="233">
        <f t="shared" si="294"/>
        <v>0</v>
      </c>
      <c r="K183" s="233">
        <f t="shared" si="294"/>
        <v>0</v>
      </c>
      <c r="L183" s="233">
        <f t="shared" si="294"/>
        <v>0</v>
      </c>
      <c r="M183" s="232">
        <f t="shared" si="202"/>
        <v>0</v>
      </c>
      <c r="N183" s="233">
        <v>0</v>
      </c>
      <c r="O183" s="233">
        <f t="shared" ref="O183:Q184" si="295">O184</f>
        <v>0</v>
      </c>
      <c r="P183" s="233">
        <f t="shared" si="295"/>
        <v>0</v>
      </c>
      <c r="Q183" s="233">
        <f t="shared" si="295"/>
        <v>0</v>
      </c>
      <c r="R183" s="232">
        <f t="shared" si="203"/>
        <v>0</v>
      </c>
    </row>
    <row r="184" spans="1:18" s="89" customFormat="1" ht="12" hidden="1" customHeight="1">
      <c r="A184" s="132">
        <v>18100</v>
      </c>
      <c r="B184" s="101" t="s">
        <v>96</v>
      </c>
      <c r="C184" s="106">
        <v>0</v>
      </c>
      <c r="D184" s="106">
        <v>0</v>
      </c>
      <c r="E184" s="233">
        <f t="shared" si="294"/>
        <v>0</v>
      </c>
      <c r="F184" s="233">
        <f t="shared" si="294"/>
        <v>0</v>
      </c>
      <c r="G184" s="233">
        <f t="shared" si="294"/>
        <v>0</v>
      </c>
      <c r="H184" s="232">
        <f t="shared" si="201"/>
        <v>0</v>
      </c>
      <c r="I184" s="233">
        <v>0</v>
      </c>
      <c r="J184" s="233">
        <f t="shared" si="294"/>
        <v>0</v>
      </c>
      <c r="K184" s="233">
        <f t="shared" si="294"/>
        <v>0</v>
      </c>
      <c r="L184" s="233">
        <f t="shared" si="294"/>
        <v>0</v>
      </c>
      <c r="M184" s="232">
        <f t="shared" si="202"/>
        <v>0</v>
      </c>
      <c r="N184" s="233">
        <v>0</v>
      </c>
      <c r="O184" s="233">
        <f t="shared" si="295"/>
        <v>0</v>
      </c>
      <c r="P184" s="233">
        <f t="shared" si="295"/>
        <v>0</v>
      </c>
      <c r="Q184" s="233">
        <f t="shared" si="295"/>
        <v>0</v>
      </c>
      <c r="R184" s="232">
        <f t="shared" si="203"/>
        <v>0</v>
      </c>
    </row>
    <row r="185" spans="1:18" s="89" customFormat="1" ht="24" hidden="1" customHeight="1">
      <c r="A185" s="133">
        <v>18130</v>
      </c>
      <c r="B185" s="108" t="s">
        <v>159</v>
      </c>
      <c r="C185" s="106">
        <v>0</v>
      </c>
      <c r="D185" s="106">
        <v>0</v>
      </c>
      <c r="E185" s="233">
        <f t="shared" ref="E185:G185" si="296">SUM(E186:E188)</f>
        <v>0</v>
      </c>
      <c r="F185" s="233">
        <f t="shared" ref="F185" si="297">SUM(F186:F188)</f>
        <v>0</v>
      </c>
      <c r="G185" s="233">
        <f t="shared" si="296"/>
        <v>0</v>
      </c>
      <c r="H185" s="232">
        <f t="shared" si="201"/>
        <v>0</v>
      </c>
      <c r="I185" s="233">
        <v>0</v>
      </c>
      <c r="J185" s="233">
        <f t="shared" ref="J185:L185" si="298">SUM(J186:J188)</f>
        <v>0</v>
      </c>
      <c r="K185" s="233">
        <f t="shared" ref="K185" si="299">SUM(K186:K188)</f>
        <v>0</v>
      </c>
      <c r="L185" s="233">
        <f t="shared" si="298"/>
        <v>0</v>
      </c>
      <c r="M185" s="232">
        <f t="shared" si="202"/>
        <v>0</v>
      </c>
      <c r="N185" s="233">
        <v>0</v>
      </c>
      <c r="O185" s="233">
        <f t="shared" ref="O185:Q185" si="300">SUM(O186:O188)</f>
        <v>0</v>
      </c>
      <c r="P185" s="233">
        <f t="shared" ref="P185" si="301">SUM(P186:P188)</f>
        <v>0</v>
      </c>
      <c r="Q185" s="233">
        <f t="shared" si="300"/>
        <v>0</v>
      </c>
      <c r="R185" s="232">
        <f t="shared" si="203"/>
        <v>0</v>
      </c>
    </row>
    <row r="186" spans="1:18" s="89" customFormat="1" ht="24" hidden="1" customHeight="1">
      <c r="A186" s="134">
        <v>18131</v>
      </c>
      <c r="B186" s="108" t="s">
        <v>160</v>
      </c>
      <c r="C186" s="106"/>
      <c r="D186" s="106">
        <v>0</v>
      </c>
      <c r="E186" s="233"/>
      <c r="F186" s="233"/>
      <c r="G186" s="233"/>
      <c r="H186" s="232">
        <f t="shared" si="201"/>
        <v>0</v>
      </c>
      <c r="I186" s="233">
        <v>0</v>
      </c>
      <c r="J186" s="233"/>
      <c r="K186" s="233"/>
      <c r="L186" s="233"/>
      <c r="M186" s="232">
        <f t="shared" si="202"/>
        <v>0</v>
      </c>
      <c r="N186" s="233">
        <v>0</v>
      </c>
      <c r="O186" s="233"/>
      <c r="P186" s="233"/>
      <c r="Q186" s="233"/>
      <c r="R186" s="232">
        <f t="shared" si="203"/>
        <v>0</v>
      </c>
    </row>
    <row r="187" spans="1:18" s="89" customFormat="1" ht="24" hidden="1" customHeight="1">
      <c r="A187" s="134">
        <v>18132</v>
      </c>
      <c r="B187" s="108" t="s">
        <v>169</v>
      </c>
      <c r="C187" s="106"/>
      <c r="D187" s="106">
        <v>0</v>
      </c>
      <c r="E187" s="233"/>
      <c r="F187" s="233"/>
      <c r="G187" s="233"/>
      <c r="H187" s="232">
        <f t="shared" si="201"/>
        <v>0</v>
      </c>
      <c r="I187" s="233">
        <v>0</v>
      </c>
      <c r="J187" s="233"/>
      <c r="K187" s="233"/>
      <c r="L187" s="233"/>
      <c r="M187" s="232">
        <f t="shared" si="202"/>
        <v>0</v>
      </c>
      <c r="N187" s="233">
        <v>0</v>
      </c>
      <c r="O187" s="233"/>
      <c r="P187" s="233"/>
      <c r="Q187" s="233"/>
      <c r="R187" s="232">
        <f t="shared" si="203"/>
        <v>0</v>
      </c>
    </row>
    <row r="188" spans="1:18" s="89" customFormat="1" ht="24" hidden="1" customHeight="1">
      <c r="A188" s="134">
        <v>18139</v>
      </c>
      <c r="B188" s="108" t="s">
        <v>179</v>
      </c>
      <c r="C188" s="106"/>
      <c r="D188" s="106">
        <v>0</v>
      </c>
      <c r="E188" s="233"/>
      <c r="F188" s="233"/>
      <c r="G188" s="233"/>
      <c r="H188" s="232">
        <f t="shared" si="201"/>
        <v>0</v>
      </c>
      <c r="I188" s="233">
        <v>0</v>
      </c>
      <c r="J188" s="233"/>
      <c r="K188" s="233"/>
      <c r="L188" s="233"/>
      <c r="M188" s="232">
        <f t="shared" si="202"/>
        <v>0</v>
      </c>
      <c r="N188" s="233">
        <v>0</v>
      </c>
      <c r="O188" s="233"/>
      <c r="P188" s="233"/>
      <c r="Q188" s="233"/>
      <c r="R188" s="232">
        <f t="shared" si="203"/>
        <v>0</v>
      </c>
    </row>
    <row r="189" spans="1:18" s="89" customFormat="1" ht="12" hidden="1" customHeight="1">
      <c r="A189" s="135" t="s">
        <v>180</v>
      </c>
      <c r="B189" s="109" t="s">
        <v>173</v>
      </c>
      <c r="C189" s="194">
        <v>0</v>
      </c>
      <c r="D189" s="194">
        <v>0</v>
      </c>
      <c r="E189" s="238">
        <f t="shared" ref="E189:L189" si="302">E190</f>
        <v>0</v>
      </c>
      <c r="F189" s="238">
        <f t="shared" si="302"/>
        <v>0</v>
      </c>
      <c r="G189" s="238">
        <f t="shared" si="302"/>
        <v>0</v>
      </c>
      <c r="H189" s="232">
        <f t="shared" si="201"/>
        <v>0</v>
      </c>
      <c r="I189" s="238">
        <v>0</v>
      </c>
      <c r="J189" s="238">
        <f t="shared" si="302"/>
        <v>0</v>
      </c>
      <c r="K189" s="238">
        <f t="shared" si="302"/>
        <v>0</v>
      </c>
      <c r="L189" s="238">
        <f t="shared" si="302"/>
        <v>0</v>
      </c>
      <c r="M189" s="232">
        <f t="shared" si="202"/>
        <v>0</v>
      </c>
      <c r="N189" s="238">
        <v>0</v>
      </c>
      <c r="O189" s="238">
        <f t="shared" ref="O189:Q189" si="303">O190</f>
        <v>0</v>
      </c>
      <c r="P189" s="238">
        <f t="shared" si="303"/>
        <v>0</v>
      </c>
      <c r="Q189" s="238">
        <f t="shared" si="303"/>
        <v>0</v>
      </c>
      <c r="R189" s="232">
        <f t="shared" si="203"/>
        <v>0</v>
      </c>
    </row>
    <row r="190" spans="1:18" s="89" customFormat="1" ht="12" hidden="1" customHeight="1">
      <c r="A190" s="135">
        <v>19500</v>
      </c>
      <c r="B190" s="108" t="s">
        <v>174</v>
      </c>
      <c r="C190" s="106">
        <v>0</v>
      </c>
      <c r="D190" s="106">
        <v>0</v>
      </c>
      <c r="E190" s="233">
        <f t="shared" ref="E190:G190" si="304">SUM(E191:E193)</f>
        <v>0</v>
      </c>
      <c r="F190" s="233">
        <f t="shared" ref="F190" si="305">SUM(F191:F193)</f>
        <v>0</v>
      </c>
      <c r="G190" s="233">
        <f t="shared" si="304"/>
        <v>0</v>
      </c>
      <c r="H190" s="232">
        <f t="shared" si="201"/>
        <v>0</v>
      </c>
      <c r="I190" s="233">
        <v>0</v>
      </c>
      <c r="J190" s="233">
        <f t="shared" ref="J190:L190" si="306">SUM(J191:J193)</f>
        <v>0</v>
      </c>
      <c r="K190" s="233">
        <f t="shared" ref="K190" si="307">SUM(K191:K193)</f>
        <v>0</v>
      </c>
      <c r="L190" s="233">
        <f t="shared" si="306"/>
        <v>0</v>
      </c>
      <c r="M190" s="232">
        <f t="shared" si="202"/>
        <v>0</v>
      </c>
      <c r="N190" s="233">
        <v>0</v>
      </c>
      <c r="O190" s="233">
        <f t="shared" ref="O190:Q190" si="308">SUM(O191:O193)</f>
        <v>0</v>
      </c>
      <c r="P190" s="233">
        <f t="shared" ref="P190" si="309">SUM(P191:P193)</f>
        <v>0</v>
      </c>
      <c r="Q190" s="233">
        <f t="shared" si="308"/>
        <v>0</v>
      </c>
      <c r="R190" s="232">
        <f t="shared" si="203"/>
        <v>0</v>
      </c>
    </row>
    <row r="191" spans="1:18" s="89" customFormat="1" ht="24" hidden="1" customHeight="1">
      <c r="A191" s="136">
        <v>19550</v>
      </c>
      <c r="B191" s="108" t="s">
        <v>175</v>
      </c>
      <c r="C191" s="106"/>
      <c r="D191" s="106">
        <v>0</v>
      </c>
      <c r="E191" s="233"/>
      <c r="F191" s="233"/>
      <c r="G191" s="233"/>
      <c r="H191" s="232">
        <f t="shared" si="201"/>
        <v>0</v>
      </c>
      <c r="I191" s="233">
        <v>0</v>
      </c>
      <c r="J191" s="233"/>
      <c r="K191" s="233"/>
      <c r="L191" s="233"/>
      <c r="M191" s="232">
        <f t="shared" si="202"/>
        <v>0</v>
      </c>
      <c r="N191" s="233">
        <v>0</v>
      </c>
      <c r="O191" s="233"/>
      <c r="P191" s="233"/>
      <c r="Q191" s="233"/>
      <c r="R191" s="232">
        <f t="shared" si="203"/>
        <v>0</v>
      </c>
    </row>
    <row r="192" spans="1:18" s="89" customFormat="1" ht="36" hidden="1" customHeight="1">
      <c r="A192" s="136">
        <v>19560</v>
      </c>
      <c r="B192" s="108" t="s">
        <v>181</v>
      </c>
      <c r="C192" s="106"/>
      <c r="D192" s="106">
        <v>0</v>
      </c>
      <c r="E192" s="233"/>
      <c r="F192" s="233"/>
      <c r="G192" s="233"/>
      <c r="H192" s="232">
        <f t="shared" si="201"/>
        <v>0</v>
      </c>
      <c r="I192" s="233">
        <v>0</v>
      </c>
      <c r="J192" s="233"/>
      <c r="K192" s="233"/>
      <c r="L192" s="233"/>
      <c r="M192" s="232">
        <f t="shared" si="202"/>
        <v>0</v>
      </c>
      <c r="N192" s="233">
        <v>0</v>
      </c>
      <c r="O192" s="233"/>
      <c r="P192" s="233"/>
      <c r="Q192" s="233"/>
      <c r="R192" s="232">
        <f t="shared" si="203"/>
        <v>0</v>
      </c>
    </row>
    <row r="193" spans="1:18" s="89" customFormat="1" ht="60" hidden="1" customHeight="1">
      <c r="A193" s="136">
        <v>19570</v>
      </c>
      <c r="B193" s="108" t="s">
        <v>182</v>
      </c>
      <c r="C193" s="106"/>
      <c r="D193" s="106">
        <v>0</v>
      </c>
      <c r="E193" s="233"/>
      <c r="F193" s="233"/>
      <c r="G193" s="233"/>
      <c r="H193" s="232">
        <f t="shared" si="201"/>
        <v>0</v>
      </c>
      <c r="I193" s="233">
        <v>0</v>
      </c>
      <c r="J193" s="233"/>
      <c r="K193" s="233"/>
      <c r="L193" s="233"/>
      <c r="M193" s="232">
        <f t="shared" si="202"/>
        <v>0</v>
      </c>
      <c r="N193" s="233">
        <v>0</v>
      </c>
      <c r="O193" s="233"/>
      <c r="P193" s="233"/>
      <c r="Q193" s="233"/>
      <c r="R193" s="232">
        <f t="shared" si="203"/>
        <v>0</v>
      </c>
    </row>
    <row r="194" spans="1:18" s="6" customFormat="1" ht="24" hidden="1" customHeight="1">
      <c r="A194" s="209" t="s">
        <v>222</v>
      </c>
      <c r="B194" s="208" t="s">
        <v>216</v>
      </c>
      <c r="C194" s="106">
        <f>C195</f>
        <v>0</v>
      </c>
      <c r="D194" s="106">
        <v>0</v>
      </c>
      <c r="E194" s="232">
        <f t="shared" ref="E194:L194" si="310">E195</f>
        <v>0</v>
      </c>
      <c r="F194" s="232">
        <f t="shared" si="310"/>
        <v>0</v>
      </c>
      <c r="G194" s="232">
        <f t="shared" si="310"/>
        <v>0</v>
      </c>
      <c r="H194" s="232">
        <f t="shared" si="201"/>
        <v>0</v>
      </c>
      <c r="I194" s="233">
        <v>0</v>
      </c>
      <c r="J194" s="232">
        <f t="shared" si="310"/>
        <v>0</v>
      </c>
      <c r="K194" s="232">
        <f t="shared" si="310"/>
        <v>0</v>
      </c>
      <c r="L194" s="232">
        <f t="shared" si="310"/>
        <v>0</v>
      </c>
      <c r="M194" s="232">
        <f t="shared" si="202"/>
        <v>0</v>
      </c>
      <c r="N194" s="233">
        <v>0</v>
      </c>
      <c r="O194" s="232">
        <f t="shared" ref="O194:Q194" si="311">O195</f>
        <v>0</v>
      </c>
      <c r="P194" s="232">
        <f t="shared" si="311"/>
        <v>0</v>
      </c>
      <c r="Q194" s="232">
        <f t="shared" si="311"/>
        <v>0</v>
      </c>
      <c r="R194" s="232">
        <f t="shared" si="203"/>
        <v>0</v>
      </c>
    </row>
    <row r="195" spans="1:18" s="6" customFormat="1" ht="36" hidden="1" customHeight="1">
      <c r="A195" s="209">
        <v>17100</v>
      </c>
      <c r="B195" s="208" t="s">
        <v>217</v>
      </c>
      <c r="C195" s="106">
        <f>SUM(C196:C199)</f>
        <v>0</v>
      </c>
      <c r="D195" s="106">
        <v>0</v>
      </c>
      <c r="E195" s="232">
        <f t="shared" ref="E195:G195" si="312">SUM(E196:E199)</f>
        <v>0</v>
      </c>
      <c r="F195" s="232">
        <f t="shared" ref="F195" si="313">SUM(F196:F199)</f>
        <v>0</v>
      </c>
      <c r="G195" s="232">
        <f t="shared" si="312"/>
        <v>0</v>
      </c>
      <c r="H195" s="232">
        <f t="shared" si="201"/>
        <v>0</v>
      </c>
      <c r="I195" s="233">
        <v>0</v>
      </c>
      <c r="J195" s="232">
        <f t="shared" ref="J195:L195" si="314">SUM(J196:J199)</f>
        <v>0</v>
      </c>
      <c r="K195" s="232">
        <f t="shared" ref="K195" si="315">SUM(K196:K199)</f>
        <v>0</v>
      </c>
      <c r="L195" s="232">
        <f t="shared" si="314"/>
        <v>0</v>
      </c>
      <c r="M195" s="232">
        <f t="shared" si="202"/>
        <v>0</v>
      </c>
      <c r="N195" s="233">
        <v>0</v>
      </c>
      <c r="O195" s="232">
        <f t="shared" ref="O195:Q195" si="316">SUM(O196:O199)</f>
        <v>0</v>
      </c>
      <c r="P195" s="232">
        <f t="shared" ref="P195" si="317">SUM(P196:P199)</f>
        <v>0</v>
      </c>
      <c r="Q195" s="232">
        <f t="shared" si="316"/>
        <v>0</v>
      </c>
      <c r="R195" s="232">
        <f t="shared" si="203"/>
        <v>0</v>
      </c>
    </row>
    <row r="196" spans="1:18" s="6" customFormat="1" ht="48" hidden="1" customHeight="1">
      <c r="A196" s="149">
        <v>17110</v>
      </c>
      <c r="B196" s="208" t="s">
        <v>218</v>
      </c>
      <c r="C196" s="106"/>
      <c r="D196" s="106">
        <v>0</v>
      </c>
      <c r="E196" s="233"/>
      <c r="F196" s="233"/>
      <c r="G196" s="233"/>
      <c r="H196" s="232">
        <f t="shared" si="201"/>
        <v>0</v>
      </c>
      <c r="I196" s="233">
        <v>0</v>
      </c>
      <c r="J196" s="233"/>
      <c r="K196" s="233"/>
      <c r="L196" s="233"/>
      <c r="M196" s="232">
        <f t="shared" si="202"/>
        <v>0</v>
      </c>
      <c r="N196" s="233">
        <v>0</v>
      </c>
      <c r="O196" s="233"/>
      <c r="P196" s="233"/>
      <c r="Q196" s="233"/>
      <c r="R196" s="232">
        <f t="shared" si="203"/>
        <v>0</v>
      </c>
    </row>
    <row r="197" spans="1:18" s="6" customFormat="1" ht="48" hidden="1" customHeight="1">
      <c r="A197" s="149">
        <v>17120</v>
      </c>
      <c r="B197" s="208" t="s">
        <v>219</v>
      </c>
      <c r="C197" s="106"/>
      <c r="D197" s="106">
        <v>0</v>
      </c>
      <c r="E197" s="233"/>
      <c r="F197" s="233"/>
      <c r="G197" s="233"/>
      <c r="H197" s="232">
        <f t="shared" si="201"/>
        <v>0</v>
      </c>
      <c r="I197" s="233">
        <v>0</v>
      </c>
      <c r="J197" s="233"/>
      <c r="K197" s="233"/>
      <c r="L197" s="233"/>
      <c r="M197" s="232">
        <f t="shared" si="202"/>
        <v>0</v>
      </c>
      <c r="N197" s="233">
        <v>0</v>
      </c>
      <c r="O197" s="233"/>
      <c r="P197" s="233"/>
      <c r="Q197" s="233"/>
      <c r="R197" s="232">
        <f t="shared" si="203"/>
        <v>0</v>
      </c>
    </row>
    <row r="198" spans="1:18" s="6" customFormat="1" ht="96" hidden="1" customHeight="1">
      <c r="A198" s="149">
        <v>17130</v>
      </c>
      <c r="B198" s="208" t="s">
        <v>220</v>
      </c>
      <c r="C198" s="106"/>
      <c r="D198" s="106">
        <v>0</v>
      </c>
      <c r="E198" s="233"/>
      <c r="F198" s="233"/>
      <c r="G198" s="233"/>
      <c r="H198" s="232">
        <f t="shared" si="201"/>
        <v>0</v>
      </c>
      <c r="I198" s="233">
        <v>0</v>
      </c>
      <c r="J198" s="233"/>
      <c r="K198" s="233"/>
      <c r="L198" s="233"/>
      <c r="M198" s="232">
        <f t="shared" si="202"/>
        <v>0</v>
      </c>
      <c r="N198" s="233">
        <v>0</v>
      </c>
      <c r="O198" s="233"/>
      <c r="P198" s="233"/>
      <c r="Q198" s="233"/>
      <c r="R198" s="232">
        <f t="shared" si="203"/>
        <v>0</v>
      </c>
    </row>
    <row r="199" spans="1:18" s="6" customFormat="1" ht="96" hidden="1" customHeight="1">
      <c r="A199" s="149">
        <v>17140</v>
      </c>
      <c r="B199" s="208" t="s">
        <v>221</v>
      </c>
      <c r="C199" s="106"/>
      <c r="D199" s="106">
        <v>0</v>
      </c>
      <c r="E199" s="233"/>
      <c r="F199" s="233"/>
      <c r="G199" s="233"/>
      <c r="H199" s="232">
        <f t="shared" si="201"/>
        <v>0</v>
      </c>
      <c r="I199" s="233">
        <v>0</v>
      </c>
      <c r="J199" s="233"/>
      <c r="K199" s="233"/>
      <c r="L199" s="233"/>
      <c r="M199" s="232">
        <f t="shared" si="202"/>
        <v>0</v>
      </c>
      <c r="N199" s="233">
        <v>0</v>
      </c>
      <c r="O199" s="233"/>
      <c r="P199" s="233"/>
      <c r="Q199" s="233"/>
      <c r="R199" s="232">
        <f t="shared" si="203"/>
        <v>0</v>
      </c>
    </row>
    <row r="200" spans="1:18" s="89" customFormat="1" ht="12" hidden="1" customHeight="1">
      <c r="A200" s="137">
        <v>21700</v>
      </c>
      <c r="B200" s="100" t="s">
        <v>97</v>
      </c>
      <c r="C200" s="106">
        <v>0</v>
      </c>
      <c r="D200" s="106">
        <v>0</v>
      </c>
      <c r="E200" s="233">
        <f t="shared" ref="E200:G200" si="318">E201+E202</f>
        <v>0</v>
      </c>
      <c r="F200" s="233">
        <f t="shared" ref="F200" si="319">F201+F202</f>
        <v>0</v>
      </c>
      <c r="G200" s="233">
        <f t="shared" si="318"/>
        <v>0</v>
      </c>
      <c r="H200" s="232">
        <f t="shared" si="201"/>
        <v>0</v>
      </c>
      <c r="I200" s="233">
        <v>0</v>
      </c>
      <c r="J200" s="233">
        <f t="shared" ref="J200:L200" si="320">J201+J202</f>
        <v>0</v>
      </c>
      <c r="K200" s="233">
        <f t="shared" ref="K200" si="321">K201+K202</f>
        <v>0</v>
      </c>
      <c r="L200" s="233">
        <f t="shared" si="320"/>
        <v>0</v>
      </c>
      <c r="M200" s="232">
        <f t="shared" si="202"/>
        <v>0</v>
      </c>
      <c r="N200" s="233">
        <v>0</v>
      </c>
      <c r="O200" s="233">
        <f t="shared" ref="O200:Q200" si="322">O201+O202</f>
        <v>0</v>
      </c>
      <c r="P200" s="233">
        <f t="shared" ref="P200" si="323">P201+P202</f>
        <v>0</v>
      </c>
      <c r="Q200" s="233">
        <f t="shared" si="322"/>
        <v>0</v>
      </c>
      <c r="R200" s="232">
        <f t="shared" si="203"/>
        <v>0</v>
      </c>
    </row>
    <row r="201" spans="1:18" s="89" customFormat="1" ht="24" hidden="1" customHeight="1">
      <c r="A201" s="138">
        <v>21710</v>
      </c>
      <c r="B201" s="101" t="s">
        <v>98</v>
      </c>
      <c r="C201" s="106"/>
      <c r="D201" s="106">
        <v>0</v>
      </c>
      <c r="E201" s="233"/>
      <c r="F201" s="233"/>
      <c r="G201" s="233"/>
      <c r="H201" s="232">
        <f t="shared" si="201"/>
        <v>0</v>
      </c>
      <c r="I201" s="233">
        <v>0</v>
      </c>
      <c r="J201" s="233"/>
      <c r="K201" s="233"/>
      <c r="L201" s="233"/>
      <c r="M201" s="232">
        <f t="shared" si="202"/>
        <v>0</v>
      </c>
      <c r="N201" s="233">
        <v>0</v>
      </c>
      <c r="O201" s="233"/>
      <c r="P201" s="233"/>
      <c r="Q201" s="233"/>
      <c r="R201" s="232">
        <f t="shared" si="203"/>
        <v>0</v>
      </c>
    </row>
    <row r="202" spans="1:18" s="29" customFormat="1" ht="24" hidden="1" customHeight="1">
      <c r="A202" s="138">
        <v>21720</v>
      </c>
      <c r="B202" s="101" t="s">
        <v>99</v>
      </c>
      <c r="C202" s="106"/>
      <c r="D202" s="106">
        <v>0</v>
      </c>
      <c r="E202" s="233"/>
      <c r="F202" s="233"/>
      <c r="G202" s="233"/>
      <c r="H202" s="232">
        <f t="shared" ref="H202:H260" si="324">SUM(D202:G202)</f>
        <v>0</v>
      </c>
      <c r="I202" s="233">
        <v>0</v>
      </c>
      <c r="J202" s="233"/>
      <c r="K202" s="233"/>
      <c r="L202" s="233"/>
      <c r="M202" s="232">
        <f t="shared" ref="M202:M260" si="325">SUM(I202:L202)</f>
        <v>0</v>
      </c>
      <c r="N202" s="233">
        <v>0</v>
      </c>
      <c r="O202" s="233"/>
      <c r="P202" s="233"/>
      <c r="Q202" s="233"/>
      <c r="R202" s="232">
        <f t="shared" ref="R202:R260" si="326">SUM(N202:Q202)</f>
        <v>0</v>
      </c>
    </row>
    <row r="203" spans="1:18" s="29" customFormat="1" ht="12" hidden="1" customHeight="1">
      <c r="A203" s="129" t="s">
        <v>100</v>
      </c>
      <c r="B203" s="99" t="s">
        <v>101</v>
      </c>
      <c r="C203" s="104">
        <v>0</v>
      </c>
      <c r="D203" s="104">
        <v>0</v>
      </c>
      <c r="E203" s="243">
        <f t="shared" ref="E203:G203" si="327">E204+E231</f>
        <v>0</v>
      </c>
      <c r="F203" s="243">
        <f t="shared" ref="F203" si="328">F204+F231</f>
        <v>0</v>
      </c>
      <c r="G203" s="243">
        <f t="shared" si="327"/>
        <v>0</v>
      </c>
      <c r="H203" s="270">
        <f t="shared" si="324"/>
        <v>0</v>
      </c>
      <c r="I203" s="243">
        <v>0</v>
      </c>
      <c r="J203" s="243">
        <f t="shared" ref="J203:L203" si="329">J204+J231</f>
        <v>0</v>
      </c>
      <c r="K203" s="243">
        <f t="shared" ref="K203" si="330">K204+K231</f>
        <v>0</v>
      </c>
      <c r="L203" s="243">
        <f t="shared" si="329"/>
        <v>0</v>
      </c>
      <c r="M203" s="270">
        <f t="shared" si="325"/>
        <v>0</v>
      </c>
      <c r="N203" s="243">
        <v>0</v>
      </c>
      <c r="O203" s="243">
        <f t="shared" ref="O203:Q203" si="331">O204+O231</f>
        <v>0</v>
      </c>
      <c r="P203" s="243">
        <f t="shared" ref="P203" si="332">P204+P231</f>
        <v>0</v>
      </c>
      <c r="Q203" s="243">
        <f t="shared" si="331"/>
        <v>0</v>
      </c>
      <c r="R203" s="270">
        <f t="shared" si="326"/>
        <v>0</v>
      </c>
    </row>
    <row r="204" spans="1:18" s="29" customFormat="1" ht="21" hidden="1" customHeight="1">
      <c r="A204" s="130" t="s">
        <v>102</v>
      </c>
      <c r="B204" s="100" t="s">
        <v>103</v>
      </c>
      <c r="C204" s="106">
        <v>0</v>
      </c>
      <c r="D204" s="106">
        <v>0</v>
      </c>
      <c r="E204" s="233">
        <f t="shared" ref="E204:G204" si="333">E205+E209+E210+E213+E216</f>
        <v>0</v>
      </c>
      <c r="F204" s="233">
        <f t="shared" ref="F204" si="334">F205+F209+F210+F213+F216</f>
        <v>0</v>
      </c>
      <c r="G204" s="233">
        <f t="shared" si="333"/>
        <v>0</v>
      </c>
      <c r="H204" s="232">
        <f t="shared" si="324"/>
        <v>0</v>
      </c>
      <c r="I204" s="233">
        <v>0</v>
      </c>
      <c r="J204" s="233">
        <f t="shared" ref="J204:L204" si="335">J205+J209+J210+J213+J216</f>
        <v>0</v>
      </c>
      <c r="K204" s="233">
        <f t="shared" ref="K204" si="336">K205+K209+K210+K213+K216</f>
        <v>0</v>
      </c>
      <c r="L204" s="233">
        <f t="shared" si="335"/>
        <v>0</v>
      </c>
      <c r="M204" s="232">
        <f t="shared" si="325"/>
        <v>0</v>
      </c>
      <c r="N204" s="233">
        <v>0</v>
      </c>
      <c r="O204" s="233">
        <f t="shared" ref="O204:Q204" si="337">O205+O209+O210+O213+O216</f>
        <v>0</v>
      </c>
      <c r="P204" s="233">
        <f t="shared" ref="P204" si="338">P205+P209+P210+P213+P216</f>
        <v>0</v>
      </c>
      <c r="Q204" s="233">
        <f t="shared" si="337"/>
        <v>0</v>
      </c>
      <c r="R204" s="232">
        <f t="shared" si="326"/>
        <v>0</v>
      </c>
    </row>
    <row r="205" spans="1:18" s="29" customFormat="1" ht="12" hidden="1" customHeight="1">
      <c r="A205" s="130" t="s">
        <v>104</v>
      </c>
      <c r="B205" s="100" t="s">
        <v>105</v>
      </c>
      <c r="C205" s="106">
        <v>0</v>
      </c>
      <c r="D205" s="106">
        <v>0</v>
      </c>
      <c r="E205" s="233">
        <f t="shared" ref="E205:G205" si="339">E206+E208</f>
        <v>0</v>
      </c>
      <c r="F205" s="233">
        <f t="shared" ref="F205" si="340">F206+F208</f>
        <v>0</v>
      </c>
      <c r="G205" s="233">
        <f t="shared" si="339"/>
        <v>0</v>
      </c>
      <c r="H205" s="232">
        <f t="shared" si="324"/>
        <v>0</v>
      </c>
      <c r="I205" s="233">
        <v>0</v>
      </c>
      <c r="J205" s="233">
        <f t="shared" ref="J205:L205" si="341">J206+J208</f>
        <v>0</v>
      </c>
      <c r="K205" s="233">
        <f t="shared" ref="K205" si="342">K206+K208</f>
        <v>0</v>
      </c>
      <c r="L205" s="233">
        <f t="shared" si="341"/>
        <v>0</v>
      </c>
      <c r="M205" s="232">
        <f t="shared" si="325"/>
        <v>0</v>
      </c>
      <c r="N205" s="233">
        <v>0</v>
      </c>
      <c r="O205" s="233">
        <f t="shared" ref="O205:Q205" si="343">O206+O208</f>
        <v>0</v>
      </c>
      <c r="P205" s="233">
        <f t="shared" ref="P205" si="344">P206+P208</f>
        <v>0</v>
      </c>
      <c r="Q205" s="233">
        <f t="shared" si="343"/>
        <v>0</v>
      </c>
      <c r="R205" s="232">
        <f t="shared" si="326"/>
        <v>0</v>
      </c>
    </row>
    <row r="206" spans="1:18" s="29" customFormat="1" ht="12" hidden="1" customHeight="1">
      <c r="A206" s="132">
        <v>1000</v>
      </c>
      <c r="B206" s="101" t="s">
        <v>106</v>
      </c>
      <c r="C206" s="106"/>
      <c r="D206" s="106">
        <v>0</v>
      </c>
      <c r="E206" s="244"/>
      <c r="F206" s="244"/>
      <c r="G206" s="244"/>
      <c r="H206" s="232">
        <f t="shared" si="324"/>
        <v>0</v>
      </c>
      <c r="I206" s="233">
        <v>0</v>
      </c>
      <c r="J206" s="244"/>
      <c r="K206" s="244"/>
      <c r="L206" s="244"/>
      <c r="M206" s="232">
        <f t="shared" si="325"/>
        <v>0</v>
      </c>
      <c r="N206" s="233">
        <v>0</v>
      </c>
      <c r="O206" s="244"/>
      <c r="P206" s="244"/>
      <c r="Q206" s="244"/>
      <c r="R206" s="232">
        <f t="shared" si="326"/>
        <v>0</v>
      </c>
    </row>
    <row r="207" spans="1:18" s="29" customFormat="1" ht="12" hidden="1" customHeight="1">
      <c r="A207" s="139">
        <v>1100</v>
      </c>
      <c r="B207" s="101" t="s">
        <v>107</v>
      </c>
      <c r="C207" s="106"/>
      <c r="D207" s="106">
        <v>0</v>
      </c>
      <c r="E207" s="244"/>
      <c r="F207" s="244"/>
      <c r="G207" s="244"/>
      <c r="H207" s="232">
        <f t="shared" si="324"/>
        <v>0</v>
      </c>
      <c r="I207" s="233">
        <v>0</v>
      </c>
      <c r="J207" s="244"/>
      <c r="K207" s="244"/>
      <c r="L207" s="244"/>
      <c r="M207" s="232">
        <f t="shared" si="325"/>
        <v>0</v>
      </c>
      <c r="N207" s="233">
        <v>0</v>
      </c>
      <c r="O207" s="244"/>
      <c r="P207" s="244"/>
      <c r="Q207" s="244"/>
      <c r="R207" s="232">
        <f t="shared" si="326"/>
        <v>0</v>
      </c>
    </row>
    <row r="208" spans="1:18" s="29" customFormat="1" ht="12" hidden="1" customHeight="1">
      <c r="A208" s="132">
        <v>2000</v>
      </c>
      <c r="B208" s="101" t="s">
        <v>108</v>
      </c>
      <c r="C208" s="106"/>
      <c r="D208" s="106">
        <v>0</v>
      </c>
      <c r="E208" s="244"/>
      <c r="F208" s="244"/>
      <c r="G208" s="244"/>
      <c r="H208" s="232">
        <f t="shared" si="324"/>
        <v>0</v>
      </c>
      <c r="I208" s="233">
        <v>0</v>
      </c>
      <c r="J208" s="244"/>
      <c r="K208" s="244"/>
      <c r="L208" s="244"/>
      <c r="M208" s="232">
        <f t="shared" si="325"/>
        <v>0</v>
      </c>
      <c r="N208" s="233">
        <v>0</v>
      </c>
      <c r="O208" s="244"/>
      <c r="P208" s="244"/>
      <c r="Q208" s="244"/>
      <c r="R208" s="232">
        <f t="shared" si="326"/>
        <v>0</v>
      </c>
    </row>
    <row r="209" spans="1:18" s="29" customFormat="1" ht="12" hidden="1" customHeight="1">
      <c r="A209" s="140">
        <v>4000</v>
      </c>
      <c r="B209" s="100" t="s">
        <v>132</v>
      </c>
      <c r="C209" s="106"/>
      <c r="D209" s="106">
        <v>0</v>
      </c>
      <c r="E209" s="244"/>
      <c r="F209" s="244"/>
      <c r="G209" s="244"/>
      <c r="H209" s="232">
        <f t="shared" si="324"/>
        <v>0</v>
      </c>
      <c r="I209" s="233">
        <v>0</v>
      </c>
      <c r="J209" s="244"/>
      <c r="K209" s="244"/>
      <c r="L209" s="244"/>
      <c r="M209" s="232">
        <f t="shared" si="325"/>
        <v>0</v>
      </c>
      <c r="N209" s="233">
        <v>0</v>
      </c>
      <c r="O209" s="244"/>
      <c r="P209" s="244"/>
      <c r="Q209" s="244"/>
      <c r="R209" s="232">
        <f t="shared" si="326"/>
        <v>0</v>
      </c>
    </row>
    <row r="210" spans="1:18" s="29" customFormat="1" ht="12" hidden="1" customHeight="1">
      <c r="A210" s="140" t="s">
        <v>109</v>
      </c>
      <c r="B210" s="100" t="s">
        <v>110</v>
      </c>
      <c r="C210" s="106">
        <v>0</v>
      </c>
      <c r="D210" s="106">
        <v>0</v>
      </c>
      <c r="E210" s="233">
        <f t="shared" ref="E210:G210" si="345">E211+E212</f>
        <v>0</v>
      </c>
      <c r="F210" s="233">
        <f t="shared" ref="F210" si="346">F211+F212</f>
        <v>0</v>
      </c>
      <c r="G210" s="233">
        <f t="shared" si="345"/>
        <v>0</v>
      </c>
      <c r="H210" s="232">
        <f t="shared" si="324"/>
        <v>0</v>
      </c>
      <c r="I210" s="233">
        <v>0</v>
      </c>
      <c r="J210" s="233">
        <f t="shared" ref="J210:L210" si="347">J211+J212</f>
        <v>0</v>
      </c>
      <c r="K210" s="233">
        <f t="shared" ref="K210" si="348">K211+K212</f>
        <v>0</v>
      </c>
      <c r="L210" s="233">
        <f t="shared" si="347"/>
        <v>0</v>
      </c>
      <c r="M210" s="232">
        <f t="shared" si="325"/>
        <v>0</v>
      </c>
      <c r="N210" s="233">
        <v>0</v>
      </c>
      <c r="O210" s="233">
        <f t="shared" ref="O210:Q210" si="349">O211+O212</f>
        <v>0</v>
      </c>
      <c r="P210" s="233">
        <f t="shared" ref="P210" si="350">P211+P212</f>
        <v>0</v>
      </c>
      <c r="Q210" s="233">
        <f t="shared" si="349"/>
        <v>0</v>
      </c>
      <c r="R210" s="232">
        <f t="shared" si="326"/>
        <v>0</v>
      </c>
    </row>
    <row r="211" spans="1:18" s="29" customFormat="1" ht="12" hidden="1" customHeight="1">
      <c r="A211" s="132">
        <v>3000</v>
      </c>
      <c r="B211" s="101" t="s">
        <v>111</v>
      </c>
      <c r="C211" s="195"/>
      <c r="D211" s="195">
        <v>0</v>
      </c>
      <c r="E211" s="246"/>
      <c r="F211" s="246"/>
      <c r="G211" s="246"/>
      <c r="H211" s="232">
        <f t="shared" si="324"/>
        <v>0</v>
      </c>
      <c r="I211" s="345">
        <v>0</v>
      </c>
      <c r="J211" s="246"/>
      <c r="K211" s="246"/>
      <c r="L211" s="246"/>
      <c r="M211" s="232">
        <f t="shared" si="325"/>
        <v>0</v>
      </c>
      <c r="N211" s="345">
        <v>0</v>
      </c>
      <c r="O211" s="246"/>
      <c r="P211" s="246"/>
      <c r="Q211" s="246"/>
      <c r="R211" s="232">
        <f t="shared" si="326"/>
        <v>0</v>
      </c>
    </row>
    <row r="212" spans="1:18" s="29" customFormat="1" ht="12" hidden="1" customHeight="1">
      <c r="A212" s="132">
        <v>6000</v>
      </c>
      <c r="B212" s="101" t="s">
        <v>112</v>
      </c>
      <c r="C212" s="196"/>
      <c r="D212" s="196">
        <v>0</v>
      </c>
      <c r="E212" s="248"/>
      <c r="F212" s="248"/>
      <c r="G212" s="248"/>
      <c r="H212" s="232">
        <f t="shared" si="324"/>
        <v>0</v>
      </c>
      <c r="I212" s="346">
        <v>0</v>
      </c>
      <c r="J212" s="248"/>
      <c r="K212" s="248"/>
      <c r="L212" s="248"/>
      <c r="M212" s="232">
        <f t="shared" si="325"/>
        <v>0</v>
      </c>
      <c r="N212" s="346">
        <v>0</v>
      </c>
      <c r="O212" s="248"/>
      <c r="P212" s="248"/>
      <c r="Q212" s="248"/>
      <c r="R212" s="232">
        <f t="shared" si="326"/>
        <v>0</v>
      </c>
    </row>
    <row r="213" spans="1:18" s="29" customFormat="1" ht="24" hidden="1" customHeight="1">
      <c r="A213" s="140" t="s">
        <v>113</v>
      </c>
      <c r="B213" s="100" t="s">
        <v>183</v>
      </c>
      <c r="C213" s="106">
        <v>0</v>
      </c>
      <c r="D213" s="106">
        <v>0</v>
      </c>
      <c r="E213" s="233">
        <f t="shared" ref="E213:G213" si="351">E214+E215</f>
        <v>0</v>
      </c>
      <c r="F213" s="233">
        <f t="shared" ref="F213" si="352">F214+F215</f>
        <v>0</v>
      </c>
      <c r="G213" s="233">
        <f t="shared" si="351"/>
        <v>0</v>
      </c>
      <c r="H213" s="232">
        <f t="shared" si="324"/>
        <v>0</v>
      </c>
      <c r="I213" s="233">
        <v>0</v>
      </c>
      <c r="J213" s="233">
        <f t="shared" ref="J213:L213" si="353">J214+J215</f>
        <v>0</v>
      </c>
      <c r="K213" s="233">
        <f t="shared" ref="K213" si="354">K214+K215</f>
        <v>0</v>
      </c>
      <c r="L213" s="233">
        <f t="shared" si="353"/>
        <v>0</v>
      </c>
      <c r="M213" s="232">
        <f t="shared" si="325"/>
        <v>0</v>
      </c>
      <c r="N213" s="233">
        <v>0</v>
      </c>
      <c r="O213" s="233">
        <f t="shared" ref="O213:Q213" si="355">O214+O215</f>
        <v>0</v>
      </c>
      <c r="P213" s="233">
        <f t="shared" ref="P213" si="356">P214+P215</f>
        <v>0</v>
      </c>
      <c r="Q213" s="233">
        <f t="shared" si="355"/>
        <v>0</v>
      </c>
      <c r="R213" s="232">
        <f t="shared" si="326"/>
        <v>0</v>
      </c>
    </row>
    <row r="214" spans="1:18" s="29" customFormat="1" ht="12" hidden="1" customHeight="1">
      <c r="A214" s="132">
        <v>7600</v>
      </c>
      <c r="B214" s="112" t="s">
        <v>184</v>
      </c>
      <c r="C214" s="106"/>
      <c r="D214" s="106">
        <v>0</v>
      </c>
      <c r="E214" s="244"/>
      <c r="F214" s="244"/>
      <c r="G214" s="244"/>
      <c r="H214" s="232">
        <f t="shared" si="324"/>
        <v>0</v>
      </c>
      <c r="I214" s="233">
        <v>0</v>
      </c>
      <c r="J214" s="244"/>
      <c r="K214" s="244"/>
      <c r="L214" s="244"/>
      <c r="M214" s="232">
        <f t="shared" si="325"/>
        <v>0</v>
      </c>
      <c r="N214" s="233">
        <v>0</v>
      </c>
      <c r="O214" s="244"/>
      <c r="P214" s="244"/>
      <c r="Q214" s="244"/>
      <c r="R214" s="232">
        <f t="shared" si="326"/>
        <v>0</v>
      </c>
    </row>
    <row r="215" spans="1:18" s="29" customFormat="1" ht="12" hidden="1" customHeight="1">
      <c r="A215" s="132">
        <v>7700</v>
      </c>
      <c r="B215" s="102" t="s">
        <v>114</v>
      </c>
      <c r="C215" s="106"/>
      <c r="D215" s="106">
        <v>0</v>
      </c>
      <c r="E215" s="244"/>
      <c r="F215" s="244"/>
      <c r="G215" s="244"/>
      <c r="H215" s="232">
        <f t="shared" si="324"/>
        <v>0</v>
      </c>
      <c r="I215" s="233">
        <v>0</v>
      </c>
      <c r="J215" s="244"/>
      <c r="K215" s="244"/>
      <c r="L215" s="244"/>
      <c r="M215" s="232">
        <f t="shared" si="325"/>
        <v>0</v>
      </c>
      <c r="N215" s="233">
        <v>0</v>
      </c>
      <c r="O215" s="244"/>
      <c r="P215" s="244"/>
      <c r="Q215" s="244"/>
      <c r="R215" s="232">
        <f t="shared" si="326"/>
        <v>0</v>
      </c>
    </row>
    <row r="216" spans="1:18" s="29" customFormat="1" ht="21" hidden="1" customHeight="1">
      <c r="A216" s="140" t="s">
        <v>185</v>
      </c>
      <c r="B216" s="100" t="s">
        <v>115</v>
      </c>
      <c r="C216" s="106">
        <v>0</v>
      </c>
      <c r="D216" s="106">
        <v>0</v>
      </c>
      <c r="E216" s="233">
        <f t="shared" ref="E216:G216" si="357">E217+E223+E227+E230</f>
        <v>0</v>
      </c>
      <c r="F216" s="233">
        <f t="shared" ref="F216" si="358">F217+F223+F227+F230</f>
        <v>0</v>
      </c>
      <c r="G216" s="233">
        <f t="shared" si="357"/>
        <v>0</v>
      </c>
      <c r="H216" s="232">
        <f t="shared" si="324"/>
        <v>0</v>
      </c>
      <c r="I216" s="233">
        <v>0</v>
      </c>
      <c r="J216" s="233">
        <f t="shared" ref="J216:L216" si="359">J217+J223+J227+J230</f>
        <v>0</v>
      </c>
      <c r="K216" s="233">
        <f t="shared" ref="K216" si="360">K217+K223+K227+K230</f>
        <v>0</v>
      </c>
      <c r="L216" s="233">
        <f t="shared" si="359"/>
        <v>0</v>
      </c>
      <c r="M216" s="232">
        <f t="shared" si="325"/>
        <v>0</v>
      </c>
      <c r="N216" s="233">
        <v>0</v>
      </c>
      <c r="O216" s="233">
        <f t="shared" ref="O216:Q216" si="361">O217+O223+O227+O230</f>
        <v>0</v>
      </c>
      <c r="P216" s="233">
        <f t="shared" ref="P216" si="362">P217+P223+P227+P230</f>
        <v>0</v>
      </c>
      <c r="Q216" s="233">
        <f t="shared" si="361"/>
        <v>0</v>
      </c>
      <c r="R216" s="232">
        <f t="shared" si="326"/>
        <v>0</v>
      </c>
    </row>
    <row r="217" spans="1:18" s="29" customFormat="1" ht="12" hidden="1" customHeight="1">
      <c r="A217" s="132">
        <v>7100</v>
      </c>
      <c r="B217" s="112" t="s">
        <v>116</v>
      </c>
      <c r="C217" s="106">
        <v>0</v>
      </c>
      <c r="D217" s="106">
        <v>0</v>
      </c>
      <c r="E217" s="233">
        <f t="shared" ref="E217:G217" si="363">E218+E219</f>
        <v>0</v>
      </c>
      <c r="F217" s="233">
        <f t="shared" ref="F217" si="364">F218+F219</f>
        <v>0</v>
      </c>
      <c r="G217" s="233">
        <f t="shared" si="363"/>
        <v>0</v>
      </c>
      <c r="H217" s="232">
        <f t="shared" si="324"/>
        <v>0</v>
      </c>
      <c r="I217" s="233">
        <v>0</v>
      </c>
      <c r="J217" s="233">
        <f t="shared" ref="J217:L217" si="365">J218+J219</f>
        <v>0</v>
      </c>
      <c r="K217" s="233">
        <f t="shared" ref="K217" si="366">K218+K219</f>
        <v>0</v>
      </c>
      <c r="L217" s="233">
        <f t="shared" si="365"/>
        <v>0</v>
      </c>
      <c r="M217" s="232">
        <f t="shared" si="325"/>
        <v>0</v>
      </c>
      <c r="N217" s="233">
        <v>0</v>
      </c>
      <c r="O217" s="233">
        <f t="shared" ref="O217:Q217" si="367">O218+O219</f>
        <v>0</v>
      </c>
      <c r="P217" s="233">
        <f t="shared" ref="P217" si="368">P218+P219</f>
        <v>0</v>
      </c>
      <c r="Q217" s="233">
        <f t="shared" si="367"/>
        <v>0</v>
      </c>
      <c r="R217" s="232">
        <f t="shared" si="326"/>
        <v>0</v>
      </c>
    </row>
    <row r="218" spans="1:18" s="29" customFormat="1" ht="24" hidden="1" customHeight="1">
      <c r="A218" s="133" t="s">
        <v>117</v>
      </c>
      <c r="B218" s="112" t="s">
        <v>118</v>
      </c>
      <c r="C218" s="106"/>
      <c r="D218" s="106">
        <v>0</v>
      </c>
      <c r="E218" s="233"/>
      <c r="F218" s="233"/>
      <c r="G218" s="233"/>
      <c r="H218" s="232">
        <f t="shared" si="324"/>
        <v>0</v>
      </c>
      <c r="I218" s="233">
        <v>0</v>
      </c>
      <c r="J218" s="233"/>
      <c r="K218" s="233"/>
      <c r="L218" s="233"/>
      <c r="M218" s="232">
        <f t="shared" si="325"/>
        <v>0</v>
      </c>
      <c r="N218" s="233">
        <v>0</v>
      </c>
      <c r="O218" s="233"/>
      <c r="P218" s="233"/>
      <c r="Q218" s="233"/>
      <c r="R218" s="232">
        <f t="shared" si="326"/>
        <v>0</v>
      </c>
    </row>
    <row r="219" spans="1:18" s="29" customFormat="1" ht="24" hidden="1" customHeight="1">
      <c r="A219" s="133">
        <v>7130</v>
      </c>
      <c r="B219" s="112" t="s">
        <v>119</v>
      </c>
      <c r="C219" s="106">
        <v>0</v>
      </c>
      <c r="D219" s="106">
        <v>0</v>
      </c>
      <c r="E219" s="233">
        <f t="shared" ref="E219:G219" si="369">SUM(E220:E222)</f>
        <v>0</v>
      </c>
      <c r="F219" s="233">
        <f t="shared" ref="F219" si="370">SUM(F220:F222)</f>
        <v>0</v>
      </c>
      <c r="G219" s="233">
        <f t="shared" si="369"/>
        <v>0</v>
      </c>
      <c r="H219" s="232">
        <f t="shared" si="324"/>
        <v>0</v>
      </c>
      <c r="I219" s="233">
        <v>0</v>
      </c>
      <c r="J219" s="233">
        <f t="shared" ref="J219:L219" si="371">SUM(J220:J222)</f>
        <v>0</v>
      </c>
      <c r="K219" s="233">
        <f t="shared" ref="K219" si="372">SUM(K220:K222)</f>
        <v>0</v>
      </c>
      <c r="L219" s="233">
        <f t="shared" si="371"/>
        <v>0</v>
      </c>
      <c r="M219" s="232">
        <f t="shared" si="325"/>
        <v>0</v>
      </c>
      <c r="N219" s="233">
        <v>0</v>
      </c>
      <c r="O219" s="233">
        <f t="shared" ref="O219:Q219" si="373">SUM(O220:O222)</f>
        <v>0</v>
      </c>
      <c r="P219" s="233">
        <f t="shared" ref="P219" si="374">SUM(P220:P222)</f>
        <v>0</v>
      </c>
      <c r="Q219" s="233">
        <f t="shared" si="373"/>
        <v>0</v>
      </c>
      <c r="R219" s="232">
        <f t="shared" si="326"/>
        <v>0</v>
      </c>
    </row>
    <row r="220" spans="1:18" s="29" customFormat="1" ht="36" hidden="1" customHeight="1">
      <c r="A220" s="134">
        <v>7131</v>
      </c>
      <c r="B220" s="112" t="s">
        <v>120</v>
      </c>
      <c r="C220" s="106"/>
      <c r="D220" s="106">
        <v>0</v>
      </c>
      <c r="E220" s="233"/>
      <c r="F220" s="233"/>
      <c r="G220" s="233"/>
      <c r="H220" s="232">
        <f t="shared" si="324"/>
        <v>0</v>
      </c>
      <c r="I220" s="233">
        <v>0</v>
      </c>
      <c r="J220" s="233"/>
      <c r="K220" s="233"/>
      <c r="L220" s="233"/>
      <c r="M220" s="232">
        <f t="shared" si="325"/>
        <v>0</v>
      </c>
      <c r="N220" s="233">
        <v>0</v>
      </c>
      <c r="O220" s="233"/>
      <c r="P220" s="233"/>
      <c r="Q220" s="233"/>
      <c r="R220" s="232">
        <f t="shared" si="326"/>
        <v>0</v>
      </c>
    </row>
    <row r="221" spans="1:18" s="29" customFormat="1" ht="36" hidden="1" customHeight="1">
      <c r="A221" s="134">
        <v>7132</v>
      </c>
      <c r="B221" s="112" t="s">
        <v>121</v>
      </c>
      <c r="C221" s="106"/>
      <c r="D221" s="106">
        <v>0</v>
      </c>
      <c r="E221" s="233"/>
      <c r="F221" s="233"/>
      <c r="G221" s="233"/>
      <c r="H221" s="232">
        <f t="shared" si="324"/>
        <v>0</v>
      </c>
      <c r="I221" s="233">
        <v>0</v>
      </c>
      <c r="J221" s="233"/>
      <c r="K221" s="233"/>
      <c r="L221" s="233"/>
      <c r="M221" s="232">
        <f t="shared" si="325"/>
        <v>0</v>
      </c>
      <c r="N221" s="233">
        <v>0</v>
      </c>
      <c r="O221" s="233"/>
      <c r="P221" s="233"/>
      <c r="Q221" s="233"/>
      <c r="R221" s="232">
        <f t="shared" si="326"/>
        <v>0</v>
      </c>
    </row>
    <row r="222" spans="1:18" s="29" customFormat="1" ht="24" hidden="1" customHeight="1">
      <c r="A222" s="134" t="s">
        <v>186</v>
      </c>
      <c r="B222" s="112" t="s">
        <v>187</v>
      </c>
      <c r="C222" s="106"/>
      <c r="D222" s="106">
        <v>0</v>
      </c>
      <c r="E222" s="233"/>
      <c r="F222" s="233"/>
      <c r="G222" s="233"/>
      <c r="H222" s="232">
        <f t="shared" si="324"/>
        <v>0</v>
      </c>
      <c r="I222" s="233">
        <v>0</v>
      </c>
      <c r="J222" s="233"/>
      <c r="K222" s="233"/>
      <c r="L222" s="233"/>
      <c r="M222" s="232">
        <f t="shared" si="325"/>
        <v>0</v>
      </c>
      <c r="N222" s="233">
        <v>0</v>
      </c>
      <c r="O222" s="233"/>
      <c r="P222" s="233"/>
      <c r="Q222" s="233"/>
      <c r="R222" s="232">
        <f t="shared" si="326"/>
        <v>0</v>
      </c>
    </row>
    <row r="223" spans="1:18" s="29" customFormat="1" ht="24" hidden="1" customHeight="1">
      <c r="A223" s="132">
        <v>7300</v>
      </c>
      <c r="B223" s="108" t="s">
        <v>155</v>
      </c>
      <c r="C223" s="106">
        <v>0</v>
      </c>
      <c r="D223" s="106">
        <v>0</v>
      </c>
      <c r="E223" s="233">
        <f t="shared" ref="E223:G223" si="375">SUM(E224:E226)</f>
        <v>0</v>
      </c>
      <c r="F223" s="233">
        <f t="shared" ref="F223" si="376">SUM(F224:F226)</f>
        <v>0</v>
      </c>
      <c r="G223" s="233">
        <f t="shared" si="375"/>
        <v>0</v>
      </c>
      <c r="H223" s="232">
        <f t="shared" si="324"/>
        <v>0</v>
      </c>
      <c r="I223" s="233">
        <v>0</v>
      </c>
      <c r="J223" s="233">
        <f t="shared" ref="J223:L223" si="377">SUM(J224:J226)</f>
        <v>0</v>
      </c>
      <c r="K223" s="233">
        <f t="shared" ref="K223" si="378">SUM(K224:K226)</f>
        <v>0</v>
      </c>
      <c r="L223" s="233">
        <f t="shared" si="377"/>
        <v>0</v>
      </c>
      <c r="M223" s="232">
        <f t="shared" si="325"/>
        <v>0</v>
      </c>
      <c r="N223" s="233">
        <v>0</v>
      </c>
      <c r="O223" s="233">
        <f t="shared" ref="O223:Q223" si="379">SUM(O224:O226)</f>
        <v>0</v>
      </c>
      <c r="P223" s="233">
        <f t="shared" ref="P223" si="380">SUM(P224:P226)</f>
        <v>0</v>
      </c>
      <c r="Q223" s="233">
        <f t="shared" si="379"/>
        <v>0</v>
      </c>
      <c r="R223" s="232">
        <f t="shared" si="326"/>
        <v>0</v>
      </c>
    </row>
    <row r="224" spans="1:18" s="29" customFormat="1" ht="24" hidden="1" customHeight="1">
      <c r="A224" s="133" t="s">
        <v>188</v>
      </c>
      <c r="B224" s="112" t="s">
        <v>170</v>
      </c>
      <c r="C224" s="197"/>
      <c r="D224" s="197">
        <v>0</v>
      </c>
      <c r="E224" s="252"/>
      <c r="F224" s="252"/>
      <c r="G224" s="252"/>
      <c r="H224" s="232">
        <f t="shared" si="324"/>
        <v>0</v>
      </c>
      <c r="I224" s="252">
        <v>0</v>
      </c>
      <c r="J224" s="252"/>
      <c r="K224" s="252"/>
      <c r="L224" s="252"/>
      <c r="M224" s="232">
        <f t="shared" si="325"/>
        <v>0</v>
      </c>
      <c r="N224" s="252">
        <v>0</v>
      </c>
      <c r="O224" s="252"/>
      <c r="P224" s="252"/>
      <c r="Q224" s="252"/>
      <c r="R224" s="232">
        <f t="shared" si="326"/>
        <v>0</v>
      </c>
    </row>
    <row r="225" spans="1:18" s="29" customFormat="1" ht="48" hidden="1" customHeight="1">
      <c r="A225" s="133" t="s">
        <v>189</v>
      </c>
      <c r="B225" s="112" t="s">
        <v>156</v>
      </c>
      <c r="C225" s="197"/>
      <c r="D225" s="197">
        <v>0</v>
      </c>
      <c r="E225" s="252"/>
      <c r="F225" s="252"/>
      <c r="G225" s="252"/>
      <c r="H225" s="232">
        <f t="shared" si="324"/>
        <v>0</v>
      </c>
      <c r="I225" s="252">
        <v>0</v>
      </c>
      <c r="J225" s="252"/>
      <c r="K225" s="252"/>
      <c r="L225" s="252"/>
      <c r="M225" s="232">
        <f t="shared" si="325"/>
        <v>0</v>
      </c>
      <c r="N225" s="252">
        <v>0</v>
      </c>
      <c r="O225" s="252"/>
      <c r="P225" s="252"/>
      <c r="Q225" s="252"/>
      <c r="R225" s="232">
        <f t="shared" si="326"/>
        <v>0</v>
      </c>
    </row>
    <row r="226" spans="1:18" s="29" customFormat="1" ht="36" hidden="1" customHeight="1">
      <c r="A226" s="133">
        <v>7350</v>
      </c>
      <c r="B226" s="112" t="s">
        <v>163</v>
      </c>
      <c r="C226" s="197"/>
      <c r="D226" s="197">
        <v>0</v>
      </c>
      <c r="E226" s="252"/>
      <c r="F226" s="252"/>
      <c r="G226" s="252"/>
      <c r="H226" s="232">
        <f t="shared" si="324"/>
        <v>0</v>
      </c>
      <c r="I226" s="252">
        <v>0</v>
      </c>
      <c r="J226" s="252"/>
      <c r="K226" s="252"/>
      <c r="L226" s="252"/>
      <c r="M226" s="232">
        <f t="shared" si="325"/>
        <v>0</v>
      </c>
      <c r="N226" s="252">
        <v>0</v>
      </c>
      <c r="O226" s="252"/>
      <c r="P226" s="252"/>
      <c r="Q226" s="252"/>
      <c r="R226" s="232">
        <f t="shared" si="326"/>
        <v>0</v>
      </c>
    </row>
    <row r="227" spans="1:18" s="29" customFormat="1" ht="24" hidden="1" customHeight="1">
      <c r="A227" s="132">
        <v>7400</v>
      </c>
      <c r="B227" s="108" t="s">
        <v>161</v>
      </c>
      <c r="C227" s="106">
        <v>0</v>
      </c>
      <c r="D227" s="106">
        <v>0</v>
      </c>
      <c r="E227" s="233">
        <f t="shared" ref="E227:G227" si="381">SUM(E228:E229)</f>
        <v>0</v>
      </c>
      <c r="F227" s="233">
        <f t="shared" ref="F227" si="382">SUM(F228:F229)</f>
        <v>0</v>
      </c>
      <c r="G227" s="233">
        <f t="shared" si="381"/>
        <v>0</v>
      </c>
      <c r="H227" s="232">
        <f t="shared" si="324"/>
        <v>0</v>
      </c>
      <c r="I227" s="233">
        <v>0</v>
      </c>
      <c r="J227" s="233">
        <f t="shared" ref="J227:L227" si="383">SUM(J228:J229)</f>
        <v>0</v>
      </c>
      <c r="K227" s="233">
        <f t="shared" ref="K227" si="384">SUM(K228:K229)</f>
        <v>0</v>
      </c>
      <c r="L227" s="233">
        <f t="shared" si="383"/>
        <v>0</v>
      </c>
      <c r="M227" s="232">
        <f t="shared" si="325"/>
        <v>0</v>
      </c>
      <c r="N227" s="233">
        <v>0</v>
      </c>
      <c r="O227" s="233">
        <f t="shared" ref="O227:Q227" si="385">SUM(O228:O229)</f>
        <v>0</v>
      </c>
      <c r="P227" s="233">
        <f t="shared" ref="P227" si="386">SUM(P228:P229)</f>
        <v>0</v>
      </c>
      <c r="Q227" s="233">
        <f t="shared" si="385"/>
        <v>0</v>
      </c>
      <c r="R227" s="232">
        <f t="shared" si="326"/>
        <v>0</v>
      </c>
    </row>
    <row r="228" spans="1:18" s="29" customFormat="1" ht="24" hidden="1" customHeight="1">
      <c r="A228" s="133">
        <v>7460</v>
      </c>
      <c r="B228" s="108" t="s">
        <v>162</v>
      </c>
      <c r="C228" s="197"/>
      <c r="D228" s="197">
        <v>0</v>
      </c>
      <c r="E228" s="252"/>
      <c r="F228" s="252"/>
      <c r="G228" s="252"/>
      <c r="H228" s="232">
        <f t="shared" si="324"/>
        <v>0</v>
      </c>
      <c r="I228" s="252">
        <v>0</v>
      </c>
      <c r="J228" s="252"/>
      <c r="K228" s="252"/>
      <c r="L228" s="252"/>
      <c r="M228" s="232">
        <f t="shared" si="325"/>
        <v>0</v>
      </c>
      <c r="N228" s="252">
        <v>0</v>
      </c>
      <c r="O228" s="252"/>
      <c r="P228" s="252"/>
      <c r="Q228" s="252"/>
      <c r="R228" s="232">
        <f t="shared" si="326"/>
        <v>0</v>
      </c>
    </row>
    <row r="229" spans="1:18" s="29" customFormat="1" ht="48" hidden="1" customHeight="1">
      <c r="A229" s="133">
        <v>7470</v>
      </c>
      <c r="B229" s="112" t="s">
        <v>167</v>
      </c>
      <c r="C229" s="197"/>
      <c r="D229" s="197">
        <v>0</v>
      </c>
      <c r="E229" s="252"/>
      <c r="F229" s="252"/>
      <c r="G229" s="252"/>
      <c r="H229" s="232">
        <f t="shared" si="324"/>
        <v>0</v>
      </c>
      <c r="I229" s="252">
        <v>0</v>
      </c>
      <c r="J229" s="252"/>
      <c r="K229" s="252"/>
      <c r="L229" s="252"/>
      <c r="M229" s="232">
        <f t="shared" si="325"/>
        <v>0</v>
      </c>
      <c r="N229" s="252">
        <v>0</v>
      </c>
      <c r="O229" s="252"/>
      <c r="P229" s="252"/>
      <c r="Q229" s="252"/>
      <c r="R229" s="232">
        <f t="shared" si="326"/>
        <v>0</v>
      </c>
    </row>
    <row r="230" spans="1:18" s="29" customFormat="1" ht="24" hidden="1" customHeight="1">
      <c r="A230" s="132">
        <v>7500</v>
      </c>
      <c r="B230" s="112" t="s">
        <v>157</v>
      </c>
      <c r="C230" s="106"/>
      <c r="D230" s="106">
        <v>0</v>
      </c>
      <c r="E230" s="233"/>
      <c r="F230" s="233"/>
      <c r="G230" s="233"/>
      <c r="H230" s="232">
        <f t="shared" si="324"/>
        <v>0</v>
      </c>
      <c r="I230" s="233">
        <v>0</v>
      </c>
      <c r="J230" s="233"/>
      <c r="K230" s="233"/>
      <c r="L230" s="233"/>
      <c r="M230" s="232">
        <f t="shared" si="325"/>
        <v>0</v>
      </c>
      <c r="N230" s="233">
        <v>0</v>
      </c>
      <c r="O230" s="233"/>
      <c r="P230" s="233"/>
      <c r="Q230" s="233"/>
      <c r="R230" s="232">
        <f t="shared" si="326"/>
        <v>0</v>
      </c>
    </row>
    <row r="231" spans="1:18" s="29" customFormat="1" ht="12" hidden="1" customHeight="1">
      <c r="A231" s="140" t="s">
        <v>133</v>
      </c>
      <c r="B231" s="100" t="s">
        <v>122</v>
      </c>
      <c r="C231" s="162">
        <v>0</v>
      </c>
      <c r="D231" s="162">
        <v>0</v>
      </c>
      <c r="E231" s="254">
        <f t="shared" ref="E231:G231" si="387">E232+E233</f>
        <v>0</v>
      </c>
      <c r="F231" s="254">
        <f t="shared" ref="F231" si="388">F232+F233</f>
        <v>0</v>
      </c>
      <c r="G231" s="254">
        <f t="shared" si="387"/>
        <v>0</v>
      </c>
      <c r="H231" s="232">
        <f t="shared" si="324"/>
        <v>0</v>
      </c>
      <c r="I231" s="254">
        <v>0</v>
      </c>
      <c r="J231" s="254">
        <f t="shared" ref="J231:L231" si="389">J232+J233</f>
        <v>0</v>
      </c>
      <c r="K231" s="254">
        <f t="shared" ref="K231" si="390">K232+K233</f>
        <v>0</v>
      </c>
      <c r="L231" s="254">
        <f t="shared" si="389"/>
        <v>0</v>
      </c>
      <c r="M231" s="232">
        <f t="shared" si="325"/>
        <v>0</v>
      </c>
      <c r="N231" s="254">
        <v>0</v>
      </c>
      <c r="O231" s="254">
        <f t="shared" ref="O231:Q231" si="391">O232+O233</f>
        <v>0</v>
      </c>
      <c r="P231" s="254">
        <f t="shared" ref="P231" si="392">P232+P233</f>
        <v>0</v>
      </c>
      <c r="Q231" s="254">
        <f t="shared" si="391"/>
        <v>0</v>
      </c>
      <c r="R231" s="232">
        <f t="shared" si="326"/>
        <v>0</v>
      </c>
    </row>
    <row r="232" spans="1:18" s="29" customFormat="1" ht="12" hidden="1" customHeight="1">
      <c r="A232" s="140">
        <v>5000</v>
      </c>
      <c r="B232" s="100" t="s">
        <v>123</v>
      </c>
      <c r="C232" s="106"/>
      <c r="D232" s="106">
        <v>0</v>
      </c>
      <c r="E232" s="244"/>
      <c r="F232" s="244"/>
      <c r="G232" s="244"/>
      <c r="H232" s="232">
        <f t="shared" si="324"/>
        <v>0</v>
      </c>
      <c r="I232" s="233">
        <v>0</v>
      </c>
      <c r="J232" s="244"/>
      <c r="K232" s="244"/>
      <c r="L232" s="244"/>
      <c r="M232" s="232">
        <f t="shared" si="325"/>
        <v>0</v>
      </c>
      <c r="N232" s="233">
        <v>0</v>
      </c>
      <c r="O232" s="244"/>
      <c r="P232" s="244"/>
      <c r="Q232" s="244"/>
      <c r="R232" s="232">
        <f t="shared" si="326"/>
        <v>0</v>
      </c>
    </row>
    <row r="233" spans="1:18" s="29" customFormat="1" ht="12" hidden="1" customHeight="1">
      <c r="A233" s="140">
        <v>9000</v>
      </c>
      <c r="B233" s="115" t="s">
        <v>164</v>
      </c>
      <c r="C233" s="106">
        <v>0</v>
      </c>
      <c r="D233" s="106">
        <v>0</v>
      </c>
      <c r="E233" s="233">
        <f t="shared" ref="E233:G233" si="393">E234+E240+E244+E247</f>
        <v>0</v>
      </c>
      <c r="F233" s="233">
        <f t="shared" ref="F233" si="394">F234+F240+F244+F247</f>
        <v>0</v>
      </c>
      <c r="G233" s="233">
        <f t="shared" si="393"/>
        <v>0</v>
      </c>
      <c r="H233" s="232">
        <f t="shared" si="324"/>
        <v>0</v>
      </c>
      <c r="I233" s="233">
        <v>0</v>
      </c>
      <c r="J233" s="233">
        <f t="shared" ref="J233:L233" si="395">J234+J240+J244+J247</f>
        <v>0</v>
      </c>
      <c r="K233" s="233">
        <f t="shared" ref="K233" si="396">K234+K240+K244+K247</f>
        <v>0</v>
      </c>
      <c r="L233" s="233">
        <f t="shared" si="395"/>
        <v>0</v>
      </c>
      <c r="M233" s="232">
        <f t="shared" si="325"/>
        <v>0</v>
      </c>
      <c r="N233" s="233">
        <v>0</v>
      </c>
      <c r="O233" s="233">
        <f t="shared" ref="O233:Q233" si="397">O234+O240+O244+O247</f>
        <v>0</v>
      </c>
      <c r="P233" s="233">
        <f t="shared" ref="P233" si="398">P234+P240+P244+P247</f>
        <v>0</v>
      </c>
      <c r="Q233" s="233">
        <f t="shared" si="397"/>
        <v>0</v>
      </c>
      <c r="R233" s="232">
        <f t="shared" si="326"/>
        <v>0</v>
      </c>
    </row>
    <row r="234" spans="1:18" s="29" customFormat="1" ht="12" hidden="1" customHeight="1">
      <c r="A234" s="141">
        <v>9100</v>
      </c>
      <c r="B234" s="112" t="s">
        <v>124</v>
      </c>
      <c r="C234" s="106">
        <v>0</v>
      </c>
      <c r="D234" s="106">
        <v>0</v>
      </c>
      <c r="E234" s="233">
        <f t="shared" ref="E234:G234" si="399">SUM(E235:E236)</f>
        <v>0</v>
      </c>
      <c r="F234" s="233">
        <f t="shared" ref="F234" si="400">SUM(F235:F236)</f>
        <v>0</v>
      </c>
      <c r="G234" s="233">
        <f t="shared" si="399"/>
        <v>0</v>
      </c>
      <c r="H234" s="232">
        <f t="shared" si="324"/>
        <v>0</v>
      </c>
      <c r="I234" s="233">
        <v>0</v>
      </c>
      <c r="J234" s="233">
        <f t="shared" ref="J234:L234" si="401">SUM(J235:J236)</f>
        <v>0</v>
      </c>
      <c r="K234" s="233">
        <f t="shared" ref="K234" si="402">SUM(K235:K236)</f>
        <v>0</v>
      </c>
      <c r="L234" s="233">
        <f t="shared" si="401"/>
        <v>0</v>
      </c>
      <c r="M234" s="232">
        <f t="shared" si="325"/>
        <v>0</v>
      </c>
      <c r="N234" s="233">
        <v>0</v>
      </c>
      <c r="O234" s="233">
        <f t="shared" ref="O234:Q234" si="403">SUM(O235:O236)</f>
        <v>0</v>
      </c>
      <c r="P234" s="233">
        <f t="shared" ref="P234" si="404">SUM(P235:P236)</f>
        <v>0</v>
      </c>
      <c r="Q234" s="233">
        <f t="shared" si="403"/>
        <v>0</v>
      </c>
      <c r="R234" s="232">
        <f t="shared" si="326"/>
        <v>0</v>
      </c>
    </row>
    <row r="235" spans="1:18" s="29" customFormat="1" ht="24" hidden="1" customHeight="1">
      <c r="A235" s="133" t="s">
        <v>125</v>
      </c>
      <c r="B235" s="112" t="s">
        <v>203</v>
      </c>
      <c r="C235" s="106"/>
      <c r="D235" s="106">
        <v>0</v>
      </c>
      <c r="E235" s="233"/>
      <c r="F235" s="233"/>
      <c r="G235" s="233"/>
      <c r="H235" s="232">
        <f t="shared" si="324"/>
        <v>0</v>
      </c>
      <c r="I235" s="233">
        <v>0</v>
      </c>
      <c r="J235" s="233"/>
      <c r="K235" s="233"/>
      <c r="L235" s="233"/>
      <c r="M235" s="232">
        <f t="shared" si="325"/>
        <v>0</v>
      </c>
      <c r="N235" s="233">
        <v>0</v>
      </c>
      <c r="O235" s="233"/>
      <c r="P235" s="233"/>
      <c r="Q235" s="233"/>
      <c r="R235" s="232">
        <f t="shared" si="326"/>
        <v>0</v>
      </c>
    </row>
    <row r="236" spans="1:18" s="29" customFormat="1" ht="24" hidden="1" customHeight="1">
      <c r="A236" s="133">
        <v>9140</v>
      </c>
      <c r="B236" s="112" t="s">
        <v>204</v>
      </c>
      <c r="C236" s="106">
        <v>0</v>
      </c>
      <c r="D236" s="106">
        <v>0</v>
      </c>
      <c r="E236" s="233">
        <f t="shared" ref="E236:G236" si="405">SUM(E237:E239)</f>
        <v>0</v>
      </c>
      <c r="F236" s="233">
        <f t="shared" ref="F236" si="406">SUM(F237:F239)</f>
        <v>0</v>
      </c>
      <c r="G236" s="233">
        <f t="shared" si="405"/>
        <v>0</v>
      </c>
      <c r="H236" s="232">
        <f t="shared" si="324"/>
        <v>0</v>
      </c>
      <c r="I236" s="233">
        <v>0</v>
      </c>
      <c r="J236" s="233">
        <f t="shared" ref="J236:L236" si="407">SUM(J237:J239)</f>
        <v>0</v>
      </c>
      <c r="K236" s="233">
        <f t="shared" ref="K236" si="408">SUM(K237:K239)</f>
        <v>0</v>
      </c>
      <c r="L236" s="233">
        <f t="shared" si="407"/>
        <v>0</v>
      </c>
      <c r="M236" s="232">
        <f t="shared" si="325"/>
        <v>0</v>
      </c>
      <c r="N236" s="233">
        <v>0</v>
      </c>
      <c r="O236" s="233">
        <f t="shared" ref="O236:Q236" si="409">SUM(O237:O239)</f>
        <v>0</v>
      </c>
      <c r="P236" s="233">
        <f t="shared" ref="P236" si="410">SUM(P237:P239)</f>
        <v>0</v>
      </c>
      <c r="Q236" s="233">
        <f t="shared" si="409"/>
        <v>0</v>
      </c>
      <c r="R236" s="232">
        <f t="shared" si="326"/>
        <v>0</v>
      </c>
    </row>
    <row r="237" spans="1:18" s="29" customFormat="1" ht="36" hidden="1" customHeight="1">
      <c r="A237" s="134">
        <v>9141</v>
      </c>
      <c r="B237" s="108" t="s">
        <v>190</v>
      </c>
      <c r="C237" s="197"/>
      <c r="D237" s="197">
        <v>0</v>
      </c>
      <c r="E237" s="252"/>
      <c r="F237" s="252"/>
      <c r="G237" s="252"/>
      <c r="H237" s="232">
        <f t="shared" si="324"/>
        <v>0</v>
      </c>
      <c r="I237" s="252">
        <v>0</v>
      </c>
      <c r="J237" s="252"/>
      <c r="K237" s="252"/>
      <c r="L237" s="252"/>
      <c r="M237" s="232">
        <f t="shared" si="325"/>
        <v>0</v>
      </c>
      <c r="N237" s="252">
        <v>0</v>
      </c>
      <c r="O237" s="252"/>
      <c r="P237" s="252"/>
      <c r="Q237" s="252"/>
      <c r="R237" s="232">
        <f t="shared" si="326"/>
        <v>0</v>
      </c>
    </row>
    <row r="238" spans="1:18" s="29" customFormat="1" ht="36" hidden="1" customHeight="1">
      <c r="A238" s="134">
        <v>9142</v>
      </c>
      <c r="B238" s="108" t="s">
        <v>191</v>
      </c>
      <c r="C238" s="197"/>
      <c r="D238" s="197">
        <v>0</v>
      </c>
      <c r="E238" s="252"/>
      <c r="F238" s="252"/>
      <c r="G238" s="252"/>
      <c r="H238" s="232">
        <f t="shared" si="324"/>
        <v>0</v>
      </c>
      <c r="I238" s="252">
        <v>0</v>
      </c>
      <c r="J238" s="252"/>
      <c r="K238" s="252"/>
      <c r="L238" s="252"/>
      <c r="M238" s="232">
        <f t="shared" si="325"/>
        <v>0</v>
      </c>
      <c r="N238" s="252">
        <v>0</v>
      </c>
      <c r="O238" s="252"/>
      <c r="P238" s="252"/>
      <c r="Q238" s="252"/>
      <c r="R238" s="232">
        <f t="shared" si="326"/>
        <v>0</v>
      </c>
    </row>
    <row r="239" spans="1:18" s="29" customFormat="1" ht="24" hidden="1" customHeight="1">
      <c r="A239" s="134">
        <v>9149</v>
      </c>
      <c r="B239" s="108" t="s">
        <v>192</v>
      </c>
      <c r="C239" s="197"/>
      <c r="D239" s="197">
        <v>0</v>
      </c>
      <c r="E239" s="252"/>
      <c r="F239" s="252"/>
      <c r="G239" s="252"/>
      <c r="H239" s="232">
        <f t="shared" si="324"/>
        <v>0</v>
      </c>
      <c r="I239" s="252">
        <v>0</v>
      </c>
      <c r="J239" s="252"/>
      <c r="K239" s="252"/>
      <c r="L239" s="252"/>
      <c r="M239" s="232">
        <f t="shared" si="325"/>
        <v>0</v>
      </c>
      <c r="N239" s="252">
        <v>0</v>
      </c>
      <c r="O239" s="252"/>
      <c r="P239" s="252"/>
      <c r="Q239" s="252"/>
      <c r="R239" s="232">
        <f t="shared" si="326"/>
        <v>0</v>
      </c>
    </row>
    <row r="240" spans="1:18" s="29" customFormat="1" ht="24" hidden="1" customHeight="1">
      <c r="A240" s="141">
        <v>9500</v>
      </c>
      <c r="B240" s="108" t="s">
        <v>165</v>
      </c>
      <c r="C240" s="106">
        <v>0</v>
      </c>
      <c r="D240" s="106">
        <v>0</v>
      </c>
      <c r="E240" s="233">
        <f t="shared" ref="E240:G240" si="411">SUM(E241:E243)</f>
        <v>0</v>
      </c>
      <c r="F240" s="233">
        <f t="shared" ref="F240" si="412">SUM(F241:F243)</f>
        <v>0</v>
      </c>
      <c r="G240" s="233">
        <f t="shared" si="411"/>
        <v>0</v>
      </c>
      <c r="H240" s="232">
        <f t="shared" si="324"/>
        <v>0</v>
      </c>
      <c r="I240" s="233">
        <v>0</v>
      </c>
      <c r="J240" s="233">
        <f t="shared" ref="J240:L240" si="413">SUM(J241:J243)</f>
        <v>0</v>
      </c>
      <c r="K240" s="233">
        <f t="shared" ref="K240" si="414">SUM(K241:K243)</f>
        <v>0</v>
      </c>
      <c r="L240" s="233">
        <f t="shared" si="413"/>
        <v>0</v>
      </c>
      <c r="M240" s="232">
        <f t="shared" si="325"/>
        <v>0</v>
      </c>
      <c r="N240" s="233">
        <v>0</v>
      </c>
      <c r="O240" s="233">
        <f t="shared" ref="O240:Q240" si="415">SUM(O241:O243)</f>
        <v>0</v>
      </c>
      <c r="P240" s="233">
        <f t="shared" ref="P240" si="416">SUM(P241:P243)</f>
        <v>0</v>
      </c>
      <c r="Q240" s="233">
        <f t="shared" si="415"/>
        <v>0</v>
      </c>
      <c r="R240" s="232">
        <f t="shared" si="326"/>
        <v>0</v>
      </c>
    </row>
    <row r="241" spans="1:18" s="29" customFormat="1" ht="24" hidden="1" customHeight="1">
      <c r="A241" s="133" t="s">
        <v>193</v>
      </c>
      <c r="B241" s="108" t="s">
        <v>171</v>
      </c>
      <c r="C241" s="106"/>
      <c r="D241" s="106">
        <v>0</v>
      </c>
      <c r="E241" s="233"/>
      <c r="F241" s="233"/>
      <c r="G241" s="233"/>
      <c r="H241" s="232">
        <f t="shared" si="324"/>
        <v>0</v>
      </c>
      <c r="I241" s="233">
        <v>0</v>
      </c>
      <c r="J241" s="233"/>
      <c r="K241" s="233"/>
      <c r="L241" s="233"/>
      <c r="M241" s="232">
        <f t="shared" si="325"/>
        <v>0</v>
      </c>
      <c r="N241" s="233">
        <v>0</v>
      </c>
      <c r="O241" s="233"/>
      <c r="P241" s="233"/>
      <c r="Q241" s="233"/>
      <c r="R241" s="232">
        <f t="shared" si="326"/>
        <v>0</v>
      </c>
    </row>
    <row r="242" spans="1:18" s="29" customFormat="1" ht="48" hidden="1" customHeight="1">
      <c r="A242" s="133">
        <v>9580</v>
      </c>
      <c r="B242" s="108" t="s">
        <v>166</v>
      </c>
      <c r="C242" s="197"/>
      <c r="D242" s="197">
        <v>0</v>
      </c>
      <c r="E242" s="252"/>
      <c r="F242" s="252"/>
      <c r="G242" s="252"/>
      <c r="H242" s="232">
        <f t="shared" si="324"/>
        <v>0</v>
      </c>
      <c r="I242" s="252">
        <v>0</v>
      </c>
      <c r="J242" s="252"/>
      <c r="K242" s="252"/>
      <c r="L242" s="252"/>
      <c r="M242" s="232">
        <f t="shared" si="325"/>
        <v>0</v>
      </c>
      <c r="N242" s="252">
        <v>0</v>
      </c>
      <c r="O242" s="252"/>
      <c r="P242" s="252"/>
      <c r="Q242" s="252"/>
      <c r="R242" s="232">
        <f t="shared" si="326"/>
        <v>0</v>
      </c>
    </row>
    <row r="243" spans="1:18" s="29" customFormat="1" ht="48" hidden="1" customHeight="1">
      <c r="A243" s="133">
        <v>9590</v>
      </c>
      <c r="B243" s="112" t="s">
        <v>172</v>
      </c>
      <c r="C243" s="197"/>
      <c r="D243" s="197">
        <v>0</v>
      </c>
      <c r="E243" s="252"/>
      <c r="F243" s="252"/>
      <c r="G243" s="252"/>
      <c r="H243" s="232">
        <f t="shared" si="324"/>
        <v>0</v>
      </c>
      <c r="I243" s="252">
        <v>0</v>
      </c>
      <c r="J243" s="252"/>
      <c r="K243" s="252"/>
      <c r="L243" s="252"/>
      <c r="M243" s="232">
        <f t="shared" si="325"/>
        <v>0</v>
      </c>
      <c r="N243" s="252">
        <v>0</v>
      </c>
      <c r="O243" s="252"/>
      <c r="P243" s="252"/>
      <c r="Q243" s="252"/>
      <c r="R243" s="232">
        <f t="shared" si="326"/>
        <v>0</v>
      </c>
    </row>
    <row r="244" spans="1:18" s="29" customFormat="1" ht="24" hidden="1" customHeight="1">
      <c r="A244" s="141">
        <v>9700</v>
      </c>
      <c r="B244" s="116" t="s">
        <v>194</v>
      </c>
      <c r="C244" s="106">
        <v>0</v>
      </c>
      <c r="D244" s="106">
        <v>0</v>
      </c>
      <c r="E244" s="233">
        <f t="shared" ref="E244:G244" si="417">SUM(E245:E246)</f>
        <v>0</v>
      </c>
      <c r="F244" s="233">
        <f t="shared" ref="F244" si="418">SUM(F245:F246)</f>
        <v>0</v>
      </c>
      <c r="G244" s="233">
        <f t="shared" si="417"/>
        <v>0</v>
      </c>
      <c r="H244" s="232">
        <f t="shared" si="324"/>
        <v>0</v>
      </c>
      <c r="I244" s="233">
        <v>0</v>
      </c>
      <c r="J244" s="233">
        <f t="shared" ref="J244:L244" si="419">SUM(J245:J246)</f>
        <v>0</v>
      </c>
      <c r="K244" s="233">
        <f t="shared" ref="K244" si="420">SUM(K245:K246)</f>
        <v>0</v>
      </c>
      <c r="L244" s="233">
        <f t="shared" si="419"/>
        <v>0</v>
      </c>
      <c r="M244" s="232">
        <f t="shared" si="325"/>
        <v>0</v>
      </c>
      <c r="N244" s="233">
        <v>0</v>
      </c>
      <c r="O244" s="233">
        <f t="shared" ref="O244:Q244" si="421">SUM(O245:O246)</f>
        <v>0</v>
      </c>
      <c r="P244" s="233">
        <f t="shared" ref="P244" si="422">SUM(P245:P246)</f>
        <v>0</v>
      </c>
      <c r="Q244" s="233">
        <f t="shared" si="421"/>
        <v>0</v>
      </c>
      <c r="R244" s="232">
        <f t="shared" si="326"/>
        <v>0</v>
      </c>
    </row>
    <row r="245" spans="1:18" s="29" customFormat="1" ht="24" hidden="1" customHeight="1">
      <c r="A245" s="133">
        <v>9710</v>
      </c>
      <c r="B245" s="117" t="s">
        <v>195</v>
      </c>
      <c r="C245" s="197"/>
      <c r="D245" s="197">
        <v>0</v>
      </c>
      <c r="E245" s="252"/>
      <c r="F245" s="252"/>
      <c r="G245" s="252"/>
      <c r="H245" s="232">
        <f t="shared" si="324"/>
        <v>0</v>
      </c>
      <c r="I245" s="252">
        <v>0</v>
      </c>
      <c r="J245" s="252"/>
      <c r="K245" s="252"/>
      <c r="L245" s="252"/>
      <c r="M245" s="232">
        <f t="shared" si="325"/>
        <v>0</v>
      </c>
      <c r="N245" s="252">
        <v>0</v>
      </c>
      <c r="O245" s="252"/>
      <c r="P245" s="252"/>
      <c r="Q245" s="252"/>
      <c r="R245" s="232">
        <f t="shared" si="326"/>
        <v>0</v>
      </c>
    </row>
    <row r="246" spans="1:18" s="29" customFormat="1" ht="36" hidden="1" customHeight="1">
      <c r="A246" s="142">
        <v>9720</v>
      </c>
      <c r="B246" s="116" t="s">
        <v>196</v>
      </c>
      <c r="C246" s="197"/>
      <c r="D246" s="197">
        <v>0</v>
      </c>
      <c r="E246" s="252"/>
      <c r="F246" s="252"/>
      <c r="G246" s="252"/>
      <c r="H246" s="232">
        <f t="shared" si="324"/>
        <v>0</v>
      </c>
      <c r="I246" s="252">
        <v>0</v>
      </c>
      <c r="J246" s="252"/>
      <c r="K246" s="252"/>
      <c r="L246" s="252"/>
      <c r="M246" s="232">
        <f t="shared" si="325"/>
        <v>0</v>
      </c>
      <c r="N246" s="252">
        <v>0</v>
      </c>
      <c r="O246" s="252"/>
      <c r="P246" s="252"/>
      <c r="Q246" s="252"/>
      <c r="R246" s="232">
        <f t="shared" si="326"/>
        <v>0</v>
      </c>
    </row>
    <row r="247" spans="1:18" s="29" customFormat="1" ht="24" hidden="1" customHeight="1">
      <c r="A247" s="141">
        <v>9600</v>
      </c>
      <c r="B247" s="112" t="s">
        <v>134</v>
      </c>
      <c r="C247" s="197"/>
      <c r="D247" s="197">
        <v>0</v>
      </c>
      <c r="E247" s="252"/>
      <c r="F247" s="252"/>
      <c r="G247" s="252"/>
      <c r="H247" s="232">
        <f t="shared" si="324"/>
        <v>0</v>
      </c>
      <c r="I247" s="252">
        <v>0</v>
      </c>
      <c r="J247" s="252"/>
      <c r="K247" s="252"/>
      <c r="L247" s="252"/>
      <c r="M247" s="232">
        <f t="shared" si="325"/>
        <v>0</v>
      </c>
      <c r="N247" s="252">
        <v>0</v>
      </c>
      <c r="O247" s="252"/>
      <c r="P247" s="252"/>
      <c r="Q247" s="252"/>
      <c r="R247" s="232">
        <f t="shared" si="326"/>
        <v>0</v>
      </c>
    </row>
    <row r="248" spans="1:18" s="29" customFormat="1" ht="52.5" hidden="1" customHeight="1">
      <c r="A248" s="130" t="s">
        <v>197</v>
      </c>
      <c r="B248" s="118" t="s">
        <v>47</v>
      </c>
      <c r="C248" s="198"/>
      <c r="D248" s="198">
        <v>0</v>
      </c>
      <c r="E248" s="262">
        <f t="shared" ref="E248:G248" si="423">E178-E203</f>
        <v>0</v>
      </c>
      <c r="F248" s="262">
        <f t="shared" ref="F248" si="424">F178-F203</f>
        <v>0</v>
      </c>
      <c r="G248" s="262">
        <f t="shared" si="423"/>
        <v>0</v>
      </c>
      <c r="H248" s="232">
        <f t="shared" si="324"/>
        <v>0</v>
      </c>
      <c r="I248" s="262">
        <v>0</v>
      </c>
      <c r="J248" s="262">
        <f t="shared" ref="J248:L248" si="425">J178-J203</f>
        <v>0</v>
      </c>
      <c r="K248" s="262">
        <f t="shared" ref="K248" si="426">K178-K203</f>
        <v>0</v>
      </c>
      <c r="L248" s="262">
        <f t="shared" si="425"/>
        <v>0</v>
      </c>
      <c r="M248" s="232">
        <f t="shared" si="325"/>
        <v>0</v>
      </c>
      <c r="N248" s="262">
        <v>0</v>
      </c>
      <c r="O248" s="262">
        <f t="shared" ref="O248:Q248" si="427">O178-O203</f>
        <v>0</v>
      </c>
      <c r="P248" s="262">
        <f t="shared" ref="P248" si="428">P178-P203</f>
        <v>0</v>
      </c>
      <c r="Q248" s="262">
        <f t="shared" si="427"/>
        <v>0</v>
      </c>
      <c r="R248" s="232">
        <f t="shared" si="326"/>
        <v>0</v>
      </c>
    </row>
    <row r="249" spans="1:18" s="29" customFormat="1" ht="12" hidden="1" customHeight="1">
      <c r="A249" s="143" t="s">
        <v>48</v>
      </c>
      <c r="B249" s="118" t="s">
        <v>49</v>
      </c>
      <c r="C249" s="198">
        <v>0</v>
      </c>
      <c r="D249" s="198">
        <v>0</v>
      </c>
      <c r="E249" s="262">
        <f t="shared" ref="E249:G249" si="429">E250+E253+E257+E256</f>
        <v>0</v>
      </c>
      <c r="F249" s="262">
        <f t="shared" ref="F249" si="430">F250+F253+F257+F256</f>
        <v>0</v>
      </c>
      <c r="G249" s="262">
        <f t="shared" si="429"/>
        <v>0</v>
      </c>
      <c r="H249" s="232">
        <f t="shared" si="324"/>
        <v>0</v>
      </c>
      <c r="I249" s="262">
        <v>0</v>
      </c>
      <c r="J249" s="262">
        <f t="shared" ref="J249:L249" si="431">J250+J253+J257+J256</f>
        <v>0</v>
      </c>
      <c r="K249" s="262">
        <f t="shared" ref="K249" si="432">K250+K253+K257+K256</f>
        <v>0</v>
      </c>
      <c r="L249" s="262">
        <f t="shared" si="431"/>
        <v>0</v>
      </c>
      <c r="M249" s="232">
        <f t="shared" si="325"/>
        <v>0</v>
      </c>
      <c r="N249" s="262">
        <v>0</v>
      </c>
      <c r="O249" s="262">
        <f t="shared" ref="O249:Q249" si="433">O250+O253+O257+O256</f>
        <v>0</v>
      </c>
      <c r="P249" s="262">
        <f t="shared" ref="P249" si="434">P250+P253+P257+P256</f>
        <v>0</v>
      </c>
      <c r="Q249" s="262">
        <f t="shared" si="433"/>
        <v>0</v>
      </c>
      <c r="R249" s="232">
        <f t="shared" si="326"/>
        <v>0</v>
      </c>
    </row>
    <row r="250" spans="1:18" s="29" customFormat="1" ht="12" hidden="1" customHeight="1">
      <c r="A250" s="141" t="s">
        <v>50</v>
      </c>
      <c r="B250" s="112" t="s">
        <v>51</v>
      </c>
      <c r="C250" s="158">
        <v>0</v>
      </c>
      <c r="D250" s="158">
        <v>0</v>
      </c>
      <c r="E250" s="231">
        <f t="shared" ref="E250:G250" si="435">E251+E252</f>
        <v>0</v>
      </c>
      <c r="F250" s="231">
        <f t="shared" ref="F250" si="436">F251+F252</f>
        <v>0</v>
      </c>
      <c r="G250" s="231">
        <f t="shared" si="435"/>
        <v>0</v>
      </c>
      <c r="H250" s="232">
        <f t="shared" si="324"/>
        <v>0</v>
      </c>
      <c r="I250" s="231">
        <v>0</v>
      </c>
      <c r="J250" s="231">
        <f t="shared" ref="J250:L250" si="437">J251+J252</f>
        <v>0</v>
      </c>
      <c r="K250" s="231">
        <f t="shared" ref="K250" si="438">K251+K252</f>
        <v>0</v>
      </c>
      <c r="L250" s="231">
        <f t="shared" si="437"/>
        <v>0</v>
      </c>
      <c r="M250" s="232">
        <f t="shared" si="325"/>
        <v>0</v>
      </c>
      <c r="N250" s="231">
        <v>0</v>
      </c>
      <c r="O250" s="231">
        <f t="shared" ref="O250:Q250" si="439">O251+O252</f>
        <v>0</v>
      </c>
      <c r="P250" s="231">
        <f t="shared" ref="P250" si="440">P251+P252</f>
        <v>0</v>
      </c>
      <c r="Q250" s="231">
        <f t="shared" si="439"/>
        <v>0</v>
      </c>
      <c r="R250" s="232">
        <f t="shared" si="326"/>
        <v>0</v>
      </c>
    </row>
    <row r="251" spans="1:18" s="29" customFormat="1" ht="12" hidden="1" customHeight="1">
      <c r="A251" s="141" t="s">
        <v>52</v>
      </c>
      <c r="B251" s="112" t="s">
        <v>53</v>
      </c>
      <c r="C251" s="158"/>
      <c r="D251" s="158">
        <v>0</v>
      </c>
      <c r="E251" s="231"/>
      <c r="F251" s="231"/>
      <c r="G251" s="231"/>
      <c r="H251" s="232">
        <f t="shared" si="324"/>
        <v>0</v>
      </c>
      <c r="I251" s="231">
        <v>0</v>
      </c>
      <c r="J251" s="231"/>
      <c r="K251" s="231"/>
      <c r="L251" s="231"/>
      <c r="M251" s="232">
        <f t="shared" si="325"/>
        <v>0</v>
      </c>
      <c r="N251" s="231">
        <v>0</v>
      </c>
      <c r="O251" s="231"/>
      <c r="P251" s="231"/>
      <c r="Q251" s="231"/>
      <c r="R251" s="232">
        <f t="shared" si="326"/>
        <v>0</v>
      </c>
    </row>
    <row r="252" spans="1:18" s="29" customFormat="1" ht="12" hidden="1" customHeight="1">
      <c r="A252" s="141" t="s">
        <v>54</v>
      </c>
      <c r="B252" s="112" t="s">
        <v>55</v>
      </c>
      <c r="C252" s="158"/>
      <c r="D252" s="158">
        <v>0</v>
      </c>
      <c r="E252" s="231"/>
      <c r="F252" s="231"/>
      <c r="G252" s="231"/>
      <c r="H252" s="232">
        <f t="shared" si="324"/>
        <v>0</v>
      </c>
      <c r="I252" s="231">
        <v>0</v>
      </c>
      <c r="J252" s="231"/>
      <c r="K252" s="231"/>
      <c r="L252" s="231"/>
      <c r="M252" s="232">
        <f t="shared" si="325"/>
        <v>0</v>
      </c>
      <c r="N252" s="231">
        <v>0</v>
      </c>
      <c r="O252" s="231"/>
      <c r="P252" s="231"/>
      <c r="Q252" s="231"/>
      <c r="R252" s="232">
        <f t="shared" si="326"/>
        <v>0</v>
      </c>
    </row>
    <row r="253" spans="1:18" s="29" customFormat="1" ht="12" hidden="1" customHeight="1">
      <c r="A253" s="141" t="s">
        <v>56</v>
      </c>
      <c r="B253" s="112" t="s">
        <v>57</v>
      </c>
      <c r="C253" s="158">
        <v>0</v>
      </c>
      <c r="D253" s="158">
        <v>0</v>
      </c>
      <c r="E253" s="231">
        <f t="shared" ref="E253:G253" si="441">E254+E255</f>
        <v>0</v>
      </c>
      <c r="F253" s="231">
        <f t="shared" ref="F253" si="442">F254+F255</f>
        <v>0</v>
      </c>
      <c r="G253" s="231">
        <f t="shared" si="441"/>
        <v>0</v>
      </c>
      <c r="H253" s="232">
        <f t="shared" si="324"/>
        <v>0</v>
      </c>
      <c r="I253" s="231">
        <v>0</v>
      </c>
      <c r="J253" s="231">
        <f t="shared" ref="J253:L253" si="443">J254+J255</f>
        <v>0</v>
      </c>
      <c r="K253" s="231">
        <f t="shared" ref="K253" si="444">K254+K255</f>
        <v>0</v>
      </c>
      <c r="L253" s="231">
        <f t="shared" si="443"/>
        <v>0</v>
      </c>
      <c r="M253" s="232">
        <f t="shared" si="325"/>
        <v>0</v>
      </c>
      <c r="N253" s="231">
        <v>0</v>
      </c>
      <c r="O253" s="231">
        <f t="shared" ref="O253:Q253" si="445">O254+O255</f>
        <v>0</v>
      </c>
      <c r="P253" s="231">
        <f t="shared" ref="P253" si="446">P254+P255</f>
        <v>0</v>
      </c>
      <c r="Q253" s="231">
        <f t="shared" si="445"/>
        <v>0</v>
      </c>
      <c r="R253" s="232">
        <f t="shared" si="326"/>
        <v>0</v>
      </c>
    </row>
    <row r="254" spans="1:18" s="29" customFormat="1" ht="12" hidden="1" customHeight="1">
      <c r="A254" s="141" t="s">
        <v>58</v>
      </c>
      <c r="B254" s="112" t="s">
        <v>59</v>
      </c>
      <c r="C254" s="158"/>
      <c r="D254" s="158">
        <v>0</v>
      </c>
      <c r="E254" s="231"/>
      <c r="F254" s="231"/>
      <c r="G254" s="231"/>
      <c r="H254" s="232">
        <f t="shared" si="324"/>
        <v>0</v>
      </c>
      <c r="I254" s="231">
        <v>0</v>
      </c>
      <c r="J254" s="231"/>
      <c r="K254" s="231"/>
      <c r="L254" s="231"/>
      <c r="M254" s="232">
        <f t="shared" si="325"/>
        <v>0</v>
      </c>
      <c r="N254" s="231">
        <v>0</v>
      </c>
      <c r="O254" s="231"/>
      <c r="P254" s="231"/>
      <c r="Q254" s="231"/>
      <c r="R254" s="232">
        <f t="shared" si="326"/>
        <v>0</v>
      </c>
    </row>
    <row r="255" spans="1:18" s="29" customFormat="1" ht="12" hidden="1" customHeight="1">
      <c r="A255" s="141" t="s">
        <v>60</v>
      </c>
      <c r="B255" s="112" t="s">
        <v>61</v>
      </c>
      <c r="C255" s="158"/>
      <c r="D255" s="158">
        <v>0</v>
      </c>
      <c r="E255" s="231"/>
      <c r="F255" s="231"/>
      <c r="G255" s="231"/>
      <c r="H255" s="232">
        <f t="shared" si="324"/>
        <v>0</v>
      </c>
      <c r="I255" s="231">
        <v>0</v>
      </c>
      <c r="J255" s="231"/>
      <c r="K255" s="231"/>
      <c r="L255" s="231"/>
      <c r="M255" s="232">
        <f t="shared" si="325"/>
        <v>0</v>
      </c>
      <c r="N255" s="231">
        <v>0</v>
      </c>
      <c r="O255" s="231"/>
      <c r="P255" s="231"/>
      <c r="Q255" s="231"/>
      <c r="R255" s="232">
        <f t="shared" si="326"/>
        <v>0</v>
      </c>
    </row>
    <row r="256" spans="1:18" s="29" customFormat="1" ht="12" hidden="1" customHeight="1">
      <c r="A256" s="141" t="s">
        <v>198</v>
      </c>
      <c r="B256" s="120" t="s">
        <v>168</v>
      </c>
      <c r="C256" s="158"/>
      <c r="D256" s="158">
        <v>0</v>
      </c>
      <c r="E256" s="231"/>
      <c r="F256" s="231"/>
      <c r="G256" s="231"/>
      <c r="H256" s="232">
        <f t="shared" si="324"/>
        <v>0</v>
      </c>
      <c r="I256" s="231">
        <v>0</v>
      </c>
      <c r="J256" s="231"/>
      <c r="K256" s="231"/>
      <c r="L256" s="231"/>
      <c r="M256" s="232">
        <f t="shared" si="325"/>
        <v>0</v>
      </c>
      <c r="N256" s="231">
        <v>0</v>
      </c>
      <c r="O256" s="231"/>
      <c r="P256" s="231"/>
      <c r="Q256" s="231"/>
      <c r="R256" s="232">
        <f t="shared" si="326"/>
        <v>0</v>
      </c>
    </row>
    <row r="257" spans="1:18" s="29" customFormat="1" ht="12" hidden="1" customHeight="1">
      <c r="A257" s="144" t="s">
        <v>62</v>
      </c>
      <c r="B257" s="101" t="s">
        <v>63</v>
      </c>
      <c r="C257" s="106">
        <v>0</v>
      </c>
      <c r="D257" s="106">
        <v>0</v>
      </c>
      <c r="E257" s="233">
        <f t="shared" ref="E257:G257" si="447">E258+E259+E260</f>
        <v>0</v>
      </c>
      <c r="F257" s="233">
        <f t="shared" ref="F257" si="448">F258+F259+F260</f>
        <v>0</v>
      </c>
      <c r="G257" s="233">
        <f t="shared" si="447"/>
        <v>0</v>
      </c>
      <c r="H257" s="232">
        <f t="shared" si="324"/>
        <v>0</v>
      </c>
      <c r="I257" s="233">
        <v>0</v>
      </c>
      <c r="J257" s="233">
        <f t="shared" ref="J257:L257" si="449">J258+J259+J260</f>
        <v>0</v>
      </c>
      <c r="K257" s="233">
        <f t="shared" ref="K257" si="450">K258+K259+K260</f>
        <v>0</v>
      </c>
      <c r="L257" s="233">
        <f t="shared" si="449"/>
        <v>0</v>
      </c>
      <c r="M257" s="232">
        <f t="shared" si="325"/>
        <v>0</v>
      </c>
      <c r="N257" s="233">
        <v>0</v>
      </c>
      <c r="O257" s="233">
        <f t="shared" ref="O257:Q257" si="451">O258+O259+O260</f>
        <v>0</v>
      </c>
      <c r="P257" s="233">
        <f t="shared" ref="P257" si="452">P258+P259+P260</f>
        <v>0</v>
      </c>
      <c r="Q257" s="233">
        <f t="shared" si="451"/>
        <v>0</v>
      </c>
      <c r="R257" s="232">
        <f t="shared" si="326"/>
        <v>0</v>
      </c>
    </row>
    <row r="258" spans="1:18" s="29" customFormat="1" ht="36" hidden="1" customHeight="1">
      <c r="A258" s="144" t="s">
        <v>64</v>
      </c>
      <c r="B258" s="112" t="s">
        <v>65</v>
      </c>
      <c r="C258" s="158"/>
      <c r="D258" s="158">
        <v>0</v>
      </c>
      <c r="E258" s="231"/>
      <c r="F258" s="231"/>
      <c r="G258" s="231"/>
      <c r="H258" s="232">
        <f t="shared" si="324"/>
        <v>0</v>
      </c>
      <c r="I258" s="231">
        <v>0</v>
      </c>
      <c r="J258" s="231"/>
      <c r="K258" s="231"/>
      <c r="L258" s="231"/>
      <c r="M258" s="232">
        <f t="shared" si="325"/>
        <v>0</v>
      </c>
      <c r="N258" s="231">
        <v>0</v>
      </c>
      <c r="O258" s="231"/>
      <c r="P258" s="231"/>
      <c r="Q258" s="231"/>
      <c r="R258" s="232">
        <f t="shared" si="326"/>
        <v>0</v>
      </c>
    </row>
    <row r="259" spans="1:18" s="29" customFormat="1" ht="24" hidden="1" customHeight="1">
      <c r="A259" s="144" t="s">
        <v>66</v>
      </c>
      <c r="B259" s="112" t="s">
        <v>67</v>
      </c>
      <c r="C259" s="158"/>
      <c r="D259" s="158">
        <v>0</v>
      </c>
      <c r="E259" s="231"/>
      <c r="F259" s="231"/>
      <c r="G259" s="231"/>
      <c r="H259" s="232">
        <f t="shared" si="324"/>
        <v>0</v>
      </c>
      <c r="I259" s="231">
        <v>0</v>
      </c>
      <c r="J259" s="231"/>
      <c r="K259" s="231"/>
      <c r="L259" s="231"/>
      <c r="M259" s="232">
        <f t="shared" si="325"/>
        <v>0</v>
      </c>
      <c r="N259" s="231">
        <v>0</v>
      </c>
      <c r="O259" s="231"/>
      <c r="P259" s="231"/>
      <c r="Q259" s="231"/>
      <c r="R259" s="232">
        <f t="shared" si="326"/>
        <v>0</v>
      </c>
    </row>
    <row r="260" spans="1:18" s="29" customFormat="1" ht="24" hidden="1" customHeight="1">
      <c r="A260" s="144" t="s">
        <v>68</v>
      </c>
      <c r="B260" s="101" t="s">
        <v>69</v>
      </c>
      <c r="C260" s="158"/>
      <c r="D260" s="158">
        <v>0</v>
      </c>
      <c r="E260" s="231"/>
      <c r="F260" s="231"/>
      <c r="G260" s="231"/>
      <c r="H260" s="232">
        <f t="shared" si="324"/>
        <v>0</v>
      </c>
      <c r="I260" s="231">
        <v>0</v>
      </c>
      <c r="J260" s="231"/>
      <c r="K260" s="231"/>
      <c r="L260" s="231"/>
      <c r="M260" s="232">
        <f t="shared" si="325"/>
        <v>0</v>
      </c>
      <c r="N260" s="231">
        <v>0</v>
      </c>
      <c r="O260" s="231"/>
      <c r="P260" s="231"/>
      <c r="Q260" s="231"/>
      <c r="R260" s="232">
        <f t="shared" si="326"/>
        <v>0</v>
      </c>
    </row>
    <row r="261" spans="1:18" s="29" customFormat="1" ht="12">
      <c r="A261" s="271"/>
      <c r="B261" s="272"/>
      <c r="C261" s="253"/>
      <c r="D261" s="254"/>
      <c r="E261" s="253"/>
      <c r="F261" s="253"/>
      <c r="G261" s="253"/>
      <c r="H261" s="232"/>
      <c r="I261" s="254"/>
      <c r="J261" s="253"/>
      <c r="K261" s="253"/>
      <c r="L261" s="253"/>
      <c r="M261" s="232"/>
      <c r="N261" s="254"/>
      <c r="O261" s="253"/>
      <c r="P261" s="253"/>
      <c r="Q261" s="253"/>
      <c r="R261" s="232"/>
    </row>
    <row r="262" spans="1:18" ht="12">
      <c r="A262" s="33"/>
      <c r="B262" s="164"/>
      <c r="C262" s="165"/>
      <c r="D262" s="163"/>
      <c r="E262" s="165"/>
      <c r="F262" s="163"/>
      <c r="G262" s="163"/>
      <c r="H262" s="163"/>
      <c r="I262" s="163"/>
      <c r="J262" s="165"/>
      <c r="K262" s="163"/>
      <c r="L262" s="163"/>
      <c r="M262" s="163"/>
      <c r="N262" s="163"/>
      <c r="O262" s="165"/>
      <c r="P262" s="163"/>
      <c r="Q262" s="163"/>
      <c r="R262" s="163"/>
    </row>
    <row r="263" spans="1:18" ht="12">
      <c r="A263" s="33"/>
      <c r="B263" s="164"/>
      <c r="C263" s="165"/>
      <c r="D263" s="163"/>
      <c r="E263" s="165"/>
      <c r="F263" s="163"/>
      <c r="G263" s="163"/>
      <c r="H263" s="163"/>
      <c r="I263" s="163"/>
      <c r="J263" s="165"/>
      <c r="K263" s="163"/>
      <c r="L263" s="163"/>
      <c r="M263" s="163"/>
      <c r="N263" s="163"/>
      <c r="O263" s="165"/>
      <c r="P263" s="163"/>
      <c r="Q263" s="163"/>
      <c r="R263" s="163"/>
    </row>
    <row r="264" spans="1:18" ht="13.2">
      <c r="A264" s="369" t="s">
        <v>236</v>
      </c>
      <c r="B264" s="370" t="s">
        <v>237</v>
      </c>
      <c r="C264" s="165"/>
      <c r="D264" s="163"/>
      <c r="E264" s="165"/>
      <c r="F264" s="163"/>
      <c r="G264" s="163"/>
      <c r="H264" s="163"/>
      <c r="I264" s="163"/>
      <c r="J264" s="165"/>
      <c r="K264" s="163"/>
      <c r="L264" s="163"/>
      <c r="M264" s="163"/>
      <c r="N264" s="163"/>
      <c r="O264" s="165"/>
      <c r="P264" s="163"/>
      <c r="Q264" s="163"/>
      <c r="R264" s="163"/>
    </row>
    <row r="265" spans="1:18" ht="13.2">
      <c r="A265" s="371"/>
      <c r="B265" s="372" t="s">
        <v>238</v>
      </c>
      <c r="C265" s="165"/>
      <c r="D265" s="163"/>
      <c r="E265" s="165"/>
      <c r="F265" s="163"/>
      <c r="G265" s="163"/>
      <c r="H265" s="163"/>
      <c r="I265" s="163"/>
      <c r="J265" s="165"/>
      <c r="K265" s="163"/>
      <c r="L265" s="163"/>
      <c r="M265" s="163"/>
      <c r="N265" s="163"/>
      <c r="O265" s="165"/>
      <c r="P265" s="163"/>
      <c r="Q265" s="163"/>
      <c r="R265" s="163"/>
    </row>
    <row r="266" spans="1:18" ht="13.2">
      <c r="A266" s="373" t="s">
        <v>223</v>
      </c>
      <c r="B266" s="374" t="s">
        <v>434</v>
      </c>
      <c r="C266" s="165"/>
      <c r="D266" s="163"/>
      <c r="E266" s="165"/>
      <c r="F266" s="163"/>
      <c r="G266" s="163"/>
      <c r="H266" s="163"/>
      <c r="I266" s="163"/>
      <c r="J266" s="165"/>
      <c r="K266" s="163"/>
      <c r="L266" s="163"/>
      <c r="M266" s="163"/>
      <c r="N266" s="163"/>
      <c r="O266" s="165"/>
      <c r="P266" s="163"/>
      <c r="Q266" s="163"/>
      <c r="R266" s="163"/>
    </row>
    <row r="267" spans="1:18" ht="13.2">
      <c r="A267" s="375" t="s">
        <v>240</v>
      </c>
      <c r="B267" s="376" t="s">
        <v>241</v>
      </c>
      <c r="C267" s="165"/>
      <c r="D267" s="163"/>
      <c r="E267" s="165"/>
      <c r="F267" s="163"/>
      <c r="G267" s="163"/>
      <c r="H267" s="163"/>
      <c r="I267" s="163"/>
      <c r="J267" s="165"/>
      <c r="K267" s="163"/>
      <c r="L267" s="163"/>
      <c r="M267" s="163"/>
      <c r="N267" s="163"/>
      <c r="O267" s="165"/>
      <c r="P267" s="163"/>
      <c r="Q267" s="163"/>
      <c r="R267" s="163"/>
    </row>
    <row r="268" spans="1:18" ht="13.2">
      <c r="A268" s="377"/>
      <c r="B268" s="376"/>
      <c r="C268" s="165"/>
      <c r="D268" s="163"/>
      <c r="E268" s="165"/>
      <c r="F268" s="163"/>
      <c r="G268" s="163"/>
      <c r="H268" s="163"/>
      <c r="I268" s="163"/>
      <c r="J268" s="165"/>
      <c r="K268" s="163"/>
      <c r="L268" s="163"/>
      <c r="M268" s="163"/>
      <c r="N268" s="163"/>
      <c r="O268" s="165"/>
      <c r="P268" s="163"/>
      <c r="Q268" s="163"/>
      <c r="R268" s="163"/>
    </row>
    <row r="269" spans="1:18" ht="13.2">
      <c r="A269" s="378" t="s">
        <v>224</v>
      </c>
      <c r="B269" s="374" t="s">
        <v>242</v>
      </c>
      <c r="C269" s="165"/>
      <c r="D269" s="163"/>
      <c r="E269" s="165"/>
      <c r="F269" s="163"/>
      <c r="G269" s="163"/>
      <c r="H269" s="163"/>
      <c r="I269" s="163"/>
      <c r="J269" s="165"/>
      <c r="K269" s="163"/>
      <c r="L269" s="163"/>
      <c r="M269" s="163"/>
      <c r="N269" s="163"/>
      <c r="O269" s="165"/>
      <c r="P269" s="163"/>
      <c r="Q269" s="163"/>
      <c r="R269" s="163"/>
    </row>
    <row r="270" spans="1:18" ht="13.2">
      <c r="A270" s="375" t="s">
        <v>243</v>
      </c>
      <c r="B270" s="376" t="s">
        <v>244</v>
      </c>
      <c r="C270" s="165"/>
      <c r="D270" s="163"/>
      <c r="E270" s="165"/>
      <c r="F270" s="163"/>
      <c r="G270" s="163"/>
      <c r="H270" s="163"/>
      <c r="I270" s="163"/>
      <c r="J270" s="165"/>
      <c r="K270" s="163"/>
      <c r="L270" s="163"/>
      <c r="M270" s="163"/>
      <c r="N270" s="163"/>
      <c r="O270" s="165"/>
      <c r="P270" s="163"/>
      <c r="Q270" s="163"/>
      <c r="R270" s="163"/>
    </row>
    <row r="271" spans="1:18" ht="13.2">
      <c r="A271" s="377"/>
      <c r="B271" s="376"/>
      <c r="C271" s="165"/>
      <c r="D271" s="163"/>
      <c r="E271" s="165"/>
      <c r="F271" s="163"/>
      <c r="G271" s="163"/>
      <c r="H271" s="163"/>
      <c r="I271" s="163"/>
      <c r="J271" s="165"/>
      <c r="K271" s="163"/>
      <c r="L271" s="163"/>
      <c r="M271" s="163"/>
      <c r="N271" s="163"/>
      <c r="O271" s="165"/>
      <c r="P271" s="163"/>
      <c r="Q271" s="163"/>
      <c r="R271" s="163"/>
    </row>
    <row r="272" spans="1:18" ht="13.2">
      <c r="A272" s="369" t="s">
        <v>245</v>
      </c>
      <c r="B272" s="370" t="s">
        <v>140</v>
      </c>
      <c r="C272" s="165"/>
      <c r="D272" s="163"/>
      <c r="E272" s="165"/>
      <c r="F272" s="163"/>
      <c r="G272" s="163"/>
      <c r="H272" s="163"/>
      <c r="I272" s="163"/>
      <c r="J272" s="165"/>
      <c r="K272" s="163"/>
      <c r="L272" s="163"/>
      <c r="M272" s="163"/>
      <c r="N272" s="163"/>
      <c r="O272" s="165"/>
      <c r="P272" s="163"/>
      <c r="Q272" s="163"/>
      <c r="R272" s="163"/>
    </row>
    <row r="273" spans="1:18" ht="13.2">
      <c r="A273" s="371"/>
      <c r="B273" s="372" t="s">
        <v>238</v>
      </c>
      <c r="C273" s="165"/>
      <c r="D273" s="163"/>
      <c r="E273" s="165"/>
      <c r="F273" s="163"/>
      <c r="G273" s="163"/>
      <c r="H273" s="163"/>
      <c r="I273" s="163"/>
      <c r="J273" s="165"/>
      <c r="K273" s="163"/>
      <c r="L273" s="163"/>
      <c r="M273" s="163"/>
      <c r="N273" s="163"/>
      <c r="O273" s="165"/>
      <c r="P273" s="163"/>
      <c r="Q273" s="163"/>
      <c r="R273" s="163"/>
    </row>
    <row r="274" spans="1:18" ht="13.2">
      <c r="A274" s="373" t="s">
        <v>223</v>
      </c>
      <c r="B274" s="374" t="s">
        <v>434</v>
      </c>
      <c r="C274" s="165"/>
      <c r="D274" s="163"/>
      <c r="E274" s="165"/>
      <c r="F274" s="163"/>
      <c r="G274" s="163"/>
      <c r="H274" s="163"/>
      <c r="I274" s="163"/>
      <c r="J274" s="165"/>
      <c r="K274" s="163"/>
      <c r="L274" s="163"/>
      <c r="M274" s="163"/>
      <c r="N274" s="163"/>
      <c r="O274" s="165"/>
      <c r="P274" s="163"/>
      <c r="Q274" s="163"/>
      <c r="R274" s="163"/>
    </row>
    <row r="275" spans="1:18" ht="13.2">
      <c r="A275" s="375" t="s">
        <v>240</v>
      </c>
      <c r="B275" s="376" t="s">
        <v>241</v>
      </c>
      <c r="C275" s="165"/>
      <c r="D275" s="163"/>
      <c r="E275" s="165"/>
      <c r="F275" s="163"/>
      <c r="G275" s="163"/>
      <c r="H275" s="163"/>
      <c r="I275" s="163"/>
      <c r="J275" s="165"/>
      <c r="K275" s="163"/>
      <c r="L275" s="163"/>
      <c r="M275" s="163"/>
      <c r="N275" s="163"/>
      <c r="O275" s="165"/>
      <c r="P275" s="163"/>
      <c r="Q275" s="163"/>
      <c r="R275" s="163"/>
    </row>
    <row r="276" spans="1:18" ht="13.2">
      <c r="A276" s="377"/>
      <c r="B276" s="376"/>
      <c r="C276" s="165"/>
      <c r="D276" s="163"/>
      <c r="E276" s="165"/>
      <c r="F276" s="163"/>
      <c r="G276" s="163"/>
      <c r="H276" s="163"/>
      <c r="I276" s="163"/>
      <c r="J276" s="165"/>
      <c r="K276" s="163"/>
      <c r="L276" s="163"/>
      <c r="M276" s="163"/>
      <c r="N276" s="163"/>
      <c r="O276" s="165"/>
      <c r="P276" s="163"/>
      <c r="Q276" s="163"/>
      <c r="R276" s="163"/>
    </row>
    <row r="277" spans="1:18" ht="13.2">
      <c r="A277" s="378" t="s">
        <v>224</v>
      </c>
      <c r="B277" s="374" t="s">
        <v>242</v>
      </c>
      <c r="C277" s="165"/>
      <c r="D277" s="163"/>
      <c r="E277" s="165"/>
      <c r="F277" s="163"/>
      <c r="G277" s="163"/>
      <c r="H277" s="163"/>
      <c r="I277" s="163"/>
      <c r="J277" s="165"/>
      <c r="K277" s="163"/>
      <c r="L277" s="163"/>
      <c r="M277" s="163"/>
      <c r="N277" s="163"/>
      <c r="O277" s="165"/>
      <c r="P277" s="163"/>
      <c r="Q277" s="163"/>
      <c r="R277" s="163"/>
    </row>
    <row r="278" spans="1:18" ht="13.2">
      <c r="A278" s="375" t="s">
        <v>243</v>
      </c>
      <c r="B278" s="376" t="s">
        <v>244</v>
      </c>
      <c r="C278" s="165"/>
      <c r="D278" s="163"/>
      <c r="E278" s="165"/>
      <c r="F278" s="163"/>
      <c r="G278" s="163"/>
      <c r="H278" s="163"/>
      <c r="I278" s="163"/>
      <c r="J278" s="165"/>
      <c r="K278" s="163"/>
      <c r="L278" s="163"/>
      <c r="M278" s="163"/>
      <c r="N278" s="163"/>
      <c r="O278" s="165"/>
      <c r="P278" s="163"/>
      <c r="Q278" s="163"/>
      <c r="R278" s="163"/>
    </row>
    <row r="279" spans="1:18" ht="12">
      <c r="A279" s="33"/>
      <c r="B279" s="34"/>
      <c r="C279" s="165"/>
      <c r="D279" s="163"/>
      <c r="E279" s="165"/>
      <c r="F279" s="163"/>
      <c r="G279" s="163"/>
      <c r="H279" s="163"/>
      <c r="I279" s="163"/>
      <c r="J279" s="165"/>
      <c r="K279" s="163"/>
      <c r="L279" s="163"/>
      <c r="M279" s="163"/>
      <c r="N279" s="163"/>
      <c r="O279" s="165"/>
      <c r="P279" s="163"/>
      <c r="Q279" s="163"/>
      <c r="R279" s="163"/>
    </row>
    <row r="280" spans="1:18" ht="12">
      <c r="A280" s="33"/>
      <c r="B280" s="34"/>
      <c r="C280" s="165"/>
      <c r="D280" s="163"/>
      <c r="E280" s="165"/>
      <c r="F280" s="163"/>
      <c r="G280" s="163"/>
      <c r="H280" s="163"/>
      <c r="I280" s="163"/>
      <c r="J280" s="165"/>
      <c r="K280" s="163"/>
      <c r="L280" s="163"/>
      <c r="M280" s="163"/>
      <c r="N280" s="163"/>
      <c r="O280" s="165"/>
      <c r="P280" s="163"/>
      <c r="Q280" s="163"/>
      <c r="R280" s="163"/>
    </row>
    <row r="281" spans="1:18" ht="12">
      <c r="A281" s="33"/>
      <c r="B281" s="31"/>
      <c r="C281" s="165"/>
      <c r="D281" s="163"/>
      <c r="E281" s="165"/>
      <c r="F281" s="163"/>
      <c r="G281" s="163"/>
      <c r="H281" s="163"/>
      <c r="I281" s="163"/>
      <c r="J281" s="165"/>
      <c r="K281" s="163"/>
      <c r="L281" s="163"/>
      <c r="M281" s="163"/>
      <c r="N281" s="163"/>
      <c r="O281" s="165"/>
      <c r="P281" s="163"/>
      <c r="Q281" s="163"/>
      <c r="R281" s="163"/>
    </row>
    <row r="282" spans="1:18" ht="12">
      <c r="A282" s="33"/>
      <c r="B282" s="34"/>
      <c r="C282" s="35"/>
      <c r="D282" s="33"/>
      <c r="E282" s="165"/>
      <c r="F282" s="163"/>
      <c r="G282" s="163"/>
      <c r="H282" s="163"/>
      <c r="I282" s="163"/>
      <c r="J282" s="165"/>
      <c r="K282" s="163"/>
      <c r="L282" s="163"/>
      <c r="M282" s="163"/>
      <c r="N282" s="163"/>
      <c r="O282" s="165"/>
      <c r="P282" s="163"/>
      <c r="Q282" s="163"/>
      <c r="R282" s="163"/>
    </row>
    <row r="283" spans="1:18" ht="12">
      <c r="A283" s="33"/>
      <c r="B283" s="34"/>
      <c r="C283" s="35"/>
      <c r="D283" s="33"/>
      <c r="E283" s="165"/>
      <c r="F283" s="163"/>
      <c r="G283" s="163"/>
      <c r="H283" s="163"/>
      <c r="I283" s="163"/>
      <c r="J283" s="165"/>
      <c r="K283" s="163"/>
      <c r="L283" s="163"/>
      <c r="M283" s="163"/>
      <c r="N283" s="163"/>
      <c r="O283" s="165"/>
      <c r="P283" s="163"/>
      <c r="Q283" s="163"/>
      <c r="R283" s="163"/>
    </row>
    <row r="284" spans="1:18" ht="12">
      <c r="A284" s="33"/>
      <c r="B284" s="34"/>
      <c r="C284" s="35"/>
      <c r="D284" s="33"/>
      <c r="E284" s="165"/>
      <c r="F284" s="163"/>
      <c r="G284" s="163"/>
      <c r="H284" s="163"/>
      <c r="I284" s="163"/>
      <c r="J284" s="165"/>
      <c r="K284" s="163"/>
      <c r="L284" s="163"/>
      <c r="M284" s="163"/>
      <c r="N284" s="163"/>
      <c r="O284" s="165"/>
      <c r="P284" s="163"/>
      <c r="Q284" s="163"/>
      <c r="R284" s="163"/>
    </row>
    <row r="285" spans="1:18" ht="12">
      <c r="A285" s="33"/>
      <c r="B285" s="34"/>
      <c r="C285" s="35"/>
      <c r="D285" s="33"/>
      <c r="E285" s="165"/>
      <c r="F285" s="163"/>
      <c r="G285" s="163"/>
      <c r="H285" s="163"/>
      <c r="I285" s="163"/>
      <c r="J285" s="165"/>
      <c r="K285" s="163"/>
      <c r="L285" s="163"/>
      <c r="M285" s="163"/>
      <c r="N285" s="163"/>
      <c r="O285" s="165"/>
      <c r="P285" s="163"/>
      <c r="Q285" s="163"/>
      <c r="R285" s="163"/>
    </row>
    <row r="286" spans="1:18" ht="12">
      <c r="A286" s="33"/>
      <c r="B286" s="34"/>
      <c r="C286" s="35"/>
      <c r="D286" s="33"/>
      <c r="E286" s="165"/>
      <c r="F286" s="163"/>
      <c r="G286" s="163"/>
      <c r="H286" s="163"/>
      <c r="I286" s="163"/>
      <c r="J286" s="165"/>
      <c r="K286" s="163"/>
      <c r="L286" s="163"/>
      <c r="M286" s="163"/>
      <c r="N286" s="163"/>
      <c r="O286" s="165"/>
      <c r="P286" s="163"/>
      <c r="Q286" s="163"/>
      <c r="R286" s="163"/>
    </row>
    <row r="287" spans="1:18" ht="12">
      <c r="A287" s="33"/>
      <c r="B287" s="34"/>
      <c r="C287" s="35"/>
      <c r="D287" s="33"/>
      <c r="E287" s="165"/>
      <c r="F287" s="163"/>
      <c r="G287" s="163"/>
      <c r="H287" s="163"/>
      <c r="I287" s="163"/>
      <c r="J287" s="165"/>
      <c r="K287" s="163"/>
      <c r="L287" s="163"/>
      <c r="M287" s="163"/>
      <c r="N287" s="163"/>
      <c r="O287" s="165"/>
      <c r="P287" s="163"/>
      <c r="Q287" s="163"/>
      <c r="R287" s="163"/>
    </row>
    <row r="288" spans="1:18" ht="12">
      <c r="A288" s="33"/>
      <c r="B288" s="34"/>
      <c r="C288" s="35"/>
      <c r="D288" s="33"/>
      <c r="E288" s="165"/>
      <c r="F288" s="163"/>
      <c r="G288" s="163"/>
      <c r="H288" s="163"/>
      <c r="I288" s="163"/>
      <c r="J288" s="165"/>
      <c r="K288" s="163"/>
      <c r="L288" s="163"/>
      <c r="M288" s="163"/>
      <c r="N288" s="163"/>
      <c r="O288" s="165"/>
      <c r="P288" s="163"/>
      <c r="Q288" s="163"/>
      <c r="R288" s="163"/>
    </row>
    <row r="289" spans="1:18" ht="12">
      <c r="A289" s="33"/>
      <c r="B289" s="34"/>
      <c r="C289" s="35"/>
      <c r="D289" s="33"/>
      <c r="E289" s="165"/>
      <c r="F289" s="163"/>
      <c r="G289" s="163"/>
      <c r="H289" s="163"/>
      <c r="I289" s="163"/>
      <c r="J289" s="165"/>
      <c r="K289" s="163"/>
      <c r="L289" s="163"/>
      <c r="M289" s="163"/>
      <c r="N289" s="163"/>
      <c r="O289" s="165"/>
      <c r="P289" s="163"/>
      <c r="Q289" s="163"/>
      <c r="R289" s="163"/>
    </row>
    <row r="290" spans="1:18" ht="12">
      <c r="A290" s="33"/>
      <c r="B290" s="34"/>
      <c r="C290" s="35"/>
      <c r="D290" s="33"/>
      <c r="E290" s="165"/>
      <c r="F290" s="163"/>
      <c r="G290" s="163"/>
      <c r="H290" s="163"/>
      <c r="I290" s="163"/>
      <c r="J290" s="165"/>
      <c r="K290" s="163"/>
      <c r="L290" s="163"/>
      <c r="M290" s="163"/>
      <c r="N290" s="163"/>
      <c r="O290" s="165"/>
      <c r="P290" s="163"/>
      <c r="Q290" s="163"/>
      <c r="R290" s="163"/>
    </row>
    <row r="291" spans="1:18" ht="12">
      <c r="A291" s="33"/>
      <c r="B291" s="34"/>
      <c r="C291" s="35"/>
      <c r="D291" s="33"/>
      <c r="E291" s="165"/>
      <c r="F291" s="163"/>
      <c r="G291" s="163"/>
      <c r="H291" s="163"/>
      <c r="I291" s="163"/>
      <c r="J291" s="165"/>
      <c r="K291" s="163"/>
      <c r="L291" s="163"/>
      <c r="M291" s="163"/>
      <c r="N291" s="163"/>
      <c r="O291" s="165"/>
      <c r="P291" s="163"/>
      <c r="Q291" s="163"/>
      <c r="R291" s="163"/>
    </row>
    <row r="292" spans="1:18" ht="12">
      <c r="A292" s="33"/>
      <c r="B292" s="34"/>
      <c r="C292" s="35"/>
      <c r="D292" s="33"/>
      <c r="E292" s="165"/>
      <c r="F292" s="163"/>
      <c r="G292" s="163"/>
      <c r="H292" s="163"/>
      <c r="I292" s="163"/>
      <c r="J292" s="165"/>
      <c r="K292" s="163"/>
      <c r="L292" s="163"/>
      <c r="M292" s="163"/>
      <c r="N292" s="163"/>
      <c r="O292" s="165"/>
      <c r="P292" s="163"/>
      <c r="Q292" s="163"/>
      <c r="R292" s="163"/>
    </row>
    <row r="293" spans="1:18" ht="12">
      <c r="A293" s="33"/>
      <c r="B293" s="34"/>
      <c r="C293" s="35"/>
      <c r="D293" s="33"/>
      <c r="E293" s="165"/>
      <c r="F293" s="163"/>
      <c r="G293" s="163"/>
      <c r="H293" s="163"/>
      <c r="I293" s="163"/>
      <c r="J293" s="165"/>
      <c r="K293" s="163"/>
      <c r="L293" s="163"/>
      <c r="M293" s="163"/>
      <c r="N293" s="163"/>
      <c r="O293" s="165"/>
      <c r="P293" s="163"/>
      <c r="Q293" s="163"/>
      <c r="R293" s="163"/>
    </row>
    <row r="294" spans="1:18" ht="12">
      <c r="A294" s="33"/>
      <c r="B294" s="34"/>
      <c r="C294" s="35"/>
      <c r="D294" s="33"/>
      <c r="E294" s="165"/>
      <c r="F294" s="163"/>
      <c r="G294" s="163"/>
      <c r="H294" s="163"/>
      <c r="I294" s="163"/>
      <c r="J294" s="165"/>
      <c r="K294" s="163"/>
      <c r="L294" s="163"/>
      <c r="M294" s="163"/>
      <c r="N294" s="163"/>
      <c r="O294" s="165"/>
      <c r="P294" s="163"/>
      <c r="Q294" s="163"/>
      <c r="R294" s="163"/>
    </row>
    <row r="295" spans="1:18" ht="12">
      <c r="A295" s="33"/>
      <c r="B295" s="34"/>
      <c r="C295" s="35"/>
      <c r="D295" s="33"/>
      <c r="E295" s="165"/>
      <c r="F295" s="163"/>
      <c r="G295" s="163"/>
      <c r="H295" s="163"/>
      <c r="I295" s="163"/>
      <c r="J295" s="165"/>
      <c r="K295" s="163"/>
      <c r="L295" s="163"/>
      <c r="M295" s="163"/>
      <c r="N295" s="163"/>
      <c r="O295" s="165"/>
      <c r="P295" s="163"/>
      <c r="Q295" s="163"/>
      <c r="R295" s="163"/>
    </row>
    <row r="296" spans="1:18" ht="12">
      <c r="A296" s="33"/>
      <c r="B296" s="34"/>
      <c r="C296" s="35"/>
      <c r="D296" s="33"/>
      <c r="E296" s="165"/>
      <c r="F296" s="163"/>
      <c r="G296" s="163"/>
      <c r="H296" s="163"/>
      <c r="I296" s="163"/>
      <c r="J296" s="165"/>
      <c r="K296" s="163"/>
      <c r="L296" s="163"/>
      <c r="M296" s="163"/>
      <c r="N296" s="163"/>
      <c r="O296" s="165"/>
      <c r="P296" s="163"/>
      <c r="Q296" s="163"/>
      <c r="R296" s="163"/>
    </row>
    <row r="297" spans="1:18" ht="12">
      <c r="A297" s="33"/>
      <c r="B297" s="34"/>
      <c r="C297" s="35"/>
      <c r="D297" s="33"/>
      <c r="E297" s="165"/>
      <c r="F297" s="163"/>
      <c r="G297" s="163"/>
      <c r="H297" s="163"/>
      <c r="I297" s="163"/>
      <c r="J297" s="165"/>
      <c r="K297" s="163"/>
      <c r="L297" s="163"/>
      <c r="M297" s="163"/>
      <c r="N297" s="163"/>
      <c r="O297" s="165"/>
      <c r="P297" s="163"/>
      <c r="Q297" s="163"/>
      <c r="R297" s="163"/>
    </row>
    <row r="298" spans="1:18" ht="12">
      <c r="A298" s="33"/>
      <c r="B298" s="34"/>
      <c r="C298" s="35"/>
      <c r="D298" s="33"/>
      <c r="E298" s="165"/>
      <c r="F298" s="163"/>
      <c r="G298" s="163"/>
      <c r="H298" s="163"/>
      <c r="I298" s="163"/>
      <c r="J298" s="165"/>
      <c r="K298" s="163"/>
      <c r="L298" s="163"/>
      <c r="M298" s="163"/>
      <c r="N298" s="163"/>
      <c r="O298" s="165"/>
      <c r="P298" s="163"/>
      <c r="Q298" s="163"/>
      <c r="R298" s="163"/>
    </row>
    <row r="299" spans="1:18" ht="12">
      <c r="A299" s="33"/>
      <c r="B299" s="34"/>
      <c r="C299" s="35"/>
      <c r="D299" s="33"/>
      <c r="E299" s="165"/>
      <c r="F299" s="163"/>
      <c r="G299" s="163"/>
      <c r="H299" s="163"/>
      <c r="I299" s="163"/>
      <c r="J299" s="165"/>
      <c r="K299" s="163"/>
      <c r="L299" s="163"/>
      <c r="M299" s="163"/>
      <c r="N299" s="163"/>
      <c r="O299" s="165"/>
      <c r="P299" s="163"/>
      <c r="Q299" s="163"/>
      <c r="R299" s="163"/>
    </row>
    <row r="300" spans="1:18" ht="12">
      <c r="A300" s="33"/>
      <c r="B300" s="34"/>
      <c r="C300" s="35"/>
      <c r="D300" s="33"/>
      <c r="E300" s="165"/>
      <c r="F300" s="163"/>
      <c r="G300" s="163"/>
      <c r="H300" s="163"/>
      <c r="I300" s="163"/>
      <c r="J300" s="165"/>
      <c r="K300" s="163"/>
      <c r="L300" s="163"/>
      <c r="M300" s="163"/>
      <c r="N300" s="163"/>
      <c r="O300" s="165"/>
      <c r="P300" s="163"/>
      <c r="Q300" s="163"/>
      <c r="R300" s="163"/>
    </row>
    <row r="301" spans="1:18" ht="12">
      <c r="A301" s="33"/>
      <c r="B301" s="34"/>
      <c r="C301" s="35"/>
      <c r="D301" s="33"/>
      <c r="E301" s="165"/>
      <c r="F301" s="163"/>
      <c r="G301" s="163"/>
      <c r="H301" s="163"/>
      <c r="I301" s="163"/>
      <c r="J301" s="165"/>
      <c r="K301" s="163"/>
      <c r="L301" s="163"/>
      <c r="M301" s="163"/>
      <c r="N301" s="163"/>
      <c r="O301" s="165"/>
      <c r="P301" s="163"/>
      <c r="Q301" s="163"/>
      <c r="R301" s="163"/>
    </row>
    <row r="302" spans="1:18" ht="12">
      <c r="A302" s="33"/>
      <c r="B302" s="34"/>
      <c r="C302" s="35"/>
      <c r="D302" s="33"/>
      <c r="E302" s="165"/>
      <c r="F302" s="163"/>
      <c r="G302" s="163"/>
      <c r="H302" s="163"/>
      <c r="I302" s="163"/>
      <c r="J302" s="165"/>
      <c r="K302" s="163"/>
      <c r="L302" s="163"/>
      <c r="M302" s="163"/>
      <c r="N302" s="163"/>
      <c r="O302" s="165"/>
      <c r="P302" s="163"/>
      <c r="Q302" s="163"/>
      <c r="R302" s="163"/>
    </row>
    <row r="303" spans="1:18" ht="12">
      <c r="A303" s="33"/>
      <c r="B303" s="34"/>
      <c r="C303" s="35"/>
      <c r="D303" s="33"/>
      <c r="E303" s="165"/>
      <c r="F303" s="163"/>
      <c r="G303" s="163"/>
      <c r="H303" s="163"/>
      <c r="I303" s="163"/>
      <c r="J303" s="165"/>
      <c r="K303" s="163"/>
      <c r="L303" s="163"/>
      <c r="M303" s="163"/>
      <c r="N303" s="163"/>
      <c r="O303" s="165"/>
      <c r="P303" s="163"/>
      <c r="Q303" s="163"/>
      <c r="R303" s="163"/>
    </row>
    <row r="304" spans="1:18" ht="12">
      <c r="A304" s="33"/>
      <c r="B304" s="34"/>
      <c r="C304" s="35"/>
      <c r="D304" s="33"/>
      <c r="E304" s="165"/>
      <c r="F304" s="163"/>
      <c r="G304" s="163"/>
      <c r="H304" s="163"/>
      <c r="I304" s="163"/>
      <c r="J304" s="165"/>
      <c r="K304" s="163"/>
      <c r="L304" s="163"/>
      <c r="M304" s="163"/>
      <c r="N304" s="163"/>
      <c r="O304" s="165"/>
      <c r="P304" s="163"/>
      <c r="Q304" s="163"/>
      <c r="R304" s="163"/>
    </row>
    <row r="305" spans="1:18" ht="12">
      <c r="A305" s="33"/>
      <c r="B305" s="34"/>
      <c r="C305" s="35"/>
      <c r="D305" s="33"/>
      <c r="E305" s="165"/>
      <c r="F305" s="163"/>
      <c r="G305" s="163"/>
      <c r="H305" s="163"/>
      <c r="I305" s="163"/>
      <c r="J305" s="165"/>
      <c r="K305" s="163"/>
      <c r="L305" s="163"/>
      <c r="M305" s="163"/>
      <c r="N305" s="163"/>
      <c r="O305" s="165"/>
      <c r="P305" s="163"/>
      <c r="Q305" s="163"/>
      <c r="R305" s="163"/>
    </row>
    <row r="306" spans="1:18" ht="12">
      <c r="A306" s="33"/>
      <c r="B306" s="34"/>
      <c r="C306" s="35"/>
      <c r="D306" s="33"/>
      <c r="E306" s="165"/>
      <c r="F306" s="163"/>
      <c r="G306" s="163"/>
      <c r="H306" s="163"/>
      <c r="I306" s="163"/>
      <c r="J306" s="165"/>
      <c r="K306" s="163"/>
      <c r="L306" s="163"/>
      <c r="M306" s="163"/>
      <c r="N306" s="163"/>
      <c r="O306" s="165"/>
      <c r="P306" s="163"/>
      <c r="Q306" s="163"/>
      <c r="R306" s="163"/>
    </row>
    <row r="307" spans="1:18" ht="12">
      <c r="A307" s="33"/>
      <c r="B307" s="34"/>
      <c r="C307" s="35"/>
      <c r="D307" s="33"/>
      <c r="E307" s="165"/>
      <c r="F307" s="163"/>
      <c r="G307" s="163"/>
      <c r="H307" s="163"/>
      <c r="I307" s="163"/>
      <c r="J307" s="165"/>
      <c r="K307" s="163"/>
      <c r="L307" s="163"/>
      <c r="M307" s="163"/>
      <c r="N307" s="163"/>
      <c r="O307" s="165"/>
      <c r="P307" s="163"/>
      <c r="Q307" s="163"/>
      <c r="R307" s="163"/>
    </row>
    <row r="308" spans="1:18" ht="12">
      <c r="A308" s="33"/>
      <c r="B308" s="34"/>
      <c r="C308" s="35"/>
      <c r="D308" s="33"/>
      <c r="E308" s="165"/>
      <c r="F308" s="163"/>
      <c r="G308" s="163"/>
      <c r="H308" s="163"/>
      <c r="I308" s="163"/>
      <c r="J308" s="165"/>
      <c r="K308" s="163"/>
      <c r="L308" s="163"/>
      <c r="M308" s="163"/>
      <c r="N308" s="163"/>
      <c r="O308" s="165"/>
      <c r="P308" s="163"/>
      <c r="Q308" s="163"/>
      <c r="R308" s="163"/>
    </row>
    <row r="309" spans="1:18" ht="12">
      <c r="A309" s="33"/>
      <c r="B309" s="34"/>
      <c r="C309" s="35"/>
      <c r="D309" s="33"/>
      <c r="E309" s="165"/>
      <c r="F309" s="163"/>
      <c r="G309" s="163"/>
      <c r="H309" s="163"/>
      <c r="I309" s="163"/>
      <c r="J309" s="165"/>
      <c r="K309" s="163"/>
      <c r="L309" s="163"/>
      <c r="M309" s="163"/>
      <c r="N309" s="163"/>
      <c r="O309" s="165"/>
      <c r="P309" s="163"/>
      <c r="Q309" s="163"/>
      <c r="R309" s="163"/>
    </row>
    <row r="310" spans="1:18" ht="12">
      <c r="A310" s="33"/>
      <c r="B310" s="34"/>
      <c r="C310" s="35"/>
      <c r="D310" s="33"/>
      <c r="E310" s="165"/>
      <c r="F310" s="163"/>
      <c r="G310" s="163"/>
      <c r="H310" s="163"/>
      <c r="I310" s="163"/>
      <c r="J310" s="165"/>
      <c r="K310" s="163"/>
      <c r="L310" s="163"/>
      <c r="M310" s="163"/>
      <c r="N310" s="163"/>
      <c r="O310" s="165"/>
      <c r="P310" s="163"/>
      <c r="Q310" s="163"/>
      <c r="R310" s="163"/>
    </row>
    <row r="311" spans="1:18" ht="12">
      <c r="A311" s="33"/>
      <c r="B311" s="34"/>
      <c r="C311" s="35"/>
      <c r="D311" s="33"/>
      <c r="E311" s="165"/>
      <c r="F311" s="163"/>
      <c r="G311" s="163"/>
      <c r="H311" s="163"/>
      <c r="I311" s="163"/>
      <c r="J311" s="165"/>
      <c r="K311" s="163"/>
      <c r="L311" s="163"/>
      <c r="M311" s="163"/>
      <c r="N311" s="163"/>
      <c r="O311" s="165"/>
      <c r="P311" s="163"/>
      <c r="Q311" s="163"/>
      <c r="R311" s="163"/>
    </row>
    <row r="312" spans="1:18" ht="12">
      <c r="A312" s="33"/>
      <c r="B312" s="34"/>
      <c r="C312" s="35"/>
      <c r="D312" s="33"/>
      <c r="E312" s="165"/>
      <c r="F312" s="163"/>
      <c r="G312" s="163"/>
      <c r="H312" s="163"/>
      <c r="I312" s="163"/>
      <c r="J312" s="165"/>
      <c r="K312" s="163"/>
      <c r="L312" s="163"/>
      <c r="M312" s="163"/>
      <c r="N312" s="163"/>
      <c r="O312" s="165"/>
      <c r="P312" s="163"/>
      <c r="Q312" s="163"/>
      <c r="R312" s="163"/>
    </row>
    <row r="313" spans="1:18" ht="12">
      <c r="A313" s="33"/>
      <c r="B313" s="34"/>
      <c r="C313" s="35"/>
      <c r="D313" s="33"/>
      <c r="E313" s="165"/>
      <c r="F313" s="163"/>
      <c r="G313" s="163"/>
      <c r="H313" s="163"/>
      <c r="I313" s="163"/>
      <c r="J313" s="165"/>
      <c r="K313" s="163"/>
      <c r="L313" s="163"/>
      <c r="M313" s="163"/>
      <c r="N313" s="163"/>
      <c r="O313" s="165"/>
      <c r="P313" s="163"/>
      <c r="Q313" s="163"/>
      <c r="R313" s="163"/>
    </row>
    <row r="314" spans="1:18" ht="12">
      <c r="A314" s="33"/>
      <c r="B314" s="34"/>
      <c r="C314" s="35"/>
      <c r="D314" s="33"/>
      <c r="E314" s="165"/>
      <c r="F314" s="163"/>
      <c r="G314" s="163"/>
      <c r="H314" s="163"/>
      <c r="I314" s="163"/>
      <c r="J314" s="165"/>
      <c r="K314" s="163"/>
      <c r="L314" s="163"/>
      <c r="M314" s="163"/>
      <c r="N314" s="163"/>
      <c r="O314" s="165"/>
      <c r="P314" s="163"/>
      <c r="Q314" s="163"/>
      <c r="R314" s="163"/>
    </row>
    <row r="315" spans="1:18" ht="12">
      <c r="A315" s="33"/>
      <c r="B315" s="34"/>
      <c r="C315" s="35"/>
      <c r="D315" s="33"/>
      <c r="E315" s="165"/>
      <c r="F315" s="163"/>
      <c r="G315" s="163"/>
      <c r="H315" s="163"/>
      <c r="I315" s="163"/>
      <c r="J315" s="165"/>
      <c r="K315" s="163"/>
      <c r="L315" s="163"/>
      <c r="M315" s="163"/>
      <c r="N315" s="163"/>
      <c r="O315" s="165"/>
      <c r="P315" s="163"/>
      <c r="Q315" s="163"/>
      <c r="R315" s="163"/>
    </row>
    <row r="316" spans="1:18" ht="12">
      <c r="A316" s="33"/>
      <c r="B316" s="34"/>
      <c r="C316" s="35"/>
      <c r="D316" s="33"/>
      <c r="E316" s="165"/>
      <c r="F316" s="163"/>
      <c r="G316" s="163"/>
      <c r="H316" s="163"/>
      <c r="I316" s="163"/>
      <c r="J316" s="165"/>
      <c r="K316" s="163"/>
      <c r="L316" s="163"/>
      <c r="M316" s="163"/>
      <c r="N316" s="163"/>
      <c r="O316" s="165"/>
      <c r="P316" s="163"/>
      <c r="Q316" s="163"/>
      <c r="R316" s="163"/>
    </row>
    <row r="317" spans="1:18" ht="12">
      <c r="A317" s="33"/>
      <c r="B317" s="34"/>
      <c r="C317" s="35"/>
      <c r="D317" s="33"/>
      <c r="E317" s="165"/>
      <c r="F317" s="163"/>
      <c r="G317" s="163"/>
      <c r="H317" s="163"/>
      <c r="I317" s="163"/>
      <c r="J317" s="165"/>
      <c r="K317" s="163"/>
      <c r="L317" s="163"/>
      <c r="M317" s="163"/>
      <c r="N317" s="163"/>
      <c r="O317" s="165"/>
      <c r="P317" s="163"/>
      <c r="Q317" s="163"/>
      <c r="R317" s="163"/>
    </row>
    <row r="318" spans="1:18" ht="12">
      <c r="A318" s="33"/>
      <c r="B318" s="34"/>
      <c r="C318" s="35"/>
      <c r="D318" s="33"/>
      <c r="E318" s="165"/>
      <c r="F318" s="163"/>
      <c r="G318" s="163"/>
      <c r="H318" s="163"/>
      <c r="I318" s="163"/>
      <c r="J318" s="165"/>
      <c r="K318" s="163"/>
      <c r="L318" s="163"/>
      <c r="M318" s="163"/>
      <c r="N318" s="163"/>
      <c r="O318" s="165"/>
      <c r="P318" s="163"/>
      <c r="Q318" s="163"/>
      <c r="R318" s="163"/>
    </row>
    <row r="319" spans="1:18" ht="12">
      <c r="A319" s="33"/>
      <c r="B319" s="34"/>
      <c r="C319" s="35"/>
      <c r="D319" s="33"/>
      <c r="E319" s="165"/>
      <c r="F319" s="163"/>
      <c r="G319" s="163"/>
      <c r="H319" s="163"/>
      <c r="I319" s="163"/>
      <c r="J319" s="165"/>
      <c r="K319" s="163"/>
      <c r="L319" s="163"/>
      <c r="M319" s="163"/>
      <c r="N319" s="163"/>
      <c r="O319" s="165"/>
      <c r="P319" s="163"/>
      <c r="Q319" s="163"/>
      <c r="R319" s="163"/>
    </row>
    <row r="320" spans="1:18" ht="12">
      <c r="A320" s="33"/>
      <c r="B320" s="34"/>
      <c r="C320" s="35"/>
      <c r="D320" s="33"/>
      <c r="E320" s="165"/>
      <c r="F320" s="163"/>
      <c r="G320" s="163"/>
      <c r="H320" s="163"/>
      <c r="I320" s="163"/>
      <c r="J320" s="165"/>
      <c r="K320" s="163"/>
      <c r="L320" s="163"/>
      <c r="M320" s="163"/>
      <c r="N320" s="163"/>
      <c r="O320" s="165"/>
      <c r="P320" s="163"/>
      <c r="Q320" s="163"/>
      <c r="R320" s="163"/>
    </row>
    <row r="321" spans="1:18" ht="12">
      <c r="A321" s="33"/>
      <c r="B321" s="34"/>
      <c r="C321" s="35"/>
      <c r="D321" s="33"/>
      <c r="E321" s="165"/>
      <c r="F321" s="163"/>
      <c r="G321" s="163"/>
      <c r="H321" s="163"/>
      <c r="I321" s="163"/>
      <c r="J321" s="165"/>
      <c r="K321" s="163"/>
      <c r="L321" s="163"/>
      <c r="M321" s="163"/>
      <c r="N321" s="163"/>
      <c r="O321" s="165"/>
      <c r="P321" s="163"/>
      <c r="Q321" s="163"/>
      <c r="R321" s="163"/>
    </row>
    <row r="322" spans="1:18" ht="12">
      <c r="A322" s="33"/>
      <c r="B322" s="34"/>
      <c r="C322" s="35"/>
      <c r="D322" s="33"/>
      <c r="E322" s="165"/>
      <c r="F322" s="163"/>
      <c r="G322" s="163"/>
      <c r="H322" s="163"/>
      <c r="I322" s="163"/>
      <c r="J322" s="165"/>
      <c r="K322" s="163"/>
      <c r="L322" s="163"/>
      <c r="M322" s="163"/>
      <c r="N322" s="163"/>
      <c r="O322" s="165"/>
      <c r="P322" s="163"/>
      <c r="Q322" s="163"/>
      <c r="R322" s="163"/>
    </row>
    <row r="323" spans="1:18" ht="12">
      <c r="A323" s="33"/>
      <c r="B323" s="34"/>
      <c r="C323" s="35"/>
      <c r="D323" s="33"/>
      <c r="E323" s="165"/>
      <c r="F323" s="163"/>
      <c r="G323" s="163"/>
      <c r="H323" s="163"/>
      <c r="I323" s="163"/>
      <c r="J323" s="165"/>
      <c r="K323" s="163"/>
      <c r="L323" s="163"/>
      <c r="M323" s="163"/>
      <c r="N323" s="163"/>
      <c r="O323" s="165"/>
      <c r="P323" s="163"/>
      <c r="Q323" s="163"/>
      <c r="R323" s="163"/>
    </row>
    <row r="324" spans="1:18" ht="12">
      <c r="A324" s="33"/>
      <c r="B324" s="34"/>
      <c r="C324" s="35"/>
      <c r="D324" s="33"/>
      <c r="E324" s="165"/>
      <c r="F324" s="163"/>
      <c r="G324" s="163"/>
      <c r="H324" s="163"/>
      <c r="I324" s="163"/>
      <c r="J324" s="165"/>
      <c r="K324" s="163"/>
      <c r="L324" s="163"/>
      <c r="M324" s="163"/>
      <c r="N324" s="163"/>
      <c r="O324" s="165"/>
      <c r="P324" s="163"/>
      <c r="Q324" s="163"/>
      <c r="R324" s="163"/>
    </row>
    <row r="325" spans="1:18" ht="12">
      <c r="A325" s="33"/>
      <c r="B325" s="34"/>
      <c r="C325" s="35"/>
      <c r="D325" s="33"/>
      <c r="E325" s="165"/>
      <c r="F325" s="163"/>
      <c r="G325" s="163"/>
      <c r="H325" s="163"/>
      <c r="I325" s="163"/>
      <c r="J325" s="165"/>
      <c r="K325" s="163"/>
      <c r="L325" s="163"/>
      <c r="M325" s="163"/>
      <c r="N325" s="163"/>
      <c r="O325" s="165"/>
      <c r="P325" s="163"/>
      <c r="Q325" s="163"/>
      <c r="R325" s="163"/>
    </row>
    <row r="326" spans="1:18" ht="12">
      <c r="A326" s="33"/>
      <c r="B326" s="34"/>
      <c r="C326" s="35"/>
      <c r="D326" s="33"/>
      <c r="E326" s="165"/>
      <c r="F326" s="163"/>
      <c r="G326" s="163"/>
      <c r="H326" s="163"/>
      <c r="I326" s="163"/>
      <c r="J326" s="165"/>
      <c r="K326" s="163"/>
      <c r="L326" s="163"/>
      <c r="M326" s="163"/>
      <c r="N326" s="163"/>
      <c r="O326" s="165"/>
      <c r="P326" s="163"/>
      <c r="Q326" s="163"/>
      <c r="R326" s="163"/>
    </row>
    <row r="327" spans="1:18" ht="12">
      <c r="A327" s="33"/>
      <c r="B327" s="34"/>
      <c r="C327" s="35"/>
      <c r="D327" s="33"/>
      <c r="E327" s="165"/>
      <c r="F327" s="163"/>
      <c r="G327" s="163"/>
      <c r="H327" s="163"/>
      <c r="I327" s="163"/>
      <c r="J327" s="165"/>
      <c r="K327" s="163"/>
      <c r="L327" s="163"/>
      <c r="M327" s="163"/>
      <c r="N327" s="163"/>
      <c r="O327" s="165"/>
      <c r="P327" s="163"/>
      <c r="Q327" s="163"/>
      <c r="R327" s="163"/>
    </row>
    <row r="328" spans="1:18" ht="12">
      <c r="A328" s="33"/>
      <c r="B328" s="34"/>
      <c r="C328" s="35"/>
      <c r="D328" s="33"/>
      <c r="E328" s="165"/>
      <c r="F328" s="163"/>
      <c r="G328" s="163"/>
      <c r="H328" s="163"/>
      <c r="I328" s="163"/>
      <c r="J328" s="165"/>
      <c r="K328" s="163"/>
      <c r="L328" s="163"/>
      <c r="M328" s="163"/>
      <c r="N328" s="163"/>
      <c r="O328" s="165"/>
      <c r="P328" s="163"/>
      <c r="Q328" s="163"/>
      <c r="R328" s="163"/>
    </row>
    <row r="329" spans="1:18" ht="12">
      <c r="A329" s="33"/>
      <c r="B329" s="34"/>
      <c r="C329" s="35"/>
      <c r="D329" s="33"/>
      <c r="E329" s="165"/>
      <c r="F329" s="163"/>
      <c r="G329" s="163"/>
      <c r="H329" s="163"/>
      <c r="I329" s="163"/>
      <c r="J329" s="165"/>
      <c r="K329" s="163"/>
      <c r="L329" s="163"/>
      <c r="M329" s="163"/>
      <c r="N329" s="163"/>
      <c r="O329" s="165"/>
      <c r="P329" s="163"/>
      <c r="Q329" s="163"/>
      <c r="R329" s="163"/>
    </row>
    <row r="330" spans="1:18" ht="12">
      <c r="A330" s="33"/>
      <c r="B330" s="34"/>
      <c r="C330" s="35"/>
      <c r="D330" s="33"/>
      <c r="E330" s="165"/>
      <c r="F330" s="163"/>
      <c r="G330" s="163"/>
      <c r="H330" s="163"/>
      <c r="I330" s="163"/>
      <c r="J330" s="165"/>
      <c r="K330" s="163"/>
      <c r="L330" s="163"/>
      <c r="M330" s="163"/>
      <c r="N330" s="163"/>
      <c r="O330" s="165"/>
      <c r="P330" s="163"/>
      <c r="Q330" s="163"/>
      <c r="R330" s="163"/>
    </row>
    <row r="331" spans="1:18" ht="12">
      <c r="A331" s="33"/>
      <c r="B331" s="34"/>
      <c r="C331" s="35"/>
      <c r="D331" s="33"/>
      <c r="E331" s="165"/>
      <c r="F331" s="163"/>
      <c r="G331" s="163"/>
      <c r="H331" s="163"/>
      <c r="I331" s="163"/>
      <c r="J331" s="165"/>
      <c r="K331" s="163"/>
      <c r="L331" s="163"/>
      <c r="M331" s="163"/>
      <c r="N331" s="163"/>
      <c r="O331" s="165"/>
      <c r="P331" s="163"/>
      <c r="Q331" s="163"/>
      <c r="R331" s="163"/>
    </row>
    <row r="332" spans="1:18" ht="12">
      <c r="A332" s="33"/>
      <c r="B332" s="34"/>
      <c r="C332" s="35"/>
      <c r="D332" s="33"/>
      <c r="E332" s="165"/>
      <c r="F332" s="163"/>
      <c r="G332" s="163"/>
      <c r="H332" s="163"/>
      <c r="I332" s="163"/>
      <c r="J332" s="165"/>
      <c r="K332" s="163"/>
      <c r="L332" s="163"/>
      <c r="M332" s="163"/>
      <c r="N332" s="163"/>
      <c r="O332" s="165"/>
      <c r="P332" s="163"/>
      <c r="Q332" s="163"/>
      <c r="R332" s="163"/>
    </row>
    <row r="333" spans="1:18" ht="12">
      <c r="A333" s="33"/>
      <c r="B333" s="34"/>
      <c r="C333" s="35"/>
      <c r="D333" s="33"/>
      <c r="E333" s="165"/>
      <c r="F333" s="163"/>
      <c r="G333" s="163"/>
      <c r="H333" s="163"/>
      <c r="I333" s="163"/>
      <c r="J333" s="165"/>
      <c r="K333" s="163"/>
      <c r="L333" s="163"/>
      <c r="M333" s="163"/>
      <c r="N333" s="163"/>
      <c r="O333" s="165"/>
      <c r="P333" s="163"/>
      <c r="Q333" s="163"/>
      <c r="R333" s="163"/>
    </row>
    <row r="334" spans="1:18" ht="12">
      <c r="A334" s="33"/>
      <c r="B334" s="34"/>
      <c r="C334" s="35"/>
      <c r="D334" s="33"/>
      <c r="E334" s="165"/>
      <c r="F334" s="163"/>
      <c r="G334" s="163"/>
      <c r="H334" s="163"/>
      <c r="I334" s="163"/>
      <c r="J334" s="165"/>
      <c r="K334" s="163"/>
      <c r="L334" s="163"/>
      <c r="M334" s="163"/>
      <c r="N334" s="163"/>
      <c r="O334" s="165"/>
      <c r="P334" s="163"/>
      <c r="Q334" s="163"/>
      <c r="R334" s="163"/>
    </row>
    <row r="335" spans="1:18" ht="12">
      <c r="A335" s="33"/>
      <c r="B335" s="34"/>
      <c r="C335" s="35"/>
      <c r="D335" s="33"/>
      <c r="E335" s="165"/>
      <c r="F335" s="163"/>
      <c r="G335" s="163"/>
      <c r="H335" s="163"/>
      <c r="I335" s="163"/>
      <c r="J335" s="165"/>
      <c r="K335" s="163"/>
      <c r="L335" s="163"/>
      <c r="M335" s="163"/>
      <c r="N335" s="163"/>
      <c r="O335" s="165"/>
      <c r="P335" s="163"/>
      <c r="Q335" s="163"/>
      <c r="R335" s="163"/>
    </row>
    <row r="336" spans="1:18" ht="12">
      <c r="A336" s="33"/>
      <c r="B336" s="34"/>
      <c r="C336" s="35"/>
      <c r="D336" s="33"/>
      <c r="E336" s="165"/>
      <c r="F336" s="163"/>
      <c r="G336" s="163"/>
      <c r="H336" s="163"/>
      <c r="I336" s="163"/>
      <c r="J336" s="165"/>
      <c r="K336" s="163"/>
      <c r="L336" s="163"/>
      <c r="M336" s="163"/>
      <c r="N336" s="163"/>
      <c r="O336" s="165"/>
      <c r="P336" s="163"/>
      <c r="Q336" s="163"/>
      <c r="R336" s="163"/>
    </row>
    <row r="337" spans="1:18" ht="12">
      <c r="A337" s="33"/>
      <c r="B337" s="34"/>
      <c r="C337" s="35"/>
      <c r="D337" s="33"/>
      <c r="E337" s="165"/>
      <c r="F337" s="163"/>
      <c r="G337" s="163"/>
      <c r="H337" s="163"/>
      <c r="I337" s="163"/>
      <c r="J337" s="165"/>
      <c r="K337" s="163"/>
      <c r="L337" s="163"/>
      <c r="M337" s="163"/>
      <c r="N337" s="163"/>
      <c r="O337" s="165"/>
      <c r="P337" s="163"/>
      <c r="Q337" s="163"/>
      <c r="R337" s="163"/>
    </row>
    <row r="338" spans="1:18" ht="12">
      <c r="A338" s="33"/>
      <c r="B338" s="34"/>
      <c r="C338" s="35"/>
      <c r="D338" s="33"/>
      <c r="E338" s="165"/>
      <c r="F338" s="163"/>
      <c r="G338" s="163"/>
      <c r="H338" s="163"/>
      <c r="I338" s="163"/>
      <c r="J338" s="165"/>
      <c r="K338" s="163"/>
      <c r="L338" s="163"/>
      <c r="M338" s="163"/>
      <c r="N338" s="163"/>
      <c r="O338" s="165"/>
      <c r="P338" s="163"/>
      <c r="Q338" s="163"/>
      <c r="R338" s="163"/>
    </row>
    <row r="339" spans="1:18" ht="12">
      <c r="A339" s="33"/>
      <c r="B339" s="34"/>
      <c r="C339" s="35"/>
      <c r="D339" s="33"/>
      <c r="E339" s="165"/>
      <c r="F339" s="163"/>
      <c r="G339" s="163"/>
      <c r="H339" s="163"/>
      <c r="I339" s="163"/>
      <c r="J339" s="165"/>
      <c r="K339" s="163"/>
      <c r="L339" s="163"/>
      <c r="M339" s="163"/>
      <c r="N339" s="163"/>
      <c r="O339" s="165"/>
      <c r="P339" s="163"/>
      <c r="Q339" s="163"/>
      <c r="R339" s="163"/>
    </row>
    <row r="340" spans="1:18" ht="12">
      <c r="A340" s="33"/>
      <c r="B340" s="34"/>
      <c r="C340" s="35"/>
      <c r="D340" s="33"/>
      <c r="E340" s="165"/>
      <c r="F340" s="163"/>
      <c r="G340" s="163"/>
      <c r="H340" s="163"/>
      <c r="I340" s="163"/>
      <c r="J340" s="165"/>
      <c r="K340" s="163"/>
      <c r="L340" s="163"/>
      <c r="M340" s="163"/>
      <c r="N340" s="163"/>
      <c r="O340" s="165"/>
      <c r="P340" s="163"/>
      <c r="Q340" s="163"/>
      <c r="R340" s="163"/>
    </row>
    <row r="341" spans="1:18" ht="12">
      <c r="A341" s="33"/>
      <c r="B341" s="34"/>
      <c r="C341" s="35"/>
      <c r="D341" s="33"/>
      <c r="E341" s="165"/>
      <c r="F341" s="163"/>
      <c r="G341" s="163"/>
      <c r="H341" s="163"/>
      <c r="I341" s="163"/>
      <c r="J341" s="165"/>
      <c r="K341" s="163"/>
      <c r="L341" s="163"/>
      <c r="M341" s="163"/>
      <c r="N341" s="163"/>
      <c r="O341" s="165"/>
      <c r="P341" s="163"/>
      <c r="Q341" s="163"/>
      <c r="R341" s="163"/>
    </row>
    <row r="342" spans="1:18" ht="12">
      <c r="A342" s="33"/>
      <c r="B342" s="34"/>
      <c r="C342" s="35"/>
      <c r="D342" s="33"/>
      <c r="E342" s="165"/>
      <c r="F342" s="163"/>
      <c r="G342" s="163"/>
      <c r="H342" s="163"/>
      <c r="I342" s="163"/>
      <c r="J342" s="165"/>
      <c r="K342" s="163"/>
      <c r="L342" s="163"/>
      <c r="M342" s="163"/>
      <c r="N342" s="163"/>
      <c r="O342" s="165"/>
      <c r="P342" s="163"/>
      <c r="Q342" s="163"/>
      <c r="R342" s="163"/>
    </row>
    <row r="343" spans="1:18" ht="12">
      <c r="A343" s="33"/>
      <c r="B343" s="34"/>
      <c r="C343" s="35"/>
      <c r="D343" s="33"/>
      <c r="E343" s="165"/>
      <c r="F343" s="163"/>
      <c r="G343" s="163"/>
      <c r="H343" s="163"/>
      <c r="I343" s="163"/>
      <c r="J343" s="165"/>
      <c r="K343" s="163"/>
      <c r="L343" s="163"/>
      <c r="M343" s="163"/>
      <c r="N343" s="163"/>
      <c r="O343" s="165"/>
      <c r="P343" s="163"/>
      <c r="Q343" s="163"/>
      <c r="R343" s="163"/>
    </row>
    <row r="344" spans="1:18" ht="12">
      <c r="A344" s="33"/>
      <c r="B344" s="34"/>
      <c r="C344" s="35"/>
      <c r="D344" s="33"/>
      <c r="E344" s="165"/>
      <c r="F344" s="163"/>
      <c r="G344" s="163"/>
      <c r="H344" s="163"/>
      <c r="I344" s="163"/>
      <c r="J344" s="165"/>
      <c r="K344" s="163"/>
      <c r="L344" s="163"/>
      <c r="M344" s="163"/>
      <c r="N344" s="163"/>
      <c r="O344" s="165"/>
      <c r="P344" s="163"/>
      <c r="Q344" s="163"/>
      <c r="R344" s="163"/>
    </row>
    <row r="345" spans="1:18" ht="12">
      <c r="A345" s="33"/>
      <c r="B345" s="34"/>
      <c r="C345" s="35"/>
      <c r="D345" s="33"/>
      <c r="E345" s="165"/>
      <c r="F345" s="163"/>
      <c r="G345" s="163"/>
      <c r="H345" s="163"/>
      <c r="I345" s="163"/>
      <c r="J345" s="165"/>
      <c r="K345" s="163"/>
      <c r="L345" s="163"/>
      <c r="M345" s="163"/>
      <c r="N345" s="163"/>
      <c r="O345" s="165"/>
      <c r="P345" s="163"/>
      <c r="Q345" s="163"/>
      <c r="R345" s="163"/>
    </row>
    <row r="346" spans="1:18" ht="12">
      <c r="A346" s="33"/>
      <c r="B346" s="34"/>
      <c r="C346" s="35"/>
      <c r="D346" s="33"/>
      <c r="E346" s="165"/>
      <c r="F346" s="163"/>
      <c r="G346" s="163"/>
      <c r="H346" s="163"/>
      <c r="I346" s="163"/>
      <c r="J346" s="165"/>
      <c r="K346" s="163"/>
      <c r="L346" s="163"/>
      <c r="M346" s="163"/>
      <c r="N346" s="163"/>
      <c r="O346" s="165"/>
      <c r="P346" s="163"/>
      <c r="Q346" s="163"/>
      <c r="R346" s="163"/>
    </row>
    <row r="347" spans="1:18" ht="12">
      <c r="A347" s="33"/>
      <c r="B347" s="34"/>
      <c r="C347" s="35"/>
      <c r="D347" s="33"/>
      <c r="E347" s="165"/>
      <c r="F347" s="163"/>
      <c r="G347" s="163"/>
      <c r="H347" s="163"/>
      <c r="I347" s="163"/>
      <c r="J347" s="165"/>
      <c r="K347" s="163"/>
      <c r="L347" s="163"/>
      <c r="M347" s="163"/>
      <c r="N347" s="163"/>
      <c r="O347" s="165"/>
      <c r="P347" s="163"/>
      <c r="Q347" s="163"/>
      <c r="R347" s="163"/>
    </row>
    <row r="348" spans="1:18" ht="12">
      <c r="A348" s="33"/>
      <c r="B348" s="34"/>
      <c r="C348" s="35"/>
      <c r="D348" s="33"/>
      <c r="E348" s="165"/>
      <c r="F348" s="163"/>
      <c r="G348" s="163"/>
      <c r="H348" s="163"/>
      <c r="I348" s="163"/>
      <c r="J348" s="165"/>
      <c r="K348" s="163"/>
      <c r="L348" s="163"/>
      <c r="M348" s="163"/>
      <c r="N348" s="163"/>
      <c r="O348" s="165"/>
      <c r="P348" s="163"/>
      <c r="Q348" s="163"/>
      <c r="R348" s="163"/>
    </row>
    <row r="349" spans="1:18" ht="12">
      <c r="A349" s="33"/>
      <c r="B349" s="34"/>
      <c r="C349" s="35"/>
      <c r="D349" s="33"/>
      <c r="E349" s="165"/>
      <c r="F349" s="163"/>
      <c r="G349" s="163"/>
      <c r="H349" s="163"/>
      <c r="I349" s="163"/>
      <c r="J349" s="165"/>
      <c r="K349" s="163"/>
      <c r="L349" s="163"/>
      <c r="M349" s="163"/>
      <c r="N349" s="163"/>
      <c r="O349" s="165"/>
      <c r="P349" s="163"/>
      <c r="Q349" s="163"/>
      <c r="R349" s="163"/>
    </row>
    <row r="350" spans="1:18" ht="12">
      <c r="A350" s="33"/>
      <c r="B350" s="34"/>
      <c r="C350" s="35"/>
      <c r="D350" s="33"/>
      <c r="E350" s="165"/>
      <c r="F350" s="163"/>
      <c r="G350" s="163"/>
      <c r="H350" s="163"/>
      <c r="I350" s="163"/>
      <c r="J350" s="165"/>
      <c r="K350" s="163"/>
      <c r="L350" s="163"/>
      <c r="M350" s="163"/>
      <c r="N350" s="163"/>
      <c r="O350" s="165"/>
      <c r="P350" s="163"/>
      <c r="Q350" s="163"/>
      <c r="R350" s="163"/>
    </row>
    <row r="351" spans="1:18" ht="12">
      <c r="A351" s="33"/>
      <c r="B351" s="34"/>
      <c r="C351" s="35"/>
      <c r="D351" s="33"/>
      <c r="E351" s="165"/>
      <c r="F351" s="163"/>
      <c r="G351" s="163"/>
      <c r="H351" s="163"/>
      <c r="I351" s="163"/>
      <c r="J351" s="165"/>
      <c r="K351" s="163"/>
      <c r="L351" s="163"/>
      <c r="M351" s="163"/>
      <c r="N351" s="163"/>
      <c r="O351" s="165"/>
      <c r="P351" s="163"/>
      <c r="Q351" s="163"/>
      <c r="R351" s="163"/>
    </row>
    <row r="352" spans="1:18" ht="12">
      <c r="A352" s="33"/>
      <c r="B352" s="34"/>
      <c r="C352" s="35"/>
      <c r="D352" s="33"/>
      <c r="E352" s="165"/>
      <c r="F352" s="163"/>
      <c r="G352" s="163"/>
      <c r="H352" s="163"/>
      <c r="I352" s="163"/>
      <c r="J352" s="165"/>
      <c r="K352" s="163"/>
      <c r="L352" s="163"/>
      <c r="M352" s="163"/>
      <c r="N352" s="163"/>
      <c r="O352" s="165"/>
      <c r="P352" s="163"/>
      <c r="Q352" s="163"/>
      <c r="R352" s="163"/>
    </row>
    <row r="353" spans="5:18" ht="12">
      <c r="E353" s="165"/>
      <c r="F353" s="163"/>
      <c r="G353" s="163"/>
      <c r="H353" s="163"/>
      <c r="I353" s="163"/>
      <c r="J353" s="165"/>
      <c r="K353" s="163"/>
      <c r="L353" s="163"/>
      <c r="M353" s="163"/>
      <c r="N353" s="163"/>
      <c r="O353" s="165"/>
      <c r="P353" s="163"/>
      <c r="Q353" s="163"/>
      <c r="R353" s="163"/>
    </row>
    <row r="354" spans="5:18" ht="12">
      <c r="E354" s="165"/>
      <c r="F354" s="163"/>
      <c r="G354" s="163"/>
      <c r="H354" s="163"/>
      <c r="I354" s="163"/>
      <c r="J354" s="165"/>
      <c r="K354" s="163"/>
      <c r="L354" s="163"/>
      <c r="M354" s="163"/>
      <c r="N354" s="163"/>
      <c r="O354" s="165"/>
      <c r="P354" s="163"/>
      <c r="Q354" s="163"/>
      <c r="R354" s="163"/>
    </row>
    <row r="355" spans="5:18" ht="12">
      <c r="E355" s="165"/>
      <c r="F355" s="163"/>
      <c r="G355" s="163"/>
      <c r="H355" s="163"/>
      <c r="I355" s="163"/>
      <c r="J355" s="165"/>
      <c r="K355" s="163"/>
      <c r="L355" s="163"/>
      <c r="M355" s="163"/>
      <c r="N355" s="163"/>
      <c r="O355" s="165"/>
      <c r="P355" s="163"/>
      <c r="Q355" s="163"/>
      <c r="R355" s="163"/>
    </row>
    <row r="356" spans="5:18">
      <c r="E356" s="35"/>
      <c r="F356" s="33"/>
      <c r="G356" s="33"/>
      <c r="H356" s="36"/>
      <c r="I356" s="33"/>
      <c r="J356" s="35"/>
      <c r="K356" s="33"/>
      <c r="L356" s="33"/>
      <c r="M356" s="36"/>
      <c r="N356" s="33"/>
      <c r="O356" s="35"/>
      <c r="P356" s="33"/>
      <c r="Q356" s="33"/>
      <c r="R356" s="36"/>
    </row>
    <row r="357" spans="5:18">
      <c r="E357" s="35"/>
      <c r="F357" s="33"/>
      <c r="G357" s="33"/>
      <c r="H357" s="36"/>
      <c r="I357" s="33"/>
      <c r="J357" s="35"/>
      <c r="K357" s="33"/>
      <c r="L357" s="33"/>
      <c r="M357" s="36"/>
      <c r="N357" s="33"/>
      <c r="O357" s="35"/>
      <c r="P357" s="33"/>
      <c r="Q357" s="33"/>
      <c r="R357" s="36"/>
    </row>
    <row r="358" spans="5:18">
      <c r="E358" s="35"/>
      <c r="F358" s="33"/>
      <c r="G358" s="33"/>
      <c r="H358" s="36"/>
      <c r="I358" s="33"/>
      <c r="J358" s="35"/>
      <c r="K358" s="33"/>
      <c r="L358" s="33"/>
      <c r="M358" s="36"/>
      <c r="N358" s="33"/>
      <c r="O358" s="35"/>
      <c r="P358" s="33"/>
      <c r="Q358" s="33"/>
      <c r="R358" s="36"/>
    </row>
    <row r="359" spans="5:18">
      <c r="E359" s="35"/>
      <c r="F359" s="33"/>
      <c r="G359" s="33"/>
      <c r="H359" s="36"/>
      <c r="I359" s="33"/>
      <c r="J359" s="35"/>
      <c r="K359" s="33"/>
      <c r="L359" s="33"/>
      <c r="M359" s="36"/>
      <c r="N359" s="33"/>
      <c r="O359" s="35"/>
      <c r="P359" s="33"/>
      <c r="Q359" s="33"/>
      <c r="R359" s="36"/>
    </row>
    <row r="360" spans="5:18">
      <c r="E360" s="35"/>
      <c r="F360" s="33"/>
      <c r="G360" s="33"/>
      <c r="H360" s="36"/>
      <c r="I360" s="33"/>
      <c r="J360" s="35"/>
      <c r="K360" s="33"/>
      <c r="L360" s="33"/>
      <c r="M360" s="36"/>
      <c r="N360" s="33"/>
      <c r="O360" s="35"/>
      <c r="P360" s="33"/>
      <c r="Q360" s="33"/>
      <c r="R360" s="36"/>
    </row>
    <row r="361" spans="5:18">
      <c r="E361" s="35"/>
      <c r="F361" s="33"/>
      <c r="G361" s="33"/>
      <c r="H361" s="36"/>
      <c r="I361" s="33"/>
      <c r="J361" s="35"/>
      <c r="K361" s="33"/>
      <c r="L361" s="33"/>
      <c r="M361" s="36"/>
      <c r="N361" s="33"/>
      <c r="O361" s="35"/>
      <c r="P361" s="33"/>
      <c r="Q361" s="33"/>
      <c r="R361" s="36"/>
    </row>
    <row r="362" spans="5:18">
      <c r="E362" s="35"/>
      <c r="F362" s="33"/>
      <c r="G362" s="33"/>
      <c r="H362" s="36"/>
      <c r="I362" s="33"/>
      <c r="J362" s="35"/>
      <c r="K362" s="33"/>
      <c r="L362" s="33"/>
      <c r="M362" s="36"/>
      <c r="N362" s="33"/>
      <c r="O362" s="35"/>
      <c r="P362" s="33"/>
      <c r="Q362" s="33"/>
      <c r="R362" s="36"/>
    </row>
    <row r="363" spans="5:18">
      <c r="E363" s="35"/>
      <c r="F363" s="33"/>
      <c r="G363" s="33"/>
      <c r="H363" s="36"/>
      <c r="I363" s="33"/>
      <c r="J363" s="35"/>
      <c r="K363" s="33"/>
      <c r="L363" s="33"/>
      <c r="M363" s="36"/>
      <c r="N363" s="33"/>
      <c r="O363" s="35"/>
      <c r="P363" s="33"/>
      <c r="Q363" s="33"/>
      <c r="R363" s="36"/>
    </row>
    <row r="364" spans="5:18">
      <c r="E364" s="35"/>
      <c r="F364" s="33"/>
      <c r="G364" s="33"/>
      <c r="H364" s="36"/>
      <c r="I364" s="33"/>
      <c r="J364" s="35"/>
      <c r="K364" s="33"/>
      <c r="L364" s="33"/>
      <c r="M364" s="36"/>
      <c r="N364" s="33"/>
      <c r="O364" s="35"/>
      <c r="P364" s="33"/>
      <c r="Q364" s="33"/>
      <c r="R364" s="36"/>
    </row>
    <row r="365" spans="5:18">
      <c r="E365" s="35"/>
      <c r="F365" s="33"/>
      <c r="G365" s="33"/>
      <c r="H365" s="36"/>
      <c r="I365" s="33"/>
      <c r="J365" s="35"/>
      <c r="K365" s="33"/>
      <c r="L365" s="33"/>
      <c r="M365" s="36"/>
      <c r="N365" s="33"/>
      <c r="O365" s="35"/>
      <c r="P365" s="33"/>
      <c r="Q365" s="33"/>
      <c r="R365" s="36"/>
    </row>
    <row r="366" spans="5:18">
      <c r="E366" s="35"/>
      <c r="F366" s="33"/>
      <c r="G366" s="33"/>
      <c r="H366" s="36"/>
      <c r="I366" s="33"/>
      <c r="J366" s="35"/>
      <c r="K366" s="33"/>
      <c r="L366" s="33"/>
      <c r="M366" s="36"/>
      <c r="N366" s="33"/>
      <c r="O366" s="35"/>
      <c r="P366" s="33"/>
      <c r="Q366" s="33"/>
      <c r="R366" s="36"/>
    </row>
    <row r="367" spans="5:18">
      <c r="E367" s="35"/>
      <c r="F367" s="33"/>
      <c r="G367" s="33"/>
      <c r="H367" s="36"/>
      <c r="I367" s="33"/>
      <c r="J367" s="35"/>
      <c r="K367" s="33"/>
      <c r="L367" s="33"/>
      <c r="M367" s="36"/>
      <c r="N367" s="33"/>
      <c r="O367" s="35"/>
      <c r="P367" s="33"/>
      <c r="Q367" s="33"/>
      <c r="R367" s="36"/>
    </row>
    <row r="368" spans="5:18">
      <c r="E368" s="35"/>
      <c r="F368" s="33"/>
      <c r="G368" s="33"/>
      <c r="H368" s="36"/>
      <c r="I368" s="33"/>
      <c r="J368" s="35"/>
      <c r="K368" s="33"/>
      <c r="L368" s="33"/>
      <c r="M368" s="36"/>
      <c r="N368" s="33"/>
      <c r="O368" s="35"/>
      <c r="P368" s="33"/>
      <c r="Q368" s="33"/>
      <c r="R368" s="36"/>
    </row>
    <row r="369" spans="5:18">
      <c r="E369" s="35"/>
      <c r="F369" s="33"/>
      <c r="G369" s="33"/>
      <c r="H369" s="36"/>
      <c r="I369" s="33"/>
      <c r="J369" s="35"/>
      <c r="K369" s="33"/>
      <c r="L369" s="33"/>
      <c r="M369" s="36"/>
      <c r="N369" s="33"/>
      <c r="O369" s="35"/>
      <c r="P369" s="33"/>
      <c r="Q369" s="33"/>
      <c r="R369" s="36"/>
    </row>
    <row r="370" spans="5:18">
      <c r="E370" s="35"/>
      <c r="F370" s="33"/>
      <c r="G370" s="33"/>
      <c r="H370" s="36"/>
      <c r="I370" s="33"/>
      <c r="J370" s="35"/>
      <c r="K370" s="33"/>
      <c r="L370" s="33"/>
      <c r="M370" s="36"/>
      <c r="N370" s="33"/>
      <c r="O370" s="35"/>
      <c r="P370" s="33"/>
      <c r="Q370" s="33"/>
      <c r="R370" s="36"/>
    </row>
    <row r="371" spans="5:18">
      <c r="E371" s="35"/>
      <c r="F371" s="33"/>
      <c r="G371" s="33"/>
      <c r="H371" s="36"/>
      <c r="I371" s="33"/>
      <c r="J371" s="35"/>
      <c r="K371" s="33"/>
      <c r="L371" s="33"/>
      <c r="M371" s="36"/>
      <c r="N371" s="33"/>
      <c r="O371" s="35"/>
      <c r="P371" s="33"/>
      <c r="Q371" s="33"/>
      <c r="R371" s="36"/>
    </row>
    <row r="372" spans="5:18">
      <c r="E372" s="35"/>
      <c r="F372" s="33"/>
      <c r="G372" s="33"/>
      <c r="H372" s="36"/>
      <c r="I372" s="33"/>
      <c r="J372" s="35"/>
      <c r="K372" s="33"/>
      <c r="L372" s="33"/>
      <c r="M372" s="36"/>
      <c r="N372" s="33"/>
      <c r="O372" s="35"/>
      <c r="P372" s="33"/>
      <c r="Q372" s="33"/>
      <c r="R372" s="36"/>
    </row>
    <row r="373" spans="5:18">
      <c r="E373" s="35"/>
      <c r="F373" s="33"/>
      <c r="G373" s="33"/>
      <c r="H373" s="36"/>
      <c r="I373" s="33"/>
      <c r="J373" s="35"/>
      <c r="K373" s="33"/>
      <c r="L373" s="33"/>
      <c r="M373" s="36"/>
      <c r="N373" s="33"/>
      <c r="O373" s="35"/>
      <c r="P373" s="33"/>
      <c r="Q373" s="33"/>
      <c r="R373" s="36"/>
    </row>
    <row r="374" spans="5:18">
      <c r="E374" s="35"/>
      <c r="F374" s="33"/>
      <c r="G374" s="33"/>
      <c r="H374" s="36"/>
      <c r="I374" s="33"/>
      <c r="J374" s="35"/>
      <c r="K374" s="33"/>
      <c r="L374" s="33"/>
      <c r="M374" s="36"/>
      <c r="N374" s="33"/>
      <c r="O374" s="35"/>
      <c r="P374" s="33"/>
      <c r="Q374" s="33"/>
      <c r="R374" s="36"/>
    </row>
    <row r="375" spans="5:18">
      <c r="E375" s="35"/>
      <c r="F375" s="33"/>
      <c r="G375" s="33"/>
      <c r="H375" s="36"/>
      <c r="I375" s="33"/>
      <c r="J375" s="35"/>
      <c r="K375" s="33"/>
      <c r="L375" s="33"/>
      <c r="M375" s="36"/>
      <c r="N375" s="33"/>
      <c r="O375" s="35"/>
      <c r="P375" s="33"/>
      <c r="Q375" s="33"/>
      <c r="R375" s="36"/>
    </row>
    <row r="376" spans="5:18">
      <c r="E376" s="35"/>
      <c r="F376" s="33"/>
      <c r="G376" s="33"/>
      <c r="H376" s="36"/>
      <c r="I376" s="33"/>
      <c r="J376" s="35"/>
      <c r="K376" s="33"/>
      <c r="L376" s="33"/>
      <c r="M376" s="36"/>
      <c r="N376" s="33"/>
      <c r="O376" s="35"/>
      <c r="P376" s="33"/>
      <c r="Q376" s="33"/>
      <c r="R376" s="36"/>
    </row>
    <row r="377" spans="5:18">
      <c r="E377" s="35"/>
      <c r="F377" s="33"/>
      <c r="G377" s="33"/>
      <c r="H377" s="36"/>
      <c r="I377" s="33"/>
      <c r="J377" s="35"/>
      <c r="K377" s="33"/>
      <c r="L377" s="33"/>
      <c r="M377" s="36"/>
      <c r="N377" s="33"/>
      <c r="O377" s="35"/>
      <c r="P377" s="33"/>
      <c r="Q377" s="33"/>
      <c r="R377" s="36"/>
    </row>
    <row r="378" spans="5:18">
      <c r="E378" s="35"/>
      <c r="F378" s="33"/>
      <c r="G378" s="33"/>
      <c r="H378" s="36"/>
      <c r="I378" s="33"/>
      <c r="J378" s="35"/>
      <c r="K378" s="33"/>
      <c r="L378" s="33"/>
      <c r="M378" s="36"/>
      <c r="N378" s="33"/>
      <c r="O378" s="35"/>
      <c r="P378" s="33"/>
      <c r="Q378" s="33"/>
      <c r="R378" s="36"/>
    </row>
    <row r="379" spans="5:18">
      <c r="E379" s="35"/>
      <c r="F379" s="33"/>
      <c r="G379" s="33"/>
      <c r="H379" s="36"/>
      <c r="I379" s="33"/>
      <c r="J379" s="35"/>
      <c r="K379" s="33"/>
      <c r="L379" s="33"/>
      <c r="M379" s="36"/>
      <c r="N379" s="33"/>
      <c r="O379" s="35"/>
      <c r="P379" s="33"/>
      <c r="Q379" s="33"/>
      <c r="R379" s="36"/>
    </row>
    <row r="380" spans="5:18">
      <c r="E380" s="35"/>
      <c r="F380" s="33"/>
      <c r="G380" s="33"/>
      <c r="H380" s="36"/>
      <c r="I380" s="33"/>
      <c r="J380" s="35"/>
      <c r="K380" s="33"/>
      <c r="L380" s="33"/>
      <c r="M380" s="36"/>
      <c r="N380" s="33"/>
      <c r="O380" s="35"/>
      <c r="P380" s="33"/>
      <c r="Q380" s="33"/>
      <c r="R380" s="36"/>
    </row>
    <row r="381" spans="5:18">
      <c r="E381" s="35"/>
      <c r="F381" s="33"/>
      <c r="G381" s="33"/>
      <c r="H381" s="36"/>
      <c r="I381" s="33"/>
      <c r="J381" s="35"/>
      <c r="K381" s="33"/>
      <c r="L381" s="33"/>
      <c r="M381" s="36"/>
      <c r="N381" s="33"/>
      <c r="O381" s="35"/>
      <c r="P381" s="33"/>
      <c r="Q381" s="33"/>
      <c r="R381" s="36"/>
    </row>
    <row r="382" spans="5:18">
      <c r="E382" s="35"/>
      <c r="F382" s="33"/>
      <c r="G382" s="33"/>
      <c r="H382" s="36"/>
      <c r="I382" s="33"/>
      <c r="J382" s="35"/>
      <c r="K382" s="33"/>
      <c r="L382" s="33"/>
      <c r="M382" s="36"/>
      <c r="N382" s="33"/>
      <c r="O382" s="35"/>
      <c r="P382" s="33"/>
      <c r="Q382" s="33"/>
      <c r="R382" s="36"/>
    </row>
    <row r="383" spans="5:18">
      <c r="E383" s="35"/>
      <c r="F383" s="33"/>
      <c r="G383" s="33"/>
      <c r="H383" s="36"/>
      <c r="I383" s="33"/>
      <c r="J383" s="35"/>
      <c r="K383" s="33"/>
      <c r="L383" s="33"/>
      <c r="M383" s="36"/>
      <c r="N383" s="33"/>
      <c r="O383" s="35"/>
      <c r="P383" s="33"/>
      <c r="Q383" s="33"/>
      <c r="R383" s="36"/>
    </row>
    <row r="384" spans="5:18">
      <c r="E384" s="35"/>
      <c r="F384" s="33"/>
      <c r="G384" s="33"/>
      <c r="H384" s="36"/>
      <c r="I384" s="33"/>
      <c r="J384" s="35"/>
      <c r="K384" s="33"/>
      <c r="L384" s="33"/>
      <c r="M384" s="36"/>
      <c r="N384" s="33"/>
      <c r="O384" s="35"/>
      <c r="P384" s="33"/>
      <c r="Q384" s="33"/>
      <c r="R384" s="36"/>
    </row>
    <row r="385" spans="5:18">
      <c r="E385" s="35"/>
      <c r="F385" s="33"/>
      <c r="G385" s="33"/>
      <c r="H385" s="36"/>
      <c r="I385" s="33"/>
      <c r="J385" s="35"/>
      <c r="K385" s="33"/>
      <c r="L385" s="33"/>
      <c r="M385" s="36"/>
      <c r="N385" s="33"/>
      <c r="O385" s="35"/>
      <c r="P385" s="33"/>
      <c r="Q385" s="33"/>
      <c r="R385" s="36"/>
    </row>
    <row r="386" spans="5:18">
      <c r="E386" s="35"/>
      <c r="F386" s="33"/>
      <c r="G386" s="33"/>
      <c r="H386" s="36"/>
      <c r="I386" s="33"/>
      <c r="J386" s="35"/>
      <c r="K386" s="33"/>
      <c r="L386" s="33"/>
      <c r="M386" s="36"/>
      <c r="N386" s="33"/>
      <c r="O386" s="35"/>
      <c r="P386" s="33"/>
      <c r="Q386" s="33"/>
      <c r="R386" s="36"/>
    </row>
    <row r="387" spans="5:18">
      <c r="E387" s="35"/>
      <c r="F387" s="33"/>
      <c r="G387" s="33"/>
      <c r="H387" s="36"/>
      <c r="I387" s="33"/>
      <c r="J387" s="35"/>
      <c r="K387" s="33"/>
      <c r="L387" s="33"/>
      <c r="M387" s="36"/>
      <c r="N387" s="33"/>
      <c r="O387" s="35"/>
      <c r="P387" s="33"/>
      <c r="Q387" s="33"/>
      <c r="R387" s="36"/>
    </row>
    <row r="388" spans="5:18">
      <c r="E388" s="35"/>
      <c r="F388" s="33"/>
      <c r="G388" s="33"/>
      <c r="H388" s="36"/>
      <c r="I388" s="33"/>
      <c r="J388" s="35"/>
      <c r="K388" s="33"/>
      <c r="L388" s="33"/>
      <c r="M388" s="36"/>
      <c r="N388" s="33"/>
      <c r="O388" s="35"/>
      <c r="P388" s="33"/>
      <c r="Q388" s="33"/>
      <c r="R388" s="36"/>
    </row>
    <row r="389" spans="5:18">
      <c r="E389" s="35"/>
      <c r="F389" s="33"/>
      <c r="G389" s="33"/>
      <c r="H389" s="36"/>
      <c r="I389" s="33"/>
      <c r="J389" s="35"/>
      <c r="K389" s="33"/>
      <c r="L389" s="33"/>
      <c r="M389" s="36"/>
      <c r="N389" s="33"/>
      <c r="O389" s="35"/>
      <c r="P389" s="33"/>
      <c r="Q389" s="33"/>
      <c r="R389" s="36"/>
    </row>
    <row r="390" spans="5:18">
      <c r="E390" s="35"/>
      <c r="F390" s="33"/>
      <c r="G390" s="33"/>
      <c r="H390" s="36"/>
      <c r="I390" s="33"/>
      <c r="J390" s="35"/>
      <c r="K390" s="33"/>
      <c r="L390" s="33"/>
      <c r="M390" s="36"/>
      <c r="N390" s="33"/>
      <c r="O390" s="35"/>
      <c r="P390" s="33"/>
      <c r="Q390" s="33"/>
      <c r="R390" s="36"/>
    </row>
    <row r="391" spans="5:18">
      <c r="E391" s="35"/>
      <c r="F391" s="33"/>
      <c r="G391" s="33"/>
      <c r="H391" s="36"/>
      <c r="I391" s="33"/>
      <c r="J391" s="35"/>
      <c r="K391" s="33"/>
      <c r="L391" s="33"/>
      <c r="M391" s="36"/>
      <c r="N391" s="33"/>
      <c r="O391" s="35"/>
      <c r="P391" s="33"/>
      <c r="Q391" s="33"/>
      <c r="R391" s="36"/>
    </row>
    <row r="392" spans="5:18">
      <c r="E392" s="35"/>
      <c r="F392" s="33"/>
      <c r="G392" s="33"/>
      <c r="H392" s="36"/>
      <c r="I392" s="33"/>
      <c r="J392" s="35"/>
      <c r="K392" s="33"/>
      <c r="L392" s="33"/>
      <c r="M392" s="36"/>
      <c r="N392" s="33"/>
      <c r="O392" s="35"/>
      <c r="P392" s="33"/>
      <c r="Q392" s="33"/>
      <c r="R392" s="36"/>
    </row>
    <row r="393" spans="5:18">
      <c r="E393" s="35"/>
      <c r="F393" s="33"/>
      <c r="G393" s="33"/>
      <c r="H393" s="36"/>
      <c r="I393" s="33"/>
      <c r="J393" s="35"/>
      <c r="K393" s="33"/>
      <c r="L393" s="33"/>
      <c r="M393" s="36"/>
      <c r="N393" s="33"/>
      <c r="O393" s="35"/>
      <c r="P393" s="33"/>
      <c r="Q393" s="33"/>
      <c r="R393" s="36"/>
    </row>
    <row r="394" spans="5:18">
      <c r="E394" s="35"/>
      <c r="F394" s="33"/>
      <c r="G394" s="33"/>
      <c r="H394" s="36"/>
      <c r="I394" s="33"/>
      <c r="J394" s="35"/>
      <c r="K394" s="33"/>
      <c r="L394" s="33"/>
      <c r="M394" s="36"/>
      <c r="N394" s="33"/>
      <c r="O394" s="35"/>
      <c r="P394" s="33"/>
      <c r="Q394" s="33"/>
      <c r="R394" s="36"/>
    </row>
    <row r="395" spans="5:18">
      <c r="E395" s="35"/>
      <c r="F395" s="33"/>
      <c r="G395" s="33"/>
      <c r="H395" s="36"/>
      <c r="I395" s="33"/>
      <c r="J395" s="35"/>
      <c r="K395" s="33"/>
      <c r="L395" s="33"/>
      <c r="M395" s="36"/>
      <c r="N395" s="33"/>
      <c r="O395" s="35"/>
      <c r="P395" s="33"/>
      <c r="Q395" s="33"/>
      <c r="R395" s="36"/>
    </row>
    <row r="396" spans="5:18">
      <c r="E396" s="35"/>
      <c r="F396" s="33"/>
      <c r="G396" s="33"/>
      <c r="H396" s="36"/>
      <c r="I396" s="33"/>
      <c r="J396" s="35"/>
      <c r="K396" s="33"/>
      <c r="L396" s="33"/>
      <c r="M396" s="36"/>
      <c r="N396" s="33"/>
      <c r="O396" s="35"/>
      <c r="P396" s="33"/>
      <c r="Q396" s="33"/>
      <c r="R396" s="36"/>
    </row>
    <row r="397" spans="5:18">
      <c r="E397" s="35"/>
      <c r="F397" s="33"/>
      <c r="G397" s="33"/>
      <c r="H397" s="36"/>
      <c r="I397" s="33"/>
      <c r="J397" s="35"/>
      <c r="K397" s="33"/>
      <c r="L397" s="33"/>
      <c r="M397" s="36"/>
      <c r="N397" s="33"/>
      <c r="O397" s="35"/>
      <c r="P397" s="33"/>
      <c r="Q397" s="33"/>
      <c r="R397" s="36"/>
    </row>
    <row r="398" spans="5:18">
      <c r="E398" s="35"/>
      <c r="F398" s="33"/>
      <c r="G398" s="33"/>
      <c r="H398" s="36"/>
      <c r="I398" s="33"/>
      <c r="J398" s="35"/>
      <c r="K398" s="33"/>
      <c r="L398" s="33"/>
      <c r="M398" s="36"/>
      <c r="N398" s="33"/>
      <c r="O398" s="35"/>
      <c r="P398" s="33"/>
      <c r="Q398" s="33"/>
      <c r="R398" s="36"/>
    </row>
    <row r="399" spans="5:18">
      <c r="E399" s="35"/>
      <c r="F399" s="33"/>
      <c r="G399" s="33"/>
      <c r="H399" s="36"/>
      <c r="I399" s="33"/>
      <c r="J399" s="35"/>
      <c r="K399" s="33"/>
      <c r="L399" s="33"/>
      <c r="M399" s="36"/>
      <c r="N399" s="33"/>
      <c r="O399" s="35"/>
      <c r="P399" s="33"/>
      <c r="Q399" s="33"/>
      <c r="R399" s="36"/>
    </row>
    <row r="400" spans="5:18">
      <c r="E400" s="35"/>
      <c r="F400" s="33"/>
      <c r="G400" s="33"/>
      <c r="H400" s="36"/>
      <c r="I400" s="33"/>
      <c r="J400" s="35"/>
      <c r="K400" s="33"/>
      <c r="L400" s="33"/>
      <c r="M400" s="36"/>
      <c r="N400" s="33"/>
      <c r="O400" s="35"/>
      <c r="P400" s="33"/>
      <c r="Q400" s="33"/>
      <c r="R400" s="36"/>
    </row>
    <row r="401" spans="5:18">
      <c r="E401" s="35"/>
      <c r="F401" s="33"/>
      <c r="G401" s="33"/>
      <c r="H401" s="36"/>
      <c r="I401" s="33"/>
      <c r="J401" s="35"/>
      <c r="K401" s="33"/>
      <c r="L401" s="33"/>
      <c r="M401" s="36"/>
      <c r="N401" s="33"/>
      <c r="O401" s="35"/>
      <c r="P401" s="33"/>
      <c r="Q401" s="33"/>
      <c r="R401" s="36"/>
    </row>
    <row r="402" spans="5:18">
      <c r="E402" s="35"/>
      <c r="F402" s="33"/>
      <c r="G402" s="33"/>
      <c r="H402" s="36"/>
      <c r="I402" s="33"/>
      <c r="J402" s="35"/>
      <c r="K402" s="33"/>
      <c r="L402" s="33"/>
      <c r="M402" s="36"/>
      <c r="N402" s="33"/>
      <c r="O402" s="35"/>
      <c r="P402" s="33"/>
      <c r="Q402" s="33"/>
      <c r="R402" s="36"/>
    </row>
    <row r="403" spans="5:18">
      <c r="E403" s="35"/>
      <c r="F403" s="33"/>
      <c r="G403" s="33"/>
      <c r="H403" s="36"/>
      <c r="I403" s="33"/>
      <c r="J403" s="35"/>
      <c r="K403" s="33"/>
      <c r="L403" s="33"/>
      <c r="M403" s="36"/>
      <c r="N403" s="33"/>
      <c r="O403" s="35"/>
      <c r="P403" s="33"/>
      <c r="Q403" s="33"/>
      <c r="R403" s="36"/>
    </row>
    <row r="404" spans="5:18">
      <c r="E404" s="35"/>
      <c r="F404" s="33"/>
      <c r="G404" s="33"/>
      <c r="H404" s="36"/>
      <c r="I404" s="33"/>
      <c r="J404" s="35"/>
      <c r="K404" s="33"/>
      <c r="L404" s="33"/>
      <c r="M404" s="36"/>
      <c r="N404" s="33"/>
      <c r="O404" s="35"/>
      <c r="P404" s="33"/>
      <c r="Q404" s="33"/>
      <c r="R404" s="36"/>
    </row>
    <row r="405" spans="5:18">
      <c r="E405" s="35"/>
      <c r="F405" s="33"/>
      <c r="G405" s="33"/>
      <c r="H405" s="36"/>
      <c r="I405" s="33"/>
      <c r="J405" s="35"/>
      <c r="K405" s="33"/>
      <c r="L405" s="33"/>
      <c r="M405" s="36"/>
      <c r="N405" s="33"/>
      <c r="O405" s="35"/>
      <c r="P405" s="33"/>
      <c r="Q405" s="33"/>
      <c r="R405" s="36"/>
    </row>
    <row r="406" spans="5:18">
      <c r="E406" s="35"/>
      <c r="F406" s="33"/>
      <c r="G406" s="33"/>
      <c r="H406" s="36"/>
      <c r="I406" s="33"/>
      <c r="J406" s="35"/>
      <c r="K406" s="33"/>
      <c r="L406" s="33"/>
      <c r="M406" s="36"/>
      <c r="N406" s="33"/>
      <c r="O406" s="35"/>
      <c r="P406" s="33"/>
      <c r="Q406" s="33"/>
      <c r="R406" s="36"/>
    </row>
    <row r="407" spans="5:18">
      <c r="E407" s="35"/>
      <c r="F407" s="33"/>
      <c r="G407" s="33"/>
      <c r="H407" s="36"/>
      <c r="I407" s="33"/>
      <c r="J407" s="35"/>
      <c r="K407" s="33"/>
      <c r="L407" s="33"/>
      <c r="M407" s="36"/>
      <c r="N407" s="33"/>
      <c r="O407" s="35"/>
      <c r="P407" s="33"/>
      <c r="Q407" s="33"/>
      <c r="R407" s="36"/>
    </row>
    <row r="408" spans="5:18">
      <c r="E408" s="35"/>
      <c r="F408" s="33"/>
      <c r="G408" s="33"/>
      <c r="H408" s="36"/>
      <c r="I408" s="33"/>
      <c r="J408" s="35"/>
      <c r="K408" s="33"/>
      <c r="L408" s="33"/>
      <c r="M408" s="36"/>
      <c r="N408" s="33"/>
      <c r="O408" s="35"/>
      <c r="P408" s="33"/>
      <c r="Q408" s="33"/>
      <c r="R408" s="36"/>
    </row>
    <row r="409" spans="5:18">
      <c r="E409" s="35"/>
      <c r="F409" s="33"/>
      <c r="G409" s="33"/>
      <c r="H409" s="36"/>
      <c r="I409" s="33"/>
      <c r="J409" s="35"/>
      <c r="K409" s="33"/>
      <c r="L409" s="33"/>
      <c r="M409" s="36"/>
      <c r="N409" s="33"/>
      <c r="O409" s="35"/>
      <c r="P409" s="33"/>
      <c r="Q409" s="33"/>
      <c r="R409" s="36"/>
    </row>
  </sheetData>
  <mergeCells count="23">
    <mergeCell ref="A5:A7"/>
    <mergeCell ref="B5:B7"/>
    <mergeCell ref="C5:C7"/>
    <mergeCell ref="I5:I7"/>
    <mergeCell ref="R5:R7"/>
    <mergeCell ref="L6:L7"/>
    <mergeCell ref="O6:O7"/>
    <mergeCell ref="Q6:Q7"/>
    <mergeCell ref="J6:J7"/>
    <mergeCell ref="J5:L5"/>
    <mergeCell ref="M5:M7"/>
    <mergeCell ref="N5:N7"/>
    <mergeCell ref="O5:Q5"/>
    <mergeCell ref="F6:F7"/>
    <mergeCell ref="K6:K7"/>
    <mergeCell ref="P6:P7"/>
    <mergeCell ref="B2:H2"/>
    <mergeCell ref="B3:H3"/>
    <mergeCell ref="D5:D7"/>
    <mergeCell ref="E5:G5"/>
    <mergeCell ref="H5:H7"/>
    <mergeCell ref="E6:E7"/>
    <mergeCell ref="G6:G7"/>
  </mergeCells>
  <phoneticPr fontId="27" type="noConversion"/>
  <pageMargins left="0.27559055118110237" right="0.27559055118110237" top="0.39370078740157483" bottom="0.43307086614173229" header="0.23622047244094491" footer="0.23622047244094491"/>
  <pageSetup paperSize="9" scale="60" orientation="landscape" r:id="rId1"/>
  <headerFooter alignWithMargins="0">
    <oddFooter>&amp;L&amp;F&amp;C&amp;P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sheetPr>
  <dimension ref="A1:R412"/>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E45" sqref="E45"/>
    </sheetView>
  </sheetViews>
  <sheetFormatPr defaultColWidth="9.109375" defaultRowHeight="10.199999999999999"/>
  <cols>
    <col min="1" max="1" width="11.44140625" style="21" bestFit="1" customWidth="1"/>
    <col min="2" max="2" width="40.33203125" style="1" customWidth="1"/>
    <col min="3" max="3" width="13" style="22" customWidth="1"/>
    <col min="4" max="4" width="12" style="21" customWidth="1"/>
    <col min="5" max="5" width="12" style="274" customWidth="1"/>
    <col min="6" max="7" width="11.44140625" style="274" customWidth="1"/>
    <col min="8" max="8" width="11.6640625" style="533" customWidth="1"/>
    <col min="9" max="9" width="11.44140625" style="274" customWidth="1"/>
    <col min="10" max="10" width="12" style="274" customWidth="1"/>
    <col min="11" max="12" width="11.44140625" style="274" customWidth="1"/>
    <col min="13" max="13" width="11.6640625" style="533" customWidth="1"/>
    <col min="14" max="14" width="11.44140625" style="274" customWidth="1"/>
    <col min="15" max="15" width="12" style="274" customWidth="1"/>
    <col min="16" max="17" width="11.44140625" style="274" customWidth="1"/>
    <col min="18" max="18" width="11.6640625" style="533" customWidth="1"/>
    <col min="19" max="16384" width="9.109375" style="3"/>
  </cols>
  <sheetData>
    <row r="1" spans="1:18" ht="13.2">
      <c r="A1" s="216"/>
      <c r="B1" s="216"/>
      <c r="C1" s="216"/>
      <c r="D1" s="216"/>
      <c r="E1" s="216"/>
      <c r="F1" s="422"/>
      <c r="G1" s="422"/>
      <c r="H1" s="531"/>
      <c r="I1" s="422"/>
      <c r="J1" s="422"/>
      <c r="K1" s="422"/>
      <c r="L1" s="422"/>
      <c r="M1" s="531"/>
      <c r="N1" s="422"/>
      <c r="O1" s="422"/>
      <c r="P1" s="422"/>
      <c r="Q1" s="422"/>
      <c r="R1" s="531"/>
    </row>
    <row r="2" spans="1:18" ht="13.2">
      <c r="A2" s="219"/>
      <c r="B2" s="1399"/>
      <c r="C2" s="1399"/>
      <c r="D2" s="1399"/>
      <c r="E2" s="1399"/>
      <c r="F2" s="1399"/>
      <c r="G2" s="1399"/>
      <c r="H2" s="1399"/>
      <c r="I2" s="423"/>
      <c r="J2" s="423"/>
      <c r="K2" s="423"/>
      <c r="L2" s="423"/>
      <c r="M2" s="220"/>
      <c r="N2" s="423"/>
      <c r="O2" s="423"/>
      <c r="P2" s="423"/>
      <c r="Q2" s="423"/>
      <c r="R2" s="220"/>
    </row>
    <row r="3" spans="1:18" s="1" customFormat="1" ht="12.75" customHeight="1">
      <c r="A3" s="221"/>
      <c r="B3" s="1400" t="s">
        <v>489</v>
      </c>
      <c r="C3" s="1400"/>
      <c r="D3" s="1400"/>
      <c r="E3" s="1400"/>
      <c r="F3" s="1400"/>
      <c r="G3" s="1400"/>
      <c r="H3" s="1400"/>
      <c r="I3" s="578"/>
      <c r="J3" s="578"/>
      <c r="K3" s="578"/>
      <c r="L3" s="578"/>
      <c r="M3" s="220"/>
      <c r="N3" s="578"/>
      <c r="O3" s="578"/>
      <c r="P3" s="578"/>
      <c r="Q3" s="578"/>
      <c r="R3" s="220"/>
    </row>
    <row r="4" spans="1:18" s="1" customFormat="1" ht="13.2">
      <c r="A4" s="221"/>
      <c r="B4" s="578"/>
      <c r="C4" s="222"/>
      <c r="D4" s="578"/>
      <c r="E4" s="578"/>
      <c r="F4" s="578"/>
      <c r="G4" s="578"/>
      <c r="H4" s="578"/>
      <c r="I4" s="578"/>
      <c r="J4" s="578"/>
      <c r="K4" s="578"/>
      <c r="L4" s="578"/>
      <c r="M4" s="578"/>
      <c r="N4" s="578"/>
      <c r="O4" s="578"/>
      <c r="P4" s="578"/>
      <c r="Q4" s="578"/>
      <c r="R4" s="578"/>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8"/>
      <c r="B9" s="389" t="s">
        <v>135</v>
      </c>
      <c r="C9" s="387"/>
      <c r="D9" s="387"/>
      <c r="E9" s="226"/>
      <c r="F9" s="226"/>
      <c r="G9" s="226"/>
      <c r="H9" s="226"/>
      <c r="I9" s="365"/>
      <c r="J9" s="226"/>
      <c r="K9" s="226"/>
      <c r="L9" s="226"/>
      <c r="M9" s="226"/>
      <c r="N9" s="365"/>
      <c r="O9" s="226"/>
      <c r="P9" s="226"/>
      <c r="Q9" s="226"/>
      <c r="R9" s="226"/>
    </row>
    <row r="10" spans="1:18" s="4" customFormat="1" ht="20.399999999999999">
      <c r="A10" s="129" t="s">
        <v>201</v>
      </c>
      <c r="B10" s="99" t="s">
        <v>88</v>
      </c>
      <c r="C10" s="103">
        <v>3450477</v>
      </c>
      <c r="D10" s="103">
        <v>3385033</v>
      </c>
      <c r="E10" s="228">
        <f>E11+E12+E14+E32</f>
        <v>0</v>
      </c>
      <c r="F10" s="228">
        <f>F11+F12+F14+F32</f>
        <v>865933</v>
      </c>
      <c r="G10" s="228">
        <f>G11+G12+G14+G32</f>
        <v>56190</v>
      </c>
      <c r="H10" s="243">
        <f t="shared" ref="H10:H73" si="0">SUM(D10:G10)</f>
        <v>4307156</v>
      </c>
      <c r="I10" s="228">
        <v>2806301</v>
      </c>
      <c r="J10" s="228">
        <f>J11+J12+J14+J32</f>
        <v>0</v>
      </c>
      <c r="K10" s="228">
        <f>K11+K12+K14+K32</f>
        <v>139835</v>
      </c>
      <c r="L10" s="228">
        <f>L11+L12+L14+L32</f>
        <v>4250</v>
      </c>
      <c r="M10" s="243">
        <f t="shared" ref="M10:M73" si="1">SUM(I10:L10)</f>
        <v>2950386</v>
      </c>
      <c r="N10" s="228">
        <v>2760958</v>
      </c>
      <c r="O10" s="228">
        <f>O11+O12+O14+O32</f>
        <v>0</v>
      </c>
      <c r="P10" s="228">
        <f>P11+P12+P14+P32</f>
        <v>105922</v>
      </c>
      <c r="Q10" s="228">
        <f>Q11+Q12+Q14+Q32</f>
        <v>4250</v>
      </c>
      <c r="R10" s="229">
        <f t="shared" ref="R10:R73" si="2">SUM(N10:Q10)</f>
        <v>2871130</v>
      </c>
    </row>
    <row r="11" spans="1:18" ht="22.8">
      <c r="A11" s="130" t="s">
        <v>177</v>
      </c>
      <c r="B11" s="100" t="s">
        <v>90</v>
      </c>
      <c r="C11" s="105">
        <v>187146</v>
      </c>
      <c r="D11" s="105">
        <v>187146</v>
      </c>
      <c r="E11" s="231"/>
      <c r="F11" s="231"/>
      <c r="G11" s="231"/>
      <c r="H11" s="233">
        <f t="shared" si="0"/>
        <v>187146</v>
      </c>
      <c r="I11" s="231">
        <v>187146</v>
      </c>
      <c r="J11" s="231"/>
      <c r="K11" s="231"/>
      <c r="L11" s="231"/>
      <c r="M11" s="233">
        <f t="shared" si="1"/>
        <v>187146</v>
      </c>
      <c r="N11" s="231">
        <v>187146</v>
      </c>
      <c r="O11" s="231"/>
      <c r="P11" s="231"/>
      <c r="Q11" s="231"/>
      <c r="R11" s="232">
        <f t="shared" si="2"/>
        <v>187146</v>
      </c>
    </row>
    <row r="12" spans="1:18" ht="12" hidden="1" customHeight="1">
      <c r="A12" s="130" t="s">
        <v>91</v>
      </c>
      <c r="B12" s="100" t="s">
        <v>92</v>
      </c>
      <c r="C12" s="105"/>
      <c r="D12" s="105">
        <v>0</v>
      </c>
      <c r="E12" s="231"/>
      <c r="F12" s="231"/>
      <c r="G12" s="231"/>
      <c r="H12" s="233">
        <f t="shared" si="0"/>
        <v>0</v>
      </c>
      <c r="I12" s="231">
        <v>0</v>
      </c>
      <c r="J12" s="231"/>
      <c r="K12" s="231"/>
      <c r="L12" s="231"/>
      <c r="M12" s="233">
        <f t="shared" si="1"/>
        <v>0</v>
      </c>
      <c r="N12" s="231">
        <v>0</v>
      </c>
      <c r="O12" s="231"/>
      <c r="P12" s="231"/>
      <c r="Q12" s="231"/>
      <c r="R12" s="232">
        <f t="shared" si="2"/>
        <v>0</v>
      </c>
    </row>
    <row r="13" spans="1:18" ht="24" hidden="1" customHeight="1">
      <c r="A13" s="131">
        <v>21210</v>
      </c>
      <c r="B13" s="101" t="s">
        <v>93</v>
      </c>
      <c r="C13" s="105"/>
      <c r="D13" s="105">
        <v>0</v>
      </c>
      <c r="E13" s="231"/>
      <c r="F13" s="231"/>
      <c r="G13" s="231"/>
      <c r="H13" s="233">
        <f t="shared" si="0"/>
        <v>0</v>
      </c>
      <c r="I13" s="231">
        <v>0</v>
      </c>
      <c r="J13" s="231"/>
      <c r="K13" s="231"/>
      <c r="L13" s="231"/>
      <c r="M13" s="233">
        <f t="shared" si="1"/>
        <v>0</v>
      </c>
      <c r="N13" s="231">
        <v>0</v>
      </c>
      <c r="O13" s="231"/>
      <c r="P13" s="231"/>
      <c r="Q13" s="231"/>
      <c r="R13" s="232">
        <f t="shared" si="2"/>
        <v>0</v>
      </c>
    </row>
    <row r="14" spans="1:18" ht="21" hidden="1" customHeight="1">
      <c r="A14" s="130" t="s">
        <v>178</v>
      </c>
      <c r="B14" s="100" t="s">
        <v>94</v>
      </c>
      <c r="C14" s="107">
        <v>0</v>
      </c>
      <c r="D14" s="107">
        <v>0</v>
      </c>
      <c r="E14" s="233">
        <f>E15+E21</f>
        <v>0</v>
      </c>
      <c r="F14" s="233">
        <f>F15+F21</f>
        <v>0</v>
      </c>
      <c r="G14" s="233">
        <f>G15+G21</f>
        <v>0</v>
      </c>
      <c r="H14" s="233">
        <f t="shared" si="0"/>
        <v>0</v>
      </c>
      <c r="I14" s="233">
        <v>0</v>
      </c>
      <c r="J14" s="233">
        <f>J15+J21</f>
        <v>0</v>
      </c>
      <c r="K14" s="233">
        <f>K15+K21</f>
        <v>0</v>
      </c>
      <c r="L14" s="233">
        <f>L15+L21</f>
        <v>0</v>
      </c>
      <c r="M14" s="233">
        <f t="shared" si="1"/>
        <v>0</v>
      </c>
      <c r="N14" s="233">
        <v>0</v>
      </c>
      <c r="O14" s="233">
        <f>O15+O21</f>
        <v>0</v>
      </c>
      <c r="P14" s="233">
        <f>P15+P21</f>
        <v>0</v>
      </c>
      <c r="Q14" s="233">
        <f>Q15+Q21</f>
        <v>0</v>
      </c>
      <c r="R14" s="232">
        <f t="shared" si="2"/>
        <v>0</v>
      </c>
    </row>
    <row r="15" spans="1:18" ht="12" hidden="1" customHeight="1">
      <c r="A15" s="132">
        <v>18000</v>
      </c>
      <c r="B15" s="101" t="s">
        <v>95</v>
      </c>
      <c r="C15" s="107">
        <v>0</v>
      </c>
      <c r="D15" s="107">
        <v>0</v>
      </c>
      <c r="E15" s="233">
        <f t="shared" ref="E15:L16" si="3">E16</f>
        <v>0</v>
      </c>
      <c r="F15" s="233">
        <f t="shared" si="3"/>
        <v>0</v>
      </c>
      <c r="G15" s="233">
        <f t="shared" si="3"/>
        <v>0</v>
      </c>
      <c r="H15" s="233">
        <f t="shared" si="0"/>
        <v>0</v>
      </c>
      <c r="I15" s="233">
        <v>0</v>
      </c>
      <c r="J15" s="233">
        <f t="shared" si="3"/>
        <v>0</v>
      </c>
      <c r="K15" s="233">
        <f t="shared" si="3"/>
        <v>0</v>
      </c>
      <c r="L15" s="233">
        <f t="shared" si="3"/>
        <v>0</v>
      </c>
      <c r="M15" s="233">
        <f t="shared" si="1"/>
        <v>0</v>
      </c>
      <c r="N15" s="233">
        <v>0</v>
      </c>
      <c r="O15" s="233">
        <f t="shared" ref="O15:Q16" si="4">O16</f>
        <v>0</v>
      </c>
      <c r="P15" s="233">
        <f t="shared" si="4"/>
        <v>0</v>
      </c>
      <c r="Q15" s="233">
        <f t="shared" si="4"/>
        <v>0</v>
      </c>
      <c r="R15" s="232">
        <f t="shared" si="2"/>
        <v>0</v>
      </c>
    </row>
    <row r="16" spans="1:18" ht="12" hidden="1" customHeight="1">
      <c r="A16" s="132">
        <v>18100</v>
      </c>
      <c r="B16" s="101" t="s">
        <v>96</v>
      </c>
      <c r="C16" s="107">
        <v>0</v>
      </c>
      <c r="D16" s="107">
        <v>0</v>
      </c>
      <c r="E16" s="233">
        <f>E17</f>
        <v>0</v>
      </c>
      <c r="F16" s="233">
        <f t="shared" si="3"/>
        <v>0</v>
      </c>
      <c r="G16" s="233">
        <f t="shared" si="3"/>
        <v>0</v>
      </c>
      <c r="H16" s="233">
        <f t="shared" si="0"/>
        <v>0</v>
      </c>
      <c r="I16" s="233">
        <v>0</v>
      </c>
      <c r="J16" s="233">
        <f>J17</f>
        <v>0</v>
      </c>
      <c r="K16" s="233">
        <f t="shared" si="3"/>
        <v>0</v>
      </c>
      <c r="L16" s="233">
        <f t="shared" si="3"/>
        <v>0</v>
      </c>
      <c r="M16" s="233">
        <f t="shared" si="1"/>
        <v>0</v>
      </c>
      <c r="N16" s="233">
        <v>0</v>
      </c>
      <c r="O16" s="233">
        <f t="shared" si="4"/>
        <v>0</v>
      </c>
      <c r="P16" s="233">
        <f t="shared" si="4"/>
        <v>0</v>
      </c>
      <c r="Q16" s="233">
        <f t="shared" si="4"/>
        <v>0</v>
      </c>
      <c r="R16" s="232">
        <f t="shared" si="2"/>
        <v>0</v>
      </c>
    </row>
    <row r="17" spans="1:18" s="4" customFormat="1" ht="24" hidden="1" customHeight="1">
      <c r="A17" s="133">
        <v>18130</v>
      </c>
      <c r="B17" s="108" t="s">
        <v>159</v>
      </c>
      <c r="C17" s="107">
        <v>0</v>
      </c>
      <c r="D17" s="107">
        <v>0</v>
      </c>
      <c r="E17" s="233">
        <f>SUM(E18:E20)</f>
        <v>0</v>
      </c>
      <c r="F17" s="233">
        <f>SUM(F18:F20)</f>
        <v>0</v>
      </c>
      <c r="G17" s="233">
        <f>SUM(G18:G20)</f>
        <v>0</v>
      </c>
      <c r="H17" s="233">
        <f t="shared" si="0"/>
        <v>0</v>
      </c>
      <c r="I17" s="233">
        <v>0</v>
      </c>
      <c r="J17" s="233">
        <f>SUM(J18:J20)</f>
        <v>0</v>
      </c>
      <c r="K17" s="233">
        <f>SUM(K18:K20)</f>
        <v>0</v>
      </c>
      <c r="L17" s="233">
        <f>SUM(L18:L20)</f>
        <v>0</v>
      </c>
      <c r="M17" s="233">
        <f t="shared" si="1"/>
        <v>0</v>
      </c>
      <c r="N17" s="233">
        <v>0</v>
      </c>
      <c r="O17" s="233">
        <f>SUM(O18:O20)</f>
        <v>0</v>
      </c>
      <c r="P17" s="233">
        <f>SUM(P18:P20)</f>
        <v>0</v>
      </c>
      <c r="Q17" s="233">
        <f>SUM(Q18:Q20)</f>
        <v>0</v>
      </c>
      <c r="R17" s="232">
        <f t="shared" si="2"/>
        <v>0</v>
      </c>
    </row>
    <row r="18" spans="1:18" s="6" customFormat="1" ht="36" hidden="1" customHeight="1">
      <c r="A18" s="134">
        <v>18131</v>
      </c>
      <c r="B18" s="108" t="s">
        <v>160</v>
      </c>
      <c r="C18" s="107"/>
      <c r="D18" s="107">
        <v>0</v>
      </c>
      <c r="E18" s="233"/>
      <c r="F18" s="233"/>
      <c r="G18" s="233"/>
      <c r="H18" s="233">
        <f t="shared" si="0"/>
        <v>0</v>
      </c>
      <c r="I18" s="233">
        <v>0</v>
      </c>
      <c r="J18" s="233"/>
      <c r="K18" s="233"/>
      <c r="L18" s="233"/>
      <c r="M18" s="233">
        <f t="shared" si="1"/>
        <v>0</v>
      </c>
      <c r="N18" s="233">
        <v>0</v>
      </c>
      <c r="O18" s="233"/>
      <c r="P18" s="233"/>
      <c r="Q18" s="233"/>
      <c r="R18" s="232">
        <f t="shared" si="2"/>
        <v>0</v>
      </c>
    </row>
    <row r="19" spans="1:18" s="6" customFormat="1" ht="24" hidden="1" customHeight="1">
      <c r="A19" s="134">
        <v>18132</v>
      </c>
      <c r="B19" s="108" t="s">
        <v>169</v>
      </c>
      <c r="C19" s="107"/>
      <c r="D19" s="107">
        <v>0</v>
      </c>
      <c r="E19" s="233"/>
      <c r="F19" s="233"/>
      <c r="G19" s="233"/>
      <c r="H19" s="233">
        <f t="shared" si="0"/>
        <v>0</v>
      </c>
      <c r="I19" s="233">
        <v>0</v>
      </c>
      <c r="J19" s="233"/>
      <c r="K19" s="233"/>
      <c r="L19" s="233"/>
      <c r="M19" s="233">
        <f t="shared" si="1"/>
        <v>0</v>
      </c>
      <c r="N19" s="233">
        <v>0</v>
      </c>
      <c r="O19" s="233"/>
      <c r="P19" s="233"/>
      <c r="Q19" s="233"/>
      <c r="R19" s="232">
        <f t="shared" si="2"/>
        <v>0</v>
      </c>
    </row>
    <row r="20" spans="1:18" s="6" customFormat="1" ht="24" hidden="1" customHeight="1">
      <c r="A20" s="134">
        <v>18139</v>
      </c>
      <c r="B20" s="108" t="s">
        <v>179</v>
      </c>
      <c r="C20" s="107"/>
      <c r="D20" s="107">
        <v>0</v>
      </c>
      <c r="E20" s="233"/>
      <c r="F20" s="233"/>
      <c r="G20" s="233"/>
      <c r="H20" s="233">
        <f t="shared" si="0"/>
        <v>0</v>
      </c>
      <c r="I20" s="233">
        <v>0</v>
      </c>
      <c r="J20" s="233"/>
      <c r="K20" s="233"/>
      <c r="L20" s="233"/>
      <c r="M20" s="233">
        <f t="shared" si="1"/>
        <v>0</v>
      </c>
      <c r="N20" s="233">
        <v>0</v>
      </c>
      <c r="O20" s="233"/>
      <c r="P20" s="233"/>
      <c r="Q20" s="233"/>
      <c r="R20" s="232">
        <f t="shared" si="2"/>
        <v>0</v>
      </c>
    </row>
    <row r="21" spans="1:18" s="6" customFormat="1" ht="12" hidden="1" customHeight="1">
      <c r="A21" s="135" t="s">
        <v>180</v>
      </c>
      <c r="B21" s="109" t="s">
        <v>173</v>
      </c>
      <c r="C21" s="110">
        <v>0</v>
      </c>
      <c r="D21" s="110">
        <v>0</v>
      </c>
      <c r="E21" s="238">
        <f t="shared" ref="E21:L21" si="5">E22</f>
        <v>0</v>
      </c>
      <c r="F21" s="238">
        <f t="shared" si="5"/>
        <v>0</v>
      </c>
      <c r="G21" s="238">
        <f t="shared" si="5"/>
        <v>0</v>
      </c>
      <c r="H21" s="233">
        <f t="shared" si="0"/>
        <v>0</v>
      </c>
      <c r="I21" s="238">
        <v>0</v>
      </c>
      <c r="J21" s="238">
        <f t="shared" si="5"/>
        <v>0</v>
      </c>
      <c r="K21" s="238">
        <f t="shared" si="5"/>
        <v>0</v>
      </c>
      <c r="L21" s="238">
        <f t="shared" si="5"/>
        <v>0</v>
      </c>
      <c r="M21" s="233">
        <f t="shared" si="1"/>
        <v>0</v>
      </c>
      <c r="N21" s="238">
        <v>0</v>
      </c>
      <c r="O21" s="238">
        <f>O22</f>
        <v>0</v>
      </c>
      <c r="P21" s="238">
        <f>P22</f>
        <v>0</v>
      </c>
      <c r="Q21" s="238">
        <f>Q22</f>
        <v>0</v>
      </c>
      <c r="R21" s="232">
        <f t="shared" si="2"/>
        <v>0</v>
      </c>
    </row>
    <row r="22" spans="1:18" s="6" customFormat="1" ht="24" hidden="1" customHeight="1">
      <c r="A22" s="135">
        <v>19500</v>
      </c>
      <c r="B22" s="108" t="s">
        <v>174</v>
      </c>
      <c r="C22" s="107">
        <v>0</v>
      </c>
      <c r="D22" s="107">
        <v>0</v>
      </c>
      <c r="E22" s="233">
        <f>SUM(E23:E25)</f>
        <v>0</v>
      </c>
      <c r="F22" s="233">
        <f>SUM(F23:F25)</f>
        <v>0</v>
      </c>
      <c r="G22" s="233">
        <f>SUM(G23:G25)</f>
        <v>0</v>
      </c>
      <c r="H22" s="233">
        <f t="shared" si="0"/>
        <v>0</v>
      </c>
      <c r="I22" s="233">
        <v>0</v>
      </c>
      <c r="J22" s="233">
        <f>SUM(J23:J25)</f>
        <v>0</v>
      </c>
      <c r="K22" s="233">
        <f>SUM(K23:K25)</f>
        <v>0</v>
      </c>
      <c r="L22" s="233">
        <f>SUM(L23:L25)</f>
        <v>0</v>
      </c>
      <c r="M22" s="233">
        <f t="shared" si="1"/>
        <v>0</v>
      </c>
      <c r="N22" s="233">
        <v>0</v>
      </c>
      <c r="O22" s="233">
        <f>SUM(O23:O25)</f>
        <v>0</v>
      </c>
      <c r="P22" s="233">
        <f>SUM(P23:P25)</f>
        <v>0</v>
      </c>
      <c r="Q22" s="233">
        <f>SUM(Q23:Q25)</f>
        <v>0</v>
      </c>
      <c r="R22" s="232">
        <f t="shared" si="2"/>
        <v>0</v>
      </c>
    </row>
    <row r="23" spans="1:18" s="6" customFormat="1" ht="24" hidden="1" customHeight="1">
      <c r="A23" s="136">
        <v>19550</v>
      </c>
      <c r="B23" s="108" t="s">
        <v>175</v>
      </c>
      <c r="C23" s="107"/>
      <c r="D23" s="107">
        <v>0</v>
      </c>
      <c r="E23" s="233"/>
      <c r="F23" s="233"/>
      <c r="G23" s="233"/>
      <c r="H23" s="233">
        <f t="shared" si="0"/>
        <v>0</v>
      </c>
      <c r="I23" s="233">
        <v>0</v>
      </c>
      <c r="J23" s="233"/>
      <c r="K23" s="233"/>
      <c r="L23" s="233"/>
      <c r="M23" s="233">
        <f t="shared" si="1"/>
        <v>0</v>
      </c>
      <c r="N23" s="233">
        <v>0</v>
      </c>
      <c r="O23" s="233"/>
      <c r="P23" s="233"/>
      <c r="Q23" s="233"/>
      <c r="R23" s="232">
        <f t="shared" si="2"/>
        <v>0</v>
      </c>
    </row>
    <row r="24" spans="1:18" s="6" customFormat="1" ht="36" hidden="1" customHeight="1">
      <c r="A24" s="136">
        <v>19560</v>
      </c>
      <c r="B24" s="108" t="s">
        <v>181</v>
      </c>
      <c r="C24" s="107"/>
      <c r="D24" s="107">
        <v>0</v>
      </c>
      <c r="E24" s="233"/>
      <c r="F24" s="233"/>
      <c r="G24" s="233"/>
      <c r="H24" s="233">
        <f t="shared" si="0"/>
        <v>0</v>
      </c>
      <c r="I24" s="233">
        <v>0</v>
      </c>
      <c r="J24" s="233"/>
      <c r="K24" s="233"/>
      <c r="L24" s="233"/>
      <c r="M24" s="233">
        <f t="shared" si="1"/>
        <v>0</v>
      </c>
      <c r="N24" s="233">
        <v>0</v>
      </c>
      <c r="O24" s="233"/>
      <c r="P24" s="233"/>
      <c r="Q24" s="233"/>
      <c r="R24" s="232">
        <f t="shared" si="2"/>
        <v>0</v>
      </c>
    </row>
    <row r="25" spans="1:18" s="6" customFormat="1" ht="72" hidden="1" customHeight="1">
      <c r="A25" s="136">
        <v>19570</v>
      </c>
      <c r="B25" s="108" t="s">
        <v>182</v>
      </c>
      <c r="C25" s="107"/>
      <c r="D25" s="107">
        <v>0</v>
      </c>
      <c r="E25" s="233"/>
      <c r="F25" s="233"/>
      <c r="G25" s="233"/>
      <c r="H25" s="233">
        <f t="shared" si="0"/>
        <v>0</v>
      </c>
      <c r="I25" s="233">
        <v>0</v>
      </c>
      <c r="J25" s="233"/>
      <c r="K25" s="233"/>
      <c r="L25" s="233"/>
      <c r="M25" s="233">
        <f t="shared" si="1"/>
        <v>0</v>
      </c>
      <c r="N25" s="233">
        <v>0</v>
      </c>
      <c r="O25" s="233"/>
      <c r="P25" s="233"/>
      <c r="Q25" s="233"/>
      <c r="R25" s="232">
        <f t="shared" si="2"/>
        <v>0</v>
      </c>
    </row>
    <row r="26" spans="1:18" s="6" customFormat="1" ht="24" hidden="1" customHeight="1">
      <c r="A26" s="209" t="s">
        <v>222</v>
      </c>
      <c r="B26" s="208" t="s">
        <v>216</v>
      </c>
      <c r="C26" s="107">
        <f>C27</f>
        <v>0</v>
      </c>
      <c r="D26" s="107">
        <v>0</v>
      </c>
      <c r="E26" s="233">
        <f t="shared" ref="E26:L26" si="6">E27</f>
        <v>0</v>
      </c>
      <c r="F26" s="233">
        <f t="shared" si="6"/>
        <v>0</v>
      </c>
      <c r="G26" s="233">
        <f t="shared" si="6"/>
        <v>0</v>
      </c>
      <c r="H26" s="233">
        <f t="shared" si="0"/>
        <v>0</v>
      </c>
      <c r="I26" s="233">
        <v>0</v>
      </c>
      <c r="J26" s="233">
        <f t="shared" si="6"/>
        <v>0</v>
      </c>
      <c r="K26" s="233">
        <f t="shared" si="6"/>
        <v>0</v>
      </c>
      <c r="L26" s="233">
        <f t="shared" si="6"/>
        <v>0</v>
      </c>
      <c r="M26" s="233">
        <f t="shared" si="1"/>
        <v>0</v>
      </c>
      <c r="N26" s="233">
        <v>0</v>
      </c>
      <c r="O26" s="233">
        <f>O27</f>
        <v>0</v>
      </c>
      <c r="P26" s="233">
        <f>P27</f>
        <v>0</v>
      </c>
      <c r="Q26" s="233">
        <f>Q27</f>
        <v>0</v>
      </c>
      <c r="R26" s="232">
        <f t="shared" si="2"/>
        <v>0</v>
      </c>
    </row>
    <row r="27" spans="1:18" s="6" customFormat="1" ht="36" hidden="1" customHeight="1">
      <c r="A27" s="209">
        <v>17100</v>
      </c>
      <c r="B27" s="208" t="s">
        <v>217</v>
      </c>
      <c r="C27" s="107">
        <f>SUM(C28:C31)</f>
        <v>0</v>
      </c>
      <c r="D27" s="107">
        <v>0</v>
      </c>
      <c r="E27" s="233">
        <f>SUM(E28:E31)</f>
        <v>0</v>
      </c>
      <c r="F27" s="233">
        <f>SUM(F28:F31)</f>
        <v>0</v>
      </c>
      <c r="G27" s="233">
        <f>SUM(G28:G31)</f>
        <v>0</v>
      </c>
      <c r="H27" s="233">
        <f t="shared" si="0"/>
        <v>0</v>
      </c>
      <c r="I27" s="233">
        <v>0</v>
      </c>
      <c r="J27" s="233">
        <f>SUM(J28:J31)</f>
        <v>0</v>
      </c>
      <c r="K27" s="233">
        <f>SUM(K28:K31)</f>
        <v>0</v>
      </c>
      <c r="L27" s="233">
        <f>SUM(L28:L31)</f>
        <v>0</v>
      </c>
      <c r="M27" s="233">
        <f t="shared" si="1"/>
        <v>0</v>
      </c>
      <c r="N27" s="233">
        <v>0</v>
      </c>
      <c r="O27" s="233">
        <f>SUM(O28:O31)</f>
        <v>0</v>
      </c>
      <c r="P27" s="233">
        <f>SUM(P28:P31)</f>
        <v>0</v>
      </c>
      <c r="Q27" s="233">
        <f>SUM(Q28:Q31)</f>
        <v>0</v>
      </c>
      <c r="R27" s="232">
        <f t="shared" si="2"/>
        <v>0</v>
      </c>
    </row>
    <row r="28" spans="1:18" s="6" customFormat="1" ht="48" hidden="1" customHeight="1">
      <c r="A28" s="149">
        <v>17110</v>
      </c>
      <c r="B28" s="208" t="s">
        <v>218</v>
      </c>
      <c r="C28" s="107"/>
      <c r="D28" s="107">
        <v>0</v>
      </c>
      <c r="E28" s="233"/>
      <c r="F28" s="233"/>
      <c r="G28" s="233"/>
      <c r="H28" s="233">
        <f t="shared" si="0"/>
        <v>0</v>
      </c>
      <c r="I28" s="233">
        <v>0</v>
      </c>
      <c r="J28" s="233"/>
      <c r="K28" s="233"/>
      <c r="L28" s="233"/>
      <c r="M28" s="233">
        <f t="shared" si="1"/>
        <v>0</v>
      </c>
      <c r="N28" s="233">
        <v>0</v>
      </c>
      <c r="O28" s="233"/>
      <c r="P28" s="233"/>
      <c r="Q28" s="233"/>
      <c r="R28" s="232">
        <f t="shared" si="2"/>
        <v>0</v>
      </c>
    </row>
    <row r="29" spans="1:18" s="6" customFormat="1" ht="48" hidden="1" customHeight="1">
      <c r="A29" s="149">
        <v>17120</v>
      </c>
      <c r="B29" s="208" t="s">
        <v>219</v>
      </c>
      <c r="C29" s="107"/>
      <c r="D29" s="107">
        <v>0</v>
      </c>
      <c r="E29" s="233"/>
      <c r="F29" s="233"/>
      <c r="G29" s="233"/>
      <c r="H29" s="233">
        <f t="shared" si="0"/>
        <v>0</v>
      </c>
      <c r="I29" s="233">
        <v>0</v>
      </c>
      <c r="J29" s="233"/>
      <c r="K29" s="233"/>
      <c r="L29" s="233"/>
      <c r="M29" s="233">
        <f t="shared" si="1"/>
        <v>0</v>
      </c>
      <c r="N29" s="233">
        <v>0</v>
      </c>
      <c r="O29" s="233"/>
      <c r="P29" s="233"/>
      <c r="Q29" s="233"/>
      <c r="R29" s="232">
        <f t="shared" si="2"/>
        <v>0</v>
      </c>
    </row>
    <row r="30" spans="1:18" s="6" customFormat="1" ht="96" hidden="1" customHeight="1">
      <c r="A30" s="149">
        <v>17130</v>
      </c>
      <c r="B30" s="208" t="s">
        <v>220</v>
      </c>
      <c r="C30" s="107"/>
      <c r="D30" s="107">
        <v>0</v>
      </c>
      <c r="E30" s="233"/>
      <c r="F30" s="233"/>
      <c r="G30" s="233"/>
      <c r="H30" s="233">
        <f t="shared" si="0"/>
        <v>0</v>
      </c>
      <c r="I30" s="233">
        <v>0</v>
      </c>
      <c r="J30" s="233"/>
      <c r="K30" s="233"/>
      <c r="L30" s="233"/>
      <c r="M30" s="233">
        <f t="shared" si="1"/>
        <v>0</v>
      </c>
      <c r="N30" s="233">
        <v>0</v>
      </c>
      <c r="O30" s="233"/>
      <c r="P30" s="233"/>
      <c r="Q30" s="233"/>
      <c r="R30" s="232">
        <f t="shared" si="2"/>
        <v>0</v>
      </c>
    </row>
    <row r="31" spans="1:18" s="6" customFormat="1" ht="96" hidden="1" customHeight="1">
      <c r="A31" s="149">
        <v>17140</v>
      </c>
      <c r="B31" s="208" t="s">
        <v>221</v>
      </c>
      <c r="C31" s="107"/>
      <c r="D31" s="107">
        <v>0</v>
      </c>
      <c r="E31" s="233"/>
      <c r="F31" s="233"/>
      <c r="G31" s="233"/>
      <c r="H31" s="233">
        <f t="shared" si="0"/>
        <v>0</v>
      </c>
      <c r="I31" s="233">
        <v>0</v>
      </c>
      <c r="J31" s="233"/>
      <c r="K31" s="233"/>
      <c r="L31" s="233"/>
      <c r="M31" s="233">
        <f t="shared" si="1"/>
        <v>0</v>
      </c>
      <c r="N31" s="233">
        <v>0</v>
      </c>
      <c r="O31" s="233"/>
      <c r="P31" s="233"/>
      <c r="Q31" s="233"/>
      <c r="R31" s="232">
        <f t="shared" si="2"/>
        <v>0</v>
      </c>
    </row>
    <row r="32" spans="1:18" s="6" customFormat="1" ht="12">
      <c r="A32" s="137">
        <v>21700</v>
      </c>
      <c r="B32" s="100" t="s">
        <v>97</v>
      </c>
      <c r="C32" s="107">
        <v>3263331</v>
      </c>
      <c r="D32" s="107">
        <v>3197887</v>
      </c>
      <c r="E32" s="233">
        <f>E33+E34</f>
        <v>0</v>
      </c>
      <c r="F32" s="233">
        <f>F33+F34</f>
        <v>865933</v>
      </c>
      <c r="G32" s="233">
        <f>G33+G34</f>
        <v>56190</v>
      </c>
      <c r="H32" s="233">
        <f t="shared" si="0"/>
        <v>4120010</v>
      </c>
      <c r="I32" s="233">
        <v>2619155</v>
      </c>
      <c r="J32" s="233">
        <f>J33+J34</f>
        <v>0</v>
      </c>
      <c r="K32" s="233">
        <f>K33+K34</f>
        <v>139835</v>
      </c>
      <c r="L32" s="233">
        <f>L33+L34</f>
        <v>4250</v>
      </c>
      <c r="M32" s="233">
        <f t="shared" si="1"/>
        <v>2763240</v>
      </c>
      <c r="N32" s="233">
        <v>2573812</v>
      </c>
      <c r="O32" s="233">
        <f>O33+O34</f>
        <v>0</v>
      </c>
      <c r="P32" s="233">
        <f>P33+P34</f>
        <v>105922</v>
      </c>
      <c r="Q32" s="233">
        <f>Q33+Q34</f>
        <v>4250</v>
      </c>
      <c r="R32" s="232">
        <f t="shared" si="2"/>
        <v>2683984</v>
      </c>
    </row>
    <row r="33" spans="1:18" s="6" customFormat="1" ht="24">
      <c r="A33" s="138">
        <v>21710</v>
      </c>
      <c r="B33" s="101" t="s">
        <v>98</v>
      </c>
      <c r="C33" s="107">
        <v>3263331</v>
      </c>
      <c r="D33" s="107">
        <v>3197887</v>
      </c>
      <c r="E33" s="233"/>
      <c r="F33" s="233">
        <f>F35</f>
        <v>865933</v>
      </c>
      <c r="G33" s="233">
        <f>G35</f>
        <v>56190</v>
      </c>
      <c r="H33" s="233">
        <f t="shared" si="0"/>
        <v>4120010</v>
      </c>
      <c r="I33" s="233">
        <v>2619155</v>
      </c>
      <c r="J33" s="233"/>
      <c r="K33" s="233">
        <f>K35</f>
        <v>139835</v>
      </c>
      <c r="L33" s="233">
        <f>L35</f>
        <v>4250</v>
      </c>
      <c r="M33" s="233">
        <f t="shared" si="1"/>
        <v>2763240</v>
      </c>
      <c r="N33" s="233">
        <v>2573812</v>
      </c>
      <c r="O33" s="233"/>
      <c r="P33" s="233">
        <f>P35</f>
        <v>105922</v>
      </c>
      <c r="Q33" s="233">
        <f>Q35</f>
        <v>4250</v>
      </c>
      <c r="R33" s="232">
        <f t="shared" si="2"/>
        <v>2683984</v>
      </c>
    </row>
    <row r="34" spans="1:18" s="6" customFormat="1" ht="24" hidden="1" customHeight="1">
      <c r="A34" s="138">
        <v>21720</v>
      </c>
      <c r="B34" s="101" t="s">
        <v>99</v>
      </c>
      <c r="C34" s="107"/>
      <c r="D34" s="107">
        <v>0</v>
      </c>
      <c r="E34" s="233"/>
      <c r="F34" s="233"/>
      <c r="G34" s="233"/>
      <c r="H34" s="233">
        <f t="shared" si="0"/>
        <v>0</v>
      </c>
      <c r="I34" s="233">
        <v>0</v>
      </c>
      <c r="J34" s="233"/>
      <c r="K34" s="233"/>
      <c r="L34" s="233"/>
      <c r="M34" s="233">
        <f t="shared" si="1"/>
        <v>0</v>
      </c>
      <c r="N34" s="233">
        <v>0</v>
      </c>
      <c r="O34" s="233"/>
      <c r="P34" s="233"/>
      <c r="Q34" s="233"/>
      <c r="R34" s="232">
        <f t="shared" si="2"/>
        <v>0</v>
      </c>
    </row>
    <row r="35" spans="1:18" s="6" customFormat="1" ht="11.4">
      <c r="A35" s="129" t="s">
        <v>100</v>
      </c>
      <c r="B35" s="99" t="s">
        <v>101</v>
      </c>
      <c r="C35" s="111">
        <v>3450477</v>
      </c>
      <c r="D35" s="111">
        <v>3385033</v>
      </c>
      <c r="E35" s="243">
        <f>E36+E63</f>
        <v>0</v>
      </c>
      <c r="F35" s="243">
        <f>F36+F63</f>
        <v>865933</v>
      </c>
      <c r="G35" s="243">
        <f>G36+G63</f>
        <v>56190</v>
      </c>
      <c r="H35" s="243">
        <f t="shared" si="0"/>
        <v>4307156</v>
      </c>
      <c r="I35" s="243">
        <v>2806301</v>
      </c>
      <c r="J35" s="243">
        <f>J36+J63</f>
        <v>0</v>
      </c>
      <c r="K35" s="243">
        <f>K36+K63</f>
        <v>139835</v>
      </c>
      <c r="L35" s="243">
        <f>L36+L63</f>
        <v>4250</v>
      </c>
      <c r="M35" s="243">
        <f t="shared" si="1"/>
        <v>2950386</v>
      </c>
      <c r="N35" s="243">
        <v>2760958</v>
      </c>
      <c r="O35" s="243">
        <f>O36+O63</f>
        <v>0</v>
      </c>
      <c r="P35" s="243">
        <f>P36+P63</f>
        <v>105922</v>
      </c>
      <c r="Q35" s="243">
        <f>Q36+Q63</f>
        <v>4250</v>
      </c>
      <c r="R35" s="229">
        <f t="shared" si="2"/>
        <v>2871130</v>
      </c>
    </row>
    <row r="36" spans="1:18" s="6" customFormat="1" ht="20.399999999999999">
      <c r="A36" s="130" t="s">
        <v>102</v>
      </c>
      <c r="B36" s="100" t="s">
        <v>103</v>
      </c>
      <c r="C36" s="107">
        <v>3414141</v>
      </c>
      <c r="D36" s="107">
        <v>3274759</v>
      </c>
      <c r="E36" s="233">
        <f>E37+E41+E42+E45+E48</f>
        <v>0</v>
      </c>
      <c r="F36" s="233">
        <f>F37+F41+F42+F45+F48</f>
        <v>823973</v>
      </c>
      <c r="G36" s="233">
        <f>G37+G41+G42+G45+G48</f>
        <v>43190</v>
      </c>
      <c r="H36" s="233">
        <f t="shared" si="0"/>
        <v>4141922</v>
      </c>
      <c r="I36" s="233">
        <v>2673275</v>
      </c>
      <c r="J36" s="233">
        <f>J37+J41+J42+J45+J48</f>
        <v>0</v>
      </c>
      <c r="K36" s="233">
        <f>K37+K41+K42+K45+K48</f>
        <v>139835</v>
      </c>
      <c r="L36" s="233">
        <f>L37+L41+L42+L45+L48</f>
        <v>4250</v>
      </c>
      <c r="M36" s="233">
        <f t="shared" si="1"/>
        <v>2817360</v>
      </c>
      <c r="N36" s="233">
        <v>2627461</v>
      </c>
      <c r="O36" s="233">
        <f>O37+O41+O42+O45+O48</f>
        <v>0</v>
      </c>
      <c r="P36" s="233">
        <f>P37+P41+P42+P45+P48</f>
        <v>105922</v>
      </c>
      <c r="Q36" s="233">
        <f>Q37+Q41+Q42+Q45+Q48</f>
        <v>4250</v>
      </c>
      <c r="R36" s="232">
        <f t="shared" si="2"/>
        <v>2737633</v>
      </c>
    </row>
    <row r="37" spans="1:18" s="6" customFormat="1" ht="12">
      <c r="A37" s="130" t="s">
        <v>104</v>
      </c>
      <c r="B37" s="100" t="s">
        <v>105</v>
      </c>
      <c r="C37" s="107">
        <v>3388965</v>
      </c>
      <c r="D37" s="107">
        <v>3249583</v>
      </c>
      <c r="E37" s="233">
        <f>E38+E40</f>
        <v>0</v>
      </c>
      <c r="F37" s="233">
        <f>F38+F40</f>
        <v>823973</v>
      </c>
      <c r="G37" s="233">
        <f>G38+G40</f>
        <v>38940</v>
      </c>
      <c r="H37" s="233">
        <f t="shared" si="0"/>
        <v>4112496</v>
      </c>
      <c r="I37" s="233">
        <v>2648099</v>
      </c>
      <c r="J37" s="233">
        <f>J38+J40</f>
        <v>0</v>
      </c>
      <c r="K37" s="233">
        <f>K38+K40</f>
        <v>139835</v>
      </c>
      <c r="L37" s="233">
        <f>L38+L40</f>
        <v>0</v>
      </c>
      <c r="M37" s="233">
        <f t="shared" si="1"/>
        <v>2787934</v>
      </c>
      <c r="N37" s="233">
        <v>2602285</v>
      </c>
      <c r="O37" s="233">
        <f>O38+O40</f>
        <v>0</v>
      </c>
      <c r="P37" s="233">
        <f>P38+P40</f>
        <v>105922</v>
      </c>
      <c r="Q37" s="233">
        <f>Q38+Q40</f>
        <v>0</v>
      </c>
      <c r="R37" s="232">
        <f t="shared" si="2"/>
        <v>2708207</v>
      </c>
    </row>
    <row r="38" spans="1:18" s="6" customFormat="1" ht="12">
      <c r="A38" s="132">
        <v>1000</v>
      </c>
      <c r="B38" s="101" t="s">
        <v>106</v>
      </c>
      <c r="C38" s="107">
        <v>1993030</v>
      </c>
      <c r="D38" s="107">
        <v>1989230</v>
      </c>
      <c r="E38" s="233"/>
      <c r="F38" s="233">
        <f t="shared" ref="F38:G47" si="7">F122</f>
        <v>530364</v>
      </c>
      <c r="G38" s="233">
        <f t="shared" si="7"/>
        <v>0</v>
      </c>
      <c r="H38" s="233">
        <f t="shared" si="0"/>
        <v>2519594</v>
      </c>
      <c r="I38" s="233">
        <v>1989230</v>
      </c>
      <c r="J38" s="233"/>
      <c r="K38" s="233">
        <f t="shared" ref="K38:L40" si="8">K122</f>
        <v>134839</v>
      </c>
      <c r="L38" s="233">
        <f t="shared" si="8"/>
        <v>0</v>
      </c>
      <c r="M38" s="233">
        <f t="shared" si="1"/>
        <v>2124069</v>
      </c>
      <c r="N38" s="233">
        <v>1977249</v>
      </c>
      <c r="O38" s="233"/>
      <c r="P38" s="233">
        <f>P122</f>
        <v>105922</v>
      </c>
      <c r="Q38" s="233">
        <f>Q122</f>
        <v>0</v>
      </c>
      <c r="R38" s="232">
        <f t="shared" si="2"/>
        <v>2083171</v>
      </c>
    </row>
    <row r="39" spans="1:18" s="6" customFormat="1" ht="12">
      <c r="A39" s="139">
        <v>1100</v>
      </c>
      <c r="B39" s="101" t="s">
        <v>107</v>
      </c>
      <c r="C39" s="107">
        <v>1595117</v>
      </c>
      <c r="D39" s="107">
        <v>1580244</v>
      </c>
      <c r="E39" s="233"/>
      <c r="F39" s="233">
        <f t="shared" si="7"/>
        <v>427400</v>
      </c>
      <c r="G39" s="233">
        <f t="shared" si="7"/>
        <v>0</v>
      </c>
      <c r="H39" s="233">
        <f t="shared" si="0"/>
        <v>2007644</v>
      </c>
      <c r="I39" s="233">
        <v>1580699</v>
      </c>
      <c r="J39" s="233"/>
      <c r="K39" s="233">
        <f t="shared" si="8"/>
        <v>108660</v>
      </c>
      <c r="L39" s="233">
        <f t="shared" si="8"/>
        <v>0</v>
      </c>
      <c r="M39" s="233">
        <f t="shared" si="1"/>
        <v>1689359</v>
      </c>
      <c r="N39" s="233">
        <v>1574949</v>
      </c>
      <c r="O39" s="233"/>
      <c r="P39" s="233">
        <f>P123</f>
        <v>85356</v>
      </c>
      <c r="Q39" s="233">
        <f>Q123</f>
        <v>0</v>
      </c>
      <c r="R39" s="232">
        <f t="shared" si="2"/>
        <v>1660305</v>
      </c>
    </row>
    <row r="40" spans="1:18" s="6" customFormat="1" ht="12">
      <c r="A40" s="132">
        <v>2000</v>
      </c>
      <c r="B40" s="101" t="s">
        <v>108</v>
      </c>
      <c r="C40" s="107">
        <v>1395935</v>
      </c>
      <c r="D40" s="107">
        <v>1260353</v>
      </c>
      <c r="E40" s="233"/>
      <c r="F40" s="233">
        <f t="shared" si="7"/>
        <v>293609</v>
      </c>
      <c r="G40" s="233">
        <f t="shared" si="7"/>
        <v>38940</v>
      </c>
      <c r="H40" s="233">
        <f t="shared" si="0"/>
        <v>1592902</v>
      </c>
      <c r="I40" s="233">
        <v>658869</v>
      </c>
      <c r="J40" s="233"/>
      <c r="K40" s="233">
        <f t="shared" si="8"/>
        <v>4996</v>
      </c>
      <c r="L40" s="233">
        <f t="shared" si="8"/>
        <v>0</v>
      </c>
      <c r="M40" s="233">
        <f t="shared" si="1"/>
        <v>663865</v>
      </c>
      <c r="N40" s="233">
        <v>625036</v>
      </c>
      <c r="O40" s="233"/>
      <c r="P40" s="233"/>
      <c r="Q40" s="233"/>
      <c r="R40" s="232">
        <f t="shared" si="2"/>
        <v>625036</v>
      </c>
    </row>
    <row r="41" spans="1:18" s="6" customFormat="1" ht="12" hidden="1" customHeight="1">
      <c r="A41" s="140">
        <v>4000</v>
      </c>
      <c r="B41" s="100" t="s">
        <v>132</v>
      </c>
      <c r="C41" s="107"/>
      <c r="D41" s="107">
        <v>0</v>
      </c>
      <c r="E41" s="233"/>
      <c r="F41" s="233"/>
      <c r="G41" s="233">
        <f t="shared" si="7"/>
        <v>0</v>
      </c>
      <c r="H41" s="233">
        <f t="shared" si="0"/>
        <v>0</v>
      </c>
      <c r="I41" s="233">
        <v>0</v>
      </c>
      <c r="J41" s="233"/>
      <c r="K41" s="233"/>
      <c r="L41" s="233"/>
      <c r="M41" s="233">
        <f t="shared" si="1"/>
        <v>0</v>
      </c>
      <c r="N41" s="233">
        <v>0</v>
      </c>
      <c r="O41" s="233"/>
      <c r="P41" s="233"/>
      <c r="Q41" s="233"/>
      <c r="R41" s="232">
        <f t="shared" si="2"/>
        <v>0</v>
      </c>
    </row>
    <row r="42" spans="1:18" s="6" customFormat="1" ht="12">
      <c r="A42" s="140" t="s">
        <v>109</v>
      </c>
      <c r="B42" s="100" t="s">
        <v>110</v>
      </c>
      <c r="C42" s="107">
        <v>25000</v>
      </c>
      <c r="D42" s="107">
        <v>25000</v>
      </c>
      <c r="E42" s="233">
        <f>E43+E44</f>
        <v>0</v>
      </c>
      <c r="F42" s="233">
        <f>F43+F44</f>
        <v>0</v>
      </c>
      <c r="G42" s="233">
        <f t="shared" si="7"/>
        <v>0</v>
      </c>
      <c r="H42" s="233">
        <f t="shared" si="0"/>
        <v>25000</v>
      </c>
      <c r="I42" s="233">
        <v>25000</v>
      </c>
      <c r="J42" s="233">
        <f>J43+J44</f>
        <v>0</v>
      </c>
      <c r="K42" s="233">
        <f>K43+K44</f>
        <v>0</v>
      </c>
      <c r="L42" s="233">
        <f>L43+L44</f>
        <v>0</v>
      </c>
      <c r="M42" s="233">
        <f t="shared" si="1"/>
        <v>25000</v>
      </c>
      <c r="N42" s="233">
        <v>25000</v>
      </c>
      <c r="O42" s="233">
        <f>O43+O44</f>
        <v>0</v>
      </c>
      <c r="P42" s="233">
        <f>P43+P44</f>
        <v>0</v>
      </c>
      <c r="Q42" s="233">
        <f>Q43+Q44</f>
        <v>0</v>
      </c>
      <c r="R42" s="232">
        <f t="shared" si="2"/>
        <v>25000</v>
      </c>
    </row>
    <row r="43" spans="1:18" s="6" customFormat="1" ht="12" hidden="1" customHeight="1">
      <c r="A43" s="132">
        <v>3000</v>
      </c>
      <c r="B43" s="101" t="s">
        <v>111</v>
      </c>
      <c r="C43" s="338"/>
      <c r="D43" s="338">
        <v>0</v>
      </c>
      <c r="E43" s="345"/>
      <c r="F43" s="345"/>
      <c r="G43" s="233">
        <f t="shared" si="7"/>
        <v>0</v>
      </c>
      <c r="H43" s="233">
        <f t="shared" si="0"/>
        <v>0</v>
      </c>
      <c r="I43" s="345">
        <v>0</v>
      </c>
      <c r="J43" s="345"/>
      <c r="K43" s="345"/>
      <c r="L43" s="345"/>
      <c r="M43" s="233">
        <f t="shared" si="1"/>
        <v>0</v>
      </c>
      <c r="N43" s="345">
        <v>0</v>
      </c>
      <c r="O43" s="345"/>
      <c r="P43" s="345"/>
      <c r="Q43" s="345"/>
      <c r="R43" s="232">
        <f t="shared" si="2"/>
        <v>0</v>
      </c>
    </row>
    <row r="44" spans="1:18" s="6" customFormat="1" ht="12">
      <c r="A44" s="132">
        <v>6000</v>
      </c>
      <c r="B44" s="101" t="s">
        <v>112</v>
      </c>
      <c r="C44" s="301">
        <v>25000</v>
      </c>
      <c r="D44" s="301">
        <v>25000</v>
      </c>
      <c r="E44" s="346"/>
      <c r="F44" s="346"/>
      <c r="G44" s="233">
        <f t="shared" si="7"/>
        <v>0</v>
      </c>
      <c r="H44" s="233">
        <f t="shared" si="0"/>
        <v>25000</v>
      </c>
      <c r="I44" s="346">
        <v>25000</v>
      </c>
      <c r="J44" s="346"/>
      <c r="K44" s="346"/>
      <c r="L44" s="346"/>
      <c r="M44" s="233">
        <f t="shared" si="1"/>
        <v>25000</v>
      </c>
      <c r="N44" s="346">
        <v>25000</v>
      </c>
      <c r="O44" s="346"/>
      <c r="P44" s="346"/>
      <c r="Q44" s="346"/>
      <c r="R44" s="232">
        <f t="shared" si="2"/>
        <v>25000</v>
      </c>
    </row>
    <row r="45" spans="1:18" s="6" customFormat="1" ht="22.8">
      <c r="A45" s="140" t="s">
        <v>113</v>
      </c>
      <c r="B45" s="100" t="s">
        <v>183</v>
      </c>
      <c r="C45" s="107">
        <v>176</v>
      </c>
      <c r="D45" s="107">
        <v>176</v>
      </c>
      <c r="E45" s="233">
        <f>E46+E47</f>
        <v>0</v>
      </c>
      <c r="F45" s="233">
        <f>F46+F47</f>
        <v>0</v>
      </c>
      <c r="G45" s="233">
        <f t="shared" si="7"/>
        <v>4250</v>
      </c>
      <c r="H45" s="233">
        <f t="shared" si="0"/>
        <v>4426</v>
      </c>
      <c r="I45" s="233">
        <v>176</v>
      </c>
      <c r="J45" s="233">
        <f>J46+J47</f>
        <v>0</v>
      </c>
      <c r="K45" s="233">
        <f>K46+K47</f>
        <v>0</v>
      </c>
      <c r="L45" s="233">
        <f>L46+L47</f>
        <v>4250</v>
      </c>
      <c r="M45" s="233">
        <f t="shared" si="1"/>
        <v>4426</v>
      </c>
      <c r="N45" s="233">
        <v>176</v>
      </c>
      <c r="O45" s="233">
        <f>O46+O47</f>
        <v>0</v>
      </c>
      <c r="P45" s="233">
        <f>P46+P47</f>
        <v>0</v>
      </c>
      <c r="Q45" s="233">
        <f>Q46+Q47</f>
        <v>4250</v>
      </c>
      <c r="R45" s="232">
        <f t="shared" si="2"/>
        <v>4426</v>
      </c>
    </row>
    <row r="46" spans="1:18" s="6" customFormat="1" ht="12" hidden="1" customHeight="1">
      <c r="A46" s="132">
        <v>7600</v>
      </c>
      <c r="B46" s="112" t="s">
        <v>184</v>
      </c>
      <c r="C46" s="107"/>
      <c r="D46" s="107">
        <v>0</v>
      </c>
      <c r="E46" s="233"/>
      <c r="F46" s="233"/>
      <c r="G46" s="233">
        <f t="shared" si="7"/>
        <v>0</v>
      </c>
      <c r="H46" s="233">
        <f t="shared" si="0"/>
        <v>0</v>
      </c>
      <c r="I46" s="233">
        <v>0</v>
      </c>
      <c r="J46" s="233"/>
      <c r="K46" s="233"/>
      <c r="L46" s="233"/>
      <c r="M46" s="233">
        <f t="shared" si="1"/>
        <v>0</v>
      </c>
      <c r="N46" s="233">
        <v>0</v>
      </c>
      <c r="O46" s="233"/>
      <c r="P46" s="233"/>
      <c r="Q46" s="233"/>
      <c r="R46" s="232">
        <f t="shared" si="2"/>
        <v>0</v>
      </c>
    </row>
    <row r="47" spans="1:18" s="6" customFormat="1" ht="12">
      <c r="A47" s="132">
        <v>7700</v>
      </c>
      <c r="B47" s="102" t="s">
        <v>114</v>
      </c>
      <c r="C47" s="107">
        <v>176</v>
      </c>
      <c r="D47" s="107">
        <v>176</v>
      </c>
      <c r="E47" s="233"/>
      <c r="F47" s="233"/>
      <c r="G47" s="233">
        <f t="shared" si="7"/>
        <v>4250</v>
      </c>
      <c r="H47" s="233">
        <f t="shared" si="0"/>
        <v>4426</v>
      </c>
      <c r="I47" s="233">
        <v>176</v>
      </c>
      <c r="J47" s="233"/>
      <c r="K47" s="233"/>
      <c r="L47" s="233">
        <f>L131</f>
        <v>4250</v>
      </c>
      <c r="M47" s="233">
        <f t="shared" si="1"/>
        <v>4426</v>
      </c>
      <c r="N47" s="233">
        <v>176</v>
      </c>
      <c r="O47" s="233"/>
      <c r="P47" s="233"/>
      <c r="Q47" s="233">
        <f>Q131</f>
        <v>4250</v>
      </c>
      <c r="R47" s="232">
        <f t="shared" si="2"/>
        <v>4426</v>
      </c>
    </row>
    <row r="48" spans="1:18" s="6" customFormat="1" ht="21" hidden="1" customHeight="1">
      <c r="A48" s="140" t="s">
        <v>185</v>
      </c>
      <c r="B48" s="100" t="s">
        <v>115</v>
      </c>
      <c r="C48" s="107">
        <v>0</v>
      </c>
      <c r="D48" s="107">
        <v>0</v>
      </c>
      <c r="E48" s="233">
        <f>E49+E55+E59+E62</f>
        <v>0</v>
      </c>
      <c r="F48" s="233">
        <f>F49+F55+F59+F62</f>
        <v>0</v>
      </c>
      <c r="G48" s="233">
        <f>G49+G55+G59+G62</f>
        <v>0</v>
      </c>
      <c r="H48" s="233">
        <f t="shared" si="0"/>
        <v>0</v>
      </c>
      <c r="I48" s="233">
        <v>0</v>
      </c>
      <c r="J48" s="233">
        <f>J49+J55+J59+J62</f>
        <v>0</v>
      </c>
      <c r="K48" s="233">
        <f>K49+K55+K59+K62</f>
        <v>0</v>
      </c>
      <c r="L48" s="233">
        <f>L49+L55+L59+L62</f>
        <v>0</v>
      </c>
      <c r="M48" s="233">
        <f t="shared" si="1"/>
        <v>0</v>
      </c>
      <c r="N48" s="233">
        <v>0</v>
      </c>
      <c r="O48" s="233">
        <f>O49+O55+O59+O62</f>
        <v>0</v>
      </c>
      <c r="P48" s="233">
        <f>P49+P55+P59+P62</f>
        <v>0</v>
      </c>
      <c r="Q48" s="233">
        <f>Q49+Q55+Q59+Q62</f>
        <v>0</v>
      </c>
      <c r="R48" s="232">
        <f t="shared" si="2"/>
        <v>0</v>
      </c>
    </row>
    <row r="49" spans="1:18" s="6" customFormat="1" ht="12" hidden="1" customHeight="1">
      <c r="A49" s="132">
        <v>7100</v>
      </c>
      <c r="B49" s="112" t="s">
        <v>116</v>
      </c>
      <c r="C49" s="107">
        <v>0</v>
      </c>
      <c r="D49" s="107">
        <v>0</v>
      </c>
      <c r="E49" s="233">
        <f>E50+E51</f>
        <v>0</v>
      </c>
      <c r="F49" s="233">
        <f>F50+F51</f>
        <v>0</v>
      </c>
      <c r="G49" s="233">
        <f>G50+G51</f>
        <v>0</v>
      </c>
      <c r="H49" s="233">
        <f t="shared" si="0"/>
        <v>0</v>
      </c>
      <c r="I49" s="233">
        <v>0</v>
      </c>
      <c r="J49" s="233">
        <f>J50+J51</f>
        <v>0</v>
      </c>
      <c r="K49" s="233">
        <f>K50+K51</f>
        <v>0</v>
      </c>
      <c r="L49" s="233">
        <f>L50+L51</f>
        <v>0</v>
      </c>
      <c r="M49" s="233">
        <f t="shared" si="1"/>
        <v>0</v>
      </c>
      <c r="N49" s="233">
        <v>0</v>
      </c>
      <c r="O49" s="233">
        <f>O50+O51</f>
        <v>0</v>
      </c>
      <c r="P49" s="233">
        <f>P50+P51</f>
        <v>0</v>
      </c>
      <c r="Q49" s="233">
        <f>Q50+Q51</f>
        <v>0</v>
      </c>
      <c r="R49" s="232">
        <f t="shared" si="2"/>
        <v>0</v>
      </c>
    </row>
    <row r="50" spans="1:18" s="6" customFormat="1" ht="24" hidden="1" customHeight="1">
      <c r="A50" s="133" t="s">
        <v>117</v>
      </c>
      <c r="B50" s="112" t="s">
        <v>118</v>
      </c>
      <c r="C50" s="107"/>
      <c r="D50" s="107">
        <v>0</v>
      </c>
      <c r="E50" s="233"/>
      <c r="F50" s="233"/>
      <c r="G50" s="233"/>
      <c r="H50" s="233">
        <f t="shared" si="0"/>
        <v>0</v>
      </c>
      <c r="I50" s="233">
        <v>0</v>
      </c>
      <c r="J50" s="233"/>
      <c r="K50" s="233"/>
      <c r="L50" s="233"/>
      <c r="M50" s="233">
        <f t="shared" si="1"/>
        <v>0</v>
      </c>
      <c r="N50" s="233">
        <v>0</v>
      </c>
      <c r="O50" s="233"/>
      <c r="P50" s="233"/>
      <c r="Q50" s="233"/>
      <c r="R50" s="232">
        <f t="shared" si="2"/>
        <v>0</v>
      </c>
    </row>
    <row r="51" spans="1:18" s="6" customFormat="1" ht="24" hidden="1" customHeight="1">
      <c r="A51" s="133">
        <v>7130</v>
      </c>
      <c r="B51" s="112" t="s">
        <v>119</v>
      </c>
      <c r="C51" s="107">
        <v>0</v>
      </c>
      <c r="D51" s="107">
        <v>0</v>
      </c>
      <c r="E51" s="233">
        <f>SUM(E52:E54)</f>
        <v>0</v>
      </c>
      <c r="F51" s="233">
        <f>SUM(F52:F54)</f>
        <v>0</v>
      </c>
      <c r="G51" s="233">
        <f>SUM(G52:G54)</f>
        <v>0</v>
      </c>
      <c r="H51" s="233">
        <f t="shared" si="0"/>
        <v>0</v>
      </c>
      <c r="I51" s="233">
        <v>0</v>
      </c>
      <c r="J51" s="233">
        <f>SUM(J52:J54)</f>
        <v>0</v>
      </c>
      <c r="K51" s="233">
        <f>SUM(K52:K54)</f>
        <v>0</v>
      </c>
      <c r="L51" s="233">
        <f>SUM(L52:L54)</f>
        <v>0</v>
      </c>
      <c r="M51" s="233">
        <f t="shared" si="1"/>
        <v>0</v>
      </c>
      <c r="N51" s="233">
        <v>0</v>
      </c>
      <c r="O51" s="233">
        <f>SUM(O52:O54)</f>
        <v>0</v>
      </c>
      <c r="P51" s="233">
        <f>SUM(P52:P54)</f>
        <v>0</v>
      </c>
      <c r="Q51" s="233">
        <f>SUM(Q52:Q54)</f>
        <v>0</v>
      </c>
      <c r="R51" s="232">
        <f t="shared" si="2"/>
        <v>0</v>
      </c>
    </row>
    <row r="52" spans="1:18" s="6" customFormat="1" ht="36" hidden="1" customHeight="1">
      <c r="A52" s="134">
        <v>7131</v>
      </c>
      <c r="B52" s="112" t="s">
        <v>120</v>
      </c>
      <c r="C52" s="107"/>
      <c r="D52" s="107">
        <v>0</v>
      </c>
      <c r="E52" s="233"/>
      <c r="F52" s="233"/>
      <c r="G52" s="233"/>
      <c r="H52" s="233">
        <f t="shared" si="0"/>
        <v>0</v>
      </c>
      <c r="I52" s="233">
        <v>0</v>
      </c>
      <c r="J52" s="233"/>
      <c r="K52" s="233"/>
      <c r="L52" s="233"/>
      <c r="M52" s="233">
        <f t="shared" si="1"/>
        <v>0</v>
      </c>
      <c r="N52" s="233">
        <v>0</v>
      </c>
      <c r="O52" s="233"/>
      <c r="P52" s="233"/>
      <c r="Q52" s="233"/>
      <c r="R52" s="232">
        <f t="shared" si="2"/>
        <v>0</v>
      </c>
    </row>
    <row r="53" spans="1:18" s="6" customFormat="1" ht="36" hidden="1" customHeight="1">
      <c r="A53" s="134">
        <v>7132</v>
      </c>
      <c r="B53" s="112" t="s">
        <v>121</v>
      </c>
      <c r="C53" s="107"/>
      <c r="D53" s="107">
        <v>0</v>
      </c>
      <c r="E53" s="233"/>
      <c r="F53" s="233"/>
      <c r="G53" s="233"/>
      <c r="H53" s="233">
        <f t="shared" si="0"/>
        <v>0</v>
      </c>
      <c r="I53" s="233">
        <v>0</v>
      </c>
      <c r="J53" s="233"/>
      <c r="K53" s="233"/>
      <c r="L53" s="233"/>
      <c r="M53" s="233">
        <f t="shared" si="1"/>
        <v>0</v>
      </c>
      <c r="N53" s="233">
        <v>0</v>
      </c>
      <c r="O53" s="233"/>
      <c r="P53" s="233"/>
      <c r="Q53" s="233"/>
      <c r="R53" s="232">
        <f t="shared" si="2"/>
        <v>0</v>
      </c>
    </row>
    <row r="54" spans="1:18" s="6" customFormat="1" ht="24" hidden="1" customHeight="1">
      <c r="A54" s="134" t="s">
        <v>186</v>
      </c>
      <c r="B54" s="112" t="s">
        <v>187</v>
      </c>
      <c r="C54" s="107"/>
      <c r="D54" s="107">
        <v>0</v>
      </c>
      <c r="E54" s="233"/>
      <c r="F54" s="233"/>
      <c r="G54" s="233"/>
      <c r="H54" s="233">
        <f t="shared" si="0"/>
        <v>0</v>
      </c>
      <c r="I54" s="233">
        <v>0</v>
      </c>
      <c r="J54" s="233"/>
      <c r="K54" s="233"/>
      <c r="L54" s="233"/>
      <c r="M54" s="233">
        <f t="shared" si="1"/>
        <v>0</v>
      </c>
      <c r="N54" s="233">
        <v>0</v>
      </c>
      <c r="O54" s="233"/>
      <c r="P54" s="233"/>
      <c r="Q54" s="233"/>
      <c r="R54" s="232">
        <f t="shared" si="2"/>
        <v>0</v>
      </c>
    </row>
    <row r="55" spans="1:18" s="6" customFormat="1" ht="24" hidden="1" customHeight="1">
      <c r="A55" s="132">
        <v>7300</v>
      </c>
      <c r="B55" s="108" t="s">
        <v>155</v>
      </c>
      <c r="C55" s="107">
        <v>0</v>
      </c>
      <c r="D55" s="107">
        <v>0</v>
      </c>
      <c r="E55" s="233">
        <f>SUM(E56:E58)</f>
        <v>0</v>
      </c>
      <c r="F55" s="233">
        <f>SUM(F56:F58)</f>
        <v>0</v>
      </c>
      <c r="G55" s="233">
        <f>SUM(G56:G58)</f>
        <v>0</v>
      </c>
      <c r="H55" s="233">
        <f t="shared" si="0"/>
        <v>0</v>
      </c>
      <c r="I55" s="233">
        <v>0</v>
      </c>
      <c r="J55" s="233">
        <f>SUM(J56:J58)</f>
        <v>0</v>
      </c>
      <c r="K55" s="233">
        <f>SUM(K56:K58)</f>
        <v>0</v>
      </c>
      <c r="L55" s="233">
        <f>SUM(L56:L58)</f>
        <v>0</v>
      </c>
      <c r="M55" s="233">
        <f t="shared" si="1"/>
        <v>0</v>
      </c>
      <c r="N55" s="233">
        <v>0</v>
      </c>
      <c r="O55" s="233">
        <f>SUM(O56:O58)</f>
        <v>0</v>
      </c>
      <c r="P55" s="233">
        <f>SUM(P56:P58)</f>
        <v>0</v>
      </c>
      <c r="Q55" s="233">
        <f>SUM(Q56:Q58)</f>
        <v>0</v>
      </c>
      <c r="R55" s="232">
        <f t="shared" si="2"/>
        <v>0</v>
      </c>
    </row>
    <row r="56" spans="1:18" s="6" customFormat="1" ht="24" hidden="1" customHeight="1">
      <c r="A56" s="133" t="s">
        <v>188</v>
      </c>
      <c r="B56" s="112" t="s">
        <v>170</v>
      </c>
      <c r="C56" s="113"/>
      <c r="D56" s="113">
        <v>0</v>
      </c>
      <c r="E56" s="252"/>
      <c r="F56" s="252"/>
      <c r="G56" s="252"/>
      <c r="H56" s="233">
        <f t="shared" si="0"/>
        <v>0</v>
      </c>
      <c r="I56" s="252">
        <v>0</v>
      </c>
      <c r="J56" s="252"/>
      <c r="K56" s="252"/>
      <c r="L56" s="252"/>
      <c r="M56" s="233">
        <f t="shared" si="1"/>
        <v>0</v>
      </c>
      <c r="N56" s="252">
        <v>0</v>
      </c>
      <c r="O56" s="252"/>
      <c r="P56" s="252"/>
      <c r="Q56" s="252"/>
      <c r="R56" s="232">
        <f t="shared" si="2"/>
        <v>0</v>
      </c>
    </row>
    <row r="57" spans="1:18" s="29" customFormat="1" ht="48" hidden="1" customHeight="1">
      <c r="A57" s="133" t="s">
        <v>189</v>
      </c>
      <c r="B57" s="112" t="s">
        <v>156</v>
      </c>
      <c r="C57" s="113"/>
      <c r="D57" s="113">
        <v>0</v>
      </c>
      <c r="E57" s="252"/>
      <c r="F57" s="252"/>
      <c r="G57" s="252"/>
      <c r="H57" s="233">
        <f t="shared" si="0"/>
        <v>0</v>
      </c>
      <c r="I57" s="252">
        <v>0</v>
      </c>
      <c r="J57" s="252"/>
      <c r="K57" s="252"/>
      <c r="L57" s="252"/>
      <c r="M57" s="233">
        <f t="shared" si="1"/>
        <v>0</v>
      </c>
      <c r="N57" s="252">
        <v>0</v>
      </c>
      <c r="O57" s="252"/>
      <c r="P57" s="252"/>
      <c r="Q57" s="252"/>
      <c r="R57" s="232">
        <f t="shared" si="2"/>
        <v>0</v>
      </c>
    </row>
    <row r="58" spans="1:18" s="89" customFormat="1" ht="36" hidden="1" customHeight="1">
      <c r="A58" s="133">
        <v>7350</v>
      </c>
      <c r="B58" s="112" t="s">
        <v>163</v>
      </c>
      <c r="C58" s="113"/>
      <c r="D58" s="113">
        <v>0</v>
      </c>
      <c r="E58" s="252"/>
      <c r="F58" s="252"/>
      <c r="G58" s="252"/>
      <c r="H58" s="233">
        <f t="shared" si="0"/>
        <v>0</v>
      </c>
      <c r="I58" s="252">
        <v>0</v>
      </c>
      <c r="J58" s="252"/>
      <c r="K58" s="252"/>
      <c r="L58" s="252"/>
      <c r="M58" s="233">
        <f t="shared" si="1"/>
        <v>0</v>
      </c>
      <c r="N58" s="252">
        <v>0</v>
      </c>
      <c r="O58" s="252"/>
      <c r="P58" s="252"/>
      <c r="Q58" s="252"/>
      <c r="R58" s="232">
        <f t="shared" si="2"/>
        <v>0</v>
      </c>
    </row>
    <row r="59" spans="1:18" s="89" customFormat="1" ht="24" hidden="1" customHeight="1">
      <c r="A59" s="132">
        <v>7400</v>
      </c>
      <c r="B59" s="108" t="s">
        <v>161</v>
      </c>
      <c r="C59" s="107">
        <v>0</v>
      </c>
      <c r="D59" s="107">
        <v>0</v>
      </c>
      <c r="E59" s="233">
        <f>SUM(E60:E61)</f>
        <v>0</v>
      </c>
      <c r="F59" s="233">
        <f>SUM(F60:F61)</f>
        <v>0</v>
      </c>
      <c r="G59" s="233">
        <f>SUM(G60:G61)</f>
        <v>0</v>
      </c>
      <c r="H59" s="233">
        <f t="shared" si="0"/>
        <v>0</v>
      </c>
      <c r="I59" s="233">
        <v>0</v>
      </c>
      <c r="J59" s="233">
        <f>SUM(J60:J61)</f>
        <v>0</v>
      </c>
      <c r="K59" s="233">
        <f>SUM(K60:K61)</f>
        <v>0</v>
      </c>
      <c r="L59" s="233">
        <f>SUM(L60:L61)</f>
        <v>0</v>
      </c>
      <c r="M59" s="233">
        <f t="shared" si="1"/>
        <v>0</v>
      </c>
      <c r="N59" s="233">
        <v>0</v>
      </c>
      <c r="O59" s="233">
        <f>SUM(O60:O61)</f>
        <v>0</v>
      </c>
      <c r="P59" s="233">
        <f>SUM(P60:P61)</f>
        <v>0</v>
      </c>
      <c r="Q59" s="233">
        <f>SUM(Q60:Q61)</f>
        <v>0</v>
      </c>
      <c r="R59" s="232">
        <f t="shared" si="2"/>
        <v>0</v>
      </c>
    </row>
    <row r="60" spans="1:18" s="89" customFormat="1" ht="24" hidden="1" customHeight="1">
      <c r="A60" s="133">
        <v>7460</v>
      </c>
      <c r="B60" s="108" t="s">
        <v>162</v>
      </c>
      <c r="C60" s="113"/>
      <c r="D60" s="113">
        <v>0</v>
      </c>
      <c r="E60" s="252"/>
      <c r="F60" s="252"/>
      <c r="G60" s="252"/>
      <c r="H60" s="233">
        <f t="shared" si="0"/>
        <v>0</v>
      </c>
      <c r="I60" s="252">
        <v>0</v>
      </c>
      <c r="J60" s="252"/>
      <c r="K60" s="252"/>
      <c r="L60" s="252"/>
      <c r="M60" s="233">
        <f t="shared" si="1"/>
        <v>0</v>
      </c>
      <c r="N60" s="252">
        <v>0</v>
      </c>
      <c r="O60" s="252"/>
      <c r="P60" s="252"/>
      <c r="Q60" s="252"/>
      <c r="R60" s="232">
        <f t="shared" si="2"/>
        <v>0</v>
      </c>
    </row>
    <row r="61" spans="1:18" s="89" customFormat="1" ht="48" hidden="1" customHeight="1">
      <c r="A61" s="133">
        <v>7470</v>
      </c>
      <c r="B61" s="112" t="s">
        <v>167</v>
      </c>
      <c r="C61" s="113"/>
      <c r="D61" s="113">
        <v>0</v>
      </c>
      <c r="E61" s="252"/>
      <c r="F61" s="252"/>
      <c r="G61" s="252"/>
      <c r="H61" s="233">
        <f t="shared" si="0"/>
        <v>0</v>
      </c>
      <c r="I61" s="252">
        <v>0</v>
      </c>
      <c r="J61" s="252"/>
      <c r="K61" s="252"/>
      <c r="L61" s="252"/>
      <c r="M61" s="233">
        <f t="shared" si="1"/>
        <v>0</v>
      </c>
      <c r="N61" s="252">
        <v>0</v>
      </c>
      <c r="O61" s="252"/>
      <c r="P61" s="252"/>
      <c r="Q61" s="252"/>
      <c r="R61" s="232">
        <f t="shared" si="2"/>
        <v>0</v>
      </c>
    </row>
    <row r="62" spans="1:18" s="89" customFormat="1" ht="24" hidden="1" customHeight="1">
      <c r="A62" s="132">
        <v>7500</v>
      </c>
      <c r="B62" s="112" t="s">
        <v>157</v>
      </c>
      <c r="C62" s="107"/>
      <c r="D62" s="107">
        <v>0</v>
      </c>
      <c r="E62" s="233"/>
      <c r="F62" s="233"/>
      <c r="G62" s="233"/>
      <c r="H62" s="233">
        <f t="shared" si="0"/>
        <v>0</v>
      </c>
      <c r="I62" s="233">
        <v>0</v>
      </c>
      <c r="J62" s="233"/>
      <c r="K62" s="233"/>
      <c r="L62" s="233"/>
      <c r="M62" s="233">
        <f t="shared" si="1"/>
        <v>0</v>
      </c>
      <c r="N62" s="233">
        <v>0</v>
      </c>
      <c r="O62" s="233"/>
      <c r="P62" s="233"/>
      <c r="Q62" s="233"/>
      <c r="R62" s="232">
        <f t="shared" si="2"/>
        <v>0</v>
      </c>
    </row>
    <row r="63" spans="1:18" s="89" customFormat="1" ht="12">
      <c r="A63" s="140" t="s">
        <v>133</v>
      </c>
      <c r="B63" s="100" t="s">
        <v>122</v>
      </c>
      <c r="C63" s="114">
        <v>36336</v>
      </c>
      <c r="D63" s="114">
        <v>110274</v>
      </c>
      <c r="E63" s="254">
        <f>E64+E65</f>
        <v>0</v>
      </c>
      <c r="F63" s="254">
        <f>F64+F65</f>
        <v>41960</v>
      </c>
      <c r="G63" s="254">
        <f>G64+G65</f>
        <v>13000</v>
      </c>
      <c r="H63" s="233">
        <f t="shared" si="0"/>
        <v>165234</v>
      </c>
      <c r="I63" s="254">
        <v>133026</v>
      </c>
      <c r="J63" s="254">
        <f>J64+J65</f>
        <v>0</v>
      </c>
      <c r="K63" s="254">
        <f>K64+K65</f>
        <v>0</v>
      </c>
      <c r="L63" s="254">
        <f>L64+L65</f>
        <v>0</v>
      </c>
      <c r="M63" s="233">
        <f t="shared" si="1"/>
        <v>133026</v>
      </c>
      <c r="N63" s="254">
        <v>133497</v>
      </c>
      <c r="O63" s="254">
        <f>O64+O65</f>
        <v>0</v>
      </c>
      <c r="P63" s="254">
        <f>P64+P65</f>
        <v>0</v>
      </c>
      <c r="Q63" s="254">
        <f>Q64+Q65</f>
        <v>0</v>
      </c>
      <c r="R63" s="232">
        <f t="shared" si="2"/>
        <v>133497</v>
      </c>
    </row>
    <row r="64" spans="1:18" s="89" customFormat="1" ht="12">
      <c r="A64" s="140">
        <v>5000</v>
      </c>
      <c r="B64" s="100" t="s">
        <v>123</v>
      </c>
      <c r="C64" s="107">
        <v>36336</v>
      </c>
      <c r="D64" s="107">
        <v>110274</v>
      </c>
      <c r="E64" s="233"/>
      <c r="F64" s="233">
        <f>F148</f>
        <v>41960</v>
      </c>
      <c r="G64" s="233">
        <f>G148</f>
        <v>13000</v>
      </c>
      <c r="H64" s="233">
        <f t="shared" si="0"/>
        <v>165234</v>
      </c>
      <c r="I64" s="233">
        <v>133026</v>
      </c>
      <c r="J64" s="233"/>
      <c r="K64" s="233"/>
      <c r="L64" s="233"/>
      <c r="M64" s="233">
        <f t="shared" si="1"/>
        <v>133026</v>
      </c>
      <c r="N64" s="233">
        <v>133497</v>
      </c>
      <c r="O64" s="233"/>
      <c r="P64" s="233"/>
      <c r="Q64" s="233"/>
      <c r="R64" s="232">
        <f t="shared" si="2"/>
        <v>133497</v>
      </c>
    </row>
    <row r="65" spans="1:18" s="89" customFormat="1" ht="12" hidden="1" customHeight="1">
      <c r="A65" s="140">
        <v>9000</v>
      </c>
      <c r="B65" s="115" t="s">
        <v>164</v>
      </c>
      <c r="C65" s="107">
        <v>0</v>
      </c>
      <c r="D65" s="107">
        <v>0</v>
      </c>
      <c r="E65" s="233">
        <f>E66+E72+E76+E79</f>
        <v>0</v>
      </c>
      <c r="F65" s="233">
        <f>F66+F72+F76+F79</f>
        <v>0</v>
      </c>
      <c r="G65" s="233">
        <f>G66+G72+G76+G79</f>
        <v>0</v>
      </c>
      <c r="H65" s="233">
        <f t="shared" si="0"/>
        <v>0</v>
      </c>
      <c r="I65" s="233">
        <v>0</v>
      </c>
      <c r="J65" s="233">
        <f>J66+J72+J76+J79</f>
        <v>0</v>
      </c>
      <c r="K65" s="233">
        <f>K66+K72+K76+K79</f>
        <v>0</v>
      </c>
      <c r="L65" s="233">
        <f>L66+L72+L76+L79</f>
        <v>0</v>
      </c>
      <c r="M65" s="233">
        <f t="shared" si="1"/>
        <v>0</v>
      </c>
      <c r="N65" s="233">
        <v>0</v>
      </c>
      <c r="O65" s="233">
        <f>O66+O72+O76+O79</f>
        <v>0</v>
      </c>
      <c r="P65" s="233">
        <f>P66+P72+P76+P79</f>
        <v>0</v>
      </c>
      <c r="Q65" s="233">
        <f>Q66+Q72+Q76+Q79</f>
        <v>0</v>
      </c>
      <c r="R65" s="232">
        <f t="shared" si="2"/>
        <v>0</v>
      </c>
    </row>
    <row r="66" spans="1:18" s="89" customFormat="1" ht="12" hidden="1" customHeight="1">
      <c r="A66" s="141">
        <v>9100</v>
      </c>
      <c r="B66" s="112" t="s">
        <v>124</v>
      </c>
      <c r="C66" s="107">
        <v>0</v>
      </c>
      <c r="D66" s="107">
        <v>0</v>
      </c>
      <c r="E66" s="233">
        <f>SUM(E67:E68)</f>
        <v>0</v>
      </c>
      <c r="F66" s="233">
        <f>SUM(F67:F68)</f>
        <v>0</v>
      </c>
      <c r="G66" s="233">
        <f>SUM(G67:G68)</f>
        <v>0</v>
      </c>
      <c r="H66" s="233">
        <f t="shared" si="0"/>
        <v>0</v>
      </c>
      <c r="I66" s="233">
        <v>0</v>
      </c>
      <c r="J66" s="233">
        <f>SUM(J67:J68)</f>
        <v>0</v>
      </c>
      <c r="K66" s="233">
        <f>SUM(K67:K68)</f>
        <v>0</v>
      </c>
      <c r="L66" s="233">
        <f>SUM(L67:L68)</f>
        <v>0</v>
      </c>
      <c r="M66" s="233">
        <f t="shared" si="1"/>
        <v>0</v>
      </c>
      <c r="N66" s="233">
        <v>0</v>
      </c>
      <c r="O66" s="233">
        <f>SUM(O67:O68)</f>
        <v>0</v>
      </c>
      <c r="P66" s="233">
        <f>SUM(P67:P68)</f>
        <v>0</v>
      </c>
      <c r="Q66" s="233">
        <f>SUM(Q67:Q68)</f>
        <v>0</v>
      </c>
      <c r="R66" s="232">
        <f t="shared" si="2"/>
        <v>0</v>
      </c>
    </row>
    <row r="67" spans="1:18" s="89" customFormat="1" ht="24" hidden="1" customHeight="1">
      <c r="A67" s="133" t="s">
        <v>125</v>
      </c>
      <c r="B67" s="112" t="s">
        <v>203</v>
      </c>
      <c r="C67" s="107"/>
      <c r="D67" s="107">
        <v>0</v>
      </c>
      <c r="E67" s="233"/>
      <c r="F67" s="233"/>
      <c r="G67" s="233"/>
      <c r="H67" s="233">
        <f t="shared" si="0"/>
        <v>0</v>
      </c>
      <c r="I67" s="233">
        <v>0</v>
      </c>
      <c r="J67" s="233"/>
      <c r="K67" s="233"/>
      <c r="L67" s="233"/>
      <c r="M67" s="233">
        <f t="shared" si="1"/>
        <v>0</v>
      </c>
      <c r="N67" s="233">
        <v>0</v>
      </c>
      <c r="O67" s="233"/>
      <c r="P67" s="233"/>
      <c r="Q67" s="233"/>
      <c r="R67" s="232">
        <f t="shared" si="2"/>
        <v>0</v>
      </c>
    </row>
    <row r="68" spans="1:18" s="89" customFormat="1" ht="24" hidden="1" customHeight="1">
      <c r="A68" s="133">
        <v>9140</v>
      </c>
      <c r="B68" s="112" t="s">
        <v>204</v>
      </c>
      <c r="C68" s="107">
        <v>0</v>
      </c>
      <c r="D68" s="107">
        <v>0</v>
      </c>
      <c r="E68" s="233">
        <f>SUM(E69:E71)</f>
        <v>0</v>
      </c>
      <c r="F68" s="233">
        <f>SUM(F69:F71)</f>
        <v>0</v>
      </c>
      <c r="G68" s="233">
        <f>SUM(G69:G71)</f>
        <v>0</v>
      </c>
      <c r="H68" s="233">
        <f t="shared" si="0"/>
        <v>0</v>
      </c>
      <c r="I68" s="233">
        <v>0</v>
      </c>
      <c r="J68" s="233">
        <f>SUM(J69:J71)</f>
        <v>0</v>
      </c>
      <c r="K68" s="233">
        <f>SUM(K69:K71)</f>
        <v>0</v>
      </c>
      <c r="L68" s="233">
        <f>SUM(L69:L71)</f>
        <v>0</v>
      </c>
      <c r="M68" s="233">
        <f t="shared" si="1"/>
        <v>0</v>
      </c>
      <c r="N68" s="233">
        <v>0</v>
      </c>
      <c r="O68" s="233">
        <f>SUM(O69:O71)</f>
        <v>0</v>
      </c>
      <c r="P68" s="233">
        <f>SUM(P69:P71)</f>
        <v>0</v>
      </c>
      <c r="Q68" s="233">
        <f>SUM(Q69:Q71)</f>
        <v>0</v>
      </c>
      <c r="R68" s="232">
        <f t="shared" si="2"/>
        <v>0</v>
      </c>
    </row>
    <row r="69" spans="1:18" s="89" customFormat="1" ht="36" hidden="1" customHeight="1">
      <c r="A69" s="134">
        <v>9141</v>
      </c>
      <c r="B69" s="108" t="s">
        <v>190</v>
      </c>
      <c r="C69" s="113"/>
      <c r="D69" s="113">
        <v>0</v>
      </c>
      <c r="E69" s="252"/>
      <c r="F69" s="252"/>
      <c r="G69" s="252"/>
      <c r="H69" s="233">
        <f t="shared" si="0"/>
        <v>0</v>
      </c>
      <c r="I69" s="252">
        <v>0</v>
      </c>
      <c r="J69" s="252"/>
      <c r="K69" s="252"/>
      <c r="L69" s="252"/>
      <c r="M69" s="233">
        <f t="shared" si="1"/>
        <v>0</v>
      </c>
      <c r="N69" s="252">
        <v>0</v>
      </c>
      <c r="O69" s="252"/>
      <c r="P69" s="252"/>
      <c r="Q69" s="252"/>
      <c r="R69" s="232">
        <f t="shared" si="2"/>
        <v>0</v>
      </c>
    </row>
    <row r="70" spans="1:18" s="89" customFormat="1" ht="36" hidden="1" customHeight="1">
      <c r="A70" s="134">
        <v>9142</v>
      </c>
      <c r="B70" s="108" t="s">
        <v>191</v>
      </c>
      <c r="C70" s="113"/>
      <c r="D70" s="113">
        <v>0</v>
      </c>
      <c r="E70" s="252"/>
      <c r="F70" s="252"/>
      <c r="G70" s="252"/>
      <c r="H70" s="233">
        <f t="shared" si="0"/>
        <v>0</v>
      </c>
      <c r="I70" s="252">
        <v>0</v>
      </c>
      <c r="J70" s="252"/>
      <c r="K70" s="252"/>
      <c r="L70" s="252"/>
      <c r="M70" s="233">
        <f t="shared" si="1"/>
        <v>0</v>
      </c>
      <c r="N70" s="252">
        <v>0</v>
      </c>
      <c r="O70" s="252"/>
      <c r="P70" s="252"/>
      <c r="Q70" s="252"/>
      <c r="R70" s="232">
        <f t="shared" si="2"/>
        <v>0</v>
      </c>
    </row>
    <row r="71" spans="1:18" s="89" customFormat="1" ht="24" hidden="1" customHeight="1">
      <c r="A71" s="134">
        <v>9149</v>
      </c>
      <c r="B71" s="108" t="s">
        <v>192</v>
      </c>
      <c r="C71" s="113"/>
      <c r="D71" s="113">
        <v>0</v>
      </c>
      <c r="E71" s="252"/>
      <c r="F71" s="252"/>
      <c r="G71" s="252"/>
      <c r="H71" s="233">
        <f t="shared" si="0"/>
        <v>0</v>
      </c>
      <c r="I71" s="252">
        <v>0</v>
      </c>
      <c r="J71" s="252"/>
      <c r="K71" s="252"/>
      <c r="L71" s="252"/>
      <c r="M71" s="233">
        <f t="shared" si="1"/>
        <v>0</v>
      </c>
      <c r="N71" s="252">
        <v>0</v>
      </c>
      <c r="O71" s="252"/>
      <c r="P71" s="252"/>
      <c r="Q71" s="252"/>
      <c r="R71" s="232">
        <f t="shared" si="2"/>
        <v>0</v>
      </c>
    </row>
    <row r="72" spans="1:18" s="29" customFormat="1" ht="24" hidden="1" customHeight="1">
      <c r="A72" s="141">
        <v>9500</v>
      </c>
      <c r="B72" s="108" t="s">
        <v>165</v>
      </c>
      <c r="C72" s="107">
        <v>0</v>
      </c>
      <c r="D72" s="107">
        <v>0</v>
      </c>
      <c r="E72" s="233">
        <f>SUM(E73:E75)</f>
        <v>0</v>
      </c>
      <c r="F72" s="233">
        <f>SUM(F73:F75)</f>
        <v>0</v>
      </c>
      <c r="G72" s="233">
        <f>SUM(G73:G75)</f>
        <v>0</v>
      </c>
      <c r="H72" s="233">
        <f t="shared" si="0"/>
        <v>0</v>
      </c>
      <c r="I72" s="233">
        <v>0</v>
      </c>
      <c r="J72" s="233">
        <f>SUM(J73:J75)</f>
        <v>0</v>
      </c>
      <c r="K72" s="233">
        <f>SUM(K73:K75)</f>
        <v>0</v>
      </c>
      <c r="L72" s="233">
        <f>SUM(L73:L75)</f>
        <v>0</v>
      </c>
      <c r="M72" s="233">
        <f t="shared" si="1"/>
        <v>0</v>
      </c>
      <c r="N72" s="233">
        <v>0</v>
      </c>
      <c r="O72" s="233">
        <f>SUM(O73:O75)</f>
        <v>0</v>
      </c>
      <c r="P72" s="233">
        <f>SUM(P73:P75)</f>
        <v>0</v>
      </c>
      <c r="Q72" s="233">
        <f>SUM(Q73:Q75)</f>
        <v>0</v>
      </c>
      <c r="R72" s="232">
        <f t="shared" si="2"/>
        <v>0</v>
      </c>
    </row>
    <row r="73" spans="1:18" s="29" customFormat="1" ht="24" hidden="1" customHeight="1">
      <c r="A73" s="133" t="s">
        <v>193</v>
      </c>
      <c r="B73" s="108" t="s">
        <v>171</v>
      </c>
      <c r="C73" s="107"/>
      <c r="D73" s="107">
        <v>0</v>
      </c>
      <c r="E73" s="233"/>
      <c r="F73" s="233"/>
      <c r="G73" s="233"/>
      <c r="H73" s="233">
        <f t="shared" si="0"/>
        <v>0</v>
      </c>
      <c r="I73" s="233">
        <v>0</v>
      </c>
      <c r="J73" s="233"/>
      <c r="K73" s="233"/>
      <c r="L73" s="233"/>
      <c r="M73" s="233">
        <f t="shared" si="1"/>
        <v>0</v>
      </c>
      <c r="N73" s="233">
        <v>0</v>
      </c>
      <c r="O73" s="233"/>
      <c r="P73" s="233"/>
      <c r="Q73" s="233"/>
      <c r="R73" s="232">
        <f t="shared" si="2"/>
        <v>0</v>
      </c>
    </row>
    <row r="74" spans="1:18" s="28" customFormat="1" ht="48" hidden="1" customHeight="1">
      <c r="A74" s="133">
        <v>9580</v>
      </c>
      <c r="B74" s="108" t="s">
        <v>166</v>
      </c>
      <c r="C74" s="113"/>
      <c r="D74" s="113">
        <v>0</v>
      </c>
      <c r="E74" s="252"/>
      <c r="F74" s="252"/>
      <c r="G74" s="252"/>
      <c r="H74" s="233">
        <f t="shared" ref="H74:H137" si="9">SUM(D74:G74)</f>
        <v>0</v>
      </c>
      <c r="I74" s="252">
        <v>0</v>
      </c>
      <c r="J74" s="252"/>
      <c r="K74" s="252"/>
      <c r="L74" s="252"/>
      <c r="M74" s="233">
        <f t="shared" ref="M74:M137" si="10">SUM(I74:L74)</f>
        <v>0</v>
      </c>
      <c r="N74" s="252">
        <v>0</v>
      </c>
      <c r="O74" s="252"/>
      <c r="P74" s="252"/>
      <c r="Q74" s="252"/>
      <c r="R74" s="232">
        <f t="shared" ref="R74:R137" si="11">SUM(N74:Q74)</f>
        <v>0</v>
      </c>
    </row>
    <row r="75" spans="1:18" s="4" customFormat="1" ht="48" hidden="1" customHeight="1">
      <c r="A75" s="133">
        <v>9590</v>
      </c>
      <c r="B75" s="112" t="s">
        <v>172</v>
      </c>
      <c r="C75" s="113"/>
      <c r="D75" s="113">
        <v>0</v>
      </c>
      <c r="E75" s="252"/>
      <c r="F75" s="252"/>
      <c r="G75" s="252"/>
      <c r="H75" s="233">
        <f t="shared" si="9"/>
        <v>0</v>
      </c>
      <c r="I75" s="252">
        <v>0</v>
      </c>
      <c r="J75" s="252"/>
      <c r="K75" s="252"/>
      <c r="L75" s="252"/>
      <c r="M75" s="233">
        <f t="shared" si="10"/>
        <v>0</v>
      </c>
      <c r="N75" s="252">
        <v>0</v>
      </c>
      <c r="O75" s="252"/>
      <c r="P75" s="252"/>
      <c r="Q75" s="252"/>
      <c r="R75" s="232">
        <f t="shared" si="11"/>
        <v>0</v>
      </c>
    </row>
    <row r="76" spans="1:18" ht="24" hidden="1" customHeight="1">
      <c r="A76" s="141">
        <v>9700</v>
      </c>
      <c r="B76" s="116" t="s">
        <v>194</v>
      </c>
      <c r="C76" s="107">
        <v>0</v>
      </c>
      <c r="D76" s="107">
        <v>0</v>
      </c>
      <c r="E76" s="233">
        <f>SUM(E77:E78)</f>
        <v>0</v>
      </c>
      <c r="F76" s="233">
        <f>SUM(F77:F78)</f>
        <v>0</v>
      </c>
      <c r="G76" s="233">
        <f>SUM(G77:G78)</f>
        <v>0</v>
      </c>
      <c r="H76" s="233">
        <f t="shared" si="9"/>
        <v>0</v>
      </c>
      <c r="I76" s="233">
        <v>0</v>
      </c>
      <c r="J76" s="233">
        <f>SUM(J77:J78)</f>
        <v>0</v>
      </c>
      <c r="K76" s="233">
        <f>SUM(K77:K78)</f>
        <v>0</v>
      </c>
      <c r="L76" s="233">
        <f>SUM(L77:L78)</f>
        <v>0</v>
      </c>
      <c r="M76" s="233">
        <f t="shared" si="10"/>
        <v>0</v>
      </c>
      <c r="N76" s="233">
        <v>0</v>
      </c>
      <c r="O76" s="233">
        <f>SUM(O77:O78)</f>
        <v>0</v>
      </c>
      <c r="P76" s="233">
        <f>SUM(P77:P78)</f>
        <v>0</v>
      </c>
      <c r="Q76" s="233">
        <f>SUM(Q77:Q78)</f>
        <v>0</v>
      </c>
      <c r="R76" s="232">
        <f t="shared" si="11"/>
        <v>0</v>
      </c>
    </row>
    <row r="77" spans="1:18" ht="24" hidden="1" customHeight="1">
      <c r="A77" s="133">
        <v>9710</v>
      </c>
      <c r="B77" s="117" t="s">
        <v>195</v>
      </c>
      <c r="C77" s="113"/>
      <c r="D77" s="113">
        <v>0</v>
      </c>
      <c r="E77" s="252"/>
      <c r="F77" s="252"/>
      <c r="G77" s="252"/>
      <c r="H77" s="233">
        <f t="shared" si="9"/>
        <v>0</v>
      </c>
      <c r="I77" s="252">
        <v>0</v>
      </c>
      <c r="J77" s="252"/>
      <c r="K77" s="252"/>
      <c r="L77" s="252"/>
      <c r="M77" s="233">
        <f t="shared" si="10"/>
        <v>0</v>
      </c>
      <c r="N77" s="252">
        <v>0</v>
      </c>
      <c r="O77" s="252"/>
      <c r="P77" s="252"/>
      <c r="Q77" s="252"/>
      <c r="R77" s="232">
        <f t="shared" si="11"/>
        <v>0</v>
      </c>
    </row>
    <row r="78" spans="1:18" ht="48" hidden="1" customHeight="1">
      <c r="A78" s="142">
        <v>9720</v>
      </c>
      <c r="B78" s="116" t="s">
        <v>196</v>
      </c>
      <c r="C78" s="113"/>
      <c r="D78" s="113">
        <v>0</v>
      </c>
      <c r="E78" s="252"/>
      <c r="F78" s="252"/>
      <c r="G78" s="252"/>
      <c r="H78" s="233">
        <f t="shared" si="9"/>
        <v>0</v>
      </c>
      <c r="I78" s="252">
        <v>0</v>
      </c>
      <c r="J78" s="252"/>
      <c r="K78" s="252"/>
      <c r="L78" s="252"/>
      <c r="M78" s="233">
        <f t="shared" si="10"/>
        <v>0</v>
      </c>
      <c r="N78" s="252">
        <v>0</v>
      </c>
      <c r="O78" s="252"/>
      <c r="P78" s="252"/>
      <c r="Q78" s="252"/>
      <c r="R78" s="232">
        <f t="shared" si="11"/>
        <v>0</v>
      </c>
    </row>
    <row r="79" spans="1:18" ht="24" hidden="1" customHeight="1">
      <c r="A79" s="141">
        <v>9600</v>
      </c>
      <c r="B79" s="112" t="s">
        <v>134</v>
      </c>
      <c r="C79" s="113"/>
      <c r="D79" s="113">
        <v>0</v>
      </c>
      <c r="E79" s="252"/>
      <c r="F79" s="252"/>
      <c r="G79" s="252"/>
      <c r="H79" s="233">
        <f t="shared" si="9"/>
        <v>0</v>
      </c>
      <c r="I79" s="252">
        <v>0</v>
      </c>
      <c r="J79" s="252"/>
      <c r="K79" s="252"/>
      <c r="L79" s="252"/>
      <c r="M79" s="233">
        <f t="shared" si="10"/>
        <v>0</v>
      </c>
      <c r="N79" s="252">
        <v>0</v>
      </c>
      <c r="O79" s="252"/>
      <c r="P79" s="252"/>
      <c r="Q79" s="252"/>
      <c r="R79" s="232">
        <f t="shared" si="11"/>
        <v>0</v>
      </c>
    </row>
    <row r="80" spans="1:18" ht="52.5" hidden="1" customHeight="1">
      <c r="A80" s="130" t="s">
        <v>197</v>
      </c>
      <c r="B80" s="118" t="s">
        <v>47</v>
      </c>
      <c r="C80" s="119"/>
      <c r="D80" s="119">
        <v>0</v>
      </c>
      <c r="E80" s="262">
        <f>E10-E35</f>
        <v>0</v>
      </c>
      <c r="F80" s="262">
        <f>F10-F35</f>
        <v>0</v>
      </c>
      <c r="G80" s="262">
        <f>G10-G35</f>
        <v>0</v>
      </c>
      <c r="H80" s="233">
        <f t="shared" si="9"/>
        <v>0</v>
      </c>
      <c r="I80" s="262">
        <v>0</v>
      </c>
      <c r="J80" s="262">
        <f>J10-J35</f>
        <v>0</v>
      </c>
      <c r="K80" s="262">
        <f>K10-K35</f>
        <v>0</v>
      </c>
      <c r="L80" s="262">
        <f>L10-L35</f>
        <v>0</v>
      </c>
      <c r="M80" s="233">
        <f t="shared" si="10"/>
        <v>0</v>
      </c>
      <c r="N80" s="262">
        <v>0</v>
      </c>
      <c r="O80" s="262">
        <f>O10-O35</f>
        <v>0</v>
      </c>
      <c r="P80" s="262">
        <f>P10-P35</f>
        <v>0</v>
      </c>
      <c r="Q80" s="262">
        <f>Q10-Q35</f>
        <v>0</v>
      </c>
      <c r="R80" s="232">
        <f t="shared" si="11"/>
        <v>0</v>
      </c>
    </row>
    <row r="81" spans="1:18" ht="12" hidden="1" customHeight="1">
      <c r="A81" s="143" t="s">
        <v>48</v>
      </c>
      <c r="B81" s="118" t="s">
        <v>49</v>
      </c>
      <c r="C81" s="119">
        <v>0</v>
      </c>
      <c r="D81" s="119">
        <v>0</v>
      </c>
      <c r="E81" s="262">
        <f>E82+E85+E89+E88</f>
        <v>0</v>
      </c>
      <c r="F81" s="262">
        <f>F82+F85+F89+F88</f>
        <v>0</v>
      </c>
      <c r="G81" s="262">
        <f>G82+G85+G89+G88</f>
        <v>0</v>
      </c>
      <c r="H81" s="233">
        <f t="shared" si="9"/>
        <v>0</v>
      </c>
      <c r="I81" s="262">
        <v>0</v>
      </c>
      <c r="J81" s="262">
        <f>J82+J85+J89+J88</f>
        <v>0</v>
      </c>
      <c r="K81" s="262">
        <f>K82+K85+K89+K88</f>
        <v>0</v>
      </c>
      <c r="L81" s="262">
        <f>L82+L85+L89+L88</f>
        <v>0</v>
      </c>
      <c r="M81" s="233">
        <f t="shared" si="10"/>
        <v>0</v>
      </c>
      <c r="N81" s="262">
        <v>0</v>
      </c>
      <c r="O81" s="262">
        <f>O82+O85+O89+O88</f>
        <v>0</v>
      </c>
      <c r="P81" s="262">
        <f>P82+P85+P89+P88</f>
        <v>0</v>
      </c>
      <c r="Q81" s="262">
        <f>Q82+Q85+Q89+Q88</f>
        <v>0</v>
      </c>
      <c r="R81" s="232">
        <f t="shared" si="11"/>
        <v>0</v>
      </c>
    </row>
    <row r="82" spans="1:18" s="4" customFormat="1" ht="12" hidden="1" customHeight="1">
      <c r="A82" s="141" t="s">
        <v>50</v>
      </c>
      <c r="B82" s="112" t="s">
        <v>51</v>
      </c>
      <c r="C82" s="105">
        <v>0</v>
      </c>
      <c r="D82" s="105">
        <v>0</v>
      </c>
      <c r="E82" s="231">
        <f>E83+E84</f>
        <v>0</v>
      </c>
      <c r="F82" s="231">
        <f>F83+F84</f>
        <v>0</v>
      </c>
      <c r="G82" s="231">
        <f>G83+G84</f>
        <v>0</v>
      </c>
      <c r="H82" s="233">
        <f t="shared" si="9"/>
        <v>0</v>
      </c>
      <c r="I82" s="231">
        <v>0</v>
      </c>
      <c r="J82" s="231">
        <f>J83+J84</f>
        <v>0</v>
      </c>
      <c r="K82" s="231">
        <f>K83+K84</f>
        <v>0</v>
      </c>
      <c r="L82" s="231">
        <f>L83+L84</f>
        <v>0</v>
      </c>
      <c r="M82" s="233">
        <f t="shared" si="10"/>
        <v>0</v>
      </c>
      <c r="N82" s="231">
        <v>0</v>
      </c>
      <c r="O82" s="231">
        <f>O83+O84</f>
        <v>0</v>
      </c>
      <c r="P82" s="231">
        <f>P83+P84</f>
        <v>0</v>
      </c>
      <c r="Q82" s="231">
        <f>Q83+Q84</f>
        <v>0</v>
      </c>
      <c r="R82" s="232">
        <f t="shared" si="11"/>
        <v>0</v>
      </c>
    </row>
    <row r="83" spans="1:18" s="6" customFormat="1" ht="12" hidden="1" customHeight="1">
      <c r="A83" s="141" t="s">
        <v>52</v>
      </c>
      <c r="B83" s="112" t="s">
        <v>53</v>
      </c>
      <c r="C83" s="105"/>
      <c r="D83" s="105">
        <v>0</v>
      </c>
      <c r="E83" s="231"/>
      <c r="F83" s="231"/>
      <c r="G83" s="231"/>
      <c r="H83" s="233">
        <f t="shared" si="9"/>
        <v>0</v>
      </c>
      <c r="I83" s="231">
        <v>0</v>
      </c>
      <c r="J83" s="231"/>
      <c r="K83" s="231"/>
      <c r="L83" s="231"/>
      <c r="M83" s="233">
        <f t="shared" si="10"/>
        <v>0</v>
      </c>
      <c r="N83" s="231">
        <v>0</v>
      </c>
      <c r="O83" s="231"/>
      <c r="P83" s="231"/>
      <c r="Q83" s="231"/>
      <c r="R83" s="232">
        <f t="shared" si="11"/>
        <v>0</v>
      </c>
    </row>
    <row r="84" spans="1:18" s="6" customFormat="1" ht="12" hidden="1" customHeight="1">
      <c r="A84" s="141" t="s">
        <v>54</v>
      </c>
      <c r="B84" s="112" t="s">
        <v>55</v>
      </c>
      <c r="C84" s="105"/>
      <c r="D84" s="105">
        <v>0</v>
      </c>
      <c r="E84" s="231"/>
      <c r="F84" s="231"/>
      <c r="G84" s="231"/>
      <c r="H84" s="233">
        <f t="shared" si="9"/>
        <v>0</v>
      </c>
      <c r="I84" s="231">
        <v>0</v>
      </c>
      <c r="J84" s="231"/>
      <c r="K84" s="231"/>
      <c r="L84" s="231"/>
      <c r="M84" s="233">
        <f t="shared" si="10"/>
        <v>0</v>
      </c>
      <c r="N84" s="231">
        <v>0</v>
      </c>
      <c r="O84" s="231"/>
      <c r="P84" s="231"/>
      <c r="Q84" s="231"/>
      <c r="R84" s="232">
        <f t="shared" si="11"/>
        <v>0</v>
      </c>
    </row>
    <row r="85" spans="1:18" s="6" customFormat="1" ht="12" hidden="1" customHeight="1">
      <c r="A85" s="141" t="s">
        <v>56</v>
      </c>
      <c r="B85" s="112" t="s">
        <v>57</v>
      </c>
      <c r="C85" s="105">
        <v>0</v>
      </c>
      <c r="D85" s="105">
        <v>0</v>
      </c>
      <c r="E85" s="231">
        <f>E86+E87</f>
        <v>0</v>
      </c>
      <c r="F85" s="231">
        <f>F86+F87</f>
        <v>0</v>
      </c>
      <c r="G85" s="231">
        <f>G86+G87</f>
        <v>0</v>
      </c>
      <c r="H85" s="233">
        <f t="shared" si="9"/>
        <v>0</v>
      </c>
      <c r="I85" s="231">
        <v>0</v>
      </c>
      <c r="J85" s="231">
        <f>J86+J87</f>
        <v>0</v>
      </c>
      <c r="K85" s="231">
        <f>K86+K87</f>
        <v>0</v>
      </c>
      <c r="L85" s="231">
        <f>L86+L87</f>
        <v>0</v>
      </c>
      <c r="M85" s="233">
        <f t="shared" si="10"/>
        <v>0</v>
      </c>
      <c r="N85" s="231">
        <v>0</v>
      </c>
      <c r="O85" s="231">
        <f>O86+O87</f>
        <v>0</v>
      </c>
      <c r="P85" s="231">
        <f>P86+P87</f>
        <v>0</v>
      </c>
      <c r="Q85" s="231">
        <f>Q86+Q87</f>
        <v>0</v>
      </c>
      <c r="R85" s="232">
        <f t="shared" si="11"/>
        <v>0</v>
      </c>
    </row>
    <row r="86" spans="1:18" s="6" customFormat="1" ht="12" hidden="1" customHeight="1">
      <c r="A86" s="141" t="s">
        <v>58</v>
      </c>
      <c r="B86" s="112" t="s">
        <v>59</v>
      </c>
      <c r="C86" s="105"/>
      <c r="D86" s="105">
        <v>0</v>
      </c>
      <c r="E86" s="231"/>
      <c r="F86" s="231"/>
      <c r="G86" s="231"/>
      <c r="H86" s="233">
        <f t="shared" si="9"/>
        <v>0</v>
      </c>
      <c r="I86" s="231">
        <v>0</v>
      </c>
      <c r="J86" s="231"/>
      <c r="K86" s="231"/>
      <c r="L86" s="231"/>
      <c r="M86" s="233">
        <f t="shared" si="10"/>
        <v>0</v>
      </c>
      <c r="N86" s="231">
        <v>0</v>
      </c>
      <c r="O86" s="231"/>
      <c r="P86" s="231"/>
      <c r="Q86" s="231"/>
      <c r="R86" s="232">
        <f t="shared" si="11"/>
        <v>0</v>
      </c>
    </row>
    <row r="87" spans="1:18" s="6" customFormat="1" ht="12" hidden="1" customHeight="1">
      <c r="A87" s="141" t="s">
        <v>60</v>
      </c>
      <c r="B87" s="112" t="s">
        <v>61</v>
      </c>
      <c r="C87" s="105"/>
      <c r="D87" s="105">
        <v>0</v>
      </c>
      <c r="E87" s="231"/>
      <c r="F87" s="231"/>
      <c r="G87" s="231"/>
      <c r="H87" s="233">
        <f t="shared" si="9"/>
        <v>0</v>
      </c>
      <c r="I87" s="231">
        <v>0</v>
      </c>
      <c r="J87" s="231"/>
      <c r="K87" s="231"/>
      <c r="L87" s="231"/>
      <c r="M87" s="233">
        <f t="shared" si="10"/>
        <v>0</v>
      </c>
      <c r="N87" s="231">
        <v>0</v>
      </c>
      <c r="O87" s="231"/>
      <c r="P87" s="231"/>
      <c r="Q87" s="231"/>
      <c r="R87" s="232">
        <f t="shared" si="11"/>
        <v>0</v>
      </c>
    </row>
    <row r="88" spans="1:18" s="6" customFormat="1" ht="12" hidden="1" customHeight="1">
      <c r="A88" s="141" t="s">
        <v>198</v>
      </c>
      <c r="B88" s="120" t="s">
        <v>168</v>
      </c>
      <c r="C88" s="105"/>
      <c r="D88" s="105">
        <v>0</v>
      </c>
      <c r="E88" s="231"/>
      <c r="F88" s="231"/>
      <c r="G88" s="231"/>
      <c r="H88" s="233">
        <f t="shared" si="9"/>
        <v>0</v>
      </c>
      <c r="I88" s="231">
        <v>0</v>
      </c>
      <c r="J88" s="231"/>
      <c r="K88" s="231"/>
      <c r="L88" s="231"/>
      <c r="M88" s="233">
        <f t="shared" si="10"/>
        <v>0</v>
      </c>
      <c r="N88" s="231">
        <v>0</v>
      </c>
      <c r="O88" s="231"/>
      <c r="P88" s="231"/>
      <c r="Q88" s="231"/>
      <c r="R88" s="232">
        <f t="shared" si="11"/>
        <v>0</v>
      </c>
    </row>
    <row r="89" spans="1:18" s="6" customFormat="1" ht="12" hidden="1" customHeight="1">
      <c r="A89" s="144" t="s">
        <v>62</v>
      </c>
      <c r="B89" s="101" t="s">
        <v>63</v>
      </c>
      <c r="C89" s="107">
        <v>0</v>
      </c>
      <c r="D89" s="107">
        <v>0</v>
      </c>
      <c r="E89" s="233">
        <f>E90+E91+E92</f>
        <v>0</v>
      </c>
      <c r="F89" s="233">
        <f>F90+F91+F92</f>
        <v>0</v>
      </c>
      <c r="G89" s="233">
        <f>G90+G91+G92</f>
        <v>0</v>
      </c>
      <c r="H89" s="233">
        <f t="shared" si="9"/>
        <v>0</v>
      </c>
      <c r="I89" s="233">
        <v>0</v>
      </c>
      <c r="J89" s="233">
        <f>J90+J91+J92</f>
        <v>0</v>
      </c>
      <c r="K89" s="233">
        <f>K90+K91+K92</f>
        <v>0</v>
      </c>
      <c r="L89" s="233">
        <f>L90+L91+L92</f>
        <v>0</v>
      </c>
      <c r="M89" s="233">
        <f t="shared" si="10"/>
        <v>0</v>
      </c>
      <c r="N89" s="233">
        <v>0</v>
      </c>
      <c r="O89" s="233">
        <f>O90+O91+O92</f>
        <v>0</v>
      </c>
      <c r="P89" s="233">
        <f>P90+P91+P92</f>
        <v>0</v>
      </c>
      <c r="Q89" s="233">
        <f>Q90+Q91+Q92</f>
        <v>0</v>
      </c>
      <c r="R89" s="232">
        <f t="shared" si="11"/>
        <v>0</v>
      </c>
    </row>
    <row r="90" spans="1:18" s="6" customFormat="1" ht="36" hidden="1" customHeight="1">
      <c r="A90" s="144" t="s">
        <v>64</v>
      </c>
      <c r="B90" s="112" t="s">
        <v>65</v>
      </c>
      <c r="C90" s="105"/>
      <c r="D90" s="105">
        <v>0</v>
      </c>
      <c r="E90" s="231"/>
      <c r="F90" s="231"/>
      <c r="G90" s="231"/>
      <c r="H90" s="233">
        <f t="shared" si="9"/>
        <v>0</v>
      </c>
      <c r="I90" s="231">
        <v>0</v>
      </c>
      <c r="J90" s="231"/>
      <c r="K90" s="231"/>
      <c r="L90" s="231"/>
      <c r="M90" s="233">
        <f t="shared" si="10"/>
        <v>0</v>
      </c>
      <c r="N90" s="231">
        <v>0</v>
      </c>
      <c r="O90" s="231"/>
      <c r="P90" s="231"/>
      <c r="Q90" s="231"/>
      <c r="R90" s="232">
        <f t="shared" si="11"/>
        <v>0</v>
      </c>
    </row>
    <row r="91" spans="1:18" s="6" customFormat="1" ht="24" hidden="1" customHeight="1">
      <c r="A91" s="144" t="s">
        <v>66</v>
      </c>
      <c r="B91" s="112" t="s">
        <v>67</v>
      </c>
      <c r="C91" s="105"/>
      <c r="D91" s="105">
        <v>0</v>
      </c>
      <c r="E91" s="231"/>
      <c r="F91" s="231"/>
      <c r="G91" s="231"/>
      <c r="H91" s="233">
        <f t="shared" si="9"/>
        <v>0</v>
      </c>
      <c r="I91" s="231">
        <v>0</v>
      </c>
      <c r="J91" s="231"/>
      <c r="K91" s="231"/>
      <c r="L91" s="231"/>
      <c r="M91" s="233">
        <f t="shared" si="10"/>
        <v>0</v>
      </c>
      <c r="N91" s="231">
        <v>0</v>
      </c>
      <c r="O91" s="231"/>
      <c r="P91" s="231"/>
      <c r="Q91" s="231"/>
      <c r="R91" s="232">
        <f t="shared" si="11"/>
        <v>0</v>
      </c>
    </row>
    <row r="92" spans="1:18" s="6" customFormat="1" ht="24" hidden="1" customHeight="1">
      <c r="A92" s="144" t="s">
        <v>68</v>
      </c>
      <c r="B92" s="101" t="s">
        <v>69</v>
      </c>
      <c r="C92" s="105"/>
      <c r="D92" s="105">
        <v>0</v>
      </c>
      <c r="E92" s="231"/>
      <c r="F92" s="231"/>
      <c r="G92" s="231"/>
      <c r="H92" s="233">
        <f t="shared" si="9"/>
        <v>0</v>
      </c>
      <c r="I92" s="231">
        <v>0</v>
      </c>
      <c r="J92" s="231"/>
      <c r="K92" s="231"/>
      <c r="L92" s="231"/>
      <c r="M92" s="233">
        <f t="shared" si="10"/>
        <v>0</v>
      </c>
      <c r="N92" s="231">
        <v>0</v>
      </c>
      <c r="O92" s="231"/>
      <c r="P92" s="231"/>
      <c r="Q92" s="231"/>
      <c r="R92" s="232">
        <f t="shared" si="11"/>
        <v>0</v>
      </c>
    </row>
    <row r="93" spans="1:18" s="6" customFormat="1" ht="12" customHeight="1">
      <c r="A93" s="145"/>
      <c r="B93" s="121" t="s">
        <v>199</v>
      </c>
      <c r="C93" s="1325"/>
      <c r="D93" s="1326">
        <v>0</v>
      </c>
      <c r="E93" s="347"/>
      <c r="F93" s="347"/>
      <c r="G93" s="347"/>
      <c r="H93" s="347">
        <f t="shared" si="9"/>
        <v>0</v>
      </c>
      <c r="I93" s="347">
        <v>0</v>
      </c>
      <c r="J93" s="347"/>
      <c r="K93" s="347"/>
      <c r="L93" s="347"/>
      <c r="M93" s="347">
        <f t="shared" si="10"/>
        <v>0</v>
      </c>
      <c r="N93" s="347">
        <v>0</v>
      </c>
      <c r="O93" s="347"/>
      <c r="P93" s="347"/>
      <c r="Q93" s="347"/>
      <c r="R93" s="269">
        <f t="shared" si="11"/>
        <v>0</v>
      </c>
    </row>
    <row r="94" spans="1:18" s="6" customFormat="1" ht="20.399999999999999">
      <c r="A94" s="129" t="s">
        <v>201</v>
      </c>
      <c r="B94" s="99" t="s">
        <v>88</v>
      </c>
      <c r="C94" s="103">
        <v>2451205</v>
      </c>
      <c r="D94" s="103">
        <v>2575831</v>
      </c>
      <c r="E94" s="228">
        <f>E95+E96+E98+E116</f>
        <v>0</v>
      </c>
      <c r="F94" s="228">
        <f>F95+F96+F98+F116</f>
        <v>865933</v>
      </c>
      <c r="G94" s="228">
        <f>G95+G96+G98+G116</f>
        <v>56190</v>
      </c>
      <c r="H94" s="243">
        <f t="shared" si="9"/>
        <v>3497954</v>
      </c>
      <c r="I94" s="228">
        <v>2568378</v>
      </c>
      <c r="J94" s="228">
        <f>J95+J96+J98+J116</f>
        <v>0</v>
      </c>
      <c r="K94" s="228">
        <f>K95+K96+K98+K116</f>
        <v>139835</v>
      </c>
      <c r="L94" s="228">
        <f>L95+L96+L98+L116</f>
        <v>4250</v>
      </c>
      <c r="M94" s="243">
        <f t="shared" si="10"/>
        <v>2712463</v>
      </c>
      <c r="N94" s="228">
        <v>2568849</v>
      </c>
      <c r="O94" s="228">
        <f>O95+O96+O98+O116</f>
        <v>0</v>
      </c>
      <c r="P94" s="228">
        <f>P95+P96+P98+P116</f>
        <v>105922</v>
      </c>
      <c r="Q94" s="228">
        <f>Q95+Q96+Q98+Q116</f>
        <v>4250</v>
      </c>
      <c r="R94" s="229">
        <f t="shared" si="11"/>
        <v>2679021</v>
      </c>
    </row>
    <row r="95" spans="1:18" s="6" customFormat="1" ht="22.8">
      <c r="A95" s="130" t="s">
        <v>177</v>
      </c>
      <c r="B95" s="100" t="s">
        <v>90</v>
      </c>
      <c r="C95" s="105">
        <v>187146</v>
      </c>
      <c r="D95" s="105">
        <v>187146</v>
      </c>
      <c r="E95" s="231"/>
      <c r="F95" s="231"/>
      <c r="G95" s="231"/>
      <c r="H95" s="233">
        <f t="shared" si="9"/>
        <v>187146</v>
      </c>
      <c r="I95" s="231">
        <v>187146</v>
      </c>
      <c r="J95" s="231"/>
      <c r="K95" s="231"/>
      <c r="L95" s="231"/>
      <c r="M95" s="233">
        <f t="shared" si="10"/>
        <v>187146</v>
      </c>
      <c r="N95" s="231">
        <v>187146</v>
      </c>
      <c r="O95" s="231"/>
      <c r="P95" s="231"/>
      <c r="Q95" s="231"/>
      <c r="R95" s="232">
        <f t="shared" si="11"/>
        <v>187146</v>
      </c>
    </row>
    <row r="96" spans="1:18" s="6" customFormat="1" ht="12" hidden="1" customHeight="1">
      <c r="A96" s="130" t="s">
        <v>91</v>
      </c>
      <c r="B96" s="100" t="s">
        <v>92</v>
      </c>
      <c r="C96" s="105"/>
      <c r="D96" s="105">
        <v>0</v>
      </c>
      <c r="E96" s="231"/>
      <c r="F96" s="231"/>
      <c r="G96" s="231"/>
      <c r="H96" s="233">
        <f t="shared" si="9"/>
        <v>0</v>
      </c>
      <c r="I96" s="231">
        <v>0</v>
      </c>
      <c r="J96" s="231"/>
      <c r="K96" s="231"/>
      <c r="L96" s="231"/>
      <c r="M96" s="233">
        <f t="shared" si="10"/>
        <v>0</v>
      </c>
      <c r="N96" s="231">
        <v>0</v>
      </c>
      <c r="O96" s="231"/>
      <c r="P96" s="231"/>
      <c r="Q96" s="231"/>
      <c r="R96" s="232">
        <f t="shared" si="11"/>
        <v>0</v>
      </c>
    </row>
    <row r="97" spans="1:18" s="6" customFormat="1" ht="24" hidden="1" customHeight="1">
      <c r="A97" s="131">
        <v>21210</v>
      </c>
      <c r="B97" s="101" t="s">
        <v>93</v>
      </c>
      <c r="C97" s="105"/>
      <c r="D97" s="105">
        <v>0</v>
      </c>
      <c r="E97" s="231"/>
      <c r="F97" s="231"/>
      <c r="G97" s="231"/>
      <c r="H97" s="233">
        <f t="shared" si="9"/>
        <v>0</v>
      </c>
      <c r="I97" s="231">
        <v>0</v>
      </c>
      <c r="J97" s="231"/>
      <c r="K97" s="231"/>
      <c r="L97" s="231"/>
      <c r="M97" s="233">
        <f t="shared" si="10"/>
        <v>0</v>
      </c>
      <c r="N97" s="231">
        <v>0</v>
      </c>
      <c r="O97" s="231"/>
      <c r="P97" s="231"/>
      <c r="Q97" s="231"/>
      <c r="R97" s="232">
        <f t="shared" si="11"/>
        <v>0</v>
      </c>
    </row>
    <row r="98" spans="1:18" s="6" customFormat="1" ht="21" hidden="1" customHeight="1">
      <c r="A98" s="130" t="s">
        <v>178</v>
      </c>
      <c r="B98" s="100" t="s">
        <v>94</v>
      </c>
      <c r="C98" s="107">
        <v>0</v>
      </c>
      <c r="D98" s="107">
        <v>0</v>
      </c>
      <c r="E98" s="233">
        <f>E99+E105</f>
        <v>0</v>
      </c>
      <c r="F98" s="233">
        <f>F99+F105</f>
        <v>0</v>
      </c>
      <c r="G98" s="233">
        <f>G99+G105</f>
        <v>0</v>
      </c>
      <c r="H98" s="233">
        <f t="shared" si="9"/>
        <v>0</v>
      </c>
      <c r="I98" s="233">
        <v>0</v>
      </c>
      <c r="J98" s="233">
        <f>J99+J105</f>
        <v>0</v>
      </c>
      <c r="K98" s="233">
        <f>K99+K105</f>
        <v>0</v>
      </c>
      <c r="L98" s="233">
        <f>L99+L105</f>
        <v>0</v>
      </c>
      <c r="M98" s="233">
        <f t="shared" si="10"/>
        <v>0</v>
      </c>
      <c r="N98" s="233">
        <v>0</v>
      </c>
      <c r="O98" s="233">
        <f>O99+O105</f>
        <v>0</v>
      </c>
      <c r="P98" s="233">
        <f>P99+P105</f>
        <v>0</v>
      </c>
      <c r="Q98" s="233">
        <f>Q99+Q105</f>
        <v>0</v>
      </c>
      <c r="R98" s="232">
        <f t="shared" si="11"/>
        <v>0</v>
      </c>
    </row>
    <row r="99" spans="1:18" s="6" customFormat="1" ht="12" hidden="1" customHeight="1">
      <c r="A99" s="132">
        <v>18000</v>
      </c>
      <c r="B99" s="101" t="s">
        <v>95</v>
      </c>
      <c r="C99" s="107">
        <v>0</v>
      </c>
      <c r="D99" s="107">
        <v>0</v>
      </c>
      <c r="E99" s="233">
        <f t="shared" ref="E99:L100" si="12">E100</f>
        <v>0</v>
      </c>
      <c r="F99" s="233">
        <f t="shared" si="12"/>
        <v>0</v>
      </c>
      <c r="G99" s="233">
        <f t="shared" si="12"/>
        <v>0</v>
      </c>
      <c r="H99" s="233">
        <f t="shared" si="9"/>
        <v>0</v>
      </c>
      <c r="I99" s="233">
        <v>0</v>
      </c>
      <c r="J99" s="233">
        <f t="shared" si="12"/>
        <v>0</v>
      </c>
      <c r="K99" s="233">
        <f t="shared" si="12"/>
        <v>0</v>
      </c>
      <c r="L99" s="233">
        <f t="shared" si="12"/>
        <v>0</v>
      </c>
      <c r="M99" s="233">
        <f t="shared" si="10"/>
        <v>0</v>
      </c>
      <c r="N99" s="233">
        <v>0</v>
      </c>
      <c r="O99" s="233">
        <f t="shared" ref="O99:Q100" si="13">O100</f>
        <v>0</v>
      </c>
      <c r="P99" s="233">
        <f t="shared" si="13"/>
        <v>0</v>
      </c>
      <c r="Q99" s="233">
        <f t="shared" si="13"/>
        <v>0</v>
      </c>
      <c r="R99" s="232">
        <f t="shared" si="11"/>
        <v>0</v>
      </c>
    </row>
    <row r="100" spans="1:18" s="6" customFormat="1" ht="12" hidden="1" customHeight="1">
      <c r="A100" s="132">
        <v>18100</v>
      </c>
      <c r="B100" s="101" t="s">
        <v>96</v>
      </c>
      <c r="C100" s="107">
        <v>0</v>
      </c>
      <c r="D100" s="107">
        <v>0</v>
      </c>
      <c r="E100" s="233">
        <f t="shared" si="12"/>
        <v>0</v>
      </c>
      <c r="F100" s="233">
        <f t="shared" si="12"/>
        <v>0</v>
      </c>
      <c r="G100" s="233">
        <f t="shared" si="12"/>
        <v>0</v>
      </c>
      <c r="H100" s="233">
        <f t="shared" si="9"/>
        <v>0</v>
      </c>
      <c r="I100" s="233">
        <v>0</v>
      </c>
      <c r="J100" s="233">
        <f t="shared" si="12"/>
        <v>0</v>
      </c>
      <c r="K100" s="233">
        <f t="shared" si="12"/>
        <v>0</v>
      </c>
      <c r="L100" s="233">
        <f t="shared" si="12"/>
        <v>0</v>
      </c>
      <c r="M100" s="233">
        <f t="shared" si="10"/>
        <v>0</v>
      </c>
      <c r="N100" s="233">
        <v>0</v>
      </c>
      <c r="O100" s="233">
        <f t="shared" si="13"/>
        <v>0</v>
      </c>
      <c r="P100" s="233">
        <f t="shared" si="13"/>
        <v>0</v>
      </c>
      <c r="Q100" s="233">
        <f t="shared" si="13"/>
        <v>0</v>
      </c>
      <c r="R100" s="232">
        <f t="shared" si="11"/>
        <v>0</v>
      </c>
    </row>
    <row r="101" spans="1:18" s="6" customFormat="1" ht="24" hidden="1" customHeight="1">
      <c r="A101" s="133">
        <v>18130</v>
      </c>
      <c r="B101" s="108" t="s">
        <v>159</v>
      </c>
      <c r="C101" s="107">
        <v>0</v>
      </c>
      <c r="D101" s="107">
        <v>0</v>
      </c>
      <c r="E101" s="233">
        <f>SUM(E102:E104)</f>
        <v>0</v>
      </c>
      <c r="F101" s="233">
        <f>SUM(F102:F104)</f>
        <v>0</v>
      </c>
      <c r="G101" s="233">
        <f>SUM(G102:G104)</f>
        <v>0</v>
      </c>
      <c r="H101" s="233">
        <f t="shared" si="9"/>
        <v>0</v>
      </c>
      <c r="I101" s="233">
        <v>0</v>
      </c>
      <c r="J101" s="233">
        <f>SUM(J102:J104)</f>
        <v>0</v>
      </c>
      <c r="K101" s="233">
        <f>SUM(K102:K104)</f>
        <v>0</v>
      </c>
      <c r="L101" s="233">
        <f>SUM(L102:L104)</f>
        <v>0</v>
      </c>
      <c r="M101" s="233">
        <f t="shared" si="10"/>
        <v>0</v>
      </c>
      <c r="N101" s="233">
        <v>0</v>
      </c>
      <c r="O101" s="233">
        <f>SUM(O102:O104)</f>
        <v>0</v>
      </c>
      <c r="P101" s="233">
        <f>SUM(P102:P104)</f>
        <v>0</v>
      </c>
      <c r="Q101" s="233">
        <f>SUM(Q102:Q104)</f>
        <v>0</v>
      </c>
      <c r="R101" s="232">
        <f t="shared" si="11"/>
        <v>0</v>
      </c>
    </row>
    <row r="102" spans="1:18" s="6" customFormat="1" ht="36" hidden="1" customHeight="1">
      <c r="A102" s="134">
        <v>18131</v>
      </c>
      <c r="B102" s="108" t="s">
        <v>160</v>
      </c>
      <c r="C102" s="107"/>
      <c r="D102" s="107">
        <v>0</v>
      </c>
      <c r="E102" s="233"/>
      <c r="F102" s="233"/>
      <c r="G102" s="233"/>
      <c r="H102" s="233">
        <f t="shared" si="9"/>
        <v>0</v>
      </c>
      <c r="I102" s="233">
        <v>0</v>
      </c>
      <c r="J102" s="233"/>
      <c r="K102" s="233"/>
      <c r="L102" s="233"/>
      <c r="M102" s="233">
        <f t="shared" si="10"/>
        <v>0</v>
      </c>
      <c r="N102" s="233">
        <v>0</v>
      </c>
      <c r="O102" s="233"/>
      <c r="P102" s="233"/>
      <c r="Q102" s="233"/>
      <c r="R102" s="232">
        <f t="shared" si="11"/>
        <v>0</v>
      </c>
    </row>
    <row r="103" spans="1:18" s="6" customFormat="1" ht="24" hidden="1" customHeight="1">
      <c r="A103" s="134">
        <v>18132</v>
      </c>
      <c r="B103" s="108" t="s">
        <v>169</v>
      </c>
      <c r="C103" s="107"/>
      <c r="D103" s="107">
        <v>0</v>
      </c>
      <c r="E103" s="233"/>
      <c r="F103" s="233"/>
      <c r="G103" s="233"/>
      <c r="H103" s="233">
        <f t="shared" si="9"/>
        <v>0</v>
      </c>
      <c r="I103" s="233">
        <v>0</v>
      </c>
      <c r="J103" s="233"/>
      <c r="K103" s="233"/>
      <c r="L103" s="233"/>
      <c r="M103" s="233">
        <f t="shared" si="10"/>
        <v>0</v>
      </c>
      <c r="N103" s="233">
        <v>0</v>
      </c>
      <c r="O103" s="233"/>
      <c r="P103" s="233"/>
      <c r="Q103" s="233"/>
      <c r="R103" s="232">
        <f t="shared" si="11"/>
        <v>0</v>
      </c>
    </row>
    <row r="104" spans="1:18" s="6" customFormat="1" ht="24" hidden="1" customHeight="1">
      <c r="A104" s="134">
        <v>18139</v>
      </c>
      <c r="B104" s="108" t="s">
        <v>179</v>
      </c>
      <c r="C104" s="107"/>
      <c r="D104" s="107">
        <v>0</v>
      </c>
      <c r="E104" s="233"/>
      <c r="F104" s="233"/>
      <c r="G104" s="233"/>
      <c r="H104" s="233">
        <f t="shared" si="9"/>
        <v>0</v>
      </c>
      <c r="I104" s="233">
        <v>0</v>
      </c>
      <c r="J104" s="233"/>
      <c r="K104" s="233"/>
      <c r="L104" s="233"/>
      <c r="M104" s="233">
        <f t="shared" si="10"/>
        <v>0</v>
      </c>
      <c r="N104" s="233">
        <v>0</v>
      </c>
      <c r="O104" s="233"/>
      <c r="P104" s="233"/>
      <c r="Q104" s="233"/>
      <c r="R104" s="232">
        <f t="shared" si="11"/>
        <v>0</v>
      </c>
    </row>
    <row r="105" spans="1:18" s="6" customFormat="1" ht="12" hidden="1" customHeight="1">
      <c r="A105" s="135" t="s">
        <v>180</v>
      </c>
      <c r="B105" s="109" t="s">
        <v>173</v>
      </c>
      <c r="C105" s="110">
        <v>0</v>
      </c>
      <c r="D105" s="110">
        <v>0</v>
      </c>
      <c r="E105" s="238">
        <f t="shared" ref="E105:L105" si="14">E106</f>
        <v>0</v>
      </c>
      <c r="F105" s="238">
        <f t="shared" si="14"/>
        <v>0</v>
      </c>
      <c r="G105" s="238">
        <f t="shared" si="14"/>
        <v>0</v>
      </c>
      <c r="H105" s="233">
        <f t="shared" si="9"/>
        <v>0</v>
      </c>
      <c r="I105" s="238">
        <v>0</v>
      </c>
      <c r="J105" s="238">
        <f t="shared" si="14"/>
        <v>0</v>
      </c>
      <c r="K105" s="238">
        <f t="shared" si="14"/>
        <v>0</v>
      </c>
      <c r="L105" s="238">
        <f t="shared" si="14"/>
        <v>0</v>
      </c>
      <c r="M105" s="233">
        <f t="shared" si="10"/>
        <v>0</v>
      </c>
      <c r="N105" s="238">
        <v>0</v>
      </c>
      <c r="O105" s="238">
        <f>O106</f>
        <v>0</v>
      </c>
      <c r="P105" s="238">
        <f>P106</f>
        <v>0</v>
      </c>
      <c r="Q105" s="238">
        <f>Q106</f>
        <v>0</v>
      </c>
      <c r="R105" s="232">
        <f t="shared" si="11"/>
        <v>0</v>
      </c>
    </row>
    <row r="106" spans="1:18" s="6" customFormat="1" ht="24" hidden="1" customHeight="1">
      <c r="A106" s="135">
        <v>19500</v>
      </c>
      <c r="B106" s="108" t="s">
        <v>174</v>
      </c>
      <c r="C106" s="107">
        <v>0</v>
      </c>
      <c r="D106" s="107">
        <v>0</v>
      </c>
      <c r="E106" s="233">
        <f>SUM(E107:E109)</f>
        <v>0</v>
      </c>
      <c r="F106" s="233">
        <f>SUM(F107:F109)</f>
        <v>0</v>
      </c>
      <c r="G106" s="233">
        <f>SUM(G107:G109)</f>
        <v>0</v>
      </c>
      <c r="H106" s="233">
        <f t="shared" si="9"/>
        <v>0</v>
      </c>
      <c r="I106" s="233">
        <v>0</v>
      </c>
      <c r="J106" s="233">
        <f>SUM(J107:J109)</f>
        <v>0</v>
      </c>
      <c r="K106" s="233">
        <f>SUM(K107:K109)</f>
        <v>0</v>
      </c>
      <c r="L106" s="233">
        <f>SUM(L107:L109)</f>
        <v>0</v>
      </c>
      <c r="M106" s="233">
        <f t="shared" si="10"/>
        <v>0</v>
      </c>
      <c r="N106" s="233">
        <v>0</v>
      </c>
      <c r="O106" s="233">
        <f>SUM(O107:O109)</f>
        <v>0</v>
      </c>
      <c r="P106" s="233">
        <f>SUM(P107:P109)</f>
        <v>0</v>
      </c>
      <c r="Q106" s="233">
        <f>SUM(Q107:Q109)</f>
        <v>0</v>
      </c>
      <c r="R106" s="232">
        <f t="shared" si="11"/>
        <v>0</v>
      </c>
    </row>
    <row r="107" spans="1:18" s="6" customFormat="1" ht="24" hidden="1" customHeight="1">
      <c r="A107" s="136">
        <v>19550</v>
      </c>
      <c r="B107" s="108" t="s">
        <v>175</v>
      </c>
      <c r="C107" s="107"/>
      <c r="D107" s="107">
        <v>0</v>
      </c>
      <c r="E107" s="233"/>
      <c r="F107" s="233"/>
      <c r="G107" s="233"/>
      <c r="H107" s="233">
        <f t="shared" si="9"/>
        <v>0</v>
      </c>
      <c r="I107" s="233">
        <v>0</v>
      </c>
      <c r="J107" s="233"/>
      <c r="K107" s="233"/>
      <c r="L107" s="233"/>
      <c r="M107" s="233">
        <f t="shared" si="10"/>
        <v>0</v>
      </c>
      <c r="N107" s="233">
        <v>0</v>
      </c>
      <c r="O107" s="233"/>
      <c r="P107" s="233"/>
      <c r="Q107" s="233"/>
      <c r="R107" s="232">
        <f t="shared" si="11"/>
        <v>0</v>
      </c>
    </row>
    <row r="108" spans="1:18" s="6" customFormat="1" ht="36" hidden="1" customHeight="1">
      <c r="A108" s="136">
        <v>19560</v>
      </c>
      <c r="B108" s="108" t="s">
        <v>181</v>
      </c>
      <c r="C108" s="107"/>
      <c r="D108" s="107">
        <v>0</v>
      </c>
      <c r="E108" s="233"/>
      <c r="F108" s="233"/>
      <c r="G108" s="233"/>
      <c r="H108" s="233">
        <f t="shared" si="9"/>
        <v>0</v>
      </c>
      <c r="I108" s="233">
        <v>0</v>
      </c>
      <c r="J108" s="233"/>
      <c r="K108" s="233"/>
      <c r="L108" s="233"/>
      <c r="M108" s="233">
        <f t="shared" si="10"/>
        <v>0</v>
      </c>
      <c r="N108" s="233">
        <v>0</v>
      </c>
      <c r="O108" s="233"/>
      <c r="P108" s="233"/>
      <c r="Q108" s="233"/>
      <c r="R108" s="232">
        <f t="shared" si="11"/>
        <v>0</v>
      </c>
    </row>
    <row r="109" spans="1:18" s="6" customFormat="1" ht="72" hidden="1" customHeight="1">
      <c r="A109" s="136">
        <v>19570</v>
      </c>
      <c r="B109" s="108" t="s">
        <v>182</v>
      </c>
      <c r="C109" s="107"/>
      <c r="D109" s="107">
        <v>0</v>
      </c>
      <c r="E109" s="233"/>
      <c r="F109" s="233"/>
      <c r="G109" s="233"/>
      <c r="H109" s="233">
        <f t="shared" si="9"/>
        <v>0</v>
      </c>
      <c r="I109" s="233">
        <v>0</v>
      </c>
      <c r="J109" s="233"/>
      <c r="K109" s="233"/>
      <c r="L109" s="233"/>
      <c r="M109" s="233">
        <f t="shared" si="10"/>
        <v>0</v>
      </c>
      <c r="N109" s="233">
        <v>0</v>
      </c>
      <c r="O109" s="233"/>
      <c r="P109" s="233"/>
      <c r="Q109" s="233"/>
      <c r="R109" s="232">
        <f t="shared" si="11"/>
        <v>0</v>
      </c>
    </row>
    <row r="110" spans="1:18" s="6" customFormat="1" ht="24" hidden="1" customHeight="1">
      <c r="A110" s="209" t="s">
        <v>222</v>
      </c>
      <c r="B110" s="208" t="s">
        <v>216</v>
      </c>
      <c r="C110" s="107">
        <f>C111</f>
        <v>0</v>
      </c>
      <c r="D110" s="107">
        <v>0</v>
      </c>
      <c r="E110" s="233">
        <f t="shared" ref="E110:L110" si="15">E111</f>
        <v>0</v>
      </c>
      <c r="F110" s="233">
        <f t="shared" si="15"/>
        <v>0</v>
      </c>
      <c r="G110" s="233">
        <f t="shared" si="15"/>
        <v>0</v>
      </c>
      <c r="H110" s="233">
        <f t="shared" si="9"/>
        <v>0</v>
      </c>
      <c r="I110" s="233">
        <v>0</v>
      </c>
      <c r="J110" s="233">
        <f t="shared" si="15"/>
        <v>0</v>
      </c>
      <c r="K110" s="233">
        <f t="shared" si="15"/>
        <v>0</v>
      </c>
      <c r="L110" s="233">
        <f t="shared" si="15"/>
        <v>0</v>
      </c>
      <c r="M110" s="233">
        <f t="shared" si="10"/>
        <v>0</v>
      </c>
      <c r="N110" s="233">
        <v>0</v>
      </c>
      <c r="O110" s="233">
        <f>O111</f>
        <v>0</v>
      </c>
      <c r="P110" s="233">
        <f>P111</f>
        <v>0</v>
      </c>
      <c r="Q110" s="233">
        <f>Q111</f>
        <v>0</v>
      </c>
      <c r="R110" s="232">
        <f t="shared" si="11"/>
        <v>0</v>
      </c>
    </row>
    <row r="111" spans="1:18" s="6" customFormat="1" ht="36" hidden="1" customHeight="1">
      <c r="A111" s="209">
        <v>17100</v>
      </c>
      <c r="B111" s="208" t="s">
        <v>217</v>
      </c>
      <c r="C111" s="107">
        <f>SUM(C112:C115)</f>
        <v>0</v>
      </c>
      <c r="D111" s="107">
        <v>0</v>
      </c>
      <c r="E111" s="233">
        <f>SUM(E112:E115)</f>
        <v>0</v>
      </c>
      <c r="F111" s="233">
        <f>SUM(F112:F115)</f>
        <v>0</v>
      </c>
      <c r="G111" s="233">
        <f>SUM(G112:G115)</f>
        <v>0</v>
      </c>
      <c r="H111" s="233">
        <f t="shared" si="9"/>
        <v>0</v>
      </c>
      <c r="I111" s="233">
        <v>0</v>
      </c>
      <c r="J111" s="233">
        <f>SUM(J112:J115)</f>
        <v>0</v>
      </c>
      <c r="K111" s="233">
        <f>SUM(K112:K115)</f>
        <v>0</v>
      </c>
      <c r="L111" s="233">
        <f>SUM(L112:L115)</f>
        <v>0</v>
      </c>
      <c r="M111" s="233">
        <f t="shared" si="10"/>
        <v>0</v>
      </c>
      <c r="N111" s="233">
        <v>0</v>
      </c>
      <c r="O111" s="233">
        <f>SUM(O112:O115)</f>
        <v>0</v>
      </c>
      <c r="P111" s="233">
        <f>SUM(P112:P115)</f>
        <v>0</v>
      </c>
      <c r="Q111" s="233">
        <f>SUM(Q112:Q115)</f>
        <v>0</v>
      </c>
      <c r="R111" s="232">
        <f t="shared" si="11"/>
        <v>0</v>
      </c>
    </row>
    <row r="112" spans="1:18" s="6" customFormat="1" ht="48" hidden="1" customHeight="1">
      <c r="A112" s="149">
        <v>17110</v>
      </c>
      <c r="B112" s="208" t="s">
        <v>218</v>
      </c>
      <c r="C112" s="107"/>
      <c r="D112" s="107">
        <v>0</v>
      </c>
      <c r="E112" s="233"/>
      <c r="F112" s="233"/>
      <c r="G112" s="233"/>
      <c r="H112" s="233">
        <f t="shared" si="9"/>
        <v>0</v>
      </c>
      <c r="I112" s="233">
        <v>0</v>
      </c>
      <c r="J112" s="233"/>
      <c r="K112" s="233"/>
      <c r="L112" s="233"/>
      <c r="M112" s="233">
        <f t="shared" si="10"/>
        <v>0</v>
      </c>
      <c r="N112" s="233">
        <v>0</v>
      </c>
      <c r="O112" s="233"/>
      <c r="P112" s="233"/>
      <c r="Q112" s="233"/>
      <c r="R112" s="232">
        <f t="shared" si="11"/>
        <v>0</v>
      </c>
    </row>
    <row r="113" spans="1:18" s="6" customFormat="1" ht="48" hidden="1" customHeight="1">
      <c r="A113" s="149">
        <v>17120</v>
      </c>
      <c r="B113" s="208" t="s">
        <v>219</v>
      </c>
      <c r="C113" s="107"/>
      <c r="D113" s="107">
        <v>0</v>
      </c>
      <c r="E113" s="233"/>
      <c r="F113" s="233"/>
      <c r="G113" s="233"/>
      <c r="H113" s="233">
        <f t="shared" si="9"/>
        <v>0</v>
      </c>
      <c r="I113" s="233">
        <v>0</v>
      </c>
      <c r="J113" s="233"/>
      <c r="K113" s="233"/>
      <c r="L113" s="233"/>
      <c r="M113" s="233">
        <f t="shared" si="10"/>
        <v>0</v>
      </c>
      <c r="N113" s="233">
        <v>0</v>
      </c>
      <c r="O113" s="233"/>
      <c r="P113" s="233"/>
      <c r="Q113" s="233"/>
      <c r="R113" s="232">
        <f t="shared" si="11"/>
        <v>0</v>
      </c>
    </row>
    <row r="114" spans="1:18" s="6" customFormat="1" ht="96" hidden="1" customHeight="1">
      <c r="A114" s="149">
        <v>17130</v>
      </c>
      <c r="B114" s="208" t="s">
        <v>220</v>
      </c>
      <c r="C114" s="107"/>
      <c r="D114" s="107">
        <v>0</v>
      </c>
      <c r="E114" s="233"/>
      <c r="F114" s="233"/>
      <c r="G114" s="233"/>
      <c r="H114" s="233">
        <f t="shared" si="9"/>
        <v>0</v>
      </c>
      <c r="I114" s="233">
        <v>0</v>
      </c>
      <c r="J114" s="233"/>
      <c r="K114" s="233"/>
      <c r="L114" s="233"/>
      <c r="M114" s="233">
        <f t="shared" si="10"/>
        <v>0</v>
      </c>
      <c r="N114" s="233">
        <v>0</v>
      </c>
      <c r="O114" s="233"/>
      <c r="P114" s="233"/>
      <c r="Q114" s="233"/>
      <c r="R114" s="232">
        <f t="shared" si="11"/>
        <v>0</v>
      </c>
    </row>
    <row r="115" spans="1:18" s="6" customFormat="1" ht="96" hidden="1" customHeight="1">
      <c r="A115" s="149">
        <v>17140</v>
      </c>
      <c r="B115" s="208" t="s">
        <v>221</v>
      </c>
      <c r="C115" s="107"/>
      <c r="D115" s="107">
        <v>0</v>
      </c>
      <c r="E115" s="233"/>
      <c r="F115" s="233"/>
      <c r="G115" s="233"/>
      <c r="H115" s="233">
        <f t="shared" si="9"/>
        <v>0</v>
      </c>
      <c r="I115" s="233">
        <v>0</v>
      </c>
      <c r="J115" s="233"/>
      <c r="K115" s="233"/>
      <c r="L115" s="233"/>
      <c r="M115" s="233">
        <f t="shared" si="10"/>
        <v>0</v>
      </c>
      <c r="N115" s="233">
        <v>0</v>
      </c>
      <c r="O115" s="233"/>
      <c r="P115" s="233"/>
      <c r="Q115" s="233"/>
      <c r="R115" s="232">
        <f t="shared" si="11"/>
        <v>0</v>
      </c>
    </row>
    <row r="116" spans="1:18" s="6" customFormat="1" ht="12">
      <c r="A116" s="137">
        <v>21700</v>
      </c>
      <c r="B116" s="100" t="s">
        <v>97</v>
      </c>
      <c r="C116" s="107">
        <v>2264059</v>
      </c>
      <c r="D116" s="107">
        <v>2388685</v>
      </c>
      <c r="E116" s="233">
        <f>E117+E118</f>
        <v>0</v>
      </c>
      <c r="F116" s="233">
        <f>F117+F118</f>
        <v>865933</v>
      </c>
      <c r="G116" s="233">
        <f>G117+G118</f>
        <v>56190</v>
      </c>
      <c r="H116" s="233">
        <f t="shared" si="9"/>
        <v>3310808</v>
      </c>
      <c r="I116" s="233">
        <v>2381232</v>
      </c>
      <c r="J116" s="233">
        <f>J117+J118</f>
        <v>0</v>
      </c>
      <c r="K116" s="233">
        <f>K117+K118</f>
        <v>139835</v>
      </c>
      <c r="L116" s="233">
        <f>L117+L118</f>
        <v>4250</v>
      </c>
      <c r="M116" s="233">
        <f t="shared" si="10"/>
        <v>2525317</v>
      </c>
      <c r="N116" s="233">
        <v>2381703</v>
      </c>
      <c r="O116" s="233">
        <f>O117+O118</f>
        <v>0</v>
      </c>
      <c r="P116" s="233">
        <f>P117+P118</f>
        <v>105922</v>
      </c>
      <c r="Q116" s="233">
        <f>Q117+Q118</f>
        <v>4250</v>
      </c>
      <c r="R116" s="232">
        <f t="shared" si="11"/>
        <v>2491875</v>
      </c>
    </row>
    <row r="117" spans="1:18" s="6" customFormat="1" ht="24">
      <c r="A117" s="138">
        <v>21710</v>
      </c>
      <c r="B117" s="101" t="s">
        <v>98</v>
      </c>
      <c r="C117" s="107">
        <v>2264059</v>
      </c>
      <c r="D117" s="107">
        <v>2388685</v>
      </c>
      <c r="E117" s="233"/>
      <c r="F117" s="233">
        <f>F119</f>
        <v>865933</v>
      </c>
      <c r="G117" s="233">
        <f>G119</f>
        <v>56190</v>
      </c>
      <c r="H117" s="233">
        <f t="shared" si="9"/>
        <v>3310808</v>
      </c>
      <c r="I117" s="233">
        <v>2381232</v>
      </c>
      <c r="J117" s="233"/>
      <c r="K117" s="233">
        <f>K119</f>
        <v>139835</v>
      </c>
      <c r="L117" s="233">
        <f>L119</f>
        <v>4250</v>
      </c>
      <c r="M117" s="233">
        <f t="shared" si="10"/>
        <v>2525317</v>
      </c>
      <c r="N117" s="233">
        <v>2381703</v>
      </c>
      <c r="O117" s="233"/>
      <c r="P117" s="233">
        <f>P119</f>
        <v>105922</v>
      </c>
      <c r="Q117" s="233">
        <f>Q119</f>
        <v>4250</v>
      </c>
      <c r="R117" s="232">
        <f t="shared" si="11"/>
        <v>2491875</v>
      </c>
    </row>
    <row r="118" spans="1:18" s="6" customFormat="1" ht="24" hidden="1" customHeight="1">
      <c r="A118" s="138">
        <v>21720</v>
      </c>
      <c r="B118" s="101" t="s">
        <v>99</v>
      </c>
      <c r="C118" s="107"/>
      <c r="D118" s="107">
        <v>0</v>
      </c>
      <c r="E118" s="233"/>
      <c r="F118" s="233"/>
      <c r="G118" s="233"/>
      <c r="H118" s="233">
        <f t="shared" si="9"/>
        <v>0</v>
      </c>
      <c r="I118" s="233">
        <v>0</v>
      </c>
      <c r="J118" s="233"/>
      <c r="K118" s="233"/>
      <c r="L118" s="233"/>
      <c r="M118" s="233">
        <f t="shared" si="10"/>
        <v>0</v>
      </c>
      <c r="N118" s="233">
        <v>0</v>
      </c>
      <c r="O118" s="233"/>
      <c r="P118" s="233"/>
      <c r="Q118" s="233"/>
      <c r="R118" s="232">
        <f t="shared" si="11"/>
        <v>0</v>
      </c>
    </row>
    <row r="119" spans="1:18" s="6" customFormat="1" ht="11.4">
      <c r="A119" s="129" t="s">
        <v>100</v>
      </c>
      <c r="B119" s="99" t="s">
        <v>101</v>
      </c>
      <c r="C119" s="111">
        <v>2451205</v>
      </c>
      <c r="D119" s="111">
        <v>2575831</v>
      </c>
      <c r="E119" s="243">
        <f>E120+E147</f>
        <v>0</v>
      </c>
      <c r="F119" s="243">
        <f>F120+F147</f>
        <v>865933</v>
      </c>
      <c r="G119" s="243">
        <f>G120+G147</f>
        <v>56190</v>
      </c>
      <c r="H119" s="243">
        <f t="shared" si="9"/>
        <v>3497954</v>
      </c>
      <c r="I119" s="243">
        <v>2568378</v>
      </c>
      <c r="J119" s="243">
        <f>J120+J147</f>
        <v>0</v>
      </c>
      <c r="K119" s="243">
        <f>K120+K147</f>
        <v>139835</v>
      </c>
      <c r="L119" s="243">
        <f>L120+L147</f>
        <v>4250</v>
      </c>
      <c r="M119" s="243">
        <f t="shared" si="10"/>
        <v>2712463</v>
      </c>
      <c r="N119" s="243">
        <v>2568849</v>
      </c>
      <c r="O119" s="243">
        <f>O120+O147</f>
        <v>0</v>
      </c>
      <c r="P119" s="243">
        <f>P120+P147</f>
        <v>105922</v>
      </c>
      <c r="Q119" s="243">
        <f>Q120+Q147</f>
        <v>4250</v>
      </c>
      <c r="R119" s="229">
        <f t="shared" si="11"/>
        <v>2679021</v>
      </c>
    </row>
    <row r="120" spans="1:18" s="6" customFormat="1" ht="20.399999999999999">
      <c r="A120" s="130" t="s">
        <v>102</v>
      </c>
      <c r="B120" s="100" t="s">
        <v>103</v>
      </c>
      <c r="C120" s="107">
        <v>2416045</v>
      </c>
      <c r="D120" s="107">
        <v>2465557</v>
      </c>
      <c r="E120" s="233">
        <f>E121+E125+E126+E129+E132</f>
        <v>0</v>
      </c>
      <c r="F120" s="233">
        <f>F121+F125+F126+F129+F132</f>
        <v>823973</v>
      </c>
      <c r="G120" s="233">
        <f>G121+G125+G126+G129+G132</f>
        <v>43190</v>
      </c>
      <c r="H120" s="233">
        <f t="shared" si="9"/>
        <v>3332720</v>
      </c>
      <c r="I120" s="233">
        <v>2435352</v>
      </c>
      <c r="J120" s="233">
        <f>J121+J125+J126+J129+J132</f>
        <v>0</v>
      </c>
      <c r="K120" s="233">
        <f>K121+K125+K126+K129+K132</f>
        <v>139835</v>
      </c>
      <c r="L120" s="233">
        <f>L121+L125+L126+L129+L132</f>
        <v>4250</v>
      </c>
      <c r="M120" s="233">
        <f t="shared" si="10"/>
        <v>2579437</v>
      </c>
      <c r="N120" s="233">
        <v>2435352</v>
      </c>
      <c r="O120" s="233">
        <f>O121+O125+O126+O129+O132</f>
        <v>0</v>
      </c>
      <c r="P120" s="233">
        <f>P121+P125+P126+P129+P132</f>
        <v>105922</v>
      </c>
      <c r="Q120" s="233">
        <f>Q121+Q125+Q126+Q129+Q132</f>
        <v>4250</v>
      </c>
      <c r="R120" s="232">
        <f t="shared" si="11"/>
        <v>2545524</v>
      </c>
    </row>
    <row r="121" spans="1:18" s="6" customFormat="1" ht="12">
      <c r="A121" s="130" t="s">
        <v>104</v>
      </c>
      <c r="B121" s="100" t="s">
        <v>105</v>
      </c>
      <c r="C121" s="107">
        <v>2390869</v>
      </c>
      <c r="D121" s="107">
        <v>2440381</v>
      </c>
      <c r="E121" s="233">
        <f>E122+E124</f>
        <v>0</v>
      </c>
      <c r="F121" s="233">
        <f>F122+F124</f>
        <v>823973</v>
      </c>
      <c r="G121" s="233">
        <f>G122+G124</f>
        <v>38940</v>
      </c>
      <c r="H121" s="233">
        <f t="shared" si="9"/>
        <v>3303294</v>
      </c>
      <c r="I121" s="233">
        <v>2410176</v>
      </c>
      <c r="J121" s="233">
        <f>J122+J124</f>
        <v>0</v>
      </c>
      <c r="K121" s="233">
        <f>K122+K124</f>
        <v>139835</v>
      </c>
      <c r="L121" s="233">
        <f>L122+L124</f>
        <v>0</v>
      </c>
      <c r="M121" s="233">
        <f t="shared" si="10"/>
        <v>2550011</v>
      </c>
      <c r="N121" s="233">
        <v>2410176</v>
      </c>
      <c r="O121" s="233">
        <f>O122+O124</f>
        <v>0</v>
      </c>
      <c r="P121" s="233">
        <f>P122+P124</f>
        <v>105922</v>
      </c>
      <c r="Q121" s="233">
        <f>Q122+Q124</f>
        <v>0</v>
      </c>
      <c r="R121" s="232">
        <f t="shared" si="11"/>
        <v>2516098</v>
      </c>
    </row>
    <row r="122" spans="1:18" s="29" customFormat="1" ht="12">
      <c r="A122" s="132">
        <v>1000</v>
      </c>
      <c r="B122" s="101" t="s">
        <v>106</v>
      </c>
      <c r="C122" s="107">
        <v>1845549</v>
      </c>
      <c r="D122" s="107">
        <v>1841749</v>
      </c>
      <c r="E122" s="233"/>
      <c r="F122" s="233">
        <f>105922+424442</f>
        <v>530364</v>
      </c>
      <c r="G122" s="233"/>
      <c r="H122" s="233">
        <f t="shared" si="9"/>
        <v>2372113</v>
      </c>
      <c r="I122" s="233">
        <v>1841749</v>
      </c>
      <c r="J122" s="233"/>
      <c r="K122" s="233">
        <f>105922+28917</f>
        <v>134839</v>
      </c>
      <c r="L122" s="233"/>
      <c r="M122" s="233">
        <f t="shared" si="10"/>
        <v>1976588</v>
      </c>
      <c r="N122" s="233">
        <v>1841749</v>
      </c>
      <c r="O122" s="233"/>
      <c r="P122" s="233">
        <v>105922</v>
      </c>
      <c r="Q122" s="233"/>
      <c r="R122" s="232">
        <f t="shared" si="11"/>
        <v>1947671</v>
      </c>
    </row>
    <row r="123" spans="1:18" s="89" customFormat="1" ht="12">
      <c r="A123" s="139">
        <v>1100</v>
      </c>
      <c r="B123" s="101" t="s">
        <v>107</v>
      </c>
      <c r="C123" s="107">
        <v>1487267</v>
      </c>
      <c r="D123" s="107">
        <v>1469699</v>
      </c>
      <c r="E123" s="233"/>
      <c r="F123" s="233">
        <f>85356+342044</f>
        <v>427400</v>
      </c>
      <c r="G123" s="233"/>
      <c r="H123" s="233">
        <f t="shared" si="9"/>
        <v>1897099</v>
      </c>
      <c r="I123" s="233">
        <v>1469699</v>
      </c>
      <c r="J123" s="233"/>
      <c r="K123" s="233">
        <f>85356+23304</f>
        <v>108660</v>
      </c>
      <c r="L123" s="233"/>
      <c r="M123" s="233">
        <f t="shared" si="10"/>
        <v>1578359</v>
      </c>
      <c r="N123" s="233">
        <v>1469699</v>
      </c>
      <c r="O123" s="233"/>
      <c r="P123" s="233">
        <v>85356</v>
      </c>
      <c r="Q123" s="233"/>
      <c r="R123" s="232">
        <f t="shared" si="11"/>
        <v>1555055</v>
      </c>
    </row>
    <row r="124" spans="1:18" s="89" customFormat="1" ht="12">
      <c r="A124" s="132">
        <v>2000</v>
      </c>
      <c r="B124" s="101" t="s">
        <v>108</v>
      </c>
      <c r="C124" s="107">
        <v>545320</v>
      </c>
      <c r="D124" s="107">
        <v>598632</v>
      </c>
      <c r="E124" s="233"/>
      <c r="F124" s="233">
        <f>3000+290609</f>
        <v>293609</v>
      </c>
      <c r="G124" s="233">
        <v>38940</v>
      </c>
      <c r="H124" s="233">
        <f t="shared" si="9"/>
        <v>931181</v>
      </c>
      <c r="I124" s="233">
        <v>568427</v>
      </c>
      <c r="J124" s="233"/>
      <c r="K124" s="233">
        <f>3000+1996</f>
        <v>4996</v>
      </c>
      <c r="L124" s="233"/>
      <c r="M124" s="233">
        <f t="shared" si="10"/>
        <v>573423</v>
      </c>
      <c r="N124" s="233">
        <v>568427</v>
      </c>
      <c r="O124" s="233"/>
      <c r="P124" s="233"/>
      <c r="Q124" s="233"/>
      <c r="R124" s="232">
        <f t="shared" si="11"/>
        <v>568427</v>
      </c>
    </row>
    <row r="125" spans="1:18" s="89" customFormat="1" ht="12" hidden="1" customHeight="1">
      <c r="A125" s="140">
        <v>4000</v>
      </c>
      <c r="B125" s="100" t="s">
        <v>132</v>
      </c>
      <c r="C125" s="107"/>
      <c r="D125" s="107">
        <v>0</v>
      </c>
      <c r="E125" s="233"/>
      <c r="F125" s="233"/>
      <c r="G125" s="233"/>
      <c r="H125" s="233">
        <f t="shared" si="9"/>
        <v>0</v>
      </c>
      <c r="I125" s="233">
        <v>0</v>
      </c>
      <c r="J125" s="233"/>
      <c r="K125" s="233"/>
      <c r="L125" s="233"/>
      <c r="M125" s="233">
        <f t="shared" si="10"/>
        <v>0</v>
      </c>
      <c r="N125" s="233">
        <v>0</v>
      </c>
      <c r="O125" s="233"/>
      <c r="P125" s="233"/>
      <c r="Q125" s="233"/>
      <c r="R125" s="232">
        <f t="shared" si="11"/>
        <v>0</v>
      </c>
    </row>
    <row r="126" spans="1:18" s="89" customFormat="1" ht="12">
      <c r="A126" s="140" t="s">
        <v>109</v>
      </c>
      <c r="B126" s="100" t="s">
        <v>110</v>
      </c>
      <c r="C126" s="107">
        <v>25000</v>
      </c>
      <c r="D126" s="107">
        <v>25000</v>
      </c>
      <c r="E126" s="233">
        <f>E127+E128</f>
        <v>0</v>
      </c>
      <c r="F126" s="233">
        <f>F127+F128</f>
        <v>0</v>
      </c>
      <c r="G126" s="233">
        <f>G127+G128</f>
        <v>0</v>
      </c>
      <c r="H126" s="233">
        <f t="shared" si="9"/>
        <v>25000</v>
      </c>
      <c r="I126" s="233">
        <v>25000</v>
      </c>
      <c r="J126" s="233">
        <f>J127+J128</f>
        <v>0</v>
      </c>
      <c r="K126" s="233">
        <f>K127+K128</f>
        <v>0</v>
      </c>
      <c r="L126" s="233">
        <f>L127+L128</f>
        <v>0</v>
      </c>
      <c r="M126" s="233">
        <f t="shared" si="10"/>
        <v>25000</v>
      </c>
      <c r="N126" s="233">
        <v>25000</v>
      </c>
      <c r="O126" s="233">
        <f>O127+O128</f>
        <v>0</v>
      </c>
      <c r="P126" s="233">
        <f>P127+P128</f>
        <v>0</v>
      </c>
      <c r="Q126" s="233">
        <f>Q127+Q128</f>
        <v>0</v>
      </c>
      <c r="R126" s="232">
        <f t="shared" si="11"/>
        <v>25000</v>
      </c>
    </row>
    <row r="127" spans="1:18" s="89" customFormat="1" ht="12" hidden="1" customHeight="1">
      <c r="A127" s="132">
        <v>3000</v>
      </c>
      <c r="B127" s="101" t="s">
        <v>111</v>
      </c>
      <c r="C127" s="338"/>
      <c r="D127" s="338">
        <v>0</v>
      </c>
      <c r="E127" s="345"/>
      <c r="F127" s="345"/>
      <c r="G127" s="345"/>
      <c r="H127" s="233">
        <f t="shared" si="9"/>
        <v>0</v>
      </c>
      <c r="I127" s="345">
        <v>0</v>
      </c>
      <c r="J127" s="345"/>
      <c r="K127" s="345"/>
      <c r="L127" s="345"/>
      <c r="M127" s="233">
        <f t="shared" si="10"/>
        <v>0</v>
      </c>
      <c r="N127" s="345">
        <v>0</v>
      </c>
      <c r="O127" s="345"/>
      <c r="P127" s="345"/>
      <c r="Q127" s="345"/>
      <c r="R127" s="232">
        <f t="shared" si="11"/>
        <v>0</v>
      </c>
    </row>
    <row r="128" spans="1:18" s="89" customFormat="1" ht="12">
      <c r="A128" s="132">
        <v>6000</v>
      </c>
      <c r="B128" s="101" t="s">
        <v>112</v>
      </c>
      <c r="C128" s="301">
        <v>25000</v>
      </c>
      <c r="D128" s="301">
        <v>25000</v>
      </c>
      <c r="E128" s="346"/>
      <c r="F128" s="346"/>
      <c r="G128" s="346"/>
      <c r="H128" s="233">
        <f t="shared" si="9"/>
        <v>25000</v>
      </c>
      <c r="I128" s="346">
        <v>25000</v>
      </c>
      <c r="J128" s="346"/>
      <c r="K128" s="346"/>
      <c r="L128" s="346"/>
      <c r="M128" s="233">
        <f t="shared" si="10"/>
        <v>25000</v>
      </c>
      <c r="N128" s="346">
        <v>25000</v>
      </c>
      <c r="O128" s="346"/>
      <c r="P128" s="346"/>
      <c r="Q128" s="346"/>
      <c r="R128" s="232">
        <f t="shared" si="11"/>
        <v>25000</v>
      </c>
    </row>
    <row r="129" spans="1:18" s="89" customFormat="1" ht="22.8">
      <c r="A129" s="140" t="s">
        <v>113</v>
      </c>
      <c r="B129" s="100" t="s">
        <v>183</v>
      </c>
      <c r="C129" s="106">
        <v>176</v>
      </c>
      <c r="D129" s="106">
        <v>176</v>
      </c>
      <c r="E129" s="233">
        <f>E130+E131</f>
        <v>0</v>
      </c>
      <c r="F129" s="233">
        <f>F130+F131</f>
        <v>0</v>
      </c>
      <c r="G129" s="233">
        <f>G130+G131</f>
        <v>4250</v>
      </c>
      <c r="H129" s="232">
        <f t="shared" si="9"/>
        <v>4426</v>
      </c>
      <c r="I129" s="233">
        <v>176</v>
      </c>
      <c r="J129" s="233">
        <f>J130+J131</f>
        <v>0</v>
      </c>
      <c r="K129" s="233">
        <f>K130+K131</f>
        <v>0</v>
      </c>
      <c r="L129" s="233">
        <f>L130+L131</f>
        <v>4250</v>
      </c>
      <c r="M129" s="232">
        <f t="shared" si="10"/>
        <v>4426</v>
      </c>
      <c r="N129" s="233">
        <v>176</v>
      </c>
      <c r="O129" s="233">
        <f>O130+O131</f>
        <v>0</v>
      </c>
      <c r="P129" s="233">
        <f>P130+P131</f>
        <v>0</v>
      </c>
      <c r="Q129" s="233">
        <f>Q130+Q131</f>
        <v>4250</v>
      </c>
      <c r="R129" s="232">
        <f t="shared" si="11"/>
        <v>4426</v>
      </c>
    </row>
    <row r="130" spans="1:18" s="89" customFormat="1" ht="12" hidden="1" customHeight="1">
      <c r="A130" s="132">
        <v>7600</v>
      </c>
      <c r="B130" s="112" t="s">
        <v>184</v>
      </c>
      <c r="C130" s="106"/>
      <c r="D130" s="106">
        <v>0</v>
      </c>
      <c r="E130" s="244"/>
      <c r="F130" s="244"/>
      <c r="G130" s="244"/>
      <c r="H130" s="232">
        <f t="shared" si="9"/>
        <v>0</v>
      </c>
      <c r="I130" s="233">
        <v>0</v>
      </c>
      <c r="J130" s="244"/>
      <c r="K130" s="244"/>
      <c r="L130" s="244"/>
      <c r="M130" s="232">
        <f t="shared" si="10"/>
        <v>0</v>
      </c>
      <c r="N130" s="233">
        <v>0</v>
      </c>
      <c r="O130" s="244"/>
      <c r="P130" s="244"/>
      <c r="Q130" s="244"/>
      <c r="R130" s="232">
        <f t="shared" si="11"/>
        <v>0</v>
      </c>
    </row>
    <row r="131" spans="1:18" s="89" customFormat="1" ht="12">
      <c r="A131" s="132">
        <v>7700</v>
      </c>
      <c r="B131" s="102" t="s">
        <v>114</v>
      </c>
      <c r="C131" s="106">
        <v>176</v>
      </c>
      <c r="D131" s="106">
        <v>176</v>
      </c>
      <c r="E131" s="244"/>
      <c r="F131" s="244"/>
      <c r="G131" s="233">
        <v>4250</v>
      </c>
      <c r="H131" s="232">
        <f t="shared" si="9"/>
        <v>4426</v>
      </c>
      <c r="I131" s="233">
        <v>176</v>
      </c>
      <c r="J131" s="244"/>
      <c r="K131" s="244"/>
      <c r="L131" s="244">
        <v>4250</v>
      </c>
      <c r="M131" s="232">
        <f t="shared" si="10"/>
        <v>4426</v>
      </c>
      <c r="N131" s="233">
        <v>176</v>
      </c>
      <c r="O131" s="244"/>
      <c r="P131" s="244"/>
      <c r="Q131" s="244">
        <v>4250</v>
      </c>
      <c r="R131" s="232">
        <f t="shared" si="11"/>
        <v>4426</v>
      </c>
    </row>
    <row r="132" spans="1:18" s="89" customFormat="1" ht="21" hidden="1" customHeight="1">
      <c r="A132" s="140" t="s">
        <v>185</v>
      </c>
      <c r="B132" s="100" t="s">
        <v>115</v>
      </c>
      <c r="C132" s="106">
        <v>0</v>
      </c>
      <c r="D132" s="106">
        <v>0</v>
      </c>
      <c r="E132" s="233">
        <f>E133+E139+E143+E146</f>
        <v>0</v>
      </c>
      <c r="F132" s="233">
        <f>F133+F139+F143+F146</f>
        <v>0</v>
      </c>
      <c r="G132" s="233">
        <f>G133+G139+G143+G146</f>
        <v>0</v>
      </c>
      <c r="H132" s="232">
        <f t="shared" si="9"/>
        <v>0</v>
      </c>
      <c r="I132" s="233">
        <v>0</v>
      </c>
      <c r="J132" s="233">
        <f>J133+J139+J143+J146</f>
        <v>0</v>
      </c>
      <c r="K132" s="233">
        <f>K133+K139+K143+K146</f>
        <v>0</v>
      </c>
      <c r="L132" s="233">
        <f>L133+L139+L143+L146</f>
        <v>0</v>
      </c>
      <c r="M132" s="232">
        <f t="shared" si="10"/>
        <v>0</v>
      </c>
      <c r="N132" s="233">
        <v>0</v>
      </c>
      <c r="O132" s="233">
        <f>O133+O139+O143+O146</f>
        <v>0</v>
      </c>
      <c r="P132" s="233">
        <f>P133+P139+P143+P146</f>
        <v>0</v>
      </c>
      <c r="Q132" s="233">
        <f>Q133+Q139+Q143+Q146</f>
        <v>0</v>
      </c>
      <c r="R132" s="232">
        <f t="shared" si="11"/>
        <v>0</v>
      </c>
    </row>
    <row r="133" spans="1:18" s="89" customFormat="1" ht="12" hidden="1" customHeight="1">
      <c r="A133" s="132">
        <v>7100</v>
      </c>
      <c r="B133" s="112" t="s">
        <v>116</v>
      </c>
      <c r="C133" s="106">
        <v>0</v>
      </c>
      <c r="D133" s="106">
        <v>0</v>
      </c>
      <c r="E133" s="233">
        <f>E134+E135</f>
        <v>0</v>
      </c>
      <c r="F133" s="233">
        <f>F134+F135</f>
        <v>0</v>
      </c>
      <c r="G133" s="233">
        <f>G134+G135</f>
        <v>0</v>
      </c>
      <c r="H133" s="232">
        <f t="shared" si="9"/>
        <v>0</v>
      </c>
      <c r="I133" s="233">
        <v>0</v>
      </c>
      <c r="J133" s="233">
        <f>J134+J135</f>
        <v>0</v>
      </c>
      <c r="K133" s="233">
        <f>K134+K135</f>
        <v>0</v>
      </c>
      <c r="L133" s="233">
        <f>L134+L135</f>
        <v>0</v>
      </c>
      <c r="M133" s="232">
        <f t="shared" si="10"/>
        <v>0</v>
      </c>
      <c r="N133" s="233">
        <v>0</v>
      </c>
      <c r="O133" s="233">
        <f>O134+O135</f>
        <v>0</v>
      </c>
      <c r="P133" s="233">
        <f>P134+P135</f>
        <v>0</v>
      </c>
      <c r="Q133" s="233">
        <f>Q134+Q135</f>
        <v>0</v>
      </c>
      <c r="R133" s="232">
        <f t="shared" si="11"/>
        <v>0</v>
      </c>
    </row>
    <row r="134" spans="1:18" s="89" customFormat="1" ht="24" hidden="1" customHeight="1">
      <c r="A134" s="133" t="s">
        <v>117</v>
      </c>
      <c r="B134" s="112" t="s">
        <v>118</v>
      </c>
      <c r="C134" s="106"/>
      <c r="D134" s="106">
        <v>0</v>
      </c>
      <c r="E134" s="233"/>
      <c r="F134" s="233"/>
      <c r="G134" s="233"/>
      <c r="H134" s="232">
        <f t="shared" si="9"/>
        <v>0</v>
      </c>
      <c r="I134" s="233">
        <v>0</v>
      </c>
      <c r="J134" s="233"/>
      <c r="K134" s="233"/>
      <c r="L134" s="233"/>
      <c r="M134" s="232">
        <f t="shared" si="10"/>
        <v>0</v>
      </c>
      <c r="N134" s="233">
        <v>0</v>
      </c>
      <c r="O134" s="233"/>
      <c r="P134" s="233"/>
      <c r="Q134" s="233"/>
      <c r="R134" s="232">
        <f t="shared" si="11"/>
        <v>0</v>
      </c>
    </row>
    <row r="135" spans="1:18" s="89" customFormat="1" ht="24" hidden="1" customHeight="1">
      <c r="A135" s="133">
        <v>7130</v>
      </c>
      <c r="B135" s="112" t="s">
        <v>119</v>
      </c>
      <c r="C135" s="106">
        <v>0</v>
      </c>
      <c r="D135" s="106">
        <v>0</v>
      </c>
      <c r="E135" s="233">
        <f>SUM(E136:E138)</f>
        <v>0</v>
      </c>
      <c r="F135" s="233">
        <f>SUM(F136:F138)</f>
        <v>0</v>
      </c>
      <c r="G135" s="233">
        <f>SUM(G136:G138)</f>
        <v>0</v>
      </c>
      <c r="H135" s="232">
        <f t="shared" si="9"/>
        <v>0</v>
      </c>
      <c r="I135" s="233">
        <v>0</v>
      </c>
      <c r="J135" s="233">
        <f>SUM(J136:J138)</f>
        <v>0</v>
      </c>
      <c r="K135" s="233">
        <f>SUM(K136:K138)</f>
        <v>0</v>
      </c>
      <c r="L135" s="233">
        <f>SUM(L136:L138)</f>
        <v>0</v>
      </c>
      <c r="M135" s="232">
        <f t="shared" si="10"/>
        <v>0</v>
      </c>
      <c r="N135" s="233">
        <v>0</v>
      </c>
      <c r="O135" s="233">
        <f>SUM(O136:O138)</f>
        <v>0</v>
      </c>
      <c r="P135" s="233">
        <f>SUM(P136:P138)</f>
        <v>0</v>
      </c>
      <c r="Q135" s="233">
        <f>SUM(Q136:Q138)</f>
        <v>0</v>
      </c>
      <c r="R135" s="232">
        <f t="shared" si="11"/>
        <v>0</v>
      </c>
    </row>
    <row r="136" spans="1:18" s="89" customFormat="1" ht="36" hidden="1" customHeight="1">
      <c r="A136" s="134">
        <v>7131</v>
      </c>
      <c r="B136" s="112" t="s">
        <v>120</v>
      </c>
      <c r="C136" s="106"/>
      <c r="D136" s="106">
        <v>0</v>
      </c>
      <c r="E136" s="233"/>
      <c r="F136" s="233"/>
      <c r="G136" s="233"/>
      <c r="H136" s="232">
        <f t="shared" si="9"/>
        <v>0</v>
      </c>
      <c r="I136" s="233">
        <v>0</v>
      </c>
      <c r="J136" s="233"/>
      <c r="K136" s="233"/>
      <c r="L136" s="233"/>
      <c r="M136" s="232">
        <f t="shared" si="10"/>
        <v>0</v>
      </c>
      <c r="N136" s="233">
        <v>0</v>
      </c>
      <c r="O136" s="233"/>
      <c r="P136" s="233"/>
      <c r="Q136" s="233"/>
      <c r="R136" s="232">
        <f t="shared" si="11"/>
        <v>0</v>
      </c>
    </row>
    <row r="137" spans="1:18" s="29" customFormat="1" ht="36" hidden="1" customHeight="1">
      <c r="A137" s="134">
        <v>7132</v>
      </c>
      <c r="B137" s="112" t="s">
        <v>121</v>
      </c>
      <c r="C137" s="106"/>
      <c r="D137" s="106">
        <v>0</v>
      </c>
      <c r="E137" s="233"/>
      <c r="F137" s="233"/>
      <c r="G137" s="233"/>
      <c r="H137" s="232">
        <f t="shared" si="9"/>
        <v>0</v>
      </c>
      <c r="I137" s="233">
        <v>0</v>
      </c>
      <c r="J137" s="233"/>
      <c r="K137" s="233"/>
      <c r="L137" s="233"/>
      <c r="M137" s="232">
        <f t="shared" si="10"/>
        <v>0</v>
      </c>
      <c r="N137" s="233">
        <v>0</v>
      </c>
      <c r="O137" s="233"/>
      <c r="P137" s="233"/>
      <c r="Q137" s="233"/>
      <c r="R137" s="232">
        <f t="shared" si="11"/>
        <v>0</v>
      </c>
    </row>
    <row r="138" spans="1:18" s="29" customFormat="1" ht="24" hidden="1" customHeight="1">
      <c r="A138" s="134" t="s">
        <v>186</v>
      </c>
      <c r="B138" s="112" t="s">
        <v>187</v>
      </c>
      <c r="C138" s="106"/>
      <c r="D138" s="106">
        <v>0</v>
      </c>
      <c r="E138" s="233"/>
      <c r="F138" s="233"/>
      <c r="G138" s="233"/>
      <c r="H138" s="232">
        <f t="shared" ref="H138:H201" si="16">SUM(D138:G138)</f>
        <v>0</v>
      </c>
      <c r="I138" s="233">
        <v>0</v>
      </c>
      <c r="J138" s="233"/>
      <c r="K138" s="233"/>
      <c r="L138" s="233"/>
      <c r="M138" s="232">
        <f t="shared" ref="M138:M201" si="17">SUM(I138:L138)</f>
        <v>0</v>
      </c>
      <c r="N138" s="233">
        <v>0</v>
      </c>
      <c r="O138" s="233"/>
      <c r="P138" s="233"/>
      <c r="Q138" s="233"/>
      <c r="R138" s="232">
        <f t="shared" ref="R138:R201" si="18">SUM(N138:Q138)</f>
        <v>0</v>
      </c>
    </row>
    <row r="139" spans="1:18" s="29" customFormat="1" ht="24" hidden="1" customHeight="1">
      <c r="A139" s="132">
        <v>7300</v>
      </c>
      <c r="B139" s="108" t="s">
        <v>155</v>
      </c>
      <c r="C139" s="106">
        <v>0</v>
      </c>
      <c r="D139" s="106">
        <v>0</v>
      </c>
      <c r="E139" s="233">
        <f>SUM(E140:E142)</f>
        <v>0</v>
      </c>
      <c r="F139" s="233">
        <f>SUM(F140:F142)</f>
        <v>0</v>
      </c>
      <c r="G139" s="233">
        <f>SUM(G140:G142)</f>
        <v>0</v>
      </c>
      <c r="H139" s="232">
        <f t="shared" si="16"/>
        <v>0</v>
      </c>
      <c r="I139" s="233">
        <v>0</v>
      </c>
      <c r="J139" s="233">
        <f>SUM(J140:J142)</f>
        <v>0</v>
      </c>
      <c r="K139" s="233">
        <f>SUM(K140:K142)</f>
        <v>0</v>
      </c>
      <c r="L139" s="233">
        <f>SUM(L140:L142)</f>
        <v>0</v>
      </c>
      <c r="M139" s="232">
        <f t="shared" si="17"/>
        <v>0</v>
      </c>
      <c r="N139" s="233">
        <v>0</v>
      </c>
      <c r="O139" s="233">
        <f>SUM(O140:O142)</f>
        <v>0</v>
      </c>
      <c r="P139" s="233">
        <f>SUM(P140:P142)</f>
        <v>0</v>
      </c>
      <c r="Q139" s="233">
        <f>SUM(Q140:Q142)</f>
        <v>0</v>
      </c>
      <c r="R139" s="232">
        <f t="shared" si="18"/>
        <v>0</v>
      </c>
    </row>
    <row r="140" spans="1:18" s="4" customFormat="1" ht="24" hidden="1" customHeight="1">
      <c r="A140" s="133" t="s">
        <v>188</v>
      </c>
      <c r="B140" s="112" t="s">
        <v>170</v>
      </c>
      <c r="C140" s="197"/>
      <c r="D140" s="197">
        <v>0</v>
      </c>
      <c r="E140" s="252"/>
      <c r="F140" s="252"/>
      <c r="G140" s="252"/>
      <c r="H140" s="232">
        <f t="shared" si="16"/>
        <v>0</v>
      </c>
      <c r="I140" s="252">
        <v>0</v>
      </c>
      <c r="J140" s="252"/>
      <c r="K140" s="252"/>
      <c r="L140" s="252"/>
      <c r="M140" s="232">
        <f t="shared" si="17"/>
        <v>0</v>
      </c>
      <c r="N140" s="252">
        <v>0</v>
      </c>
      <c r="O140" s="252"/>
      <c r="P140" s="252"/>
      <c r="Q140" s="252"/>
      <c r="R140" s="232">
        <f t="shared" si="18"/>
        <v>0</v>
      </c>
    </row>
    <row r="141" spans="1:18" ht="48" hidden="1" customHeight="1">
      <c r="A141" s="133" t="s">
        <v>189</v>
      </c>
      <c r="B141" s="112" t="s">
        <v>156</v>
      </c>
      <c r="C141" s="197"/>
      <c r="D141" s="197">
        <v>0</v>
      </c>
      <c r="E141" s="252"/>
      <c r="F141" s="252"/>
      <c r="G141" s="252"/>
      <c r="H141" s="232">
        <f t="shared" si="16"/>
        <v>0</v>
      </c>
      <c r="I141" s="252">
        <v>0</v>
      </c>
      <c r="J141" s="252"/>
      <c r="K141" s="252"/>
      <c r="L141" s="252"/>
      <c r="M141" s="232">
        <f t="shared" si="17"/>
        <v>0</v>
      </c>
      <c r="N141" s="252">
        <v>0</v>
      </c>
      <c r="O141" s="252"/>
      <c r="P141" s="252"/>
      <c r="Q141" s="252"/>
      <c r="R141" s="232">
        <f t="shared" si="18"/>
        <v>0</v>
      </c>
    </row>
    <row r="142" spans="1:18" ht="36" hidden="1" customHeight="1">
      <c r="A142" s="133">
        <v>7350</v>
      </c>
      <c r="B142" s="112" t="s">
        <v>163</v>
      </c>
      <c r="C142" s="197"/>
      <c r="D142" s="197">
        <v>0</v>
      </c>
      <c r="E142" s="252"/>
      <c r="F142" s="252"/>
      <c r="G142" s="252"/>
      <c r="H142" s="232">
        <f t="shared" si="16"/>
        <v>0</v>
      </c>
      <c r="I142" s="252">
        <v>0</v>
      </c>
      <c r="J142" s="252"/>
      <c r="K142" s="252"/>
      <c r="L142" s="252"/>
      <c r="M142" s="232">
        <f t="shared" si="17"/>
        <v>0</v>
      </c>
      <c r="N142" s="252">
        <v>0</v>
      </c>
      <c r="O142" s="252"/>
      <c r="P142" s="252"/>
      <c r="Q142" s="252"/>
      <c r="R142" s="232">
        <f t="shared" si="18"/>
        <v>0</v>
      </c>
    </row>
    <row r="143" spans="1:18" ht="24" hidden="1" customHeight="1">
      <c r="A143" s="132">
        <v>7400</v>
      </c>
      <c r="B143" s="108" t="s">
        <v>161</v>
      </c>
      <c r="C143" s="106">
        <v>0</v>
      </c>
      <c r="D143" s="106">
        <v>0</v>
      </c>
      <c r="E143" s="233">
        <f>SUM(E144:E145)</f>
        <v>0</v>
      </c>
      <c r="F143" s="233">
        <f>SUM(F144:F145)</f>
        <v>0</v>
      </c>
      <c r="G143" s="233">
        <f>SUM(G144:G145)</f>
        <v>0</v>
      </c>
      <c r="H143" s="232">
        <f t="shared" si="16"/>
        <v>0</v>
      </c>
      <c r="I143" s="233">
        <v>0</v>
      </c>
      <c r="J143" s="233">
        <f>SUM(J144:J145)</f>
        <v>0</v>
      </c>
      <c r="K143" s="233">
        <f>SUM(K144:K145)</f>
        <v>0</v>
      </c>
      <c r="L143" s="233">
        <f>SUM(L144:L145)</f>
        <v>0</v>
      </c>
      <c r="M143" s="232">
        <f t="shared" si="17"/>
        <v>0</v>
      </c>
      <c r="N143" s="233">
        <v>0</v>
      </c>
      <c r="O143" s="233">
        <f>SUM(O144:O145)</f>
        <v>0</v>
      </c>
      <c r="P143" s="233">
        <f>SUM(P144:P145)</f>
        <v>0</v>
      </c>
      <c r="Q143" s="233">
        <f>SUM(Q144:Q145)</f>
        <v>0</v>
      </c>
      <c r="R143" s="232">
        <f t="shared" si="18"/>
        <v>0</v>
      </c>
    </row>
    <row r="144" spans="1:18" ht="24" hidden="1" customHeight="1">
      <c r="A144" s="133">
        <v>7460</v>
      </c>
      <c r="B144" s="108" t="s">
        <v>162</v>
      </c>
      <c r="C144" s="197"/>
      <c r="D144" s="197">
        <v>0</v>
      </c>
      <c r="E144" s="252"/>
      <c r="F144" s="252"/>
      <c r="G144" s="252"/>
      <c r="H144" s="232">
        <f t="shared" si="16"/>
        <v>0</v>
      </c>
      <c r="I144" s="252">
        <v>0</v>
      </c>
      <c r="J144" s="252"/>
      <c r="K144" s="252"/>
      <c r="L144" s="252"/>
      <c r="M144" s="232">
        <f t="shared" si="17"/>
        <v>0</v>
      </c>
      <c r="N144" s="252">
        <v>0</v>
      </c>
      <c r="O144" s="252"/>
      <c r="P144" s="252"/>
      <c r="Q144" s="252"/>
      <c r="R144" s="232">
        <f t="shared" si="18"/>
        <v>0</v>
      </c>
    </row>
    <row r="145" spans="1:18" ht="48" hidden="1" customHeight="1">
      <c r="A145" s="133">
        <v>7470</v>
      </c>
      <c r="B145" s="112" t="s">
        <v>167</v>
      </c>
      <c r="C145" s="197"/>
      <c r="D145" s="197">
        <v>0</v>
      </c>
      <c r="E145" s="252"/>
      <c r="F145" s="252"/>
      <c r="G145" s="252"/>
      <c r="H145" s="232">
        <f t="shared" si="16"/>
        <v>0</v>
      </c>
      <c r="I145" s="252">
        <v>0</v>
      </c>
      <c r="J145" s="252"/>
      <c r="K145" s="252"/>
      <c r="L145" s="252"/>
      <c r="M145" s="232">
        <f t="shared" si="17"/>
        <v>0</v>
      </c>
      <c r="N145" s="252">
        <v>0</v>
      </c>
      <c r="O145" s="252"/>
      <c r="P145" s="252"/>
      <c r="Q145" s="252"/>
      <c r="R145" s="232">
        <f t="shared" si="18"/>
        <v>0</v>
      </c>
    </row>
    <row r="146" spans="1:18" ht="24" hidden="1" customHeight="1">
      <c r="A146" s="132">
        <v>7500</v>
      </c>
      <c r="B146" s="112" t="s">
        <v>157</v>
      </c>
      <c r="C146" s="106"/>
      <c r="D146" s="106">
        <v>0</v>
      </c>
      <c r="E146" s="233"/>
      <c r="F146" s="233"/>
      <c r="G146" s="233"/>
      <c r="H146" s="232">
        <f t="shared" si="16"/>
        <v>0</v>
      </c>
      <c r="I146" s="233">
        <v>0</v>
      </c>
      <c r="J146" s="233"/>
      <c r="K146" s="233"/>
      <c r="L146" s="233"/>
      <c r="M146" s="232">
        <f t="shared" si="17"/>
        <v>0</v>
      </c>
      <c r="N146" s="233">
        <v>0</v>
      </c>
      <c r="O146" s="233"/>
      <c r="P146" s="233"/>
      <c r="Q146" s="233"/>
      <c r="R146" s="232">
        <f t="shared" si="18"/>
        <v>0</v>
      </c>
    </row>
    <row r="147" spans="1:18" s="4" customFormat="1" ht="12">
      <c r="A147" s="140" t="s">
        <v>133</v>
      </c>
      <c r="B147" s="100" t="s">
        <v>122</v>
      </c>
      <c r="C147" s="162">
        <v>35160</v>
      </c>
      <c r="D147" s="162">
        <v>110274</v>
      </c>
      <c r="E147" s="254">
        <f>E148+E149</f>
        <v>0</v>
      </c>
      <c r="F147" s="254">
        <f>F148+F149</f>
        <v>41960</v>
      </c>
      <c r="G147" s="254">
        <f>G148+G149</f>
        <v>13000</v>
      </c>
      <c r="H147" s="232">
        <f t="shared" si="16"/>
        <v>165234</v>
      </c>
      <c r="I147" s="254">
        <v>133026</v>
      </c>
      <c r="J147" s="254">
        <f>J148+J149</f>
        <v>0</v>
      </c>
      <c r="K147" s="254">
        <f>K148+K149</f>
        <v>0</v>
      </c>
      <c r="L147" s="254">
        <f>L148+L149</f>
        <v>0</v>
      </c>
      <c r="M147" s="232">
        <f t="shared" si="17"/>
        <v>133026</v>
      </c>
      <c r="N147" s="254">
        <v>133497</v>
      </c>
      <c r="O147" s="254">
        <f>O148+O149</f>
        <v>0</v>
      </c>
      <c r="P147" s="254">
        <f>P148+P149</f>
        <v>0</v>
      </c>
      <c r="Q147" s="254">
        <f>Q148+Q149</f>
        <v>0</v>
      </c>
      <c r="R147" s="232">
        <f t="shared" si="18"/>
        <v>133497</v>
      </c>
    </row>
    <row r="148" spans="1:18" s="6" customFormat="1" ht="12">
      <c r="A148" s="140">
        <v>5000</v>
      </c>
      <c r="B148" s="100" t="s">
        <v>123</v>
      </c>
      <c r="C148" s="106">
        <v>35160</v>
      </c>
      <c r="D148" s="106">
        <v>110274</v>
      </c>
      <c r="E148" s="244"/>
      <c r="F148" s="233">
        <f>22500+19460</f>
        <v>41960</v>
      </c>
      <c r="G148" s="233">
        <v>13000</v>
      </c>
      <c r="H148" s="232">
        <f t="shared" si="16"/>
        <v>165234</v>
      </c>
      <c r="I148" s="233">
        <v>133026</v>
      </c>
      <c r="J148" s="244"/>
      <c r="K148" s="244"/>
      <c r="L148" s="244"/>
      <c r="M148" s="232">
        <f t="shared" si="17"/>
        <v>133026</v>
      </c>
      <c r="N148" s="233">
        <v>133497</v>
      </c>
      <c r="O148" s="244"/>
      <c r="P148" s="244"/>
      <c r="Q148" s="244"/>
      <c r="R148" s="232">
        <f t="shared" si="18"/>
        <v>133497</v>
      </c>
    </row>
    <row r="149" spans="1:18" s="6" customFormat="1" ht="12" hidden="1" customHeight="1">
      <c r="A149" s="140">
        <v>9000</v>
      </c>
      <c r="B149" s="115" t="s">
        <v>164</v>
      </c>
      <c r="C149" s="106">
        <v>0</v>
      </c>
      <c r="D149" s="106">
        <v>0</v>
      </c>
      <c r="E149" s="233">
        <f>E150+E156+E160+E163</f>
        <v>0</v>
      </c>
      <c r="F149" s="233">
        <f>F150+F156+F160+F163</f>
        <v>0</v>
      </c>
      <c r="G149" s="233">
        <f>G150+G156+G160+G163</f>
        <v>0</v>
      </c>
      <c r="H149" s="232">
        <f t="shared" si="16"/>
        <v>0</v>
      </c>
      <c r="I149" s="233">
        <v>0</v>
      </c>
      <c r="J149" s="233">
        <f>J150+J156+J160+J163</f>
        <v>0</v>
      </c>
      <c r="K149" s="233">
        <f>K150+K156+K160+K163</f>
        <v>0</v>
      </c>
      <c r="L149" s="233">
        <f>L150+L156+L160+L163</f>
        <v>0</v>
      </c>
      <c r="M149" s="232">
        <f t="shared" si="17"/>
        <v>0</v>
      </c>
      <c r="N149" s="233">
        <v>0</v>
      </c>
      <c r="O149" s="233">
        <f>O150+O156+O160+O163</f>
        <v>0</v>
      </c>
      <c r="P149" s="233">
        <f>P150+P156+P160+P163</f>
        <v>0</v>
      </c>
      <c r="Q149" s="233">
        <f>Q150+Q156+Q160+Q163</f>
        <v>0</v>
      </c>
      <c r="R149" s="232">
        <f t="shared" si="18"/>
        <v>0</v>
      </c>
    </row>
    <row r="150" spans="1:18" s="6" customFormat="1" ht="12" hidden="1" customHeight="1">
      <c r="A150" s="141">
        <v>9100</v>
      </c>
      <c r="B150" s="112" t="s">
        <v>124</v>
      </c>
      <c r="C150" s="106">
        <v>0</v>
      </c>
      <c r="D150" s="106">
        <v>0</v>
      </c>
      <c r="E150" s="233">
        <f>SUM(E151:E152)</f>
        <v>0</v>
      </c>
      <c r="F150" s="233">
        <f>SUM(F151:F152)</f>
        <v>0</v>
      </c>
      <c r="G150" s="233">
        <f>SUM(G151:G152)</f>
        <v>0</v>
      </c>
      <c r="H150" s="232">
        <f t="shared" si="16"/>
        <v>0</v>
      </c>
      <c r="I150" s="233">
        <v>0</v>
      </c>
      <c r="J150" s="233">
        <f>SUM(J151:J152)</f>
        <v>0</v>
      </c>
      <c r="K150" s="233">
        <f>SUM(K151:K152)</f>
        <v>0</v>
      </c>
      <c r="L150" s="233">
        <f>SUM(L151:L152)</f>
        <v>0</v>
      </c>
      <c r="M150" s="232">
        <f t="shared" si="17"/>
        <v>0</v>
      </c>
      <c r="N150" s="233">
        <v>0</v>
      </c>
      <c r="O150" s="233">
        <f>SUM(O151:O152)</f>
        <v>0</v>
      </c>
      <c r="P150" s="233">
        <f>SUM(P151:P152)</f>
        <v>0</v>
      </c>
      <c r="Q150" s="233">
        <f>SUM(Q151:Q152)</f>
        <v>0</v>
      </c>
      <c r="R150" s="232">
        <f t="shared" si="18"/>
        <v>0</v>
      </c>
    </row>
    <row r="151" spans="1:18" s="6" customFormat="1" ht="24" hidden="1" customHeight="1">
      <c r="A151" s="133" t="s">
        <v>125</v>
      </c>
      <c r="B151" s="112" t="s">
        <v>203</v>
      </c>
      <c r="C151" s="106"/>
      <c r="D151" s="106">
        <v>0</v>
      </c>
      <c r="E151" s="233"/>
      <c r="F151" s="233"/>
      <c r="G151" s="233"/>
      <c r="H151" s="232">
        <f t="shared" si="16"/>
        <v>0</v>
      </c>
      <c r="I151" s="233">
        <v>0</v>
      </c>
      <c r="J151" s="233"/>
      <c r="K151" s="233"/>
      <c r="L151" s="233"/>
      <c r="M151" s="232">
        <f t="shared" si="17"/>
        <v>0</v>
      </c>
      <c r="N151" s="233">
        <v>0</v>
      </c>
      <c r="O151" s="233"/>
      <c r="P151" s="233"/>
      <c r="Q151" s="233"/>
      <c r="R151" s="232">
        <f t="shared" si="18"/>
        <v>0</v>
      </c>
    </row>
    <row r="152" spans="1:18" s="6" customFormat="1" ht="24" hidden="1" customHeight="1">
      <c r="A152" s="133">
        <v>9140</v>
      </c>
      <c r="B152" s="112" t="s">
        <v>204</v>
      </c>
      <c r="C152" s="106">
        <v>0</v>
      </c>
      <c r="D152" s="106">
        <v>0</v>
      </c>
      <c r="E152" s="233">
        <f>SUM(E153:E155)</f>
        <v>0</v>
      </c>
      <c r="F152" s="233">
        <f>SUM(F153:F155)</f>
        <v>0</v>
      </c>
      <c r="G152" s="233">
        <f>SUM(G153:G155)</f>
        <v>0</v>
      </c>
      <c r="H152" s="232">
        <f t="shared" si="16"/>
        <v>0</v>
      </c>
      <c r="I152" s="233">
        <v>0</v>
      </c>
      <c r="J152" s="233">
        <f>SUM(J153:J155)</f>
        <v>0</v>
      </c>
      <c r="K152" s="233">
        <f>SUM(K153:K155)</f>
        <v>0</v>
      </c>
      <c r="L152" s="233">
        <f>SUM(L153:L155)</f>
        <v>0</v>
      </c>
      <c r="M152" s="232">
        <f t="shared" si="17"/>
        <v>0</v>
      </c>
      <c r="N152" s="233">
        <v>0</v>
      </c>
      <c r="O152" s="233">
        <f>SUM(O153:O155)</f>
        <v>0</v>
      </c>
      <c r="P152" s="233">
        <f>SUM(P153:P155)</f>
        <v>0</v>
      </c>
      <c r="Q152" s="233">
        <f>SUM(Q153:Q155)</f>
        <v>0</v>
      </c>
      <c r="R152" s="232">
        <f t="shared" si="18"/>
        <v>0</v>
      </c>
    </row>
    <row r="153" spans="1:18" s="6" customFormat="1" ht="36" hidden="1" customHeight="1">
      <c r="A153" s="134">
        <v>9141</v>
      </c>
      <c r="B153" s="108" t="s">
        <v>190</v>
      </c>
      <c r="C153" s="197"/>
      <c r="D153" s="197">
        <v>0</v>
      </c>
      <c r="E153" s="252"/>
      <c r="F153" s="252"/>
      <c r="G153" s="252"/>
      <c r="H153" s="232">
        <f t="shared" si="16"/>
        <v>0</v>
      </c>
      <c r="I153" s="252">
        <v>0</v>
      </c>
      <c r="J153" s="252"/>
      <c r="K153" s="252"/>
      <c r="L153" s="252"/>
      <c r="M153" s="232">
        <f t="shared" si="17"/>
        <v>0</v>
      </c>
      <c r="N153" s="252">
        <v>0</v>
      </c>
      <c r="O153" s="252"/>
      <c r="P153" s="252"/>
      <c r="Q153" s="252"/>
      <c r="R153" s="232">
        <f t="shared" si="18"/>
        <v>0</v>
      </c>
    </row>
    <row r="154" spans="1:18" s="6" customFormat="1" ht="36" hidden="1" customHeight="1">
      <c r="A154" s="134">
        <v>9142</v>
      </c>
      <c r="B154" s="108" t="s">
        <v>191</v>
      </c>
      <c r="C154" s="197"/>
      <c r="D154" s="197">
        <v>0</v>
      </c>
      <c r="E154" s="252"/>
      <c r="F154" s="252"/>
      <c r="G154" s="252"/>
      <c r="H154" s="232">
        <f t="shared" si="16"/>
        <v>0</v>
      </c>
      <c r="I154" s="252">
        <v>0</v>
      </c>
      <c r="J154" s="252"/>
      <c r="K154" s="252"/>
      <c r="L154" s="252"/>
      <c r="M154" s="232">
        <f t="shared" si="17"/>
        <v>0</v>
      </c>
      <c r="N154" s="252">
        <v>0</v>
      </c>
      <c r="O154" s="252"/>
      <c r="P154" s="252"/>
      <c r="Q154" s="252"/>
      <c r="R154" s="232">
        <f t="shared" si="18"/>
        <v>0</v>
      </c>
    </row>
    <row r="155" spans="1:18" s="6" customFormat="1" ht="24" hidden="1" customHeight="1">
      <c r="A155" s="134">
        <v>9149</v>
      </c>
      <c r="B155" s="108" t="s">
        <v>192</v>
      </c>
      <c r="C155" s="197"/>
      <c r="D155" s="197">
        <v>0</v>
      </c>
      <c r="E155" s="252"/>
      <c r="F155" s="252"/>
      <c r="G155" s="252"/>
      <c r="H155" s="232">
        <f t="shared" si="16"/>
        <v>0</v>
      </c>
      <c r="I155" s="252">
        <v>0</v>
      </c>
      <c r="J155" s="252"/>
      <c r="K155" s="252"/>
      <c r="L155" s="252"/>
      <c r="M155" s="232">
        <f t="shared" si="17"/>
        <v>0</v>
      </c>
      <c r="N155" s="252">
        <v>0</v>
      </c>
      <c r="O155" s="252"/>
      <c r="P155" s="252"/>
      <c r="Q155" s="252"/>
      <c r="R155" s="232">
        <f t="shared" si="18"/>
        <v>0</v>
      </c>
    </row>
    <row r="156" spans="1:18" s="6" customFormat="1" ht="24" hidden="1" customHeight="1">
      <c r="A156" s="141">
        <v>9500</v>
      </c>
      <c r="B156" s="108" t="s">
        <v>165</v>
      </c>
      <c r="C156" s="106">
        <v>0</v>
      </c>
      <c r="D156" s="106">
        <v>0</v>
      </c>
      <c r="E156" s="233">
        <f>SUM(E157:E159)</f>
        <v>0</v>
      </c>
      <c r="F156" s="233">
        <f>SUM(F157:F159)</f>
        <v>0</v>
      </c>
      <c r="G156" s="233">
        <f>SUM(G157:G159)</f>
        <v>0</v>
      </c>
      <c r="H156" s="232">
        <f t="shared" si="16"/>
        <v>0</v>
      </c>
      <c r="I156" s="233">
        <v>0</v>
      </c>
      <c r="J156" s="233">
        <f>SUM(J157:J159)</f>
        <v>0</v>
      </c>
      <c r="K156" s="233">
        <f>SUM(K157:K159)</f>
        <v>0</v>
      </c>
      <c r="L156" s="233">
        <f>SUM(L157:L159)</f>
        <v>0</v>
      </c>
      <c r="M156" s="232">
        <f t="shared" si="17"/>
        <v>0</v>
      </c>
      <c r="N156" s="233">
        <v>0</v>
      </c>
      <c r="O156" s="233">
        <f>SUM(O157:O159)</f>
        <v>0</v>
      </c>
      <c r="P156" s="233">
        <f>SUM(P157:P159)</f>
        <v>0</v>
      </c>
      <c r="Q156" s="233">
        <f>SUM(Q157:Q159)</f>
        <v>0</v>
      </c>
      <c r="R156" s="232">
        <f t="shared" si="18"/>
        <v>0</v>
      </c>
    </row>
    <row r="157" spans="1:18" s="6" customFormat="1" ht="24" hidden="1" customHeight="1">
      <c r="A157" s="133" t="s">
        <v>193</v>
      </c>
      <c r="B157" s="108" t="s">
        <v>171</v>
      </c>
      <c r="C157" s="106"/>
      <c r="D157" s="106">
        <v>0</v>
      </c>
      <c r="E157" s="233"/>
      <c r="F157" s="233"/>
      <c r="G157" s="233"/>
      <c r="H157" s="232">
        <f t="shared" si="16"/>
        <v>0</v>
      </c>
      <c r="I157" s="233">
        <v>0</v>
      </c>
      <c r="J157" s="233"/>
      <c r="K157" s="233"/>
      <c r="L157" s="233"/>
      <c r="M157" s="232">
        <f t="shared" si="17"/>
        <v>0</v>
      </c>
      <c r="N157" s="233">
        <v>0</v>
      </c>
      <c r="O157" s="233"/>
      <c r="P157" s="233"/>
      <c r="Q157" s="233"/>
      <c r="R157" s="232">
        <f t="shared" si="18"/>
        <v>0</v>
      </c>
    </row>
    <row r="158" spans="1:18" s="6" customFormat="1" ht="48" hidden="1" customHeight="1">
      <c r="A158" s="133">
        <v>9580</v>
      </c>
      <c r="B158" s="108" t="s">
        <v>166</v>
      </c>
      <c r="C158" s="197"/>
      <c r="D158" s="197">
        <v>0</v>
      </c>
      <c r="E158" s="252"/>
      <c r="F158" s="252"/>
      <c r="G158" s="252"/>
      <c r="H158" s="232">
        <f t="shared" si="16"/>
        <v>0</v>
      </c>
      <c r="I158" s="252">
        <v>0</v>
      </c>
      <c r="J158" s="252"/>
      <c r="K158" s="252"/>
      <c r="L158" s="252"/>
      <c r="M158" s="232">
        <f t="shared" si="17"/>
        <v>0</v>
      </c>
      <c r="N158" s="252">
        <v>0</v>
      </c>
      <c r="O158" s="252"/>
      <c r="P158" s="252"/>
      <c r="Q158" s="252"/>
      <c r="R158" s="232">
        <f t="shared" si="18"/>
        <v>0</v>
      </c>
    </row>
    <row r="159" spans="1:18" s="6" customFormat="1" ht="48" hidden="1" customHeight="1">
      <c r="A159" s="133">
        <v>9590</v>
      </c>
      <c r="B159" s="112" t="s">
        <v>172</v>
      </c>
      <c r="C159" s="197"/>
      <c r="D159" s="197">
        <v>0</v>
      </c>
      <c r="E159" s="252"/>
      <c r="F159" s="252"/>
      <c r="G159" s="252"/>
      <c r="H159" s="232">
        <f t="shared" si="16"/>
        <v>0</v>
      </c>
      <c r="I159" s="252">
        <v>0</v>
      </c>
      <c r="J159" s="252"/>
      <c r="K159" s="252"/>
      <c r="L159" s="252"/>
      <c r="M159" s="232">
        <f t="shared" si="17"/>
        <v>0</v>
      </c>
      <c r="N159" s="252">
        <v>0</v>
      </c>
      <c r="O159" s="252"/>
      <c r="P159" s="252"/>
      <c r="Q159" s="252"/>
      <c r="R159" s="232">
        <f t="shared" si="18"/>
        <v>0</v>
      </c>
    </row>
    <row r="160" spans="1:18" s="6" customFormat="1" ht="24" hidden="1" customHeight="1">
      <c r="A160" s="141">
        <v>9700</v>
      </c>
      <c r="B160" s="116" t="s">
        <v>194</v>
      </c>
      <c r="C160" s="106">
        <v>0</v>
      </c>
      <c r="D160" s="106">
        <v>0</v>
      </c>
      <c r="E160" s="233">
        <f>SUM(E161:E162)</f>
        <v>0</v>
      </c>
      <c r="F160" s="233">
        <f>SUM(F161:F162)</f>
        <v>0</v>
      </c>
      <c r="G160" s="233">
        <f>SUM(G161:G162)</f>
        <v>0</v>
      </c>
      <c r="H160" s="232">
        <f t="shared" si="16"/>
        <v>0</v>
      </c>
      <c r="I160" s="233">
        <v>0</v>
      </c>
      <c r="J160" s="233">
        <f>SUM(J161:J162)</f>
        <v>0</v>
      </c>
      <c r="K160" s="233">
        <f>SUM(K161:K162)</f>
        <v>0</v>
      </c>
      <c r="L160" s="233">
        <f>SUM(L161:L162)</f>
        <v>0</v>
      </c>
      <c r="M160" s="232">
        <f t="shared" si="17"/>
        <v>0</v>
      </c>
      <c r="N160" s="233">
        <v>0</v>
      </c>
      <c r="O160" s="233">
        <f>SUM(O161:O162)</f>
        <v>0</v>
      </c>
      <c r="P160" s="233">
        <f>SUM(P161:P162)</f>
        <v>0</v>
      </c>
      <c r="Q160" s="233">
        <f>SUM(Q161:Q162)</f>
        <v>0</v>
      </c>
      <c r="R160" s="232">
        <f t="shared" si="18"/>
        <v>0</v>
      </c>
    </row>
    <row r="161" spans="1:18" s="6" customFormat="1" ht="24" hidden="1" customHeight="1">
      <c r="A161" s="133">
        <v>9710</v>
      </c>
      <c r="B161" s="117" t="s">
        <v>195</v>
      </c>
      <c r="C161" s="197"/>
      <c r="D161" s="197">
        <v>0</v>
      </c>
      <c r="E161" s="252"/>
      <c r="F161" s="252"/>
      <c r="G161" s="252"/>
      <c r="H161" s="232">
        <f t="shared" si="16"/>
        <v>0</v>
      </c>
      <c r="I161" s="252">
        <v>0</v>
      </c>
      <c r="J161" s="252"/>
      <c r="K161" s="252"/>
      <c r="L161" s="252"/>
      <c r="M161" s="232">
        <f t="shared" si="17"/>
        <v>0</v>
      </c>
      <c r="N161" s="252">
        <v>0</v>
      </c>
      <c r="O161" s="252"/>
      <c r="P161" s="252"/>
      <c r="Q161" s="252"/>
      <c r="R161" s="232">
        <f t="shared" si="18"/>
        <v>0</v>
      </c>
    </row>
    <row r="162" spans="1:18" s="6" customFormat="1" ht="48" hidden="1" customHeight="1">
      <c r="A162" s="142">
        <v>9720</v>
      </c>
      <c r="B162" s="116" t="s">
        <v>196</v>
      </c>
      <c r="C162" s="197"/>
      <c r="D162" s="197">
        <v>0</v>
      </c>
      <c r="E162" s="252"/>
      <c r="F162" s="252"/>
      <c r="G162" s="252"/>
      <c r="H162" s="232">
        <f t="shared" si="16"/>
        <v>0</v>
      </c>
      <c r="I162" s="252">
        <v>0</v>
      </c>
      <c r="J162" s="252"/>
      <c r="K162" s="252"/>
      <c r="L162" s="252"/>
      <c r="M162" s="232">
        <f t="shared" si="17"/>
        <v>0</v>
      </c>
      <c r="N162" s="252">
        <v>0</v>
      </c>
      <c r="O162" s="252"/>
      <c r="P162" s="252"/>
      <c r="Q162" s="252"/>
      <c r="R162" s="232">
        <f t="shared" si="18"/>
        <v>0</v>
      </c>
    </row>
    <row r="163" spans="1:18" s="6" customFormat="1" ht="24" hidden="1" customHeight="1">
      <c r="A163" s="141">
        <v>9600</v>
      </c>
      <c r="B163" s="112" t="s">
        <v>134</v>
      </c>
      <c r="C163" s="197"/>
      <c r="D163" s="197">
        <v>0</v>
      </c>
      <c r="E163" s="252"/>
      <c r="F163" s="252"/>
      <c r="G163" s="252"/>
      <c r="H163" s="232">
        <f t="shared" si="16"/>
        <v>0</v>
      </c>
      <c r="I163" s="252">
        <v>0</v>
      </c>
      <c r="J163" s="252"/>
      <c r="K163" s="252"/>
      <c r="L163" s="252"/>
      <c r="M163" s="232">
        <f t="shared" si="17"/>
        <v>0</v>
      </c>
      <c r="N163" s="252">
        <v>0</v>
      </c>
      <c r="O163" s="252"/>
      <c r="P163" s="252"/>
      <c r="Q163" s="252"/>
      <c r="R163" s="232">
        <f t="shared" si="18"/>
        <v>0</v>
      </c>
    </row>
    <row r="164" spans="1:18" s="6" customFormat="1" ht="52.5" hidden="1" customHeight="1">
      <c r="A164" s="130" t="s">
        <v>197</v>
      </c>
      <c r="B164" s="118" t="s">
        <v>47</v>
      </c>
      <c r="C164" s="198"/>
      <c r="D164" s="198">
        <v>0</v>
      </c>
      <c r="E164" s="262">
        <f>E94-E119</f>
        <v>0</v>
      </c>
      <c r="F164" s="262">
        <f>F94-F119</f>
        <v>0</v>
      </c>
      <c r="G164" s="262">
        <f>G94-G119</f>
        <v>0</v>
      </c>
      <c r="H164" s="232">
        <f t="shared" si="16"/>
        <v>0</v>
      </c>
      <c r="I164" s="262">
        <v>0</v>
      </c>
      <c r="J164" s="262">
        <f>J94-J119</f>
        <v>0</v>
      </c>
      <c r="K164" s="262">
        <f>K94-K119</f>
        <v>0</v>
      </c>
      <c r="L164" s="262">
        <f>L94-L119</f>
        <v>0</v>
      </c>
      <c r="M164" s="232">
        <f t="shared" si="17"/>
        <v>0</v>
      </c>
      <c r="N164" s="262">
        <v>0</v>
      </c>
      <c r="O164" s="262">
        <f>O94-O119</f>
        <v>0</v>
      </c>
      <c r="P164" s="262">
        <f>P94-P119</f>
        <v>0</v>
      </c>
      <c r="Q164" s="262">
        <f>Q94-Q119</f>
        <v>0</v>
      </c>
      <c r="R164" s="232">
        <f t="shared" si="18"/>
        <v>0</v>
      </c>
    </row>
    <row r="165" spans="1:18" s="6" customFormat="1" ht="12" hidden="1" customHeight="1">
      <c r="A165" s="143" t="s">
        <v>48</v>
      </c>
      <c r="B165" s="118" t="s">
        <v>49</v>
      </c>
      <c r="C165" s="198">
        <v>0</v>
      </c>
      <c r="D165" s="198">
        <v>0</v>
      </c>
      <c r="E165" s="262">
        <f>E166+E169+E173+E172</f>
        <v>0</v>
      </c>
      <c r="F165" s="262">
        <f>F166+F169+F173+F172</f>
        <v>0</v>
      </c>
      <c r="G165" s="262">
        <f>G166+G169+G173+G172</f>
        <v>0</v>
      </c>
      <c r="H165" s="232">
        <f t="shared" si="16"/>
        <v>0</v>
      </c>
      <c r="I165" s="262">
        <v>0</v>
      </c>
      <c r="J165" s="262">
        <f>J166+J169+J173+J172</f>
        <v>0</v>
      </c>
      <c r="K165" s="262">
        <f>K166+K169+K173+K172</f>
        <v>0</v>
      </c>
      <c r="L165" s="262">
        <f>L166+L169+L173+L172</f>
        <v>0</v>
      </c>
      <c r="M165" s="232">
        <f t="shared" si="17"/>
        <v>0</v>
      </c>
      <c r="N165" s="262">
        <v>0</v>
      </c>
      <c r="O165" s="262">
        <f>O166+O169+O173+O172</f>
        <v>0</v>
      </c>
      <c r="P165" s="262">
        <f>P166+P169+P173+P172</f>
        <v>0</v>
      </c>
      <c r="Q165" s="262">
        <f>Q166+Q169+Q173+Q172</f>
        <v>0</v>
      </c>
      <c r="R165" s="232">
        <f t="shared" si="18"/>
        <v>0</v>
      </c>
    </row>
    <row r="166" spans="1:18" s="6" customFormat="1" ht="12" hidden="1" customHeight="1">
      <c r="A166" s="141" t="s">
        <v>50</v>
      </c>
      <c r="B166" s="112" t="s">
        <v>51</v>
      </c>
      <c r="C166" s="158">
        <v>0</v>
      </c>
      <c r="D166" s="158">
        <v>0</v>
      </c>
      <c r="E166" s="231">
        <f>E167+E168</f>
        <v>0</v>
      </c>
      <c r="F166" s="231">
        <f>F167+F168</f>
        <v>0</v>
      </c>
      <c r="G166" s="231">
        <f>G167+G168</f>
        <v>0</v>
      </c>
      <c r="H166" s="232">
        <f t="shared" si="16"/>
        <v>0</v>
      </c>
      <c r="I166" s="231">
        <v>0</v>
      </c>
      <c r="J166" s="231">
        <f>J167+J168</f>
        <v>0</v>
      </c>
      <c r="K166" s="231">
        <f>K167+K168</f>
        <v>0</v>
      </c>
      <c r="L166" s="231">
        <f>L167+L168</f>
        <v>0</v>
      </c>
      <c r="M166" s="232">
        <f t="shared" si="17"/>
        <v>0</v>
      </c>
      <c r="N166" s="231">
        <v>0</v>
      </c>
      <c r="O166" s="231">
        <f>O167+O168</f>
        <v>0</v>
      </c>
      <c r="P166" s="231">
        <f>P167+P168</f>
        <v>0</v>
      </c>
      <c r="Q166" s="231">
        <f>Q167+Q168</f>
        <v>0</v>
      </c>
      <c r="R166" s="232">
        <f t="shared" si="18"/>
        <v>0</v>
      </c>
    </row>
    <row r="167" spans="1:18" s="6" customFormat="1" ht="12" hidden="1" customHeight="1">
      <c r="A167" s="141" t="s">
        <v>52</v>
      </c>
      <c r="B167" s="112" t="s">
        <v>53</v>
      </c>
      <c r="C167" s="158"/>
      <c r="D167" s="158">
        <v>0</v>
      </c>
      <c r="E167" s="231"/>
      <c r="F167" s="231"/>
      <c r="G167" s="231"/>
      <c r="H167" s="232">
        <f t="shared" si="16"/>
        <v>0</v>
      </c>
      <c r="I167" s="231">
        <v>0</v>
      </c>
      <c r="J167" s="231"/>
      <c r="K167" s="231"/>
      <c r="L167" s="231"/>
      <c r="M167" s="232">
        <f t="shared" si="17"/>
        <v>0</v>
      </c>
      <c r="N167" s="231">
        <v>0</v>
      </c>
      <c r="O167" s="231"/>
      <c r="P167" s="231"/>
      <c r="Q167" s="231"/>
      <c r="R167" s="232">
        <f t="shared" si="18"/>
        <v>0</v>
      </c>
    </row>
    <row r="168" spans="1:18" s="6" customFormat="1" ht="12" hidden="1" customHeight="1">
      <c r="A168" s="141" t="s">
        <v>54</v>
      </c>
      <c r="B168" s="112" t="s">
        <v>55</v>
      </c>
      <c r="C168" s="158"/>
      <c r="D168" s="158">
        <v>0</v>
      </c>
      <c r="E168" s="231"/>
      <c r="F168" s="231"/>
      <c r="G168" s="231"/>
      <c r="H168" s="232">
        <f t="shared" si="16"/>
        <v>0</v>
      </c>
      <c r="I168" s="231">
        <v>0</v>
      </c>
      <c r="J168" s="231"/>
      <c r="K168" s="231"/>
      <c r="L168" s="231"/>
      <c r="M168" s="232">
        <f t="shared" si="17"/>
        <v>0</v>
      </c>
      <c r="N168" s="231">
        <v>0</v>
      </c>
      <c r="O168" s="231"/>
      <c r="P168" s="231"/>
      <c r="Q168" s="231"/>
      <c r="R168" s="232">
        <f t="shared" si="18"/>
        <v>0</v>
      </c>
    </row>
    <row r="169" spans="1:18" s="6" customFormat="1" ht="12" hidden="1" customHeight="1">
      <c r="A169" s="141" t="s">
        <v>56</v>
      </c>
      <c r="B169" s="112" t="s">
        <v>57</v>
      </c>
      <c r="C169" s="158">
        <v>0</v>
      </c>
      <c r="D169" s="158">
        <v>0</v>
      </c>
      <c r="E169" s="231">
        <f>E170+E171</f>
        <v>0</v>
      </c>
      <c r="F169" s="231">
        <f>F170+F171</f>
        <v>0</v>
      </c>
      <c r="G169" s="231">
        <f>G170+G171</f>
        <v>0</v>
      </c>
      <c r="H169" s="232">
        <f t="shared" si="16"/>
        <v>0</v>
      </c>
      <c r="I169" s="231">
        <v>0</v>
      </c>
      <c r="J169" s="231">
        <f>J170+J171</f>
        <v>0</v>
      </c>
      <c r="K169" s="231">
        <f>K170+K171</f>
        <v>0</v>
      </c>
      <c r="L169" s="231">
        <f>L170+L171</f>
        <v>0</v>
      </c>
      <c r="M169" s="232">
        <f t="shared" si="17"/>
        <v>0</v>
      </c>
      <c r="N169" s="231">
        <v>0</v>
      </c>
      <c r="O169" s="231">
        <f>O170+O171</f>
        <v>0</v>
      </c>
      <c r="P169" s="231">
        <f>P170+P171</f>
        <v>0</v>
      </c>
      <c r="Q169" s="231">
        <f>Q170+Q171</f>
        <v>0</v>
      </c>
      <c r="R169" s="232">
        <f t="shared" si="18"/>
        <v>0</v>
      </c>
    </row>
    <row r="170" spans="1:18" s="6" customFormat="1" ht="12" hidden="1" customHeight="1">
      <c r="A170" s="141" t="s">
        <v>58</v>
      </c>
      <c r="B170" s="112" t="s">
        <v>59</v>
      </c>
      <c r="C170" s="158"/>
      <c r="D170" s="158">
        <v>0</v>
      </c>
      <c r="E170" s="231"/>
      <c r="F170" s="231"/>
      <c r="G170" s="231"/>
      <c r="H170" s="232">
        <f t="shared" si="16"/>
        <v>0</v>
      </c>
      <c r="I170" s="231">
        <v>0</v>
      </c>
      <c r="J170" s="231"/>
      <c r="K170" s="231"/>
      <c r="L170" s="231"/>
      <c r="M170" s="232">
        <f t="shared" si="17"/>
        <v>0</v>
      </c>
      <c r="N170" s="231">
        <v>0</v>
      </c>
      <c r="O170" s="231"/>
      <c r="P170" s="231"/>
      <c r="Q170" s="231"/>
      <c r="R170" s="232">
        <f t="shared" si="18"/>
        <v>0</v>
      </c>
    </row>
    <row r="171" spans="1:18" s="6" customFormat="1" ht="12" hidden="1" customHeight="1">
      <c r="A171" s="141" t="s">
        <v>60</v>
      </c>
      <c r="B171" s="112" t="s">
        <v>61</v>
      </c>
      <c r="C171" s="158"/>
      <c r="D171" s="158">
        <v>0</v>
      </c>
      <c r="E171" s="231"/>
      <c r="F171" s="231"/>
      <c r="G171" s="231"/>
      <c r="H171" s="232">
        <f t="shared" si="16"/>
        <v>0</v>
      </c>
      <c r="I171" s="231">
        <v>0</v>
      </c>
      <c r="J171" s="231"/>
      <c r="K171" s="231"/>
      <c r="L171" s="231"/>
      <c r="M171" s="232">
        <f t="shared" si="17"/>
        <v>0</v>
      </c>
      <c r="N171" s="231">
        <v>0</v>
      </c>
      <c r="O171" s="231"/>
      <c r="P171" s="231"/>
      <c r="Q171" s="231"/>
      <c r="R171" s="232">
        <f t="shared" si="18"/>
        <v>0</v>
      </c>
    </row>
    <row r="172" spans="1:18" s="6" customFormat="1" ht="12" hidden="1" customHeight="1">
      <c r="A172" s="141" t="s">
        <v>198</v>
      </c>
      <c r="B172" s="120" t="s">
        <v>168</v>
      </c>
      <c r="C172" s="158"/>
      <c r="D172" s="158">
        <v>0</v>
      </c>
      <c r="E172" s="231"/>
      <c r="F172" s="231"/>
      <c r="G172" s="231"/>
      <c r="H172" s="232">
        <f t="shared" si="16"/>
        <v>0</v>
      </c>
      <c r="I172" s="231">
        <v>0</v>
      </c>
      <c r="J172" s="231"/>
      <c r="K172" s="231"/>
      <c r="L172" s="231"/>
      <c r="M172" s="232">
        <f t="shared" si="17"/>
        <v>0</v>
      </c>
      <c r="N172" s="231">
        <v>0</v>
      </c>
      <c r="O172" s="231"/>
      <c r="P172" s="231"/>
      <c r="Q172" s="231"/>
      <c r="R172" s="232">
        <f t="shared" si="18"/>
        <v>0</v>
      </c>
    </row>
    <row r="173" spans="1:18" s="6" customFormat="1" ht="12" hidden="1" customHeight="1">
      <c r="A173" s="144" t="s">
        <v>62</v>
      </c>
      <c r="B173" s="101" t="s">
        <v>63</v>
      </c>
      <c r="C173" s="106">
        <v>0</v>
      </c>
      <c r="D173" s="106">
        <v>0</v>
      </c>
      <c r="E173" s="233">
        <f>E174+E175+E176</f>
        <v>0</v>
      </c>
      <c r="F173" s="233">
        <f>F174+F175+F176</f>
        <v>0</v>
      </c>
      <c r="G173" s="233">
        <f>G174+G175+G176</f>
        <v>0</v>
      </c>
      <c r="H173" s="232">
        <f t="shared" si="16"/>
        <v>0</v>
      </c>
      <c r="I173" s="233">
        <v>0</v>
      </c>
      <c r="J173" s="233">
        <f>J174+J175+J176</f>
        <v>0</v>
      </c>
      <c r="K173" s="233">
        <f>K174+K175+K176</f>
        <v>0</v>
      </c>
      <c r="L173" s="233">
        <f>L174+L175+L176</f>
        <v>0</v>
      </c>
      <c r="M173" s="232">
        <f t="shared" si="17"/>
        <v>0</v>
      </c>
      <c r="N173" s="233">
        <v>0</v>
      </c>
      <c r="O173" s="233">
        <f>O174+O175+O176</f>
        <v>0</v>
      </c>
      <c r="P173" s="233">
        <f>P174+P175+P176</f>
        <v>0</v>
      </c>
      <c r="Q173" s="233">
        <f>Q174+Q175+Q176</f>
        <v>0</v>
      </c>
      <c r="R173" s="232">
        <f t="shared" si="18"/>
        <v>0</v>
      </c>
    </row>
    <row r="174" spans="1:18" s="6" customFormat="1" ht="36" hidden="1" customHeight="1">
      <c r="A174" s="144" t="s">
        <v>64</v>
      </c>
      <c r="B174" s="112" t="s">
        <v>65</v>
      </c>
      <c r="C174" s="158"/>
      <c r="D174" s="158">
        <v>0</v>
      </c>
      <c r="E174" s="231"/>
      <c r="F174" s="231"/>
      <c r="G174" s="231"/>
      <c r="H174" s="232">
        <f t="shared" si="16"/>
        <v>0</v>
      </c>
      <c r="I174" s="231">
        <v>0</v>
      </c>
      <c r="J174" s="231"/>
      <c r="K174" s="231"/>
      <c r="L174" s="231"/>
      <c r="M174" s="232">
        <f t="shared" si="17"/>
        <v>0</v>
      </c>
      <c r="N174" s="231">
        <v>0</v>
      </c>
      <c r="O174" s="231"/>
      <c r="P174" s="231"/>
      <c r="Q174" s="231"/>
      <c r="R174" s="232">
        <f t="shared" si="18"/>
        <v>0</v>
      </c>
    </row>
    <row r="175" spans="1:18" s="6" customFormat="1" ht="24" hidden="1" customHeight="1">
      <c r="A175" s="144" t="s">
        <v>66</v>
      </c>
      <c r="B175" s="112" t="s">
        <v>67</v>
      </c>
      <c r="C175" s="158"/>
      <c r="D175" s="158">
        <v>0</v>
      </c>
      <c r="E175" s="231"/>
      <c r="F175" s="231"/>
      <c r="G175" s="231"/>
      <c r="H175" s="232">
        <f t="shared" si="16"/>
        <v>0</v>
      </c>
      <c r="I175" s="231">
        <v>0</v>
      </c>
      <c r="J175" s="231"/>
      <c r="K175" s="231"/>
      <c r="L175" s="231"/>
      <c r="M175" s="232">
        <f t="shared" si="17"/>
        <v>0</v>
      </c>
      <c r="N175" s="231">
        <v>0</v>
      </c>
      <c r="O175" s="231"/>
      <c r="P175" s="231"/>
      <c r="Q175" s="231"/>
      <c r="R175" s="232">
        <f t="shared" si="18"/>
        <v>0</v>
      </c>
    </row>
    <row r="176" spans="1:18" s="6" customFormat="1" ht="24" hidden="1" customHeight="1">
      <c r="A176" s="144" t="s">
        <v>68</v>
      </c>
      <c r="B176" s="101" t="s">
        <v>69</v>
      </c>
      <c r="C176" s="158"/>
      <c r="D176" s="158">
        <v>0</v>
      </c>
      <c r="E176" s="231"/>
      <c r="F176" s="231"/>
      <c r="G176" s="231"/>
      <c r="H176" s="232">
        <f t="shared" si="16"/>
        <v>0</v>
      </c>
      <c r="I176" s="231">
        <v>0</v>
      </c>
      <c r="J176" s="231"/>
      <c r="K176" s="231"/>
      <c r="L176" s="231"/>
      <c r="M176" s="232">
        <f t="shared" si="17"/>
        <v>0</v>
      </c>
      <c r="N176" s="231">
        <v>0</v>
      </c>
      <c r="O176" s="231"/>
      <c r="P176" s="231"/>
      <c r="Q176" s="231"/>
      <c r="R176" s="232">
        <f t="shared" si="18"/>
        <v>0</v>
      </c>
    </row>
    <row r="177" spans="1:18" s="6" customFormat="1" ht="36" customHeight="1">
      <c r="A177" s="145"/>
      <c r="B177" s="121" t="s">
        <v>200</v>
      </c>
      <c r="C177" s="199"/>
      <c r="D177" s="122">
        <v>0</v>
      </c>
      <c r="E177" s="268"/>
      <c r="F177" s="268"/>
      <c r="G177" s="268"/>
      <c r="H177" s="269">
        <f t="shared" si="16"/>
        <v>0</v>
      </c>
      <c r="I177" s="347">
        <v>0</v>
      </c>
      <c r="J177" s="268"/>
      <c r="K177" s="268"/>
      <c r="L177" s="268"/>
      <c r="M177" s="269">
        <f t="shared" si="17"/>
        <v>0</v>
      </c>
      <c r="N177" s="347">
        <v>0</v>
      </c>
      <c r="O177" s="268"/>
      <c r="P177" s="268"/>
      <c r="Q177" s="268"/>
      <c r="R177" s="269">
        <f t="shared" si="18"/>
        <v>0</v>
      </c>
    </row>
    <row r="178" spans="1:18" s="6" customFormat="1" ht="20.399999999999999">
      <c r="A178" s="129" t="s">
        <v>201</v>
      </c>
      <c r="B178" s="99" t="s">
        <v>88</v>
      </c>
      <c r="C178" s="193">
        <v>999272</v>
      </c>
      <c r="D178" s="193">
        <v>809202</v>
      </c>
      <c r="E178" s="228">
        <f>E179+E180+E182+E200</f>
        <v>0</v>
      </c>
      <c r="F178" s="228">
        <f>F179+F180+F182+F200</f>
        <v>0</v>
      </c>
      <c r="G178" s="228">
        <f>G179+G180+G182+G200</f>
        <v>0</v>
      </c>
      <c r="H178" s="229">
        <f t="shared" si="16"/>
        <v>809202</v>
      </c>
      <c r="I178" s="228">
        <v>237923</v>
      </c>
      <c r="J178" s="228">
        <f>J179+J180+J182+J200</f>
        <v>0</v>
      </c>
      <c r="K178" s="228">
        <f>K179+K180+K182+K200</f>
        <v>0</v>
      </c>
      <c r="L178" s="228">
        <f>L179+L180+L182+L200</f>
        <v>0</v>
      </c>
      <c r="M178" s="229">
        <f t="shared" si="17"/>
        <v>237923</v>
      </c>
      <c r="N178" s="228">
        <v>192109</v>
      </c>
      <c r="O178" s="228">
        <f>O179+O180+O182+O200</f>
        <v>0</v>
      </c>
      <c r="P178" s="228">
        <f>P179+P180+P182+P200</f>
        <v>0</v>
      </c>
      <c r="Q178" s="228">
        <f>Q179+Q180+Q182+Q200</f>
        <v>0</v>
      </c>
      <c r="R178" s="229">
        <f t="shared" si="18"/>
        <v>192109</v>
      </c>
    </row>
    <row r="179" spans="1:18" s="6" customFormat="1" ht="24" hidden="1" customHeight="1">
      <c r="A179" s="130" t="s">
        <v>177</v>
      </c>
      <c r="B179" s="100" t="s">
        <v>90</v>
      </c>
      <c r="C179" s="158">
        <v>0</v>
      </c>
      <c r="D179" s="158">
        <v>0</v>
      </c>
      <c r="E179" s="231"/>
      <c r="F179" s="231"/>
      <c r="G179" s="231"/>
      <c r="H179" s="232">
        <f t="shared" si="16"/>
        <v>0</v>
      </c>
      <c r="I179" s="231">
        <v>0</v>
      </c>
      <c r="J179" s="231"/>
      <c r="K179" s="231"/>
      <c r="L179" s="231"/>
      <c r="M179" s="232">
        <f t="shared" si="17"/>
        <v>0</v>
      </c>
      <c r="N179" s="231">
        <v>0</v>
      </c>
      <c r="O179" s="231"/>
      <c r="P179" s="231"/>
      <c r="Q179" s="231"/>
      <c r="R179" s="232">
        <f t="shared" si="18"/>
        <v>0</v>
      </c>
    </row>
    <row r="180" spans="1:18" s="6" customFormat="1" ht="12" hidden="1" customHeight="1">
      <c r="A180" s="130" t="s">
        <v>91</v>
      </c>
      <c r="B180" s="100" t="s">
        <v>92</v>
      </c>
      <c r="C180" s="158"/>
      <c r="D180" s="158">
        <v>0</v>
      </c>
      <c r="E180" s="231"/>
      <c r="F180" s="231"/>
      <c r="G180" s="231"/>
      <c r="H180" s="232">
        <f t="shared" si="16"/>
        <v>0</v>
      </c>
      <c r="I180" s="231">
        <v>0</v>
      </c>
      <c r="J180" s="231"/>
      <c r="K180" s="231"/>
      <c r="L180" s="231"/>
      <c r="M180" s="232">
        <f t="shared" si="17"/>
        <v>0</v>
      </c>
      <c r="N180" s="231">
        <v>0</v>
      </c>
      <c r="O180" s="231"/>
      <c r="P180" s="231"/>
      <c r="Q180" s="231"/>
      <c r="R180" s="232">
        <f t="shared" si="18"/>
        <v>0</v>
      </c>
    </row>
    <row r="181" spans="1:18" s="29" customFormat="1" ht="24" hidden="1" customHeight="1">
      <c r="A181" s="131">
        <v>21210</v>
      </c>
      <c r="B181" s="101" t="s">
        <v>93</v>
      </c>
      <c r="C181" s="158"/>
      <c r="D181" s="158">
        <v>0</v>
      </c>
      <c r="E181" s="231"/>
      <c r="F181" s="231"/>
      <c r="G181" s="231"/>
      <c r="H181" s="232">
        <f t="shared" si="16"/>
        <v>0</v>
      </c>
      <c r="I181" s="231">
        <v>0</v>
      </c>
      <c r="J181" s="231"/>
      <c r="K181" s="231"/>
      <c r="L181" s="231"/>
      <c r="M181" s="232">
        <f t="shared" si="17"/>
        <v>0</v>
      </c>
      <c r="N181" s="231">
        <v>0</v>
      </c>
      <c r="O181" s="231"/>
      <c r="P181" s="231"/>
      <c r="Q181" s="231"/>
      <c r="R181" s="232">
        <f t="shared" si="18"/>
        <v>0</v>
      </c>
    </row>
    <row r="182" spans="1:18" s="89" customFormat="1" ht="21" hidden="1" customHeight="1">
      <c r="A182" s="130" t="s">
        <v>178</v>
      </c>
      <c r="B182" s="100" t="s">
        <v>94</v>
      </c>
      <c r="C182" s="106">
        <v>0</v>
      </c>
      <c r="D182" s="106">
        <v>0</v>
      </c>
      <c r="E182" s="233">
        <f>E183+E189</f>
        <v>0</v>
      </c>
      <c r="F182" s="233">
        <f>F183+F189</f>
        <v>0</v>
      </c>
      <c r="G182" s="233">
        <f>G183+G189</f>
        <v>0</v>
      </c>
      <c r="H182" s="232">
        <f t="shared" si="16"/>
        <v>0</v>
      </c>
      <c r="I182" s="233">
        <v>0</v>
      </c>
      <c r="J182" s="233">
        <f>J183+J189</f>
        <v>0</v>
      </c>
      <c r="K182" s="233">
        <f>K183+K189</f>
        <v>0</v>
      </c>
      <c r="L182" s="233">
        <f>L183+L189</f>
        <v>0</v>
      </c>
      <c r="M182" s="232">
        <f t="shared" si="17"/>
        <v>0</v>
      </c>
      <c r="N182" s="233">
        <v>0</v>
      </c>
      <c r="O182" s="233">
        <f>O183+O189</f>
        <v>0</v>
      </c>
      <c r="P182" s="233">
        <f>P183+P189</f>
        <v>0</v>
      </c>
      <c r="Q182" s="233">
        <f>Q183+Q189</f>
        <v>0</v>
      </c>
      <c r="R182" s="232">
        <f t="shared" si="18"/>
        <v>0</v>
      </c>
    </row>
    <row r="183" spans="1:18" s="89" customFormat="1" ht="12" hidden="1" customHeight="1">
      <c r="A183" s="132">
        <v>18000</v>
      </c>
      <c r="B183" s="101" t="s">
        <v>95</v>
      </c>
      <c r="C183" s="106">
        <v>0</v>
      </c>
      <c r="D183" s="106">
        <v>0</v>
      </c>
      <c r="E183" s="233">
        <f t="shared" ref="E183:L184" si="19">E184</f>
        <v>0</v>
      </c>
      <c r="F183" s="233">
        <f t="shared" si="19"/>
        <v>0</v>
      </c>
      <c r="G183" s="233">
        <f t="shared" si="19"/>
        <v>0</v>
      </c>
      <c r="H183" s="232">
        <f t="shared" si="16"/>
        <v>0</v>
      </c>
      <c r="I183" s="233">
        <v>0</v>
      </c>
      <c r="J183" s="233">
        <f t="shared" si="19"/>
        <v>0</v>
      </c>
      <c r="K183" s="233">
        <f t="shared" si="19"/>
        <v>0</v>
      </c>
      <c r="L183" s="233">
        <f t="shared" si="19"/>
        <v>0</v>
      </c>
      <c r="M183" s="232">
        <f t="shared" si="17"/>
        <v>0</v>
      </c>
      <c r="N183" s="233">
        <v>0</v>
      </c>
      <c r="O183" s="233">
        <f t="shared" ref="O183:Q184" si="20">O184</f>
        <v>0</v>
      </c>
      <c r="P183" s="233">
        <f t="shared" si="20"/>
        <v>0</v>
      </c>
      <c r="Q183" s="233">
        <f t="shared" si="20"/>
        <v>0</v>
      </c>
      <c r="R183" s="232">
        <f t="shared" si="18"/>
        <v>0</v>
      </c>
    </row>
    <row r="184" spans="1:18" s="89" customFormat="1" ht="12" hidden="1" customHeight="1">
      <c r="A184" s="132">
        <v>18100</v>
      </c>
      <c r="B184" s="101" t="s">
        <v>96</v>
      </c>
      <c r="C184" s="106">
        <v>0</v>
      </c>
      <c r="D184" s="106">
        <v>0</v>
      </c>
      <c r="E184" s="233">
        <f t="shared" si="19"/>
        <v>0</v>
      </c>
      <c r="F184" s="233">
        <f t="shared" si="19"/>
        <v>0</v>
      </c>
      <c r="G184" s="233">
        <f t="shared" si="19"/>
        <v>0</v>
      </c>
      <c r="H184" s="232">
        <f t="shared" si="16"/>
        <v>0</v>
      </c>
      <c r="I184" s="233">
        <v>0</v>
      </c>
      <c r="J184" s="233">
        <f t="shared" si="19"/>
        <v>0</v>
      </c>
      <c r="K184" s="233">
        <f t="shared" si="19"/>
        <v>0</v>
      </c>
      <c r="L184" s="233">
        <f t="shared" si="19"/>
        <v>0</v>
      </c>
      <c r="M184" s="232">
        <f t="shared" si="17"/>
        <v>0</v>
      </c>
      <c r="N184" s="233">
        <v>0</v>
      </c>
      <c r="O184" s="233">
        <f t="shared" si="20"/>
        <v>0</v>
      </c>
      <c r="P184" s="233">
        <f t="shared" si="20"/>
        <v>0</v>
      </c>
      <c r="Q184" s="233">
        <f t="shared" si="20"/>
        <v>0</v>
      </c>
      <c r="R184" s="232">
        <f t="shared" si="18"/>
        <v>0</v>
      </c>
    </row>
    <row r="185" spans="1:18" s="89" customFormat="1" ht="24" hidden="1" customHeight="1">
      <c r="A185" s="133">
        <v>18130</v>
      </c>
      <c r="B185" s="108" t="s">
        <v>159</v>
      </c>
      <c r="C185" s="106">
        <v>0</v>
      </c>
      <c r="D185" s="106">
        <v>0</v>
      </c>
      <c r="E185" s="233">
        <f>SUM(E186:E188)</f>
        <v>0</v>
      </c>
      <c r="F185" s="233">
        <f>SUM(F186:F188)</f>
        <v>0</v>
      </c>
      <c r="G185" s="233">
        <f>SUM(G186:G188)</f>
        <v>0</v>
      </c>
      <c r="H185" s="232">
        <f t="shared" si="16"/>
        <v>0</v>
      </c>
      <c r="I185" s="233">
        <v>0</v>
      </c>
      <c r="J185" s="233">
        <f>SUM(J186:J188)</f>
        <v>0</v>
      </c>
      <c r="K185" s="233">
        <f>SUM(K186:K188)</f>
        <v>0</v>
      </c>
      <c r="L185" s="233">
        <f>SUM(L186:L188)</f>
        <v>0</v>
      </c>
      <c r="M185" s="232">
        <f t="shared" si="17"/>
        <v>0</v>
      </c>
      <c r="N185" s="233">
        <v>0</v>
      </c>
      <c r="O185" s="233">
        <f>SUM(O186:O188)</f>
        <v>0</v>
      </c>
      <c r="P185" s="233">
        <f>SUM(P186:P188)</f>
        <v>0</v>
      </c>
      <c r="Q185" s="233">
        <f>SUM(Q186:Q188)</f>
        <v>0</v>
      </c>
      <c r="R185" s="232">
        <f t="shared" si="18"/>
        <v>0</v>
      </c>
    </row>
    <row r="186" spans="1:18" s="89" customFormat="1" ht="36" hidden="1" customHeight="1">
      <c r="A186" s="134">
        <v>18131</v>
      </c>
      <c r="B186" s="108" t="s">
        <v>160</v>
      </c>
      <c r="C186" s="106"/>
      <c r="D186" s="106">
        <v>0</v>
      </c>
      <c r="E186" s="233"/>
      <c r="F186" s="233"/>
      <c r="G186" s="233"/>
      <c r="H186" s="232">
        <f t="shared" si="16"/>
        <v>0</v>
      </c>
      <c r="I186" s="233">
        <v>0</v>
      </c>
      <c r="J186" s="233"/>
      <c r="K186" s="233"/>
      <c r="L186" s="233"/>
      <c r="M186" s="232">
        <f t="shared" si="17"/>
        <v>0</v>
      </c>
      <c r="N186" s="233">
        <v>0</v>
      </c>
      <c r="O186" s="233"/>
      <c r="P186" s="233"/>
      <c r="Q186" s="233"/>
      <c r="R186" s="232">
        <f t="shared" si="18"/>
        <v>0</v>
      </c>
    </row>
    <row r="187" spans="1:18" s="89" customFormat="1" ht="24" hidden="1" customHeight="1">
      <c r="A187" s="134">
        <v>18132</v>
      </c>
      <c r="B187" s="108" t="s">
        <v>169</v>
      </c>
      <c r="C187" s="106"/>
      <c r="D187" s="106">
        <v>0</v>
      </c>
      <c r="E187" s="233"/>
      <c r="F187" s="233"/>
      <c r="G187" s="233"/>
      <c r="H187" s="232">
        <f t="shared" si="16"/>
        <v>0</v>
      </c>
      <c r="I187" s="233">
        <v>0</v>
      </c>
      <c r="J187" s="233"/>
      <c r="K187" s="233"/>
      <c r="L187" s="233"/>
      <c r="M187" s="232">
        <f t="shared" si="17"/>
        <v>0</v>
      </c>
      <c r="N187" s="233">
        <v>0</v>
      </c>
      <c r="O187" s="233"/>
      <c r="P187" s="233"/>
      <c r="Q187" s="233"/>
      <c r="R187" s="232">
        <f t="shared" si="18"/>
        <v>0</v>
      </c>
    </row>
    <row r="188" spans="1:18" s="89" customFormat="1" ht="24" hidden="1" customHeight="1">
      <c r="A188" s="134">
        <v>18139</v>
      </c>
      <c r="B188" s="108" t="s">
        <v>179</v>
      </c>
      <c r="C188" s="106"/>
      <c r="D188" s="106">
        <v>0</v>
      </c>
      <c r="E188" s="233"/>
      <c r="F188" s="233"/>
      <c r="G188" s="233"/>
      <c r="H188" s="232">
        <f t="shared" si="16"/>
        <v>0</v>
      </c>
      <c r="I188" s="233">
        <v>0</v>
      </c>
      <c r="J188" s="233"/>
      <c r="K188" s="233"/>
      <c r="L188" s="233"/>
      <c r="M188" s="232">
        <f t="shared" si="17"/>
        <v>0</v>
      </c>
      <c r="N188" s="233">
        <v>0</v>
      </c>
      <c r="O188" s="233"/>
      <c r="P188" s="233"/>
      <c r="Q188" s="233"/>
      <c r="R188" s="232">
        <f t="shared" si="18"/>
        <v>0</v>
      </c>
    </row>
    <row r="189" spans="1:18" s="89" customFormat="1" ht="12" hidden="1" customHeight="1">
      <c r="A189" s="135" t="s">
        <v>180</v>
      </c>
      <c r="B189" s="109" t="s">
        <v>173</v>
      </c>
      <c r="C189" s="194">
        <v>0</v>
      </c>
      <c r="D189" s="194">
        <v>0</v>
      </c>
      <c r="E189" s="238">
        <f t="shared" ref="E189:L189" si="21">E190</f>
        <v>0</v>
      </c>
      <c r="F189" s="238">
        <f t="shared" si="21"/>
        <v>0</v>
      </c>
      <c r="G189" s="238">
        <f t="shared" si="21"/>
        <v>0</v>
      </c>
      <c r="H189" s="232">
        <f t="shared" si="16"/>
        <v>0</v>
      </c>
      <c r="I189" s="238">
        <v>0</v>
      </c>
      <c r="J189" s="238">
        <f t="shared" si="21"/>
        <v>0</v>
      </c>
      <c r="K189" s="238">
        <f t="shared" si="21"/>
        <v>0</v>
      </c>
      <c r="L189" s="238">
        <f t="shared" si="21"/>
        <v>0</v>
      </c>
      <c r="M189" s="232">
        <f t="shared" si="17"/>
        <v>0</v>
      </c>
      <c r="N189" s="238">
        <v>0</v>
      </c>
      <c r="O189" s="238">
        <f>O190</f>
        <v>0</v>
      </c>
      <c r="P189" s="238">
        <f>P190</f>
        <v>0</v>
      </c>
      <c r="Q189" s="238">
        <f>Q190</f>
        <v>0</v>
      </c>
      <c r="R189" s="232">
        <f t="shared" si="18"/>
        <v>0</v>
      </c>
    </row>
    <row r="190" spans="1:18" s="89" customFormat="1" ht="24" hidden="1" customHeight="1">
      <c r="A190" s="135">
        <v>19500</v>
      </c>
      <c r="B190" s="108" t="s">
        <v>174</v>
      </c>
      <c r="C190" s="106">
        <v>0</v>
      </c>
      <c r="D190" s="106">
        <v>0</v>
      </c>
      <c r="E190" s="233">
        <f>SUM(E191:E193)</f>
        <v>0</v>
      </c>
      <c r="F190" s="233">
        <f>SUM(F191:F193)</f>
        <v>0</v>
      </c>
      <c r="G190" s="233">
        <f>SUM(G191:G193)</f>
        <v>0</v>
      </c>
      <c r="H190" s="232">
        <f t="shared" si="16"/>
        <v>0</v>
      </c>
      <c r="I190" s="233">
        <v>0</v>
      </c>
      <c r="J190" s="233">
        <f>SUM(J191:J193)</f>
        <v>0</v>
      </c>
      <c r="K190" s="233">
        <f>SUM(K191:K193)</f>
        <v>0</v>
      </c>
      <c r="L190" s="233">
        <f>SUM(L191:L193)</f>
        <v>0</v>
      </c>
      <c r="M190" s="232">
        <f t="shared" si="17"/>
        <v>0</v>
      </c>
      <c r="N190" s="233">
        <v>0</v>
      </c>
      <c r="O190" s="233">
        <f>SUM(O191:O193)</f>
        <v>0</v>
      </c>
      <c r="P190" s="233">
        <f>SUM(P191:P193)</f>
        <v>0</v>
      </c>
      <c r="Q190" s="233">
        <f>SUM(Q191:Q193)</f>
        <v>0</v>
      </c>
      <c r="R190" s="232">
        <f t="shared" si="18"/>
        <v>0</v>
      </c>
    </row>
    <row r="191" spans="1:18" s="89" customFormat="1" ht="24" hidden="1" customHeight="1">
      <c r="A191" s="136">
        <v>19550</v>
      </c>
      <c r="B191" s="108" t="s">
        <v>175</v>
      </c>
      <c r="C191" s="106"/>
      <c r="D191" s="106">
        <v>0</v>
      </c>
      <c r="E191" s="233"/>
      <c r="F191" s="233"/>
      <c r="G191" s="233"/>
      <c r="H191" s="232">
        <f t="shared" si="16"/>
        <v>0</v>
      </c>
      <c r="I191" s="233">
        <v>0</v>
      </c>
      <c r="J191" s="233"/>
      <c r="K191" s="233"/>
      <c r="L191" s="233"/>
      <c r="M191" s="232">
        <f t="shared" si="17"/>
        <v>0</v>
      </c>
      <c r="N191" s="233">
        <v>0</v>
      </c>
      <c r="O191" s="233"/>
      <c r="P191" s="233"/>
      <c r="Q191" s="233"/>
      <c r="R191" s="232">
        <f t="shared" si="18"/>
        <v>0</v>
      </c>
    </row>
    <row r="192" spans="1:18" s="89" customFormat="1" ht="36" hidden="1" customHeight="1">
      <c r="A192" s="136">
        <v>19560</v>
      </c>
      <c r="B192" s="108" t="s">
        <v>181</v>
      </c>
      <c r="C192" s="106"/>
      <c r="D192" s="106">
        <v>0</v>
      </c>
      <c r="E192" s="233"/>
      <c r="F192" s="233"/>
      <c r="G192" s="233"/>
      <c r="H192" s="232">
        <f t="shared" si="16"/>
        <v>0</v>
      </c>
      <c r="I192" s="233">
        <v>0</v>
      </c>
      <c r="J192" s="233"/>
      <c r="K192" s="233"/>
      <c r="L192" s="233"/>
      <c r="M192" s="232">
        <f t="shared" si="17"/>
        <v>0</v>
      </c>
      <c r="N192" s="233">
        <v>0</v>
      </c>
      <c r="O192" s="233"/>
      <c r="P192" s="233"/>
      <c r="Q192" s="233"/>
      <c r="R192" s="232">
        <f t="shared" si="18"/>
        <v>0</v>
      </c>
    </row>
    <row r="193" spans="1:18" s="89" customFormat="1" ht="73.5" hidden="1" customHeight="1">
      <c r="A193" s="136">
        <v>19570</v>
      </c>
      <c r="B193" s="108" t="s">
        <v>182</v>
      </c>
      <c r="C193" s="106"/>
      <c r="D193" s="106">
        <v>0</v>
      </c>
      <c r="E193" s="233"/>
      <c r="F193" s="233"/>
      <c r="G193" s="233"/>
      <c r="H193" s="232">
        <f t="shared" si="16"/>
        <v>0</v>
      </c>
      <c r="I193" s="233">
        <v>0</v>
      </c>
      <c r="J193" s="233"/>
      <c r="K193" s="233"/>
      <c r="L193" s="233"/>
      <c r="M193" s="232">
        <f t="shared" si="17"/>
        <v>0</v>
      </c>
      <c r="N193" s="233">
        <v>0</v>
      </c>
      <c r="O193" s="233"/>
      <c r="P193" s="233"/>
      <c r="Q193" s="233"/>
      <c r="R193" s="232">
        <f t="shared" si="18"/>
        <v>0</v>
      </c>
    </row>
    <row r="194" spans="1:18" s="6" customFormat="1" ht="24" hidden="1" customHeight="1">
      <c r="A194" s="209" t="s">
        <v>222</v>
      </c>
      <c r="B194" s="208" t="s">
        <v>216</v>
      </c>
      <c r="C194" s="106">
        <f>C195</f>
        <v>0</v>
      </c>
      <c r="D194" s="106">
        <v>0</v>
      </c>
      <c r="E194" s="232">
        <f t="shared" ref="E194:L194" si="22">E195</f>
        <v>0</v>
      </c>
      <c r="F194" s="232">
        <f t="shared" si="22"/>
        <v>0</v>
      </c>
      <c r="G194" s="232">
        <f t="shared" si="22"/>
        <v>0</v>
      </c>
      <c r="H194" s="232">
        <f t="shared" si="16"/>
        <v>0</v>
      </c>
      <c r="I194" s="233">
        <v>0</v>
      </c>
      <c r="J194" s="232">
        <f t="shared" si="22"/>
        <v>0</v>
      </c>
      <c r="K194" s="232">
        <f t="shared" si="22"/>
        <v>0</v>
      </c>
      <c r="L194" s="232">
        <f t="shared" si="22"/>
        <v>0</v>
      </c>
      <c r="M194" s="232">
        <f t="shared" si="17"/>
        <v>0</v>
      </c>
      <c r="N194" s="233">
        <v>0</v>
      </c>
      <c r="O194" s="232">
        <f>O195</f>
        <v>0</v>
      </c>
      <c r="P194" s="232">
        <f>P195</f>
        <v>0</v>
      </c>
      <c r="Q194" s="232">
        <f>Q195</f>
        <v>0</v>
      </c>
      <c r="R194" s="232">
        <f t="shared" si="18"/>
        <v>0</v>
      </c>
    </row>
    <row r="195" spans="1:18" s="6" customFormat="1" ht="36" hidden="1" customHeight="1">
      <c r="A195" s="209">
        <v>17100</v>
      </c>
      <c r="B195" s="208" t="s">
        <v>217</v>
      </c>
      <c r="C195" s="106">
        <f>SUM(C196:C199)</f>
        <v>0</v>
      </c>
      <c r="D195" s="106">
        <v>0</v>
      </c>
      <c r="E195" s="232">
        <f>SUM(E196:E199)</f>
        <v>0</v>
      </c>
      <c r="F195" s="232">
        <f>SUM(F196:F199)</f>
        <v>0</v>
      </c>
      <c r="G195" s="232">
        <f>SUM(G196:G199)</f>
        <v>0</v>
      </c>
      <c r="H195" s="232">
        <f t="shared" si="16"/>
        <v>0</v>
      </c>
      <c r="I195" s="233">
        <v>0</v>
      </c>
      <c r="J195" s="232">
        <f>SUM(J196:J199)</f>
        <v>0</v>
      </c>
      <c r="K195" s="232">
        <f>SUM(K196:K199)</f>
        <v>0</v>
      </c>
      <c r="L195" s="232">
        <f>SUM(L196:L199)</f>
        <v>0</v>
      </c>
      <c r="M195" s="232">
        <f t="shared" si="17"/>
        <v>0</v>
      </c>
      <c r="N195" s="233">
        <v>0</v>
      </c>
      <c r="O195" s="232">
        <f>SUM(O196:O199)</f>
        <v>0</v>
      </c>
      <c r="P195" s="232">
        <f>SUM(P196:P199)</f>
        <v>0</v>
      </c>
      <c r="Q195" s="232">
        <f>SUM(Q196:Q199)</f>
        <v>0</v>
      </c>
      <c r="R195" s="232">
        <f t="shared" si="18"/>
        <v>0</v>
      </c>
    </row>
    <row r="196" spans="1:18" s="6" customFormat="1" ht="48" hidden="1" customHeight="1">
      <c r="A196" s="149">
        <v>17110</v>
      </c>
      <c r="B196" s="208" t="s">
        <v>218</v>
      </c>
      <c r="C196" s="106"/>
      <c r="D196" s="106">
        <v>0</v>
      </c>
      <c r="E196" s="233"/>
      <c r="F196" s="233"/>
      <c r="G196" s="233"/>
      <c r="H196" s="232">
        <f t="shared" si="16"/>
        <v>0</v>
      </c>
      <c r="I196" s="233">
        <v>0</v>
      </c>
      <c r="J196" s="233"/>
      <c r="K196" s="233"/>
      <c r="L196" s="233"/>
      <c r="M196" s="232">
        <f t="shared" si="17"/>
        <v>0</v>
      </c>
      <c r="N196" s="233">
        <v>0</v>
      </c>
      <c r="O196" s="233"/>
      <c r="P196" s="233"/>
      <c r="Q196" s="233"/>
      <c r="R196" s="232">
        <f t="shared" si="18"/>
        <v>0</v>
      </c>
    </row>
    <row r="197" spans="1:18" s="6" customFormat="1" ht="48" hidden="1" customHeight="1">
      <c r="A197" s="149">
        <v>17120</v>
      </c>
      <c r="B197" s="208" t="s">
        <v>219</v>
      </c>
      <c r="C197" s="106"/>
      <c r="D197" s="106">
        <v>0</v>
      </c>
      <c r="E197" s="233"/>
      <c r="F197" s="233"/>
      <c r="G197" s="233"/>
      <c r="H197" s="232">
        <f t="shared" si="16"/>
        <v>0</v>
      </c>
      <c r="I197" s="233">
        <v>0</v>
      </c>
      <c r="J197" s="233"/>
      <c r="K197" s="233"/>
      <c r="L197" s="233"/>
      <c r="M197" s="232">
        <f t="shared" si="17"/>
        <v>0</v>
      </c>
      <c r="N197" s="233">
        <v>0</v>
      </c>
      <c r="O197" s="233"/>
      <c r="P197" s="233"/>
      <c r="Q197" s="233"/>
      <c r="R197" s="232">
        <f t="shared" si="18"/>
        <v>0</v>
      </c>
    </row>
    <row r="198" spans="1:18" s="6" customFormat="1" ht="96" hidden="1" customHeight="1">
      <c r="A198" s="149">
        <v>17130</v>
      </c>
      <c r="B198" s="208" t="s">
        <v>220</v>
      </c>
      <c r="C198" s="106"/>
      <c r="D198" s="106">
        <v>0</v>
      </c>
      <c r="E198" s="233"/>
      <c r="F198" s="233"/>
      <c r="G198" s="233"/>
      <c r="H198" s="232">
        <f t="shared" si="16"/>
        <v>0</v>
      </c>
      <c r="I198" s="233">
        <v>0</v>
      </c>
      <c r="J198" s="233"/>
      <c r="K198" s="233"/>
      <c r="L198" s="233"/>
      <c r="M198" s="232">
        <f t="shared" si="17"/>
        <v>0</v>
      </c>
      <c r="N198" s="233">
        <v>0</v>
      </c>
      <c r="O198" s="233"/>
      <c r="P198" s="233"/>
      <c r="Q198" s="233"/>
      <c r="R198" s="232">
        <f t="shared" si="18"/>
        <v>0</v>
      </c>
    </row>
    <row r="199" spans="1:18" s="6" customFormat="1" ht="96" hidden="1" customHeight="1">
      <c r="A199" s="149">
        <v>17140</v>
      </c>
      <c r="B199" s="208" t="s">
        <v>221</v>
      </c>
      <c r="C199" s="106"/>
      <c r="D199" s="106">
        <v>0</v>
      </c>
      <c r="E199" s="233"/>
      <c r="F199" s="233"/>
      <c r="G199" s="233"/>
      <c r="H199" s="232">
        <f t="shared" si="16"/>
        <v>0</v>
      </c>
      <c r="I199" s="233">
        <v>0</v>
      </c>
      <c r="J199" s="233"/>
      <c r="K199" s="233"/>
      <c r="L199" s="233"/>
      <c r="M199" s="232">
        <f t="shared" si="17"/>
        <v>0</v>
      </c>
      <c r="N199" s="233">
        <v>0</v>
      </c>
      <c r="O199" s="233"/>
      <c r="P199" s="233"/>
      <c r="Q199" s="233"/>
      <c r="R199" s="232">
        <f t="shared" si="18"/>
        <v>0</v>
      </c>
    </row>
    <row r="200" spans="1:18" s="89" customFormat="1" ht="12">
      <c r="A200" s="137">
        <v>21700</v>
      </c>
      <c r="B200" s="100" t="s">
        <v>97</v>
      </c>
      <c r="C200" s="106">
        <v>999272</v>
      </c>
      <c r="D200" s="106">
        <v>809202</v>
      </c>
      <c r="E200" s="233">
        <f>E201+E202</f>
        <v>0</v>
      </c>
      <c r="F200" s="233">
        <f>F201+F202</f>
        <v>0</v>
      </c>
      <c r="G200" s="233">
        <f>G201+G202</f>
        <v>0</v>
      </c>
      <c r="H200" s="232">
        <f t="shared" si="16"/>
        <v>809202</v>
      </c>
      <c r="I200" s="233">
        <v>237923</v>
      </c>
      <c r="J200" s="233">
        <f>J201+J202</f>
        <v>0</v>
      </c>
      <c r="K200" s="233">
        <f>K201+K202</f>
        <v>0</v>
      </c>
      <c r="L200" s="233">
        <f>L201+L202</f>
        <v>0</v>
      </c>
      <c r="M200" s="232">
        <f t="shared" si="17"/>
        <v>237923</v>
      </c>
      <c r="N200" s="233">
        <v>192109</v>
      </c>
      <c r="O200" s="233">
        <f>O201+O202</f>
        <v>0</v>
      </c>
      <c r="P200" s="233">
        <f>P201+P202</f>
        <v>0</v>
      </c>
      <c r="Q200" s="233">
        <f>Q201+Q202</f>
        <v>0</v>
      </c>
      <c r="R200" s="232">
        <f t="shared" si="18"/>
        <v>192109</v>
      </c>
    </row>
    <row r="201" spans="1:18" s="89" customFormat="1" ht="24">
      <c r="A201" s="138">
        <v>21710</v>
      </c>
      <c r="B201" s="101" t="s">
        <v>98</v>
      </c>
      <c r="C201" s="106">
        <v>999272</v>
      </c>
      <c r="D201" s="106">
        <v>809202</v>
      </c>
      <c r="E201" s="233"/>
      <c r="F201" s="233"/>
      <c r="G201" s="233"/>
      <c r="H201" s="232">
        <f t="shared" si="16"/>
        <v>809202</v>
      </c>
      <c r="I201" s="233">
        <v>237923</v>
      </c>
      <c r="J201" s="233"/>
      <c r="K201" s="233"/>
      <c r="L201" s="233"/>
      <c r="M201" s="232">
        <f t="shared" si="17"/>
        <v>237923</v>
      </c>
      <c r="N201" s="233">
        <v>192109</v>
      </c>
      <c r="O201" s="233"/>
      <c r="P201" s="233"/>
      <c r="Q201" s="233"/>
      <c r="R201" s="232">
        <f t="shared" si="18"/>
        <v>192109</v>
      </c>
    </row>
    <row r="202" spans="1:18" s="29" customFormat="1" ht="24" hidden="1" customHeight="1">
      <c r="A202" s="138">
        <v>21720</v>
      </c>
      <c r="B202" s="101" t="s">
        <v>99</v>
      </c>
      <c r="C202" s="106"/>
      <c r="D202" s="106">
        <v>0</v>
      </c>
      <c r="E202" s="233"/>
      <c r="F202" s="233"/>
      <c r="G202" s="233"/>
      <c r="H202" s="232">
        <f t="shared" ref="H202:H260" si="23">SUM(D202:G202)</f>
        <v>0</v>
      </c>
      <c r="I202" s="233">
        <v>0</v>
      </c>
      <c r="J202" s="233"/>
      <c r="K202" s="233"/>
      <c r="L202" s="233"/>
      <c r="M202" s="232">
        <f t="shared" ref="M202:M260" si="24">SUM(I202:L202)</f>
        <v>0</v>
      </c>
      <c r="N202" s="233">
        <v>0</v>
      </c>
      <c r="O202" s="233"/>
      <c r="P202" s="233"/>
      <c r="Q202" s="233"/>
      <c r="R202" s="232">
        <f t="shared" ref="R202:R260" si="25">SUM(N202:Q202)</f>
        <v>0</v>
      </c>
    </row>
    <row r="203" spans="1:18" s="29" customFormat="1" ht="11.4">
      <c r="A203" s="129" t="s">
        <v>100</v>
      </c>
      <c r="B203" s="99" t="s">
        <v>101</v>
      </c>
      <c r="C203" s="104">
        <v>999272</v>
      </c>
      <c r="D203" s="104">
        <v>809202</v>
      </c>
      <c r="E203" s="243">
        <f>E204+E231</f>
        <v>0</v>
      </c>
      <c r="F203" s="243">
        <f>F204+F231</f>
        <v>0</v>
      </c>
      <c r="G203" s="243">
        <f>G204+G231</f>
        <v>0</v>
      </c>
      <c r="H203" s="270">
        <f t="shared" si="23"/>
        <v>809202</v>
      </c>
      <c r="I203" s="243">
        <v>237923</v>
      </c>
      <c r="J203" s="243">
        <f>J204+J231</f>
        <v>0</v>
      </c>
      <c r="K203" s="243">
        <f>K204+K231</f>
        <v>0</v>
      </c>
      <c r="L203" s="243">
        <f>L204+L231</f>
        <v>0</v>
      </c>
      <c r="M203" s="270">
        <f t="shared" si="24"/>
        <v>237923</v>
      </c>
      <c r="N203" s="243">
        <v>192109</v>
      </c>
      <c r="O203" s="243">
        <f>O204+O231</f>
        <v>0</v>
      </c>
      <c r="P203" s="243">
        <f>P204+P231</f>
        <v>0</v>
      </c>
      <c r="Q203" s="243">
        <f>Q204+Q231</f>
        <v>0</v>
      </c>
      <c r="R203" s="270">
        <f t="shared" si="25"/>
        <v>192109</v>
      </c>
    </row>
    <row r="204" spans="1:18" s="29" customFormat="1" ht="20.399999999999999">
      <c r="A204" s="130" t="s">
        <v>102</v>
      </c>
      <c r="B204" s="100" t="s">
        <v>103</v>
      </c>
      <c r="C204" s="106">
        <v>998096</v>
      </c>
      <c r="D204" s="106">
        <v>809202</v>
      </c>
      <c r="E204" s="233">
        <f>E205+E209+E210+E213+E216</f>
        <v>0</v>
      </c>
      <c r="F204" s="233">
        <f>F205+F209+F210+F213+F216</f>
        <v>0</v>
      </c>
      <c r="G204" s="233">
        <f>G205+G209+G210+G213+G216</f>
        <v>0</v>
      </c>
      <c r="H204" s="232">
        <f t="shared" si="23"/>
        <v>809202</v>
      </c>
      <c r="I204" s="233">
        <v>237923</v>
      </c>
      <c r="J204" s="233">
        <f>J205+J209+J210+J213+J216</f>
        <v>0</v>
      </c>
      <c r="K204" s="233">
        <f>K205+K209+K210+K213+K216</f>
        <v>0</v>
      </c>
      <c r="L204" s="233">
        <f>L205+L209+L210+L213+L216</f>
        <v>0</v>
      </c>
      <c r="M204" s="232">
        <f t="shared" si="24"/>
        <v>237923</v>
      </c>
      <c r="N204" s="233">
        <v>192109</v>
      </c>
      <c r="O204" s="233">
        <f>O205+O209+O210+O213+O216</f>
        <v>0</v>
      </c>
      <c r="P204" s="233">
        <f>P205+P209+P210+P213+P216</f>
        <v>0</v>
      </c>
      <c r="Q204" s="233">
        <f>Q205+Q209+Q210+Q213+Q216</f>
        <v>0</v>
      </c>
      <c r="R204" s="232">
        <f t="shared" si="25"/>
        <v>192109</v>
      </c>
    </row>
    <row r="205" spans="1:18" s="29" customFormat="1" ht="12">
      <c r="A205" s="130" t="s">
        <v>104</v>
      </c>
      <c r="B205" s="100" t="s">
        <v>105</v>
      </c>
      <c r="C205" s="106">
        <v>998096</v>
      </c>
      <c r="D205" s="106">
        <v>809202</v>
      </c>
      <c r="E205" s="233">
        <f>E206+E208</f>
        <v>0</v>
      </c>
      <c r="F205" s="233">
        <f>F206+F208</f>
        <v>0</v>
      </c>
      <c r="G205" s="233">
        <f>G206+G208</f>
        <v>0</v>
      </c>
      <c r="H205" s="232">
        <f t="shared" si="23"/>
        <v>809202</v>
      </c>
      <c r="I205" s="233">
        <v>237923</v>
      </c>
      <c r="J205" s="233">
        <f>J206+J208</f>
        <v>0</v>
      </c>
      <c r="K205" s="233">
        <f>K206+K208</f>
        <v>0</v>
      </c>
      <c r="L205" s="233">
        <f>L206+L208</f>
        <v>0</v>
      </c>
      <c r="M205" s="232">
        <f t="shared" si="24"/>
        <v>237923</v>
      </c>
      <c r="N205" s="233">
        <v>192109</v>
      </c>
      <c r="O205" s="233">
        <f>O206+O208</f>
        <v>0</v>
      </c>
      <c r="P205" s="233">
        <f>P206+P208</f>
        <v>0</v>
      </c>
      <c r="Q205" s="233">
        <f>Q206+Q208</f>
        <v>0</v>
      </c>
      <c r="R205" s="232">
        <f t="shared" si="25"/>
        <v>192109</v>
      </c>
    </row>
    <row r="206" spans="1:18" s="29" customFormat="1" ht="12">
      <c r="A206" s="132">
        <v>1000</v>
      </c>
      <c r="B206" s="101" t="s">
        <v>106</v>
      </c>
      <c r="C206" s="106">
        <v>147481</v>
      </c>
      <c r="D206" s="106">
        <v>147481</v>
      </c>
      <c r="E206" s="244"/>
      <c r="F206" s="244"/>
      <c r="G206" s="244"/>
      <c r="H206" s="232">
        <f t="shared" si="23"/>
        <v>147481</v>
      </c>
      <c r="I206" s="233">
        <v>147481</v>
      </c>
      <c r="J206" s="244"/>
      <c r="K206" s="244"/>
      <c r="L206" s="244"/>
      <c r="M206" s="232">
        <f t="shared" si="24"/>
        <v>147481</v>
      </c>
      <c r="N206" s="233">
        <v>135500</v>
      </c>
      <c r="O206" s="244"/>
      <c r="P206" s="244"/>
      <c r="Q206" s="244"/>
      <c r="R206" s="232">
        <f t="shared" si="25"/>
        <v>135500</v>
      </c>
    </row>
    <row r="207" spans="1:18" s="29" customFormat="1" ht="12">
      <c r="A207" s="139">
        <v>1100</v>
      </c>
      <c r="B207" s="101" t="s">
        <v>107</v>
      </c>
      <c r="C207" s="106">
        <v>107850</v>
      </c>
      <c r="D207" s="106">
        <v>110545</v>
      </c>
      <c r="E207" s="244"/>
      <c r="F207" s="244"/>
      <c r="G207" s="244"/>
      <c r="H207" s="232">
        <f t="shared" si="23"/>
        <v>110545</v>
      </c>
      <c r="I207" s="233">
        <v>111000</v>
      </c>
      <c r="J207" s="244"/>
      <c r="K207" s="244"/>
      <c r="L207" s="244"/>
      <c r="M207" s="232">
        <f t="shared" si="24"/>
        <v>111000</v>
      </c>
      <c r="N207" s="233">
        <v>105250</v>
      </c>
      <c r="O207" s="244"/>
      <c r="P207" s="244"/>
      <c r="Q207" s="244"/>
      <c r="R207" s="232">
        <f t="shared" si="25"/>
        <v>105250</v>
      </c>
    </row>
    <row r="208" spans="1:18" s="29" customFormat="1" ht="12">
      <c r="A208" s="132">
        <v>2000</v>
      </c>
      <c r="B208" s="101" t="s">
        <v>108</v>
      </c>
      <c r="C208" s="106">
        <v>850615</v>
      </c>
      <c r="D208" s="106">
        <v>661721</v>
      </c>
      <c r="E208" s="244"/>
      <c r="F208" s="244"/>
      <c r="G208" s="244"/>
      <c r="H208" s="232">
        <f t="shared" si="23"/>
        <v>661721</v>
      </c>
      <c r="I208" s="233">
        <v>90442</v>
      </c>
      <c r="J208" s="244"/>
      <c r="K208" s="244"/>
      <c r="L208" s="244"/>
      <c r="M208" s="232">
        <f t="shared" si="24"/>
        <v>90442</v>
      </c>
      <c r="N208" s="233">
        <v>56609</v>
      </c>
      <c r="O208" s="244"/>
      <c r="P208" s="244"/>
      <c r="Q208" s="244"/>
      <c r="R208" s="232">
        <f t="shared" si="25"/>
        <v>56609</v>
      </c>
    </row>
    <row r="209" spans="1:18" s="29" customFormat="1" ht="12" hidden="1" customHeight="1">
      <c r="A209" s="140">
        <v>4000</v>
      </c>
      <c r="B209" s="100" t="s">
        <v>132</v>
      </c>
      <c r="C209" s="106"/>
      <c r="D209" s="106">
        <v>0</v>
      </c>
      <c r="E209" s="244"/>
      <c r="F209" s="244"/>
      <c r="G209" s="244"/>
      <c r="H209" s="232">
        <f t="shared" si="23"/>
        <v>0</v>
      </c>
      <c r="I209" s="233">
        <v>0</v>
      </c>
      <c r="J209" s="244"/>
      <c r="K209" s="244"/>
      <c r="L209" s="244"/>
      <c r="M209" s="232">
        <f t="shared" si="24"/>
        <v>0</v>
      </c>
      <c r="N209" s="233">
        <v>0</v>
      </c>
      <c r="O209" s="244"/>
      <c r="P209" s="244"/>
      <c r="Q209" s="244"/>
      <c r="R209" s="232">
        <f t="shared" si="25"/>
        <v>0</v>
      </c>
    </row>
    <row r="210" spans="1:18" s="29" customFormat="1" ht="12" hidden="1" customHeight="1">
      <c r="A210" s="140" t="s">
        <v>109</v>
      </c>
      <c r="B210" s="100" t="s">
        <v>110</v>
      </c>
      <c r="C210" s="106">
        <v>0</v>
      </c>
      <c r="D210" s="106">
        <v>0</v>
      </c>
      <c r="E210" s="233">
        <f>E211+E212</f>
        <v>0</v>
      </c>
      <c r="F210" s="233">
        <f>F211+F212</f>
        <v>0</v>
      </c>
      <c r="G210" s="233">
        <f>G211+G212</f>
        <v>0</v>
      </c>
      <c r="H210" s="232">
        <f t="shared" si="23"/>
        <v>0</v>
      </c>
      <c r="I210" s="233">
        <v>0</v>
      </c>
      <c r="J210" s="233">
        <f>J211+J212</f>
        <v>0</v>
      </c>
      <c r="K210" s="233">
        <f>K211+K212</f>
        <v>0</v>
      </c>
      <c r="L210" s="233">
        <f>L211+L212</f>
        <v>0</v>
      </c>
      <c r="M210" s="232">
        <f t="shared" si="24"/>
        <v>0</v>
      </c>
      <c r="N210" s="233">
        <v>0</v>
      </c>
      <c r="O210" s="233">
        <f>O211+O212</f>
        <v>0</v>
      </c>
      <c r="P210" s="233">
        <f>P211+P212</f>
        <v>0</v>
      </c>
      <c r="Q210" s="233">
        <f>Q211+Q212</f>
        <v>0</v>
      </c>
      <c r="R210" s="232">
        <f t="shared" si="25"/>
        <v>0</v>
      </c>
    </row>
    <row r="211" spans="1:18" s="29" customFormat="1" ht="12" hidden="1" customHeight="1">
      <c r="A211" s="132">
        <v>3000</v>
      </c>
      <c r="B211" s="101" t="s">
        <v>111</v>
      </c>
      <c r="C211" s="195"/>
      <c r="D211" s="195">
        <v>0</v>
      </c>
      <c r="E211" s="246"/>
      <c r="F211" s="246"/>
      <c r="G211" s="246"/>
      <c r="H211" s="232">
        <f t="shared" si="23"/>
        <v>0</v>
      </c>
      <c r="I211" s="345">
        <v>0</v>
      </c>
      <c r="J211" s="246"/>
      <c r="K211" s="246"/>
      <c r="L211" s="246"/>
      <c r="M211" s="232">
        <f t="shared" si="24"/>
        <v>0</v>
      </c>
      <c r="N211" s="345">
        <v>0</v>
      </c>
      <c r="O211" s="246"/>
      <c r="P211" s="246"/>
      <c r="Q211" s="246"/>
      <c r="R211" s="232">
        <f t="shared" si="25"/>
        <v>0</v>
      </c>
    </row>
    <row r="212" spans="1:18" s="29" customFormat="1" ht="12" hidden="1" customHeight="1">
      <c r="A212" s="132">
        <v>6000</v>
      </c>
      <c r="B212" s="101" t="s">
        <v>112</v>
      </c>
      <c r="C212" s="196">
        <v>0</v>
      </c>
      <c r="D212" s="196">
        <v>0</v>
      </c>
      <c r="E212" s="248"/>
      <c r="F212" s="248"/>
      <c r="G212" s="248"/>
      <c r="H212" s="232">
        <f t="shared" si="23"/>
        <v>0</v>
      </c>
      <c r="I212" s="346">
        <v>0</v>
      </c>
      <c r="J212" s="248"/>
      <c r="K212" s="248"/>
      <c r="L212" s="248"/>
      <c r="M212" s="232">
        <f t="shared" si="24"/>
        <v>0</v>
      </c>
      <c r="N212" s="346">
        <v>0</v>
      </c>
      <c r="O212" s="248"/>
      <c r="P212" s="248"/>
      <c r="Q212" s="248"/>
      <c r="R212" s="232">
        <f t="shared" si="25"/>
        <v>0</v>
      </c>
    </row>
    <row r="213" spans="1:18" s="29" customFormat="1" ht="24" hidden="1" customHeight="1">
      <c r="A213" s="140" t="s">
        <v>113</v>
      </c>
      <c r="B213" s="100" t="s">
        <v>183</v>
      </c>
      <c r="C213" s="106">
        <v>0</v>
      </c>
      <c r="D213" s="106">
        <v>0</v>
      </c>
      <c r="E213" s="233">
        <f>E214+E215</f>
        <v>0</v>
      </c>
      <c r="F213" s="233">
        <f>F214+F215</f>
        <v>0</v>
      </c>
      <c r="G213" s="233">
        <f>G214+G215</f>
        <v>0</v>
      </c>
      <c r="H213" s="232">
        <f t="shared" si="23"/>
        <v>0</v>
      </c>
      <c r="I213" s="233">
        <v>0</v>
      </c>
      <c r="J213" s="233">
        <f>J214+J215</f>
        <v>0</v>
      </c>
      <c r="K213" s="233">
        <f>K214+K215</f>
        <v>0</v>
      </c>
      <c r="L213" s="233">
        <f>L214+L215</f>
        <v>0</v>
      </c>
      <c r="M213" s="232">
        <f t="shared" si="24"/>
        <v>0</v>
      </c>
      <c r="N213" s="233">
        <v>0</v>
      </c>
      <c r="O213" s="233">
        <f>O214+O215</f>
        <v>0</v>
      </c>
      <c r="P213" s="233">
        <f>P214+P215</f>
        <v>0</v>
      </c>
      <c r="Q213" s="233">
        <f>Q214+Q215</f>
        <v>0</v>
      </c>
      <c r="R213" s="232">
        <f t="shared" si="25"/>
        <v>0</v>
      </c>
    </row>
    <row r="214" spans="1:18" s="29" customFormat="1" ht="12" hidden="1" customHeight="1">
      <c r="A214" s="132">
        <v>7600</v>
      </c>
      <c r="B214" s="112" t="s">
        <v>184</v>
      </c>
      <c r="C214" s="106"/>
      <c r="D214" s="106">
        <v>0</v>
      </c>
      <c r="E214" s="244"/>
      <c r="F214" s="244"/>
      <c r="G214" s="244"/>
      <c r="H214" s="232">
        <f t="shared" si="23"/>
        <v>0</v>
      </c>
      <c r="I214" s="233">
        <v>0</v>
      </c>
      <c r="J214" s="244"/>
      <c r="K214" s="244"/>
      <c r="L214" s="244"/>
      <c r="M214" s="232">
        <f t="shared" si="24"/>
        <v>0</v>
      </c>
      <c r="N214" s="233">
        <v>0</v>
      </c>
      <c r="O214" s="244"/>
      <c r="P214" s="244"/>
      <c r="Q214" s="244"/>
      <c r="R214" s="232">
        <f t="shared" si="25"/>
        <v>0</v>
      </c>
    </row>
    <row r="215" spans="1:18" s="29" customFormat="1" ht="12" hidden="1" customHeight="1">
      <c r="A215" s="132">
        <v>7700</v>
      </c>
      <c r="B215" s="102" t="s">
        <v>114</v>
      </c>
      <c r="C215" s="106">
        <v>0</v>
      </c>
      <c r="D215" s="106">
        <v>0</v>
      </c>
      <c r="E215" s="244"/>
      <c r="F215" s="244"/>
      <c r="G215" s="244"/>
      <c r="H215" s="232">
        <f t="shared" si="23"/>
        <v>0</v>
      </c>
      <c r="I215" s="233">
        <v>0</v>
      </c>
      <c r="J215" s="244"/>
      <c r="K215" s="244"/>
      <c r="L215" s="244"/>
      <c r="M215" s="232">
        <f t="shared" si="24"/>
        <v>0</v>
      </c>
      <c r="N215" s="233">
        <v>0</v>
      </c>
      <c r="O215" s="244"/>
      <c r="P215" s="244"/>
      <c r="Q215" s="244"/>
      <c r="R215" s="232">
        <f t="shared" si="25"/>
        <v>0</v>
      </c>
    </row>
    <row r="216" spans="1:18" s="29" customFormat="1" ht="21" hidden="1" customHeight="1">
      <c r="A216" s="140" t="s">
        <v>185</v>
      </c>
      <c r="B216" s="100" t="s">
        <v>115</v>
      </c>
      <c r="C216" s="106">
        <v>0</v>
      </c>
      <c r="D216" s="106">
        <v>0</v>
      </c>
      <c r="E216" s="233">
        <f>E217+E223+E227+E230</f>
        <v>0</v>
      </c>
      <c r="F216" s="233">
        <f>F217+F223+F227+F230</f>
        <v>0</v>
      </c>
      <c r="G216" s="233">
        <f>G217+G223+G227+G230</f>
        <v>0</v>
      </c>
      <c r="H216" s="232">
        <f t="shared" si="23"/>
        <v>0</v>
      </c>
      <c r="I216" s="233">
        <v>0</v>
      </c>
      <c r="J216" s="233">
        <f>J217+J223+J227+J230</f>
        <v>0</v>
      </c>
      <c r="K216" s="233">
        <f>K217+K223+K227+K230</f>
        <v>0</v>
      </c>
      <c r="L216" s="233">
        <f>L217+L223+L227+L230</f>
        <v>0</v>
      </c>
      <c r="M216" s="232">
        <f t="shared" si="24"/>
        <v>0</v>
      </c>
      <c r="N216" s="233">
        <v>0</v>
      </c>
      <c r="O216" s="233">
        <f>O217+O223+O227+O230</f>
        <v>0</v>
      </c>
      <c r="P216" s="233">
        <f>P217+P223+P227+P230</f>
        <v>0</v>
      </c>
      <c r="Q216" s="233">
        <f>Q217+Q223+Q227+Q230</f>
        <v>0</v>
      </c>
      <c r="R216" s="232">
        <f t="shared" si="25"/>
        <v>0</v>
      </c>
    </row>
    <row r="217" spans="1:18" s="29" customFormat="1" ht="12" hidden="1" customHeight="1">
      <c r="A217" s="132">
        <v>7100</v>
      </c>
      <c r="B217" s="112" t="s">
        <v>116</v>
      </c>
      <c r="C217" s="106">
        <v>0</v>
      </c>
      <c r="D217" s="106">
        <v>0</v>
      </c>
      <c r="E217" s="233">
        <f>E218+E219</f>
        <v>0</v>
      </c>
      <c r="F217" s="233">
        <f>F218+F219</f>
        <v>0</v>
      </c>
      <c r="G217" s="233">
        <f>G218+G219</f>
        <v>0</v>
      </c>
      <c r="H217" s="232">
        <f t="shared" si="23"/>
        <v>0</v>
      </c>
      <c r="I217" s="233">
        <v>0</v>
      </c>
      <c r="J217" s="233">
        <f>J218+J219</f>
        <v>0</v>
      </c>
      <c r="K217" s="233">
        <f>K218+K219</f>
        <v>0</v>
      </c>
      <c r="L217" s="233">
        <f>L218+L219</f>
        <v>0</v>
      </c>
      <c r="M217" s="232">
        <f t="shared" si="24"/>
        <v>0</v>
      </c>
      <c r="N217" s="233">
        <v>0</v>
      </c>
      <c r="O217" s="233">
        <f>O218+O219</f>
        <v>0</v>
      </c>
      <c r="P217" s="233">
        <f>P218+P219</f>
        <v>0</v>
      </c>
      <c r="Q217" s="233">
        <f>Q218+Q219</f>
        <v>0</v>
      </c>
      <c r="R217" s="232">
        <f t="shared" si="25"/>
        <v>0</v>
      </c>
    </row>
    <row r="218" spans="1:18" s="29" customFormat="1" ht="24" hidden="1" customHeight="1">
      <c r="A218" s="133" t="s">
        <v>117</v>
      </c>
      <c r="B218" s="112" t="s">
        <v>118</v>
      </c>
      <c r="C218" s="106"/>
      <c r="D218" s="106">
        <v>0</v>
      </c>
      <c r="E218" s="233"/>
      <c r="F218" s="233"/>
      <c r="G218" s="233"/>
      <c r="H218" s="232">
        <f t="shared" si="23"/>
        <v>0</v>
      </c>
      <c r="I218" s="233">
        <v>0</v>
      </c>
      <c r="J218" s="233"/>
      <c r="K218" s="233"/>
      <c r="L218" s="233"/>
      <c r="M218" s="232">
        <f t="shared" si="24"/>
        <v>0</v>
      </c>
      <c r="N218" s="233">
        <v>0</v>
      </c>
      <c r="O218" s="233"/>
      <c r="P218" s="233"/>
      <c r="Q218" s="233"/>
      <c r="R218" s="232">
        <f t="shared" si="25"/>
        <v>0</v>
      </c>
    </row>
    <row r="219" spans="1:18" s="29" customFormat="1" ht="24" hidden="1" customHeight="1">
      <c r="A219" s="133">
        <v>7130</v>
      </c>
      <c r="B219" s="112" t="s">
        <v>119</v>
      </c>
      <c r="C219" s="106">
        <v>0</v>
      </c>
      <c r="D219" s="106">
        <v>0</v>
      </c>
      <c r="E219" s="233">
        <f>SUM(E220:E222)</f>
        <v>0</v>
      </c>
      <c r="F219" s="233">
        <f>SUM(F220:F222)</f>
        <v>0</v>
      </c>
      <c r="G219" s="233">
        <f>SUM(G220:G222)</f>
        <v>0</v>
      </c>
      <c r="H219" s="232">
        <f t="shared" si="23"/>
        <v>0</v>
      </c>
      <c r="I219" s="233">
        <v>0</v>
      </c>
      <c r="J219" s="233">
        <f>SUM(J220:J222)</f>
        <v>0</v>
      </c>
      <c r="K219" s="233">
        <f>SUM(K220:K222)</f>
        <v>0</v>
      </c>
      <c r="L219" s="233">
        <f>SUM(L220:L222)</f>
        <v>0</v>
      </c>
      <c r="M219" s="232">
        <f t="shared" si="24"/>
        <v>0</v>
      </c>
      <c r="N219" s="233">
        <v>0</v>
      </c>
      <c r="O219" s="233">
        <f>SUM(O220:O222)</f>
        <v>0</v>
      </c>
      <c r="P219" s="233">
        <f>SUM(P220:P222)</f>
        <v>0</v>
      </c>
      <c r="Q219" s="233">
        <f>SUM(Q220:Q222)</f>
        <v>0</v>
      </c>
      <c r="R219" s="232">
        <f t="shared" si="25"/>
        <v>0</v>
      </c>
    </row>
    <row r="220" spans="1:18" s="29" customFormat="1" ht="36" hidden="1" customHeight="1">
      <c r="A220" s="134">
        <v>7131</v>
      </c>
      <c r="B220" s="112" t="s">
        <v>120</v>
      </c>
      <c r="C220" s="106"/>
      <c r="D220" s="106">
        <v>0</v>
      </c>
      <c r="E220" s="233"/>
      <c r="F220" s="233"/>
      <c r="G220" s="233"/>
      <c r="H220" s="232">
        <f t="shared" si="23"/>
        <v>0</v>
      </c>
      <c r="I220" s="233">
        <v>0</v>
      </c>
      <c r="J220" s="233"/>
      <c r="K220" s="233"/>
      <c r="L220" s="233"/>
      <c r="M220" s="232">
        <f t="shared" si="24"/>
        <v>0</v>
      </c>
      <c r="N220" s="233">
        <v>0</v>
      </c>
      <c r="O220" s="233"/>
      <c r="P220" s="233"/>
      <c r="Q220" s="233"/>
      <c r="R220" s="232">
        <f t="shared" si="25"/>
        <v>0</v>
      </c>
    </row>
    <row r="221" spans="1:18" s="29" customFormat="1" ht="36" hidden="1" customHeight="1">
      <c r="A221" s="134">
        <v>7132</v>
      </c>
      <c r="B221" s="112" t="s">
        <v>121</v>
      </c>
      <c r="C221" s="106"/>
      <c r="D221" s="106">
        <v>0</v>
      </c>
      <c r="E221" s="233"/>
      <c r="F221" s="233"/>
      <c r="G221" s="233"/>
      <c r="H221" s="232">
        <f t="shared" si="23"/>
        <v>0</v>
      </c>
      <c r="I221" s="233">
        <v>0</v>
      </c>
      <c r="J221" s="233"/>
      <c r="K221" s="233"/>
      <c r="L221" s="233"/>
      <c r="M221" s="232">
        <f t="shared" si="24"/>
        <v>0</v>
      </c>
      <c r="N221" s="233">
        <v>0</v>
      </c>
      <c r="O221" s="233"/>
      <c r="P221" s="233"/>
      <c r="Q221" s="233"/>
      <c r="R221" s="232">
        <f t="shared" si="25"/>
        <v>0</v>
      </c>
    </row>
    <row r="222" spans="1:18" s="29" customFormat="1" ht="24" hidden="1" customHeight="1">
      <c r="A222" s="134" t="s">
        <v>186</v>
      </c>
      <c r="B222" s="112" t="s">
        <v>187</v>
      </c>
      <c r="C222" s="106"/>
      <c r="D222" s="106">
        <v>0</v>
      </c>
      <c r="E222" s="233"/>
      <c r="F222" s="233"/>
      <c r="G222" s="233"/>
      <c r="H222" s="232">
        <f t="shared" si="23"/>
        <v>0</v>
      </c>
      <c r="I222" s="233">
        <v>0</v>
      </c>
      <c r="J222" s="233"/>
      <c r="K222" s="233"/>
      <c r="L222" s="233"/>
      <c r="M222" s="232">
        <f t="shared" si="24"/>
        <v>0</v>
      </c>
      <c r="N222" s="233">
        <v>0</v>
      </c>
      <c r="O222" s="233"/>
      <c r="P222" s="233"/>
      <c r="Q222" s="233"/>
      <c r="R222" s="232">
        <f t="shared" si="25"/>
        <v>0</v>
      </c>
    </row>
    <row r="223" spans="1:18" s="29" customFormat="1" ht="24" hidden="1" customHeight="1">
      <c r="A223" s="132">
        <v>7300</v>
      </c>
      <c r="B223" s="108" t="s">
        <v>155</v>
      </c>
      <c r="C223" s="106">
        <v>0</v>
      </c>
      <c r="D223" s="106">
        <v>0</v>
      </c>
      <c r="E223" s="233">
        <f>SUM(E224:E226)</f>
        <v>0</v>
      </c>
      <c r="F223" s="233">
        <f>SUM(F224:F226)</f>
        <v>0</v>
      </c>
      <c r="G223" s="233">
        <f>SUM(G224:G226)</f>
        <v>0</v>
      </c>
      <c r="H223" s="232">
        <f t="shared" si="23"/>
        <v>0</v>
      </c>
      <c r="I223" s="233">
        <v>0</v>
      </c>
      <c r="J223" s="233">
        <f>SUM(J224:J226)</f>
        <v>0</v>
      </c>
      <c r="K223" s="233">
        <f>SUM(K224:K226)</f>
        <v>0</v>
      </c>
      <c r="L223" s="233">
        <f>SUM(L224:L226)</f>
        <v>0</v>
      </c>
      <c r="M223" s="232">
        <f t="shared" si="24"/>
        <v>0</v>
      </c>
      <c r="N223" s="233">
        <v>0</v>
      </c>
      <c r="O223" s="233">
        <f>SUM(O224:O226)</f>
        <v>0</v>
      </c>
      <c r="P223" s="233">
        <f>SUM(P224:P226)</f>
        <v>0</v>
      </c>
      <c r="Q223" s="233">
        <f>SUM(Q224:Q226)</f>
        <v>0</v>
      </c>
      <c r="R223" s="232">
        <f t="shared" si="25"/>
        <v>0</v>
      </c>
    </row>
    <row r="224" spans="1:18" s="29" customFormat="1" ht="24" hidden="1" customHeight="1">
      <c r="A224" s="133" t="s">
        <v>188</v>
      </c>
      <c r="B224" s="112" t="s">
        <v>170</v>
      </c>
      <c r="C224" s="197"/>
      <c r="D224" s="197">
        <v>0</v>
      </c>
      <c r="E224" s="252"/>
      <c r="F224" s="252"/>
      <c r="G224" s="252"/>
      <c r="H224" s="232">
        <f t="shared" si="23"/>
        <v>0</v>
      </c>
      <c r="I224" s="252">
        <v>0</v>
      </c>
      <c r="J224" s="252"/>
      <c r="K224" s="252"/>
      <c r="L224" s="252"/>
      <c r="M224" s="232">
        <f t="shared" si="24"/>
        <v>0</v>
      </c>
      <c r="N224" s="252">
        <v>0</v>
      </c>
      <c r="O224" s="252"/>
      <c r="P224" s="252"/>
      <c r="Q224" s="252"/>
      <c r="R224" s="232">
        <f t="shared" si="25"/>
        <v>0</v>
      </c>
    </row>
    <row r="225" spans="1:18" s="29" customFormat="1" ht="48" hidden="1" customHeight="1">
      <c r="A225" s="133" t="s">
        <v>189</v>
      </c>
      <c r="B225" s="112" t="s">
        <v>156</v>
      </c>
      <c r="C225" s="197"/>
      <c r="D225" s="197">
        <v>0</v>
      </c>
      <c r="E225" s="252"/>
      <c r="F225" s="252"/>
      <c r="G225" s="252"/>
      <c r="H225" s="232">
        <f t="shared" si="23"/>
        <v>0</v>
      </c>
      <c r="I225" s="252">
        <v>0</v>
      </c>
      <c r="J225" s="252"/>
      <c r="K225" s="252"/>
      <c r="L225" s="252"/>
      <c r="M225" s="232">
        <f t="shared" si="24"/>
        <v>0</v>
      </c>
      <c r="N225" s="252">
        <v>0</v>
      </c>
      <c r="O225" s="252"/>
      <c r="P225" s="252"/>
      <c r="Q225" s="252"/>
      <c r="R225" s="232">
        <f t="shared" si="25"/>
        <v>0</v>
      </c>
    </row>
    <row r="226" spans="1:18" s="29" customFormat="1" ht="36" hidden="1" customHeight="1">
      <c r="A226" s="133">
        <v>7350</v>
      </c>
      <c r="B226" s="112" t="s">
        <v>163</v>
      </c>
      <c r="C226" s="197"/>
      <c r="D226" s="197">
        <v>0</v>
      </c>
      <c r="E226" s="252"/>
      <c r="F226" s="252"/>
      <c r="G226" s="252"/>
      <c r="H226" s="232">
        <f t="shared" si="23"/>
        <v>0</v>
      </c>
      <c r="I226" s="252">
        <v>0</v>
      </c>
      <c r="J226" s="252"/>
      <c r="K226" s="252"/>
      <c r="L226" s="252"/>
      <c r="M226" s="232">
        <f t="shared" si="24"/>
        <v>0</v>
      </c>
      <c r="N226" s="252">
        <v>0</v>
      </c>
      <c r="O226" s="252"/>
      <c r="P226" s="252"/>
      <c r="Q226" s="252"/>
      <c r="R226" s="232">
        <f t="shared" si="25"/>
        <v>0</v>
      </c>
    </row>
    <row r="227" spans="1:18" s="29" customFormat="1" ht="24" hidden="1" customHeight="1">
      <c r="A227" s="132">
        <v>7400</v>
      </c>
      <c r="B227" s="108" t="s">
        <v>161</v>
      </c>
      <c r="C227" s="106">
        <v>0</v>
      </c>
      <c r="D227" s="106">
        <v>0</v>
      </c>
      <c r="E227" s="233">
        <f>SUM(E228:E229)</f>
        <v>0</v>
      </c>
      <c r="F227" s="233">
        <f>SUM(F228:F229)</f>
        <v>0</v>
      </c>
      <c r="G227" s="233">
        <f>SUM(G228:G229)</f>
        <v>0</v>
      </c>
      <c r="H227" s="232">
        <f t="shared" si="23"/>
        <v>0</v>
      </c>
      <c r="I227" s="233">
        <v>0</v>
      </c>
      <c r="J227" s="233">
        <f>SUM(J228:J229)</f>
        <v>0</v>
      </c>
      <c r="K227" s="233">
        <f>SUM(K228:K229)</f>
        <v>0</v>
      </c>
      <c r="L227" s="233">
        <f>SUM(L228:L229)</f>
        <v>0</v>
      </c>
      <c r="M227" s="232">
        <f t="shared" si="24"/>
        <v>0</v>
      </c>
      <c r="N227" s="233">
        <v>0</v>
      </c>
      <c r="O227" s="233">
        <f>SUM(O228:O229)</f>
        <v>0</v>
      </c>
      <c r="P227" s="233">
        <f>SUM(P228:P229)</f>
        <v>0</v>
      </c>
      <c r="Q227" s="233">
        <f>SUM(Q228:Q229)</f>
        <v>0</v>
      </c>
      <c r="R227" s="232">
        <f t="shared" si="25"/>
        <v>0</v>
      </c>
    </row>
    <row r="228" spans="1:18" s="29" customFormat="1" ht="24" hidden="1" customHeight="1">
      <c r="A228" s="133">
        <v>7460</v>
      </c>
      <c r="B228" s="108" t="s">
        <v>162</v>
      </c>
      <c r="C228" s="197"/>
      <c r="D228" s="197">
        <v>0</v>
      </c>
      <c r="E228" s="252"/>
      <c r="F228" s="252"/>
      <c r="G228" s="252"/>
      <c r="H228" s="232">
        <f t="shared" si="23"/>
        <v>0</v>
      </c>
      <c r="I228" s="252">
        <v>0</v>
      </c>
      <c r="J228" s="252"/>
      <c r="K228" s="252"/>
      <c r="L228" s="252"/>
      <c r="M228" s="232">
        <f t="shared" si="24"/>
        <v>0</v>
      </c>
      <c r="N228" s="252">
        <v>0</v>
      </c>
      <c r="O228" s="252"/>
      <c r="P228" s="252"/>
      <c r="Q228" s="252"/>
      <c r="R228" s="232">
        <f t="shared" si="25"/>
        <v>0</v>
      </c>
    </row>
    <row r="229" spans="1:18" s="29" customFormat="1" ht="48" hidden="1" customHeight="1">
      <c r="A229" s="133">
        <v>7470</v>
      </c>
      <c r="B229" s="112" t="s">
        <v>167</v>
      </c>
      <c r="C229" s="197"/>
      <c r="D229" s="197">
        <v>0</v>
      </c>
      <c r="E229" s="252"/>
      <c r="F229" s="252"/>
      <c r="G229" s="252"/>
      <c r="H229" s="232">
        <f t="shared" si="23"/>
        <v>0</v>
      </c>
      <c r="I229" s="252">
        <v>0</v>
      </c>
      <c r="J229" s="252"/>
      <c r="K229" s="252"/>
      <c r="L229" s="252"/>
      <c r="M229" s="232">
        <f t="shared" si="24"/>
        <v>0</v>
      </c>
      <c r="N229" s="252">
        <v>0</v>
      </c>
      <c r="O229" s="252"/>
      <c r="P229" s="252"/>
      <c r="Q229" s="252"/>
      <c r="R229" s="232">
        <f t="shared" si="25"/>
        <v>0</v>
      </c>
    </row>
    <row r="230" spans="1:18" s="29" customFormat="1" ht="24" hidden="1" customHeight="1">
      <c r="A230" s="132">
        <v>7500</v>
      </c>
      <c r="B230" s="112" t="s">
        <v>157</v>
      </c>
      <c r="C230" s="106"/>
      <c r="D230" s="106">
        <v>0</v>
      </c>
      <c r="E230" s="233"/>
      <c r="F230" s="233"/>
      <c r="G230" s="233"/>
      <c r="H230" s="232">
        <f t="shared" si="23"/>
        <v>0</v>
      </c>
      <c r="I230" s="233">
        <v>0</v>
      </c>
      <c r="J230" s="233"/>
      <c r="K230" s="233"/>
      <c r="L230" s="233"/>
      <c r="M230" s="232">
        <f t="shared" si="24"/>
        <v>0</v>
      </c>
      <c r="N230" s="233">
        <v>0</v>
      </c>
      <c r="O230" s="233"/>
      <c r="P230" s="233"/>
      <c r="Q230" s="233"/>
      <c r="R230" s="232">
        <f t="shared" si="25"/>
        <v>0</v>
      </c>
    </row>
    <row r="231" spans="1:18" s="29" customFormat="1" ht="12">
      <c r="A231" s="140" t="s">
        <v>133</v>
      </c>
      <c r="B231" s="100" t="s">
        <v>122</v>
      </c>
      <c r="C231" s="162">
        <v>1176</v>
      </c>
      <c r="D231" s="162">
        <v>0</v>
      </c>
      <c r="E231" s="254">
        <f>E232+E233</f>
        <v>0</v>
      </c>
      <c r="F231" s="254">
        <f>F232+F233</f>
        <v>0</v>
      </c>
      <c r="G231" s="254">
        <f>G232+G233</f>
        <v>0</v>
      </c>
      <c r="H231" s="232">
        <f t="shared" si="23"/>
        <v>0</v>
      </c>
      <c r="I231" s="254">
        <v>0</v>
      </c>
      <c r="J231" s="254">
        <f>J232+J233</f>
        <v>0</v>
      </c>
      <c r="K231" s="254">
        <f>K232+K233</f>
        <v>0</v>
      </c>
      <c r="L231" s="254">
        <f>L232+L233</f>
        <v>0</v>
      </c>
      <c r="M231" s="232">
        <f t="shared" si="24"/>
        <v>0</v>
      </c>
      <c r="N231" s="254">
        <v>0</v>
      </c>
      <c r="O231" s="254">
        <f>O232+O233</f>
        <v>0</v>
      </c>
      <c r="P231" s="254">
        <f>P232+P233</f>
        <v>0</v>
      </c>
      <c r="Q231" s="254">
        <f>Q232+Q233</f>
        <v>0</v>
      </c>
      <c r="R231" s="232">
        <f t="shared" si="25"/>
        <v>0</v>
      </c>
    </row>
    <row r="232" spans="1:18" s="29" customFormat="1" ht="12">
      <c r="A232" s="140">
        <v>5000</v>
      </c>
      <c r="B232" s="100" t="s">
        <v>123</v>
      </c>
      <c r="C232" s="106">
        <v>1176</v>
      </c>
      <c r="D232" s="106">
        <v>0</v>
      </c>
      <c r="E232" s="244"/>
      <c r="F232" s="244"/>
      <c r="G232" s="244"/>
      <c r="H232" s="232">
        <f t="shared" si="23"/>
        <v>0</v>
      </c>
      <c r="I232" s="233">
        <v>0</v>
      </c>
      <c r="J232" s="244"/>
      <c r="K232" s="244"/>
      <c r="L232" s="244"/>
      <c r="M232" s="232">
        <f t="shared" si="24"/>
        <v>0</v>
      </c>
      <c r="N232" s="233">
        <v>0</v>
      </c>
      <c r="O232" s="244"/>
      <c r="P232" s="244"/>
      <c r="Q232" s="244"/>
      <c r="R232" s="232">
        <f t="shared" si="25"/>
        <v>0</v>
      </c>
    </row>
    <row r="233" spans="1:18" s="29" customFormat="1" ht="12" hidden="1" customHeight="1">
      <c r="A233" s="140">
        <v>9000</v>
      </c>
      <c r="B233" s="115" t="s">
        <v>164</v>
      </c>
      <c r="C233" s="106">
        <v>0</v>
      </c>
      <c r="D233" s="106">
        <v>0</v>
      </c>
      <c r="E233" s="233">
        <f>E234+E240+E244+E247</f>
        <v>0</v>
      </c>
      <c r="F233" s="233">
        <f>F234+F240+F244+F247</f>
        <v>0</v>
      </c>
      <c r="G233" s="233">
        <f>G234+G240+G244+G247</f>
        <v>0</v>
      </c>
      <c r="H233" s="232">
        <f t="shared" si="23"/>
        <v>0</v>
      </c>
      <c r="I233" s="233">
        <v>0</v>
      </c>
      <c r="J233" s="233">
        <f>J234+J240+J244+J247</f>
        <v>0</v>
      </c>
      <c r="K233" s="233">
        <f>K234+K240+K244+K247</f>
        <v>0</v>
      </c>
      <c r="L233" s="233">
        <f>L234+L240+L244+L247</f>
        <v>0</v>
      </c>
      <c r="M233" s="232">
        <f t="shared" si="24"/>
        <v>0</v>
      </c>
      <c r="N233" s="233">
        <v>0</v>
      </c>
      <c r="O233" s="233">
        <f>O234+O240+O244+O247</f>
        <v>0</v>
      </c>
      <c r="P233" s="233">
        <f>P234+P240+P244+P247</f>
        <v>0</v>
      </c>
      <c r="Q233" s="233">
        <f>Q234+Q240+Q244+Q247</f>
        <v>0</v>
      </c>
      <c r="R233" s="232">
        <f t="shared" si="25"/>
        <v>0</v>
      </c>
    </row>
    <row r="234" spans="1:18" s="29" customFormat="1" ht="12" hidden="1" customHeight="1">
      <c r="A234" s="141">
        <v>9100</v>
      </c>
      <c r="B234" s="112" t="s">
        <v>124</v>
      </c>
      <c r="C234" s="106">
        <v>0</v>
      </c>
      <c r="D234" s="106">
        <v>0</v>
      </c>
      <c r="E234" s="233">
        <f>SUM(E235:E236)</f>
        <v>0</v>
      </c>
      <c r="F234" s="233">
        <f>SUM(F235:F236)</f>
        <v>0</v>
      </c>
      <c r="G234" s="233">
        <f>SUM(G235:G236)</f>
        <v>0</v>
      </c>
      <c r="H234" s="232">
        <f t="shared" si="23"/>
        <v>0</v>
      </c>
      <c r="I234" s="233">
        <v>0</v>
      </c>
      <c r="J234" s="233">
        <f>SUM(J235:J236)</f>
        <v>0</v>
      </c>
      <c r="K234" s="233">
        <f>SUM(K235:K236)</f>
        <v>0</v>
      </c>
      <c r="L234" s="233">
        <f>SUM(L235:L236)</f>
        <v>0</v>
      </c>
      <c r="M234" s="232">
        <f t="shared" si="24"/>
        <v>0</v>
      </c>
      <c r="N234" s="233">
        <v>0</v>
      </c>
      <c r="O234" s="233">
        <f>SUM(O235:O236)</f>
        <v>0</v>
      </c>
      <c r="P234" s="233">
        <f>SUM(P235:P236)</f>
        <v>0</v>
      </c>
      <c r="Q234" s="233">
        <f>SUM(Q235:Q236)</f>
        <v>0</v>
      </c>
      <c r="R234" s="232">
        <f t="shared" si="25"/>
        <v>0</v>
      </c>
    </row>
    <row r="235" spans="1:18" s="29" customFormat="1" ht="24" hidden="1" customHeight="1">
      <c r="A235" s="133" t="s">
        <v>125</v>
      </c>
      <c r="B235" s="112" t="s">
        <v>203</v>
      </c>
      <c r="C235" s="106"/>
      <c r="D235" s="106">
        <v>0</v>
      </c>
      <c r="E235" s="233"/>
      <c r="F235" s="233"/>
      <c r="G235" s="233"/>
      <c r="H235" s="232">
        <f t="shared" si="23"/>
        <v>0</v>
      </c>
      <c r="I235" s="233">
        <v>0</v>
      </c>
      <c r="J235" s="233"/>
      <c r="K235" s="233"/>
      <c r="L235" s="233"/>
      <c r="M235" s="232">
        <f t="shared" si="24"/>
        <v>0</v>
      </c>
      <c r="N235" s="233">
        <v>0</v>
      </c>
      <c r="O235" s="233"/>
      <c r="P235" s="233"/>
      <c r="Q235" s="233"/>
      <c r="R235" s="232">
        <f t="shared" si="25"/>
        <v>0</v>
      </c>
    </row>
    <row r="236" spans="1:18" s="29" customFormat="1" ht="24" hidden="1" customHeight="1">
      <c r="A236" s="133">
        <v>9140</v>
      </c>
      <c r="B236" s="112" t="s">
        <v>204</v>
      </c>
      <c r="C236" s="106">
        <v>0</v>
      </c>
      <c r="D236" s="106">
        <v>0</v>
      </c>
      <c r="E236" s="233">
        <f>SUM(E237:E239)</f>
        <v>0</v>
      </c>
      <c r="F236" s="233">
        <f>SUM(F237:F239)</f>
        <v>0</v>
      </c>
      <c r="G236" s="233">
        <f>SUM(G237:G239)</f>
        <v>0</v>
      </c>
      <c r="H236" s="232">
        <f t="shared" si="23"/>
        <v>0</v>
      </c>
      <c r="I236" s="233">
        <v>0</v>
      </c>
      <c r="J236" s="233">
        <f>SUM(J237:J239)</f>
        <v>0</v>
      </c>
      <c r="K236" s="233">
        <f>SUM(K237:K239)</f>
        <v>0</v>
      </c>
      <c r="L236" s="233">
        <f>SUM(L237:L239)</f>
        <v>0</v>
      </c>
      <c r="M236" s="232">
        <f t="shared" si="24"/>
        <v>0</v>
      </c>
      <c r="N236" s="233">
        <v>0</v>
      </c>
      <c r="O236" s="233">
        <f>SUM(O237:O239)</f>
        <v>0</v>
      </c>
      <c r="P236" s="233">
        <f>SUM(P237:P239)</f>
        <v>0</v>
      </c>
      <c r="Q236" s="233">
        <f>SUM(Q237:Q239)</f>
        <v>0</v>
      </c>
      <c r="R236" s="232">
        <f t="shared" si="25"/>
        <v>0</v>
      </c>
    </row>
    <row r="237" spans="1:18" s="29" customFormat="1" ht="36" hidden="1" customHeight="1">
      <c r="A237" s="134">
        <v>9141</v>
      </c>
      <c r="B237" s="108" t="s">
        <v>190</v>
      </c>
      <c r="C237" s="197"/>
      <c r="D237" s="197">
        <v>0</v>
      </c>
      <c r="E237" s="252"/>
      <c r="F237" s="252"/>
      <c r="G237" s="252"/>
      <c r="H237" s="232">
        <f t="shared" si="23"/>
        <v>0</v>
      </c>
      <c r="I237" s="252">
        <v>0</v>
      </c>
      <c r="J237" s="252"/>
      <c r="K237" s="252"/>
      <c r="L237" s="252"/>
      <c r="M237" s="232">
        <f t="shared" si="24"/>
        <v>0</v>
      </c>
      <c r="N237" s="252">
        <v>0</v>
      </c>
      <c r="O237" s="252"/>
      <c r="P237" s="252"/>
      <c r="Q237" s="252"/>
      <c r="R237" s="232">
        <f t="shared" si="25"/>
        <v>0</v>
      </c>
    </row>
    <row r="238" spans="1:18" s="29" customFormat="1" ht="36" hidden="1" customHeight="1">
      <c r="A238" s="134">
        <v>9142</v>
      </c>
      <c r="B238" s="108" t="s">
        <v>191</v>
      </c>
      <c r="C238" s="197"/>
      <c r="D238" s="197">
        <v>0</v>
      </c>
      <c r="E238" s="252"/>
      <c r="F238" s="252"/>
      <c r="G238" s="252"/>
      <c r="H238" s="232">
        <f t="shared" si="23"/>
        <v>0</v>
      </c>
      <c r="I238" s="252">
        <v>0</v>
      </c>
      <c r="J238" s="252"/>
      <c r="K238" s="252"/>
      <c r="L238" s="252"/>
      <c r="M238" s="232">
        <f t="shared" si="24"/>
        <v>0</v>
      </c>
      <c r="N238" s="252">
        <v>0</v>
      </c>
      <c r="O238" s="252"/>
      <c r="P238" s="252"/>
      <c r="Q238" s="252"/>
      <c r="R238" s="232">
        <f t="shared" si="25"/>
        <v>0</v>
      </c>
    </row>
    <row r="239" spans="1:18" s="29" customFormat="1" ht="24" hidden="1" customHeight="1">
      <c r="A239" s="134">
        <v>9149</v>
      </c>
      <c r="B239" s="108" t="s">
        <v>192</v>
      </c>
      <c r="C239" s="197"/>
      <c r="D239" s="197">
        <v>0</v>
      </c>
      <c r="E239" s="252"/>
      <c r="F239" s="252"/>
      <c r="G239" s="252"/>
      <c r="H239" s="232">
        <f t="shared" si="23"/>
        <v>0</v>
      </c>
      <c r="I239" s="252">
        <v>0</v>
      </c>
      <c r="J239" s="252"/>
      <c r="K239" s="252"/>
      <c r="L239" s="252"/>
      <c r="M239" s="232">
        <f t="shared" si="24"/>
        <v>0</v>
      </c>
      <c r="N239" s="252">
        <v>0</v>
      </c>
      <c r="O239" s="252"/>
      <c r="P239" s="252"/>
      <c r="Q239" s="252"/>
      <c r="R239" s="232">
        <f t="shared" si="25"/>
        <v>0</v>
      </c>
    </row>
    <row r="240" spans="1:18" s="29" customFormat="1" ht="24" hidden="1" customHeight="1">
      <c r="A240" s="141">
        <v>9500</v>
      </c>
      <c r="B240" s="108" t="s">
        <v>165</v>
      </c>
      <c r="C240" s="106">
        <v>0</v>
      </c>
      <c r="D240" s="106">
        <v>0</v>
      </c>
      <c r="E240" s="233">
        <f>SUM(E241:E243)</f>
        <v>0</v>
      </c>
      <c r="F240" s="233">
        <f>SUM(F241:F243)</f>
        <v>0</v>
      </c>
      <c r="G240" s="233">
        <f>SUM(G241:G243)</f>
        <v>0</v>
      </c>
      <c r="H240" s="232">
        <f t="shared" si="23"/>
        <v>0</v>
      </c>
      <c r="I240" s="233">
        <v>0</v>
      </c>
      <c r="J240" s="233">
        <f>SUM(J241:J243)</f>
        <v>0</v>
      </c>
      <c r="K240" s="233">
        <f>SUM(K241:K243)</f>
        <v>0</v>
      </c>
      <c r="L240" s="233">
        <f>SUM(L241:L243)</f>
        <v>0</v>
      </c>
      <c r="M240" s="232">
        <f t="shared" si="24"/>
        <v>0</v>
      </c>
      <c r="N240" s="233">
        <v>0</v>
      </c>
      <c r="O240" s="233">
        <f>SUM(O241:O243)</f>
        <v>0</v>
      </c>
      <c r="P240" s="233">
        <f>SUM(P241:P243)</f>
        <v>0</v>
      </c>
      <c r="Q240" s="233">
        <f>SUM(Q241:Q243)</f>
        <v>0</v>
      </c>
      <c r="R240" s="232">
        <f t="shared" si="25"/>
        <v>0</v>
      </c>
    </row>
    <row r="241" spans="1:18" s="29" customFormat="1" ht="24" hidden="1" customHeight="1">
      <c r="A241" s="133" t="s">
        <v>193</v>
      </c>
      <c r="B241" s="108" t="s">
        <v>171</v>
      </c>
      <c r="C241" s="106"/>
      <c r="D241" s="106">
        <v>0</v>
      </c>
      <c r="E241" s="233"/>
      <c r="F241" s="233"/>
      <c r="G241" s="233"/>
      <c r="H241" s="232">
        <f t="shared" si="23"/>
        <v>0</v>
      </c>
      <c r="I241" s="233">
        <v>0</v>
      </c>
      <c r="J241" s="233"/>
      <c r="K241" s="233"/>
      <c r="L241" s="233"/>
      <c r="M241" s="232">
        <f t="shared" si="24"/>
        <v>0</v>
      </c>
      <c r="N241" s="233">
        <v>0</v>
      </c>
      <c r="O241" s="233"/>
      <c r="P241" s="233"/>
      <c r="Q241" s="233"/>
      <c r="R241" s="232">
        <f t="shared" si="25"/>
        <v>0</v>
      </c>
    </row>
    <row r="242" spans="1:18" s="29" customFormat="1" ht="48" hidden="1" customHeight="1">
      <c r="A242" s="133">
        <v>9580</v>
      </c>
      <c r="B242" s="108" t="s">
        <v>166</v>
      </c>
      <c r="C242" s="197"/>
      <c r="D242" s="197">
        <v>0</v>
      </c>
      <c r="E242" s="252"/>
      <c r="F242" s="252"/>
      <c r="G242" s="252"/>
      <c r="H242" s="232">
        <f t="shared" si="23"/>
        <v>0</v>
      </c>
      <c r="I242" s="252">
        <v>0</v>
      </c>
      <c r="J242" s="252"/>
      <c r="K242" s="252"/>
      <c r="L242" s="252"/>
      <c r="M242" s="232">
        <f t="shared" si="24"/>
        <v>0</v>
      </c>
      <c r="N242" s="252">
        <v>0</v>
      </c>
      <c r="O242" s="252"/>
      <c r="P242" s="252"/>
      <c r="Q242" s="252"/>
      <c r="R242" s="232">
        <f t="shared" si="25"/>
        <v>0</v>
      </c>
    </row>
    <row r="243" spans="1:18" s="29" customFormat="1" ht="48" hidden="1" customHeight="1">
      <c r="A243" s="133">
        <v>9590</v>
      </c>
      <c r="B243" s="112" t="s">
        <v>172</v>
      </c>
      <c r="C243" s="197"/>
      <c r="D243" s="197">
        <v>0</v>
      </c>
      <c r="E243" s="252"/>
      <c r="F243" s="252"/>
      <c r="G243" s="252"/>
      <c r="H243" s="232">
        <f t="shared" si="23"/>
        <v>0</v>
      </c>
      <c r="I243" s="252">
        <v>0</v>
      </c>
      <c r="J243" s="252"/>
      <c r="K243" s="252"/>
      <c r="L243" s="252"/>
      <c r="M243" s="232">
        <f t="shared" si="24"/>
        <v>0</v>
      </c>
      <c r="N243" s="252">
        <v>0</v>
      </c>
      <c r="O243" s="252"/>
      <c r="P243" s="252"/>
      <c r="Q243" s="252"/>
      <c r="R243" s="232">
        <f t="shared" si="25"/>
        <v>0</v>
      </c>
    </row>
    <row r="244" spans="1:18" s="29" customFormat="1" ht="24" hidden="1" customHeight="1">
      <c r="A244" s="141">
        <v>9700</v>
      </c>
      <c r="B244" s="116" t="s">
        <v>194</v>
      </c>
      <c r="C244" s="106">
        <v>0</v>
      </c>
      <c r="D244" s="106">
        <v>0</v>
      </c>
      <c r="E244" s="233">
        <f>SUM(E245:E246)</f>
        <v>0</v>
      </c>
      <c r="F244" s="233">
        <f>SUM(F245:F246)</f>
        <v>0</v>
      </c>
      <c r="G244" s="233">
        <f>SUM(G245:G246)</f>
        <v>0</v>
      </c>
      <c r="H244" s="232">
        <f t="shared" si="23"/>
        <v>0</v>
      </c>
      <c r="I244" s="233">
        <v>0</v>
      </c>
      <c r="J244" s="233">
        <f>SUM(J245:J246)</f>
        <v>0</v>
      </c>
      <c r="K244" s="233">
        <f>SUM(K245:K246)</f>
        <v>0</v>
      </c>
      <c r="L244" s="233">
        <f>SUM(L245:L246)</f>
        <v>0</v>
      </c>
      <c r="M244" s="232">
        <f t="shared" si="24"/>
        <v>0</v>
      </c>
      <c r="N244" s="233">
        <v>0</v>
      </c>
      <c r="O244" s="233">
        <f>SUM(O245:O246)</f>
        <v>0</v>
      </c>
      <c r="P244" s="233">
        <f>SUM(P245:P246)</f>
        <v>0</v>
      </c>
      <c r="Q244" s="233">
        <f>SUM(Q245:Q246)</f>
        <v>0</v>
      </c>
      <c r="R244" s="232">
        <f t="shared" si="25"/>
        <v>0</v>
      </c>
    </row>
    <row r="245" spans="1:18" s="29" customFormat="1" ht="24" hidden="1" customHeight="1">
      <c r="A245" s="133">
        <v>9710</v>
      </c>
      <c r="B245" s="117" t="s">
        <v>195</v>
      </c>
      <c r="C245" s="197"/>
      <c r="D245" s="197">
        <v>0</v>
      </c>
      <c r="E245" s="252"/>
      <c r="F245" s="252"/>
      <c r="G245" s="252"/>
      <c r="H245" s="232">
        <f t="shared" si="23"/>
        <v>0</v>
      </c>
      <c r="I245" s="252">
        <v>0</v>
      </c>
      <c r="J245" s="252"/>
      <c r="K245" s="252"/>
      <c r="L245" s="252"/>
      <c r="M245" s="232">
        <f t="shared" si="24"/>
        <v>0</v>
      </c>
      <c r="N245" s="252">
        <v>0</v>
      </c>
      <c r="O245" s="252"/>
      <c r="P245" s="252"/>
      <c r="Q245" s="252"/>
      <c r="R245" s="232">
        <f t="shared" si="25"/>
        <v>0</v>
      </c>
    </row>
    <row r="246" spans="1:18" s="29" customFormat="1" ht="48" hidden="1" customHeight="1">
      <c r="A246" s="142">
        <v>9720</v>
      </c>
      <c r="B246" s="116" t="s">
        <v>196</v>
      </c>
      <c r="C246" s="197"/>
      <c r="D246" s="197">
        <v>0</v>
      </c>
      <c r="E246" s="252"/>
      <c r="F246" s="252"/>
      <c r="G246" s="252"/>
      <c r="H246" s="232">
        <f t="shared" si="23"/>
        <v>0</v>
      </c>
      <c r="I246" s="252">
        <v>0</v>
      </c>
      <c r="J246" s="252"/>
      <c r="K246" s="252"/>
      <c r="L246" s="252"/>
      <c r="M246" s="232">
        <f t="shared" si="24"/>
        <v>0</v>
      </c>
      <c r="N246" s="252">
        <v>0</v>
      </c>
      <c r="O246" s="252"/>
      <c r="P246" s="252"/>
      <c r="Q246" s="252"/>
      <c r="R246" s="232">
        <f t="shared" si="25"/>
        <v>0</v>
      </c>
    </row>
    <row r="247" spans="1:18" s="29" customFormat="1" ht="24" hidden="1" customHeight="1">
      <c r="A247" s="141">
        <v>9600</v>
      </c>
      <c r="B247" s="112" t="s">
        <v>134</v>
      </c>
      <c r="C247" s="197"/>
      <c r="D247" s="197">
        <v>0</v>
      </c>
      <c r="E247" s="252"/>
      <c r="F247" s="252"/>
      <c r="G247" s="252"/>
      <c r="H247" s="232">
        <f t="shared" si="23"/>
        <v>0</v>
      </c>
      <c r="I247" s="252">
        <v>0</v>
      </c>
      <c r="J247" s="252"/>
      <c r="K247" s="252"/>
      <c r="L247" s="252"/>
      <c r="M247" s="232">
        <f t="shared" si="24"/>
        <v>0</v>
      </c>
      <c r="N247" s="252">
        <v>0</v>
      </c>
      <c r="O247" s="252"/>
      <c r="P247" s="252"/>
      <c r="Q247" s="252"/>
      <c r="R247" s="232">
        <f t="shared" si="25"/>
        <v>0</v>
      </c>
    </row>
    <row r="248" spans="1:18" s="29" customFormat="1" ht="52.5" hidden="1" customHeight="1">
      <c r="A248" s="130" t="s">
        <v>197</v>
      </c>
      <c r="B248" s="118" t="s">
        <v>47</v>
      </c>
      <c r="C248" s="198"/>
      <c r="D248" s="198">
        <v>0</v>
      </c>
      <c r="E248" s="262">
        <f>E178-E203</f>
        <v>0</v>
      </c>
      <c r="F248" s="262">
        <f>F178-F203</f>
        <v>0</v>
      </c>
      <c r="G248" s="262">
        <f>G178-G203</f>
        <v>0</v>
      </c>
      <c r="H248" s="232">
        <f t="shared" si="23"/>
        <v>0</v>
      </c>
      <c r="I248" s="262">
        <v>0</v>
      </c>
      <c r="J248" s="262">
        <f>J178-J203</f>
        <v>0</v>
      </c>
      <c r="K248" s="262">
        <f>K178-K203</f>
        <v>0</v>
      </c>
      <c r="L248" s="262">
        <f>L178-L203</f>
        <v>0</v>
      </c>
      <c r="M248" s="232">
        <f t="shared" si="24"/>
        <v>0</v>
      </c>
      <c r="N248" s="262">
        <v>0</v>
      </c>
      <c r="O248" s="262">
        <f>O178-O203</f>
        <v>0</v>
      </c>
      <c r="P248" s="262">
        <f>P178-P203</f>
        <v>0</v>
      </c>
      <c r="Q248" s="262">
        <f>Q178-Q203</f>
        <v>0</v>
      </c>
      <c r="R248" s="232">
        <f t="shared" si="25"/>
        <v>0</v>
      </c>
    </row>
    <row r="249" spans="1:18" s="29" customFormat="1" ht="12" hidden="1" customHeight="1">
      <c r="A249" s="143" t="s">
        <v>48</v>
      </c>
      <c r="B249" s="118" t="s">
        <v>49</v>
      </c>
      <c r="C249" s="198">
        <v>0</v>
      </c>
      <c r="D249" s="198">
        <v>0</v>
      </c>
      <c r="E249" s="262">
        <f>E250+E253+E257+E256</f>
        <v>0</v>
      </c>
      <c r="F249" s="262">
        <f>F250+F253+F257+F256</f>
        <v>0</v>
      </c>
      <c r="G249" s="262">
        <f>G250+G253+G257+G256</f>
        <v>0</v>
      </c>
      <c r="H249" s="232">
        <f t="shared" si="23"/>
        <v>0</v>
      </c>
      <c r="I249" s="262">
        <v>0</v>
      </c>
      <c r="J249" s="262">
        <f>J250+J253+J257+J256</f>
        <v>0</v>
      </c>
      <c r="K249" s="262">
        <f>K250+K253+K257+K256</f>
        <v>0</v>
      </c>
      <c r="L249" s="262">
        <f>L250+L253+L257+L256</f>
        <v>0</v>
      </c>
      <c r="M249" s="232">
        <f t="shared" si="24"/>
        <v>0</v>
      </c>
      <c r="N249" s="262">
        <v>0</v>
      </c>
      <c r="O249" s="262">
        <f>O250+O253+O257+O256</f>
        <v>0</v>
      </c>
      <c r="P249" s="262">
        <f>P250+P253+P257+P256</f>
        <v>0</v>
      </c>
      <c r="Q249" s="262">
        <f>Q250+Q253+Q257+Q256</f>
        <v>0</v>
      </c>
      <c r="R249" s="232">
        <f t="shared" si="25"/>
        <v>0</v>
      </c>
    </row>
    <row r="250" spans="1:18" s="29" customFormat="1" ht="12" hidden="1" customHeight="1">
      <c r="A250" s="141" t="s">
        <v>50</v>
      </c>
      <c r="B250" s="112" t="s">
        <v>51</v>
      </c>
      <c r="C250" s="158">
        <v>0</v>
      </c>
      <c r="D250" s="158">
        <v>0</v>
      </c>
      <c r="E250" s="231">
        <f>E251+E252</f>
        <v>0</v>
      </c>
      <c r="F250" s="231">
        <f>F251+F252</f>
        <v>0</v>
      </c>
      <c r="G250" s="231">
        <f>G251+G252</f>
        <v>0</v>
      </c>
      <c r="H250" s="232">
        <f t="shared" si="23"/>
        <v>0</v>
      </c>
      <c r="I250" s="231">
        <v>0</v>
      </c>
      <c r="J250" s="231">
        <f>J251+J252</f>
        <v>0</v>
      </c>
      <c r="K250" s="231">
        <f>K251+K252</f>
        <v>0</v>
      </c>
      <c r="L250" s="231">
        <f>L251+L252</f>
        <v>0</v>
      </c>
      <c r="M250" s="232">
        <f t="shared" si="24"/>
        <v>0</v>
      </c>
      <c r="N250" s="231">
        <v>0</v>
      </c>
      <c r="O250" s="231">
        <f>O251+O252</f>
        <v>0</v>
      </c>
      <c r="P250" s="231">
        <f>P251+P252</f>
        <v>0</v>
      </c>
      <c r="Q250" s="231">
        <f>Q251+Q252</f>
        <v>0</v>
      </c>
      <c r="R250" s="232">
        <f t="shared" si="25"/>
        <v>0</v>
      </c>
    </row>
    <row r="251" spans="1:18" s="29" customFormat="1" ht="12" hidden="1" customHeight="1">
      <c r="A251" s="141" t="s">
        <v>52</v>
      </c>
      <c r="B251" s="112" t="s">
        <v>53</v>
      </c>
      <c r="C251" s="158"/>
      <c r="D251" s="158">
        <v>0</v>
      </c>
      <c r="E251" s="231"/>
      <c r="F251" s="231"/>
      <c r="G251" s="231"/>
      <c r="H251" s="232">
        <f t="shared" si="23"/>
        <v>0</v>
      </c>
      <c r="I251" s="231">
        <v>0</v>
      </c>
      <c r="J251" s="231"/>
      <c r="K251" s="231"/>
      <c r="L251" s="231"/>
      <c r="M251" s="232">
        <f t="shared" si="24"/>
        <v>0</v>
      </c>
      <c r="N251" s="231">
        <v>0</v>
      </c>
      <c r="O251" s="231"/>
      <c r="P251" s="231"/>
      <c r="Q251" s="231"/>
      <c r="R251" s="232">
        <f t="shared" si="25"/>
        <v>0</v>
      </c>
    </row>
    <row r="252" spans="1:18" s="29" customFormat="1" ht="12" hidden="1" customHeight="1">
      <c r="A252" s="141" t="s">
        <v>54</v>
      </c>
      <c r="B252" s="112" t="s">
        <v>55</v>
      </c>
      <c r="C252" s="158"/>
      <c r="D252" s="158">
        <v>0</v>
      </c>
      <c r="E252" s="231"/>
      <c r="F252" s="231"/>
      <c r="G252" s="231"/>
      <c r="H252" s="232">
        <f t="shared" si="23"/>
        <v>0</v>
      </c>
      <c r="I252" s="231">
        <v>0</v>
      </c>
      <c r="J252" s="231"/>
      <c r="K252" s="231"/>
      <c r="L252" s="231"/>
      <c r="M252" s="232">
        <f t="shared" si="24"/>
        <v>0</v>
      </c>
      <c r="N252" s="231">
        <v>0</v>
      </c>
      <c r="O252" s="231"/>
      <c r="P252" s="231"/>
      <c r="Q252" s="231"/>
      <c r="R252" s="232">
        <f t="shared" si="25"/>
        <v>0</v>
      </c>
    </row>
    <row r="253" spans="1:18" s="29" customFormat="1" ht="12" hidden="1" customHeight="1">
      <c r="A253" s="141" t="s">
        <v>56</v>
      </c>
      <c r="B253" s="112" t="s">
        <v>57</v>
      </c>
      <c r="C253" s="158">
        <v>0</v>
      </c>
      <c r="D253" s="158">
        <v>0</v>
      </c>
      <c r="E253" s="231">
        <f>E254+E255</f>
        <v>0</v>
      </c>
      <c r="F253" s="231">
        <f>F254+F255</f>
        <v>0</v>
      </c>
      <c r="G253" s="231">
        <f>G254+G255</f>
        <v>0</v>
      </c>
      <c r="H253" s="232">
        <f t="shared" si="23"/>
        <v>0</v>
      </c>
      <c r="I253" s="231">
        <v>0</v>
      </c>
      <c r="J253" s="231">
        <f>J254+J255</f>
        <v>0</v>
      </c>
      <c r="K253" s="231">
        <f>K254+K255</f>
        <v>0</v>
      </c>
      <c r="L253" s="231">
        <f>L254+L255</f>
        <v>0</v>
      </c>
      <c r="M253" s="232">
        <f t="shared" si="24"/>
        <v>0</v>
      </c>
      <c r="N253" s="231">
        <v>0</v>
      </c>
      <c r="O253" s="231">
        <f>O254+O255</f>
        <v>0</v>
      </c>
      <c r="P253" s="231">
        <f>P254+P255</f>
        <v>0</v>
      </c>
      <c r="Q253" s="231">
        <f>Q254+Q255</f>
        <v>0</v>
      </c>
      <c r="R253" s="232">
        <f t="shared" si="25"/>
        <v>0</v>
      </c>
    </row>
    <row r="254" spans="1:18" s="29" customFormat="1" ht="12" hidden="1" customHeight="1">
      <c r="A254" s="141" t="s">
        <v>58</v>
      </c>
      <c r="B254" s="112" t="s">
        <v>59</v>
      </c>
      <c r="C254" s="158"/>
      <c r="D254" s="158">
        <v>0</v>
      </c>
      <c r="E254" s="231"/>
      <c r="F254" s="231"/>
      <c r="G254" s="231"/>
      <c r="H254" s="232">
        <f t="shared" si="23"/>
        <v>0</v>
      </c>
      <c r="I254" s="231">
        <v>0</v>
      </c>
      <c r="J254" s="231"/>
      <c r="K254" s="231"/>
      <c r="L254" s="231"/>
      <c r="M254" s="232">
        <f t="shared" si="24"/>
        <v>0</v>
      </c>
      <c r="N254" s="231">
        <v>0</v>
      </c>
      <c r="O254" s="231"/>
      <c r="P254" s="231"/>
      <c r="Q254" s="231"/>
      <c r="R254" s="232">
        <f t="shared" si="25"/>
        <v>0</v>
      </c>
    </row>
    <row r="255" spans="1:18" s="29" customFormat="1" ht="12" hidden="1" customHeight="1">
      <c r="A255" s="141" t="s">
        <v>60</v>
      </c>
      <c r="B255" s="112" t="s">
        <v>61</v>
      </c>
      <c r="C255" s="158"/>
      <c r="D255" s="158">
        <v>0</v>
      </c>
      <c r="E255" s="231"/>
      <c r="F255" s="231"/>
      <c r="G255" s="231"/>
      <c r="H255" s="232">
        <f t="shared" si="23"/>
        <v>0</v>
      </c>
      <c r="I255" s="231">
        <v>0</v>
      </c>
      <c r="J255" s="231"/>
      <c r="K255" s="231"/>
      <c r="L255" s="231"/>
      <c r="M255" s="232">
        <f t="shared" si="24"/>
        <v>0</v>
      </c>
      <c r="N255" s="231">
        <v>0</v>
      </c>
      <c r="O255" s="231"/>
      <c r="P255" s="231"/>
      <c r="Q255" s="231"/>
      <c r="R255" s="232">
        <f t="shared" si="25"/>
        <v>0</v>
      </c>
    </row>
    <row r="256" spans="1:18" s="29" customFormat="1" ht="12" hidden="1" customHeight="1">
      <c r="A256" s="141" t="s">
        <v>198</v>
      </c>
      <c r="B256" s="120" t="s">
        <v>168</v>
      </c>
      <c r="C256" s="158"/>
      <c r="D256" s="158">
        <v>0</v>
      </c>
      <c r="E256" s="231"/>
      <c r="F256" s="231"/>
      <c r="G256" s="231"/>
      <c r="H256" s="232">
        <f t="shared" si="23"/>
        <v>0</v>
      </c>
      <c r="I256" s="231">
        <v>0</v>
      </c>
      <c r="J256" s="231"/>
      <c r="K256" s="231"/>
      <c r="L256" s="231"/>
      <c r="M256" s="232">
        <f t="shared" si="24"/>
        <v>0</v>
      </c>
      <c r="N256" s="231">
        <v>0</v>
      </c>
      <c r="O256" s="231"/>
      <c r="P256" s="231"/>
      <c r="Q256" s="231"/>
      <c r="R256" s="232">
        <f t="shared" si="25"/>
        <v>0</v>
      </c>
    </row>
    <row r="257" spans="1:18" s="29" customFormat="1" ht="12" hidden="1" customHeight="1">
      <c r="A257" s="144" t="s">
        <v>62</v>
      </c>
      <c r="B257" s="101" t="s">
        <v>63</v>
      </c>
      <c r="C257" s="106">
        <v>0</v>
      </c>
      <c r="D257" s="106">
        <v>0</v>
      </c>
      <c r="E257" s="233">
        <f>E258+E259+E260</f>
        <v>0</v>
      </c>
      <c r="F257" s="233">
        <f>F258+F259+F260</f>
        <v>0</v>
      </c>
      <c r="G257" s="233">
        <f>G258+G259+G260</f>
        <v>0</v>
      </c>
      <c r="H257" s="232">
        <f t="shared" si="23"/>
        <v>0</v>
      </c>
      <c r="I257" s="233">
        <v>0</v>
      </c>
      <c r="J257" s="233">
        <f>J258+J259+J260</f>
        <v>0</v>
      </c>
      <c r="K257" s="233">
        <f>K258+K259+K260</f>
        <v>0</v>
      </c>
      <c r="L257" s="233">
        <f>L258+L259+L260</f>
        <v>0</v>
      </c>
      <c r="M257" s="232">
        <f t="shared" si="24"/>
        <v>0</v>
      </c>
      <c r="N257" s="233">
        <v>0</v>
      </c>
      <c r="O257" s="233">
        <f>O258+O259+O260</f>
        <v>0</v>
      </c>
      <c r="P257" s="233">
        <f>P258+P259+P260</f>
        <v>0</v>
      </c>
      <c r="Q257" s="233">
        <f>Q258+Q259+Q260</f>
        <v>0</v>
      </c>
      <c r="R257" s="232">
        <f t="shared" si="25"/>
        <v>0</v>
      </c>
    </row>
    <row r="258" spans="1:18" s="29" customFormat="1" ht="36" hidden="1" customHeight="1">
      <c r="A258" s="144" t="s">
        <v>64</v>
      </c>
      <c r="B258" s="112" t="s">
        <v>65</v>
      </c>
      <c r="C258" s="158"/>
      <c r="D258" s="158">
        <v>0</v>
      </c>
      <c r="E258" s="231"/>
      <c r="F258" s="231"/>
      <c r="G258" s="231"/>
      <c r="H258" s="232">
        <f t="shared" si="23"/>
        <v>0</v>
      </c>
      <c r="I258" s="231">
        <v>0</v>
      </c>
      <c r="J258" s="231"/>
      <c r="K258" s="231"/>
      <c r="L258" s="231"/>
      <c r="M258" s="232">
        <f t="shared" si="24"/>
        <v>0</v>
      </c>
      <c r="N258" s="231">
        <v>0</v>
      </c>
      <c r="O258" s="231"/>
      <c r="P258" s="231"/>
      <c r="Q258" s="231"/>
      <c r="R258" s="232">
        <f t="shared" si="25"/>
        <v>0</v>
      </c>
    </row>
    <row r="259" spans="1:18" s="29" customFormat="1" ht="24" hidden="1" customHeight="1">
      <c r="A259" s="144" t="s">
        <v>66</v>
      </c>
      <c r="B259" s="112" t="s">
        <v>67</v>
      </c>
      <c r="C259" s="158"/>
      <c r="D259" s="158">
        <v>0</v>
      </c>
      <c r="E259" s="231"/>
      <c r="F259" s="231"/>
      <c r="G259" s="231"/>
      <c r="H259" s="232">
        <f t="shared" si="23"/>
        <v>0</v>
      </c>
      <c r="I259" s="231">
        <v>0</v>
      </c>
      <c r="J259" s="231"/>
      <c r="K259" s="231"/>
      <c r="L259" s="231"/>
      <c r="M259" s="232">
        <f t="shared" si="24"/>
        <v>0</v>
      </c>
      <c r="N259" s="231">
        <v>0</v>
      </c>
      <c r="O259" s="231"/>
      <c r="P259" s="231"/>
      <c r="Q259" s="231"/>
      <c r="R259" s="232">
        <f t="shared" si="25"/>
        <v>0</v>
      </c>
    </row>
    <row r="260" spans="1:18" s="29" customFormat="1" ht="24" hidden="1" customHeight="1">
      <c r="A260" s="144" t="s">
        <v>68</v>
      </c>
      <c r="B260" s="101" t="s">
        <v>69</v>
      </c>
      <c r="C260" s="158"/>
      <c r="D260" s="158">
        <v>0</v>
      </c>
      <c r="E260" s="231"/>
      <c r="F260" s="231"/>
      <c r="G260" s="231"/>
      <c r="H260" s="232">
        <f t="shared" si="23"/>
        <v>0</v>
      </c>
      <c r="I260" s="231">
        <v>0</v>
      </c>
      <c r="J260" s="231"/>
      <c r="K260" s="231"/>
      <c r="L260" s="231"/>
      <c r="M260" s="232">
        <f t="shared" si="24"/>
        <v>0</v>
      </c>
      <c r="N260" s="231">
        <v>0</v>
      </c>
      <c r="O260" s="231"/>
      <c r="P260" s="231"/>
      <c r="Q260" s="231"/>
      <c r="R260" s="232">
        <f t="shared" si="25"/>
        <v>0</v>
      </c>
    </row>
    <row r="261" spans="1:18" s="29" customFormat="1" ht="12">
      <c r="A261" s="271"/>
      <c r="B261" s="272"/>
      <c r="C261" s="253"/>
      <c r="D261" s="254"/>
      <c r="E261" s="253"/>
      <c r="F261" s="253"/>
      <c r="G261" s="253"/>
      <c r="H261" s="232"/>
      <c r="I261" s="254"/>
      <c r="J261" s="253"/>
      <c r="K261" s="253"/>
      <c r="L261" s="253"/>
      <c r="M261" s="232"/>
      <c r="N261" s="254"/>
      <c r="O261" s="253"/>
      <c r="P261" s="253"/>
      <c r="Q261" s="253"/>
      <c r="R261" s="232"/>
    </row>
    <row r="262" spans="1:18" ht="12">
      <c r="A262" s="33"/>
      <c r="B262" s="164"/>
      <c r="C262" s="165"/>
      <c r="D262" s="163"/>
      <c r="E262" s="165"/>
      <c r="F262" s="165"/>
      <c r="G262" s="165"/>
      <c r="H262" s="165"/>
      <c r="I262" s="165"/>
      <c r="J262" s="165"/>
      <c r="K262" s="165"/>
      <c r="L262" s="165"/>
      <c r="M262" s="165"/>
      <c r="N262" s="165"/>
      <c r="O262" s="165"/>
      <c r="P262" s="165"/>
      <c r="Q262" s="165"/>
      <c r="R262" s="165"/>
    </row>
    <row r="263" spans="1:18" ht="12">
      <c r="A263" s="33"/>
      <c r="B263" s="164"/>
      <c r="C263" s="165"/>
      <c r="D263" s="163"/>
      <c r="E263" s="165"/>
      <c r="F263" s="165"/>
      <c r="G263" s="165"/>
      <c r="H263" s="165"/>
      <c r="I263" s="165"/>
      <c r="J263" s="165"/>
      <c r="K263" s="165"/>
      <c r="L263" s="165"/>
      <c r="M263" s="165"/>
      <c r="N263" s="165"/>
      <c r="O263" s="165"/>
      <c r="P263" s="165"/>
      <c r="Q263" s="165"/>
      <c r="R263" s="165"/>
    </row>
    <row r="264" spans="1:18" ht="13.2">
      <c r="A264" s="369" t="s">
        <v>236</v>
      </c>
      <c r="B264" s="370" t="s">
        <v>237</v>
      </c>
      <c r="C264" s="165"/>
      <c r="D264" s="163"/>
      <c r="E264" s="165"/>
      <c r="F264" s="165"/>
      <c r="G264" s="165"/>
      <c r="H264" s="165"/>
      <c r="I264" s="165"/>
      <c r="J264" s="165"/>
      <c r="K264" s="165"/>
      <c r="L264" s="165"/>
      <c r="M264" s="165"/>
      <c r="N264" s="165"/>
      <c r="O264" s="165"/>
      <c r="P264" s="165"/>
      <c r="Q264" s="165"/>
      <c r="R264" s="165"/>
    </row>
    <row r="265" spans="1:18" ht="13.2">
      <c r="A265" s="371"/>
      <c r="B265" s="372" t="s">
        <v>238</v>
      </c>
      <c r="C265" s="165"/>
      <c r="D265" s="163"/>
      <c r="E265" s="165"/>
      <c r="F265" s="165"/>
      <c r="G265" s="165"/>
      <c r="H265" s="165"/>
      <c r="I265" s="165"/>
      <c r="J265" s="165"/>
      <c r="K265" s="165"/>
      <c r="L265" s="165"/>
      <c r="M265" s="165"/>
      <c r="N265" s="165"/>
      <c r="O265" s="165"/>
      <c r="P265" s="165"/>
      <c r="Q265" s="165"/>
      <c r="R265" s="165"/>
    </row>
    <row r="266" spans="1:18" ht="13.2">
      <c r="A266" s="373" t="s">
        <v>223</v>
      </c>
      <c r="B266" s="374" t="s">
        <v>434</v>
      </c>
      <c r="C266" s="165"/>
      <c r="D266" s="163"/>
      <c r="E266" s="165"/>
      <c r="F266" s="165"/>
      <c r="G266" s="165"/>
      <c r="H266" s="165"/>
      <c r="I266" s="165"/>
      <c r="J266" s="165"/>
      <c r="K266" s="165"/>
      <c r="L266" s="165"/>
      <c r="M266" s="165"/>
      <c r="N266" s="165"/>
      <c r="O266" s="165"/>
      <c r="P266" s="165"/>
      <c r="Q266" s="165"/>
      <c r="R266" s="165"/>
    </row>
    <row r="267" spans="1:18" ht="13.2">
      <c r="A267" s="375" t="s">
        <v>240</v>
      </c>
      <c r="B267" s="376" t="s">
        <v>241</v>
      </c>
      <c r="C267" s="165"/>
      <c r="D267" s="163"/>
      <c r="E267" s="165"/>
      <c r="F267" s="165"/>
      <c r="G267" s="165"/>
      <c r="H267" s="165"/>
      <c r="I267" s="165"/>
      <c r="J267" s="165"/>
      <c r="K267" s="165"/>
      <c r="L267" s="165"/>
      <c r="M267" s="165"/>
      <c r="N267" s="165"/>
      <c r="O267" s="165"/>
      <c r="P267" s="165"/>
      <c r="Q267" s="165"/>
      <c r="R267" s="165"/>
    </row>
    <row r="268" spans="1:18" ht="13.2">
      <c r="A268" s="377"/>
      <c r="B268" s="376"/>
      <c r="C268" s="165"/>
      <c r="D268" s="163"/>
      <c r="E268" s="165"/>
      <c r="F268" s="165"/>
      <c r="G268" s="165"/>
      <c r="H268" s="165"/>
      <c r="I268" s="165"/>
      <c r="J268" s="165"/>
      <c r="K268" s="165"/>
      <c r="L268" s="165"/>
      <c r="M268" s="165"/>
      <c r="N268" s="165"/>
      <c r="O268" s="165"/>
      <c r="P268" s="165"/>
      <c r="Q268" s="165"/>
      <c r="R268" s="165"/>
    </row>
    <row r="269" spans="1:18" ht="13.2">
      <c r="A269" s="378" t="s">
        <v>224</v>
      </c>
      <c r="B269" s="374" t="s">
        <v>242</v>
      </c>
      <c r="C269" s="165"/>
      <c r="D269" s="163"/>
      <c r="E269" s="165"/>
      <c r="F269" s="165"/>
      <c r="G269" s="165"/>
      <c r="H269" s="165"/>
      <c r="I269" s="165"/>
      <c r="J269" s="165"/>
      <c r="K269" s="165"/>
      <c r="L269" s="165"/>
      <c r="M269" s="165"/>
      <c r="N269" s="165"/>
      <c r="O269" s="165"/>
      <c r="P269" s="165"/>
      <c r="Q269" s="165"/>
      <c r="R269" s="165"/>
    </row>
    <row r="270" spans="1:18" ht="66">
      <c r="A270" s="375" t="s">
        <v>243</v>
      </c>
      <c r="B270" s="376" t="s">
        <v>409</v>
      </c>
      <c r="C270" s="165"/>
      <c r="D270" s="163"/>
      <c r="E270" s="165"/>
      <c r="F270" s="165">
        <v>3000</v>
      </c>
      <c r="G270" s="165"/>
      <c r="H270" s="165"/>
      <c r="I270" s="165"/>
      <c r="J270" s="165"/>
      <c r="K270" s="165">
        <v>3000</v>
      </c>
      <c r="L270" s="165"/>
      <c r="M270" s="165"/>
      <c r="N270" s="165"/>
      <c r="O270" s="165"/>
      <c r="P270" s="165"/>
      <c r="Q270" s="165"/>
      <c r="R270" s="165"/>
    </row>
    <row r="271" spans="1:18" ht="66">
      <c r="A271" s="375" t="s">
        <v>250</v>
      </c>
      <c r="B271" s="376" t="s">
        <v>410</v>
      </c>
      <c r="C271" s="165"/>
      <c r="D271" s="163"/>
      <c r="E271" s="165"/>
      <c r="F271" s="165">
        <v>105922</v>
      </c>
      <c r="G271" s="165"/>
      <c r="H271" s="165"/>
      <c r="I271" s="165"/>
      <c r="J271" s="165"/>
      <c r="K271" s="165">
        <v>105922</v>
      </c>
      <c r="L271" s="165"/>
      <c r="M271" s="165"/>
      <c r="N271" s="165"/>
      <c r="O271" s="165"/>
      <c r="P271" s="165">
        <v>105922</v>
      </c>
      <c r="Q271" s="165"/>
      <c r="R271" s="165"/>
    </row>
    <row r="272" spans="1:18" ht="52.8">
      <c r="A272" s="375">
        <v>2.2999999999999998</v>
      </c>
      <c r="B272" s="376" t="s">
        <v>411</v>
      </c>
      <c r="C272" s="165"/>
      <c r="D272" s="163"/>
      <c r="E272" s="165"/>
      <c r="F272" s="165">
        <v>757011</v>
      </c>
      <c r="G272" s="165"/>
      <c r="H272" s="165"/>
      <c r="I272" s="165"/>
      <c r="J272" s="165"/>
      <c r="K272" s="165">
        <v>30913</v>
      </c>
      <c r="L272" s="165"/>
      <c r="M272" s="165"/>
      <c r="N272" s="165"/>
      <c r="O272" s="165"/>
      <c r="P272" s="165"/>
      <c r="Q272" s="165"/>
      <c r="R272" s="165"/>
    </row>
    <row r="273" spans="1:18" ht="52.8">
      <c r="A273" s="375" t="s">
        <v>324</v>
      </c>
      <c r="B273" s="376" t="s">
        <v>568</v>
      </c>
      <c r="C273" s="165"/>
      <c r="D273" s="163"/>
      <c r="E273" s="165"/>
      <c r="F273" s="165"/>
      <c r="G273" s="165">
        <v>51940</v>
      </c>
      <c r="H273" s="165"/>
      <c r="I273" s="165"/>
      <c r="J273" s="165"/>
      <c r="K273" s="165"/>
      <c r="L273" s="165"/>
      <c r="M273" s="165"/>
      <c r="N273" s="165"/>
      <c r="O273" s="165"/>
      <c r="P273" s="165"/>
      <c r="Q273" s="165"/>
      <c r="R273" s="165"/>
    </row>
    <row r="274" spans="1:18" ht="66">
      <c r="A274" s="375" t="s">
        <v>326</v>
      </c>
      <c r="B274" s="376" t="s">
        <v>569</v>
      </c>
      <c r="C274" s="165"/>
      <c r="D274" s="163"/>
      <c r="E274" s="165"/>
      <c r="F274" s="165"/>
      <c r="G274" s="165">
        <v>4250</v>
      </c>
      <c r="H274" s="165"/>
      <c r="I274" s="165"/>
      <c r="J274" s="165"/>
      <c r="K274" s="165"/>
      <c r="L274" s="165">
        <v>4250</v>
      </c>
      <c r="M274" s="165"/>
      <c r="N274" s="165"/>
      <c r="O274" s="165"/>
      <c r="P274" s="165"/>
      <c r="Q274" s="165">
        <v>4250</v>
      </c>
      <c r="R274" s="165"/>
    </row>
    <row r="275" spans="1:18" ht="13.2">
      <c r="A275" s="369" t="s">
        <v>245</v>
      </c>
      <c r="B275" s="370" t="s">
        <v>140</v>
      </c>
      <c r="C275" s="165"/>
      <c r="D275" s="163"/>
      <c r="E275" s="165"/>
      <c r="F275" s="165"/>
      <c r="G275" s="165"/>
      <c r="H275" s="165"/>
      <c r="I275" s="165"/>
      <c r="J275" s="165"/>
      <c r="K275" s="165"/>
      <c r="L275" s="165"/>
      <c r="M275" s="165"/>
      <c r="N275" s="165"/>
      <c r="O275" s="165"/>
      <c r="P275" s="165"/>
      <c r="Q275" s="165"/>
      <c r="R275" s="165"/>
    </row>
    <row r="276" spans="1:18" ht="13.2">
      <c r="A276" s="371"/>
      <c r="B276" s="372" t="s">
        <v>238</v>
      </c>
      <c r="C276" s="165"/>
      <c r="D276" s="163"/>
      <c r="E276" s="165"/>
      <c r="F276" s="165"/>
      <c r="G276" s="165"/>
      <c r="H276" s="165"/>
      <c r="I276" s="165"/>
      <c r="J276" s="165"/>
      <c r="K276" s="165"/>
      <c r="L276" s="165"/>
      <c r="M276" s="165"/>
      <c r="N276" s="165"/>
      <c r="O276" s="165"/>
      <c r="P276" s="165"/>
      <c r="Q276" s="165"/>
      <c r="R276" s="165"/>
    </row>
    <row r="277" spans="1:18" ht="13.2">
      <c r="A277" s="373" t="s">
        <v>223</v>
      </c>
      <c r="B277" s="374" t="s">
        <v>434</v>
      </c>
      <c r="C277" s="165"/>
      <c r="D277" s="163"/>
      <c r="E277" s="165"/>
      <c r="F277" s="165"/>
      <c r="G277" s="165"/>
      <c r="H277" s="165"/>
      <c r="I277" s="165"/>
      <c r="J277" s="165"/>
      <c r="K277" s="165"/>
      <c r="L277" s="165"/>
      <c r="M277" s="165"/>
      <c r="N277" s="165"/>
      <c r="O277" s="165"/>
      <c r="P277" s="165"/>
      <c r="Q277" s="165"/>
      <c r="R277" s="165"/>
    </row>
    <row r="278" spans="1:18" ht="13.2">
      <c r="A278" s="375" t="s">
        <v>240</v>
      </c>
      <c r="B278" s="376" t="s">
        <v>241</v>
      </c>
      <c r="C278" s="165"/>
      <c r="D278" s="163"/>
      <c r="E278" s="165"/>
      <c r="F278" s="165"/>
      <c r="G278" s="165"/>
      <c r="H278" s="165"/>
      <c r="I278" s="165"/>
      <c r="J278" s="165"/>
      <c r="K278" s="165"/>
      <c r="L278" s="165"/>
      <c r="M278" s="165"/>
      <c r="N278" s="165"/>
      <c r="O278" s="165"/>
      <c r="P278" s="165"/>
      <c r="Q278" s="165"/>
      <c r="R278" s="165"/>
    </row>
    <row r="279" spans="1:18" ht="13.2">
      <c r="A279" s="377"/>
      <c r="B279" s="376"/>
      <c r="C279" s="165"/>
      <c r="D279" s="163"/>
      <c r="E279" s="165"/>
      <c r="F279" s="165"/>
      <c r="G279" s="165"/>
      <c r="H279" s="165"/>
      <c r="I279" s="165"/>
      <c r="J279" s="165"/>
      <c r="K279" s="165"/>
      <c r="L279" s="165"/>
      <c r="M279" s="165"/>
      <c r="N279" s="165"/>
      <c r="O279" s="165"/>
      <c r="P279" s="165"/>
      <c r="Q279" s="165"/>
      <c r="R279" s="165"/>
    </row>
    <row r="280" spans="1:18" ht="13.2">
      <c r="A280" s="378" t="s">
        <v>224</v>
      </c>
      <c r="B280" s="374" t="s">
        <v>242</v>
      </c>
      <c r="C280" s="165"/>
      <c r="D280" s="163"/>
      <c r="E280" s="165"/>
      <c r="F280" s="165"/>
      <c r="G280" s="165"/>
      <c r="H280" s="165"/>
      <c r="I280" s="165"/>
      <c r="J280" s="165"/>
      <c r="K280" s="165"/>
      <c r="L280" s="165"/>
      <c r="M280" s="165"/>
      <c r="N280" s="165"/>
      <c r="O280" s="165"/>
      <c r="P280" s="165"/>
      <c r="Q280" s="165"/>
      <c r="R280" s="165"/>
    </row>
    <row r="281" spans="1:18" ht="13.2">
      <c r="A281" s="375" t="s">
        <v>243</v>
      </c>
      <c r="B281" s="376" t="s">
        <v>244</v>
      </c>
      <c r="C281" s="165"/>
      <c r="D281" s="163"/>
      <c r="E281" s="165"/>
      <c r="F281" s="165"/>
      <c r="G281" s="165"/>
      <c r="H281" s="165"/>
      <c r="I281" s="165"/>
      <c r="J281" s="165"/>
      <c r="K281" s="165"/>
      <c r="L281" s="165"/>
      <c r="M281" s="165"/>
      <c r="N281" s="165"/>
      <c r="O281" s="165"/>
      <c r="P281" s="165"/>
      <c r="Q281" s="165"/>
      <c r="R281" s="165"/>
    </row>
    <row r="282" spans="1:18" ht="12">
      <c r="A282" s="33"/>
      <c r="B282" s="34"/>
      <c r="C282" s="165"/>
      <c r="D282" s="163"/>
      <c r="E282" s="165"/>
      <c r="F282" s="165"/>
      <c r="G282" s="165"/>
      <c r="H282" s="165"/>
      <c r="I282" s="165"/>
      <c r="J282" s="165"/>
      <c r="K282" s="165"/>
      <c r="L282" s="165"/>
      <c r="M282" s="165"/>
      <c r="N282" s="165"/>
      <c r="O282" s="165"/>
      <c r="P282" s="165"/>
      <c r="Q282" s="165"/>
      <c r="R282" s="165"/>
    </row>
    <row r="283" spans="1:18" ht="12">
      <c r="A283" s="33"/>
      <c r="B283" s="34"/>
      <c r="C283" s="165"/>
      <c r="D283" s="163"/>
      <c r="E283" s="165"/>
      <c r="F283" s="165"/>
      <c r="G283" s="165"/>
      <c r="H283" s="165"/>
      <c r="I283" s="165"/>
      <c r="J283" s="165"/>
      <c r="K283" s="165"/>
      <c r="L283" s="165"/>
      <c r="M283" s="165"/>
      <c r="N283" s="165"/>
      <c r="O283" s="165"/>
      <c r="P283" s="165"/>
      <c r="Q283" s="165"/>
      <c r="R283" s="165"/>
    </row>
    <row r="284" spans="1:18" ht="12">
      <c r="A284" s="33"/>
      <c r="B284" s="31"/>
      <c r="C284" s="165"/>
      <c r="D284" s="163"/>
      <c r="E284" s="165"/>
      <c r="F284" s="165"/>
      <c r="G284" s="165"/>
      <c r="H284" s="165"/>
      <c r="I284" s="165"/>
      <c r="J284" s="165"/>
      <c r="K284" s="165"/>
      <c r="L284" s="165"/>
      <c r="M284" s="165"/>
      <c r="N284" s="165"/>
      <c r="O284" s="165"/>
      <c r="P284" s="165"/>
      <c r="Q284" s="165"/>
      <c r="R284" s="165"/>
    </row>
    <row r="285" spans="1:18" ht="12">
      <c r="E285" s="165"/>
      <c r="F285" s="165"/>
      <c r="G285" s="165"/>
      <c r="H285" s="165"/>
      <c r="I285" s="165"/>
      <c r="J285" s="165"/>
      <c r="K285" s="165"/>
      <c r="L285" s="165"/>
      <c r="M285" s="165"/>
      <c r="N285" s="165"/>
      <c r="O285" s="165"/>
      <c r="P285" s="165"/>
      <c r="Q285" s="165"/>
      <c r="R285" s="165"/>
    </row>
    <row r="286" spans="1:18" ht="12">
      <c r="E286" s="165"/>
      <c r="F286" s="165"/>
      <c r="G286" s="165"/>
      <c r="H286" s="165"/>
      <c r="I286" s="165"/>
      <c r="J286" s="165"/>
      <c r="K286" s="165"/>
      <c r="L286" s="165"/>
      <c r="M286" s="165"/>
      <c r="N286" s="165"/>
      <c r="O286" s="165"/>
      <c r="P286" s="165"/>
      <c r="Q286" s="165"/>
      <c r="R286" s="165"/>
    </row>
    <row r="287" spans="1:18" ht="12">
      <c r="E287" s="165"/>
      <c r="F287" s="165"/>
      <c r="G287" s="165"/>
      <c r="H287" s="165"/>
      <c r="I287" s="165"/>
      <c r="J287" s="165"/>
      <c r="K287" s="165"/>
      <c r="L287" s="165"/>
      <c r="M287" s="165"/>
      <c r="N287" s="165"/>
      <c r="O287" s="165"/>
      <c r="P287" s="165"/>
      <c r="Q287" s="165"/>
      <c r="R287" s="165"/>
    </row>
    <row r="288" spans="1:18" ht="12">
      <c r="E288" s="165"/>
      <c r="F288" s="165"/>
      <c r="G288" s="165"/>
      <c r="H288" s="165"/>
      <c r="I288" s="165"/>
      <c r="J288" s="165"/>
      <c r="K288" s="165"/>
      <c r="L288" s="165"/>
      <c r="M288" s="165"/>
      <c r="N288" s="165"/>
      <c r="O288" s="165"/>
      <c r="P288" s="165"/>
      <c r="Q288" s="165"/>
      <c r="R288" s="165"/>
    </row>
    <row r="289" spans="5:18" ht="12">
      <c r="E289" s="165"/>
      <c r="F289" s="165"/>
      <c r="G289" s="165"/>
      <c r="H289" s="165"/>
      <c r="I289" s="165"/>
      <c r="J289" s="165"/>
      <c r="K289" s="165"/>
      <c r="L289" s="165"/>
      <c r="M289" s="165"/>
      <c r="N289" s="165"/>
      <c r="O289" s="165"/>
      <c r="P289" s="165"/>
      <c r="Q289" s="165"/>
      <c r="R289" s="165"/>
    </row>
    <row r="290" spans="5:18" ht="12">
      <c r="E290" s="165"/>
      <c r="F290" s="165"/>
      <c r="G290" s="165"/>
      <c r="H290" s="165"/>
      <c r="I290" s="165"/>
      <c r="J290" s="165"/>
      <c r="K290" s="165"/>
      <c r="L290" s="165"/>
      <c r="M290" s="165"/>
      <c r="N290" s="165"/>
      <c r="O290" s="165"/>
      <c r="P290" s="165"/>
      <c r="Q290" s="165"/>
      <c r="R290" s="165"/>
    </row>
    <row r="291" spans="5:18" ht="12">
      <c r="E291" s="165"/>
      <c r="F291" s="165"/>
      <c r="G291" s="165"/>
      <c r="H291" s="165"/>
      <c r="I291" s="165"/>
      <c r="J291" s="165"/>
      <c r="K291" s="165"/>
      <c r="L291" s="165"/>
      <c r="M291" s="165"/>
      <c r="N291" s="165"/>
      <c r="O291" s="165"/>
      <c r="P291" s="165"/>
      <c r="Q291" s="165"/>
      <c r="R291" s="165"/>
    </row>
    <row r="292" spans="5:18" ht="12">
      <c r="E292" s="165"/>
      <c r="F292" s="165"/>
      <c r="G292" s="165"/>
      <c r="H292" s="165"/>
      <c r="I292" s="165"/>
      <c r="J292" s="165"/>
      <c r="K292" s="165"/>
      <c r="L292" s="165"/>
      <c r="M292" s="165"/>
      <c r="N292" s="165"/>
      <c r="O292" s="165"/>
      <c r="P292" s="165"/>
      <c r="Q292" s="165"/>
      <c r="R292" s="165"/>
    </row>
    <row r="293" spans="5:18" ht="12">
      <c r="E293" s="165"/>
      <c r="F293" s="165"/>
      <c r="G293" s="165"/>
      <c r="H293" s="165"/>
      <c r="I293" s="165"/>
      <c r="J293" s="165"/>
      <c r="K293" s="165"/>
      <c r="L293" s="165"/>
      <c r="M293" s="165"/>
      <c r="N293" s="165"/>
      <c r="O293" s="165"/>
      <c r="P293" s="165"/>
      <c r="Q293" s="165"/>
      <c r="R293" s="165"/>
    </row>
    <row r="294" spans="5:18" ht="12">
      <c r="E294" s="165"/>
      <c r="F294" s="165"/>
      <c r="G294" s="165"/>
      <c r="H294" s="165"/>
      <c r="I294" s="165"/>
      <c r="J294" s="165"/>
      <c r="K294" s="165"/>
      <c r="L294" s="165"/>
      <c r="M294" s="165"/>
      <c r="N294" s="165"/>
      <c r="O294" s="165"/>
      <c r="P294" s="165"/>
      <c r="Q294" s="165"/>
      <c r="R294" s="165"/>
    </row>
    <row r="295" spans="5:18" ht="12">
      <c r="E295" s="165"/>
      <c r="F295" s="165"/>
      <c r="G295" s="165"/>
      <c r="H295" s="165"/>
      <c r="I295" s="165"/>
      <c r="J295" s="165"/>
      <c r="K295" s="165"/>
      <c r="L295" s="165"/>
      <c r="M295" s="165"/>
      <c r="N295" s="165"/>
      <c r="O295" s="165"/>
      <c r="P295" s="165"/>
      <c r="Q295" s="165"/>
      <c r="R295" s="165"/>
    </row>
    <row r="296" spans="5:18" ht="12">
      <c r="E296" s="165"/>
      <c r="F296" s="165"/>
      <c r="G296" s="165"/>
      <c r="H296" s="165"/>
      <c r="I296" s="165"/>
      <c r="J296" s="165"/>
      <c r="K296" s="165"/>
      <c r="L296" s="165"/>
      <c r="M296" s="165"/>
      <c r="N296" s="165"/>
      <c r="O296" s="165"/>
      <c r="P296" s="165"/>
      <c r="Q296" s="165"/>
      <c r="R296" s="165"/>
    </row>
    <row r="297" spans="5:18" ht="12">
      <c r="E297" s="165"/>
      <c r="F297" s="165"/>
      <c r="G297" s="165"/>
      <c r="H297" s="165"/>
      <c r="I297" s="165"/>
      <c r="J297" s="165"/>
      <c r="K297" s="165"/>
      <c r="L297" s="165"/>
      <c r="M297" s="165"/>
      <c r="N297" s="165"/>
      <c r="O297" s="165"/>
      <c r="P297" s="165"/>
      <c r="Q297" s="165"/>
      <c r="R297" s="165"/>
    </row>
    <row r="298" spans="5:18" ht="12">
      <c r="E298" s="165"/>
      <c r="F298" s="165"/>
      <c r="G298" s="165"/>
      <c r="H298" s="165"/>
      <c r="I298" s="165"/>
      <c r="J298" s="165"/>
      <c r="K298" s="165"/>
      <c r="L298" s="165"/>
      <c r="M298" s="165"/>
      <c r="N298" s="165"/>
      <c r="O298" s="165"/>
      <c r="P298" s="165"/>
      <c r="Q298" s="165"/>
      <c r="R298" s="165"/>
    </row>
    <row r="299" spans="5:18" ht="12">
      <c r="E299" s="165"/>
      <c r="F299" s="165"/>
      <c r="G299" s="165"/>
      <c r="H299" s="165"/>
      <c r="I299" s="165"/>
      <c r="J299" s="165"/>
      <c r="K299" s="165"/>
      <c r="L299" s="165"/>
      <c r="M299" s="165"/>
      <c r="N299" s="165"/>
      <c r="O299" s="165"/>
      <c r="P299" s="165"/>
      <c r="Q299" s="165"/>
      <c r="R299" s="165"/>
    </row>
    <row r="300" spans="5:18" ht="12">
      <c r="E300" s="165"/>
      <c r="F300" s="165"/>
      <c r="G300" s="165"/>
      <c r="H300" s="165"/>
      <c r="I300" s="165"/>
      <c r="J300" s="165"/>
      <c r="K300" s="165"/>
      <c r="L300" s="165"/>
      <c r="M300" s="165"/>
      <c r="N300" s="165"/>
      <c r="O300" s="165"/>
      <c r="P300" s="165"/>
      <c r="Q300" s="165"/>
      <c r="R300" s="165"/>
    </row>
    <row r="301" spans="5:18" ht="12">
      <c r="E301" s="165"/>
      <c r="F301" s="165"/>
      <c r="G301" s="165"/>
      <c r="H301" s="165"/>
      <c r="I301" s="165"/>
      <c r="J301" s="165"/>
      <c r="K301" s="165"/>
      <c r="L301" s="165"/>
      <c r="M301" s="165"/>
      <c r="N301" s="165"/>
      <c r="O301" s="165"/>
      <c r="P301" s="165"/>
      <c r="Q301" s="165"/>
      <c r="R301" s="165"/>
    </row>
    <row r="302" spans="5:18" ht="12">
      <c r="E302" s="165"/>
      <c r="F302" s="165"/>
      <c r="G302" s="165"/>
      <c r="H302" s="165"/>
      <c r="I302" s="165"/>
      <c r="J302" s="165"/>
      <c r="K302" s="165"/>
      <c r="L302" s="165"/>
      <c r="M302" s="165"/>
      <c r="N302" s="165"/>
      <c r="O302" s="165"/>
      <c r="P302" s="165"/>
      <c r="Q302" s="165"/>
      <c r="R302" s="165"/>
    </row>
    <row r="303" spans="5:18" ht="12">
      <c r="E303" s="165"/>
      <c r="F303" s="165"/>
      <c r="G303" s="165"/>
      <c r="H303" s="165"/>
      <c r="I303" s="165"/>
      <c r="J303" s="165"/>
      <c r="K303" s="165"/>
      <c r="L303" s="165"/>
      <c r="M303" s="165"/>
      <c r="N303" s="165"/>
      <c r="O303" s="165"/>
      <c r="P303" s="165"/>
      <c r="Q303" s="165"/>
      <c r="R303" s="165"/>
    </row>
    <row r="304" spans="5:18" ht="12">
      <c r="E304" s="165"/>
      <c r="F304" s="165"/>
      <c r="G304" s="165"/>
      <c r="H304" s="165"/>
      <c r="I304" s="165"/>
      <c r="J304" s="165"/>
      <c r="K304" s="165"/>
      <c r="L304" s="165"/>
      <c r="M304" s="165"/>
      <c r="N304" s="165"/>
      <c r="O304" s="165"/>
      <c r="P304" s="165"/>
      <c r="Q304" s="165"/>
      <c r="R304" s="165"/>
    </row>
    <row r="305" spans="5:18" ht="12">
      <c r="E305" s="165"/>
      <c r="F305" s="165"/>
      <c r="G305" s="165"/>
      <c r="H305" s="165"/>
      <c r="I305" s="165"/>
      <c r="J305" s="165"/>
      <c r="K305" s="165"/>
      <c r="L305" s="165"/>
      <c r="M305" s="165"/>
      <c r="N305" s="165"/>
      <c r="O305" s="165"/>
      <c r="P305" s="165"/>
      <c r="Q305" s="165"/>
      <c r="R305" s="165"/>
    </row>
    <row r="306" spans="5:18" ht="12">
      <c r="E306" s="165"/>
      <c r="F306" s="165"/>
      <c r="G306" s="165"/>
      <c r="H306" s="165"/>
      <c r="I306" s="165"/>
      <c r="J306" s="165"/>
      <c r="K306" s="165"/>
      <c r="L306" s="165"/>
      <c r="M306" s="165"/>
      <c r="N306" s="165"/>
      <c r="O306" s="165"/>
      <c r="P306" s="165"/>
      <c r="Q306" s="165"/>
      <c r="R306" s="165"/>
    </row>
    <row r="307" spans="5:18" ht="12">
      <c r="E307" s="165"/>
      <c r="F307" s="165"/>
      <c r="G307" s="165"/>
      <c r="H307" s="165"/>
      <c r="I307" s="165"/>
      <c r="J307" s="165"/>
      <c r="K307" s="165"/>
      <c r="L307" s="165"/>
      <c r="M307" s="165"/>
      <c r="N307" s="165"/>
      <c r="O307" s="165"/>
      <c r="P307" s="165"/>
      <c r="Q307" s="165"/>
      <c r="R307" s="165"/>
    </row>
    <row r="308" spans="5:18" ht="12">
      <c r="E308" s="165"/>
      <c r="F308" s="165"/>
      <c r="G308" s="165"/>
      <c r="H308" s="165"/>
      <c r="I308" s="165"/>
      <c r="J308" s="165"/>
      <c r="K308" s="165"/>
      <c r="L308" s="165"/>
      <c r="M308" s="165"/>
      <c r="N308" s="165"/>
      <c r="O308" s="165"/>
      <c r="P308" s="165"/>
      <c r="Q308" s="165"/>
      <c r="R308" s="165"/>
    </row>
    <row r="309" spans="5:18" ht="12">
      <c r="E309" s="165"/>
      <c r="F309" s="165"/>
      <c r="G309" s="165"/>
      <c r="H309" s="165"/>
      <c r="I309" s="165"/>
      <c r="J309" s="165"/>
      <c r="K309" s="165"/>
      <c r="L309" s="165"/>
      <c r="M309" s="165"/>
      <c r="N309" s="165"/>
      <c r="O309" s="165"/>
      <c r="P309" s="165"/>
      <c r="Q309" s="165"/>
      <c r="R309" s="165"/>
    </row>
    <row r="310" spans="5:18" ht="12">
      <c r="E310" s="165"/>
      <c r="F310" s="165"/>
      <c r="G310" s="165"/>
      <c r="H310" s="165"/>
      <c r="I310" s="165"/>
      <c r="J310" s="165"/>
      <c r="K310" s="165"/>
      <c r="L310" s="165"/>
      <c r="M310" s="165"/>
      <c r="N310" s="165"/>
      <c r="O310" s="165"/>
      <c r="P310" s="165"/>
      <c r="Q310" s="165"/>
      <c r="R310" s="165"/>
    </row>
    <row r="311" spans="5:18" ht="12">
      <c r="E311" s="165"/>
      <c r="F311" s="165"/>
      <c r="G311" s="165"/>
      <c r="H311" s="165"/>
      <c r="I311" s="165"/>
      <c r="J311" s="165"/>
      <c r="K311" s="165"/>
      <c r="L311" s="165"/>
      <c r="M311" s="165"/>
      <c r="N311" s="165"/>
      <c r="O311" s="165"/>
      <c r="P311" s="165"/>
      <c r="Q311" s="165"/>
      <c r="R311" s="165"/>
    </row>
    <row r="312" spans="5:18" ht="12">
      <c r="E312" s="165"/>
      <c r="F312" s="165"/>
      <c r="G312" s="165"/>
      <c r="H312" s="165"/>
      <c r="I312" s="165"/>
      <c r="J312" s="165"/>
      <c r="K312" s="165"/>
      <c r="L312" s="165"/>
      <c r="M312" s="165"/>
      <c r="N312" s="165"/>
      <c r="O312" s="165"/>
      <c r="P312" s="165"/>
      <c r="Q312" s="165"/>
      <c r="R312" s="165"/>
    </row>
    <row r="313" spans="5:18" ht="12">
      <c r="E313" s="165"/>
      <c r="F313" s="165"/>
      <c r="G313" s="165"/>
      <c r="H313" s="165"/>
      <c r="I313" s="165"/>
      <c r="J313" s="165"/>
      <c r="K313" s="165"/>
      <c r="L313" s="165"/>
      <c r="M313" s="165"/>
      <c r="N313" s="165"/>
      <c r="O313" s="165"/>
      <c r="P313" s="165"/>
      <c r="Q313" s="165"/>
      <c r="R313" s="165"/>
    </row>
    <row r="314" spans="5:18" ht="12">
      <c r="E314" s="165"/>
      <c r="F314" s="165"/>
      <c r="G314" s="165"/>
      <c r="H314" s="165"/>
      <c r="I314" s="165"/>
      <c r="J314" s="165"/>
      <c r="K314" s="165"/>
      <c r="L314" s="165"/>
      <c r="M314" s="165"/>
      <c r="N314" s="165"/>
      <c r="O314" s="165"/>
      <c r="P314" s="165"/>
      <c r="Q314" s="165"/>
      <c r="R314" s="165"/>
    </row>
    <row r="315" spans="5:18" ht="12">
      <c r="E315" s="165"/>
      <c r="F315" s="165"/>
      <c r="G315" s="165"/>
      <c r="H315" s="165"/>
      <c r="I315" s="165"/>
      <c r="J315" s="165"/>
      <c r="K315" s="165"/>
      <c r="L315" s="165"/>
      <c r="M315" s="165"/>
      <c r="N315" s="165"/>
      <c r="O315" s="165"/>
      <c r="P315" s="165"/>
      <c r="Q315" s="165"/>
      <c r="R315" s="165"/>
    </row>
    <row r="316" spans="5:18" ht="12">
      <c r="E316" s="165"/>
      <c r="F316" s="165"/>
      <c r="G316" s="165"/>
      <c r="H316" s="165"/>
      <c r="I316" s="165"/>
      <c r="J316" s="165"/>
      <c r="K316" s="165"/>
      <c r="L316" s="165"/>
      <c r="M316" s="165"/>
      <c r="N316" s="165"/>
      <c r="O316" s="165"/>
      <c r="P316" s="165"/>
      <c r="Q316" s="165"/>
      <c r="R316" s="165"/>
    </row>
    <row r="317" spans="5:18" ht="12">
      <c r="E317" s="165"/>
      <c r="F317" s="165"/>
      <c r="G317" s="165"/>
      <c r="H317" s="165"/>
      <c r="I317" s="165"/>
      <c r="J317" s="165"/>
      <c r="K317" s="165"/>
      <c r="L317" s="165"/>
      <c r="M317" s="165"/>
      <c r="N317" s="165"/>
      <c r="O317" s="165"/>
      <c r="P317" s="165"/>
      <c r="Q317" s="165"/>
      <c r="R317" s="165"/>
    </row>
    <row r="318" spans="5:18" ht="12">
      <c r="E318" s="165"/>
      <c r="F318" s="165"/>
      <c r="G318" s="165"/>
      <c r="H318" s="165"/>
      <c r="I318" s="165"/>
      <c r="J318" s="165"/>
      <c r="K318" s="165"/>
      <c r="L318" s="165"/>
      <c r="M318" s="165"/>
      <c r="N318" s="165"/>
      <c r="O318" s="165"/>
      <c r="P318" s="165"/>
      <c r="Q318" s="165"/>
      <c r="R318" s="165"/>
    </row>
    <row r="319" spans="5:18" ht="12">
      <c r="E319" s="165"/>
      <c r="F319" s="165"/>
      <c r="G319" s="165"/>
      <c r="H319" s="165"/>
      <c r="I319" s="165"/>
      <c r="J319" s="165"/>
      <c r="K319" s="165"/>
      <c r="L319" s="165"/>
      <c r="M319" s="165"/>
      <c r="N319" s="165"/>
      <c r="O319" s="165"/>
      <c r="P319" s="165"/>
      <c r="Q319" s="165"/>
      <c r="R319" s="165"/>
    </row>
    <row r="320" spans="5:18" ht="12">
      <c r="E320" s="165"/>
      <c r="F320" s="165"/>
      <c r="G320" s="165"/>
      <c r="H320" s="165"/>
      <c r="I320" s="165"/>
      <c r="J320" s="165"/>
      <c r="K320" s="165"/>
      <c r="L320" s="165"/>
      <c r="M320" s="165"/>
      <c r="N320" s="165"/>
      <c r="O320" s="165"/>
      <c r="P320" s="165"/>
      <c r="Q320" s="165"/>
      <c r="R320" s="165"/>
    </row>
    <row r="321" spans="5:18" ht="12">
      <c r="E321" s="165"/>
      <c r="F321" s="165"/>
      <c r="G321" s="165"/>
      <c r="H321" s="165"/>
      <c r="I321" s="165"/>
      <c r="J321" s="165"/>
      <c r="K321" s="165"/>
      <c r="L321" s="165"/>
      <c r="M321" s="165"/>
      <c r="N321" s="165"/>
      <c r="O321" s="165"/>
      <c r="P321" s="165"/>
      <c r="Q321" s="165"/>
      <c r="R321" s="165"/>
    </row>
    <row r="322" spans="5:18" ht="12">
      <c r="E322" s="165"/>
      <c r="F322" s="165"/>
      <c r="G322" s="165"/>
      <c r="H322" s="165"/>
      <c r="I322" s="165"/>
      <c r="J322" s="165"/>
      <c r="K322" s="165"/>
      <c r="L322" s="165"/>
      <c r="M322" s="165"/>
      <c r="N322" s="165"/>
      <c r="O322" s="165"/>
      <c r="P322" s="165"/>
      <c r="Q322" s="165"/>
      <c r="R322" s="165"/>
    </row>
    <row r="323" spans="5:18" ht="12">
      <c r="E323" s="165"/>
      <c r="F323" s="165"/>
      <c r="G323" s="165"/>
      <c r="H323" s="165"/>
      <c r="I323" s="165"/>
      <c r="J323" s="165"/>
      <c r="K323" s="165"/>
      <c r="L323" s="165"/>
      <c r="M323" s="165"/>
      <c r="N323" s="165"/>
      <c r="O323" s="165"/>
      <c r="P323" s="165"/>
      <c r="Q323" s="165"/>
      <c r="R323" s="165"/>
    </row>
    <row r="324" spans="5:18" ht="12">
      <c r="E324" s="165"/>
      <c r="F324" s="165"/>
      <c r="G324" s="165"/>
      <c r="H324" s="165"/>
      <c r="I324" s="165"/>
      <c r="J324" s="165"/>
      <c r="K324" s="165"/>
      <c r="L324" s="165"/>
      <c r="M324" s="165"/>
      <c r="N324" s="165"/>
      <c r="O324" s="165"/>
      <c r="P324" s="165"/>
      <c r="Q324" s="165"/>
      <c r="R324" s="165"/>
    </row>
    <row r="325" spans="5:18" ht="12">
      <c r="E325" s="165"/>
      <c r="F325" s="165"/>
      <c r="G325" s="165"/>
      <c r="H325" s="165"/>
      <c r="I325" s="165"/>
      <c r="J325" s="165"/>
      <c r="K325" s="165"/>
      <c r="L325" s="165"/>
      <c r="M325" s="165"/>
      <c r="N325" s="165"/>
      <c r="O325" s="165"/>
      <c r="P325" s="165"/>
      <c r="Q325" s="165"/>
      <c r="R325" s="165"/>
    </row>
    <row r="326" spans="5:18" ht="12">
      <c r="E326" s="165"/>
      <c r="F326" s="165"/>
      <c r="G326" s="165"/>
      <c r="H326" s="165"/>
      <c r="I326" s="165"/>
      <c r="J326" s="165"/>
      <c r="K326" s="165"/>
      <c r="L326" s="165"/>
      <c r="M326" s="165"/>
      <c r="N326" s="165"/>
      <c r="O326" s="165"/>
      <c r="P326" s="165"/>
      <c r="Q326" s="165"/>
      <c r="R326" s="165"/>
    </row>
    <row r="327" spans="5:18" ht="12">
      <c r="E327" s="165"/>
      <c r="F327" s="165"/>
      <c r="G327" s="165"/>
      <c r="H327" s="165"/>
      <c r="I327" s="165"/>
      <c r="J327" s="165"/>
      <c r="K327" s="165"/>
      <c r="L327" s="165"/>
      <c r="M327" s="165"/>
      <c r="N327" s="165"/>
      <c r="O327" s="165"/>
      <c r="P327" s="165"/>
      <c r="Q327" s="165"/>
      <c r="R327" s="165"/>
    </row>
    <row r="328" spans="5:18" ht="12">
      <c r="E328" s="165"/>
      <c r="F328" s="165"/>
      <c r="G328" s="165"/>
      <c r="H328" s="165"/>
      <c r="I328" s="165"/>
      <c r="J328" s="165"/>
      <c r="K328" s="165"/>
      <c r="L328" s="165"/>
      <c r="M328" s="165"/>
      <c r="N328" s="165"/>
      <c r="O328" s="165"/>
      <c r="P328" s="165"/>
      <c r="Q328" s="165"/>
      <c r="R328" s="165"/>
    </row>
    <row r="329" spans="5:18" ht="12">
      <c r="E329" s="165"/>
      <c r="F329" s="165"/>
      <c r="G329" s="165"/>
      <c r="H329" s="165"/>
      <c r="I329" s="165"/>
      <c r="J329" s="165"/>
      <c r="K329" s="165"/>
      <c r="L329" s="165"/>
      <c r="M329" s="165"/>
      <c r="N329" s="165"/>
      <c r="O329" s="165"/>
      <c r="P329" s="165"/>
      <c r="Q329" s="165"/>
      <c r="R329" s="165"/>
    </row>
    <row r="330" spans="5:18" ht="12">
      <c r="E330" s="165"/>
      <c r="F330" s="165"/>
      <c r="G330" s="165"/>
      <c r="H330" s="165"/>
      <c r="I330" s="165"/>
      <c r="J330" s="165"/>
      <c r="K330" s="165"/>
      <c r="L330" s="165"/>
      <c r="M330" s="165"/>
      <c r="N330" s="165"/>
      <c r="O330" s="165"/>
      <c r="P330" s="165"/>
      <c r="Q330" s="165"/>
      <c r="R330" s="165"/>
    </row>
    <row r="331" spans="5:18" ht="12">
      <c r="E331" s="165"/>
      <c r="F331" s="165"/>
      <c r="G331" s="165"/>
      <c r="H331" s="165"/>
      <c r="I331" s="165"/>
      <c r="J331" s="165"/>
      <c r="K331" s="165"/>
      <c r="L331" s="165"/>
      <c r="M331" s="165"/>
      <c r="N331" s="165"/>
      <c r="O331" s="165"/>
      <c r="P331" s="165"/>
      <c r="Q331" s="165"/>
      <c r="R331" s="165"/>
    </row>
    <row r="332" spans="5:18" ht="12">
      <c r="E332" s="165"/>
      <c r="F332" s="165"/>
      <c r="G332" s="165"/>
      <c r="H332" s="165"/>
      <c r="I332" s="165"/>
      <c r="J332" s="165"/>
      <c r="K332" s="165"/>
      <c r="L332" s="165"/>
      <c r="M332" s="165"/>
      <c r="N332" s="165"/>
      <c r="O332" s="165"/>
      <c r="P332" s="165"/>
      <c r="Q332" s="165"/>
      <c r="R332" s="165"/>
    </row>
    <row r="333" spans="5:18" ht="12">
      <c r="E333" s="165"/>
      <c r="F333" s="165"/>
      <c r="G333" s="165"/>
      <c r="H333" s="165"/>
      <c r="I333" s="165"/>
      <c r="J333" s="165"/>
      <c r="K333" s="165"/>
      <c r="L333" s="165"/>
      <c r="M333" s="165"/>
      <c r="N333" s="165"/>
      <c r="O333" s="165"/>
      <c r="P333" s="165"/>
      <c r="Q333" s="165"/>
      <c r="R333" s="165"/>
    </row>
    <row r="334" spans="5:18" ht="12">
      <c r="E334" s="165"/>
      <c r="F334" s="165"/>
      <c r="G334" s="165"/>
      <c r="H334" s="165"/>
      <c r="I334" s="165"/>
      <c r="J334" s="165"/>
      <c r="K334" s="165"/>
      <c r="L334" s="165"/>
      <c r="M334" s="165"/>
      <c r="N334" s="165"/>
      <c r="O334" s="165"/>
      <c r="P334" s="165"/>
      <c r="Q334" s="165"/>
      <c r="R334" s="165"/>
    </row>
    <row r="335" spans="5:18" ht="12">
      <c r="E335" s="165"/>
      <c r="F335" s="165"/>
      <c r="G335" s="165"/>
      <c r="H335" s="165"/>
      <c r="I335" s="165"/>
      <c r="J335" s="165"/>
      <c r="K335" s="165"/>
      <c r="L335" s="165"/>
      <c r="M335" s="165"/>
      <c r="N335" s="165"/>
      <c r="O335" s="165"/>
      <c r="P335" s="165"/>
      <c r="Q335" s="165"/>
      <c r="R335" s="165"/>
    </row>
    <row r="336" spans="5:18" ht="12">
      <c r="E336" s="165"/>
      <c r="F336" s="165"/>
      <c r="G336" s="165"/>
      <c r="H336" s="165"/>
      <c r="I336" s="165"/>
      <c r="J336" s="165"/>
      <c r="K336" s="165"/>
      <c r="L336" s="165"/>
      <c r="M336" s="165"/>
      <c r="N336" s="165"/>
      <c r="O336" s="165"/>
      <c r="P336" s="165"/>
      <c r="Q336" s="165"/>
      <c r="R336" s="165"/>
    </row>
    <row r="337" spans="5:18" ht="12">
      <c r="E337" s="165"/>
      <c r="F337" s="165"/>
      <c r="G337" s="165"/>
      <c r="H337" s="165"/>
      <c r="I337" s="165"/>
      <c r="J337" s="165"/>
      <c r="K337" s="165"/>
      <c r="L337" s="165"/>
      <c r="M337" s="165"/>
      <c r="N337" s="165"/>
      <c r="O337" s="165"/>
      <c r="P337" s="165"/>
      <c r="Q337" s="165"/>
      <c r="R337" s="165"/>
    </row>
    <row r="338" spans="5:18" ht="12">
      <c r="E338" s="165"/>
      <c r="F338" s="165"/>
      <c r="G338" s="165"/>
      <c r="H338" s="165"/>
      <c r="I338" s="165"/>
      <c r="J338" s="165"/>
      <c r="K338" s="165"/>
      <c r="L338" s="165"/>
      <c r="M338" s="165"/>
      <c r="N338" s="165"/>
      <c r="O338" s="165"/>
      <c r="P338" s="165"/>
      <c r="Q338" s="165"/>
      <c r="R338" s="165"/>
    </row>
    <row r="339" spans="5:18" ht="12">
      <c r="E339" s="165"/>
      <c r="F339" s="165"/>
      <c r="G339" s="165"/>
      <c r="H339" s="165"/>
      <c r="I339" s="165"/>
      <c r="J339" s="165"/>
      <c r="K339" s="165"/>
      <c r="L339" s="165"/>
      <c r="M339" s="165"/>
      <c r="N339" s="165"/>
      <c r="O339" s="165"/>
      <c r="P339" s="165"/>
      <c r="Q339" s="165"/>
      <c r="R339" s="165"/>
    </row>
    <row r="340" spans="5:18" ht="12">
      <c r="E340" s="165"/>
      <c r="F340" s="165"/>
      <c r="G340" s="165"/>
      <c r="H340" s="165"/>
      <c r="I340" s="165"/>
      <c r="J340" s="165"/>
      <c r="K340" s="165"/>
      <c r="L340" s="165"/>
      <c r="M340" s="165"/>
      <c r="N340" s="165"/>
      <c r="O340" s="165"/>
      <c r="P340" s="165"/>
      <c r="Q340" s="165"/>
      <c r="R340" s="165"/>
    </row>
    <row r="341" spans="5:18" ht="12">
      <c r="E341" s="165"/>
      <c r="F341" s="165"/>
      <c r="G341" s="165"/>
      <c r="H341" s="165"/>
      <c r="I341" s="165"/>
      <c r="J341" s="165"/>
      <c r="K341" s="165"/>
      <c r="L341" s="165"/>
      <c r="M341" s="165"/>
      <c r="N341" s="165"/>
      <c r="O341" s="165"/>
      <c r="P341" s="165"/>
      <c r="Q341" s="165"/>
      <c r="R341" s="165"/>
    </row>
    <row r="342" spans="5:18" ht="12">
      <c r="E342" s="165"/>
      <c r="F342" s="165"/>
      <c r="G342" s="165"/>
      <c r="H342" s="165"/>
      <c r="I342" s="165"/>
      <c r="J342" s="165"/>
      <c r="K342" s="165"/>
      <c r="L342" s="165"/>
      <c r="M342" s="165"/>
      <c r="N342" s="165"/>
      <c r="O342" s="165"/>
      <c r="P342" s="165"/>
      <c r="Q342" s="165"/>
      <c r="R342" s="165"/>
    </row>
    <row r="343" spans="5:18" ht="12">
      <c r="E343" s="165"/>
      <c r="F343" s="165"/>
      <c r="G343" s="165"/>
      <c r="H343" s="165"/>
      <c r="I343" s="165"/>
      <c r="J343" s="165"/>
      <c r="K343" s="165"/>
      <c r="L343" s="165"/>
      <c r="M343" s="165"/>
      <c r="N343" s="165"/>
      <c r="O343" s="165"/>
      <c r="P343" s="165"/>
      <c r="Q343" s="165"/>
      <c r="R343" s="165"/>
    </row>
    <row r="344" spans="5:18" ht="12">
      <c r="E344" s="165"/>
      <c r="F344" s="165"/>
      <c r="G344" s="165"/>
      <c r="H344" s="165"/>
      <c r="I344" s="165"/>
      <c r="J344" s="165"/>
      <c r="K344" s="165"/>
      <c r="L344" s="165"/>
      <c r="M344" s="165"/>
      <c r="N344" s="165"/>
      <c r="O344" s="165"/>
      <c r="P344" s="165"/>
      <c r="Q344" s="165"/>
      <c r="R344" s="165"/>
    </row>
    <row r="345" spans="5:18" ht="12">
      <c r="E345" s="165"/>
      <c r="F345" s="165"/>
      <c r="G345" s="165"/>
      <c r="H345" s="165"/>
      <c r="I345" s="165"/>
      <c r="J345" s="165"/>
      <c r="K345" s="165"/>
      <c r="L345" s="165"/>
      <c r="M345" s="165"/>
      <c r="N345" s="165"/>
      <c r="O345" s="165"/>
      <c r="P345" s="165"/>
      <c r="Q345" s="165"/>
      <c r="R345" s="165"/>
    </row>
    <row r="346" spans="5:18" ht="12">
      <c r="E346" s="165"/>
      <c r="F346" s="165"/>
      <c r="G346" s="165"/>
      <c r="H346" s="165"/>
      <c r="I346" s="165"/>
      <c r="J346" s="165"/>
      <c r="K346" s="165"/>
      <c r="L346" s="165"/>
      <c r="M346" s="165"/>
      <c r="N346" s="165"/>
      <c r="O346" s="165"/>
      <c r="P346" s="165"/>
      <c r="Q346" s="165"/>
      <c r="R346" s="165"/>
    </row>
    <row r="347" spans="5:18" ht="12">
      <c r="E347" s="165"/>
      <c r="F347" s="165"/>
      <c r="G347" s="165"/>
      <c r="H347" s="165"/>
      <c r="I347" s="165"/>
      <c r="J347" s="165"/>
      <c r="K347" s="165"/>
      <c r="L347" s="165"/>
      <c r="M347" s="165"/>
      <c r="N347" s="165"/>
      <c r="O347" s="165"/>
      <c r="P347" s="165"/>
      <c r="Q347" s="165"/>
      <c r="R347" s="165"/>
    </row>
    <row r="348" spans="5:18" ht="12">
      <c r="E348" s="165"/>
      <c r="F348" s="165"/>
      <c r="G348" s="165"/>
      <c r="H348" s="165"/>
      <c r="I348" s="165"/>
      <c r="J348" s="165"/>
      <c r="K348" s="165"/>
      <c r="L348" s="165"/>
      <c r="M348" s="165"/>
      <c r="N348" s="165"/>
      <c r="O348" s="165"/>
      <c r="P348" s="165"/>
      <c r="Q348" s="165"/>
      <c r="R348" s="165"/>
    </row>
    <row r="349" spans="5:18" ht="12">
      <c r="E349" s="165"/>
      <c r="F349" s="165"/>
      <c r="G349" s="165"/>
      <c r="H349" s="165"/>
      <c r="I349" s="165"/>
      <c r="J349" s="165"/>
      <c r="K349" s="165"/>
      <c r="L349" s="165"/>
      <c r="M349" s="165"/>
      <c r="N349" s="165"/>
      <c r="O349" s="165"/>
      <c r="P349" s="165"/>
      <c r="Q349" s="165"/>
      <c r="R349" s="165"/>
    </row>
    <row r="350" spans="5:18" ht="12">
      <c r="E350" s="165"/>
      <c r="F350" s="165"/>
      <c r="G350" s="165"/>
      <c r="H350" s="165"/>
      <c r="I350" s="165"/>
      <c r="J350" s="165"/>
      <c r="K350" s="165"/>
      <c r="L350" s="165"/>
      <c r="M350" s="165"/>
      <c r="N350" s="165"/>
      <c r="O350" s="165"/>
      <c r="P350" s="165"/>
      <c r="Q350" s="165"/>
      <c r="R350" s="165"/>
    </row>
    <row r="351" spans="5:18" ht="12">
      <c r="E351" s="165"/>
      <c r="F351" s="165"/>
      <c r="G351" s="165"/>
      <c r="H351" s="165"/>
      <c r="I351" s="165"/>
      <c r="J351" s="165"/>
      <c r="K351" s="165"/>
      <c r="L351" s="165"/>
      <c r="M351" s="165"/>
      <c r="N351" s="165"/>
      <c r="O351" s="165"/>
      <c r="P351" s="165"/>
      <c r="Q351" s="165"/>
      <c r="R351" s="165"/>
    </row>
    <row r="352" spans="5:18" ht="12">
      <c r="E352" s="165"/>
      <c r="F352" s="165"/>
      <c r="G352" s="165"/>
      <c r="H352" s="165"/>
      <c r="I352" s="165"/>
      <c r="J352" s="165"/>
      <c r="K352" s="165"/>
      <c r="L352" s="165"/>
      <c r="M352" s="165"/>
      <c r="N352" s="165"/>
      <c r="O352" s="165"/>
      <c r="P352" s="165"/>
      <c r="Q352" s="165"/>
      <c r="R352" s="165"/>
    </row>
    <row r="353" spans="5:18" ht="12">
      <c r="E353" s="165"/>
      <c r="F353" s="165"/>
      <c r="G353" s="165"/>
      <c r="H353" s="165"/>
      <c r="I353" s="165"/>
      <c r="J353" s="165"/>
      <c r="K353" s="165"/>
      <c r="L353" s="165"/>
      <c r="M353" s="165"/>
      <c r="N353" s="165"/>
      <c r="O353" s="165"/>
      <c r="P353" s="165"/>
      <c r="Q353" s="165"/>
      <c r="R353" s="165"/>
    </row>
    <row r="354" spans="5:18" ht="12">
      <c r="E354" s="165"/>
      <c r="F354" s="165"/>
      <c r="G354" s="165"/>
      <c r="H354" s="165"/>
      <c r="I354" s="165"/>
      <c r="J354" s="165"/>
      <c r="K354" s="165"/>
      <c r="L354" s="165"/>
      <c r="M354" s="165"/>
      <c r="N354" s="165"/>
      <c r="O354" s="165"/>
      <c r="P354" s="165"/>
      <c r="Q354" s="165"/>
      <c r="R354" s="165"/>
    </row>
    <row r="355" spans="5:18" ht="12">
      <c r="E355" s="165"/>
      <c r="F355" s="165"/>
      <c r="G355" s="165"/>
      <c r="H355" s="165"/>
      <c r="I355" s="165"/>
      <c r="J355" s="165"/>
      <c r="K355" s="165"/>
      <c r="L355" s="165"/>
      <c r="M355" s="165"/>
      <c r="N355" s="165"/>
      <c r="O355" s="165"/>
      <c r="P355" s="165"/>
      <c r="Q355" s="165"/>
      <c r="R355" s="165"/>
    </row>
    <row r="356" spans="5:18" ht="12">
      <c r="E356" s="165"/>
      <c r="F356" s="165"/>
      <c r="G356" s="165"/>
      <c r="H356" s="165"/>
      <c r="I356" s="165"/>
      <c r="J356" s="165"/>
      <c r="K356" s="165"/>
      <c r="L356" s="165"/>
      <c r="M356" s="165"/>
      <c r="N356" s="165"/>
      <c r="O356" s="165"/>
      <c r="P356" s="165"/>
      <c r="Q356" s="165"/>
      <c r="R356" s="165"/>
    </row>
    <row r="357" spans="5:18" ht="12">
      <c r="E357" s="165"/>
      <c r="F357" s="165"/>
      <c r="G357" s="165"/>
      <c r="H357" s="165"/>
      <c r="I357" s="165"/>
      <c r="J357" s="165"/>
      <c r="K357" s="165"/>
      <c r="L357" s="165"/>
      <c r="M357" s="165"/>
      <c r="N357" s="165"/>
      <c r="O357" s="165"/>
      <c r="P357" s="165"/>
      <c r="Q357" s="165"/>
      <c r="R357" s="165"/>
    </row>
    <row r="358" spans="5:18" ht="12">
      <c r="E358" s="165"/>
      <c r="F358" s="165"/>
      <c r="G358" s="165"/>
      <c r="H358" s="165"/>
      <c r="I358" s="165"/>
      <c r="J358" s="165"/>
      <c r="K358" s="165"/>
      <c r="L358" s="165"/>
      <c r="M358" s="165"/>
      <c r="N358" s="165"/>
      <c r="O358" s="165"/>
      <c r="P358" s="165"/>
      <c r="Q358" s="165"/>
      <c r="R358" s="165"/>
    </row>
    <row r="359" spans="5:18">
      <c r="E359" s="35"/>
      <c r="F359" s="35"/>
      <c r="G359" s="35"/>
      <c r="H359" s="532"/>
      <c r="I359" s="35"/>
      <c r="J359" s="35"/>
      <c r="K359" s="35"/>
      <c r="L359" s="35"/>
      <c r="M359" s="532"/>
      <c r="N359" s="35"/>
      <c r="O359" s="35"/>
      <c r="P359" s="35"/>
      <c r="Q359" s="35"/>
      <c r="R359" s="532"/>
    </row>
    <row r="360" spans="5:18">
      <c r="E360" s="35"/>
      <c r="F360" s="35"/>
      <c r="G360" s="35"/>
      <c r="H360" s="532"/>
      <c r="I360" s="35"/>
      <c r="J360" s="35"/>
      <c r="K360" s="35"/>
      <c r="L360" s="35"/>
      <c r="M360" s="532"/>
      <c r="N360" s="35"/>
      <c r="O360" s="35"/>
      <c r="P360" s="35"/>
      <c r="Q360" s="35"/>
      <c r="R360" s="532"/>
    </row>
    <row r="361" spans="5:18">
      <c r="E361" s="35"/>
      <c r="F361" s="35"/>
      <c r="G361" s="35"/>
      <c r="H361" s="532"/>
      <c r="I361" s="35"/>
      <c r="J361" s="35"/>
      <c r="K361" s="35"/>
      <c r="L361" s="35"/>
      <c r="M361" s="532"/>
      <c r="N361" s="35"/>
      <c r="O361" s="35"/>
      <c r="P361" s="35"/>
      <c r="Q361" s="35"/>
      <c r="R361" s="532"/>
    </row>
    <row r="362" spans="5:18">
      <c r="E362" s="35"/>
      <c r="F362" s="35"/>
      <c r="G362" s="35"/>
      <c r="H362" s="532"/>
      <c r="I362" s="35"/>
      <c r="J362" s="35"/>
      <c r="K362" s="35"/>
      <c r="L362" s="35"/>
      <c r="M362" s="532"/>
      <c r="N362" s="35"/>
      <c r="O362" s="35"/>
      <c r="P362" s="35"/>
      <c r="Q362" s="35"/>
      <c r="R362" s="532"/>
    </row>
    <row r="363" spans="5:18">
      <c r="E363" s="35"/>
      <c r="F363" s="35"/>
      <c r="G363" s="35"/>
      <c r="H363" s="532"/>
      <c r="I363" s="35"/>
      <c r="J363" s="35"/>
      <c r="K363" s="35"/>
      <c r="L363" s="35"/>
      <c r="M363" s="532"/>
      <c r="N363" s="35"/>
      <c r="O363" s="35"/>
      <c r="P363" s="35"/>
      <c r="Q363" s="35"/>
      <c r="R363" s="532"/>
    </row>
    <row r="364" spans="5:18">
      <c r="E364" s="35"/>
      <c r="F364" s="35"/>
      <c r="G364" s="35"/>
      <c r="H364" s="532"/>
      <c r="I364" s="35"/>
      <c r="J364" s="35"/>
      <c r="K364" s="35"/>
      <c r="L364" s="35"/>
      <c r="M364" s="532"/>
      <c r="N364" s="35"/>
      <c r="O364" s="35"/>
      <c r="P364" s="35"/>
      <c r="Q364" s="35"/>
      <c r="R364" s="532"/>
    </row>
    <row r="365" spans="5:18">
      <c r="E365" s="35"/>
      <c r="F365" s="35"/>
      <c r="G365" s="35"/>
      <c r="H365" s="532"/>
      <c r="I365" s="35"/>
      <c r="J365" s="35"/>
      <c r="K365" s="35"/>
      <c r="L365" s="35"/>
      <c r="M365" s="532"/>
      <c r="N365" s="35"/>
      <c r="O365" s="35"/>
      <c r="P365" s="35"/>
      <c r="Q365" s="35"/>
      <c r="R365" s="532"/>
    </row>
    <row r="366" spans="5:18">
      <c r="E366" s="35"/>
      <c r="F366" s="35"/>
      <c r="G366" s="35"/>
      <c r="H366" s="532"/>
      <c r="I366" s="35"/>
      <c r="J366" s="35"/>
      <c r="K366" s="35"/>
      <c r="L366" s="35"/>
      <c r="M366" s="532"/>
      <c r="N366" s="35"/>
      <c r="O366" s="35"/>
      <c r="P366" s="35"/>
      <c r="Q366" s="35"/>
      <c r="R366" s="532"/>
    </row>
    <row r="367" spans="5:18">
      <c r="E367" s="35"/>
      <c r="F367" s="35"/>
      <c r="G367" s="35"/>
      <c r="H367" s="532"/>
      <c r="I367" s="35"/>
      <c r="J367" s="35"/>
      <c r="K367" s="35"/>
      <c r="L367" s="35"/>
      <c r="M367" s="532"/>
      <c r="N367" s="35"/>
      <c r="O367" s="35"/>
      <c r="P367" s="35"/>
      <c r="Q367" s="35"/>
      <c r="R367" s="532"/>
    </row>
    <row r="368" spans="5:18">
      <c r="E368" s="35"/>
      <c r="F368" s="35"/>
      <c r="G368" s="35"/>
      <c r="H368" s="532"/>
      <c r="I368" s="35"/>
      <c r="J368" s="35"/>
      <c r="K368" s="35"/>
      <c r="L368" s="35"/>
      <c r="M368" s="532"/>
      <c r="N368" s="35"/>
      <c r="O368" s="35"/>
      <c r="P368" s="35"/>
      <c r="Q368" s="35"/>
      <c r="R368" s="532"/>
    </row>
    <row r="369" spans="5:18">
      <c r="E369" s="35"/>
      <c r="F369" s="35"/>
      <c r="G369" s="35"/>
      <c r="H369" s="532"/>
      <c r="I369" s="35"/>
      <c r="J369" s="35"/>
      <c r="K369" s="35"/>
      <c r="L369" s="35"/>
      <c r="M369" s="532"/>
      <c r="N369" s="35"/>
      <c r="O369" s="35"/>
      <c r="P369" s="35"/>
      <c r="Q369" s="35"/>
      <c r="R369" s="532"/>
    </row>
    <row r="370" spans="5:18">
      <c r="E370" s="35"/>
      <c r="F370" s="35"/>
      <c r="G370" s="35"/>
      <c r="H370" s="532"/>
      <c r="I370" s="35"/>
      <c r="J370" s="35"/>
      <c r="K370" s="35"/>
      <c r="L370" s="35"/>
      <c r="M370" s="532"/>
      <c r="N370" s="35"/>
      <c r="O370" s="35"/>
      <c r="P370" s="35"/>
      <c r="Q370" s="35"/>
      <c r="R370" s="532"/>
    </row>
    <row r="371" spans="5:18">
      <c r="E371" s="35"/>
      <c r="F371" s="35"/>
      <c r="G371" s="35"/>
      <c r="H371" s="532"/>
      <c r="I371" s="35"/>
      <c r="J371" s="35"/>
      <c r="K371" s="35"/>
      <c r="L371" s="35"/>
      <c r="M371" s="532"/>
      <c r="N371" s="35"/>
      <c r="O371" s="35"/>
      <c r="P371" s="35"/>
      <c r="Q371" s="35"/>
      <c r="R371" s="532"/>
    </row>
    <row r="372" spans="5:18">
      <c r="E372" s="35"/>
      <c r="F372" s="35"/>
      <c r="G372" s="35"/>
      <c r="H372" s="532"/>
      <c r="I372" s="35"/>
      <c r="J372" s="35"/>
      <c r="K372" s="35"/>
      <c r="L372" s="35"/>
      <c r="M372" s="532"/>
      <c r="N372" s="35"/>
      <c r="O372" s="35"/>
      <c r="P372" s="35"/>
      <c r="Q372" s="35"/>
      <c r="R372" s="532"/>
    </row>
    <row r="373" spans="5:18">
      <c r="E373" s="35"/>
      <c r="F373" s="35"/>
      <c r="G373" s="35"/>
      <c r="H373" s="532"/>
      <c r="I373" s="35"/>
      <c r="J373" s="35"/>
      <c r="K373" s="35"/>
      <c r="L373" s="35"/>
      <c r="M373" s="532"/>
      <c r="N373" s="35"/>
      <c r="O373" s="35"/>
      <c r="P373" s="35"/>
      <c r="Q373" s="35"/>
      <c r="R373" s="532"/>
    </row>
    <row r="374" spans="5:18">
      <c r="E374" s="35"/>
      <c r="F374" s="35"/>
      <c r="G374" s="35"/>
      <c r="H374" s="532"/>
      <c r="I374" s="35"/>
      <c r="J374" s="35"/>
      <c r="K374" s="35"/>
      <c r="L374" s="35"/>
      <c r="M374" s="532"/>
      <c r="N374" s="35"/>
      <c r="O374" s="35"/>
      <c r="P374" s="35"/>
      <c r="Q374" s="35"/>
      <c r="R374" s="532"/>
    </row>
    <row r="375" spans="5:18">
      <c r="E375" s="35"/>
      <c r="F375" s="35"/>
      <c r="G375" s="35"/>
      <c r="H375" s="532"/>
      <c r="I375" s="35"/>
      <c r="J375" s="35"/>
      <c r="K375" s="35"/>
      <c r="L375" s="35"/>
      <c r="M375" s="532"/>
      <c r="N375" s="35"/>
      <c r="O375" s="35"/>
      <c r="P375" s="35"/>
      <c r="Q375" s="35"/>
      <c r="R375" s="532"/>
    </row>
    <row r="376" spans="5:18">
      <c r="E376" s="35"/>
      <c r="F376" s="35"/>
      <c r="G376" s="35"/>
      <c r="H376" s="532"/>
      <c r="I376" s="35"/>
      <c r="J376" s="35"/>
      <c r="K376" s="35"/>
      <c r="L376" s="35"/>
      <c r="M376" s="532"/>
      <c r="N376" s="35"/>
      <c r="O376" s="35"/>
      <c r="P376" s="35"/>
      <c r="Q376" s="35"/>
      <c r="R376" s="532"/>
    </row>
    <row r="377" spans="5:18">
      <c r="E377" s="35"/>
      <c r="F377" s="35"/>
      <c r="G377" s="35"/>
      <c r="H377" s="532"/>
      <c r="I377" s="35"/>
      <c r="J377" s="35"/>
      <c r="K377" s="35"/>
      <c r="L377" s="35"/>
      <c r="M377" s="532"/>
      <c r="N377" s="35"/>
      <c r="O377" s="35"/>
      <c r="P377" s="35"/>
      <c r="Q377" s="35"/>
      <c r="R377" s="532"/>
    </row>
    <row r="378" spans="5:18">
      <c r="E378" s="35"/>
      <c r="F378" s="35"/>
      <c r="G378" s="35"/>
      <c r="H378" s="532"/>
      <c r="I378" s="35"/>
      <c r="J378" s="35"/>
      <c r="K378" s="35"/>
      <c r="L378" s="35"/>
      <c r="M378" s="532"/>
      <c r="N378" s="35"/>
      <c r="O378" s="35"/>
      <c r="P378" s="35"/>
      <c r="Q378" s="35"/>
      <c r="R378" s="532"/>
    </row>
    <row r="379" spans="5:18">
      <c r="E379" s="35"/>
      <c r="F379" s="35"/>
      <c r="G379" s="35"/>
      <c r="H379" s="532"/>
      <c r="I379" s="35"/>
      <c r="J379" s="35"/>
      <c r="K379" s="35"/>
      <c r="L379" s="35"/>
      <c r="M379" s="532"/>
      <c r="N379" s="35"/>
      <c r="O379" s="35"/>
      <c r="P379" s="35"/>
      <c r="Q379" s="35"/>
      <c r="R379" s="532"/>
    </row>
    <row r="380" spans="5:18">
      <c r="E380" s="35"/>
      <c r="F380" s="35"/>
      <c r="G380" s="35"/>
      <c r="H380" s="532"/>
      <c r="I380" s="35"/>
      <c r="J380" s="35"/>
      <c r="K380" s="35"/>
      <c r="L380" s="35"/>
      <c r="M380" s="532"/>
      <c r="N380" s="35"/>
      <c r="O380" s="35"/>
      <c r="P380" s="35"/>
      <c r="Q380" s="35"/>
      <c r="R380" s="532"/>
    </row>
    <row r="381" spans="5:18">
      <c r="E381" s="35"/>
      <c r="F381" s="35"/>
      <c r="G381" s="35"/>
      <c r="H381" s="532"/>
      <c r="I381" s="35"/>
      <c r="J381" s="35"/>
      <c r="K381" s="35"/>
      <c r="L381" s="35"/>
      <c r="M381" s="532"/>
      <c r="N381" s="35"/>
      <c r="O381" s="35"/>
      <c r="P381" s="35"/>
      <c r="Q381" s="35"/>
      <c r="R381" s="532"/>
    </row>
    <row r="382" spans="5:18">
      <c r="E382" s="35"/>
      <c r="F382" s="35"/>
      <c r="G382" s="35"/>
      <c r="H382" s="532"/>
      <c r="I382" s="35"/>
      <c r="J382" s="35"/>
      <c r="K382" s="35"/>
      <c r="L382" s="35"/>
      <c r="M382" s="532"/>
      <c r="N382" s="35"/>
      <c r="O382" s="35"/>
      <c r="P382" s="35"/>
      <c r="Q382" s="35"/>
      <c r="R382" s="532"/>
    </row>
    <row r="383" spans="5:18">
      <c r="E383" s="35"/>
      <c r="F383" s="35"/>
      <c r="G383" s="35"/>
      <c r="H383" s="532"/>
      <c r="I383" s="35"/>
      <c r="J383" s="35"/>
      <c r="K383" s="35"/>
      <c r="L383" s="35"/>
      <c r="M383" s="532"/>
      <c r="N383" s="35"/>
      <c r="O383" s="35"/>
      <c r="P383" s="35"/>
      <c r="Q383" s="35"/>
      <c r="R383" s="532"/>
    </row>
    <row r="384" spans="5:18">
      <c r="E384" s="35"/>
      <c r="F384" s="35"/>
      <c r="G384" s="35"/>
      <c r="H384" s="532"/>
      <c r="I384" s="35"/>
      <c r="J384" s="35"/>
      <c r="K384" s="35"/>
      <c r="L384" s="35"/>
      <c r="M384" s="532"/>
      <c r="N384" s="35"/>
      <c r="O384" s="35"/>
      <c r="P384" s="35"/>
      <c r="Q384" s="35"/>
      <c r="R384" s="532"/>
    </row>
    <row r="385" spans="5:18">
      <c r="E385" s="35"/>
      <c r="F385" s="35"/>
      <c r="G385" s="35"/>
      <c r="H385" s="532"/>
      <c r="I385" s="35"/>
      <c r="J385" s="35"/>
      <c r="K385" s="35"/>
      <c r="L385" s="35"/>
      <c r="M385" s="532"/>
      <c r="N385" s="35"/>
      <c r="O385" s="35"/>
      <c r="P385" s="35"/>
      <c r="Q385" s="35"/>
      <c r="R385" s="532"/>
    </row>
    <row r="386" spans="5:18">
      <c r="E386" s="35"/>
      <c r="F386" s="35"/>
      <c r="G386" s="35"/>
      <c r="H386" s="532"/>
      <c r="I386" s="35"/>
      <c r="J386" s="35"/>
      <c r="K386" s="35"/>
      <c r="L386" s="35"/>
      <c r="M386" s="532"/>
      <c r="N386" s="35"/>
      <c r="O386" s="35"/>
      <c r="P386" s="35"/>
      <c r="Q386" s="35"/>
      <c r="R386" s="532"/>
    </row>
    <row r="387" spans="5:18">
      <c r="E387" s="35"/>
      <c r="F387" s="35"/>
      <c r="G387" s="35"/>
      <c r="H387" s="532"/>
      <c r="I387" s="35"/>
      <c r="J387" s="35"/>
      <c r="K387" s="35"/>
      <c r="L387" s="35"/>
      <c r="M387" s="532"/>
      <c r="N387" s="35"/>
      <c r="O387" s="35"/>
      <c r="P387" s="35"/>
      <c r="Q387" s="35"/>
      <c r="R387" s="532"/>
    </row>
    <row r="388" spans="5:18">
      <c r="E388" s="35"/>
      <c r="F388" s="35"/>
      <c r="G388" s="35"/>
      <c r="H388" s="532"/>
      <c r="I388" s="35"/>
      <c r="J388" s="35"/>
      <c r="K388" s="35"/>
      <c r="L388" s="35"/>
      <c r="M388" s="532"/>
      <c r="N388" s="35"/>
      <c r="O388" s="35"/>
      <c r="P388" s="35"/>
      <c r="Q388" s="35"/>
      <c r="R388" s="532"/>
    </row>
    <row r="389" spans="5:18">
      <c r="E389" s="35"/>
      <c r="F389" s="35"/>
      <c r="G389" s="35"/>
      <c r="H389" s="532"/>
      <c r="I389" s="35"/>
      <c r="J389" s="35"/>
      <c r="K389" s="35"/>
      <c r="L389" s="35"/>
      <c r="M389" s="532"/>
      <c r="N389" s="35"/>
      <c r="O389" s="35"/>
      <c r="P389" s="35"/>
      <c r="Q389" s="35"/>
      <c r="R389" s="532"/>
    </row>
    <row r="390" spans="5:18">
      <c r="E390" s="35"/>
      <c r="F390" s="35"/>
      <c r="G390" s="35"/>
      <c r="H390" s="532"/>
      <c r="I390" s="35"/>
      <c r="J390" s="35"/>
      <c r="K390" s="35"/>
      <c r="L390" s="35"/>
      <c r="M390" s="532"/>
      <c r="N390" s="35"/>
      <c r="O390" s="35"/>
      <c r="P390" s="35"/>
      <c r="Q390" s="35"/>
      <c r="R390" s="532"/>
    </row>
    <row r="391" spans="5:18">
      <c r="E391" s="35"/>
      <c r="F391" s="35"/>
      <c r="G391" s="35"/>
      <c r="H391" s="532"/>
      <c r="I391" s="35"/>
      <c r="J391" s="35"/>
      <c r="K391" s="35"/>
      <c r="L391" s="35"/>
      <c r="M391" s="532"/>
      <c r="N391" s="35"/>
      <c r="O391" s="35"/>
      <c r="P391" s="35"/>
      <c r="Q391" s="35"/>
      <c r="R391" s="532"/>
    </row>
    <row r="392" spans="5:18">
      <c r="E392" s="35"/>
      <c r="F392" s="35"/>
      <c r="G392" s="35"/>
      <c r="H392" s="532"/>
      <c r="I392" s="35"/>
      <c r="J392" s="35"/>
      <c r="K392" s="35"/>
      <c r="L392" s="35"/>
      <c r="M392" s="532"/>
      <c r="N392" s="35"/>
      <c r="O392" s="35"/>
      <c r="P392" s="35"/>
      <c r="Q392" s="35"/>
      <c r="R392" s="532"/>
    </row>
    <row r="393" spans="5:18">
      <c r="E393" s="35"/>
      <c r="F393" s="35"/>
      <c r="G393" s="35"/>
      <c r="H393" s="532"/>
      <c r="I393" s="35"/>
      <c r="J393" s="35"/>
      <c r="K393" s="35"/>
      <c r="L393" s="35"/>
      <c r="M393" s="532"/>
      <c r="N393" s="35"/>
      <c r="O393" s="35"/>
      <c r="P393" s="35"/>
      <c r="Q393" s="35"/>
      <c r="R393" s="532"/>
    </row>
    <row r="394" spans="5:18">
      <c r="E394" s="35"/>
      <c r="F394" s="35"/>
      <c r="G394" s="35"/>
      <c r="H394" s="532"/>
      <c r="I394" s="35"/>
      <c r="J394" s="35"/>
      <c r="K394" s="35"/>
      <c r="L394" s="35"/>
      <c r="M394" s="532"/>
      <c r="N394" s="35"/>
      <c r="O394" s="35"/>
      <c r="P394" s="35"/>
      <c r="Q394" s="35"/>
      <c r="R394" s="532"/>
    </row>
    <row r="395" spans="5:18">
      <c r="E395" s="35"/>
      <c r="F395" s="35"/>
      <c r="G395" s="35"/>
      <c r="H395" s="532"/>
      <c r="I395" s="35"/>
      <c r="J395" s="35"/>
      <c r="K395" s="35"/>
      <c r="L395" s="35"/>
      <c r="M395" s="532"/>
      <c r="N395" s="35"/>
      <c r="O395" s="35"/>
      <c r="P395" s="35"/>
      <c r="Q395" s="35"/>
      <c r="R395" s="532"/>
    </row>
    <row r="396" spans="5:18">
      <c r="E396" s="35"/>
      <c r="F396" s="35"/>
      <c r="G396" s="35"/>
      <c r="H396" s="532"/>
      <c r="I396" s="35"/>
      <c r="J396" s="35"/>
      <c r="K396" s="35"/>
      <c r="L396" s="35"/>
      <c r="M396" s="532"/>
      <c r="N396" s="35"/>
      <c r="O396" s="35"/>
      <c r="P396" s="35"/>
      <c r="Q396" s="35"/>
      <c r="R396" s="532"/>
    </row>
    <row r="397" spans="5:18">
      <c r="E397" s="35"/>
      <c r="F397" s="35"/>
      <c r="G397" s="35"/>
      <c r="H397" s="532"/>
      <c r="I397" s="35"/>
      <c r="J397" s="35"/>
      <c r="K397" s="35"/>
      <c r="L397" s="35"/>
      <c r="M397" s="532"/>
      <c r="N397" s="35"/>
      <c r="O397" s="35"/>
      <c r="P397" s="35"/>
      <c r="Q397" s="35"/>
      <c r="R397" s="532"/>
    </row>
    <row r="398" spans="5:18">
      <c r="E398" s="35"/>
      <c r="F398" s="35"/>
      <c r="G398" s="35"/>
      <c r="H398" s="532"/>
      <c r="I398" s="35"/>
      <c r="J398" s="35"/>
      <c r="K398" s="35"/>
      <c r="L398" s="35"/>
      <c r="M398" s="532"/>
      <c r="N398" s="35"/>
      <c r="O398" s="35"/>
      <c r="P398" s="35"/>
      <c r="Q398" s="35"/>
      <c r="R398" s="532"/>
    </row>
    <row r="399" spans="5:18">
      <c r="E399" s="35"/>
      <c r="F399" s="35"/>
      <c r="G399" s="35"/>
      <c r="H399" s="532"/>
      <c r="I399" s="35"/>
      <c r="J399" s="35"/>
      <c r="K399" s="35"/>
      <c r="L399" s="35"/>
      <c r="M399" s="532"/>
      <c r="N399" s="35"/>
      <c r="O399" s="35"/>
      <c r="P399" s="35"/>
      <c r="Q399" s="35"/>
      <c r="R399" s="532"/>
    </row>
    <row r="400" spans="5:18">
      <c r="E400" s="35"/>
      <c r="F400" s="35"/>
      <c r="G400" s="35"/>
      <c r="H400" s="532"/>
      <c r="I400" s="35"/>
      <c r="J400" s="35"/>
      <c r="K400" s="35"/>
      <c r="L400" s="35"/>
      <c r="M400" s="532"/>
      <c r="N400" s="35"/>
      <c r="O400" s="35"/>
      <c r="P400" s="35"/>
      <c r="Q400" s="35"/>
      <c r="R400" s="532"/>
    </row>
    <row r="401" spans="5:18">
      <c r="E401" s="35"/>
      <c r="F401" s="35"/>
      <c r="G401" s="35"/>
      <c r="H401" s="532"/>
      <c r="I401" s="35"/>
      <c r="J401" s="35"/>
      <c r="K401" s="35"/>
      <c r="L401" s="35"/>
      <c r="M401" s="532"/>
      <c r="N401" s="35"/>
      <c r="O401" s="35"/>
      <c r="P401" s="35"/>
      <c r="Q401" s="35"/>
      <c r="R401" s="532"/>
    </row>
    <row r="402" spans="5:18">
      <c r="E402" s="35"/>
      <c r="F402" s="35"/>
      <c r="G402" s="35"/>
      <c r="H402" s="532"/>
      <c r="I402" s="35"/>
      <c r="J402" s="35"/>
      <c r="K402" s="35"/>
      <c r="L402" s="35"/>
      <c r="M402" s="532"/>
      <c r="N402" s="35"/>
      <c r="O402" s="35"/>
      <c r="P402" s="35"/>
      <c r="Q402" s="35"/>
      <c r="R402" s="532"/>
    </row>
    <row r="403" spans="5:18">
      <c r="E403" s="35"/>
      <c r="F403" s="35"/>
      <c r="G403" s="35"/>
      <c r="H403" s="532"/>
      <c r="I403" s="35"/>
      <c r="J403" s="35"/>
      <c r="K403" s="35"/>
      <c r="L403" s="35"/>
      <c r="M403" s="532"/>
      <c r="N403" s="35"/>
      <c r="O403" s="35"/>
      <c r="P403" s="35"/>
      <c r="Q403" s="35"/>
      <c r="R403" s="532"/>
    </row>
    <row r="404" spans="5:18">
      <c r="E404" s="35"/>
      <c r="F404" s="35"/>
      <c r="G404" s="35"/>
      <c r="H404" s="532"/>
      <c r="I404" s="35"/>
      <c r="J404" s="35"/>
      <c r="K404" s="35"/>
      <c r="L404" s="35"/>
      <c r="M404" s="532"/>
      <c r="N404" s="35"/>
      <c r="O404" s="35"/>
      <c r="P404" s="35"/>
      <c r="Q404" s="35"/>
      <c r="R404" s="532"/>
    </row>
    <row r="405" spans="5:18">
      <c r="E405" s="35"/>
      <c r="F405" s="35"/>
      <c r="G405" s="35"/>
      <c r="H405" s="532"/>
      <c r="I405" s="35"/>
      <c r="J405" s="35"/>
      <c r="K405" s="35"/>
      <c r="L405" s="35"/>
      <c r="M405" s="532"/>
      <c r="N405" s="35"/>
      <c r="O405" s="35"/>
      <c r="P405" s="35"/>
      <c r="Q405" s="35"/>
      <c r="R405" s="532"/>
    </row>
    <row r="406" spans="5:18">
      <c r="E406" s="35"/>
      <c r="F406" s="35"/>
      <c r="G406" s="35"/>
      <c r="H406" s="532"/>
      <c r="I406" s="35"/>
      <c r="J406" s="35"/>
      <c r="K406" s="35"/>
      <c r="L406" s="35"/>
      <c r="M406" s="532"/>
      <c r="N406" s="35"/>
      <c r="O406" s="35"/>
      <c r="P406" s="35"/>
      <c r="Q406" s="35"/>
      <c r="R406" s="532"/>
    </row>
    <row r="407" spans="5:18">
      <c r="E407" s="35"/>
      <c r="F407" s="35"/>
      <c r="G407" s="35"/>
      <c r="H407" s="532"/>
      <c r="I407" s="35"/>
      <c r="J407" s="35"/>
      <c r="K407" s="35"/>
      <c r="L407" s="35"/>
      <c r="M407" s="532"/>
      <c r="N407" s="35"/>
      <c r="O407" s="35"/>
      <c r="P407" s="35"/>
      <c r="Q407" s="35"/>
      <c r="R407" s="532"/>
    </row>
    <row r="408" spans="5:18">
      <c r="E408" s="35"/>
      <c r="F408" s="35"/>
      <c r="G408" s="35"/>
      <c r="H408" s="532"/>
      <c r="I408" s="35"/>
      <c r="J408" s="35"/>
      <c r="K408" s="35"/>
      <c r="L408" s="35"/>
      <c r="M408" s="532"/>
      <c r="N408" s="35"/>
      <c r="O408" s="35"/>
      <c r="P408" s="35"/>
      <c r="Q408" s="35"/>
      <c r="R408" s="532"/>
    </row>
    <row r="409" spans="5:18">
      <c r="E409" s="35"/>
      <c r="F409" s="35"/>
      <c r="G409" s="35"/>
      <c r="H409" s="532"/>
      <c r="I409" s="35"/>
      <c r="J409" s="35"/>
      <c r="K409" s="35"/>
      <c r="L409" s="35"/>
      <c r="M409" s="532"/>
      <c r="N409" s="35"/>
      <c r="O409" s="35"/>
      <c r="P409" s="35"/>
      <c r="Q409" s="35"/>
      <c r="R409" s="532"/>
    </row>
    <row r="410" spans="5:18">
      <c r="E410" s="35"/>
      <c r="F410" s="35"/>
      <c r="G410" s="35"/>
      <c r="H410" s="532"/>
      <c r="I410" s="35"/>
      <c r="J410" s="35"/>
      <c r="K410" s="35"/>
      <c r="L410" s="35"/>
      <c r="M410" s="532"/>
      <c r="N410" s="35"/>
      <c r="O410" s="35"/>
      <c r="P410" s="35"/>
      <c r="Q410" s="35"/>
      <c r="R410" s="532"/>
    </row>
    <row r="411" spans="5:18">
      <c r="E411" s="35"/>
      <c r="F411" s="35"/>
      <c r="G411" s="35"/>
      <c r="H411" s="532"/>
      <c r="I411" s="35"/>
      <c r="J411" s="35"/>
      <c r="K411" s="35"/>
      <c r="L411" s="35"/>
      <c r="M411" s="532"/>
      <c r="N411" s="35"/>
      <c r="O411" s="35"/>
      <c r="P411" s="35"/>
      <c r="Q411" s="35"/>
      <c r="R411" s="532"/>
    </row>
    <row r="412" spans="5:18">
      <c r="E412" s="35"/>
      <c r="F412" s="35"/>
      <c r="G412" s="35"/>
      <c r="H412" s="532"/>
      <c r="I412" s="35"/>
      <c r="J412" s="35"/>
      <c r="K412" s="35"/>
      <c r="L412" s="35"/>
      <c r="M412" s="532"/>
      <c r="N412" s="35"/>
      <c r="O412" s="35"/>
      <c r="P412" s="35"/>
      <c r="Q412" s="35"/>
      <c r="R412" s="532"/>
    </row>
  </sheetData>
  <mergeCells count="23">
    <mergeCell ref="A5:A7"/>
    <mergeCell ref="B5:B7"/>
    <mergeCell ref="C5:C7"/>
    <mergeCell ref="I5:I7"/>
    <mergeCell ref="R5:R7"/>
    <mergeCell ref="L6:L7"/>
    <mergeCell ref="O6:O7"/>
    <mergeCell ref="Q6:Q7"/>
    <mergeCell ref="J6:J7"/>
    <mergeCell ref="J5:L5"/>
    <mergeCell ref="M5:M7"/>
    <mergeCell ref="N5:N7"/>
    <mergeCell ref="O5:Q5"/>
    <mergeCell ref="F6:F7"/>
    <mergeCell ref="K6:K7"/>
    <mergeCell ref="P6:P7"/>
    <mergeCell ref="B2:H2"/>
    <mergeCell ref="B3:H3"/>
    <mergeCell ref="D5:D7"/>
    <mergeCell ref="E5:G5"/>
    <mergeCell ref="H5:H7"/>
    <mergeCell ref="E6:E7"/>
    <mergeCell ref="G6:G7"/>
  </mergeCells>
  <phoneticPr fontId="27" type="noConversion"/>
  <pageMargins left="0.35433070866141736" right="0.27559055118110237" top="0.31496062992125984" bottom="0.43307086614173229" header="0.15748031496062992" footer="0.23622047244094491"/>
  <pageSetup paperSize="9" scale="60" orientation="landscape" r:id="rId1"/>
  <headerFooter alignWithMargins="0">
    <oddFooter>&amp;L&amp;F&amp;C&amp;P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R411"/>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C9" sqref="C9"/>
    </sheetView>
  </sheetViews>
  <sheetFormatPr defaultColWidth="9.109375" defaultRowHeight="10.199999999999999"/>
  <cols>
    <col min="1" max="1" width="11.44140625" style="21" bestFit="1" customWidth="1"/>
    <col min="2" max="2" width="39.6640625" style="55" customWidth="1"/>
    <col min="3" max="3" width="13" style="22" customWidth="1"/>
    <col min="4" max="4" width="12" style="21" customWidth="1"/>
    <col min="5" max="5" width="12" style="274" customWidth="1"/>
    <col min="6" max="7" width="11.44140625" style="274" customWidth="1"/>
    <col min="8" max="8" width="11.6640625" style="533" customWidth="1"/>
    <col min="9" max="9" width="11.44140625" style="274" customWidth="1"/>
    <col min="10" max="10" width="12" style="274" customWidth="1"/>
    <col min="11" max="12" width="11.44140625" style="274"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3"/>
  </cols>
  <sheetData>
    <row r="1" spans="1:18" ht="13.2">
      <c r="A1" s="216"/>
      <c r="B1" s="216"/>
      <c r="C1" s="216"/>
      <c r="D1" s="216"/>
      <c r="E1" s="216"/>
      <c r="F1" s="422"/>
      <c r="G1" s="422"/>
      <c r="H1" s="531"/>
      <c r="I1" s="422"/>
      <c r="J1" s="422"/>
      <c r="K1" s="422"/>
      <c r="L1" s="422"/>
      <c r="M1" s="217"/>
      <c r="N1" s="216"/>
      <c r="O1" s="216"/>
      <c r="P1" s="216"/>
      <c r="Q1" s="216"/>
      <c r="R1" s="217"/>
    </row>
    <row r="2" spans="1:18" ht="13.2">
      <c r="A2" s="219"/>
      <c r="B2" s="1399"/>
      <c r="C2" s="1399"/>
      <c r="D2" s="1399"/>
      <c r="E2" s="1399"/>
      <c r="F2" s="1399"/>
      <c r="G2" s="1399"/>
      <c r="H2" s="1399"/>
      <c r="I2" s="423"/>
      <c r="J2" s="423"/>
      <c r="K2" s="423"/>
      <c r="L2" s="423"/>
      <c r="M2" s="220"/>
      <c r="N2" s="577"/>
      <c r="O2" s="577"/>
      <c r="P2" s="577"/>
      <c r="Q2" s="577"/>
      <c r="R2" s="220"/>
    </row>
    <row r="3" spans="1:18" s="1" customFormat="1" ht="12.75" customHeight="1">
      <c r="A3" s="221"/>
      <c r="B3" s="1400" t="s">
        <v>489</v>
      </c>
      <c r="C3" s="1400"/>
      <c r="D3" s="1400"/>
      <c r="E3" s="1400"/>
      <c r="F3" s="1400"/>
      <c r="G3" s="1400"/>
      <c r="H3" s="1400"/>
      <c r="I3" s="578"/>
      <c r="J3" s="578"/>
      <c r="K3" s="578"/>
      <c r="L3" s="578"/>
      <c r="M3" s="220"/>
      <c r="N3" s="578"/>
      <c r="O3" s="578"/>
      <c r="P3" s="578"/>
      <c r="Q3" s="578"/>
      <c r="R3" s="220"/>
    </row>
    <row r="4" spans="1:18" s="1" customFormat="1" ht="13.2">
      <c r="A4" s="221"/>
      <c r="B4" s="578"/>
      <c r="C4" s="222"/>
      <c r="D4" s="578"/>
      <c r="E4" s="578"/>
      <c r="F4" s="578"/>
      <c r="G4" s="578"/>
      <c r="H4" s="578"/>
      <c r="I4" s="578"/>
      <c r="J4" s="578"/>
      <c r="K4" s="578"/>
      <c r="L4" s="578"/>
      <c r="M4" s="578"/>
      <c r="N4" s="578"/>
      <c r="O4" s="578"/>
      <c r="P4" s="578"/>
      <c r="Q4" s="578"/>
      <c r="R4" s="578"/>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31.2"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26.4">
      <c r="A9" s="388"/>
      <c r="B9" s="390" t="s">
        <v>130</v>
      </c>
      <c r="C9" s="391"/>
      <c r="D9" s="391"/>
      <c r="E9" s="226"/>
      <c r="F9" s="226"/>
      <c r="G9" s="226"/>
      <c r="H9" s="226"/>
      <c r="I9" s="365"/>
      <c r="J9" s="226"/>
      <c r="K9" s="226"/>
      <c r="L9" s="226"/>
      <c r="M9" s="226"/>
      <c r="N9" s="365"/>
      <c r="O9" s="226"/>
      <c r="P9" s="226"/>
      <c r="Q9" s="226"/>
      <c r="R9" s="226"/>
    </row>
    <row r="10" spans="1:18" s="4" customFormat="1" ht="20.399999999999999">
      <c r="A10" s="129" t="s">
        <v>201</v>
      </c>
      <c r="B10" s="123" t="s">
        <v>88</v>
      </c>
      <c r="C10" s="167">
        <v>2790364</v>
      </c>
      <c r="D10" s="167">
        <v>2904989</v>
      </c>
      <c r="E10" s="432">
        <f>E11+E12+E14+E32</f>
        <v>0</v>
      </c>
      <c r="F10" s="432">
        <f>F11+F12+F14+F32</f>
        <v>-20000</v>
      </c>
      <c r="G10" s="432">
        <f>G11+G12+G14+G32</f>
        <v>95270</v>
      </c>
      <c r="H10" s="403">
        <f t="shared" ref="H10:H73" si="0">SUM(D10:G10)</f>
        <v>2980259</v>
      </c>
      <c r="I10" s="432">
        <v>2881989</v>
      </c>
      <c r="J10" s="432">
        <f>J11+J12+J14+J32</f>
        <v>0</v>
      </c>
      <c r="K10" s="432">
        <f>K11+K12+K14+K32</f>
        <v>-20000</v>
      </c>
      <c r="L10" s="432">
        <f>L11+L12+L14+L32</f>
        <v>95270</v>
      </c>
      <c r="M10" s="403">
        <f t="shared" ref="M10:M73" si="1">SUM(I10:L10)</f>
        <v>2957259</v>
      </c>
      <c r="N10" s="432">
        <v>2851989</v>
      </c>
      <c r="O10" s="432">
        <f>O11+O12+O14+O32</f>
        <v>0</v>
      </c>
      <c r="P10" s="432">
        <f>P11+P12+P14+P32</f>
        <v>0</v>
      </c>
      <c r="Q10" s="432">
        <f>Q11+Q12+Q14+Q32</f>
        <v>62000</v>
      </c>
      <c r="R10" s="403">
        <f t="shared" ref="R10:R73" si="2">SUM(N10:Q10)</f>
        <v>2913989</v>
      </c>
    </row>
    <row r="11" spans="1:18" ht="24" hidden="1" customHeight="1">
      <c r="A11" s="130" t="s">
        <v>177</v>
      </c>
      <c r="B11" s="124" t="s">
        <v>90</v>
      </c>
      <c r="C11" s="169"/>
      <c r="D11" s="169">
        <v>0</v>
      </c>
      <c r="E11" s="433"/>
      <c r="F11" s="433"/>
      <c r="G11" s="433"/>
      <c r="H11" s="404">
        <f t="shared" si="0"/>
        <v>0</v>
      </c>
      <c r="I11" s="433">
        <v>0</v>
      </c>
      <c r="J11" s="433"/>
      <c r="K11" s="433"/>
      <c r="L11" s="433"/>
      <c r="M11" s="404">
        <f t="shared" si="1"/>
        <v>0</v>
      </c>
      <c r="N11" s="433">
        <v>0</v>
      </c>
      <c r="O11" s="433"/>
      <c r="P11" s="433"/>
      <c r="Q11" s="433"/>
      <c r="R11" s="404">
        <f t="shared" si="2"/>
        <v>0</v>
      </c>
    </row>
    <row r="12" spans="1:18" ht="12" hidden="1" customHeight="1">
      <c r="A12" s="130" t="s">
        <v>91</v>
      </c>
      <c r="B12" s="124" t="s">
        <v>92</v>
      </c>
      <c r="C12" s="169"/>
      <c r="D12" s="169">
        <v>0</v>
      </c>
      <c r="E12" s="433"/>
      <c r="F12" s="433"/>
      <c r="G12" s="433"/>
      <c r="H12" s="404">
        <f t="shared" si="0"/>
        <v>0</v>
      </c>
      <c r="I12" s="433">
        <v>0</v>
      </c>
      <c r="J12" s="433"/>
      <c r="K12" s="433"/>
      <c r="L12" s="433"/>
      <c r="M12" s="404">
        <f t="shared" si="1"/>
        <v>0</v>
      </c>
      <c r="N12" s="433">
        <v>0</v>
      </c>
      <c r="O12" s="433"/>
      <c r="P12" s="433"/>
      <c r="Q12" s="433"/>
      <c r="R12" s="404">
        <f t="shared" si="2"/>
        <v>0</v>
      </c>
    </row>
    <row r="13" spans="1:18" ht="24" hidden="1" customHeight="1">
      <c r="A13" s="131">
        <v>21210</v>
      </c>
      <c r="B13" s="125" t="s">
        <v>93</v>
      </c>
      <c r="C13" s="169"/>
      <c r="D13" s="169">
        <v>0</v>
      </c>
      <c r="E13" s="433"/>
      <c r="F13" s="433"/>
      <c r="G13" s="433"/>
      <c r="H13" s="404">
        <f t="shared" si="0"/>
        <v>0</v>
      </c>
      <c r="I13" s="433">
        <v>0</v>
      </c>
      <c r="J13" s="433"/>
      <c r="K13" s="433"/>
      <c r="L13" s="433"/>
      <c r="M13" s="404">
        <f t="shared" si="1"/>
        <v>0</v>
      </c>
      <c r="N13" s="433">
        <v>0</v>
      </c>
      <c r="O13" s="433"/>
      <c r="P13" s="433"/>
      <c r="Q13" s="433"/>
      <c r="R13" s="404">
        <f t="shared" si="2"/>
        <v>0</v>
      </c>
    </row>
    <row r="14" spans="1:18" ht="21" hidden="1" customHeight="1">
      <c r="A14" s="130" t="s">
        <v>178</v>
      </c>
      <c r="B14" s="124" t="s">
        <v>94</v>
      </c>
      <c r="C14" s="171">
        <v>0</v>
      </c>
      <c r="D14" s="171">
        <v>0</v>
      </c>
      <c r="E14" s="404">
        <f>E15+E21</f>
        <v>0</v>
      </c>
      <c r="F14" s="404">
        <f>F15+F21</f>
        <v>0</v>
      </c>
      <c r="G14" s="404">
        <f>G15+G21</f>
        <v>0</v>
      </c>
      <c r="H14" s="404">
        <f t="shared" si="0"/>
        <v>0</v>
      </c>
      <c r="I14" s="404">
        <v>0</v>
      </c>
      <c r="J14" s="404">
        <f>J15+J21</f>
        <v>0</v>
      </c>
      <c r="K14" s="404">
        <f>K15+K21</f>
        <v>0</v>
      </c>
      <c r="L14" s="404">
        <f>L15+L21</f>
        <v>0</v>
      </c>
      <c r="M14" s="404">
        <f t="shared" si="1"/>
        <v>0</v>
      </c>
      <c r="N14" s="404">
        <v>0</v>
      </c>
      <c r="O14" s="404">
        <f>O15+O21</f>
        <v>0</v>
      </c>
      <c r="P14" s="404">
        <f>P15+P21</f>
        <v>0</v>
      </c>
      <c r="Q14" s="404">
        <f>Q15+Q21</f>
        <v>0</v>
      </c>
      <c r="R14" s="404">
        <f t="shared" si="2"/>
        <v>0</v>
      </c>
    </row>
    <row r="15" spans="1:18" ht="12" hidden="1" customHeight="1">
      <c r="A15" s="132">
        <v>18000</v>
      </c>
      <c r="B15" s="125" t="s">
        <v>95</v>
      </c>
      <c r="C15" s="171">
        <v>0</v>
      </c>
      <c r="D15" s="171">
        <v>0</v>
      </c>
      <c r="E15" s="404">
        <f t="shared" ref="E15:L16" si="3">E16</f>
        <v>0</v>
      </c>
      <c r="F15" s="404">
        <f t="shared" si="3"/>
        <v>0</v>
      </c>
      <c r="G15" s="404">
        <f t="shared" si="3"/>
        <v>0</v>
      </c>
      <c r="H15" s="404">
        <f t="shared" si="0"/>
        <v>0</v>
      </c>
      <c r="I15" s="404">
        <v>0</v>
      </c>
      <c r="J15" s="404">
        <f t="shared" si="3"/>
        <v>0</v>
      </c>
      <c r="K15" s="404">
        <f t="shared" si="3"/>
        <v>0</v>
      </c>
      <c r="L15" s="404">
        <f t="shared" si="3"/>
        <v>0</v>
      </c>
      <c r="M15" s="404">
        <f t="shared" si="1"/>
        <v>0</v>
      </c>
      <c r="N15" s="404">
        <v>0</v>
      </c>
      <c r="O15" s="404">
        <f t="shared" ref="O15:Q16" si="4">O16</f>
        <v>0</v>
      </c>
      <c r="P15" s="404">
        <f t="shared" si="4"/>
        <v>0</v>
      </c>
      <c r="Q15" s="404">
        <f t="shared" si="4"/>
        <v>0</v>
      </c>
      <c r="R15" s="404">
        <f t="shared" si="2"/>
        <v>0</v>
      </c>
    </row>
    <row r="16" spans="1:18" ht="12" hidden="1" customHeight="1">
      <c r="A16" s="132">
        <v>18100</v>
      </c>
      <c r="B16" s="125" t="s">
        <v>96</v>
      </c>
      <c r="C16" s="171">
        <v>0</v>
      </c>
      <c r="D16" s="171">
        <v>0</v>
      </c>
      <c r="E16" s="404">
        <f>E17</f>
        <v>0</v>
      </c>
      <c r="F16" s="404">
        <f t="shared" si="3"/>
        <v>0</v>
      </c>
      <c r="G16" s="404">
        <f t="shared" si="3"/>
        <v>0</v>
      </c>
      <c r="H16" s="404">
        <f t="shared" si="0"/>
        <v>0</v>
      </c>
      <c r="I16" s="404">
        <v>0</v>
      </c>
      <c r="J16" s="404">
        <f>J17</f>
        <v>0</v>
      </c>
      <c r="K16" s="404">
        <f t="shared" si="3"/>
        <v>0</v>
      </c>
      <c r="L16" s="404">
        <f t="shared" si="3"/>
        <v>0</v>
      </c>
      <c r="M16" s="404">
        <f t="shared" si="1"/>
        <v>0</v>
      </c>
      <c r="N16" s="404">
        <v>0</v>
      </c>
      <c r="O16" s="404">
        <f t="shared" si="4"/>
        <v>0</v>
      </c>
      <c r="P16" s="404">
        <f t="shared" si="4"/>
        <v>0</v>
      </c>
      <c r="Q16" s="404">
        <f t="shared" si="4"/>
        <v>0</v>
      </c>
      <c r="R16" s="404">
        <f t="shared" si="2"/>
        <v>0</v>
      </c>
    </row>
    <row r="17" spans="1:18" s="4" customFormat="1" ht="24" hidden="1" customHeight="1">
      <c r="A17" s="133">
        <v>18130</v>
      </c>
      <c r="B17" s="172" t="s">
        <v>159</v>
      </c>
      <c r="C17" s="171">
        <v>0</v>
      </c>
      <c r="D17" s="171">
        <v>0</v>
      </c>
      <c r="E17" s="404">
        <f>SUM(E18:E20)</f>
        <v>0</v>
      </c>
      <c r="F17" s="404">
        <f>SUM(F18:F20)</f>
        <v>0</v>
      </c>
      <c r="G17" s="404">
        <f>SUM(G18:G20)</f>
        <v>0</v>
      </c>
      <c r="H17" s="404">
        <f t="shared" si="0"/>
        <v>0</v>
      </c>
      <c r="I17" s="404">
        <v>0</v>
      </c>
      <c r="J17" s="404">
        <f>SUM(J18:J20)</f>
        <v>0</v>
      </c>
      <c r="K17" s="404">
        <f>SUM(K18:K20)</f>
        <v>0</v>
      </c>
      <c r="L17" s="404">
        <f>SUM(L18:L20)</f>
        <v>0</v>
      </c>
      <c r="M17" s="404">
        <f t="shared" si="1"/>
        <v>0</v>
      </c>
      <c r="N17" s="404">
        <v>0</v>
      </c>
      <c r="O17" s="404">
        <f>SUM(O18:O20)</f>
        <v>0</v>
      </c>
      <c r="P17" s="404">
        <f>SUM(P18:P20)</f>
        <v>0</v>
      </c>
      <c r="Q17" s="404">
        <f>SUM(Q18:Q20)</f>
        <v>0</v>
      </c>
      <c r="R17" s="404">
        <f t="shared" si="2"/>
        <v>0</v>
      </c>
    </row>
    <row r="18" spans="1:18" s="6" customFormat="1" ht="24" hidden="1" customHeight="1">
      <c r="A18" s="134">
        <v>18131</v>
      </c>
      <c r="B18" s="172" t="s">
        <v>160</v>
      </c>
      <c r="C18" s="171"/>
      <c r="D18" s="171">
        <v>0</v>
      </c>
      <c r="E18" s="404"/>
      <c r="F18" s="404"/>
      <c r="G18" s="404"/>
      <c r="H18" s="404">
        <f t="shared" si="0"/>
        <v>0</v>
      </c>
      <c r="I18" s="404">
        <v>0</v>
      </c>
      <c r="J18" s="404"/>
      <c r="K18" s="404"/>
      <c r="L18" s="404"/>
      <c r="M18" s="404">
        <f t="shared" si="1"/>
        <v>0</v>
      </c>
      <c r="N18" s="404">
        <v>0</v>
      </c>
      <c r="O18" s="404"/>
      <c r="P18" s="404"/>
      <c r="Q18" s="404"/>
      <c r="R18" s="404">
        <f t="shared" si="2"/>
        <v>0</v>
      </c>
    </row>
    <row r="19" spans="1:18" s="6" customFormat="1" ht="24" hidden="1" customHeight="1">
      <c r="A19" s="134">
        <v>18132</v>
      </c>
      <c r="B19" s="172" t="s">
        <v>169</v>
      </c>
      <c r="C19" s="171"/>
      <c r="D19" s="171">
        <v>0</v>
      </c>
      <c r="E19" s="404"/>
      <c r="F19" s="404"/>
      <c r="G19" s="404"/>
      <c r="H19" s="404">
        <f t="shared" si="0"/>
        <v>0</v>
      </c>
      <c r="I19" s="404">
        <v>0</v>
      </c>
      <c r="J19" s="404"/>
      <c r="K19" s="404"/>
      <c r="L19" s="404"/>
      <c r="M19" s="404">
        <f t="shared" si="1"/>
        <v>0</v>
      </c>
      <c r="N19" s="404">
        <v>0</v>
      </c>
      <c r="O19" s="404"/>
      <c r="P19" s="404"/>
      <c r="Q19" s="404"/>
      <c r="R19" s="404">
        <f t="shared" si="2"/>
        <v>0</v>
      </c>
    </row>
    <row r="20" spans="1:18" s="6" customFormat="1" ht="24" hidden="1" customHeight="1">
      <c r="A20" s="134">
        <v>18139</v>
      </c>
      <c r="B20" s="172" t="s">
        <v>179</v>
      </c>
      <c r="C20" s="171"/>
      <c r="D20" s="171">
        <v>0</v>
      </c>
      <c r="E20" s="404"/>
      <c r="F20" s="404"/>
      <c r="G20" s="404"/>
      <c r="H20" s="404">
        <f t="shared" si="0"/>
        <v>0</v>
      </c>
      <c r="I20" s="404">
        <v>0</v>
      </c>
      <c r="J20" s="404"/>
      <c r="K20" s="404"/>
      <c r="L20" s="404"/>
      <c r="M20" s="404">
        <f t="shared" si="1"/>
        <v>0</v>
      </c>
      <c r="N20" s="404">
        <v>0</v>
      </c>
      <c r="O20" s="404"/>
      <c r="P20" s="404"/>
      <c r="Q20" s="404"/>
      <c r="R20" s="404">
        <f t="shared" si="2"/>
        <v>0</v>
      </c>
    </row>
    <row r="21" spans="1:18" s="6" customFormat="1" ht="12" hidden="1" customHeight="1">
      <c r="A21" s="135" t="s">
        <v>180</v>
      </c>
      <c r="B21" s="173" t="s">
        <v>173</v>
      </c>
      <c r="C21" s="174">
        <v>0</v>
      </c>
      <c r="D21" s="174">
        <v>0</v>
      </c>
      <c r="E21" s="436">
        <f t="shared" ref="E21:L21" si="5">E22</f>
        <v>0</v>
      </c>
      <c r="F21" s="436">
        <f t="shared" si="5"/>
        <v>0</v>
      </c>
      <c r="G21" s="436">
        <f t="shared" si="5"/>
        <v>0</v>
      </c>
      <c r="H21" s="404">
        <f t="shared" si="0"/>
        <v>0</v>
      </c>
      <c r="I21" s="436">
        <v>0</v>
      </c>
      <c r="J21" s="436">
        <f t="shared" si="5"/>
        <v>0</v>
      </c>
      <c r="K21" s="436">
        <f t="shared" si="5"/>
        <v>0</v>
      </c>
      <c r="L21" s="436">
        <f t="shared" si="5"/>
        <v>0</v>
      </c>
      <c r="M21" s="404">
        <f t="shared" si="1"/>
        <v>0</v>
      </c>
      <c r="N21" s="436">
        <v>0</v>
      </c>
      <c r="O21" s="436">
        <f>O22</f>
        <v>0</v>
      </c>
      <c r="P21" s="436">
        <f>P22</f>
        <v>0</v>
      </c>
      <c r="Q21" s="436">
        <f>Q22</f>
        <v>0</v>
      </c>
      <c r="R21" s="404">
        <f t="shared" si="2"/>
        <v>0</v>
      </c>
    </row>
    <row r="22" spans="1:18" s="6" customFormat="1" ht="12" hidden="1" customHeight="1">
      <c r="A22" s="135">
        <v>19500</v>
      </c>
      <c r="B22" s="172" t="s">
        <v>174</v>
      </c>
      <c r="C22" s="171">
        <v>0</v>
      </c>
      <c r="D22" s="171">
        <v>0</v>
      </c>
      <c r="E22" s="404">
        <f>SUM(E23:E25)</f>
        <v>0</v>
      </c>
      <c r="F22" s="404">
        <f>SUM(F23:F25)</f>
        <v>0</v>
      </c>
      <c r="G22" s="404">
        <f>SUM(G23:G25)</f>
        <v>0</v>
      </c>
      <c r="H22" s="404">
        <f t="shared" si="0"/>
        <v>0</v>
      </c>
      <c r="I22" s="404">
        <v>0</v>
      </c>
      <c r="J22" s="404">
        <f>SUM(J23:J25)</f>
        <v>0</v>
      </c>
      <c r="K22" s="404">
        <f>SUM(K23:K25)</f>
        <v>0</v>
      </c>
      <c r="L22" s="404">
        <f>SUM(L23:L25)</f>
        <v>0</v>
      </c>
      <c r="M22" s="404">
        <f t="shared" si="1"/>
        <v>0</v>
      </c>
      <c r="N22" s="404">
        <v>0</v>
      </c>
      <c r="O22" s="404">
        <f>SUM(O23:O25)</f>
        <v>0</v>
      </c>
      <c r="P22" s="404">
        <f>SUM(P23:P25)</f>
        <v>0</v>
      </c>
      <c r="Q22" s="404">
        <f>SUM(Q23:Q25)</f>
        <v>0</v>
      </c>
      <c r="R22" s="404">
        <f t="shared" si="2"/>
        <v>0</v>
      </c>
    </row>
    <row r="23" spans="1:18" s="6" customFormat="1" ht="24" hidden="1" customHeight="1">
      <c r="A23" s="136">
        <v>19550</v>
      </c>
      <c r="B23" s="172" t="s">
        <v>175</v>
      </c>
      <c r="C23" s="171"/>
      <c r="D23" s="171">
        <v>0</v>
      </c>
      <c r="E23" s="404"/>
      <c r="F23" s="404"/>
      <c r="G23" s="404"/>
      <c r="H23" s="404">
        <f t="shared" si="0"/>
        <v>0</v>
      </c>
      <c r="I23" s="404">
        <v>0</v>
      </c>
      <c r="J23" s="404"/>
      <c r="K23" s="404"/>
      <c r="L23" s="404"/>
      <c r="M23" s="404">
        <f t="shared" si="1"/>
        <v>0</v>
      </c>
      <c r="N23" s="404">
        <v>0</v>
      </c>
      <c r="O23" s="404"/>
      <c r="P23" s="404"/>
      <c r="Q23" s="404"/>
      <c r="R23" s="404">
        <f t="shared" si="2"/>
        <v>0</v>
      </c>
    </row>
    <row r="24" spans="1:18" s="6" customFormat="1" ht="36" hidden="1" customHeight="1">
      <c r="A24" s="136">
        <v>19560</v>
      </c>
      <c r="B24" s="172" t="s">
        <v>181</v>
      </c>
      <c r="C24" s="171"/>
      <c r="D24" s="171">
        <v>0</v>
      </c>
      <c r="E24" s="404"/>
      <c r="F24" s="404"/>
      <c r="G24" s="404"/>
      <c r="H24" s="404">
        <f t="shared" si="0"/>
        <v>0</v>
      </c>
      <c r="I24" s="404">
        <v>0</v>
      </c>
      <c r="J24" s="404"/>
      <c r="K24" s="404"/>
      <c r="L24" s="404"/>
      <c r="M24" s="404">
        <f t="shared" si="1"/>
        <v>0</v>
      </c>
      <c r="N24" s="404">
        <v>0</v>
      </c>
      <c r="O24" s="404"/>
      <c r="P24" s="404"/>
      <c r="Q24" s="404"/>
      <c r="R24" s="404">
        <f t="shared" si="2"/>
        <v>0</v>
      </c>
    </row>
    <row r="25" spans="1:18" s="6" customFormat="1" ht="60" hidden="1" customHeight="1">
      <c r="A25" s="136">
        <v>19570</v>
      </c>
      <c r="B25" s="172" t="s">
        <v>182</v>
      </c>
      <c r="C25" s="171"/>
      <c r="D25" s="171">
        <v>0</v>
      </c>
      <c r="E25" s="404"/>
      <c r="F25" s="404"/>
      <c r="G25" s="404"/>
      <c r="H25" s="404">
        <f t="shared" si="0"/>
        <v>0</v>
      </c>
      <c r="I25" s="404">
        <v>0</v>
      </c>
      <c r="J25" s="404"/>
      <c r="K25" s="404"/>
      <c r="L25" s="404"/>
      <c r="M25" s="404">
        <f t="shared" si="1"/>
        <v>0</v>
      </c>
      <c r="N25" s="404">
        <v>0</v>
      </c>
      <c r="O25" s="404"/>
      <c r="P25" s="404"/>
      <c r="Q25" s="404"/>
      <c r="R25" s="404">
        <f t="shared" si="2"/>
        <v>0</v>
      </c>
    </row>
    <row r="26" spans="1:18" s="6" customFormat="1" ht="24" hidden="1" customHeight="1">
      <c r="A26" s="209" t="s">
        <v>222</v>
      </c>
      <c r="B26" s="208" t="s">
        <v>216</v>
      </c>
      <c r="C26" s="171">
        <f>C27</f>
        <v>0</v>
      </c>
      <c r="D26" s="171">
        <v>0</v>
      </c>
      <c r="E26" s="404">
        <f t="shared" ref="E26:L26" si="6">E27</f>
        <v>0</v>
      </c>
      <c r="F26" s="404">
        <f t="shared" si="6"/>
        <v>0</v>
      </c>
      <c r="G26" s="404">
        <f t="shared" si="6"/>
        <v>0</v>
      </c>
      <c r="H26" s="404">
        <f t="shared" si="0"/>
        <v>0</v>
      </c>
      <c r="I26" s="404">
        <v>0</v>
      </c>
      <c r="J26" s="404">
        <f t="shared" si="6"/>
        <v>0</v>
      </c>
      <c r="K26" s="404">
        <f t="shared" si="6"/>
        <v>0</v>
      </c>
      <c r="L26" s="404">
        <f t="shared" si="6"/>
        <v>0</v>
      </c>
      <c r="M26" s="404">
        <f t="shared" si="1"/>
        <v>0</v>
      </c>
      <c r="N26" s="404">
        <v>0</v>
      </c>
      <c r="O26" s="404">
        <f>O27</f>
        <v>0</v>
      </c>
      <c r="P26" s="404">
        <f>P27</f>
        <v>0</v>
      </c>
      <c r="Q26" s="404">
        <f>Q27</f>
        <v>0</v>
      </c>
      <c r="R26" s="404">
        <f t="shared" si="2"/>
        <v>0</v>
      </c>
    </row>
    <row r="27" spans="1:18" s="6" customFormat="1" ht="36" hidden="1" customHeight="1">
      <c r="A27" s="209">
        <v>17100</v>
      </c>
      <c r="B27" s="208" t="s">
        <v>217</v>
      </c>
      <c r="C27" s="171">
        <f>SUM(C28:C31)</f>
        <v>0</v>
      </c>
      <c r="D27" s="171">
        <v>0</v>
      </c>
      <c r="E27" s="404">
        <f>SUM(E28:E31)</f>
        <v>0</v>
      </c>
      <c r="F27" s="404">
        <f>SUM(F28:F31)</f>
        <v>0</v>
      </c>
      <c r="G27" s="404">
        <f>SUM(G28:G31)</f>
        <v>0</v>
      </c>
      <c r="H27" s="404">
        <f t="shared" si="0"/>
        <v>0</v>
      </c>
      <c r="I27" s="404">
        <v>0</v>
      </c>
      <c r="J27" s="404">
        <f>SUM(J28:J31)</f>
        <v>0</v>
      </c>
      <c r="K27" s="404">
        <f>SUM(K28:K31)</f>
        <v>0</v>
      </c>
      <c r="L27" s="404">
        <f>SUM(L28:L31)</f>
        <v>0</v>
      </c>
      <c r="M27" s="404">
        <f t="shared" si="1"/>
        <v>0</v>
      </c>
      <c r="N27" s="404">
        <v>0</v>
      </c>
      <c r="O27" s="404">
        <f>SUM(O28:O31)</f>
        <v>0</v>
      </c>
      <c r="P27" s="404">
        <f>SUM(P28:P31)</f>
        <v>0</v>
      </c>
      <c r="Q27" s="404">
        <f>SUM(Q28:Q31)</f>
        <v>0</v>
      </c>
      <c r="R27" s="404">
        <f t="shared" si="2"/>
        <v>0</v>
      </c>
    </row>
    <row r="28" spans="1:18" s="6" customFormat="1" ht="48" hidden="1" customHeight="1">
      <c r="A28" s="149">
        <v>17110</v>
      </c>
      <c r="B28" s="208" t="s">
        <v>218</v>
      </c>
      <c r="C28" s="171"/>
      <c r="D28" s="171">
        <v>0</v>
      </c>
      <c r="E28" s="404"/>
      <c r="F28" s="404"/>
      <c r="G28" s="404"/>
      <c r="H28" s="404">
        <f t="shared" si="0"/>
        <v>0</v>
      </c>
      <c r="I28" s="404">
        <v>0</v>
      </c>
      <c r="J28" s="404"/>
      <c r="K28" s="404"/>
      <c r="L28" s="404"/>
      <c r="M28" s="404">
        <f t="shared" si="1"/>
        <v>0</v>
      </c>
      <c r="N28" s="404">
        <v>0</v>
      </c>
      <c r="O28" s="404"/>
      <c r="P28" s="404"/>
      <c r="Q28" s="404"/>
      <c r="R28" s="404">
        <f t="shared" si="2"/>
        <v>0</v>
      </c>
    </row>
    <row r="29" spans="1:18" s="6" customFormat="1" ht="48" hidden="1" customHeight="1">
      <c r="A29" s="149">
        <v>17120</v>
      </c>
      <c r="B29" s="208" t="s">
        <v>219</v>
      </c>
      <c r="C29" s="171"/>
      <c r="D29" s="171">
        <v>0</v>
      </c>
      <c r="E29" s="404"/>
      <c r="F29" s="404"/>
      <c r="G29" s="404"/>
      <c r="H29" s="404">
        <f t="shared" si="0"/>
        <v>0</v>
      </c>
      <c r="I29" s="404">
        <v>0</v>
      </c>
      <c r="J29" s="404"/>
      <c r="K29" s="404"/>
      <c r="L29" s="404"/>
      <c r="M29" s="404">
        <f t="shared" si="1"/>
        <v>0</v>
      </c>
      <c r="N29" s="404">
        <v>0</v>
      </c>
      <c r="O29" s="404"/>
      <c r="P29" s="404"/>
      <c r="Q29" s="404"/>
      <c r="R29" s="404">
        <f t="shared" si="2"/>
        <v>0</v>
      </c>
    </row>
    <row r="30" spans="1:18" s="6" customFormat="1" ht="96" hidden="1" customHeight="1">
      <c r="A30" s="149">
        <v>17130</v>
      </c>
      <c r="B30" s="208" t="s">
        <v>220</v>
      </c>
      <c r="C30" s="171"/>
      <c r="D30" s="171">
        <v>0</v>
      </c>
      <c r="E30" s="404"/>
      <c r="F30" s="404"/>
      <c r="G30" s="404"/>
      <c r="H30" s="404">
        <f t="shared" si="0"/>
        <v>0</v>
      </c>
      <c r="I30" s="404">
        <v>0</v>
      </c>
      <c r="J30" s="404"/>
      <c r="K30" s="404"/>
      <c r="L30" s="404"/>
      <c r="M30" s="404">
        <f t="shared" si="1"/>
        <v>0</v>
      </c>
      <c r="N30" s="404">
        <v>0</v>
      </c>
      <c r="O30" s="404"/>
      <c r="P30" s="404"/>
      <c r="Q30" s="404"/>
      <c r="R30" s="404">
        <f t="shared" si="2"/>
        <v>0</v>
      </c>
    </row>
    <row r="31" spans="1:18" s="6" customFormat="1" ht="96" hidden="1" customHeight="1">
      <c r="A31" s="149">
        <v>17140</v>
      </c>
      <c r="B31" s="208" t="s">
        <v>221</v>
      </c>
      <c r="C31" s="171"/>
      <c r="D31" s="171">
        <v>0</v>
      </c>
      <c r="E31" s="404"/>
      <c r="F31" s="404"/>
      <c r="G31" s="404"/>
      <c r="H31" s="404">
        <f t="shared" si="0"/>
        <v>0</v>
      </c>
      <c r="I31" s="404">
        <v>0</v>
      </c>
      <c r="J31" s="404"/>
      <c r="K31" s="404"/>
      <c r="L31" s="404"/>
      <c r="M31" s="404">
        <f t="shared" si="1"/>
        <v>0</v>
      </c>
      <c r="N31" s="404">
        <v>0</v>
      </c>
      <c r="O31" s="404"/>
      <c r="P31" s="404"/>
      <c r="Q31" s="404"/>
      <c r="R31" s="404">
        <f t="shared" si="2"/>
        <v>0</v>
      </c>
    </row>
    <row r="32" spans="1:18" s="6" customFormat="1" ht="12">
      <c r="A32" s="137">
        <v>21700</v>
      </c>
      <c r="B32" s="124" t="s">
        <v>97</v>
      </c>
      <c r="C32" s="171">
        <v>2790364</v>
      </c>
      <c r="D32" s="171">
        <v>2904989</v>
      </c>
      <c r="E32" s="404">
        <f>E33+E34</f>
        <v>0</v>
      </c>
      <c r="F32" s="404">
        <f>F33+F34</f>
        <v>-20000</v>
      </c>
      <c r="G32" s="404">
        <f>G33+G34</f>
        <v>95270</v>
      </c>
      <c r="H32" s="404">
        <f t="shared" si="0"/>
        <v>2980259</v>
      </c>
      <c r="I32" s="404">
        <v>2881989</v>
      </c>
      <c r="J32" s="404">
        <f>J33+J34</f>
        <v>0</v>
      </c>
      <c r="K32" s="404">
        <f>K33+K34</f>
        <v>-20000</v>
      </c>
      <c r="L32" s="404">
        <f>L33+L34</f>
        <v>95270</v>
      </c>
      <c r="M32" s="404">
        <f t="shared" si="1"/>
        <v>2957259</v>
      </c>
      <c r="N32" s="404">
        <v>2851989</v>
      </c>
      <c r="O32" s="404">
        <f>O33+O34</f>
        <v>0</v>
      </c>
      <c r="P32" s="404">
        <f>P33+P34</f>
        <v>0</v>
      </c>
      <c r="Q32" s="404">
        <f>Q33+Q34</f>
        <v>62000</v>
      </c>
      <c r="R32" s="404">
        <f t="shared" si="2"/>
        <v>2913989</v>
      </c>
    </row>
    <row r="33" spans="1:18" s="6" customFormat="1" ht="24">
      <c r="A33" s="138">
        <v>21710</v>
      </c>
      <c r="B33" s="125" t="s">
        <v>98</v>
      </c>
      <c r="C33" s="171">
        <v>2790364</v>
      </c>
      <c r="D33" s="171">
        <v>2904989</v>
      </c>
      <c r="E33" s="404"/>
      <c r="F33" s="404">
        <f>F35</f>
        <v>-20000</v>
      </c>
      <c r="G33" s="404">
        <f>G35</f>
        <v>95270</v>
      </c>
      <c r="H33" s="404">
        <f t="shared" si="0"/>
        <v>2980259</v>
      </c>
      <c r="I33" s="404">
        <v>2881989</v>
      </c>
      <c r="J33" s="404"/>
      <c r="K33" s="404">
        <f>K35</f>
        <v>-20000</v>
      </c>
      <c r="L33" s="404">
        <f>L35</f>
        <v>95270</v>
      </c>
      <c r="M33" s="404">
        <f t="shared" si="1"/>
        <v>2957259</v>
      </c>
      <c r="N33" s="404">
        <v>2851989</v>
      </c>
      <c r="O33" s="404"/>
      <c r="P33" s="404"/>
      <c r="Q33" s="404">
        <f>Q35</f>
        <v>62000</v>
      </c>
      <c r="R33" s="404">
        <f t="shared" si="2"/>
        <v>2913989</v>
      </c>
    </row>
    <row r="34" spans="1:18" s="6" customFormat="1" ht="24" hidden="1" customHeight="1">
      <c r="A34" s="138">
        <v>21720</v>
      </c>
      <c r="B34" s="125" t="s">
        <v>99</v>
      </c>
      <c r="C34" s="171"/>
      <c r="D34" s="171">
        <v>0</v>
      </c>
      <c r="E34" s="404"/>
      <c r="F34" s="404"/>
      <c r="G34" s="404"/>
      <c r="H34" s="404">
        <f t="shared" si="0"/>
        <v>0</v>
      </c>
      <c r="I34" s="404">
        <v>0</v>
      </c>
      <c r="J34" s="404"/>
      <c r="K34" s="404"/>
      <c r="L34" s="404"/>
      <c r="M34" s="404">
        <f t="shared" si="1"/>
        <v>0</v>
      </c>
      <c r="N34" s="404">
        <v>0</v>
      </c>
      <c r="O34" s="404"/>
      <c r="P34" s="404"/>
      <c r="Q34" s="404"/>
      <c r="R34" s="404">
        <f t="shared" si="2"/>
        <v>0</v>
      </c>
    </row>
    <row r="35" spans="1:18" s="6" customFormat="1" ht="11.4">
      <c r="A35" s="129" t="s">
        <v>100</v>
      </c>
      <c r="B35" s="123" t="s">
        <v>101</v>
      </c>
      <c r="C35" s="175">
        <v>2790364</v>
      </c>
      <c r="D35" s="175">
        <v>2904989</v>
      </c>
      <c r="E35" s="403">
        <f>E36+E63</f>
        <v>0</v>
      </c>
      <c r="F35" s="403">
        <f>F36+F63</f>
        <v>-20000</v>
      </c>
      <c r="G35" s="403">
        <f>G36+G63</f>
        <v>95270</v>
      </c>
      <c r="H35" s="403">
        <f t="shared" si="0"/>
        <v>2980259</v>
      </c>
      <c r="I35" s="403">
        <v>2881989</v>
      </c>
      <c r="J35" s="403">
        <f>J36+J63</f>
        <v>0</v>
      </c>
      <c r="K35" s="403">
        <f>K36+K63</f>
        <v>-20000</v>
      </c>
      <c r="L35" s="403">
        <f>L36+L63</f>
        <v>95270</v>
      </c>
      <c r="M35" s="403">
        <f t="shared" si="1"/>
        <v>2957259</v>
      </c>
      <c r="N35" s="403">
        <v>2851989</v>
      </c>
      <c r="O35" s="403">
        <f>O36+O63</f>
        <v>0</v>
      </c>
      <c r="P35" s="403">
        <f>P36+P63</f>
        <v>0</v>
      </c>
      <c r="Q35" s="403">
        <f>Q36+Q63</f>
        <v>62000</v>
      </c>
      <c r="R35" s="403">
        <f t="shared" si="2"/>
        <v>2913989</v>
      </c>
    </row>
    <row r="36" spans="1:18" s="6" customFormat="1" ht="20.399999999999999">
      <c r="A36" s="130" t="s">
        <v>102</v>
      </c>
      <c r="B36" s="124" t="s">
        <v>103</v>
      </c>
      <c r="C36" s="171">
        <v>2722264</v>
      </c>
      <c r="D36" s="171">
        <v>2838889</v>
      </c>
      <c r="E36" s="404">
        <f>E37+E41+E42+E45+E48</f>
        <v>0</v>
      </c>
      <c r="F36" s="404">
        <f>F37+F41+F42+F45+F48</f>
        <v>0</v>
      </c>
      <c r="G36" s="404">
        <f>G37+G41+G42+G45+G48</f>
        <v>95270</v>
      </c>
      <c r="H36" s="404">
        <f t="shared" si="0"/>
        <v>2934159</v>
      </c>
      <c r="I36" s="404">
        <v>2829389</v>
      </c>
      <c r="J36" s="404">
        <f>J37+J41+J42+J45+J48</f>
        <v>0</v>
      </c>
      <c r="K36" s="404">
        <f>K37+K41+K42+K45+K48</f>
        <v>0</v>
      </c>
      <c r="L36" s="404">
        <f>L37+L41+L42+L45+L48</f>
        <v>95270</v>
      </c>
      <c r="M36" s="404">
        <f t="shared" si="1"/>
        <v>2924659</v>
      </c>
      <c r="N36" s="404">
        <v>2819389</v>
      </c>
      <c r="O36" s="404">
        <f>O37+O41+O42+O45+O48</f>
        <v>0</v>
      </c>
      <c r="P36" s="404">
        <f>P37+P41+P42+P45+P48</f>
        <v>0</v>
      </c>
      <c r="Q36" s="404">
        <f>Q37+Q41+Q42+Q45+Q48</f>
        <v>62000</v>
      </c>
      <c r="R36" s="404">
        <f t="shared" si="2"/>
        <v>2881389</v>
      </c>
    </row>
    <row r="37" spans="1:18" s="6" customFormat="1" ht="12">
      <c r="A37" s="130" t="s">
        <v>104</v>
      </c>
      <c r="B37" s="124" t="s">
        <v>105</v>
      </c>
      <c r="C37" s="171">
        <v>2273641</v>
      </c>
      <c r="D37" s="171">
        <v>2401331</v>
      </c>
      <c r="E37" s="404">
        <f>E38+E40</f>
        <v>0</v>
      </c>
      <c r="F37" s="404">
        <f>F38+F40</f>
        <v>0</v>
      </c>
      <c r="G37" s="404">
        <f>G38+G40</f>
        <v>95270</v>
      </c>
      <c r="H37" s="404">
        <f t="shared" si="0"/>
        <v>2496601</v>
      </c>
      <c r="I37" s="404">
        <v>2391831</v>
      </c>
      <c r="J37" s="404">
        <f>J38+J40</f>
        <v>0</v>
      </c>
      <c r="K37" s="404">
        <f>K38+K40</f>
        <v>0</v>
      </c>
      <c r="L37" s="404">
        <f>L38+L40</f>
        <v>95270</v>
      </c>
      <c r="M37" s="404">
        <f t="shared" si="1"/>
        <v>2487101</v>
      </c>
      <c r="N37" s="404">
        <v>2381831</v>
      </c>
      <c r="O37" s="404">
        <f>O38+O40</f>
        <v>0</v>
      </c>
      <c r="P37" s="404">
        <f>P38+P40</f>
        <v>0</v>
      </c>
      <c r="Q37" s="404">
        <f>Q38+Q40</f>
        <v>62000</v>
      </c>
      <c r="R37" s="404">
        <f t="shared" si="2"/>
        <v>2443831</v>
      </c>
    </row>
    <row r="38" spans="1:18" s="6" customFormat="1" ht="12">
      <c r="A38" s="132">
        <v>1000</v>
      </c>
      <c r="B38" s="125" t="s">
        <v>106</v>
      </c>
      <c r="C38" s="171">
        <v>1907602</v>
      </c>
      <c r="D38" s="171">
        <v>1918992</v>
      </c>
      <c r="E38" s="404"/>
      <c r="F38" s="404"/>
      <c r="G38" s="404"/>
      <c r="H38" s="404">
        <f t="shared" si="0"/>
        <v>1918992</v>
      </c>
      <c r="I38" s="404">
        <v>1918992</v>
      </c>
      <c r="J38" s="404"/>
      <c r="K38" s="404"/>
      <c r="L38" s="404"/>
      <c r="M38" s="404">
        <f t="shared" si="1"/>
        <v>1918992</v>
      </c>
      <c r="N38" s="404">
        <v>1918992</v>
      </c>
      <c r="O38" s="404"/>
      <c r="P38" s="404"/>
      <c r="Q38" s="404"/>
      <c r="R38" s="404">
        <f t="shared" si="2"/>
        <v>1918992</v>
      </c>
    </row>
    <row r="39" spans="1:18" s="6" customFormat="1" ht="12">
      <c r="A39" s="139">
        <v>1100</v>
      </c>
      <c r="B39" s="125" t="s">
        <v>107</v>
      </c>
      <c r="C39" s="171">
        <v>1487757</v>
      </c>
      <c r="D39" s="171">
        <v>1487757</v>
      </c>
      <c r="E39" s="404"/>
      <c r="F39" s="404"/>
      <c r="G39" s="404"/>
      <c r="H39" s="404">
        <f t="shared" si="0"/>
        <v>1487757</v>
      </c>
      <c r="I39" s="404">
        <v>1487757</v>
      </c>
      <c r="J39" s="404"/>
      <c r="K39" s="404"/>
      <c r="L39" s="404"/>
      <c r="M39" s="404">
        <f t="shared" si="1"/>
        <v>1487757</v>
      </c>
      <c r="N39" s="404">
        <v>1487757</v>
      </c>
      <c r="O39" s="404"/>
      <c r="P39" s="404"/>
      <c r="Q39" s="404"/>
      <c r="R39" s="404">
        <f t="shared" si="2"/>
        <v>1487757</v>
      </c>
    </row>
    <row r="40" spans="1:18" s="6" customFormat="1" ht="12">
      <c r="A40" s="132">
        <v>2000</v>
      </c>
      <c r="B40" s="125" t="s">
        <v>108</v>
      </c>
      <c r="C40" s="171">
        <v>366039</v>
      </c>
      <c r="D40" s="171">
        <v>482339</v>
      </c>
      <c r="E40" s="404"/>
      <c r="F40" s="404"/>
      <c r="G40" s="404">
        <f>25000+62000+8270</f>
        <v>95270</v>
      </c>
      <c r="H40" s="404">
        <f t="shared" si="0"/>
        <v>577609</v>
      </c>
      <c r="I40" s="404">
        <v>472839</v>
      </c>
      <c r="J40" s="404"/>
      <c r="K40" s="404"/>
      <c r="L40" s="404">
        <f>25000+62000+8270</f>
        <v>95270</v>
      </c>
      <c r="M40" s="404">
        <f t="shared" si="1"/>
        <v>568109</v>
      </c>
      <c r="N40" s="404">
        <v>462839</v>
      </c>
      <c r="O40" s="404"/>
      <c r="P40" s="404"/>
      <c r="Q40" s="404">
        <f>62000</f>
        <v>62000</v>
      </c>
      <c r="R40" s="404">
        <f t="shared" si="2"/>
        <v>524839</v>
      </c>
    </row>
    <row r="41" spans="1:18" s="6" customFormat="1" ht="12" hidden="1" customHeight="1">
      <c r="A41" s="140">
        <v>4000</v>
      </c>
      <c r="B41" s="124" t="s">
        <v>132</v>
      </c>
      <c r="C41" s="171">
        <v>0</v>
      </c>
      <c r="D41" s="171">
        <v>0</v>
      </c>
      <c r="E41" s="404"/>
      <c r="F41" s="404"/>
      <c r="G41" s="404"/>
      <c r="H41" s="404">
        <f t="shared" si="0"/>
        <v>0</v>
      </c>
      <c r="I41" s="404">
        <v>0</v>
      </c>
      <c r="J41" s="404"/>
      <c r="K41" s="404"/>
      <c r="L41" s="404"/>
      <c r="M41" s="404">
        <f t="shared" si="1"/>
        <v>0</v>
      </c>
      <c r="N41" s="404">
        <v>0</v>
      </c>
      <c r="O41" s="404"/>
      <c r="P41" s="404"/>
      <c r="Q41" s="404"/>
      <c r="R41" s="404">
        <f t="shared" si="2"/>
        <v>0</v>
      </c>
    </row>
    <row r="42" spans="1:18" s="6" customFormat="1" ht="12">
      <c r="A42" s="140" t="s">
        <v>109</v>
      </c>
      <c r="B42" s="124" t="s">
        <v>110</v>
      </c>
      <c r="C42" s="171">
        <v>442323</v>
      </c>
      <c r="D42" s="171">
        <v>431258</v>
      </c>
      <c r="E42" s="404">
        <f>E43+E44</f>
        <v>0</v>
      </c>
      <c r="F42" s="404">
        <f>F43+F44</f>
        <v>0</v>
      </c>
      <c r="G42" s="404">
        <f>G43+G44</f>
        <v>0</v>
      </c>
      <c r="H42" s="404">
        <f t="shared" si="0"/>
        <v>431258</v>
      </c>
      <c r="I42" s="404">
        <v>431258</v>
      </c>
      <c r="J42" s="404">
        <f>J43+J44</f>
        <v>0</v>
      </c>
      <c r="K42" s="404">
        <f>K43+K44</f>
        <v>0</v>
      </c>
      <c r="L42" s="404">
        <f>L43+L44</f>
        <v>0</v>
      </c>
      <c r="M42" s="404">
        <f t="shared" si="1"/>
        <v>431258</v>
      </c>
      <c r="N42" s="404">
        <v>431258</v>
      </c>
      <c r="O42" s="404">
        <f>O43+O44</f>
        <v>0</v>
      </c>
      <c r="P42" s="404">
        <f>P43+P44</f>
        <v>0</v>
      </c>
      <c r="Q42" s="404">
        <f>Q43+Q44</f>
        <v>0</v>
      </c>
      <c r="R42" s="404">
        <f t="shared" si="2"/>
        <v>431258</v>
      </c>
    </row>
    <row r="43" spans="1:18" s="6" customFormat="1" ht="12">
      <c r="A43" s="132">
        <v>3000</v>
      </c>
      <c r="B43" s="125" t="s">
        <v>111</v>
      </c>
      <c r="C43" s="213">
        <v>442323</v>
      </c>
      <c r="D43" s="213">
        <v>431258</v>
      </c>
      <c r="E43" s="438"/>
      <c r="F43" s="438"/>
      <c r="G43" s="438"/>
      <c r="H43" s="404">
        <f t="shared" si="0"/>
        <v>431258</v>
      </c>
      <c r="I43" s="438">
        <v>431258</v>
      </c>
      <c r="J43" s="438"/>
      <c r="K43" s="438"/>
      <c r="L43" s="438"/>
      <c r="M43" s="404">
        <f t="shared" si="1"/>
        <v>431258</v>
      </c>
      <c r="N43" s="438">
        <v>431258</v>
      </c>
      <c r="O43" s="438"/>
      <c r="P43" s="438"/>
      <c r="Q43" s="438"/>
      <c r="R43" s="404">
        <f t="shared" si="2"/>
        <v>431258</v>
      </c>
    </row>
    <row r="44" spans="1:18" s="6" customFormat="1" ht="12" hidden="1" customHeight="1">
      <c r="A44" s="132">
        <v>6000</v>
      </c>
      <c r="B44" s="125" t="s">
        <v>112</v>
      </c>
      <c r="C44" s="287">
        <v>0</v>
      </c>
      <c r="D44" s="287">
        <v>0</v>
      </c>
      <c r="E44" s="523"/>
      <c r="F44" s="523"/>
      <c r="G44" s="523"/>
      <c r="H44" s="404">
        <f t="shared" si="0"/>
        <v>0</v>
      </c>
      <c r="I44" s="523">
        <v>0</v>
      </c>
      <c r="J44" s="523"/>
      <c r="K44" s="523"/>
      <c r="L44" s="523"/>
      <c r="M44" s="404">
        <f t="shared" si="1"/>
        <v>0</v>
      </c>
      <c r="N44" s="523">
        <v>0</v>
      </c>
      <c r="O44" s="523"/>
      <c r="P44" s="523"/>
      <c r="Q44" s="523"/>
      <c r="R44" s="404">
        <f t="shared" si="2"/>
        <v>0</v>
      </c>
    </row>
    <row r="45" spans="1:18" s="6" customFormat="1" ht="22.8">
      <c r="A45" s="140" t="s">
        <v>113</v>
      </c>
      <c r="B45" s="124" t="s">
        <v>183</v>
      </c>
      <c r="C45" s="171">
        <v>6300</v>
      </c>
      <c r="D45" s="171">
        <v>6300</v>
      </c>
      <c r="E45" s="404">
        <f>E46+E47</f>
        <v>0</v>
      </c>
      <c r="F45" s="404">
        <f>F46+F47</f>
        <v>0</v>
      </c>
      <c r="G45" s="404">
        <f>G46+G47</f>
        <v>0</v>
      </c>
      <c r="H45" s="404">
        <f t="shared" si="0"/>
        <v>6300</v>
      </c>
      <c r="I45" s="404">
        <v>6300</v>
      </c>
      <c r="J45" s="404">
        <f>J46+J47</f>
        <v>0</v>
      </c>
      <c r="K45" s="404">
        <f>K46+K47</f>
        <v>0</v>
      </c>
      <c r="L45" s="404">
        <f>L46+L47</f>
        <v>0</v>
      </c>
      <c r="M45" s="404">
        <f t="shared" si="1"/>
        <v>6300</v>
      </c>
      <c r="N45" s="404">
        <v>6300</v>
      </c>
      <c r="O45" s="404">
        <f>O46+O47</f>
        <v>0</v>
      </c>
      <c r="P45" s="404">
        <f>P46+P47</f>
        <v>0</v>
      </c>
      <c r="Q45" s="404">
        <f>Q46+Q47</f>
        <v>0</v>
      </c>
      <c r="R45" s="404">
        <f t="shared" si="2"/>
        <v>6300</v>
      </c>
    </row>
    <row r="46" spans="1:18" s="6" customFormat="1" ht="12" hidden="1" customHeight="1">
      <c r="A46" s="132">
        <v>7600</v>
      </c>
      <c r="B46" s="179" t="s">
        <v>184</v>
      </c>
      <c r="C46" s="171">
        <v>0</v>
      </c>
      <c r="D46" s="171">
        <v>0</v>
      </c>
      <c r="E46" s="404"/>
      <c r="F46" s="404"/>
      <c r="G46" s="404"/>
      <c r="H46" s="404">
        <f t="shared" si="0"/>
        <v>0</v>
      </c>
      <c r="I46" s="404">
        <v>0</v>
      </c>
      <c r="J46" s="404"/>
      <c r="K46" s="404"/>
      <c r="L46" s="404"/>
      <c r="M46" s="404">
        <f t="shared" si="1"/>
        <v>0</v>
      </c>
      <c r="N46" s="404">
        <v>0</v>
      </c>
      <c r="O46" s="404"/>
      <c r="P46" s="404"/>
      <c r="Q46" s="404"/>
      <c r="R46" s="404">
        <f t="shared" si="2"/>
        <v>0</v>
      </c>
    </row>
    <row r="47" spans="1:18" s="6" customFormat="1" ht="12">
      <c r="A47" s="132">
        <v>7700</v>
      </c>
      <c r="B47" s="126" t="s">
        <v>114</v>
      </c>
      <c r="C47" s="171">
        <v>6300</v>
      </c>
      <c r="D47" s="171">
        <v>6300</v>
      </c>
      <c r="E47" s="404"/>
      <c r="F47" s="404"/>
      <c r="G47" s="404"/>
      <c r="H47" s="404">
        <f t="shared" si="0"/>
        <v>6300</v>
      </c>
      <c r="I47" s="404">
        <v>6300</v>
      </c>
      <c r="J47" s="404"/>
      <c r="K47" s="404"/>
      <c r="L47" s="404"/>
      <c r="M47" s="404">
        <f t="shared" si="1"/>
        <v>6300</v>
      </c>
      <c r="N47" s="404">
        <v>6300</v>
      </c>
      <c r="O47" s="404"/>
      <c r="P47" s="404"/>
      <c r="Q47" s="404"/>
      <c r="R47" s="404">
        <f t="shared" si="2"/>
        <v>6300</v>
      </c>
    </row>
    <row r="48" spans="1:18" s="6" customFormat="1" ht="21" hidden="1" customHeight="1">
      <c r="A48" s="140" t="s">
        <v>185</v>
      </c>
      <c r="B48" s="124" t="s">
        <v>115</v>
      </c>
      <c r="C48" s="171">
        <v>0</v>
      </c>
      <c r="D48" s="171">
        <v>0</v>
      </c>
      <c r="E48" s="404">
        <f>E49+E55+E59+E62</f>
        <v>0</v>
      </c>
      <c r="F48" s="404">
        <f>F49+F55+F59+F62</f>
        <v>0</v>
      </c>
      <c r="G48" s="404">
        <f>G49+G55+G59+G62</f>
        <v>0</v>
      </c>
      <c r="H48" s="404">
        <f t="shared" si="0"/>
        <v>0</v>
      </c>
      <c r="I48" s="404">
        <v>0</v>
      </c>
      <c r="J48" s="404">
        <f>J49+J55+J59+J62</f>
        <v>0</v>
      </c>
      <c r="K48" s="404">
        <f>K49+K55+K59+K62</f>
        <v>0</v>
      </c>
      <c r="L48" s="404">
        <f>L49+L55+L59+L62</f>
        <v>0</v>
      </c>
      <c r="M48" s="404">
        <f t="shared" si="1"/>
        <v>0</v>
      </c>
      <c r="N48" s="404">
        <v>0</v>
      </c>
      <c r="O48" s="404">
        <f>O49+O55+O59+O62</f>
        <v>0</v>
      </c>
      <c r="P48" s="404">
        <f>P49+P55+P59+P62</f>
        <v>0</v>
      </c>
      <c r="Q48" s="404">
        <f>Q49+Q55+Q59+Q62</f>
        <v>0</v>
      </c>
      <c r="R48" s="404">
        <f t="shared" si="2"/>
        <v>0</v>
      </c>
    </row>
    <row r="49" spans="1:18" s="6" customFormat="1" ht="12" hidden="1" customHeight="1">
      <c r="A49" s="132">
        <v>7100</v>
      </c>
      <c r="B49" s="179" t="s">
        <v>116</v>
      </c>
      <c r="C49" s="171">
        <v>0</v>
      </c>
      <c r="D49" s="171">
        <v>0</v>
      </c>
      <c r="E49" s="404">
        <f>E50+E51</f>
        <v>0</v>
      </c>
      <c r="F49" s="404">
        <f>F50+F51</f>
        <v>0</v>
      </c>
      <c r="G49" s="404">
        <f>G50+G51</f>
        <v>0</v>
      </c>
      <c r="H49" s="404">
        <f t="shared" si="0"/>
        <v>0</v>
      </c>
      <c r="I49" s="404">
        <v>0</v>
      </c>
      <c r="J49" s="404">
        <f>J50+J51</f>
        <v>0</v>
      </c>
      <c r="K49" s="404">
        <f>K50+K51</f>
        <v>0</v>
      </c>
      <c r="L49" s="404">
        <f>L50+L51</f>
        <v>0</v>
      </c>
      <c r="M49" s="404">
        <f t="shared" si="1"/>
        <v>0</v>
      </c>
      <c r="N49" s="404">
        <v>0</v>
      </c>
      <c r="O49" s="404">
        <f>O50+O51</f>
        <v>0</v>
      </c>
      <c r="P49" s="404">
        <f>P50+P51</f>
        <v>0</v>
      </c>
      <c r="Q49" s="404">
        <f>Q50+Q51</f>
        <v>0</v>
      </c>
      <c r="R49" s="404">
        <f t="shared" si="2"/>
        <v>0</v>
      </c>
    </row>
    <row r="50" spans="1:18" s="6" customFormat="1" ht="24" hidden="1" customHeight="1">
      <c r="A50" s="133" t="s">
        <v>117</v>
      </c>
      <c r="B50" s="179" t="s">
        <v>118</v>
      </c>
      <c r="C50" s="171"/>
      <c r="D50" s="171">
        <v>0</v>
      </c>
      <c r="E50" s="404"/>
      <c r="F50" s="404"/>
      <c r="G50" s="404"/>
      <c r="H50" s="404">
        <f t="shared" si="0"/>
        <v>0</v>
      </c>
      <c r="I50" s="404">
        <v>0</v>
      </c>
      <c r="J50" s="404"/>
      <c r="K50" s="404"/>
      <c r="L50" s="404"/>
      <c r="M50" s="404">
        <f t="shared" si="1"/>
        <v>0</v>
      </c>
      <c r="N50" s="404">
        <v>0</v>
      </c>
      <c r="O50" s="404"/>
      <c r="P50" s="404"/>
      <c r="Q50" s="404"/>
      <c r="R50" s="404">
        <f t="shared" si="2"/>
        <v>0</v>
      </c>
    </row>
    <row r="51" spans="1:18" s="6" customFormat="1" ht="24" hidden="1" customHeight="1">
      <c r="A51" s="133">
        <v>7130</v>
      </c>
      <c r="B51" s="179" t="s">
        <v>119</v>
      </c>
      <c r="C51" s="171">
        <v>0</v>
      </c>
      <c r="D51" s="171">
        <v>0</v>
      </c>
      <c r="E51" s="404">
        <f>SUM(E52:E54)</f>
        <v>0</v>
      </c>
      <c r="F51" s="404">
        <f>SUM(F52:F54)</f>
        <v>0</v>
      </c>
      <c r="G51" s="404">
        <f>SUM(G52:G54)</f>
        <v>0</v>
      </c>
      <c r="H51" s="404">
        <f t="shared" si="0"/>
        <v>0</v>
      </c>
      <c r="I51" s="404">
        <v>0</v>
      </c>
      <c r="J51" s="404">
        <f>SUM(J52:J54)</f>
        <v>0</v>
      </c>
      <c r="K51" s="404">
        <f>SUM(K52:K54)</f>
        <v>0</v>
      </c>
      <c r="L51" s="404">
        <f>SUM(L52:L54)</f>
        <v>0</v>
      </c>
      <c r="M51" s="404">
        <f t="shared" si="1"/>
        <v>0</v>
      </c>
      <c r="N51" s="404">
        <v>0</v>
      </c>
      <c r="O51" s="404">
        <f>SUM(O52:O54)</f>
        <v>0</v>
      </c>
      <c r="P51" s="404">
        <f>SUM(P52:P54)</f>
        <v>0</v>
      </c>
      <c r="Q51" s="404">
        <f>SUM(Q52:Q54)</f>
        <v>0</v>
      </c>
      <c r="R51" s="404">
        <f t="shared" si="2"/>
        <v>0</v>
      </c>
    </row>
    <row r="52" spans="1:18" s="6" customFormat="1" ht="36" hidden="1" customHeight="1">
      <c r="A52" s="134">
        <v>7131</v>
      </c>
      <c r="B52" s="179" t="s">
        <v>120</v>
      </c>
      <c r="C52" s="171"/>
      <c r="D52" s="171">
        <v>0</v>
      </c>
      <c r="E52" s="404"/>
      <c r="F52" s="404"/>
      <c r="G52" s="404"/>
      <c r="H52" s="404">
        <f t="shared" si="0"/>
        <v>0</v>
      </c>
      <c r="I52" s="404">
        <v>0</v>
      </c>
      <c r="J52" s="404"/>
      <c r="K52" s="404"/>
      <c r="L52" s="404"/>
      <c r="M52" s="404">
        <f t="shared" si="1"/>
        <v>0</v>
      </c>
      <c r="N52" s="404">
        <v>0</v>
      </c>
      <c r="O52" s="404"/>
      <c r="P52" s="404"/>
      <c r="Q52" s="404"/>
      <c r="R52" s="404">
        <f t="shared" si="2"/>
        <v>0</v>
      </c>
    </row>
    <row r="53" spans="1:18" s="6" customFormat="1" ht="36" hidden="1" customHeight="1">
      <c r="A53" s="134">
        <v>7132</v>
      </c>
      <c r="B53" s="179" t="s">
        <v>121</v>
      </c>
      <c r="C53" s="171"/>
      <c r="D53" s="171">
        <v>0</v>
      </c>
      <c r="E53" s="404"/>
      <c r="F53" s="404"/>
      <c r="G53" s="404"/>
      <c r="H53" s="404">
        <f t="shared" si="0"/>
        <v>0</v>
      </c>
      <c r="I53" s="404">
        <v>0</v>
      </c>
      <c r="J53" s="404"/>
      <c r="K53" s="404"/>
      <c r="L53" s="404"/>
      <c r="M53" s="404">
        <f t="shared" si="1"/>
        <v>0</v>
      </c>
      <c r="N53" s="404">
        <v>0</v>
      </c>
      <c r="O53" s="404"/>
      <c r="P53" s="404"/>
      <c r="Q53" s="404"/>
      <c r="R53" s="404">
        <f t="shared" si="2"/>
        <v>0</v>
      </c>
    </row>
    <row r="54" spans="1:18" s="6" customFormat="1" ht="24" hidden="1" customHeight="1">
      <c r="A54" s="134" t="s">
        <v>186</v>
      </c>
      <c r="B54" s="179" t="s">
        <v>187</v>
      </c>
      <c r="C54" s="171"/>
      <c r="D54" s="171">
        <v>0</v>
      </c>
      <c r="E54" s="404"/>
      <c r="F54" s="404"/>
      <c r="G54" s="404"/>
      <c r="H54" s="404">
        <f t="shared" si="0"/>
        <v>0</v>
      </c>
      <c r="I54" s="404">
        <v>0</v>
      </c>
      <c r="J54" s="404"/>
      <c r="K54" s="404"/>
      <c r="L54" s="404"/>
      <c r="M54" s="404">
        <f t="shared" si="1"/>
        <v>0</v>
      </c>
      <c r="N54" s="404">
        <v>0</v>
      </c>
      <c r="O54" s="404"/>
      <c r="P54" s="404"/>
      <c r="Q54" s="404"/>
      <c r="R54" s="404">
        <f t="shared" si="2"/>
        <v>0</v>
      </c>
    </row>
    <row r="55" spans="1:18" s="6" customFormat="1" ht="24" hidden="1" customHeight="1">
      <c r="A55" s="132">
        <v>7300</v>
      </c>
      <c r="B55" s="172" t="s">
        <v>155</v>
      </c>
      <c r="C55" s="171">
        <v>0</v>
      </c>
      <c r="D55" s="171">
        <v>0</v>
      </c>
      <c r="E55" s="404">
        <f>SUM(E56:E58)</f>
        <v>0</v>
      </c>
      <c r="F55" s="404">
        <f>SUM(F56:F58)</f>
        <v>0</v>
      </c>
      <c r="G55" s="404">
        <f>SUM(G56:G58)</f>
        <v>0</v>
      </c>
      <c r="H55" s="404">
        <f t="shared" si="0"/>
        <v>0</v>
      </c>
      <c r="I55" s="404">
        <v>0</v>
      </c>
      <c r="J55" s="404">
        <f>SUM(J56:J58)</f>
        <v>0</v>
      </c>
      <c r="K55" s="404">
        <f>SUM(K56:K58)</f>
        <v>0</v>
      </c>
      <c r="L55" s="404">
        <f>SUM(L56:L58)</f>
        <v>0</v>
      </c>
      <c r="M55" s="404">
        <f t="shared" si="1"/>
        <v>0</v>
      </c>
      <c r="N55" s="404">
        <v>0</v>
      </c>
      <c r="O55" s="404">
        <f>SUM(O56:O58)</f>
        <v>0</v>
      </c>
      <c r="P55" s="404">
        <f>SUM(P56:P58)</f>
        <v>0</v>
      </c>
      <c r="Q55" s="404">
        <f>SUM(Q56:Q58)</f>
        <v>0</v>
      </c>
      <c r="R55" s="404">
        <f t="shared" si="2"/>
        <v>0</v>
      </c>
    </row>
    <row r="56" spans="1:18" s="6" customFormat="1" ht="24" hidden="1" customHeight="1">
      <c r="A56" s="133" t="s">
        <v>188</v>
      </c>
      <c r="B56" s="179" t="s">
        <v>170</v>
      </c>
      <c r="C56" s="180"/>
      <c r="D56" s="180">
        <v>0</v>
      </c>
      <c r="E56" s="443"/>
      <c r="F56" s="443"/>
      <c r="G56" s="443"/>
      <c r="H56" s="404">
        <f t="shared" si="0"/>
        <v>0</v>
      </c>
      <c r="I56" s="443">
        <v>0</v>
      </c>
      <c r="J56" s="443"/>
      <c r="K56" s="443"/>
      <c r="L56" s="443"/>
      <c r="M56" s="404">
        <f t="shared" si="1"/>
        <v>0</v>
      </c>
      <c r="N56" s="443">
        <v>0</v>
      </c>
      <c r="O56" s="443"/>
      <c r="P56" s="443"/>
      <c r="Q56" s="443"/>
      <c r="R56" s="404">
        <f t="shared" si="2"/>
        <v>0</v>
      </c>
    </row>
    <row r="57" spans="1:18" s="29" customFormat="1" ht="48" hidden="1" customHeight="1">
      <c r="A57" s="133" t="s">
        <v>189</v>
      </c>
      <c r="B57" s="179" t="s">
        <v>156</v>
      </c>
      <c r="C57" s="180"/>
      <c r="D57" s="180">
        <v>0</v>
      </c>
      <c r="E57" s="443"/>
      <c r="F57" s="443"/>
      <c r="G57" s="443"/>
      <c r="H57" s="404">
        <f t="shared" si="0"/>
        <v>0</v>
      </c>
      <c r="I57" s="443">
        <v>0</v>
      </c>
      <c r="J57" s="443"/>
      <c r="K57" s="443"/>
      <c r="L57" s="443"/>
      <c r="M57" s="404">
        <f t="shared" si="1"/>
        <v>0</v>
      </c>
      <c r="N57" s="443">
        <v>0</v>
      </c>
      <c r="O57" s="443"/>
      <c r="P57" s="443"/>
      <c r="Q57" s="443"/>
      <c r="R57" s="404">
        <f t="shared" si="2"/>
        <v>0</v>
      </c>
    </row>
    <row r="58" spans="1:18" s="89" customFormat="1" ht="36" hidden="1" customHeight="1">
      <c r="A58" s="133">
        <v>7350</v>
      </c>
      <c r="B58" s="179" t="s">
        <v>163</v>
      </c>
      <c r="C58" s="180"/>
      <c r="D58" s="180">
        <v>0</v>
      </c>
      <c r="E58" s="443"/>
      <c r="F58" s="443"/>
      <c r="G58" s="443"/>
      <c r="H58" s="404">
        <f t="shared" si="0"/>
        <v>0</v>
      </c>
      <c r="I58" s="443">
        <v>0</v>
      </c>
      <c r="J58" s="443"/>
      <c r="K58" s="443"/>
      <c r="L58" s="443"/>
      <c r="M58" s="404">
        <f t="shared" si="1"/>
        <v>0</v>
      </c>
      <c r="N58" s="443">
        <v>0</v>
      </c>
      <c r="O58" s="443"/>
      <c r="P58" s="443"/>
      <c r="Q58" s="443"/>
      <c r="R58" s="404">
        <f t="shared" si="2"/>
        <v>0</v>
      </c>
    </row>
    <row r="59" spans="1:18" s="89" customFormat="1" ht="24" hidden="1" customHeight="1">
      <c r="A59" s="132">
        <v>7400</v>
      </c>
      <c r="B59" s="172" t="s">
        <v>161</v>
      </c>
      <c r="C59" s="171">
        <v>0</v>
      </c>
      <c r="D59" s="171">
        <v>0</v>
      </c>
      <c r="E59" s="404">
        <f>SUM(E60:E61)</f>
        <v>0</v>
      </c>
      <c r="F59" s="404">
        <f>SUM(F60:F61)</f>
        <v>0</v>
      </c>
      <c r="G59" s="404">
        <f>SUM(G60:G61)</f>
        <v>0</v>
      </c>
      <c r="H59" s="404">
        <f t="shared" si="0"/>
        <v>0</v>
      </c>
      <c r="I59" s="404">
        <v>0</v>
      </c>
      <c r="J59" s="404">
        <f>SUM(J60:J61)</f>
        <v>0</v>
      </c>
      <c r="K59" s="404">
        <f>SUM(K60:K61)</f>
        <v>0</v>
      </c>
      <c r="L59" s="404">
        <f>SUM(L60:L61)</f>
        <v>0</v>
      </c>
      <c r="M59" s="404">
        <f t="shared" si="1"/>
        <v>0</v>
      </c>
      <c r="N59" s="404">
        <v>0</v>
      </c>
      <c r="O59" s="404">
        <f>SUM(O60:O61)</f>
        <v>0</v>
      </c>
      <c r="P59" s="404">
        <f>SUM(P60:P61)</f>
        <v>0</v>
      </c>
      <c r="Q59" s="404">
        <f>SUM(Q60:Q61)</f>
        <v>0</v>
      </c>
      <c r="R59" s="404">
        <f t="shared" si="2"/>
        <v>0</v>
      </c>
    </row>
    <row r="60" spans="1:18" s="89" customFormat="1" ht="24" hidden="1" customHeight="1">
      <c r="A60" s="133">
        <v>7460</v>
      </c>
      <c r="B60" s="172" t="s">
        <v>162</v>
      </c>
      <c r="C60" s="180"/>
      <c r="D60" s="180">
        <v>0</v>
      </c>
      <c r="E60" s="443"/>
      <c r="F60" s="443"/>
      <c r="G60" s="443"/>
      <c r="H60" s="404">
        <f t="shared" si="0"/>
        <v>0</v>
      </c>
      <c r="I60" s="443">
        <v>0</v>
      </c>
      <c r="J60" s="443"/>
      <c r="K60" s="443"/>
      <c r="L60" s="443"/>
      <c r="M60" s="404">
        <f t="shared" si="1"/>
        <v>0</v>
      </c>
      <c r="N60" s="443">
        <v>0</v>
      </c>
      <c r="O60" s="443"/>
      <c r="P60" s="443"/>
      <c r="Q60" s="443"/>
      <c r="R60" s="404">
        <f t="shared" si="2"/>
        <v>0</v>
      </c>
    </row>
    <row r="61" spans="1:18" s="89" customFormat="1" ht="48" hidden="1" customHeight="1">
      <c r="A61" s="133">
        <v>7470</v>
      </c>
      <c r="B61" s="179" t="s">
        <v>167</v>
      </c>
      <c r="C61" s="180"/>
      <c r="D61" s="180">
        <v>0</v>
      </c>
      <c r="E61" s="443"/>
      <c r="F61" s="443"/>
      <c r="G61" s="443"/>
      <c r="H61" s="404">
        <f t="shared" si="0"/>
        <v>0</v>
      </c>
      <c r="I61" s="443">
        <v>0</v>
      </c>
      <c r="J61" s="443"/>
      <c r="K61" s="443"/>
      <c r="L61" s="443"/>
      <c r="M61" s="404">
        <f t="shared" si="1"/>
        <v>0</v>
      </c>
      <c r="N61" s="443">
        <v>0</v>
      </c>
      <c r="O61" s="443"/>
      <c r="P61" s="443"/>
      <c r="Q61" s="443"/>
      <c r="R61" s="404">
        <f t="shared" si="2"/>
        <v>0</v>
      </c>
    </row>
    <row r="62" spans="1:18" s="89" customFormat="1" ht="24" hidden="1" customHeight="1">
      <c r="A62" s="132">
        <v>7500</v>
      </c>
      <c r="B62" s="179" t="s">
        <v>157</v>
      </c>
      <c r="C62" s="171"/>
      <c r="D62" s="171">
        <v>0</v>
      </c>
      <c r="E62" s="404"/>
      <c r="F62" s="404"/>
      <c r="G62" s="404"/>
      <c r="H62" s="404">
        <f t="shared" si="0"/>
        <v>0</v>
      </c>
      <c r="I62" s="404">
        <v>0</v>
      </c>
      <c r="J62" s="404"/>
      <c r="K62" s="404"/>
      <c r="L62" s="404"/>
      <c r="M62" s="404">
        <f t="shared" si="1"/>
        <v>0</v>
      </c>
      <c r="N62" s="404">
        <v>0</v>
      </c>
      <c r="O62" s="404"/>
      <c r="P62" s="404"/>
      <c r="Q62" s="404"/>
      <c r="R62" s="404">
        <f t="shared" si="2"/>
        <v>0</v>
      </c>
    </row>
    <row r="63" spans="1:18" s="89" customFormat="1" ht="12">
      <c r="A63" s="140" t="s">
        <v>133</v>
      </c>
      <c r="B63" s="124" t="s">
        <v>122</v>
      </c>
      <c r="C63" s="181">
        <v>68100</v>
      </c>
      <c r="D63" s="181">
        <v>66100</v>
      </c>
      <c r="E63" s="445">
        <f>E64+E65</f>
        <v>0</v>
      </c>
      <c r="F63" s="445">
        <f>F64+F65</f>
        <v>-20000</v>
      </c>
      <c r="G63" s="445">
        <f>G64+G65</f>
        <v>0</v>
      </c>
      <c r="H63" s="404">
        <f t="shared" si="0"/>
        <v>46100</v>
      </c>
      <c r="I63" s="445">
        <v>52600</v>
      </c>
      <c r="J63" s="445">
        <f>J64+J65</f>
        <v>0</v>
      </c>
      <c r="K63" s="445">
        <f>K64+K65</f>
        <v>-20000</v>
      </c>
      <c r="L63" s="445">
        <f>L64+L65</f>
        <v>0</v>
      </c>
      <c r="M63" s="404">
        <f t="shared" si="1"/>
        <v>32600</v>
      </c>
      <c r="N63" s="445">
        <v>32600</v>
      </c>
      <c r="O63" s="445">
        <f>O64+O65</f>
        <v>0</v>
      </c>
      <c r="P63" s="445">
        <f>P64+P65</f>
        <v>0</v>
      </c>
      <c r="Q63" s="445">
        <f>Q64+Q65</f>
        <v>0</v>
      </c>
      <c r="R63" s="404">
        <f t="shared" si="2"/>
        <v>32600</v>
      </c>
    </row>
    <row r="64" spans="1:18" s="89" customFormat="1" ht="12">
      <c r="A64" s="140">
        <v>5000</v>
      </c>
      <c r="B64" s="124" t="s">
        <v>123</v>
      </c>
      <c r="C64" s="171">
        <v>68100</v>
      </c>
      <c r="D64" s="171">
        <v>66100</v>
      </c>
      <c r="E64" s="404"/>
      <c r="F64" s="404">
        <f>F148</f>
        <v>-20000</v>
      </c>
      <c r="G64" s="404">
        <f>G148</f>
        <v>0</v>
      </c>
      <c r="H64" s="404">
        <f t="shared" si="0"/>
        <v>46100</v>
      </c>
      <c r="I64" s="404">
        <v>52600</v>
      </c>
      <c r="J64" s="404"/>
      <c r="K64" s="404">
        <f>K148</f>
        <v>-20000</v>
      </c>
      <c r="L64" s="404">
        <f>L148</f>
        <v>0</v>
      </c>
      <c r="M64" s="404">
        <f t="shared" si="1"/>
        <v>32600</v>
      </c>
      <c r="N64" s="404">
        <v>32600</v>
      </c>
      <c r="O64" s="404"/>
      <c r="P64" s="404"/>
      <c r="Q64" s="404"/>
      <c r="R64" s="404">
        <f t="shared" si="2"/>
        <v>32600</v>
      </c>
    </row>
    <row r="65" spans="1:18" s="89" customFormat="1" ht="12" hidden="1" customHeight="1">
      <c r="A65" s="140">
        <v>9000</v>
      </c>
      <c r="B65" s="182" t="s">
        <v>164</v>
      </c>
      <c r="C65" s="171">
        <v>0</v>
      </c>
      <c r="D65" s="171">
        <v>0</v>
      </c>
      <c r="E65" s="404">
        <f>E66+E72+E76+E79</f>
        <v>0</v>
      </c>
      <c r="F65" s="404">
        <f>F66+F72+F76+F79</f>
        <v>0</v>
      </c>
      <c r="G65" s="404">
        <f>G66+G72+G76+G79</f>
        <v>0</v>
      </c>
      <c r="H65" s="404">
        <f t="shared" si="0"/>
        <v>0</v>
      </c>
      <c r="I65" s="404">
        <v>0</v>
      </c>
      <c r="J65" s="404">
        <f>J66+J72+J76+J79</f>
        <v>0</v>
      </c>
      <c r="K65" s="404">
        <f>K66+K72+K76+K79</f>
        <v>0</v>
      </c>
      <c r="L65" s="404">
        <f>L66+L72+L76+L79</f>
        <v>0</v>
      </c>
      <c r="M65" s="404">
        <f t="shared" si="1"/>
        <v>0</v>
      </c>
      <c r="N65" s="404">
        <v>0</v>
      </c>
      <c r="O65" s="404">
        <f>O66+O72+O76+O79</f>
        <v>0</v>
      </c>
      <c r="P65" s="404">
        <f>P66+P72+P76+P79</f>
        <v>0</v>
      </c>
      <c r="Q65" s="404">
        <f>Q66+Q72+Q76+Q79</f>
        <v>0</v>
      </c>
      <c r="R65" s="404">
        <f t="shared" si="2"/>
        <v>0</v>
      </c>
    </row>
    <row r="66" spans="1:18" s="89" customFormat="1" ht="12" hidden="1" customHeight="1">
      <c r="A66" s="141">
        <v>9100</v>
      </c>
      <c r="B66" s="179" t="s">
        <v>124</v>
      </c>
      <c r="C66" s="171">
        <v>0</v>
      </c>
      <c r="D66" s="171">
        <v>0</v>
      </c>
      <c r="E66" s="404">
        <f>SUM(E67:E68)</f>
        <v>0</v>
      </c>
      <c r="F66" s="404">
        <f>SUM(F67:F68)</f>
        <v>0</v>
      </c>
      <c r="G66" s="404">
        <f>SUM(G67:G68)</f>
        <v>0</v>
      </c>
      <c r="H66" s="404">
        <f t="shared" si="0"/>
        <v>0</v>
      </c>
      <c r="I66" s="404">
        <v>0</v>
      </c>
      <c r="J66" s="404">
        <f>SUM(J67:J68)</f>
        <v>0</v>
      </c>
      <c r="K66" s="404">
        <f>SUM(K67:K68)</f>
        <v>0</v>
      </c>
      <c r="L66" s="404">
        <f>SUM(L67:L68)</f>
        <v>0</v>
      </c>
      <c r="M66" s="404">
        <f t="shared" si="1"/>
        <v>0</v>
      </c>
      <c r="N66" s="404">
        <v>0</v>
      </c>
      <c r="O66" s="404">
        <f>SUM(O67:O68)</f>
        <v>0</v>
      </c>
      <c r="P66" s="404">
        <f>SUM(P67:P68)</f>
        <v>0</v>
      </c>
      <c r="Q66" s="404">
        <f>SUM(Q67:Q68)</f>
        <v>0</v>
      </c>
      <c r="R66" s="404">
        <f t="shared" si="2"/>
        <v>0</v>
      </c>
    </row>
    <row r="67" spans="1:18" s="89" customFormat="1" ht="24" hidden="1" customHeight="1">
      <c r="A67" s="133" t="s">
        <v>125</v>
      </c>
      <c r="B67" s="179" t="s">
        <v>214</v>
      </c>
      <c r="C67" s="171"/>
      <c r="D67" s="171">
        <v>0</v>
      </c>
      <c r="E67" s="404"/>
      <c r="F67" s="404"/>
      <c r="G67" s="404"/>
      <c r="H67" s="404">
        <f t="shared" si="0"/>
        <v>0</v>
      </c>
      <c r="I67" s="404">
        <v>0</v>
      </c>
      <c r="J67" s="404"/>
      <c r="K67" s="404"/>
      <c r="L67" s="404"/>
      <c r="M67" s="404">
        <f t="shared" si="1"/>
        <v>0</v>
      </c>
      <c r="N67" s="404">
        <v>0</v>
      </c>
      <c r="O67" s="404"/>
      <c r="P67" s="404"/>
      <c r="Q67" s="404"/>
      <c r="R67" s="404">
        <f t="shared" si="2"/>
        <v>0</v>
      </c>
    </row>
    <row r="68" spans="1:18" s="89" customFormat="1" ht="24" hidden="1" customHeight="1">
      <c r="A68" s="133">
        <v>9140</v>
      </c>
      <c r="B68" s="179" t="s">
        <v>215</v>
      </c>
      <c r="C68" s="171">
        <v>0</v>
      </c>
      <c r="D68" s="171">
        <v>0</v>
      </c>
      <c r="E68" s="404">
        <f>SUM(E69:E71)</f>
        <v>0</v>
      </c>
      <c r="F68" s="404">
        <f>SUM(F69:F71)</f>
        <v>0</v>
      </c>
      <c r="G68" s="404">
        <f>SUM(G69:G71)</f>
        <v>0</v>
      </c>
      <c r="H68" s="404">
        <f t="shared" si="0"/>
        <v>0</v>
      </c>
      <c r="I68" s="404">
        <v>0</v>
      </c>
      <c r="J68" s="404">
        <f>SUM(J69:J71)</f>
        <v>0</v>
      </c>
      <c r="K68" s="404">
        <f>SUM(K69:K71)</f>
        <v>0</v>
      </c>
      <c r="L68" s="404">
        <f>SUM(L69:L71)</f>
        <v>0</v>
      </c>
      <c r="M68" s="404">
        <f t="shared" si="1"/>
        <v>0</v>
      </c>
      <c r="N68" s="404">
        <v>0</v>
      </c>
      <c r="O68" s="404">
        <f>SUM(O69:O71)</f>
        <v>0</v>
      </c>
      <c r="P68" s="404">
        <f>SUM(P69:P71)</f>
        <v>0</v>
      </c>
      <c r="Q68" s="404">
        <f>SUM(Q69:Q71)</f>
        <v>0</v>
      </c>
      <c r="R68" s="404">
        <f t="shared" si="2"/>
        <v>0</v>
      </c>
    </row>
    <row r="69" spans="1:18" s="89" customFormat="1" ht="36" hidden="1" customHeight="1">
      <c r="A69" s="134">
        <v>9141</v>
      </c>
      <c r="B69" s="172" t="s">
        <v>190</v>
      </c>
      <c r="C69" s="180"/>
      <c r="D69" s="180">
        <v>0</v>
      </c>
      <c r="E69" s="443"/>
      <c r="F69" s="443"/>
      <c r="G69" s="443"/>
      <c r="H69" s="404">
        <f t="shared" si="0"/>
        <v>0</v>
      </c>
      <c r="I69" s="443">
        <v>0</v>
      </c>
      <c r="J69" s="443"/>
      <c r="K69" s="443"/>
      <c r="L69" s="443"/>
      <c r="M69" s="404">
        <f t="shared" si="1"/>
        <v>0</v>
      </c>
      <c r="N69" s="443">
        <v>0</v>
      </c>
      <c r="O69" s="443"/>
      <c r="P69" s="443"/>
      <c r="Q69" s="443"/>
      <c r="R69" s="404">
        <f t="shared" si="2"/>
        <v>0</v>
      </c>
    </row>
    <row r="70" spans="1:18" s="89" customFormat="1" ht="36" hidden="1" customHeight="1">
      <c r="A70" s="134">
        <v>9142</v>
      </c>
      <c r="B70" s="172" t="s">
        <v>191</v>
      </c>
      <c r="C70" s="180"/>
      <c r="D70" s="180">
        <v>0</v>
      </c>
      <c r="E70" s="443"/>
      <c r="F70" s="443"/>
      <c r="G70" s="443"/>
      <c r="H70" s="404">
        <f t="shared" si="0"/>
        <v>0</v>
      </c>
      <c r="I70" s="443">
        <v>0</v>
      </c>
      <c r="J70" s="443"/>
      <c r="K70" s="443"/>
      <c r="L70" s="443"/>
      <c r="M70" s="404">
        <f t="shared" si="1"/>
        <v>0</v>
      </c>
      <c r="N70" s="443">
        <v>0</v>
      </c>
      <c r="O70" s="443"/>
      <c r="P70" s="443"/>
      <c r="Q70" s="443"/>
      <c r="R70" s="404">
        <f t="shared" si="2"/>
        <v>0</v>
      </c>
    </row>
    <row r="71" spans="1:18" s="89" customFormat="1" ht="24" hidden="1" customHeight="1">
      <c r="A71" s="134">
        <v>9149</v>
      </c>
      <c r="B71" s="172" t="s">
        <v>192</v>
      </c>
      <c r="C71" s="180"/>
      <c r="D71" s="180">
        <v>0</v>
      </c>
      <c r="E71" s="443"/>
      <c r="F71" s="443"/>
      <c r="G71" s="443"/>
      <c r="H71" s="404">
        <f t="shared" si="0"/>
        <v>0</v>
      </c>
      <c r="I71" s="443">
        <v>0</v>
      </c>
      <c r="J71" s="443"/>
      <c r="K71" s="443"/>
      <c r="L71" s="443"/>
      <c r="M71" s="404">
        <f t="shared" si="1"/>
        <v>0</v>
      </c>
      <c r="N71" s="443">
        <v>0</v>
      </c>
      <c r="O71" s="443"/>
      <c r="P71" s="443"/>
      <c r="Q71" s="443"/>
      <c r="R71" s="404">
        <f t="shared" si="2"/>
        <v>0</v>
      </c>
    </row>
    <row r="72" spans="1:18" s="29" customFormat="1" ht="24" hidden="1" customHeight="1">
      <c r="A72" s="141">
        <v>9500</v>
      </c>
      <c r="B72" s="172" t="s">
        <v>165</v>
      </c>
      <c r="C72" s="171">
        <v>0</v>
      </c>
      <c r="D72" s="171">
        <v>0</v>
      </c>
      <c r="E72" s="404">
        <f>SUM(E73:E75)</f>
        <v>0</v>
      </c>
      <c r="F72" s="404">
        <f>SUM(F73:F75)</f>
        <v>0</v>
      </c>
      <c r="G72" s="404">
        <f>SUM(G73:G75)</f>
        <v>0</v>
      </c>
      <c r="H72" s="404">
        <f t="shared" si="0"/>
        <v>0</v>
      </c>
      <c r="I72" s="404">
        <v>0</v>
      </c>
      <c r="J72" s="404">
        <f>SUM(J73:J75)</f>
        <v>0</v>
      </c>
      <c r="K72" s="404">
        <f>SUM(K73:K75)</f>
        <v>0</v>
      </c>
      <c r="L72" s="404">
        <f>SUM(L73:L75)</f>
        <v>0</v>
      </c>
      <c r="M72" s="404">
        <f t="shared" si="1"/>
        <v>0</v>
      </c>
      <c r="N72" s="404">
        <v>0</v>
      </c>
      <c r="O72" s="404">
        <f>SUM(O73:O75)</f>
        <v>0</v>
      </c>
      <c r="P72" s="404">
        <f>SUM(P73:P75)</f>
        <v>0</v>
      </c>
      <c r="Q72" s="404">
        <f>SUM(Q73:Q75)</f>
        <v>0</v>
      </c>
      <c r="R72" s="404">
        <f t="shared" si="2"/>
        <v>0</v>
      </c>
    </row>
    <row r="73" spans="1:18" s="29" customFormat="1" ht="24" hidden="1" customHeight="1">
      <c r="A73" s="133" t="s">
        <v>193</v>
      </c>
      <c r="B73" s="172" t="s">
        <v>171</v>
      </c>
      <c r="C73" s="171"/>
      <c r="D73" s="171">
        <v>0</v>
      </c>
      <c r="E73" s="404"/>
      <c r="F73" s="404"/>
      <c r="G73" s="404"/>
      <c r="H73" s="404">
        <f t="shared" si="0"/>
        <v>0</v>
      </c>
      <c r="I73" s="404">
        <v>0</v>
      </c>
      <c r="J73" s="404"/>
      <c r="K73" s="404"/>
      <c r="L73" s="404"/>
      <c r="M73" s="404">
        <f t="shared" si="1"/>
        <v>0</v>
      </c>
      <c r="N73" s="404">
        <v>0</v>
      </c>
      <c r="O73" s="404"/>
      <c r="P73" s="404"/>
      <c r="Q73" s="404"/>
      <c r="R73" s="404">
        <f t="shared" si="2"/>
        <v>0</v>
      </c>
    </row>
    <row r="74" spans="1:18" s="28" customFormat="1" ht="48" hidden="1" customHeight="1">
      <c r="A74" s="133">
        <v>9580</v>
      </c>
      <c r="B74" s="172" t="s">
        <v>166</v>
      </c>
      <c r="C74" s="180"/>
      <c r="D74" s="180">
        <v>0</v>
      </c>
      <c r="E74" s="443"/>
      <c r="F74" s="443"/>
      <c r="G74" s="443"/>
      <c r="H74" s="404">
        <f t="shared" ref="H74:H137" si="7">SUM(D74:G74)</f>
        <v>0</v>
      </c>
      <c r="I74" s="443">
        <v>0</v>
      </c>
      <c r="J74" s="443"/>
      <c r="K74" s="443"/>
      <c r="L74" s="443"/>
      <c r="M74" s="404">
        <f t="shared" ref="M74:M137" si="8">SUM(I74:L74)</f>
        <v>0</v>
      </c>
      <c r="N74" s="443">
        <v>0</v>
      </c>
      <c r="O74" s="443"/>
      <c r="P74" s="443"/>
      <c r="Q74" s="443"/>
      <c r="R74" s="404">
        <f t="shared" ref="R74:R137" si="9">SUM(N74:Q74)</f>
        <v>0</v>
      </c>
    </row>
    <row r="75" spans="1:18" s="4" customFormat="1" ht="48" hidden="1" customHeight="1">
      <c r="A75" s="133">
        <v>9590</v>
      </c>
      <c r="B75" s="179" t="s">
        <v>172</v>
      </c>
      <c r="C75" s="180"/>
      <c r="D75" s="180">
        <v>0</v>
      </c>
      <c r="E75" s="443"/>
      <c r="F75" s="443"/>
      <c r="G75" s="443"/>
      <c r="H75" s="404">
        <f t="shared" si="7"/>
        <v>0</v>
      </c>
      <c r="I75" s="443">
        <v>0</v>
      </c>
      <c r="J75" s="443"/>
      <c r="K75" s="443"/>
      <c r="L75" s="443"/>
      <c r="M75" s="404">
        <f t="shared" si="8"/>
        <v>0</v>
      </c>
      <c r="N75" s="443">
        <v>0</v>
      </c>
      <c r="O75" s="443"/>
      <c r="P75" s="443"/>
      <c r="Q75" s="443"/>
      <c r="R75" s="404">
        <f t="shared" si="9"/>
        <v>0</v>
      </c>
    </row>
    <row r="76" spans="1:18" ht="24" hidden="1" customHeight="1">
      <c r="A76" s="141">
        <v>9700</v>
      </c>
      <c r="B76" s="183" t="s">
        <v>194</v>
      </c>
      <c r="C76" s="171">
        <v>0</v>
      </c>
      <c r="D76" s="171">
        <v>0</v>
      </c>
      <c r="E76" s="404">
        <f>SUM(E77:E78)</f>
        <v>0</v>
      </c>
      <c r="F76" s="404">
        <f>SUM(F77:F78)</f>
        <v>0</v>
      </c>
      <c r="G76" s="404">
        <f>SUM(G77:G78)</f>
        <v>0</v>
      </c>
      <c r="H76" s="404">
        <f t="shared" si="7"/>
        <v>0</v>
      </c>
      <c r="I76" s="404">
        <v>0</v>
      </c>
      <c r="J76" s="404">
        <f>SUM(J77:J78)</f>
        <v>0</v>
      </c>
      <c r="K76" s="404">
        <f>SUM(K77:K78)</f>
        <v>0</v>
      </c>
      <c r="L76" s="404">
        <f>SUM(L77:L78)</f>
        <v>0</v>
      </c>
      <c r="M76" s="404">
        <f t="shared" si="8"/>
        <v>0</v>
      </c>
      <c r="N76" s="404">
        <v>0</v>
      </c>
      <c r="O76" s="404">
        <f>SUM(O77:O78)</f>
        <v>0</v>
      </c>
      <c r="P76" s="404">
        <f>SUM(P77:P78)</f>
        <v>0</v>
      </c>
      <c r="Q76" s="404">
        <f>SUM(Q77:Q78)</f>
        <v>0</v>
      </c>
      <c r="R76" s="404">
        <f t="shared" si="9"/>
        <v>0</v>
      </c>
    </row>
    <row r="77" spans="1:18" ht="24" hidden="1" customHeight="1">
      <c r="A77" s="133">
        <v>9710</v>
      </c>
      <c r="B77" s="184" t="s">
        <v>195</v>
      </c>
      <c r="C77" s="180"/>
      <c r="D77" s="180">
        <v>0</v>
      </c>
      <c r="E77" s="443"/>
      <c r="F77" s="443"/>
      <c r="G77" s="443"/>
      <c r="H77" s="404">
        <f t="shared" si="7"/>
        <v>0</v>
      </c>
      <c r="I77" s="443">
        <v>0</v>
      </c>
      <c r="J77" s="443"/>
      <c r="K77" s="443"/>
      <c r="L77" s="443"/>
      <c r="M77" s="404">
        <f t="shared" si="8"/>
        <v>0</v>
      </c>
      <c r="N77" s="443">
        <v>0</v>
      </c>
      <c r="O77" s="443"/>
      <c r="P77" s="443"/>
      <c r="Q77" s="443"/>
      <c r="R77" s="404">
        <f t="shared" si="9"/>
        <v>0</v>
      </c>
    </row>
    <row r="78" spans="1:18" ht="36" hidden="1" customHeight="1">
      <c r="A78" s="142">
        <v>9720</v>
      </c>
      <c r="B78" s="183" t="s">
        <v>196</v>
      </c>
      <c r="C78" s="180"/>
      <c r="D78" s="180">
        <v>0</v>
      </c>
      <c r="E78" s="443"/>
      <c r="F78" s="443"/>
      <c r="G78" s="443"/>
      <c r="H78" s="404">
        <f t="shared" si="7"/>
        <v>0</v>
      </c>
      <c r="I78" s="443">
        <v>0</v>
      </c>
      <c r="J78" s="443"/>
      <c r="K78" s="443"/>
      <c r="L78" s="443"/>
      <c r="M78" s="404">
        <f t="shared" si="8"/>
        <v>0</v>
      </c>
      <c r="N78" s="443">
        <v>0</v>
      </c>
      <c r="O78" s="443"/>
      <c r="P78" s="443"/>
      <c r="Q78" s="443"/>
      <c r="R78" s="404">
        <f t="shared" si="9"/>
        <v>0</v>
      </c>
    </row>
    <row r="79" spans="1:18" ht="24" hidden="1" customHeight="1">
      <c r="A79" s="141">
        <v>9600</v>
      </c>
      <c r="B79" s="179" t="s">
        <v>134</v>
      </c>
      <c r="C79" s="180"/>
      <c r="D79" s="180">
        <v>0</v>
      </c>
      <c r="E79" s="443"/>
      <c r="F79" s="443"/>
      <c r="G79" s="443"/>
      <c r="H79" s="404">
        <f t="shared" si="7"/>
        <v>0</v>
      </c>
      <c r="I79" s="443">
        <v>0</v>
      </c>
      <c r="J79" s="443"/>
      <c r="K79" s="443"/>
      <c r="L79" s="443"/>
      <c r="M79" s="404">
        <f t="shared" si="8"/>
        <v>0</v>
      </c>
      <c r="N79" s="443">
        <v>0</v>
      </c>
      <c r="O79" s="443"/>
      <c r="P79" s="443"/>
      <c r="Q79" s="443"/>
      <c r="R79" s="404">
        <f t="shared" si="9"/>
        <v>0</v>
      </c>
    </row>
    <row r="80" spans="1:18" ht="52.5" hidden="1" customHeight="1">
      <c r="A80" s="130" t="s">
        <v>197</v>
      </c>
      <c r="B80" s="185" t="s">
        <v>47</v>
      </c>
      <c r="C80" s="186"/>
      <c r="D80" s="186">
        <v>0</v>
      </c>
      <c r="E80" s="450">
        <f>E10-E35</f>
        <v>0</v>
      </c>
      <c r="F80" s="450">
        <f>F10-F35</f>
        <v>0</v>
      </c>
      <c r="G80" s="450">
        <f>G10-G35</f>
        <v>0</v>
      </c>
      <c r="H80" s="404">
        <f t="shared" si="7"/>
        <v>0</v>
      </c>
      <c r="I80" s="450">
        <v>0</v>
      </c>
      <c r="J80" s="450">
        <f>J10-J35</f>
        <v>0</v>
      </c>
      <c r="K80" s="450">
        <f>K10-K35</f>
        <v>0</v>
      </c>
      <c r="L80" s="450">
        <f>L10-L35</f>
        <v>0</v>
      </c>
      <c r="M80" s="404">
        <f t="shared" si="8"/>
        <v>0</v>
      </c>
      <c r="N80" s="450">
        <v>0</v>
      </c>
      <c r="O80" s="450">
        <f>O10-O35</f>
        <v>0</v>
      </c>
      <c r="P80" s="450">
        <f>P10-P35</f>
        <v>0</v>
      </c>
      <c r="Q80" s="450">
        <f>Q10-Q35</f>
        <v>0</v>
      </c>
      <c r="R80" s="404">
        <f t="shared" si="9"/>
        <v>0</v>
      </c>
    </row>
    <row r="81" spans="1:18" ht="12" hidden="1" customHeight="1">
      <c r="A81" s="143" t="s">
        <v>48</v>
      </c>
      <c r="B81" s="185" t="s">
        <v>49</v>
      </c>
      <c r="C81" s="186">
        <v>0</v>
      </c>
      <c r="D81" s="186">
        <v>0</v>
      </c>
      <c r="E81" s="450">
        <f>E82+E85+E89+E88</f>
        <v>0</v>
      </c>
      <c r="F81" s="450">
        <f>F82+F85+F89+F88</f>
        <v>0</v>
      </c>
      <c r="G81" s="450">
        <f>G82+G85+G89+G88</f>
        <v>0</v>
      </c>
      <c r="H81" s="404">
        <f t="shared" si="7"/>
        <v>0</v>
      </c>
      <c r="I81" s="450">
        <v>0</v>
      </c>
      <c r="J81" s="450">
        <f>J82+J85+J89+J88</f>
        <v>0</v>
      </c>
      <c r="K81" s="450">
        <f>K82+K85+K89+K88</f>
        <v>0</v>
      </c>
      <c r="L81" s="450">
        <f>L82+L85+L89+L88</f>
        <v>0</v>
      </c>
      <c r="M81" s="404">
        <f t="shared" si="8"/>
        <v>0</v>
      </c>
      <c r="N81" s="450">
        <v>0</v>
      </c>
      <c r="O81" s="450">
        <f>O82+O85+O89+O88</f>
        <v>0</v>
      </c>
      <c r="P81" s="450">
        <f>P82+P85+P89+P88</f>
        <v>0</v>
      </c>
      <c r="Q81" s="450">
        <f>Q82+Q85+Q89+Q88</f>
        <v>0</v>
      </c>
      <c r="R81" s="404">
        <f t="shared" si="9"/>
        <v>0</v>
      </c>
    </row>
    <row r="82" spans="1:18" s="4" customFormat="1" ht="12" hidden="1" customHeight="1">
      <c r="A82" s="141" t="s">
        <v>50</v>
      </c>
      <c r="B82" s="179" t="s">
        <v>51</v>
      </c>
      <c r="C82" s="169">
        <v>0</v>
      </c>
      <c r="D82" s="169">
        <v>0</v>
      </c>
      <c r="E82" s="433">
        <f>E83+E84</f>
        <v>0</v>
      </c>
      <c r="F82" s="433">
        <f>F83+F84</f>
        <v>0</v>
      </c>
      <c r="G82" s="433">
        <f>G83+G84</f>
        <v>0</v>
      </c>
      <c r="H82" s="404">
        <f t="shared" si="7"/>
        <v>0</v>
      </c>
      <c r="I82" s="433">
        <v>0</v>
      </c>
      <c r="J82" s="433">
        <f>J83+J84</f>
        <v>0</v>
      </c>
      <c r="K82" s="433">
        <f>K83+K84</f>
        <v>0</v>
      </c>
      <c r="L82" s="433">
        <f>L83+L84</f>
        <v>0</v>
      </c>
      <c r="M82" s="404">
        <f t="shared" si="8"/>
        <v>0</v>
      </c>
      <c r="N82" s="433">
        <v>0</v>
      </c>
      <c r="O82" s="433">
        <f>O83+O84</f>
        <v>0</v>
      </c>
      <c r="P82" s="433">
        <f>P83+P84</f>
        <v>0</v>
      </c>
      <c r="Q82" s="433">
        <f>Q83+Q84</f>
        <v>0</v>
      </c>
      <c r="R82" s="404">
        <f t="shared" si="9"/>
        <v>0</v>
      </c>
    </row>
    <row r="83" spans="1:18" s="6" customFormat="1" ht="12" hidden="1" customHeight="1">
      <c r="A83" s="141" t="s">
        <v>52</v>
      </c>
      <c r="B83" s="179" t="s">
        <v>53</v>
      </c>
      <c r="C83" s="169"/>
      <c r="D83" s="169">
        <v>0</v>
      </c>
      <c r="E83" s="433"/>
      <c r="F83" s="433"/>
      <c r="G83" s="433"/>
      <c r="H83" s="404">
        <f t="shared" si="7"/>
        <v>0</v>
      </c>
      <c r="I83" s="433">
        <v>0</v>
      </c>
      <c r="J83" s="433"/>
      <c r="K83" s="433"/>
      <c r="L83" s="433"/>
      <c r="M83" s="404">
        <f t="shared" si="8"/>
        <v>0</v>
      </c>
      <c r="N83" s="433">
        <v>0</v>
      </c>
      <c r="O83" s="433"/>
      <c r="P83" s="433"/>
      <c r="Q83" s="433"/>
      <c r="R83" s="404">
        <f t="shared" si="9"/>
        <v>0</v>
      </c>
    </row>
    <row r="84" spans="1:18" s="6" customFormat="1" ht="12" hidden="1" customHeight="1">
      <c r="A84" s="141" t="s">
        <v>54</v>
      </c>
      <c r="B84" s="179" t="s">
        <v>55</v>
      </c>
      <c r="C84" s="169"/>
      <c r="D84" s="169">
        <v>0</v>
      </c>
      <c r="E84" s="433"/>
      <c r="F84" s="433"/>
      <c r="G84" s="433"/>
      <c r="H84" s="404">
        <f t="shared" si="7"/>
        <v>0</v>
      </c>
      <c r="I84" s="433">
        <v>0</v>
      </c>
      <c r="J84" s="433"/>
      <c r="K84" s="433"/>
      <c r="L84" s="433"/>
      <c r="M84" s="404">
        <f t="shared" si="8"/>
        <v>0</v>
      </c>
      <c r="N84" s="433">
        <v>0</v>
      </c>
      <c r="O84" s="433"/>
      <c r="P84" s="433"/>
      <c r="Q84" s="433"/>
      <c r="R84" s="404">
        <f t="shared" si="9"/>
        <v>0</v>
      </c>
    </row>
    <row r="85" spans="1:18" s="6" customFormat="1" ht="12" hidden="1" customHeight="1">
      <c r="A85" s="141" t="s">
        <v>56</v>
      </c>
      <c r="B85" s="179" t="s">
        <v>57</v>
      </c>
      <c r="C85" s="169">
        <v>0</v>
      </c>
      <c r="D85" s="169">
        <v>0</v>
      </c>
      <c r="E85" s="433">
        <f>E86+E87</f>
        <v>0</v>
      </c>
      <c r="F85" s="433">
        <f>F86+F87</f>
        <v>0</v>
      </c>
      <c r="G85" s="433">
        <f>G86+G87</f>
        <v>0</v>
      </c>
      <c r="H85" s="404">
        <f t="shared" si="7"/>
        <v>0</v>
      </c>
      <c r="I85" s="433">
        <v>0</v>
      </c>
      <c r="J85" s="433">
        <f>J86+J87</f>
        <v>0</v>
      </c>
      <c r="K85" s="433">
        <f>K86+K87</f>
        <v>0</v>
      </c>
      <c r="L85" s="433">
        <f>L86+L87</f>
        <v>0</v>
      </c>
      <c r="M85" s="404">
        <f t="shared" si="8"/>
        <v>0</v>
      </c>
      <c r="N85" s="433">
        <v>0</v>
      </c>
      <c r="O85" s="433">
        <f>O86+O87</f>
        <v>0</v>
      </c>
      <c r="P85" s="433">
        <f>P86+P87</f>
        <v>0</v>
      </c>
      <c r="Q85" s="433">
        <f>Q86+Q87</f>
        <v>0</v>
      </c>
      <c r="R85" s="404">
        <f t="shared" si="9"/>
        <v>0</v>
      </c>
    </row>
    <row r="86" spans="1:18" s="6" customFormat="1" ht="12" hidden="1" customHeight="1">
      <c r="A86" s="141" t="s">
        <v>58</v>
      </c>
      <c r="B86" s="179" t="s">
        <v>59</v>
      </c>
      <c r="C86" s="169"/>
      <c r="D86" s="169">
        <v>0</v>
      </c>
      <c r="E86" s="433"/>
      <c r="F86" s="433"/>
      <c r="G86" s="433"/>
      <c r="H86" s="404">
        <f t="shared" si="7"/>
        <v>0</v>
      </c>
      <c r="I86" s="433">
        <v>0</v>
      </c>
      <c r="J86" s="433"/>
      <c r="K86" s="433"/>
      <c r="L86" s="433"/>
      <c r="M86" s="404">
        <f t="shared" si="8"/>
        <v>0</v>
      </c>
      <c r="N86" s="433">
        <v>0</v>
      </c>
      <c r="O86" s="433"/>
      <c r="P86" s="433"/>
      <c r="Q86" s="433"/>
      <c r="R86" s="404">
        <f t="shared" si="9"/>
        <v>0</v>
      </c>
    </row>
    <row r="87" spans="1:18" s="6" customFormat="1" ht="12" hidden="1" customHeight="1">
      <c r="A87" s="141" t="s">
        <v>60</v>
      </c>
      <c r="B87" s="179" t="s">
        <v>61</v>
      </c>
      <c r="C87" s="169"/>
      <c r="D87" s="169">
        <v>0</v>
      </c>
      <c r="E87" s="433"/>
      <c r="F87" s="433"/>
      <c r="G87" s="433"/>
      <c r="H87" s="404">
        <f t="shared" si="7"/>
        <v>0</v>
      </c>
      <c r="I87" s="433">
        <v>0</v>
      </c>
      <c r="J87" s="433"/>
      <c r="K87" s="433"/>
      <c r="L87" s="433"/>
      <c r="M87" s="404">
        <f t="shared" si="8"/>
        <v>0</v>
      </c>
      <c r="N87" s="433">
        <v>0</v>
      </c>
      <c r="O87" s="433"/>
      <c r="P87" s="433"/>
      <c r="Q87" s="433"/>
      <c r="R87" s="404">
        <f t="shared" si="9"/>
        <v>0</v>
      </c>
    </row>
    <row r="88" spans="1:18" s="6" customFormat="1" ht="12" hidden="1" customHeight="1">
      <c r="A88" s="141" t="s">
        <v>198</v>
      </c>
      <c r="B88" s="187" t="s">
        <v>168</v>
      </c>
      <c r="C88" s="169"/>
      <c r="D88" s="169">
        <v>0</v>
      </c>
      <c r="E88" s="433"/>
      <c r="F88" s="433"/>
      <c r="G88" s="433"/>
      <c r="H88" s="404">
        <f t="shared" si="7"/>
        <v>0</v>
      </c>
      <c r="I88" s="433">
        <v>0</v>
      </c>
      <c r="J88" s="433"/>
      <c r="K88" s="433"/>
      <c r="L88" s="433"/>
      <c r="M88" s="404">
        <f t="shared" si="8"/>
        <v>0</v>
      </c>
      <c r="N88" s="433">
        <v>0</v>
      </c>
      <c r="O88" s="433"/>
      <c r="P88" s="433"/>
      <c r="Q88" s="433"/>
      <c r="R88" s="404">
        <f t="shared" si="9"/>
        <v>0</v>
      </c>
    </row>
    <row r="89" spans="1:18" s="6" customFormat="1" ht="12" hidden="1" customHeight="1">
      <c r="A89" s="144" t="s">
        <v>62</v>
      </c>
      <c r="B89" s="125" t="s">
        <v>63</v>
      </c>
      <c r="C89" s="171">
        <v>0</v>
      </c>
      <c r="D89" s="171">
        <v>0</v>
      </c>
      <c r="E89" s="404">
        <f>E90+E91+E92</f>
        <v>0</v>
      </c>
      <c r="F89" s="404">
        <f>F90+F91+F92</f>
        <v>0</v>
      </c>
      <c r="G89" s="404">
        <f>G90+G91+G92</f>
        <v>0</v>
      </c>
      <c r="H89" s="404">
        <f t="shared" si="7"/>
        <v>0</v>
      </c>
      <c r="I89" s="404">
        <v>0</v>
      </c>
      <c r="J89" s="404">
        <f>J90+J91+J92</f>
        <v>0</v>
      </c>
      <c r="K89" s="404">
        <f>K90+K91+K92</f>
        <v>0</v>
      </c>
      <c r="L89" s="404">
        <f>L90+L91+L92</f>
        <v>0</v>
      </c>
      <c r="M89" s="404">
        <f t="shared" si="8"/>
        <v>0</v>
      </c>
      <c r="N89" s="404">
        <v>0</v>
      </c>
      <c r="O89" s="404">
        <f>O90+O91+O92</f>
        <v>0</v>
      </c>
      <c r="P89" s="404">
        <f>P90+P91+P92</f>
        <v>0</v>
      </c>
      <c r="Q89" s="404">
        <f>Q90+Q91+Q92</f>
        <v>0</v>
      </c>
      <c r="R89" s="404">
        <f t="shared" si="9"/>
        <v>0</v>
      </c>
    </row>
    <row r="90" spans="1:18" s="6" customFormat="1" ht="36" hidden="1" customHeight="1">
      <c r="A90" s="144" t="s">
        <v>64</v>
      </c>
      <c r="B90" s="179" t="s">
        <v>65</v>
      </c>
      <c r="C90" s="169"/>
      <c r="D90" s="169">
        <v>0</v>
      </c>
      <c r="E90" s="433"/>
      <c r="F90" s="433"/>
      <c r="G90" s="433"/>
      <c r="H90" s="404">
        <f t="shared" si="7"/>
        <v>0</v>
      </c>
      <c r="I90" s="433">
        <v>0</v>
      </c>
      <c r="J90" s="433"/>
      <c r="K90" s="433"/>
      <c r="L90" s="433"/>
      <c r="M90" s="404">
        <f t="shared" si="8"/>
        <v>0</v>
      </c>
      <c r="N90" s="433">
        <v>0</v>
      </c>
      <c r="O90" s="433"/>
      <c r="P90" s="433"/>
      <c r="Q90" s="433"/>
      <c r="R90" s="404">
        <f t="shared" si="9"/>
        <v>0</v>
      </c>
    </row>
    <row r="91" spans="1:18" s="6" customFormat="1" ht="24" hidden="1" customHeight="1">
      <c r="A91" s="144" t="s">
        <v>66</v>
      </c>
      <c r="B91" s="179" t="s">
        <v>67</v>
      </c>
      <c r="C91" s="169"/>
      <c r="D91" s="169">
        <v>0</v>
      </c>
      <c r="E91" s="433"/>
      <c r="F91" s="433"/>
      <c r="G91" s="433"/>
      <c r="H91" s="404">
        <f t="shared" si="7"/>
        <v>0</v>
      </c>
      <c r="I91" s="433">
        <v>0</v>
      </c>
      <c r="J91" s="433"/>
      <c r="K91" s="433"/>
      <c r="L91" s="433"/>
      <c r="M91" s="404">
        <f t="shared" si="8"/>
        <v>0</v>
      </c>
      <c r="N91" s="433">
        <v>0</v>
      </c>
      <c r="O91" s="433"/>
      <c r="P91" s="433"/>
      <c r="Q91" s="433"/>
      <c r="R91" s="404">
        <f t="shared" si="9"/>
        <v>0</v>
      </c>
    </row>
    <row r="92" spans="1:18" s="6" customFormat="1" ht="24" hidden="1" customHeight="1">
      <c r="A92" s="144" t="s">
        <v>68</v>
      </c>
      <c r="B92" s="125" t="s">
        <v>69</v>
      </c>
      <c r="C92" s="169"/>
      <c r="D92" s="169">
        <v>0</v>
      </c>
      <c r="E92" s="433"/>
      <c r="F92" s="433"/>
      <c r="G92" s="433"/>
      <c r="H92" s="404">
        <f t="shared" si="7"/>
        <v>0</v>
      </c>
      <c r="I92" s="433">
        <v>0</v>
      </c>
      <c r="J92" s="433"/>
      <c r="K92" s="433"/>
      <c r="L92" s="433"/>
      <c r="M92" s="404">
        <f t="shared" si="8"/>
        <v>0</v>
      </c>
      <c r="N92" s="433">
        <v>0</v>
      </c>
      <c r="O92" s="433"/>
      <c r="P92" s="433"/>
      <c r="Q92" s="433"/>
      <c r="R92" s="404">
        <f t="shared" si="9"/>
        <v>0</v>
      </c>
    </row>
    <row r="93" spans="1:18" s="6" customFormat="1" ht="12">
      <c r="A93" s="145"/>
      <c r="B93" s="188" t="s">
        <v>199</v>
      </c>
      <c r="C93" s="293"/>
      <c r="D93" s="294">
        <v>0</v>
      </c>
      <c r="E93" s="576"/>
      <c r="F93" s="576"/>
      <c r="G93" s="576"/>
      <c r="H93" s="576">
        <f t="shared" si="7"/>
        <v>0</v>
      </c>
      <c r="I93" s="576">
        <v>0</v>
      </c>
      <c r="J93" s="576"/>
      <c r="K93" s="576"/>
      <c r="L93" s="576"/>
      <c r="M93" s="576">
        <f t="shared" si="8"/>
        <v>0</v>
      </c>
      <c r="N93" s="576">
        <v>0</v>
      </c>
      <c r="O93" s="576"/>
      <c r="P93" s="576"/>
      <c r="Q93" s="576"/>
      <c r="R93" s="576">
        <f t="shared" si="9"/>
        <v>0</v>
      </c>
    </row>
    <row r="94" spans="1:18" s="6" customFormat="1" ht="20.399999999999999">
      <c r="A94" s="129" t="s">
        <v>201</v>
      </c>
      <c r="B94" s="123" t="s">
        <v>88</v>
      </c>
      <c r="C94" s="167">
        <v>2790364</v>
      </c>
      <c r="D94" s="167">
        <v>2904989</v>
      </c>
      <c r="E94" s="432">
        <f>E95+E96+E98+E116</f>
        <v>0</v>
      </c>
      <c r="F94" s="432">
        <f>F95+F96+F98+F116</f>
        <v>-20000</v>
      </c>
      <c r="G94" s="432">
        <f>G95+G96+G98+G116</f>
        <v>95270</v>
      </c>
      <c r="H94" s="403">
        <f t="shared" si="7"/>
        <v>2980259</v>
      </c>
      <c r="I94" s="432">
        <v>2881989</v>
      </c>
      <c r="J94" s="432">
        <f>J95+J96+J98+J116</f>
        <v>0</v>
      </c>
      <c r="K94" s="432">
        <f>K95+K96+K98+K116</f>
        <v>-20000</v>
      </c>
      <c r="L94" s="432">
        <f>L95+L96+L98+L116</f>
        <v>95270</v>
      </c>
      <c r="M94" s="403">
        <f t="shared" si="8"/>
        <v>2957259</v>
      </c>
      <c r="N94" s="432">
        <v>2851989</v>
      </c>
      <c r="O94" s="432">
        <f>O95+O96+O98+O116</f>
        <v>0</v>
      </c>
      <c r="P94" s="432">
        <f>P95+P96+P98+P116</f>
        <v>0</v>
      </c>
      <c r="Q94" s="432">
        <f>Q95+Q96+Q98+Q116</f>
        <v>62000</v>
      </c>
      <c r="R94" s="403">
        <f t="shared" si="9"/>
        <v>2913989</v>
      </c>
    </row>
    <row r="95" spans="1:18" s="6" customFormat="1" ht="24" hidden="1" customHeight="1">
      <c r="A95" s="130" t="s">
        <v>177</v>
      </c>
      <c r="B95" s="124" t="s">
        <v>90</v>
      </c>
      <c r="C95" s="169"/>
      <c r="D95" s="169">
        <v>0</v>
      </c>
      <c r="E95" s="433"/>
      <c r="F95" s="433"/>
      <c r="G95" s="433"/>
      <c r="H95" s="404">
        <f t="shared" si="7"/>
        <v>0</v>
      </c>
      <c r="I95" s="433">
        <v>0</v>
      </c>
      <c r="J95" s="433"/>
      <c r="K95" s="433"/>
      <c r="L95" s="433"/>
      <c r="M95" s="404">
        <f t="shared" si="8"/>
        <v>0</v>
      </c>
      <c r="N95" s="433">
        <v>0</v>
      </c>
      <c r="O95" s="433"/>
      <c r="P95" s="433"/>
      <c r="Q95" s="433"/>
      <c r="R95" s="404">
        <f t="shared" si="9"/>
        <v>0</v>
      </c>
    </row>
    <row r="96" spans="1:18" s="6" customFormat="1" ht="12" hidden="1" customHeight="1">
      <c r="A96" s="130" t="s">
        <v>91</v>
      </c>
      <c r="B96" s="124" t="s">
        <v>92</v>
      </c>
      <c r="C96" s="169"/>
      <c r="D96" s="169">
        <v>0</v>
      </c>
      <c r="E96" s="433"/>
      <c r="F96" s="433"/>
      <c r="G96" s="433"/>
      <c r="H96" s="404">
        <f t="shared" si="7"/>
        <v>0</v>
      </c>
      <c r="I96" s="433">
        <v>0</v>
      </c>
      <c r="J96" s="433"/>
      <c r="K96" s="433"/>
      <c r="L96" s="433"/>
      <c r="M96" s="404">
        <f t="shared" si="8"/>
        <v>0</v>
      </c>
      <c r="N96" s="433">
        <v>0</v>
      </c>
      <c r="O96" s="433"/>
      <c r="P96" s="433"/>
      <c r="Q96" s="433"/>
      <c r="R96" s="404">
        <f t="shared" si="9"/>
        <v>0</v>
      </c>
    </row>
    <row r="97" spans="1:18" s="6" customFormat="1" ht="24" hidden="1" customHeight="1">
      <c r="A97" s="131">
        <v>21210</v>
      </c>
      <c r="B97" s="125" t="s">
        <v>93</v>
      </c>
      <c r="C97" s="169"/>
      <c r="D97" s="169">
        <v>0</v>
      </c>
      <c r="E97" s="433"/>
      <c r="F97" s="433"/>
      <c r="G97" s="433"/>
      <c r="H97" s="404">
        <f t="shared" si="7"/>
        <v>0</v>
      </c>
      <c r="I97" s="433">
        <v>0</v>
      </c>
      <c r="J97" s="433"/>
      <c r="K97" s="433"/>
      <c r="L97" s="433"/>
      <c r="M97" s="404">
        <f t="shared" si="8"/>
        <v>0</v>
      </c>
      <c r="N97" s="433">
        <v>0</v>
      </c>
      <c r="O97" s="433"/>
      <c r="P97" s="433"/>
      <c r="Q97" s="433"/>
      <c r="R97" s="404">
        <f t="shared" si="9"/>
        <v>0</v>
      </c>
    </row>
    <row r="98" spans="1:18" s="6" customFormat="1" ht="21" hidden="1" customHeight="1">
      <c r="A98" s="130" t="s">
        <v>178</v>
      </c>
      <c r="B98" s="124" t="s">
        <v>94</v>
      </c>
      <c r="C98" s="171">
        <v>0</v>
      </c>
      <c r="D98" s="171">
        <v>0</v>
      </c>
      <c r="E98" s="404">
        <f>E99+E105</f>
        <v>0</v>
      </c>
      <c r="F98" s="404">
        <f>F99+F105</f>
        <v>0</v>
      </c>
      <c r="G98" s="404">
        <f>G99+G105</f>
        <v>0</v>
      </c>
      <c r="H98" s="404">
        <f t="shared" si="7"/>
        <v>0</v>
      </c>
      <c r="I98" s="404">
        <v>0</v>
      </c>
      <c r="J98" s="404">
        <f>J99+J105</f>
        <v>0</v>
      </c>
      <c r="K98" s="404">
        <f>K99+K105</f>
        <v>0</v>
      </c>
      <c r="L98" s="404">
        <f>L99+L105</f>
        <v>0</v>
      </c>
      <c r="M98" s="404">
        <f t="shared" si="8"/>
        <v>0</v>
      </c>
      <c r="N98" s="404">
        <v>0</v>
      </c>
      <c r="O98" s="404">
        <f>O99+O105</f>
        <v>0</v>
      </c>
      <c r="P98" s="404">
        <f>P99+P105</f>
        <v>0</v>
      </c>
      <c r="Q98" s="404">
        <f>Q99+Q105</f>
        <v>0</v>
      </c>
      <c r="R98" s="404">
        <f t="shared" si="9"/>
        <v>0</v>
      </c>
    </row>
    <row r="99" spans="1:18" s="6" customFormat="1" ht="12" hidden="1" customHeight="1">
      <c r="A99" s="132">
        <v>18000</v>
      </c>
      <c r="B99" s="125" t="s">
        <v>95</v>
      </c>
      <c r="C99" s="171">
        <v>0</v>
      </c>
      <c r="D99" s="171">
        <v>0</v>
      </c>
      <c r="E99" s="404">
        <f t="shared" ref="E99:L100" si="10">E100</f>
        <v>0</v>
      </c>
      <c r="F99" s="404">
        <f t="shared" si="10"/>
        <v>0</v>
      </c>
      <c r="G99" s="404">
        <f t="shared" si="10"/>
        <v>0</v>
      </c>
      <c r="H99" s="404">
        <f t="shared" si="7"/>
        <v>0</v>
      </c>
      <c r="I99" s="404">
        <v>0</v>
      </c>
      <c r="J99" s="404">
        <f t="shared" si="10"/>
        <v>0</v>
      </c>
      <c r="K99" s="404">
        <f t="shared" si="10"/>
        <v>0</v>
      </c>
      <c r="L99" s="404">
        <f t="shared" si="10"/>
        <v>0</v>
      </c>
      <c r="M99" s="404">
        <f t="shared" si="8"/>
        <v>0</v>
      </c>
      <c r="N99" s="404">
        <v>0</v>
      </c>
      <c r="O99" s="404">
        <f t="shared" ref="O99:Q100" si="11">O100</f>
        <v>0</v>
      </c>
      <c r="P99" s="404">
        <f t="shared" si="11"/>
        <v>0</v>
      </c>
      <c r="Q99" s="404">
        <f t="shared" si="11"/>
        <v>0</v>
      </c>
      <c r="R99" s="404">
        <f t="shared" si="9"/>
        <v>0</v>
      </c>
    </row>
    <row r="100" spans="1:18" s="6" customFormat="1" ht="12" hidden="1" customHeight="1">
      <c r="A100" s="132">
        <v>18100</v>
      </c>
      <c r="B100" s="125" t="s">
        <v>96</v>
      </c>
      <c r="C100" s="171">
        <v>0</v>
      </c>
      <c r="D100" s="171">
        <v>0</v>
      </c>
      <c r="E100" s="404">
        <f t="shared" si="10"/>
        <v>0</v>
      </c>
      <c r="F100" s="404">
        <f t="shared" si="10"/>
        <v>0</v>
      </c>
      <c r="G100" s="404">
        <f t="shared" si="10"/>
        <v>0</v>
      </c>
      <c r="H100" s="404">
        <f t="shared" si="7"/>
        <v>0</v>
      </c>
      <c r="I100" s="404">
        <v>0</v>
      </c>
      <c r="J100" s="404">
        <f t="shared" si="10"/>
        <v>0</v>
      </c>
      <c r="K100" s="404">
        <f t="shared" si="10"/>
        <v>0</v>
      </c>
      <c r="L100" s="404">
        <f t="shared" si="10"/>
        <v>0</v>
      </c>
      <c r="M100" s="404">
        <f t="shared" si="8"/>
        <v>0</v>
      </c>
      <c r="N100" s="404">
        <v>0</v>
      </c>
      <c r="O100" s="404">
        <f t="shared" si="11"/>
        <v>0</v>
      </c>
      <c r="P100" s="404">
        <f t="shared" si="11"/>
        <v>0</v>
      </c>
      <c r="Q100" s="404">
        <f t="shared" si="11"/>
        <v>0</v>
      </c>
      <c r="R100" s="404">
        <f t="shared" si="9"/>
        <v>0</v>
      </c>
    </row>
    <row r="101" spans="1:18" s="6" customFormat="1" ht="24" hidden="1" customHeight="1">
      <c r="A101" s="133">
        <v>18130</v>
      </c>
      <c r="B101" s="172" t="s">
        <v>159</v>
      </c>
      <c r="C101" s="171">
        <v>0</v>
      </c>
      <c r="D101" s="171">
        <v>0</v>
      </c>
      <c r="E101" s="404">
        <f>SUM(E102:E104)</f>
        <v>0</v>
      </c>
      <c r="F101" s="404">
        <f>SUM(F102:F104)</f>
        <v>0</v>
      </c>
      <c r="G101" s="404">
        <f>SUM(G102:G104)</f>
        <v>0</v>
      </c>
      <c r="H101" s="404">
        <f t="shared" si="7"/>
        <v>0</v>
      </c>
      <c r="I101" s="404">
        <v>0</v>
      </c>
      <c r="J101" s="404">
        <f>SUM(J102:J104)</f>
        <v>0</v>
      </c>
      <c r="K101" s="404">
        <f>SUM(K102:K104)</f>
        <v>0</v>
      </c>
      <c r="L101" s="404">
        <f>SUM(L102:L104)</f>
        <v>0</v>
      </c>
      <c r="M101" s="404">
        <f t="shared" si="8"/>
        <v>0</v>
      </c>
      <c r="N101" s="404">
        <v>0</v>
      </c>
      <c r="O101" s="404">
        <f>SUM(O102:O104)</f>
        <v>0</v>
      </c>
      <c r="P101" s="404">
        <f>SUM(P102:P104)</f>
        <v>0</v>
      </c>
      <c r="Q101" s="404">
        <f>SUM(Q102:Q104)</f>
        <v>0</v>
      </c>
      <c r="R101" s="404">
        <f t="shared" si="9"/>
        <v>0</v>
      </c>
    </row>
    <row r="102" spans="1:18" s="6" customFormat="1" ht="24" hidden="1" customHeight="1">
      <c r="A102" s="134">
        <v>18131</v>
      </c>
      <c r="B102" s="172" t="s">
        <v>160</v>
      </c>
      <c r="C102" s="171"/>
      <c r="D102" s="171">
        <v>0</v>
      </c>
      <c r="E102" s="404"/>
      <c r="F102" s="404"/>
      <c r="G102" s="404"/>
      <c r="H102" s="404">
        <f t="shared" si="7"/>
        <v>0</v>
      </c>
      <c r="I102" s="404">
        <v>0</v>
      </c>
      <c r="J102" s="404"/>
      <c r="K102" s="404"/>
      <c r="L102" s="404"/>
      <c r="M102" s="404">
        <f t="shared" si="8"/>
        <v>0</v>
      </c>
      <c r="N102" s="404">
        <v>0</v>
      </c>
      <c r="O102" s="404"/>
      <c r="P102" s="404"/>
      <c r="Q102" s="404"/>
      <c r="R102" s="404">
        <f t="shared" si="9"/>
        <v>0</v>
      </c>
    </row>
    <row r="103" spans="1:18" s="6" customFormat="1" ht="24" hidden="1" customHeight="1">
      <c r="A103" s="134">
        <v>18132</v>
      </c>
      <c r="B103" s="172" t="s">
        <v>169</v>
      </c>
      <c r="C103" s="171"/>
      <c r="D103" s="171">
        <v>0</v>
      </c>
      <c r="E103" s="404"/>
      <c r="F103" s="404"/>
      <c r="G103" s="404"/>
      <c r="H103" s="404">
        <f t="shared" si="7"/>
        <v>0</v>
      </c>
      <c r="I103" s="404">
        <v>0</v>
      </c>
      <c r="J103" s="404"/>
      <c r="K103" s="404"/>
      <c r="L103" s="404"/>
      <c r="M103" s="404">
        <f t="shared" si="8"/>
        <v>0</v>
      </c>
      <c r="N103" s="404">
        <v>0</v>
      </c>
      <c r="O103" s="404"/>
      <c r="P103" s="404"/>
      <c r="Q103" s="404"/>
      <c r="R103" s="404">
        <f t="shared" si="9"/>
        <v>0</v>
      </c>
    </row>
    <row r="104" spans="1:18" s="6" customFormat="1" ht="24" hidden="1" customHeight="1">
      <c r="A104" s="134">
        <v>18139</v>
      </c>
      <c r="B104" s="172" t="s">
        <v>179</v>
      </c>
      <c r="C104" s="171"/>
      <c r="D104" s="171">
        <v>0</v>
      </c>
      <c r="E104" s="404"/>
      <c r="F104" s="404"/>
      <c r="G104" s="404"/>
      <c r="H104" s="404">
        <f t="shared" si="7"/>
        <v>0</v>
      </c>
      <c r="I104" s="404">
        <v>0</v>
      </c>
      <c r="J104" s="404"/>
      <c r="K104" s="404"/>
      <c r="L104" s="404"/>
      <c r="M104" s="404">
        <f t="shared" si="8"/>
        <v>0</v>
      </c>
      <c r="N104" s="404">
        <v>0</v>
      </c>
      <c r="O104" s="404"/>
      <c r="P104" s="404"/>
      <c r="Q104" s="404"/>
      <c r="R104" s="404">
        <f t="shared" si="9"/>
        <v>0</v>
      </c>
    </row>
    <row r="105" spans="1:18" s="6" customFormat="1" ht="12" hidden="1" customHeight="1">
      <c r="A105" s="135" t="s">
        <v>180</v>
      </c>
      <c r="B105" s="173" t="s">
        <v>173</v>
      </c>
      <c r="C105" s="174">
        <v>0</v>
      </c>
      <c r="D105" s="174">
        <v>0</v>
      </c>
      <c r="E105" s="436">
        <f t="shared" ref="E105:L105" si="12">E106</f>
        <v>0</v>
      </c>
      <c r="F105" s="436">
        <f t="shared" si="12"/>
        <v>0</v>
      </c>
      <c r="G105" s="436">
        <f t="shared" si="12"/>
        <v>0</v>
      </c>
      <c r="H105" s="404">
        <f t="shared" si="7"/>
        <v>0</v>
      </c>
      <c r="I105" s="436">
        <v>0</v>
      </c>
      <c r="J105" s="436">
        <f t="shared" si="12"/>
        <v>0</v>
      </c>
      <c r="K105" s="436">
        <f t="shared" si="12"/>
        <v>0</v>
      </c>
      <c r="L105" s="436">
        <f t="shared" si="12"/>
        <v>0</v>
      </c>
      <c r="M105" s="404">
        <f t="shared" si="8"/>
        <v>0</v>
      </c>
      <c r="N105" s="436">
        <v>0</v>
      </c>
      <c r="O105" s="436">
        <f>O106</f>
        <v>0</v>
      </c>
      <c r="P105" s="436">
        <f>P106</f>
        <v>0</v>
      </c>
      <c r="Q105" s="436">
        <f>Q106</f>
        <v>0</v>
      </c>
      <c r="R105" s="404">
        <f t="shared" si="9"/>
        <v>0</v>
      </c>
    </row>
    <row r="106" spans="1:18" s="6" customFormat="1" ht="24" hidden="1" customHeight="1">
      <c r="A106" s="135">
        <v>19500</v>
      </c>
      <c r="B106" s="172" t="s">
        <v>174</v>
      </c>
      <c r="C106" s="171">
        <v>0</v>
      </c>
      <c r="D106" s="171">
        <v>0</v>
      </c>
      <c r="E106" s="404">
        <f>SUM(E107:E109)</f>
        <v>0</v>
      </c>
      <c r="F106" s="404">
        <f>SUM(F107:F109)</f>
        <v>0</v>
      </c>
      <c r="G106" s="404">
        <f>SUM(G107:G109)</f>
        <v>0</v>
      </c>
      <c r="H106" s="404">
        <f t="shared" si="7"/>
        <v>0</v>
      </c>
      <c r="I106" s="404">
        <v>0</v>
      </c>
      <c r="J106" s="404">
        <f>SUM(J107:J109)</f>
        <v>0</v>
      </c>
      <c r="K106" s="404">
        <f>SUM(K107:K109)</f>
        <v>0</v>
      </c>
      <c r="L106" s="404">
        <f>SUM(L107:L109)</f>
        <v>0</v>
      </c>
      <c r="M106" s="404">
        <f t="shared" si="8"/>
        <v>0</v>
      </c>
      <c r="N106" s="404">
        <v>0</v>
      </c>
      <c r="O106" s="404">
        <f>SUM(O107:O109)</f>
        <v>0</v>
      </c>
      <c r="P106" s="404">
        <f>SUM(P107:P109)</f>
        <v>0</v>
      </c>
      <c r="Q106" s="404">
        <f>SUM(Q107:Q109)</f>
        <v>0</v>
      </c>
      <c r="R106" s="404">
        <f t="shared" si="9"/>
        <v>0</v>
      </c>
    </row>
    <row r="107" spans="1:18" s="6" customFormat="1" ht="24" hidden="1" customHeight="1">
      <c r="A107" s="136">
        <v>19550</v>
      </c>
      <c r="B107" s="172" t="s">
        <v>175</v>
      </c>
      <c r="C107" s="171"/>
      <c r="D107" s="171">
        <v>0</v>
      </c>
      <c r="E107" s="404"/>
      <c r="F107" s="404"/>
      <c r="G107" s="404"/>
      <c r="H107" s="404">
        <f t="shared" si="7"/>
        <v>0</v>
      </c>
      <c r="I107" s="404">
        <v>0</v>
      </c>
      <c r="J107" s="404"/>
      <c r="K107" s="404"/>
      <c r="L107" s="404"/>
      <c r="M107" s="404">
        <f t="shared" si="8"/>
        <v>0</v>
      </c>
      <c r="N107" s="404">
        <v>0</v>
      </c>
      <c r="O107" s="404"/>
      <c r="P107" s="404"/>
      <c r="Q107" s="404"/>
      <c r="R107" s="404">
        <f t="shared" si="9"/>
        <v>0</v>
      </c>
    </row>
    <row r="108" spans="1:18" s="6" customFormat="1" ht="36" hidden="1" customHeight="1">
      <c r="A108" s="136">
        <v>19560</v>
      </c>
      <c r="B108" s="172" t="s">
        <v>181</v>
      </c>
      <c r="C108" s="171"/>
      <c r="D108" s="171">
        <v>0</v>
      </c>
      <c r="E108" s="404"/>
      <c r="F108" s="404"/>
      <c r="G108" s="404"/>
      <c r="H108" s="404">
        <f t="shared" si="7"/>
        <v>0</v>
      </c>
      <c r="I108" s="404">
        <v>0</v>
      </c>
      <c r="J108" s="404"/>
      <c r="K108" s="404"/>
      <c r="L108" s="404"/>
      <c r="M108" s="404">
        <f t="shared" si="8"/>
        <v>0</v>
      </c>
      <c r="N108" s="404">
        <v>0</v>
      </c>
      <c r="O108" s="404"/>
      <c r="P108" s="404"/>
      <c r="Q108" s="404"/>
      <c r="R108" s="404">
        <f t="shared" si="9"/>
        <v>0</v>
      </c>
    </row>
    <row r="109" spans="1:18" s="6" customFormat="1" ht="60" hidden="1" customHeight="1">
      <c r="A109" s="136">
        <v>19570</v>
      </c>
      <c r="B109" s="172" t="s">
        <v>182</v>
      </c>
      <c r="C109" s="171"/>
      <c r="D109" s="171">
        <v>0</v>
      </c>
      <c r="E109" s="404"/>
      <c r="F109" s="404"/>
      <c r="G109" s="404"/>
      <c r="H109" s="404">
        <f t="shared" si="7"/>
        <v>0</v>
      </c>
      <c r="I109" s="404">
        <v>0</v>
      </c>
      <c r="J109" s="404"/>
      <c r="K109" s="404"/>
      <c r="L109" s="404"/>
      <c r="M109" s="404">
        <f t="shared" si="8"/>
        <v>0</v>
      </c>
      <c r="N109" s="404">
        <v>0</v>
      </c>
      <c r="O109" s="404"/>
      <c r="P109" s="404"/>
      <c r="Q109" s="404"/>
      <c r="R109" s="404">
        <f t="shared" si="9"/>
        <v>0</v>
      </c>
    </row>
    <row r="110" spans="1:18" s="6" customFormat="1" ht="24" hidden="1" customHeight="1">
      <c r="A110" s="209" t="s">
        <v>222</v>
      </c>
      <c r="B110" s="208" t="s">
        <v>216</v>
      </c>
      <c r="C110" s="171">
        <f>C111</f>
        <v>0</v>
      </c>
      <c r="D110" s="171">
        <v>0</v>
      </c>
      <c r="E110" s="404">
        <f t="shared" ref="E110:L110" si="13">E111</f>
        <v>0</v>
      </c>
      <c r="F110" s="404">
        <f t="shared" si="13"/>
        <v>0</v>
      </c>
      <c r="G110" s="404">
        <f t="shared" si="13"/>
        <v>0</v>
      </c>
      <c r="H110" s="404">
        <f t="shared" si="7"/>
        <v>0</v>
      </c>
      <c r="I110" s="404">
        <v>0</v>
      </c>
      <c r="J110" s="404">
        <f t="shared" si="13"/>
        <v>0</v>
      </c>
      <c r="K110" s="404">
        <f t="shared" si="13"/>
        <v>0</v>
      </c>
      <c r="L110" s="404">
        <f t="shared" si="13"/>
        <v>0</v>
      </c>
      <c r="M110" s="404">
        <f t="shared" si="8"/>
        <v>0</v>
      </c>
      <c r="N110" s="404">
        <v>0</v>
      </c>
      <c r="O110" s="404">
        <f>O111</f>
        <v>0</v>
      </c>
      <c r="P110" s="404">
        <f>P111</f>
        <v>0</v>
      </c>
      <c r="Q110" s="404">
        <f>Q111</f>
        <v>0</v>
      </c>
      <c r="R110" s="404">
        <f t="shared" si="9"/>
        <v>0</v>
      </c>
    </row>
    <row r="111" spans="1:18" s="6" customFormat="1" ht="36" hidden="1" customHeight="1">
      <c r="A111" s="209">
        <v>17100</v>
      </c>
      <c r="B111" s="208" t="s">
        <v>217</v>
      </c>
      <c r="C111" s="171">
        <f>SUM(C112:C115)</f>
        <v>0</v>
      </c>
      <c r="D111" s="171">
        <v>0</v>
      </c>
      <c r="E111" s="404">
        <f>SUM(E112:E115)</f>
        <v>0</v>
      </c>
      <c r="F111" s="404">
        <f>SUM(F112:F115)</f>
        <v>0</v>
      </c>
      <c r="G111" s="404">
        <f>SUM(G112:G115)</f>
        <v>0</v>
      </c>
      <c r="H111" s="404">
        <f t="shared" si="7"/>
        <v>0</v>
      </c>
      <c r="I111" s="404">
        <v>0</v>
      </c>
      <c r="J111" s="404">
        <f>SUM(J112:J115)</f>
        <v>0</v>
      </c>
      <c r="K111" s="404">
        <f>SUM(K112:K115)</f>
        <v>0</v>
      </c>
      <c r="L111" s="404">
        <f>SUM(L112:L115)</f>
        <v>0</v>
      </c>
      <c r="M111" s="404">
        <f t="shared" si="8"/>
        <v>0</v>
      </c>
      <c r="N111" s="404">
        <v>0</v>
      </c>
      <c r="O111" s="404">
        <f>SUM(O112:O115)</f>
        <v>0</v>
      </c>
      <c r="P111" s="404">
        <f>SUM(P112:P115)</f>
        <v>0</v>
      </c>
      <c r="Q111" s="404">
        <f>SUM(Q112:Q115)</f>
        <v>0</v>
      </c>
      <c r="R111" s="404">
        <f t="shared" si="9"/>
        <v>0</v>
      </c>
    </row>
    <row r="112" spans="1:18" s="6" customFormat="1" ht="48" hidden="1" customHeight="1">
      <c r="A112" s="149">
        <v>17110</v>
      </c>
      <c r="B112" s="208" t="s">
        <v>218</v>
      </c>
      <c r="C112" s="171"/>
      <c r="D112" s="171">
        <v>0</v>
      </c>
      <c r="E112" s="404"/>
      <c r="F112" s="404"/>
      <c r="G112" s="404"/>
      <c r="H112" s="404">
        <f t="shared" si="7"/>
        <v>0</v>
      </c>
      <c r="I112" s="404">
        <v>0</v>
      </c>
      <c r="J112" s="404"/>
      <c r="K112" s="404"/>
      <c r="L112" s="404"/>
      <c r="M112" s="404">
        <f t="shared" si="8"/>
        <v>0</v>
      </c>
      <c r="N112" s="404">
        <v>0</v>
      </c>
      <c r="O112" s="404"/>
      <c r="P112" s="404"/>
      <c r="Q112" s="404"/>
      <c r="R112" s="404">
        <f t="shared" si="9"/>
        <v>0</v>
      </c>
    </row>
    <row r="113" spans="1:18" s="6" customFormat="1" ht="48" hidden="1" customHeight="1">
      <c r="A113" s="149">
        <v>17120</v>
      </c>
      <c r="B113" s="208" t="s">
        <v>219</v>
      </c>
      <c r="C113" s="171"/>
      <c r="D113" s="171">
        <v>0</v>
      </c>
      <c r="E113" s="404"/>
      <c r="F113" s="404"/>
      <c r="G113" s="404"/>
      <c r="H113" s="404">
        <f t="shared" si="7"/>
        <v>0</v>
      </c>
      <c r="I113" s="404">
        <v>0</v>
      </c>
      <c r="J113" s="404"/>
      <c r="K113" s="404"/>
      <c r="L113" s="404"/>
      <c r="M113" s="404">
        <f t="shared" si="8"/>
        <v>0</v>
      </c>
      <c r="N113" s="404">
        <v>0</v>
      </c>
      <c r="O113" s="404"/>
      <c r="P113" s="404"/>
      <c r="Q113" s="404"/>
      <c r="R113" s="404">
        <f t="shared" si="9"/>
        <v>0</v>
      </c>
    </row>
    <row r="114" spans="1:18" s="6" customFormat="1" ht="96" hidden="1" customHeight="1">
      <c r="A114" s="149">
        <v>17130</v>
      </c>
      <c r="B114" s="208" t="s">
        <v>220</v>
      </c>
      <c r="C114" s="171"/>
      <c r="D114" s="171">
        <v>0</v>
      </c>
      <c r="E114" s="404"/>
      <c r="F114" s="404"/>
      <c r="G114" s="404"/>
      <c r="H114" s="404">
        <f t="shared" si="7"/>
        <v>0</v>
      </c>
      <c r="I114" s="404">
        <v>0</v>
      </c>
      <c r="J114" s="404"/>
      <c r="K114" s="404"/>
      <c r="L114" s="404"/>
      <c r="M114" s="404">
        <f t="shared" si="8"/>
        <v>0</v>
      </c>
      <c r="N114" s="404">
        <v>0</v>
      </c>
      <c r="O114" s="404"/>
      <c r="P114" s="404"/>
      <c r="Q114" s="404"/>
      <c r="R114" s="404">
        <f t="shared" si="9"/>
        <v>0</v>
      </c>
    </row>
    <row r="115" spans="1:18" s="6" customFormat="1" ht="96" hidden="1" customHeight="1">
      <c r="A115" s="149">
        <v>17140</v>
      </c>
      <c r="B115" s="208" t="s">
        <v>221</v>
      </c>
      <c r="C115" s="171"/>
      <c r="D115" s="171">
        <v>0</v>
      </c>
      <c r="E115" s="404"/>
      <c r="F115" s="404"/>
      <c r="G115" s="404"/>
      <c r="H115" s="404">
        <f t="shared" si="7"/>
        <v>0</v>
      </c>
      <c r="I115" s="404">
        <v>0</v>
      </c>
      <c r="J115" s="404"/>
      <c r="K115" s="404"/>
      <c r="L115" s="404"/>
      <c r="M115" s="404">
        <f t="shared" si="8"/>
        <v>0</v>
      </c>
      <c r="N115" s="404">
        <v>0</v>
      </c>
      <c r="O115" s="404"/>
      <c r="P115" s="404"/>
      <c r="Q115" s="404"/>
      <c r="R115" s="404">
        <f t="shared" si="9"/>
        <v>0</v>
      </c>
    </row>
    <row r="116" spans="1:18" s="6" customFormat="1" ht="12">
      <c r="A116" s="137">
        <v>21700</v>
      </c>
      <c r="B116" s="124" t="s">
        <v>97</v>
      </c>
      <c r="C116" s="171">
        <v>2790364</v>
      </c>
      <c r="D116" s="171">
        <v>2904989</v>
      </c>
      <c r="E116" s="404">
        <f>E117+E118</f>
        <v>0</v>
      </c>
      <c r="F116" s="404">
        <f>F117+F118</f>
        <v>-20000</v>
      </c>
      <c r="G116" s="404">
        <f>G117+G118</f>
        <v>95270</v>
      </c>
      <c r="H116" s="404">
        <f t="shared" si="7"/>
        <v>2980259</v>
      </c>
      <c r="I116" s="404">
        <v>2881989</v>
      </c>
      <c r="J116" s="404">
        <f>J117+J118</f>
        <v>0</v>
      </c>
      <c r="K116" s="404">
        <f>K117+K118</f>
        <v>-20000</v>
      </c>
      <c r="L116" s="404">
        <f>L117+L118</f>
        <v>95270</v>
      </c>
      <c r="M116" s="404">
        <f t="shared" si="8"/>
        <v>2957259</v>
      </c>
      <c r="N116" s="404">
        <v>2851989</v>
      </c>
      <c r="O116" s="404">
        <f>O117+O118</f>
        <v>0</v>
      </c>
      <c r="P116" s="404">
        <f>P117+P118</f>
        <v>0</v>
      </c>
      <c r="Q116" s="404">
        <f>Q117+Q118</f>
        <v>62000</v>
      </c>
      <c r="R116" s="404">
        <f t="shared" si="9"/>
        <v>2913989</v>
      </c>
    </row>
    <row r="117" spans="1:18" s="6" customFormat="1" ht="24">
      <c r="A117" s="138">
        <v>21710</v>
      </c>
      <c r="B117" s="125" t="s">
        <v>98</v>
      </c>
      <c r="C117" s="171">
        <v>2790364</v>
      </c>
      <c r="D117" s="171">
        <v>2904989</v>
      </c>
      <c r="E117" s="404"/>
      <c r="F117" s="404">
        <f>F119</f>
        <v>-20000</v>
      </c>
      <c r="G117" s="404">
        <f>G119</f>
        <v>95270</v>
      </c>
      <c r="H117" s="404">
        <f t="shared" si="7"/>
        <v>2980259</v>
      </c>
      <c r="I117" s="404">
        <v>2881989</v>
      </c>
      <c r="J117" s="404"/>
      <c r="K117" s="404">
        <f>K119</f>
        <v>-20000</v>
      </c>
      <c r="L117" s="404">
        <f>L119</f>
        <v>95270</v>
      </c>
      <c r="M117" s="404">
        <f t="shared" si="8"/>
        <v>2957259</v>
      </c>
      <c r="N117" s="404">
        <v>2851989</v>
      </c>
      <c r="O117" s="404"/>
      <c r="P117" s="404"/>
      <c r="Q117" s="404">
        <f>Q119</f>
        <v>62000</v>
      </c>
      <c r="R117" s="404">
        <f t="shared" si="9"/>
        <v>2913989</v>
      </c>
    </row>
    <row r="118" spans="1:18" s="6" customFormat="1" ht="24" hidden="1" customHeight="1">
      <c r="A118" s="138">
        <v>21720</v>
      </c>
      <c r="B118" s="125" t="s">
        <v>99</v>
      </c>
      <c r="C118" s="171"/>
      <c r="D118" s="171">
        <v>0</v>
      </c>
      <c r="E118" s="404"/>
      <c r="F118" s="404"/>
      <c r="G118" s="404"/>
      <c r="H118" s="404">
        <f t="shared" si="7"/>
        <v>0</v>
      </c>
      <c r="I118" s="404">
        <v>0</v>
      </c>
      <c r="J118" s="404"/>
      <c r="K118" s="404"/>
      <c r="L118" s="404"/>
      <c r="M118" s="404">
        <f t="shared" si="8"/>
        <v>0</v>
      </c>
      <c r="N118" s="404">
        <v>0</v>
      </c>
      <c r="O118" s="404"/>
      <c r="P118" s="404"/>
      <c r="Q118" s="404"/>
      <c r="R118" s="404">
        <f t="shared" si="9"/>
        <v>0</v>
      </c>
    </row>
    <row r="119" spans="1:18" s="6" customFormat="1" ht="11.4">
      <c r="A119" s="129" t="s">
        <v>100</v>
      </c>
      <c r="B119" s="123" t="s">
        <v>101</v>
      </c>
      <c r="C119" s="175">
        <v>2790364</v>
      </c>
      <c r="D119" s="175">
        <v>2904989</v>
      </c>
      <c r="E119" s="403">
        <f>E120+E147</f>
        <v>0</v>
      </c>
      <c r="F119" s="403">
        <f>F120+F147</f>
        <v>-20000</v>
      </c>
      <c r="G119" s="403">
        <f>G120+G147</f>
        <v>95270</v>
      </c>
      <c r="H119" s="403">
        <f t="shared" si="7"/>
        <v>2980259</v>
      </c>
      <c r="I119" s="403">
        <v>2881989</v>
      </c>
      <c r="J119" s="403">
        <f>J120+J147</f>
        <v>0</v>
      </c>
      <c r="K119" s="403">
        <f>K120+K147</f>
        <v>-20000</v>
      </c>
      <c r="L119" s="403">
        <f>L120+L147</f>
        <v>95270</v>
      </c>
      <c r="M119" s="403">
        <f t="shared" si="8"/>
        <v>2957259</v>
      </c>
      <c r="N119" s="403">
        <v>2851989</v>
      </c>
      <c r="O119" s="403">
        <f>O120+O147</f>
        <v>0</v>
      </c>
      <c r="P119" s="403">
        <f>P120+P147</f>
        <v>0</v>
      </c>
      <c r="Q119" s="403">
        <f>Q120+Q147</f>
        <v>62000</v>
      </c>
      <c r="R119" s="403">
        <f t="shared" si="9"/>
        <v>2913989</v>
      </c>
    </row>
    <row r="120" spans="1:18" s="6" customFormat="1" ht="20.399999999999999">
      <c r="A120" s="130" t="s">
        <v>102</v>
      </c>
      <c r="B120" s="124" t="s">
        <v>103</v>
      </c>
      <c r="C120" s="171">
        <v>2722264</v>
      </c>
      <c r="D120" s="171">
        <v>2838889</v>
      </c>
      <c r="E120" s="404">
        <f>E121+E125+E126+E129+E132</f>
        <v>0</v>
      </c>
      <c r="F120" s="404">
        <f>F121+F125+F126+F129+F132</f>
        <v>0</v>
      </c>
      <c r="G120" s="404">
        <f>G121+G125+G126+G129+G132</f>
        <v>95270</v>
      </c>
      <c r="H120" s="404">
        <f t="shared" si="7"/>
        <v>2934159</v>
      </c>
      <c r="I120" s="404">
        <v>2829389</v>
      </c>
      <c r="J120" s="404">
        <f>J121+J125+J126+J129+J132</f>
        <v>0</v>
      </c>
      <c r="K120" s="404">
        <f>K121+K125+K126+K129+K132</f>
        <v>0</v>
      </c>
      <c r="L120" s="404">
        <f>L121+L125+L126+L129+L132</f>
        <v>95270</v>
      </c>
      <c r="M120" s="404">
        <f t="shared" si="8"/>
        <v>2924659</v>
      </c>
      <c r="N120" s="404">
        <v>2819389</v>
      </c>
      <c r="O120" s="404">
        <f>O121+O125+O126+O129+O132</f>
        <v>0</v>
      </c>
      <c r="P120" s="404">
        <f>P121+P125+P126+P129+P132</f>
        <v>0</v>
      </c>
      <c r="Q120" s="404">
        <f>Q121+Q125+Q126+Q129+Q132</f>
        <v>62000</v>
      </c>
      <c r="R120" s="404">
        <f t="shared" si="9"/>
        <v>2881389</v>
      </c>
    </row>
    <row r="121" spans="1:18" s="6" customFormat="1" ht="12">
      <c r="A121" s="130" t="s">
        <v>104</v>
      </c>
      <c r="B121" s="124" t="s">
        <v>105</v>
      </c>
      <c r="C121" s="171">
        <v>2273641</v>
      </c>
      <c r="D121" s="171">
        <v>2401331</v>
      </c>
      <c r="E121" s="404">
        <f>E122+E124</f>
        <v>0</v>
      </c>
      <c r="F121" s="404">
        <f>F122+F124</f>
        <v>0</v>
      </c>
      <c r="G121" s="404">
        <f>G122+G124</f>
        <v>95270</v>
      </c>
      <c r="H121" s="404">
        <f t="shared" si="7"/>
        <v>2496601</v>
      </c>
      <c r="I121" s="404">
        <v>2391831</v>
      </c>
      <c r="J121" s="404">
        <f>J122+J124</f>
        <v>0</v>
      </c>
      <c r="K121" s="404">
        <f>K122+K124</f>
        <v>0</v>
      </c>
      <c r="L121" s="404">
        <f>L122+L124</f>
        <v>95270</v>
      </c>
      <c r="M121" s="404">
        <f t="shared" si="8"/>
        <v>2487101</v>
      </c>
      <c r="N121" s="404">
        <v>2381831</v>
      </c>
      <c r="O121" s="404">
        <f>O122+O124</f>
        <v>0</v>
      </c>
      <c r="P121" s="404">
        <f>P122+P124</f>
        <v>0</v>
      </c>
      <c r="Q121" s="404">
        <f>Q122+Q124</f>
        <v>62000</v>
      </c>
      <c r="R121" s="404">
        <f t="shared" si="9"/>
        <v>2443831</v>
      </c>
    </row>
    <row r="122" spans="1:18" s="29" customFormat="1" ht="12">
      <c r="A122" s="132">
        <v>1000</v>
      </c>
      <c r="B122" s="125" t="s">
        <v>106</v>
      </c>
      <c r="C122" s="171">
        <v>1907602</v>
      </c>
      <c r="D122" s="171">
        <v>1918992</v>
      </c>
      <c r="E122" s="404"/>
      <c r="F122" s="404"/>
      <c r="G122" s="404"/>
      <c r="H122" s="404">
        <f t="shared" si="7"/>
        <v>1918992</v>
      </c>
      <c r="I122" s="404">
        <v>1918992</v>
      </c>
      <c r="J122" s="404"/>
      <c r="K122" s="404"/>
      <c r="L122" s="404"/>
      <c r="M122" s="404">
        <f t="shared" si="8"/>
        <v>1918992</v>
      </c>
      <c r="N122" s="404">
        <v>1918992</v>
      </c>
      <c r="O122" s="404"/>
      <c r="P122" s="404"/>
      <c r="Q122" s="404"/>
      <c r="R122" s="404">
        <f t="shared" si="9"/>
        <v>1918992</v>
      </c>
    </row>
    <row r="123" spans="1:18" s="89" customFormat="1" ht="12">
      <c r="A123" s="139">
        <v>1100</v>
      </c>
      <c r="B123" s="125" t="s">
        <v>107</v>
      </c>
      <c r="C123" s="171">
        <v>1487757</v>
      </c>
      <c r="D123" s="171">
        <v>1487757</v>
      </c>
      <c r="E123" s="404"/>
      <c r="F123" s="404"/>
      <c r="G123" s="404"/>
      <c r="H123" s="404">
        <f t="shared" si="7"/>
        <v>1487757</v>
      </c>
      <c r="I123" s="404">
        <v>1487757</v>
      </c>
      <c r="J123" s="404"/>
      <c r="K123" s="404"/>
      <c r="L123" s="404"/>
      <c r="M123" s="404">
        <f t="shared" si="8"/>
        <v>1487757</v>
      </c>
      <c r="N123" s="404">
        <v>1487757</v>
      </c>
      <c r="O123" s="404"/>
      <c r="P123" s="404"/>
      <c r="Q123" s="404"/>
      <c r="R123" s="404">
        <f t="shared" si="9"/>
        <v>1487757</v>
      </c>
    </row>
    <row r="124" spans="1:18" s="89" customFormat="1" ht="12">
      <c r="A124" s="132">
        <v>2000</v>
      </c>
      <c r="B124" s="125" t="s">
        <v>108</v>
      </c>
      <c r="C124" s="171">
        <v>366039</v>
      </c>
      <c r="D124" s="171">
        <v>482339</v>
      </c>
      <c r="E124" s="404"/>
      <c r="F124" s="404"/>
      <c r="G124" s="404">
        <f>25000+62000+8270</f>
        <v>95270</v>
      </c>
      <c r="H124" s="404">
        <f t="shared" si="7"/>
        <v>577609</v>
      </c>
      <c r="I124" s="404">
        <v>472839</v>
      </c>
      <c r="J124" s="404"/>
      <c r="K124" s="404"/>
      <c r="L124" s="404">
        <f>25000+62000+8270</f>
        <v>95270</v>
      </c>
      <c r="M124" s="404">
        <f t="shared" si="8"/>
        <v>568109</v>
      </c>
      <c r="N124" s="404">
        <v>462839</v>
      </c>
      <c r="O124" s="404"/>
      <c r="P124" s="404"/>
      <c r="Q124" s="404">
        <f>62000</f>
        <v>62000</v>
      </c>
      <c r="R124" s="404">
        <f t="shared" si="9"/>
        <v>524839</v>
      </c>
    </row>
    <row r="125" spans="1:18" s="89" customFormat="1" ht="12" hidden="1" customHeight="1">
      <c r="A125" s="140">
        <v>4000</v>
      </c>
      <c r="B125" s="124" t="s">
        <v>132</v>
      </c>
      <c r="C125" s="171">
        <v>0</v>
      </c>
      <c r="D125" s="171">
        <v>0</v>
      </c>
      <c r="E125" s="404"/>
      <c r="F125" s="404"/>
      <c r="G125" s="404"/>
      <c r="H125" s="404">
        <f t="shared" si="7"/>
        <v>0</v>
      </c>
      <c r="I125" s="404">
        <v>0</v>
      </c>
      <c r="J125" s="404"/>
      <c r="K125" s="404"/>
      <c r="L125" s="404"/>
      <c r="M125" s="404">
        <f t="shared" si="8"/>
        <v>0</v>
      </c>
      <c r="N125" s="404">
        <v>0</v>
      </c>
      <c r="O125" s="404"/>
      <c r="P125" s="404"/>
      <c r="Q125" s="404"/>
      <c r="R125" s="404">
        <f t="shared" si="9"/>
        <v>0</v>
      </c>
    </row>
    <row r="126" spans="1:18" s="89" customFormat="1" ht="12">
      <c r="A126" s="140" t="s">
        <v>109</v>
      </c>
      <c r="B126" s="124" t="s">
        <v>110</v>
      </c>
      <c r="C126" s="171">
        <v>442323</v>
      </c>
      <c r="D126" s="171">
        <v>431258</v>
      </c>
      <c r="E126" s="404">
        <f>E127+E128</f>
        <v>0</v>
      </c>
      <c r="F126" s="404">
        <f>F127+F128</f>
        <v>0</v>
      </c>
      <c r="G126" s="404">
        <f>G127+G128</f>
        <v>0</v>
      </c>
      <c r="H126" s="404">
        <f t="shared" si="7"/>
        <v>431258</v>
      </c>
      <c r="I126" s="404">
        <v>431258</v>
      </c>
      <c r="J126" s="404">
        <f>J127+J128</f>
        <v>0</v>
      </c>
      <c r="K126" s="404">
        <f>K127+K128</f>
        <v>0</v>
      </c>
      <c r="L126" s="404">
        <f>L127+L128</f>
        <v>0</v>
      </c>
      <c r="M126" s="404">
        <f t="shared" si="8"/>
        <v>431258</v>
      </c>
      <c r="N126" s="404">
        <v>431258</v>
      </c>
      <c r="O126" s="404">
        <f>O127+O128</f>
        <v>0</v>
      </c>
      <c r="P126" s="404">
        <f>P127+P128</f>
        <v>0</v>
      </c>
      <c r="Q126" s="404">
        <f>Q127+Q128</f>
        <v>0</v>
      </c>
      <c r="R126" s="404">
        <f t="shared" si="9"/>
        <v>431258</v>
      </c>
    </row>
    <row r="127" spans="1:18" s="89" customFormat="1" ht="12">
      <c r="A127" s="132">
        <v>3000</v>
      </c>
      <c r="B127" s="125" t="s">
        <v>111</v>
      </c>
      <c r="C127" s="213">
        <v>442323</v>
      </c>
      <c r="D127" s="213">
        <v>431258</v>
      </c>
      <c r="E127" s="438"/>
      <c r="F127" s="438"/>
      <c r="G127" s="438"/>
      <c r="H127" s="404">
        <f t="shared" si="7"/>
        <v>431258</v>
      </c>
      <c r="I127" s="438">
        <v>431258</v>
      </c>
      <c r="J127" s="438"/>
      <c r="K127" s="438"/>
      <c r="L127" s="438"/>
      <c r="M127" s="404">
        <f t="shared" si="8"/>
        <v>431258</v>
      </c>
      <c r="N127" s="438">
        <v>431258</v>
      </c>
      <c r="O127" s="438"/>
      <c r="P127" s="438"/>
      <c r="Q127" s="438"/>
      <c r="R127" s="404">
        <f t="shared" si="9"/>
        <v>431258</v>
      </c>
    </row>
    <row r="128" spans="1:18" s="89" customFormat="1" ht="12" hidden="1" customHeight="1">
      <c r="A128" s="132">
        <v>6000</v>
      </c>
      <c r="B128" s="125" t="s">
        <v>112</v>
      </c>
      <c r="C128" s="287">
        <v>0</v>
      </c>
      <c r="D128" s="287">
        <v>0</v>
      </c>
      <c r="E128" s="523"/>
      <c r="F128" s="523"/>
      <c r="G128" s="523"/>
      <c r="H128" s="404">
        <f t="shared" si="7"/>
        <v>0</v>
      </c>
      <c r="I128" s="523">
        <v>0</v>
      </c>
      <c r="J128" s="523"/>
      <c r="K128" s="523"/>
      <c r="L128" s="523"/>
      <c r="M128" s="404">
        <f t="shared" si="8"/>
        <v>0</v>
      </c>
      <c r="N128" s="523">
        <v>0</v>
      </c>
      <c r="O128" s="523"/>
      <c r="P128" s="523"/>
      <c r="Q128" s="523"/>
      <c r="R128" s="404">
        <f t="shared" si="9"/>
        <v>0</v>
      </c>
    </row>
    <row r="129" spans="1:18" s="89" customFormat="1" ht="22.8">
      <c r="A129" s="140" t="s">
        <v>113</v>
      </c>
      <c r="B129" s="124" t="s">
        <v>183</v>
      </c>
      <c r="C129" s="171">
        <v>6300</v>
      </c>
      <c r="D129" s="171">
        <v>6300</v>
      </c>
      <c r="E129" s="404">
        <f>E130+E131</f>
        <v>0</v>
      </c>
      <c r="F129" s="404">
        <f>F130+F131</f>
        <v>0</v>
      </c>
      <c r="G129" s="404">
        <f>G130+G131</f>
        <v>0</v>
      </c>
      <c r="H129" s="404">
        <f t="shared" si="7"/>
        <v>6300</v>
      </c>
      <c r="I129" s="404">
        <v>6300</v>
      </c>
      <c r="J129" s="404">
        <f>J130+J131</f>
        <v>0</v>
      </c>
      <c r="K129" s="404">
        <f>K130+K131</f>
        <v>0</v>
      </c>
      <c r="L129" s="404">
        <f>L130+L131</f>
        <v>0</v>
      </c>
      <c r="M129" s="404">
        <f t="shared" si="8"/>
        <v>6300</v>
      </c>
      <c r="N129" s="404">
        <v>6300</v>
      </c>
      <c r="O129" s="404">
        <f>O130+O131</f>
        <v>0</v>
      </c>
      <c r="P129" s="404">
        <f>P130+P131</f>
        <v>0</v>
      </c>
      <c r="Q129" s="404">
        <f>Q130+Q131</f>
        <v>0</v>
      </c>
      <c r="R129" s="404">
        <f t="shared" si="9"/>
        <v>6300</v>
      </c>
    </row>
    <row r="130" spans="1:18" s="89" customFormat="1" ht="12" hidden="1" customHeight="1">
      <c r="A130" s="132">
        <v>7600</v>
      </c>
      <c r="B130" s="179" t="s">
        <v>184</v>
      </c>
      <c r="C130" s="171">
        <v>0</v>
      </c>
      <c r="D130" s="171">
        <v>0</v>
      </c>
      <c r="E130" s="404"/>
      <c r="F130" s="404"/>
      <c r="G130" s="404"/>
      <c r="H130" s="404">
        <f t="shared" si="7"/>
        <v>0</v>
      </c>
      <c r="I130" s="404">
        <v>0</v>
      </c>
      <c r="J130" s="404"/>
      <c r="K130" s="404"/>
      <c r="L130" s="404"/>
      <c r="M130" s="404">
        <f t="shared" si="8"/>
        <v>0</v>
      </c>
      <c r="N130" s="404">
        <v>0</v>
      </c>
      <c r="O130" s="404"/>
      <c r="P130" s="404"/>
      <c r="Q130" s="404"/>
      <c r="R130" s="404">
        <f t="shared" si="9"/>
        <v>0</v>
      </c>
    </row>
    <row r="131" spans="1:18" s="89" customFormat="1" ht="12">
      <c r="A131" s="132">
        <v>7700</v>
      </c>
      <c r="B131" s="126" t="s">
        <v>114</v>
      </c>
      <c r="C131" s="171">
        <v>6300</v>
      </c>
      <c r="D131" s="171">
        <v>6300</v>
      </c>
      <c r="E131" s="404"/>
      <c r="F131" s="404"/>
      <c r="G131" s="404"/>
      <c r="H131" s="404">
        <f t="shared" si="7"/>
        <v>6300</v>
      </c>
      <c r="I131" s="404">
        <v>6300</v>
      </c>
      <c r="J131" s="404"/>
      <c r="K131" s="404"/>
      <c r="L131" s="404"/>
      <c r="M131" s="404">
        <f t="shared" si="8"/>
        <v>6300</v>
      </c>
      <c r="N131" s="404">
        <v>6300</v>
      </c>
      <c r="O131" s="404"/>
      <c r="P131" s="404"/>
      <c r="Q131" s="404"/>
      <c r="R131" s="404">
        <f t="shared" si="9"/>
        <v>6300</v>
      </c>
    </row>
    <row r="132" spans="1:18" s="89" customFormat="1" ht="21" hidden="1" customHeight="1">
      <c r="A132" s="140" t="s">
        <v>185</v>
      </c>
      <c r="B132" s="124" t="s">
        <v>115</v>
      </c>
      <c r="C132" s="171">
        <v>0</v>
      </c>
      <c r="D132" s="171">
        <v>0</v>
      </c>
      <c r="E132" s="404">
        <f>E133+E139+E143+E146</f>
        <v>0</v>
      </c>
      <c r="F132" s="404">
        <f>F133+F139+F143+F146</f>
        <v>0</v>
      </c>
      <c r="G132" s="404">
        <f>G133+G139+G143+G146</f>
        <v>0</v>
      </c>
      <c r="H132" s="404">
        <f t="shared" si="7"/>
        <v>0</v>
      </c>
      <c r="I132" s="404">
        <v>0</v>
      </c>
      <c r="J132" s="404">
        <f>J133+J139+J143+J146</f>
        <v>0</v>
      </c>
      <c r="K132" s="404">
        <f>K133+K139+K143+K146</f>
        <v>0</v>
      </c>
      <c r="L132" s="404">
        <f>L133+L139+L143+L146</f>
        <v>0</v>
      </c>
      <c r="M132" s="404">
        <f t="shared" si="8"/>
        <v>0</v>
      </c>
      <c r="N132" s="404">
        <v>0</v>
      </c>
      <c r="O132" s="404">
        <f>O133+O139+O143+O146</f>
        <v>0</v>
      </c>
      <c r="P132" s="404">
        <f>P133+P139+P143+P146</f>
        <v>0</v>
      </c>
      <c r="Q132" s="404">
        <f>Q133+Q139+Q143+Q146</f>
        <v>0</v>
      </c>
      <c r="R132" s="404">
        <f t="shared" si="9"/>
        <v>0</v>
      </c>
    </row>
    <row r="133" spans="1:18" s="89" customFormat="1" ht="12" hidden="1" customHeight="1">
      <c r="A133" s="132">
        <v>7100</v>
      </c>
      <c r="B133" s="179" t="s">
        <v>116</v>
      </c>
      <c r="C133" s="171">
        <v>0</v>
      </c>
      <c r="D133" s="171">
        <v>0</v>
      </c>
      <c r="E133" s="404">
        <f>E134+E135</f>
        <v>0</v>
      </c>
      <c r="F133" s="404">
        <f>F134+F135</f>
        <v>0</v>
      </c>
      <c r="G133" s="404">
        <f>G134+G135</f>
        <v>0</v>
      </c>
      <c r="H133" s="404">
        <f t="shared" si="7"/>
        <v>0</v>
      </c>
      <c r="I133" s="404">
        <v>0</v>
      </c>
      <c r="J133" s="404">
        <f>J134+J135</f>
        <v>0</v>
      </c>
      <c r="K133" s="404">
        <f>K134+K135</f>
        <v>0</v>
      </c>
      <c r="L133" s="404">
        <f>L134+L135</f>
        <v>0</v>
      </c>
      <c r="M133" s="404">
        <f t="shared" si="8"/>
        <v>0</v>
      </c>
      <c r="N133" s="404">
        <v>0</v>
      </c>
      <c r="O133" s="404">
        <f>O134+O135</f>
        <v>0</v>
      </c>
      <c r="P133" s="404">
        <f>P134+P135</f>
        <v>0</v>
      </c>
      <c r="Q133" s="404">
        <f>Q134+Q135</f>
        <v>0</v>
      </c>
      <c r="R133" s="404">
        <f t="shared" si="9"/>
        <v>0</v>
      </c>
    </row>
    <row r="134" spans="1:18" s="89" customFormat="1" ht="24" hidden="1" customHeight="1">
      <c r="A134" s="133" t="s">
        <v>117</v>
      </c>
      <c r="B134" s="179" t="s">
        <v>118</v>
      </c>
      <c r="C134" s="171"/>
      <c r="D134" s="171">
        <v>0</v>
      </c>
      <c r="E134" s="404"/>
      <c r="F134" s="404"/>
      <c r="G134" s="404"/>
      <c r="H134" s="404">
        <f t="shared" si="7"/>
        <v>0</v>
      </c>
      <c r="I134" s="404">
        <v>0</v>
      </c>
      <c r="J134" s="404"/>
      <c r="K134" s="404"/>
      <c r="L134" s="404"/>
      <c r="M134" s="404">
        <f t="shared" si="8"/>
        <v>0</v>
      </c>
      <c r="N134" s="404">
        <v>0</v>
      </c>
      <c r="O134" s="404"/>
      <c r="P134" s="404"/>
      <c r="Q134" s="404"/>
      <c r="R134" s="404">
        <f t="shared" si="9"/>
        <v>0</v>
      </c>
    </row>
    <row r="135" spans="1:18" s="89" customFormat="1" ht="24" hidden="1" customHeight="1">
      <c r="A135" s="133">
        <v>7130</v>
      </c>
      <c r="B135" s="179" t="s">
        <v>119</v>
      </c>
      <c r="C135" s="171">
        <v>0</v>
      </c>
      <c r="D135" s="171">
        <v>0</v>
      </c>
      <c r="E135" s="404">
        <f>SUM(E136:E138)</f>
        <v>0</v>
      </c>
      <c r="F135" s="404">
        <f>SUM(F136:F138)</f>
        <v>0</v>
      </c>
      <c r="G135" s="404">
        <f>SUM(G136:G138)</f>
        <v>0</v>
      </c>
      <c r="H135" s="404">
        <f t="shared" si="7"/>
        <v>0</v>
      </c>
      <c r="I135" s="404">
        <v>0</v>
      </c>
      <c r="J135" s="404">
        <f>SUM(J136:J138)</f>
        <v>0</v>
      </c>
      <c r="K135" s="404">
        <f>SUM(K136:K138)</f>
        <v>0</v>
      </c>
      <c r="L135" s="404">
        <f>SUM(L136:L138)</f>
        <v>0</v>
      </c>
      <c r="M135" s="404">
        <f t="shared" si="8"/>
        <v>0</v>
      </c>
      <c r="N135" s="404">
        <v>0</v>
      </c>
      <c r="O135" s="404">
        <f>SUM(O136:O138)</f>
        <v>0</v>
      </c>
      <c r="P135" s="404">
        <f>SUM(P136:P138)</f>
        <v>0</v>
      </c>
      <c r="Q135" s="404">
        <f>SUM(Q136:Q138)</f>
        <v>0</v>
      </c>
      <c r="R135" s="404">
        <f t="shared" si="9"/>
        <v>0</v>
      </c>
    </row>
    <row r="136" spans="1:18" s="89" customFormat="1" ht="36" hidden="1" customHeight="1">
      <c r="A136" s="134">
        <v>7131</v>
      </c>
      <c r="B136" s="179" t="s">
        <v>120</v>
      </c>
      <c r="C136" s="171"/>
      <c r="D136" s="171">
        <v>0</v>
      </c>
      <c r="E136" s="404"/>
      <c r="F136" s="404"/>
      <c r="G136" s="404"/>
      <c r="H136" s="404">
        <f t="shared" si="7"/>
        <v>0</v>
      </c>
      <c r="I136" s="404">
        <v>0</v>
      </c>
      <c r="J136" s="404"/>
      <c r="K136" s="404"/>
      <c r="L136" s="404"/>
      <c r="M136" s="404">
        <f t="shared" si="8"/>
        <v>0</v>
      </c>
      <c r="N136" s="404">
        <v>0</v>
      </c>
      <c r="O136" s="404"/>
      <c r="P136" s="404"/>
      <c r="Q136" s="404"/>
      <c r="R136" s="404">
        <f t="shared" si="9"/>
        <v>0</v>
      </c>
    </row>
    <row r="137" spans="1:18" s="29" customFormat="1" ht="36" hidden="1" customHeight="1">
      <c r="A137" s="134">
        <v>7132</v>
      </c>
      <c r="B137" s="179" t="s">
        <v>121</v>
      </c>
      <c r="C137" s="171"/>
      <c r="D137" s="171">
        <v>0</v>
      </c>
      <c r="E137" s="404"/>
      <c r="F137" s="404"/>
      <c r="G137" s="404"/>
      <c r="H137" s="404">
        <f t="shared" si="7"/>
        <v>0</v>
      </c>
      <c r="I137" s="404">
        <v>0</v>
      </c>
      <c r="J137" s="404"/>
      <c r="K137" s="404"/>
      <c r="L137" s="404"/>
      <c r="M137" s="404">
        <f t="shared" si="8"/>
        <v>0</v>
      </c>
      <c r="N137" s="404">
        <v>0</v>
      </c>
      <c r="O137" s="404"/>
      <c r="P137" s="404"/>
      <c r="Q137" s="404"/>
      <c r="R137" s="404">
        <f t="shared" si="9"/>
        <v>0</v>
      </c>
    </row>
    <row r="138" spans="1:18" s="29" customFormat="1" ht="24" hidden="1" customHeight="1">
      <c r="A138" s="134" t="s">
        <v>186</v>
      </c>
      <c r="B138" s="179" t="s">
        <v>187</v>
      </c>
      <c r="C138" s="171"/>
      <c r="D138" s="171">
        <v>0</v>
      </c>
      <c r="E138" s="404"/>
      <c r="F138" s="404"/>
      <c r="G138" s="404"/>
      <c r="H138" s="404">
        <f t="shared" ref="H138:H201" si="14">SUM(D138:G138)</f>
        <v>0</v>
      </c>
      <c r="I138" s="404">
        <v>0</v>
      </c>
      <c r="J138" s="404"/>
      <c r="K138" s="404"/>
      <c r="L138" s="404"/>
      <c r="M138" s="404">
        <f t="shared" ref="M138:M201" si="15">SUM(I138:L138)</f>
        <v>0</v>
      </c>
      <c r="N138" s="404">
        <v>0</v>
      </c>
      <c r="O138" s="404"/>
      <c r="P138" s="404"/>
      <c r="Q138" s="404"/>
      <c r="R138" s="404">
        <f t="shared" ref="R138:R201" si="16">SUM(N138:Q138)</f>
        <v>0</v>
      </c>
    </row>
    <row r="139" spans="1:18" s="29" customFormat="1" ht="24" hidden="1" customHeight="1">
      <c r="A139" s="132">
        <v>7300</v>
      </c>
      <c r="B139" s="172" t="s">
        <v>155</v>
      </c>
      <c r="C139" s="171">
        <v>0</v>
      </c>
      <c r="D139" s="171">
        <v>0</v>
      </c>
      <c r="E139" s="404">
        <f>SUM(E140:E142)</f>
        <v>0</v>
      </c>
      <c r="F139" s="404">
        <f>SUM(F140:F142)</f>
        <v>0</v>
      </c>
      <c r="G139" s="404">
        <f>SUM(G140:G142)</f>
        <v>0</v>
      </c>
      <c r="H139" s="404">
        <f t="shared" si="14"/>
        <v>0</v>
      </c>
      <c r="I139" s="404">
        <v>0</v>
      </c>
      <c r="J139" s="404">
        <f>SUM(J140:J142)</f>
        <v>0</v>
      </c>
      <c r="K139" s="404">
        <f>SUM(K140:K142)</f>
        <v>0</v>
      </c>
      <c r="L139" s="404">
        <f>SUM(L140:L142)</f>
        <v>0</v>
      </c>
      <c r="M139" s="404">
        <f t="shared" si="15"/>
        <v>0</v>
      </c>
      <c r="N139" s="404">
        <v>0</v>
      </c>
      <c r="O139" s="404">
        <f>SUM(O140:O142)</f>
        <v>0</v>
      </c>
      <c r="P139" s="404">
        <f>SUM(P140:P142)</f>
        <v>0</v>
      </c>
      <c r="Q139" s="404">
        <f>SUM(Q140:Q142)</f>
        <v>0</v>
      </c>
      <c r="R139" s="404">
        <f t="shared" si="16"/>
        <v>0</v>
      </c>
    </row>
    <row r="140" spans="1:18" s="4" customFormat="1" ht="24" hidden="1" customHeight="1">
      <c r="A140" s="133" t="s">
        <v>188</v>
      </c>
      <c r="B140" s="179" t="s">
        <v>170</v>
      </c>
      <c r="C140" s="180"/>
      <c r="D140" s="180">
        <v>0</v>
      </c>
      <c r="E140" s="443"/>
      <c r="F140" s="443"/>
      <c r="G140" s="443"/>
      <c r="H140" s="404">
        <f t="shared" si="14"/>
        <v>0</v>
      </c>
      <c r="I140" s="443">
        <v>0</v>
      </c>
      <c r="J140" s="443"/>
      <c r="K140" s="443"/>
      <c r="L140" s="443"/>
      <c r="M140" s="404">
        <f t="shared" si="15"/>
        <v>0</v>
      </c>
      <c r="N140" s="443">
        <v>0</v>
      </c>
      <c r="O140" s="443"/>
      <c r="P140" s="443"/>
      <c r="Q140" s="443"/>
      <c r="R140" s="404">
        <f t="shared" si="16"/>
        <v>0</v>
      </c>
    </row>
    <row r="141" spans="1:18" ht="48" hidden="1" customHeight="1">
      <c r="A141" s="133" t="s">
        <v>189</v>
      </c>
      <c r="B141" s="179" t="s">
        <v>156</v>
      </c>
      <c r="C141" s="180"/>
      <c r="D141" s="180">
        <v>0</v>
      </c>
      <c r="E141" s="443"/>
      <c r="F141" s="443"/>
      <c r="G141" s="443"/>
      <c r="H141" s="404">
        <f t="shared" si="14"/>
        <v>0</v>
      </c>
      <c r="I141" s="443">
        <v>0</v>
      </c>
      <c r="J141" s="443"/>
      <c r="K141" s="443"/>
      <c r="L141" s="443"/>
      <c r="M141" s="404">
        <f t="shared" si="15"/>
        <v>0</v>
      </c>
      <c r="N141" s="443">
        <v>0</v>
      </c>
      <c r="O141" s="443"/>
      <c r="P141" s="443"/>
      <c r="Q141" s="443"/>
      <c r="R141" s="404">
        <f t="shared" si="16"/>
        <v>0</v>
      </c>
    </row>
    <row r="142" spans="1:18" ht="36" hidden="1" customHeight="1">
      <c r="A142" s="133">
        <v>7350</v>
      </c>
      <c r="B142" s="179" t="s">
        <v>163</v>
      </c>
      <c r="C142" s="180"/>
      <c r="D142" s="180">
        <v>0</v>
      </c>
      <c r="E142" s="443"/>
      <c r="F142" s="443"/>
      <c r="G142" s="443"/>
      <c r="H142" s="404">
        <f t="shared" si="14"/>
        <v>0</v>
      </c>
      <c r="I142" s="443">
        <v>0</v>
      </c>
      <c r="J142" s="443"/>
      <c r="K142" s="443"/>
      <c r="L142" s="443"/>
      <c r="M142" s="404">
        <f t="shared" si="15"/>
        <v>0</v>
      </c>
      <c r="N142" s="443">
        <v>0</v>
      </c>
      <c r="O142" s="443"/>
      <c r="P142" s="443"/>
      <c r="Q142" s="443"/>
      <c r="R142" s="404">
        <f t="shared" si="16"/>
        <v>0</v>
      </c>
    </row>
    <row r="143" spans="1:18" ht="24" hidden="1" customHeight="1">
      <c r="A143" s="132">
        <v>7400</v>
      </c>
      <c r="B143" s="172" t="s">
        <v>161</v>
      </c>
      <c r="C143" s="171">
        <v>0</v>
      </c>
      <c r="D143" s="171">
        <v>0</v>
      </c>
      <c r="E143" s="404">
        <f>SUM(E144:E145)</f>
        <v>0</v>
      </c>
      <c r="F143" s="404">
        <f>SUM(F144:F145)</f>
        <v>0</v>
      </c>
      <c r="G143" s="404">
        <f>SUM(G144:G145)</f>
        <v>0</v>
      </c>
      <c r="H143" s="404">
        <f t="shared" si="14"/>
        <v>0</v>
      </c>
      <c r="I143" s="404">
        <v>0</v>
      </c>
      <c r="J143" s="404">
        <f>SUM(J144:J145)</f>
        <v>0</v>
      </c>
      <c r="K143" s="404">
        <f>SUM(K144:K145)</f>
        <v>0</v>
      </c>
      <c r="L143" s="404">
        <f>SUM(L144:L145)</f>
        <v>0</v>
      </c>
      <c r="M143" s="404">
        <f t="shared" si="15"/>
        <v>0</v>
      </c>
      <c r="N143" s="404">
        <v>0</v>
      </c>
      <c r="O143" s="404">
        <f>SUM(O144:O145)</f>
        <v>0</v>
      </c>
      <c r="P143" s="404">
        <f>SUM(P144:P145)</f>
        <v>0</v>
      </c>
      <c r="Q143" s="404">
        <f>SUM(Q144:Q145)</f>
        <v>0</v>
      </c>
      <c r="R143" s="404">
        <f t="shared" si="16"/>
        <v>0</v>
      </c>
    </row>
    <row r="144" spans="1:18" ht="24" hidden="1" customHeight="1">
      <c r="A144" s="133">
        <v>7460</v>
      </c>
      <c r="B144" s="172" t="s">
        <v>162</v>
      </c>
      <c r="C144" s="180"/>
      <c r="D144" s="180">
        <v>0</v>
      </c>
      <c r="E144" s="443"/>
      <c r="F144" s="443"/>
      <c r="G144" s="443"/>
      <c r="H144" s="404">
        <f t="shared" si="14"/>
        <v>0</v>
      </c>
      <c r="I144" s="443">
        <v>0</v>
      </c>
      <c r="J144" s="443"/>
      <c r="K144" s="443"/>
      <c r="L144" s="443"/>
      <c r="M144" s="404">
        <f t="shared" si="15"/>
        <v>0</v>
      </c>
      <c r="N144" s="443">
        <v>0</v>
      </c>
      <c r="O144" s="443"/>
      <c r="P144" s="443"/>
      <c r="Q144" s="443"/>
      <c r="R144" s="404">
        <f t="shared" si="16"/>
        <v>0</v>
      </c>
    </row>
    <row r="145" spans="1:18" ht="48" hidden="1" customHeight="1">
      <c r="A145" s="133">
        <v>7470</v>
      </c>
      <c r="B145" s="179" t="s">
        <v>167</v>
      </c>
      <c r="C145" s="180"/>
      <c r="D145" s="180">
        <v>0</v>
      </c>
      <c r="E145" s="443"/>
      <c r="F145" s="443"/>
      <c r="G145" s="443"/>
      <c r="H145" s="404">
        <f t="shared" si="14"/>
        <v>0</v>
      </c>
      <c r="I145" s="443">
        <v>0</v>
      </c>
      <c r="J145" s="443"/>
      <c r="K145" s="443"/>
      <c r="L145" s="443"/>
      <c r="M145" s="404">
        <f t="shared" si="15"/>
        <v>0</v>
      </c>
      <c r="N145" s="443">
        <v>0</v>
      </c>
      <c r="O145" s="443"/>
      <c r="P145" s="443"/>
      <c r="Q145" s="443"/>
      <c r="R145" s="404">
        <f t="shared" si="16"/>
        <v>0</v>
      </c>
    </row>
    <row r="146" spans="1:18" ht="24" hidden="1" customHeight="1">
      <c r="A146" s="132">
        <v>7500</v>
      </c>
      <c r="B146" s="179" t="s">
        <v>157</v>
      </c>
      <c r="C146" s="171"/>
      <c r="D146" s="171">
        <v>0</v>
      </c>
      <c r="E146" s="404"/>
      <c r="F146" s="404"/>
      <c r="G146" s="404"/>
      <c r="H146" s="404">
        <f t="shared" si="14"/>
        <v>0</v>
      </c>
      <c r="I146" s="404">
        <v>0</v>
      </c>
      <c r="J146" s="404"/>
      <c r="K146" s="404"/>
      <c r="L146" s="404"/>
      <c r="M146" s="404">
        <f t="shared" si="15"/>
        <v>0</v>
      </c>
      <c r="N146" s="404">
        <v>0</v>
      </c>
      <c r="O146" s="404"/>
      <c r="P146" s="404"/>
      <c r="Q146" s="404"/>
      <c r="R146" s="404">
        <f t="shared" si="16"/>
        <v>0</v>
      </c>
    </row>
    <row r="147" spans="1:18" s="4" customFormat="1" ht="12">
      <c r="A147" s="140" t="s">
        <v>133</v>
      </c>
      <c r="B147" s="124" t="s">
        <v>122</v>
      </c>
      <c r="C147" s="181">
        <v>68100</v>
      </c>
      <c r="D147" s="181">
        <v>66100</v>
      </c>
      <c r="E147" s="445">
        <f>E148+E149</f>
        <v>0</v>
      </c>
      <c r="F147" s="445">
        <f>F148+F149</f>
        <v>-20000</v>
      </c>
      <c r="G147" s="445">
        <f>G148+G149</f>
        <v>0</v>
      </c>
      <c r="H147" s="404">
        <f t="shared" si="14"/>
        <v>46100</v>
      </c>
      <c r="I147" s="445">
        <v>52600</v>
      </c>
      <c r="J147" s="445">
        <f>J148+J149</f>
        <v>0</v>
      </c>
      <c r="K147" s="445">
        <f>K148+K149</f>
        <v>-20000</v>
      </c>
      <c r="L147" s="445">
        <f>L148+L149</f>
        <v>0</v>
      </c>
      <c r="M147" s="404">
        <f t="shared" si="15"/>
        <v>32600</v>
      </c>
      <c r="N147" s="445">
        <v>32600</v>
      </c>
      <c r="O147" s="445">
        <f>O148+O149</f>
        <v>0</v>
      </c>
      <c r="P147" s="445">
        <f>P148+P149</f>
        <v>0</v>
      </c>
      <c r="Q147" s="445">
        <f>Q148+Q149</f>
        <v>0</v>
      </c>
      <c r="R147" s="404">
        <f t="shared" si="16"/>
        <v>32600</v>
      </c>
    </row>
    <row r="148" spans="1:18" s="6" customFormat="1" ht="12">
      <c r="A148" s="140">
        <v>5000</v>
      </c>
      <c r="B148" s="124" t="s">
        <v>123</v>
      </c>
      <c r="C148" s="171">
        <v>68100</v>
      </c>
      <c r="D148" s="171">
        <v>66100</v>
      </c>
      <c r="E148" s="404"/>
      <c r="F148" s="404">
        <v>-20000</v>
      </c>
      <c r="G148" s="404"/>
      <c r="H148" s="404">
        <f t="shared" si="14"/>
        <v>46100</v>
      </c>
      <c r="I148" s="404">
        <v>52600</v>
      </c>
      <c r="J148" s="404"/>
      <c r="K148" s="404">
        <v>-20000</v>
      </c>
      <c r="L148" s="404"/>
      <c r="M148" s="404">
        <f t="shared" si="15"/>
        <v>32600</v>
      </c>
      <c r="N148" s="404">
        <v>32600</v>
      </c>
      <c r="O148" s="404"/>
      <c r="P148" s="404"/>
      <c r="Q148" s="404"/>
      <c r="R148" s="404">
        <f t="shared" si="16"/>
        <v>32600</v>
      </c>
    </row>
    <row r="149" spans="1:18" s="6" customFormat="1" ht="12" hidden="1" customHeight="1">
      <c r="A149" s="140">
        <v>9000</v>
      </c>
      <c r="B149" s="182" t="s">
        <v>164</v>
      </c>
      <c r="C149" s="171">
        <v>0</v>
      </c>
      <c r="D149" s="171">
        <v>0</v>
      </c>
      <c r="E149" s="233">
        <f>E150+E156+E160+E163</f>
        <v>0</v>
      </c>
      <c r="F149" s="233">
        <f>F150+F156+F160+F163</f>
        <v>0</v>
      </c>
      <c r="G149" s="233">
        <f>G150+G156+G160+G163</f>
        <v>0</v>
      </c>
      <c r="H149" s="233">
        <f t="shared" si="14"/>
        <v>0</v>
      </c>
      <c r="I149" s="233">
        <v>0</v>
      </c>
      <c r="J149" s="233">
        <f>J150+J156+J160+J163</f>
        <v>0</v>
      </c>
      <c r="K149" s="233">
        <f>K150+K156+K160+K163</f>
        <v>0</v>
      </c>
      <c r="L149" s="233">
        <f>L150+L156+L160+L163</f>
        <v>0</v>
      </c>
      <c r="M149" s="233">
        <f t="shared" si="15"/>
        <v>0</v>
      </c>
      <c r="N149" s="233">
        <v>0</v>
      </c>
      <c r="O149" s="233">
        <f>O150+O156+O160+O163</f>
        <v>0</v>
      </c>
      <c r="P149" s="233">
        <f>P150+P156+P160+P163</f>
        <v>0</v>
      </c>
      <c r="Q149" s="233">
        <f>Q150+Q156+Q160+Q163</f>
        <v>0</v>
      </c>
      <c r="R149" s="233">
        <f t="shared" si="16"/>
        <v>0</v>
      </c>
    </row>
    <row r="150" spans="1:18" s="6" customFormat="1" ht="12" hidden="1" customHeight="1">
      <c r="A150" s="141">
        <v>9100</v>
      </c>
      <c r="B150" s="179" t="s">
        <v>124</v>
      </c>
      <c r="C150" s="171">
        <v>0</v>
      </c>
      <c r="D150" s="171">
        <v>0</v>
      </c>
      <c r="E150" s="233">
        <f>SUM(E151:E152)</f>
        <v>0</v>
      </c>
      <c r="F150" s="233">
        <f>SUM(F151:F152)</f>
        <v>0</v>
      </c>
      <c r="G150" s="233">
        <f>SUM(G151:G152)</f>
        <v>0</v>
      </c>
      <c r="H150" s="233">
        <f t="shared" si="14"/>
        <v>0</v>
      </c>
      <c r="I150" s="233">
        <v>0</v>
      </c>
      <c r="J150" s="233">
        <f>SUM(J151:J152)</f>
        <v>0</v>
      </c>
      <c r="K150" s="233">
        <f>SUM(K151:K152)</f>
        <v>0</v>
      </c>
      <c r="L150" s="233">
        <f>SUM(L151:L152)</f>
        <v>0</v>
      </c>
      <c r="M150" s="233">
        <f t="shared" si="15"/>
        <v>0</v>
      </c>
      <c r="N150" s="233">
        <v>0</v>
      </c>
      <c r="O150" s="233">
        <f>SUM(O151:O152)</f>
        <v>0</v>
      </c>
      <c r="P150" s="233">
        <f>SUM(P151:P152)</f>
        <v>0</v>
      </c>
      <c r="Q150" s="233">
        <f>SUM(Q151:Q152)</f>
        <v>0</v>
      </c>
      <c r="R150" s="233">
        <f t="shared" si="16"/>
        <v>0</v>
      </c>
    </row>
    <row r="151" spans="1:18" s="6" customFormat="1" ht="24" hidden="1" customHeight="1">
      <c r="A151" s="133" t="s">
        <v>125</v>
      </c>
      <c r="B151" s="179" t="s">
        <v>214</v>
      </c>
      <c r="C151" s="171"/>
      <c r="D151" s="171">
        <v>0</v>
      </c>
      <c r="E151" s="233"/>
      <c r="F151" s="233"/>
      <c r="G151" s="233"/>
      <c r="H151" s="233">
        <f t="shared" si="14"/>
        <v>0</v>
      </c>
      <c r="I151" s="233">
        <v>0</v>
      </c>
      <c r="J151" s="233"/>
      <c r="K151" s="233"/>
      <c r="L151" s="233"/>
      <c r="M151" s="233">
        <f t="shared" si="15"/>
        <v>0</v>
      </c>
      <c r="N151" s="233">
        <v>0</v>
      </c>
      <c r="O151" s="233"/>
      <c r="P151" s="233"/>
      <c r="Q151" s="233"/>
      <c r="R151" s="233">
        <f t="shared" si="16"/>
        <v>0</v>
      </c>
    </row>
    <row r="152" spans="1:18" s="6" customFormat="1" ht="24" hidden="1" customHeight="1">
      <c r="A152" s="133">
        <v>9140</v>
      </c>
      <c r="B152" s="179" t="s">
        <v>215</v>
      </c>
      <c r="C152" s="171">
        <v>0</v>
      </c>
      <c r="D152" s="171">
        <v>0</v>
      </c>
      <c r="E152" s="233">
        <f>SUM(E153:E155)</f>
        <v>0</v>
      </c>
      <c r="F152" s="233">
        <f>SUM(F153:F155)</f>
        <v>0</v>
      </c>
      <c r="G152" s="233">
        <f>SUM(G153:G155)</f>
        <v>0</v>
      </c>
      <c r="H152" s="233">
        <f t="shared" si="14"/>
        <v>0</v>
      </c>
      <c r="I152" s="233">
        <v>0</v>
      </c>
      <c r="J152" s="233">
        <f>SUM(J153:J155)</f>
        <v>0</v>
      </c>
      <c r="K152" s="233">
        <f>SUM(K153:K155)</f>
        <v>0</v>
      </c>
      <c r="L152" s="233">
        <f>SUM(L153:L155)</f>
        <v>0</v>
      </c>
      <c r="M152" s="233">
        <f t="shared" si="15"/>
        <v>0</v>
      </c>
      <c r="N152" s="233">
        <v>0</v>
      </c>
      <c r="O152" s="233">
        <f>SUM(O153:O155)</f>
        <v>0</v>
      </c>
      <c r="P152" s="233">
        <f>SUM(P153:P155)</f>
        <v>0</v>
      </c>
      <c r="Q152" s="233">
        <f>SUM(Q153:Q155)</f>
        <v>0</v>
      </c>
      <c r="R152" s="233">
        <f t="shared" si="16"/>
        <v>0</v>
      </c>
    </row>
    <row r="153" spans="1:18" s="6" customFormat="1" ht="36" hidden="1" customHeight="1">
      <c r="A153" s="134">
        <v>9141</v>
      </c>
      <c r="B153" s="172" t="s">
        <v>190</v>
      </c>
      <c r="C153" s="180"/>
      <c r="D153" s="180">
        <v>0</v>
      </c>
      <c r="E153" s="252"/>
      <c r="F153" s="252"/>
      <c r="G153" s="252"/>
      <c r="H153" s="233">
        <f t="shared" si="14"/>
        <v>0</v>
      </c>
      <c r="I153" s="252">
        <v>0</v>
      </c>
      <c r="J153" s="252"/>
      <c r="K153" s="252"/>
      <c r="L153" s="252"/>
      <c r="M153" s="233">
        <f t="shared" si="15"/>
        <v>0</v>
      </c>
      <c r="N153" s="252">
        <v>0</v>
      </c>
      <c r="O153" s="252"/>
      <c r="P153" s="252"/>
      <c r="Q153" s="252"/>
      <c r="R153" s="233">
        <f t="shared" si="16"/>
        <v>0</v>
      </c>
    </row>
    <row r="154" spans="1:18" s="6" customFormat="1" ht="36" hidden="1" customHeight="1">
      <c r="A154" s="134">
        <v>9142</v>
      </c>
      <c r="B154" s="172" t="s">
        <v>191</v>
      </c>
      <c r="C154" s="180"/>
      <c r="D154" s="180">
        <v>0</v>
      </c>
      <c r="E154" s="252"/>
      <c r="F154" s="252"/>
      <c r="G154" s="252"/>
      <c r="H154" s="233">
        <f t="shared" si="14"/>
        <v>0</v>
      </c>
      <c r="I154" s="252">
        <v>0</v>
      </c>
      <c r="J154" s="252"/>
      <c r="K154" s="252"/>
      <c r="L154" s="252"/>
      <c r="M154" s="233">
        <f t="shared" si="15"/>
        <v>0</v>
      </c>
      <c r="N154" s="252">
        <v>0</v>
      </c>
      <c r="O154" s="252"/>
      <c r="P154" s="252"/>
      <c r="Q154" s="252"/>
      <c r="R154" s="233">
        <f t="shared" si="16"/>
        <v>0</v>
      </c>
    </row>
    <row r="155" spans="1:18" s="6" customFormat="1" ht="24" hidden="1" customHeight="1">
      <c r="A155" s="134">
        <v>9149</v>
      </c>
      <c r="B155" s="172" t="s">
        <v>192</v>
      </c>
      <c r="C155" s="180"/>
      <c r="D155" s="180">
        <v>0</v>
      </c>
      <c r="E155" s="252"/>
      <c r="F155" s="252"/>
      <c r="G155" s="252"/>
      <c r="H155" s="233">
        <f t="shared" si="14"/>
        <v>0</v>
      </c>
      <c r="I155" s="252">
        <v>0</v>
      </c>
      <c r="J155" s="252"/>
      <c r="K155" s="252"/>
      <c r="L155" s="252"/>
      <c r="M155" s="233">
        <f t="shared" si="15"/>
        <v>0</v>
      </c>
      <c r="N155" s="252">
        <v>0</v>
      </c>
      <c r="O155" s="252"/>
      <c r="P155" s="252"/>
      <c r="Q155" s="252"/>
      <c r="R155" s="233">
        <f t="shared" si="16"/>
        <v>0</v>
      </c>
    </row>
    <row r="156" spans="1:18" s="6" customFormat="1" ht="24" hidden="1" customHeight="1">
      <c r="A156" s="141">
        <v>9500</v>
      </c>
      <c r="B156" s="172" t="s">
        <v>165</v>
      </c>
      <c r="C156" s="171">
        <v>0</v>
      </c>
      <c r="D156" s="171">
        <v>0</v>
      </c>
      <c r="E156" s="233">
        <f>SUM(E157:E159)</f>
        <v>0</v>
      </c>
      <c r="F156" s="233">
        <f>SUM(F157:F159)</f>
        <v>0</v>
      </c>
      <c r="G156" s="233">
        <f>SUM(G157:G159)</f>
        <v>0</v>
      </c>
      <c r="H156" s="233">
        <f t="shared" si="14"/>
        <v>0</v>
      </c>
      <c r="I156" s="233">
        <v>0</v>
      </c>
      <c r="J156" s="233">
        <f>SUM(J157:J159)</f>
        <v>0</v>
      </c>
      <c r="K156" s="233">
        <f>SUM(K157:K159)</f>
        <v>0</v>
      </c>
      <c r="L156" s="233">
        <f>SUM(L157:L159)</f>
        <v>0</v>
      </c>
      <c r="M156" s="233">
        <f t="shared" si="15"/>
        <v>0</v>
      </c>
      <c r="N156" s="233">
        <v>0</v>
      </c>
      <c r="O156" s="233">
        <f>SUM(O157:O159)</f>
        <v>0</v>
      </c>
      <c r="P156" s="233">
        <f>SUM(P157:P159)</f>
        <v>0</v>
      </c>
      <c r="Q156" s="233">
        <f>SUM(Q157:Q159)</f>
        <v>0</v>
      </c>
      <c r="R156" s="233">
        <f t="shared" si="16"/>
        <v>0</v>
      </c>
    </row>
    <row r="157" spans="1:18" s="6" customFormat="1" ht="24" hidden="1" customHeight="1">
      <c r="A157" s="133" t="s">
        <v>193</v>
      </c>
      <c r="B157" s="172" t="s">
        <v>171</v>
      </c>
      <c r="C157" s="171"/>
      <c r="D157" s="171">
        <v>0</v>
      </c>
      <c r="E157" s="233"/>
      <c r="F157" s="233"/>
      <c r="G157" s="233"/>
      <c r="H157" s="233">
        <f t="shared" si="14"/>
        <v>0</v>
      </c>
      <c r="I157" s="233">
        <v>0</v>
      </c>
      <c r="J157" s="233"/>
      <c r="K157" s="233"/>
      <c r="L157" s="233"/>
      <c r="M157" s="233">
        <f t="shared" si="15"/>
        <v>0</v>
      </c>
      <c r="N157" s="233">
        <v>0</v>
      </c>
      <c r="O157" s="233"/>
      <c r="P157" s="233"/>
      <c r="Q157" s="233"/>
      <c r="R157" s="233">
        <f t="shared" si="16"/>
        <v>0</v>
      </c>
    </row>
    <row r="158" spans="1:18" s="6" customFormat="1" ht="48" hidden="1" customHeight="1">
      <c r="A158" s="133">
        <v>9580</v>
      </c>
      <c r="B158" s="172" t="s">
        <v>166</v>
      </c>
      <c r="C158" s="180"/>
      <c r="D158" s="180">
        <v>0</v>
      </c>
      <c r="E158" s="252"/>
      <c r="F158" s="252"/>
      <c r="G158" s="252"/>
      <c r="H158" s="233">
        <f t="shared" si="14"/>
        <v>0</v>
      </c>
      <c r="I158" s="252">
        <v>0</v>
      </c>
      <c r="J158" s="252"/>
      <c r="K158" s="252"/>
      <c r="L158" s="252"/>
      <c r="M158" s="233">
        <f t="shared" si="15"/>
        <v>0</v>
      </c>
      <c r="N158" s="252">
        <v>0</v>
      </c>
      <c r="O158" s="252"/>
      <c r="P158" s="252"/>
      <c r="Q158" s="252"/>
      <c r="R158" s="233">
        <f t="shared" si="16"/>
        <v>0</v>
      </c>
    </row>
    <row r="159" spans="1:18" s="6" customFormat="1" ht="48" hidden="1" customHeight="1">
      <c r="A159" s="133">
        <v>9590</v>
      </c>
      <c r="B159" s="179" t="s">
        <v>172</v>
      </c>
      <c r="C159" s="180"/>
      <c r="D159" s="180">
        <v>0</v>
      </c>
      <c r="E159" s="252"/>
      <c r="F159" s="252"/>
      <c r="G159" s="252"/>
      <c r="H159" s="233">
        <f t="shared" si="14"/>
        <v>0</v>
      </c>
      <c r="I159" s="252">
        <v>0</v>
      </c>
      <c r="J159" s="252"/>
      <c r="K159" s="252"/>
      <c r="L159" s="252"/>
      <c r="M159" s="233">
        <f t="shared" si="15"/>
        <v>0</v>
      </c>
      <c r="N159" s="252">
        <v>0</v>
      </c>
      <c r="O159" s="252"/>
      <c r="P159" s="252"/>
      <c r="Q159" s="252"/>
      <c r="R159" s="233">
        <f t="shared" si="16"/>
        <v>0</v>
      </c>
    </row>
    <row r="160" spans="1:18" s="6" customFormat="1" ht="24" hidden="1" customHeight="1">
      <c r="A160" s="141">
        <v>9700</v>
      </c>
      <c r="B160" s="183" t="s">
        <v>194</v>
      </c>
      <c r="C160" s="171">
        <v>0</v>
      </c>
      <c r="D160" s="171">
        <v>0</v>
      </c>
      <c r="E160" s="233">
        <f>SUM(E161:E162)</f>
        <v>0</v>
      </c>
      <c r="F160" s="233">
        <f>SUM(F161:F162)</f>
        <v>0</v>
      </c>
      <c r="G160" s="233">
        <f>SUM(G161:G162)</f>
        <v>0</v>
      </c>
      <c r="H160" s="233">
        <f t="shared" si="14"/>
        <v>0</v>
      </c>
      <c r="I160" s="233">
        <v>0</v>
      </c>
      <c r="J160" s="233">
        <f>SUM(J161:J162)</f>
        <v>0</v>
      </c>
      <c r="K160" s="233">
        <f>SUM(K161:K162)</f>
        <v>0</v>
      </c>
      <c r="L160" s="233">
        <f>SUM(L161:L162)</f>
        <v>0</v>
      </c>
      <c r="M160" s="233">
        <f t="shared" si="15"/>
        <v>0</v>
      </c>
      <c r="N160" s="233">
        <v>0</v>
      </c>
      <c r="O160" s="233">
        <f>SUM(O161:O162)</f>
        <v>0</v>
      </c>
      <c r="P160" s="233">
        <f>SUM(P161:P162)</f>
        <v>0</v>
      </c>
      <c r="Q160" s="233">
        <f>SUM(Q161:Q162)</f>
        <v>0</v>
      </c>
      <c r="R160" s="233">
        <f t="shared" si="16"/>
        <v>0</v>
      </c>
    </row>
    <row r="161" spans="1:18" s="6" customFormat="1" ht="24" hidden="1" customHeight="1">
      <c r="A161" s="133">
        <v>9710</v>
      </c>
      <c r="B161" s="184" t="s">
        <v>195</v>
      </c>
      <c r="C161" s="180"/>
      <c r="D161" s="180">
        <v>0</v>
      </c>
      <c r="E161" s="252"/>
      <c r="F161" s="252"/>
      <c r="G161" s="252"/>
      <c r="H161" s="233">
        <f t="shared" si="14"/>
        <v>0</v>
      </c>
      <c r="I161" s="252">
        <v>0</v>
      </c>
      <c r="J161" s="252"/>
      <c r="K161" s="252"/>
      <c r="L161" s="252"/>
      <c r="M161" s="233">
        <f t="shared" si="15"/>
        <v>0</v>
      </c>
      <c r="N161" s="252">
        <v>0</v>
      </c>
      <c r="O161" s="252"/>
      <c r="P161" s="252"/>
      <c r="Q161" s="252"/>
      <c r="R161" s="233">
        <f t="shared" si="16"/>
        <v>0</v>
      </c>
    </row>
    <row r="162" spans="1:18" s="6" customFormat="1" ht="36" hidden="1" customHeight="1">
      <c r="A162" s="142">
        <v>9720</v>
      </c>
      <c r="B162" s="183" t="s">
        <v>196</v>
      </c>
      <c r="C162" s="180"/>
      <c r="D162" s="180">
        <v>0</v>
      </c>
      <c r="E162" s="252"/>
      <c r="F162" s="252"/>
      <c r="G162" s="252"/>
      <c r="H162" s="233">
        <f t="shared" si="14"/>
        <v>0</v>
      </c>
      <c r="I162" s="252">
        <v>0</v>
      </c>
      <c r="J162" s="252"/>
      <c r="K162" s="252"/>
      <c r="L162" s="252"/>
      <c r="M162" s="233">
        <f t="shared" si="15"/>
        <v>0</v>
      </c>
      <c r="N162" s="252">
        <v>0</v>
      </c>
      <c r="O162" s="252"/>
      <c r="P162" s="252"/>
      <c r="Q162" s="252"/>
      <c r="R162" s="233">
        <f t="shared" si="16"/>
        <v>0</v>
      </c>
    </row>
    <row r="163" spans="1:18" s="6" customFormat="1" ht="24" hidden="1" customHeight="1">
      <c r="A163" s="141">
        <v>9600</v>
      </c>
      <c r="B163" s="179" t="s">
        <v>134</v>
      </c>
      <c r="C163" s="180"/>
      <c r="D163" s="180">
        <v>0</v>
      </c>
      <c r="E163" s="252"/>
      <c r="F163" s="252"/>
      <c r="G163" s="252"/>
      <c r="H163" s="233">
        <f t="shared" si="14"/>
        <v>0</v>
      </c>
      <c r="I163" s="252">
        <v>0</v>
      </c>
      <c r="J163" s="252"/>
      <c r="K163" s="252"/>
      <c r="L163" s="252"/>
      <c r="M163" s="233">
        <f t="shared" si="15"/>
        <v>0</v>
      </c>
      <c r="N163" s="252">
        <v>0</v>
      </c>
      <c r="O163" s="252"/>
      <c r="P163" s="252"/>
      <c r="Q163" s="252"/>
      <c r="R163" s="233">
        <f t="shared" si="16"/>
        <v>0</v>
      </c>
    </row>
    <row r="164" spans="1:18" s="6" customFormat="1" ht="52.5" hidden="1" customHeight="1">
      <c r="A164" s="130" t="s">
        <v>197</v>
      </c>
      <c r="B164" s="185" t="s">
        <v>47</v>
      </c>
      <c r="C164" s="186"/>
      <c r="D164" s="186">
        <v>0</v>
      </c>
      <c r="E164" s="262">
        <f>E94-E119</f>
        <v>0</v>
      </c>
      <c r="F164" s="262">
        <f>F94-F119</f>
        <v>0</v>
      </c>
      <c r="G164" s="262">
        <f>G94-G119</f>
        <v>0</v>
      </c>
      <c r="H164" s="233">
        <f t="shared" si="14"/>
        <v>0</v>
      </c>
      <c r="I164" s="262">
        <v>0</v>
      </c>
      <c r="J164" s="262">
        <f>J94-J119</f>
        <v>0</v>
      </c>
      <c r="K164" s="262">
        <f>K94-K119</f>
        <v>0</v>
      </c>
      <c r="L164" s="262">
        <f>L94-L119</f>
        <v>0</v>
      </c>
      <c r="M164" s="233">
        <f t="shared" si="15"/>
        <v>0</v>
      </c>
      <c r="N164" s="262">
        <v>0</v>
      </c>
      <c r="O164" s="262">
        <f>O94-O119</f>
        <v>0</v>
      </c>
      <c r="P164" s="262">
        <f>P94-P119</f>
        <v>0</v>
      </c>
      <c r="Q164" s="262">
        <f>Q94-Q119</f>
        <v>0</v>
      </c>
      <c r="R164" s="233">
        <f t="shared" si="16"/>
        <v>0</v>
      </c>
    </row>
    <row r="165" spans="1:18" s="6" customFormat="1" ht="12" hidden="1" customHeight="1">
      <c r="A165" s="143" t="s">
        <v>48</v>
      </c>
      <c r="B165" s="185" t="s">
        <v>49</v>
      </c>
      <c r="C165" s="186">
        <v>0</v>
      </c>
      <c r="D165" s="186">
        <v>0</v>
      </c>
      <c r="E165" s="262">
        <f>E166+E169+E173+E172</f>
        <v>0</v>
      </c>
      <c r="F165" s="262">
        <f>F166+F169+F173+F172</f>
        <v>0</v>
      </c>
      <c r="G165" s="262">
        <f>G166+G169+G173+G172</f>
        <v>0</v>
      </c>
      <c r="H165" s="233">
        <f t="shared" si="14"/>
        <v>0</v>
      </c>
      <c r="I165" s="262">
        <v>0</v>
      </c>
      <c r="J165" s="262">
        <f>J166+J169+J173+J172</f>
        <v>0</v>
      </c>
      <c r="K165" s="262">
        <f>K166+K169+K173+K172</f>
        <v>0</v>
      </c>
      <c r="L165" s="262">
        <f>L166+L169+L173+L172</f>
        <v>0</v>
      </c>
      <c r="M165" s="233">
        <f t="shared" si="15"/>
        <v>0</v>
      </c>
      <c r="N165" s="262">
        <v>0</v>
      </c>
      <c r="O165" s="262">
        <f>O166+O169+O173+O172</f>
        <v>0</v>
      </c>
      <c r="P165" s="262">
        <f>P166+P169+P173+P172</f>
        <v>0</v>
      </c>
      <c r="Q165" s="262">
        <f>Q166+Q169+Q173+Q172</f>
        <v>0</v>
      </c>
      <c r="R165" s="233">
        <f t="shared" si="16"/>
        <v>0</v>
      </c>
    </row>
    <row r="166" spans="1:18" s="6" customFormat="1" ht="12" hidden="1" customHeight="1">
      <c r="A166" s="141" t="s">
        <v>50</v>
      </c>
      <c r="B166" s="179" t="s">
        <v>51</v>
      </c>
      <c r="C166" s="169">
        <v>0</v>
      </c>
      <c r="D166" s="169">
        <v>0</v>
      </c>
      <c r="E166" s="231">
        <f>E167+E168</f>
        <v>0</v>
      </c>
      <c r="F166" s="231">
        <f>F167+F168</f>
        <v>0</v>
      </c>
      <c r="G166" s="231">
        <f>G167+G168</f>
        <v>0</v>
      </c>
      <c r="H166" s="233">
        <f t="shared" si="14"/>
        <v>0</v>
      </c>
      <c r="I166" s="231">
        <v>0</v>
      </c>
      <c r="J166" s="231">
        <f>J167+J168</f>
        <v>0</v>
      </c>
      <c r="K166" s="231">
        <f>K167+K168</f>
        <v>0</v>
      </c>
      <c r="L166" s="231">
        <f>L167+L168</f>
        <v>0</v>
      </c>
      <c r="M166" s="233">
        <f t="shared" si="15"/>
        <v>0</v>
      </c>
      <c r="N166" s="231">
        <v>0</v>
      </c>
      <c r="O166" s="231">
        <f>O167+O168</f>
        <v>0</v>
      </c>
      <c r="P166" s="231">
        <f>P167+P168</f>
        <v>0</v>
      </c>
      <c r="Q166" s="231">
        <f>Q167+Q168</f>
        <v>0</v>
      </c>
      <c r="R166" s="233">
        <f t="shared" si="16"/>
        <v>0</v>
      </c>
    </row>
    <row r="167" spans="1:18" s="6" customFormat="1" ht="12" hidden="1" customHeight="1">
      <c r="A167" s="141" t="s">
        <v>52</v>
      </c>
      <c r="B167" s="179" t="s">
        <v>53</v>
      </c>
      <c r="C167" s="169"/>
      <c r="D167" s="169">
        <v>0</v>
      </c>
      <c r="E167" s="231"/>
      <c r="F167" s="231"/>
      <c r="G167" s="231"/>
      <c r="H167" s="233">
        <f t="shared" si="14"/>
        <v>0</v>
      </c>
      <c r="I167" s="231">
        <v>0</v>
      </c>
      <c r="J167" s="231"/>
      <c r="K167" s="231"/>
      <c r="L167" s="231"/>
      <c r="M167" s="233">
        <f t="shared" si="15"/>
        <v>0</v>
      </c>
      <c r="N167" s="231">
        <v>0</v>
      </c>
      <c r="O167" s="231"/>
      <c r="P167" s="231"/>
      <c r="Q167" s="231"/>
      <c r="R167" s="233">
        <f t="shared" si="16"/>
        <v>0</v>
      </c>
    </row>
    <row r="168" spans="1:18" s="6" customFormat="1" ht="12" hidden="1" customHeight="1">
      <c r="A168" s="141" t="s">
        <v>54</v>
      </c>
      <c r="B168" s="179" t="s">
        <v>55</v>
      </c>
      <c r="C168" s="169"/>
      <c r="D168" s="169">
        <v>0</v>
      </c>
      <c r="E168" s="231"/>
      <c r="F168" s="231"/>
      <c r="G168" s="231"/>
      <c r="H168" s="233">
        <f t="shared" si="14"/>
        <v>0</v>
      </c>
      <c r="I168" s="231">
        <v>0</v>
      </c>
      <c r="J168" s="231"/>
      <c r="K168" s="231"/>
      <c r="L168" s="231"/>
      <c r="M168" s="233">
        <f t="shared" si="15"/>
        <v>0</v>
      </c>
      <c r="N168" s="231">
        <v>0</v>
      </c>
      <c r="O168" s="231"/>
      <c r="P168" s="231"/>
      <c r="Q168" s="231"/>
      <c r="R168" s="233">
        <f t="shared" si="16"/>
        <v>0</v>
      </c>
    </row>
    <row r="169" spans="1:18" s="6" customFormat="1" ht="12" hidden="1" customHeight="1">
      <c r="A169" s="141" t="s">
        <v>56</v>
      </c>
      <c r="B169" s="179" t="s">
        <v>57</v>
      </c>
      <c r="C169" s="169">
        <v>0</v>
      </c>
      <c r="D169" s="169">
        <v>0</v>
      </c>
      <c r="E169" s="231">
        <f>E170+E171</f>
        <v>0</v>
      </c>
      <c r="F169" s="231">
        <f>F170+F171</f>
        <v>0</v>
      </c>
      <c r="G169" s="231">
        <f>G170+G171</f>
        <v>0</v>
      </c>
      <c r="H169" s="233">
        <f t="shared" si="14"/>
        <v>0</v>
      </c>
      <c r="I169" s="231">
        <v>0</v>
      </c>
      <c r="J169" s="231">
        <f>J170+J171</f>
        <v>0</v>
      </c>
      <c r="K169" s="231">
        <f>K170+K171</f>
        <v>0</v>
      </c>
      <c r="L169" s="231">
        <f>L170+L171</f>
        <v>0</v>
      </c>
      <c r="M169" s="233">
        <f t="shared" si="15"/>
        <v>0</v>
      </c>
      <c r="N169" s="231">
        <v>0</v>
      </c>
      <c r="O169" s="231">
        <f>O170+O171</f>
        <v>0</v>
      </c>
      <c r="P169" s="231">
        <f>P170+P171</f>
        <v>0</v>
      </c>
      <c r="Q169" s="231">
        <f>Q170+Q171</f>
        <v>0</v>
      </c>
      <c r="R169" s="233">
        <f t="shared" si="16"/>
        <v>0</v>
      </c>
    </row>
    <row r="170" spans="1:18" s="6" customFormat="1" ht="12" hidden="1" customHeight="1">
      <c r="A170" s="141" t="s">
        <v>58</v>
      </c>
      <c r="B170" s="179" t="s">
        <v>59</v>
      </c>
      <c r="C170" s="169"/>
      <c r="D170" s="169">
        <v>0</v>
      </c>
      <c r="E170" s="231"/>
      <c r="F170" s="231"/>
      <c r="G170" s="231"/>
      <c r="H170" s="233">
        <f t="shared" si="14"/>
        <v>0</v>
      </c>
      <c r="I170" s="231">
        <v>0</v>
      </c>
      <c r="J170" s="231"/>
      <c r="K170" s="231"/>
      <c r="L170" s="231"/>
      <c r="M170" s="233">
        <f t="shared" si="15"/>
        <v>0</v>
      </c>
      <c r="N170" s="231">
        <v>0</v>
      </c>
      <c r="O170" s="231"/>
      <c r="P170" s="231"/>
      <c r="Q170" s="231"/>
      <c r="R170" s="233">
        <f t="shared" si="16"/>
        <v>0</v>
      </c>
    </row>
    <row r="171" spans="1:18" s="6" customFormat="1" ht="12" hidden="1" customHeight="1">
      <c r="A171" s="141" t="s">
        <v>60</v>
      </c>
      <c r="B171" s="179" t="s">
        <v>61</v>
      </c>
      <c r="C171" s="169"/>
      <c r="D171" s="169">
        <v>0</v>
      </c>
      <c r="E171" s="231"/>
      <c r="F171" s="231"/>
      <c r="G171" s="231"/>
      <c r="H171" s="233">
        <f t="shared" si="14"/>
        <v>0</v>
      </c>
      <c r="I171" s="231">
        <v>0</v>
      </c>
      <c r="J171" s="231"/>
      <c r="K171" s="231"/>
      <c r="L171" s="231"/>
      <c r="M171" s="233">
        <f t="shared" si="15"/>
        <v>0</v>
      </c>
      <c r="N171" s="231">
        <v>0</v>
      </c>
      <c r="O171" s="231"/>
      <c r="P171" s="231"/>
      <c r="Q171" s="231"/>
      <c r="R171" s="233">
        <f t="shared" si="16"/>
        <v>0</v>
      </c>
    </row>
    <row r="172" spans="1:18" s="6" customFormat="1" ht="12" hidden="1" customHeight="1">
      <c r="A172" s="141" t="s">
        <v>198</v>
      </c>
      <c r="B172" s="187" t="s">
        <v>168</v>
      </c>
      <c r="C172" s="169"/>
      <c r="D172" s="169">
        <v>0</v>
      </c>
      <c r="E172" s="231"/>
      <c r="F172" s="231"/>
      <c r="G172" s="231"/>
      <c r="H172" s="233">
        <f t="shared" si="14"/>
        <v>0</v>
      </c>
      <c r="I172" s="231">
        <v>0</v>
      </c>
      <c r="J172" s="231"/>
      <c r="K172" s="231"/>
      <c r="L172" s="231"/>
      <c r="M172" s="233">
        <f t="shared" si="15"/>
        <v>0</v>
      </c>
      <c r="N172" s="231">
        <v>0</v>
      </c>
      <c r="O172" s="231"/>
      <c r="P172" s="231"/>
      <c r="Q172" s="231"/>
      <c r="R172" s="233">
        <f t="shared" si="16"/>
        <v>0</v>
      </c>
    </row>
    <row r="173" spans="1:18" s="6" customFormat="1" ht="12" hidden="1" customHeight="1">
      <c r="A173" s="144" t="s">
        <v>62</v>
      </c>
      <c r="B173" s="125" t="s">
        <v>63</v>
      </c>
      <c r="C173" s="171">
        <v>0</v>
      </c>
      <c r="D173" s="171">
        <v>0</v>
      </c>
      <c r="E173" s="233">
        <f>E174+E175+E176</f>
        <v>0</v>
      </c>
      <c r="F173" s="233">
        <f>F174+F175+F176</f>
        <v>0</v>
      </c>
      <c r="G173" s="233">
        <f>G174+G175+G176</f>
        <v>0</v>
      </c>
      <c r="H173" s="233">
        <f t="shared" si="14"/>
        <v>0</v>
      </c>
      <c r="I173" s="233">
        <v>0</v>
      </c>
      <c r="J173" s="233">
        <f>J174+J175+J176</f>
        <v>0</v>
      </c>
      <c r="K173" s="233">
        <f>K174+K175+K176</f>
        <v>0</v>
      </c>
      <c r="L173" s="233">
        <f>L174+L175+L176</f>
        <v>0</v>
      </c>
      <c r="M173" s="233">
        <f t="shared" si="15"/>
        <v>0</v>
      </c>
      <c r="N173" s="233">
        <v>0</v>
      </c>
      <c r="O173" s="233">
        <f>O174+O175+O176</f>
        <v>0</v>
      </c>
      <c r="P173" s="233">
        <f>P174+P175+P176</f>
        <v>0</v>
      </c>
      <c r="Q173" s="233">
        <f>Q174+Q175+Q176</f>
        <v>0</v>
      </c>
      <c r="R173" s="233">
        <f t="shared" si="16"/>
        <v>0</v>
      </c>
    </row>
    <row r="174" spans="1:18" s="6" customFormat="1" ht="36" hidden="1" customHeight="1">
      <c r="A174" s="144" t="s">
        <v>64</v>
      </c>
      <c r="B174" s="179" t="s">
        <v>65</v>
      </c>
      <c r="C174" s="169"/>
      <c r="D174" s="169">
        <v>0</v>
      </c>
      <c r="E174" s="231"/>
      <c r="F174" s="231"/>
      <c r="G174" s="231"/>
      <c r="H174" s="233">
        <f t="shared" si="14"/>
        <v>0</v>
      </c>
      <c r="I174" s="231">
        <v>0</v>
      </c>
      <c r="J174" s="231"/>
      <c r="K174" s="231"/>
      <c r="L174" s="231"/>
      <c r="M174" s="233">
        <f t="shared" si="15"/>
        <v>0</v>
      </c>
      <c r="N174" s="231">
        <v>0</v>
      </c>
      <c r="O174" s="231"/>
      <c r="P174" s="231"/>
      <c r="Q174" s="231"/>
      <c r="R174" s="233">
        <f t="shared" si="16"/>
        <v>0</v>
      </c>
    </row>
    <row r="175" spans="1:18" s="6" customFormat="1" ht="24" hidden="1" customHeight="1">
      <c r="A175" s="144" t="s">
        <v>66</v>
      </c>
      <c r="B175" s="179" t="s">
        <v>67</v>
      </c>
      <c r="C175" s="169"/>
      <c r="D175" s="169">
        <v>0</v>
      </c>
      <c r="E175" s="231"/>
      <c r="F175" s="231"/>
      <c r="G175" s="231"/>
      <c r="H175" s="233">
        <f t="shared" si="14"/>
        <v>0</v>
      </c>
      <c r="I175" s="231">
        <v>0</v>
      </c>
      <c r="J175" s="231"/>
      <c r="K175" s="231"/>
      <c r="L175" s="231"/>
      <c r="M175" s="233">
        <f t="shared" si="15"/>
        <v>0</v>
      </c>
      <c r="N175" s="231">
        <v>0</v>
      </c>
      <c r="O175" s="231"/>
      <c r="P175" s="231"/>
      <c r="Q175" s="231"/>
      <c r="R175" s="233">
        <f t="shared" si="16"/>
        <v>0</v>
      </c>
    </row>
    <row r="176" spans="1:18" s="6" customFormat="1" ht="24" hidden="1" customHeight="1">
      <c r="A176" s="144" t="s">
        <v>68</v>
      </c>
      <c r="B176" s="125" t="s">
        <v>69</v>
      </c>
      <c r="C176" s="169"/>
      <c r="D176" s="169">
        <v>0</v>
      </c>
      <c r="E176" s="231"/>
      <c r="F176" s="231"/>
      <c r="G176" s="231"/>
      <c r="H176" s="233">
        <f t="shared" si="14"/>
        <v>0</v>
      </c>
      <c r="I176" s="231">
        <v>0</v>
      </c>
      <c r="J176" s="231"/>
      <c r="K176" s="231"/>
      <c r="L176" s="231"/>
      <c r="M176" s="233">
        <f t="shared" si="15"/>
        <v>0</v>
      </c>
      <c r="N176" s="231">
        <v>0</v>
      </c>
      <c r="O176" s="231"/>
      <c r="P176" s="231"/>
      <c r="Q176" s="231"/>
      <c r="R176" s="233">
        <f t="shared" si="16"/>
        <v>0</v>
      </c>
    </row>
    <row r="177" spans="1:18" s="6" customFormat="1" ht="34.200000000000003">
      <c r="A177" s="145"/>
      <c r="B177" s="188" t="s">
        <v>200</v>
      </c>
      <c r="C177" s="293"/>
      <c r="D177" s="294">
        <v>0</v>
      </c>
      <c r="E177" s="347"/>
      <c r="F177" s="347"/>
      <c r="G177" s="347"/>
      <c r="H177" s="347">
        <f t="shared" si="14"/>
        <v>0</v>
      </c>
      <c r="I177" s="347">
        <v>0</v>
      </c>
      <c r="J177" s="347"/>
      <c r="K177" s="347"/>
      <c r="L177" s="347"/>
      <c r="M177" s="347">
        <f t="shared" si="15"/>
        <v>0</v>
      </c>
      <c r="N177" s="347">
        <v>0</v>
      </c>
      <c r="O177" s="347"/>
      <c r="P177" s="347"/>
      <c r="Q177" s="347"/>
      <c r="R177" s="347">
        <f t="shared" si="16"/>
        <v>0</v>
      </c>
    </row>
    <row r="178" spans="1:18" s="6" customFormat="1" ht="21" hidden="1" customHeight="1">
      <c r="A178" s="129" t="s">
        <v>201</v>
      </c>
      <c r="B178" s="123" t="s">
        <v>88</v>
      </c>
      <c r="C178" s="167">
        <v>0</v>
      </c>
      <c r="D178" s="167">
        <v>0</v>
      </c>
      <c r="E178" s="228">
        <f>E179+E180+E182+E200</f>
        <v>0</v>
      </c>
      <c r="F178" s="228">
        <f>F179+F180+F182+F200</f>
        <v>0</v>
      </c>
      <c r="G178" s="228">
        <f>G179+G180+G182+G200</f>
        <v>0</v>
      </c>
      <c r="H178" s="243">
        <f t="shared" si="14"/>
        <v>0</v>
      </c>
      <c r="I178" s="228">
        <v>0</v>
      </c>
      <c r="J178" s="228">
        <f>J179+J180+J182+J200</f>
        <v>0</v>
      </c>
      <c r="K178" s="228">
        <f>K179+K180+K182+K200</f>
        <v>0</v>
      </c>
      <c r="L178" s="228">
        <f>L179+L180+L182+L200</f>
        <v>0</v>
      </c>
      <c r="M178" s="243">
        <f t="shared" si="15"/>
        <v>0</v>
      </c>
      <c r="N178" s="228">
        <v>0</v>
      </c>
      <c r="O178" s="228">
        <f>O179+O180+O182+O200</f>
        <v>0</v>
      </c>
      <c r="P178" s="228">
        <f>P179+P180+P182+P200</f>
        <v>0</v>
      </c>
      <c r="Q178" s="228">
        <f>Q179+Q180+Q182+Q200</f>
        <v>0</v>
      </c>
      <c r="R178" s="243">
        <f t="shared" si="16"/>
        <v>0</v>
      </c>
    </row>
    <row r="179" spans="1:18" s="6" customFormat="1" ht="24" hidden="1" customHeight="1">
      <c r="A179" s="130" t="s">
        <v>177</v>
      </c>
      <c r="B179" s="124" t="s">
        <v>90</v>
      </c>
      <c r="C179" s="169"/>
      <c r="D179" s="169">
        <v>0</v>
      </c>
      <c r="E179" s="231"/>
      <c r="F179" s="231"/>
      <c r="G179" s="231"/>
      <c r="H179" s="233">
        <f t="shared" si="14"/>
        <v>0</v>
      </c>
      <c r="I179" s="231">
        <v>0</v>
      </c>
      <c r="J179" s="231"/>
      <c r="K179" s="231"/>
      <c r="L179" s="231"/>
      <c r="M179" s="233">
        <f t="shared" si="15"/>
        <v>0</v>
      </c>
      <c r="N179" s="231">
        <v>0</v>
      </c>
      <c r="O179" s="231"/>
      <c r="P179" s="231"/>
      <c r="Q179" s="231"/>
      <c r="R179" s="233">
        <f t="shared" si="16"/>
        <v>0</v>
      </c>
    </row>
    <row r="180" spans="1:18" s="6" customFormat="1" ht="12" hidden="1" customHeight="1">
      <c r="A180" s="130" t="s">
        <v>91</v>
      </c>
      <c r="B180" s="124" t="s">
        <v>92</v>
      </c>
      <c r="C180" s="169"/>
      <c r="D180" s="169">
        <v>0</v>
      </c>
      <c r="E180" s="231"/>
      <c r="F180" s="231"/>
      <c r="G180" s="231"/>
      <c r="H180" s="233">
        <f t="shared" si="14"/>
        <v>0</v>
      </c>
      <c r="I180" s="231">
        <v>0</v>
      </c>
      <c r="J180" s="231"/>
      <c r="K180" s="231"/>
      <c r="L180" s="231"/>
      <c r="M180" s="233">
        <f t="shared" si="15"/>
        <v>0</v>
      </c>
      <c r="N180" s="231">
        <v>0</v>
      </c>
      <c r="O180" s="231"/>
      <c r="P180" s="231"/>
      <c r="Q180" s="231"/>
      <c r="R180" s="233">
        <f t="shared" si="16"/>
        <v>0</v>
      </c>
    </row>
    <row r="181" spans="1:18" s="29" customFormat="1" ht="24" hidden="1" customHeight="1">
      <c r="A181" s="131">
        <v>21210</v>
      </c>
      <c r="B181" s="125" t="s">
        <v>93</v>
      </c>
      <c r="C181" s="169"/>
      <c r="D181" s="169">
        <v>0</v>
      </c>
      <c r="E181" s="231"/>
      <c r="F181" s="231"/>
      <c r="G181" s="231"/>
      <c r="H181" s="233">
        <f t="shared" si="14"/>
        <v>0</v>
      </c>
      <c r="I181" s="231">
        <v>0</v>
      </c>
      <c r="J181" s="231"/>
      <c r="K181" s="231"/>
      <c r="L181" s="231"/>
      <c r="M181" s="233">
        <f t="shared" si="15"/>
        <v>0</v>
      </c>
      <c r="N181" s="231">
        <v>0</v>
      </c>
      <c r="O181" s="231"/>
      <c r="P181" s="231"/>
      <c r="Q181" s="231"/>
      <c r="R181" s="233">
        <f t="shared" si="16"/>
        <v>0</v>
      </c>
    </row>
    <row r="182" spans="1:18" s="89" customFormat="1" ht="21" hidden="1" customHeight="1">
      <c r="A182" s="130" t="s">
        <v>178</v>
      </c>
      <c r="B182" s="124" t="s">
        <v>94</v>
      </c>
      <c r="C182" s="171">
        <v>0</v>
      </c>
      <c r="D182" s="171">
        <v>0</v>
      </c>
      <c r="E182" s="233">
        <f>E183+E189</f>
        <v>0</v>
      </c>
      <c r="F182" s="233">
        <f>F183+F189</f>
        <v>0</v>
      </c>
      <c r="G182" s="233">
        <f>G183+G189</f>
        <v>0</v>
      </c>
      <c r="H182" s="233">
        <f t="shared" si="14"/>
        <v>0</v>
      </c>
      <c r="I182" s="233">
        <v>0</v>
      </c>
      <c r="J182" s="233">
        <f>J183+J189</f>
        <v>0</v>
      </c>
      <c r="K182" s="233">
        <f>K183+K189</f>
        <v>0</v>
      </c>
      <c r="L182" s="233">
        <f>L183+L189</f>
        <v>0</v>
      </c>
      <c r="M182" s="233">
        <f t="shared" si="15"/>
        <v>0</v>
      </c>
      <c r="N182" s="233">
        <v>0</v>
      </c>
      <c r="O182" s="233">
        <f>O183+O189</f>
        <v>0</v>
      </c>
      <c r="P182" s="233">
        <f>P183+P189</f>
        <v>0</v>
      </c>
      <c r="Q182" s="233">
        <f>Q183+Q189</f>
        <v>0</v>
      </c>
      <c r="R182" s="233">
        <f t="shared" si="16"/>
        <v>0</v>
      </c>
    </row>
    <row r="183" spans="1:18" s="89" customFormat="1" ht="12" hidden="1" customHeight="1">
      <c r="A183" s="132">
        <v>18000</v>
      </c>
      <c r="B183" s="125" t="s">
        <v>95</v>
      </c>
      <c r="C183" s="171">
        <v>0</v>
      </c>
      <c r="D183" s="171">
        <v>0</v>
      </c>
      <c r="E183" s="233">
        <f t="shared" ref="E183:L184" si="17">E184</f>
        <v>0</v>
      </c>
      <c r="F183" s="233">
        <f t="shared" si="17"/>
        <v>0</v>
      </c>
      <c r="G183" s="233">
        <f t="shared" si="17"/>
        <v>0</v>
      </c>
      <c r="H183" s="233">
        <f t="shared" si="14"/>
        <v>0</v>
      </c>
      <c r="I183" s="233">
        <v>0</v>
      </c>
      <c r="J183" s="233">
        <f t="shared" si="17"/>
        <v>0</v>
      </c>
      <c r="K183" s="233">
        <f t="shared" si="17"/>
        <v>0</v>
      </c>
      <c r="L183" s="233">
        <f t="shared" si="17"/>
        <v>0</v>
      </c>
      <c r="M183" s="233">
        <f t="shared" si="15"/>
        <v>0</v>
      </c>
      <c r="N183" s="233">
        <v>0</v>
      </c>
      <c r="O183" s="233">
        <f t="shared" ref="O183:Q184" si="18">O184</f>
        <v>0</v>
      </c>
      <c r="P183" s="233">
        <f t="shared" si="18"/>
        <v>0</v>
      </c>
      <c r="Q183" s="233">
        <f t="shared" si="18"/>
        <v>0</v>
      </c>
      <c r="R183" s="233">
        <f t="shared" si="16"/>
        <v>0</v>
      </c>
    </row>
    <row r="184" spans="1:18" s="89" customFormat="1" ht="12" hidden="1" customHeight="1">
      <c r="A184" s="132">
        <v>18100</v>
      </c>
      <c r="B184" s="125" t="s">
        <v>96</v>
      </c>
      <c r="C184" s="171">
        <v>0</v>
      </c>
      <c r="D184" s="171">
        <v>0</v>
      </c>
      <c r="E184" s="233">
        <f t="shared" si="17"/>
        <v>0</v>
      </c>
      <c r="F184" s="233">
        <f t="shared" si="17"/>
        <v>0</v>
      </c>
      <c r="G184" s="233">
        <f t="shared" si="17"/>
        <v>0</v>
      </c>
      <c r="H184" s="233">
        <f t="shared" si="14"/>
        <v>0</v>
      </c>
      <c r="I184" s="233">
        <v>0</v>
      </c>
      <c r="J184" s="233">
        <f t="shared" si="17"/>
        <v>0</v>
      </c>
      <c r="K184" s="233">
        <f t="shared" si="17"/>
        <v>0</v>
      </c>
      <c r="L184" s="233">
        <f t="shared" si="17"/>
        <v>0</v>
      </c>
      <c r="M184" s="233">
        <f t="shared" si="15"/>
        <v>0</v>
      </c>
      <c r="N184" s="233">
        <v>0</v>
      </c>
      <c r="O184" s="233">
        <f t="shared" si="18"/>
        <v>0</v>
      </c>
      <c r="P184" s="233">
        <f t="shared" si="18"/>
        <v>0</v>
      </c>
      <c r="Q184" s="233">
        <f t="shared" si="18"/>
        <v>0</v>
      </c>
      <c r="R184" s="233">
        <f t="shared" si="16"/>
        <v>0</v>
      </c>
    </row>
    <row r="185" spans="1:18" s="89" customFormat="1" ht="24" hidden="1" customHeight="1">
      <c r="A185" s="133">
        <v>18130</v>
      </c>
      <c r="B185" s="172" t="s">
        <v>159</v>
      </c>
      <c r="C185" s="171">
        <v>0</v>
      </c>
      <c r="D185" s="171">
        <v>0</v>
      </c>
      <c r="E185" s="233">
        <f>SUM(E186:E188)</f>
        <v>0</v>
      </c>
      <c r="F185" s="233">
        <f>SUM(F186:F188)</f>
        <v>0</v>
      </c>
      <c r="G185" s="233">
        <f>SUM(G186:G188)</f>
        <v>0</v>
      </c>
      <c r="H185" s="233">
        <f t="shared" si="14"/>
        <v>0</v>
      </c>
      <c r="I185" s="233">
        <v>0</v>
      </c>
      <c r="J185" s="233">
        <f>SUM(J186:J188)</f>
        <v>0</v>
      </c>
      <c r="K185" s="233">
        <f>SUM(K186:K188)</f>
        <v>0</v>
      </c>
      <c r="L185" s="233">
        <f>SUM(L186:L188)</f>
        <v>0</v>
      </c>
      <c r="M185" s="233">
        <f t="shared" si="15"/>
        <v>0</v>
      </c>
      <c r="N185" s="233">
        <v>0</v>
      </c>
      <c r="O185" s="233">
        <f>SUM(O186:O188)</f>
        <v>0</v>
      </c>
      <c r="P185" s="233">
        <f>SUM(P186:P188)</f>
        <v>0</v>
      </c>
      <c r="Q185" s="233">
        <f>SUM(Q186:Q188)</f>
        <v>0</v>
      </c>
      <c r="R185" s="233">
        <f t="shared" si="16"/>
        <v>0</v>
      </c>
    </row>
    <row r="186" spans="1:18" s="89" customFormat="1" ht="24" hidden="1" customHeight="1">
      <c r="A186" s="134">
        <v>18131</v>
      </c>
      <c r="B186" s="172" t="s">
        <v>160</v>
      </c>
      <c r="C186" s="171"/>
      <c r="D186" s="171">
        <v>0</v>
      </c>
      <c r="E186" s="233"/>
      <c r="F186" s="233"/>
      <c r="G186" s="233"/>
      <c r="H186" s="233">
        <f t="shared" si="14"/>
        <v>0</v>
      </c>
      <c r="I186" s="233">
        <v>0</v>
      </c>
      <c r="J186" s="233"/>
      <c r="K186" s="233"/>
      <c r="L186" s="233"/>
      <c r="M186" s="233">
        <f t="shared" si="15"/>
        <v>0</v>
      </c>
      <c r="N186" s="233">
        <v>0</v>
      </c>
      <c r="O186" s="233"/>
      <c r="P186" s="233"/>
      <c r="Q186" s="233"/>
      <c r="R186" s="233">
        <f t="shared" si="16"/>
        <v>0</v>
      </c>
    </row>
    <row r="187" spans="1:18" s="89" customFormat="1" ht="24" hidden="1" customHeight="1">
      <c r="A187" s="134">
        <v>18132</v>
      </c>
      <c r="B187" s="172" t="s">
        <v>169</v>
      </c>
      <c r="C187" s="171"/>
      <c r="D187" s="171">
        <v>0</v>
      </c>
      <c r="E187" s="233"/>
      <c r="F187" s="233"/>
      <c r="G187" s="233"/>
      <c r="H187" s="233">
        <f t="shared" si="14"/>
        <v>0</v>
      </c>
      <c r="I187" s="233">
        <v>0</v>
      </c>
      <c r="J187" s="233"/>
      <c r="K187" s="233"/>
      <c r="L187" s="233"/>
      <c r="M187" s="233">
        <f t="shared" si="15"/>
        <v>0</v>
      </c>
      <c r="N187" s="233">
        <v>0</v>
      </c>
      <c r="O187" s="233"/>
      <c r="P187" s="233"/>
      <c r="Q187" s="233"/>
      <c r="R187" s="233">
        <f t="shared" si="16"/>
        <v>0</v>
      </c>
    </row>
    <row r="188" spans="1:18" s="89" customFormat="1" ht="24" hidden="1" customHeight="1">
      <c r="A188" s="134">
        <v>18139</v>
      </c>
      <c r="B188" s="172" t="s">
        <v>179</v>
      </c>
      <c r="C188" s="171"/>
      <c r="D188" s="171">
        <v>0</v>
      </c>
      <c r="E188" s="233"/>
      <c r="F188" s="233"/>
      <c r="G188" s="233"/>
      <c r="H188" s="233">
        <f t="shared" si="14"/>
        <v>0</v>
      </c>
      <c r="I188" s="233">
        <v>0</v>
      </c>
      <c r="J188" s="233"/>
      <c r="K188" s="233"/>
      <c r="L188" s="233"/>
      <c r="M188" s="233">
        <f t="shared" si="15"/>
        <v>0</v>
      </c>
      <c r="N188" s="233">
        <v>0</v>
      </c>
      <c r="O188" s="233"/>
      <c r="P188" s="233"/>
      <c r="Q188" s="233"/>
      <c r="R188" s="233">
        <f t="shared" si="16"/>
        <v>0</v>
      </c>
    </row>
    <row r="189" spans="1:18" s="89" customFormat="1" ht="12" hidden="1" customHeight="1">
      <c r="A189" s="135" t="s">
        <v>180</v>
      </c>
      <c r="B189" s="173" t="s">
        <v>173</v>
      </c>
      <c r="C189" s="174">
        <v>0</v>
      </c>
      <c r="D189" s="174">
        <v>0</v>
      </c>
      <c r="E189" s="238">
        <f t="shared" ref="E189:L189" si="19">E190</f>
        <v>0</v>
      </c>
      <c r="F189" s="238">
        <f t="shared" si="19"/>
        <v>0</v>
      </c>
      <c r="G189" s="238">
        <f t="shared" si="19"/>
        <v>0</v>
      </c>
      <c r="H189" s="233">
        <f t="shared" si="14"/>
        <v>0</v>
      </c>
      <c r="I189" s="238">
        <v>0</v>
      </c>
      <c r="J189" s="238">
        <f t="shared" si="19"/>
        <v>0</v>
      </c>
      <c r="K189" s="238">
        <f t="shared" si="19"/>
        <v>0</v>
      </c>
      <c r="L189" s="238">
        <f t="shared" si="19"/>
        <v>0</v>
      </c>
      <c r="M189" s="233">
        <f t="shared" si="15"/>
        <v>0</v>
      </c>
      <c r="N189" s="238">
        <v>0</v>
      </c>
      <c r="O189" s="238">
        <f>O190</f>
        <v>0</v>
      </c>
      <c r="P189" s="238">
        <f>P190</f>
        <v>0</v>
      </c>
      <c r="Q189" s="238">
        <f>Q190</f>
        <v>0</v>
      </c>
      <c r="R189" s="233">
        <f t="shared" si="16"/>
        <v>0</v>
      </c>
    </row>
    <row r="190" spans="1:18" s="89" customFormat="1" ht="24" hidden="1" customHeight="1">
      <c r="A190" s="135">
        <v>19500</v>
      </c>
      <c r="B190" s="172" t="s">
        <v>174</v>
      </c>
      <c r="C190" s="171">
        <v>0</v>
      </c>
      <c r="D190" s="171">
        <v>0</v>
      </c>
      <c r="E190" s="233">
        <f>SUM(E191:E193)</f>
        <v>0</v>
      </c>
      <c r="F190" s="233">
        <f>SUM(F191:F193)</f>
        <v>0</v>
      </c>
      <c r="G190" s="233">
        <f>SUM(G191:G193)</f>
        <v>0</v>
      </c>
      <c r="H190" s="233">
        <f t="shared" si="14"/>
        <v>0</v>
      </c>
      <c r="I190" s="233">
        <v>0</v>
      </c>
      <c r="J190" s="233">
        <f>SUM(J191:J193)</f>
        <v>0</v>
      </c>
      <c r="K190" s="233">
        <f>SUM(K191:K193)</f>
        <v>0</v>
      </c>
      <c r="L190" s="233">
        <f>SUM(L191:L193)</f>
        <v>0</v>
      </c>
      <c r="M190" s="233">
        <f t="shared" si="15"/>
        <v>0</v>
      </c>
      <c r="N190" s="233">
        <v>0</v>
      </c>
      <c r="O190" s="233">
        <f>SUM(O191:O193)</f>
        <v>0</v>
      </c>
      <c r="P190" s="233">
        <f>SUM(P191:P193)</f>
        <v>0</v>
      </c>
      <c r="Q190" s="233">
        <f>SUM(Q191:Q193)</f>
        <v>0</v>
      </c>
      <c r="R190" s="233">
        <f t="shared" si="16"/>
        <v>0</v>
      </c>
    </row>
    <row r="191" spans="1:18" s="89" customFormat="1" ht="24" hidden="1" customHeight="1">
      <c r="A191" s="136">
        <v>19550</v>
      </c>
      <c r="B191" s="172" t="s">
        <v>175</v>
      </c>
      <c r="C191" s="171"/>
      <c r="D191" s="171">
        <v>0</v>
      </c>
      <c r="E191" s="233"/>
      <c r="F191" s="233"/>
      <c r="G191" s="233"/>
      <c r="H191" s="233">
        <f t="shared" si="14"/>
        <v>0</v>
      </c>
      <c r="I191" s="233">
        <v>0</v>
      </c>
      <c r="J191" s="233"/>
      <c r="K191" s="233"/>
      <c r="L191" s="233"/>
      <c r="M191" s="233">
        <f t="shared" si="15"/>
        <v>0</v>
      </c>
      <c r="N191" s="233">
        <v>0</v>
      </c>
      <c r="O191" s="233"/>
      <c r="P191" s="233"/>
      <c r="Q191" s="233"/>
      <c r="R191" s="233">
        <f t="shared" si="16"/>
        <v>0</v>
      </c>
    </row>
    <row r="192" spans="1:18" s="89" customFormat="1" ht="36" hidden="1" customHeight="1">
      <c r="A192" s="136">
        <v>19560</v>
      </c>
      <c r="B192" s="172" t="s">
        <v>181</v>
      </c>
      <c r="C192" s="171"/>
      <c r="D192" s="171">
        <v>0</v>
      </c>
      <c r="E192" s="233"/>
      <c r="F192" s="233"/>
      <c r="G192" s="233"/>
      <c r="H192" s="233">
        <f t="shared" si="14"/>
        <v>0</v>
      </c>
      <c r="I192" s="233">
        <v>0</v>
      </c>
      <c r="J192" s="233"/>
      <c r="K192" s="233"/>
      <c r="L192" s="233"/>
      <c r="M192" s="233">
        <f t="shared" si="15"/>
        <v>0</v>
      </c>
      <c r="N192" s="233">
        <v>0</v>
      </c>
      <c r="O192" s="233"/>
      <c r="P192" s="233"/>
      <c r="Q192" s="233"/>
      <c r="R192" s="233">
        <f t="shared" si="16"/>
        <v>0</v>
      </c>
    </row>
    <row r="193" spans="1:18" s="89" customFormat="1" ht="60" hidden="1" customHeight="1">
      <c r="A193" s="136">
        <v>19570</v>
      </c>
      <c r="B193" s="172" t="s">
        <v>182</v>
      </c>
      <c r="C193" s="171"/>
      <c r="D193" s="171">
        <v>0</v>
      </c>
      <c r="E193" s="233"/>
      <c r="F193" s="233"/>
      <c r="G193" s="233"/>
      <c r="H193" s="233">
        <f t="shared" si="14"/>
        <v>0</v>
      </c>
      <c r="I193" s="233">
        <v>0</v>
      </c>
      <c r="J193" s="233"/>
      <c r="K193" s="233"/>
      <c r="L193" s="233"/>
      <c r="M193" s="233">
        <f t="shared" si="15"/>
        <v>0</v>
      </c>
      <c r="N193" s="233">
        <v>0</v>
      </c>
      <c r="O193" s="233"/>
      <c r="P193" s="233"/>
      <c r="Q193" s="233"/>
      <c r="R193" s="233">
        <f t="shared" si="16"/>
        <v>0</v>
      </c>
    </row>
    <row r="194" spans="1:18" s="6" customFormat="1" ht="24" hidden="1" customHeight="1">
      <c r="A194" s="209" t="s">
        <v>222</v>
      </c>
      <c r="B194" s="208" t="s">
        <v>216</v>
      </c>
      <c r="C194" s="107">
        <f>C195</f>
        <v>0</v>
      </c>
      <c r="D194" s="107">
        <v>0</v>
      </c>
      <c r="E194" s="233">
        <f t="shared" ref="E194:L194" si="20">E195</f>
        <v>0</v>
      </c>
      <c r="F194" s="233">
        <f t="shared" si="20"/>
        <v>0</v>
      </c>
      <c r="G194" s="233">
        <f t="shared" si="20"/>
        <v>0</v>
      </c>
      <c r="H194" s="233">
        <f t="shared" si="14"/>
        <v>0</v>
      </c>
      <c r="I194" s="233">
        <v>0</v>
      </c>
      <c r="J194" s="233">
        <f t="shared" si="20"/>
        <v>0</v>
      </c>
      <c r="K194" s="233">
        <f t="shared" si="20"/>
        <v>0</v>
      </c>
      <c r="L194" s="233">
        <f t="shared" si="20"/>
        <v>0</v>
      </c>
      <c r="M194" s="233">
        <f t="shared" si="15"/>
        <v>0</v>
      </c>
      <c r="N194" s="233">
        <v>0</v>
      </c>
      <c r="O194" s="233">
        <f>O195</f>
        <v>0</v>
      </c>
      <c r="P194" s="233">
        <f>P195</f>
        <v>0</v>
      </c>
      <c r="Q194" s="233">
        <f>Q195</f>
        <v>0</v>
      </c>
      <c r="R194" s="233">
        <f t="shared" si="16"/>
        <v>0</v>
      </c>
    </row>
    <row r="195" spans="1:18" s="6" customFormat="1" ht="36" hidden="1" customHeight="1">
      <c r="A195" s="209">
        <v>17100</v>
      </c>
      <c r="B195" s="208" t="s">
        <v>217</v>
      </c>
      <c r="C195" s="107">
        <f>SUM(C196:C199)</f>
        <v>0</v>
      </c>
      <c r="D195" s="107">
        <v>0</v>
      </c>
      <c r="E195" s="233">
        <f>SUM(E196:E199)</f>
        <v>0</v>
      </c>
      <c r="F195" s="233">
        <f>SUM(F196:F199)</f>
        <v>0</v>
      </c>
      <c r="G195" s="233">
        <f>SUM(G196:G199)</f>
        <v>0</v>
      </c>
      <c r="H195" s="233">
        <f t="shared" si="14"/>
        <v>0</v>
      </c>
      <c r="I195" s="233">
        <v>0</v>
      </c>
      <c r="J195" s="233">
        <f>SUM(J196:J199)</f>
        <v>0</v>
      </c>
      <c r="K195" s="233">
        <f>SUM(K196:K199)</f>
        <v>0</v>
      </c>
      <c r="L195" s="233">
        <f>SUM(L196:L199)</f>
        <v>0</v>
      </c>
      <c r="M195" s="233">
        <f t="shared" si="15"/>
        <v>0</v>
      </c>
      <c r="N195" s="233">
        <v>0</v>
      </c>
      <c r="O195" s="233">
        <f>SUM(O196:O199)</f>
        <v>0</v>
      </c>
      <c r="P195" s="233">
        <f>SUM(P196:P199)</f>
        <v>0</v>
      </c>
      <c r="Q195" s="233">
        <f>SUM(Q196:Q199)</f>
        <v>0</v>
      </c>
      <c r="R195" s="233">
        <f t="shared" si="16"/>
        <v>0</v>
      </c>
    </row>
    <row r="196" spans="1:18" s="6" customFormat="1" ht="48" hidden="1" customHeight="1">
      <c r="A196" s="149">
        <v>17110</v>
      </c>
      <c r="B196" s="208" t="s">
        <v>218</v>
      </c>
      <c r="C196" s="107"/>
      <c r="D196" s="107">
        <v>0</v>
      </c>
      <c r="E196" s="233"/>
      <c r="F196" s="233"/>
      <c r="G196" s="233"/>
      <c r="H196" s="233">
        <f t="shared" si="14"/>
        <v>0</v>
      </c>
      <c r="I196" s="233">
        <v>0</v>
      </c>
      <c r="J196" s="233"/>
      <c r="K196" s="233"/>
      <c r="L196" s="233"/>
      <c r="M196" s="233">
        <f t="shared" si="15"/>
        <v>0</v>
      </c>
      <c r="N196" s="233">
        <v>0</v>
      </c>
      <c r="O196" s="233"/>
      <c r="P196" s="233"/>
      <c r="Q196" s="233"/>
      <c r="R196" s="233">
        <f t="shared" si="16"/>
        <v>0</v>
      </c>
    </row>
    <row r="197" spans="1:18" s="6" customFormat="1" ht="48" hidden="1" customHeight="1">
      <c r="A197" s="149">
        <v>17120</v>
      </c>
      <c r="B197" s="208" t="s">
        <v>219</v>
      </c>
      <c r="C197" s="107"/>
      <c r="D197" s="107">
        <v>0</v>
      </c>
      <c r="E197" s="233"/>
      <c r="F197" s="233"/>
      <c r="G197" s="233"/>
      <c r="H197" s="233">
        <f t="shared" si="14"/>
        <v>0</v>
      </c>
      <c r="I197" s="233">
        <v>0</v>
      </c>
      <c r="J197" s="233"/>
      <c r="K197" s="233"/>
      <c r="L197" s="233"/>
      <c r="M197" s="233">
        <f t="shared" si="15"/>
        <v>0</v>
      </c>
      <c r="N197" s="233">
        <v>0</v>
      </c>
      <c r="O197" s="233"/>
      <c r="P197" s="233"/>
      <c r="Q197" s="233"/>
      <c r="R197" s="233">
        <f t="shared" si="16"/>
        <v>0</v>
      </c>
    </row>
    <row r="198" spans="1:18" s="6" customFormat="1" ht="96" hidden="1" customHeight="1">
      <c r="A198" s="149">
        <v>17130</v>
      </c>
      <c r="B198" s="208" t="s">
        <v>220</v>
      </c>
      <c r="C198" s="107"/>
      <c r="D198" s="107">
        <v>0</v>
      </c>
      <c r="E198" s="233"/>
      <c r="F198" s="233"/>
      <c r="G198" s="233"/>
      <c r="H198" s="233">
        <f t="shared" si="14"/>
        <v>0</v>
      </c>
      <c r="I198" s="233">
        <v>0</v>
      </c>
      <c r="J198" s="233"/>
      <c r="K198" s="233"/>
      <c r="L198" s="233"/>
      <c r="M198" s="233">
        <f t="shared" si="15"/>
        <v>0</v>
      </c>
      <c r="N198" s="233">
        <v>0</v>
      </c>
      <c r="O198" s="233"/>
      <c r="P198" s="233"/>
      <c r="Q198" s="233"/>
      <c r="R198" s="233">
        <f t="shared" si="16"/>
        <v>0</v>
      </c>
    </row>
    <row r="199" spans="1:18" s="6" customFormat="1" ht="96" hidden="1" customHeight="1">
      <c r="A199" s="149">
        <v>17140</v>
      </c>
      <c r="B199" s="208" t="s">
        <v>221</v>
      </c>
      <c r="C199" s="107"/>
      <c r="D199" s="107">
        <v>0</v>
      </c>
      <c r="E199" s="233"/>
      <c r="F199" s="233"/>
      <c r="G199" s="233"/>
      <c r="H199" s="233">
        <f t="shared" si="14"/>
        <v>0</v>
      </c>
      <c r="I199" s="233">
        <v>0</v>
      </c>
      <c r="J199" s="233"/>
      <c r="K199" s="233"/>
      <c r="L199" s="233"/>
      <c r="M199" s="233">
        <f t="shared" si="15"/>
        <v>0</v>
      </c>
      <c r="N199" s="233">
        <v>0</v>
      </c>
      <c r="O199" s="233"/>
      <c r="P199" s="233"/>
      <c r="Q199" s="233"/>
      <c r="R199" s="233">
        <f t="shared" si="16"/>
        <v>0</v>
      </c>
    </row>
    <row r="200" spans="1:18" s="89" customFormat="1" ht="12" hidden="1" customHeight="1">
      <c r="A200" s="137">
        <v>21700</v>
      </c>
      <c r="B200" s="124" t="s">
        <v>97</v>
      </c>
      <c r="C200" s="171">
        <v>0</v>
      </c>
      <c r="D200" s="171">
        <v>0</v>
      </c>
      <c r="E200" s="233">
        <f>E201+E202</f>
        <v>0</v>
      </c>
      <c r="F200" s="233">
        <f>F201+F202</f>
        <v>0</v>
      </c>
      <c r="G200" s="233">
        <f>G201+G202</f>
        <v>0</v>
      </c>
      <c r="H200" s="233">
        <f t="shared" si="14"/>
        <v>0</v>
      </c>
      <c r="I200" s="233">
        <v>0</v>
      </c>
      <c r="J200" s="233">
        <f>J201+J202</f>
        <v>0</v>
      </c>
      <c r="K200" s="233">
        <f>K201+K202</f>
        <v>0</v>
      </c>
      <c r="L200" s="233">
        <f>L201+L202</f>
        <v>0</v>
      </c>
      <c r="M200" s="233">
        <f t="shared" si="15"/>
        <v>0</v>
      </c>
      <c r="N200" s="233">
        <v>0</v>
      </c>
      <c r="O200" s="233">
        <f>O201+O202</f>
        <v>0</v>
      </c>
      <c r="P200" s="233">
        <f>P201+P202</f>
        <v>0</v>
      </c>
      <c r="Q200" s="233">
        <f>Q201+Q202</f>
        <v>0</v>
      </c>
      <c r="R200" s="233">
        <f t="shared" si="16"/>
        <v>0</v>
      </c>
    </row>
    <row r="201" spans="1:18" s="89" customFormat="1" ht="24" hidden="1" customHeight="1">
      <c r="A201" s="138">
        <v>21710</v>
      </c>
      <c r="B201" s="125" t="s">
        <v>98</v>
      </c>
      <c r="C201" s="171">
        <v>0</v>
      </c>
      <c r="D201" s="171">
        <v>0</v>
      </c>
      <c r="E201" s="233"/>
      <c r="F201" s="233"/>
      <c r="G201" s="233"/>
      <c r="H201" s="233">
        <f t="shared" si="14"/>
        <v>0</v>
      </c>
      <c r="I201" s="233">
        <v>0</v>
      </c>
      <c r="J201" s="233"/>
      <c r="K201" s="233"/>
      <c r="L201" s="233"/>
      <c r="M201" s="233">
        <f t="shared" si="15"/>
        <v>0</v>
      </c>
      <c r="N201" s="233">
        <v>0</v>
      </c>
      <c r="O201" s="233"/>
      <c r="P201" s="233"/>
      <c r="Q201" s="233"/>
      <c r="R201" s="233">
        <f t="shared" si="16"/>
        <v>0</v>
      </c>
    </row>
    <row r="202" spans="1:18" s="29" customFormat="1" ht="24" hidden="1" customHeight="1">
      <c r="A202" s="138">
        <v>21720</v>
      </c>
      <c r="B202" s="125" t="s">
        <v>99</v>
      </c>
      <c r="C202" s="171"/>
      <c r="D202" s="171">
        <v>0</v>
      </c>
      <c r="E202" s="233"/>
      <c r="F202" s="233"/>
      <c r="G202" s="233"/>
      <c r="H202" s="233">
        <f t="shared" ref="H202:H260" si="21">SUM(D202:G202)</f>
        <v>0</v>
      </c>
      <c r="I202" s="233">
        <v>0</v>
      </c>
      <c r="J202" s="233"/>
      <c r="K202" s="233"/>
      <c r="L202" s="233"/>
      <c r="M202" s="233">
        <f t="shared" ref="M202:M260" si="22">SUM(I202:L202)</f>
        <v>0</v>
      </c>
      <c r="N202" s="233">
        <v>0</v>
      </c>
      <c r="O202" s="233"/>
      <c r="P202" s="233"/>
      <c r="Q202" s="233"/>
      <c r="R202" s="233">
        <f t="shared" ref="R202:R260" si="23">SUM(N202:Q202)</f>
        <v>0</v>
      </c>
    </row>
    <row r="203" spans="1:18" s="29" customFormat="1" ht="12" hidden="1" customHeight="1">
      <c r="A203" s="129" t="s">
        <v>100</v>
      </c>
      <c r="B203" s="123" t="s">
        <v>101</v>
      </c>
      <c r="C203" s="175">
        <v>0</v>
      </c>
      <c r="D203" s="175">
        <v>0</v>
      </c>
      <c r="E203" s="243">
        <f>E204+E231</f>
        <v>0</v>
      </c>
      <c r="F203" s="243">
        <f>F204+F231</f>
        <v>0</v>
      </c>
      <c r="G203" s="243">
        <f>G204+G231</f>
        <v>0</v>
      </c>
      <c r="H203" s="403">
        <f t="shared" si="21"/>
        <v>0</v>
      </c>
      <c r="I203" s="243">
        <v>0</v>
      </c>
      <c r="J203" s="243">
        <f>J204+J231</f>
        <v>0</v>
      </c>
      <c r="K203" s="243">
        <f>K204+K231</f>
        <v>0</v>
      </c>
      <c r="L203" s="243">
        <f>L204+L231</f>
        <v>0</v>
      </c>
      <c r="M203" s="403">
        <f t="shared" si="22"/>
        <v>0</v>
      </c>
      <c r="N203" s="243">
        <v>0</v>
      </c>
      <c r="O203" s="243">
        <f>O204+O231</f>
        <v>0</v>
      </c>
      <c r="P203" s="243">
        <f>P204+P231</f>
        <v>0</v>
      </c>
      <c r="Q203" s="243">
        <f>Q204+Q231</f>
        <v>0</v>
      </c>
      <c r="R203" s="403">
        <f t="shared" si="23"/>
        <v>0</v>
      </c>
    </row>
    <row r="204" spans="1:18" s="29" customFormat="1" ht="21" hidden="1" customHeight="1">
      <c r="A204" s="130" t="s">
        <v>102</v>
      </c>
      <c r="B204" s="124" t="s">
        <v>103</v>
      </c>
      <c r="C204" s="171">
        <v>0</v>
      </c>
      <c r="D204" s="171">
        <v>0</v>
      </c>
      <c r="E204" s="233">
        <f>E205+E209+E210+E213+E216</f>
        <v>0</v>
      </c>
      <c r="F204" s="233">
        <f>F205+F209+F210+F213+F216</f>
        <v>0</v>
      </c>
      <c r="G204" s="233">
        <f>G205+G209+G210+G213+G216</f>
        <v>0</v>
      </c>
      <c r="H204" s="233">
        <f t="shared" si="21"/>
        <v>0</v>
      </c>
      <c r="I204" s="233">
        <v>0</v>
      </c>
      <c r="J204" s="233">
        <f>J205+J209+J210+J213+J216</f>
        <v>0</v>
      </c>
      <c r="K204" s="233">
        <f>K205+K209+K210+K213+K216</f>
        <v>0</v>
      </c>
      <c r="L204" s="233">
        <f>L205+L209+L210+L213+L216</f>
        <v>0</v>
      </c>
      <c r="M204" s="233">
        <f t="shared" si="22"/>
        <v>0</v>
      </c>
      <c r="N204" s="233">
        <v>0</v>
      </c>
      <c r="O204" s="233">
        <f>O205+O209+O210+O213+O216</f>
        <v>0</v>
      </c>
      <c r="P204" s="233">
        <f>P205+P209+P210+P213+P216</f>
        <v>0</v>
      </c>
      <c r="Q204" s="233">
        <f>Q205+Q209+Q210+Q213+Q216</f>
        <v>0</v>
      </c>
      <c r="R204" s="233">
        <f t="shared" si="23"/>
        <v>0</v>
      </c>
    </row>
    <row r="205" spans="1:18" s="29" customFormat="1" ht="12" hidden="1" customHeight="1">
      <c r="A205" s="130" t="s">
        <v>104</v>
      </c>
      <c r="B205" s="124" t="s">
        <v>105</v>
      </c>
      <c r="C205" s="171">
        <v>0</v>
      </c>
      <c r="D205" s="171">
        <v>0</v>
      </c>
      <c r="E205" s="233">
        <f>E206+E208</f>
        <v>0</v>
      </c>
      <c r="F205" s="233">
        <f>F206+F208</f>
        <v>0</v>
      </c>
      <c r="G205" s="233">
        <f>G206+G208</f>
        <v>0</v>
      </c>
      <c r="H205" s="233">
        <f t="shared" si="21"/>
        <v>0</v>
      </c>
      <c r="I205" s="233">
        <v>0</v>
      </c>
      <c r="J205" s="233">
        <f>J206+J208</f>
        <v>0</v>
      </c>
      <c r="K205" s="233">
        <f>K206+K208</f>
        <v>0</v>
      </c>
      <c r="L205" s="233">
        <f>L206+L208</f>
        <v>0</v>
      </c>
      <c r="M205" s="233">
        <f t="shared" si="22"/>
        <v>0</v>
      </c>
      <c r="N205" s="233">
        <v>0</v>
      </c>
      <c r="O205" s="233">
        <f>O206+O208</f>
        <v>0</v>
      </c>
      <c r="P205" s="233">
        <f>P206+P208</f>
        <v>0</v>
      </c>
      <c r="Q205" s="233">
        <f>Q206+Q208</f>
        <v>0</v>
      </c>
      <c r="R205" s="233">
        <f t="shared" si="23"/>
        <v>0</v>
      </c>
    </row>
    <row r="206" spans="1:18" s="29" customFormat="1" ht="12" hidden="1" customHeight="1">
      <c r="A206" s="132">
        <v>1000</v>
      </c>
      <c r="B206" s="125" t="s">
        <v>106</v>
      </c>
      <c r="C206" s="171"/>
      <c r="D206" s="171">
        <v>0</v>
      </c>
      <c r="E206" s="233"/>
      <c r="F206" s="233"/>
      <c r="G206" s="233"/>
      <c r="H206" s="233">
        <f t="shared" si="21"/>
        <v>0</v>
      </c>
      <c r="I206" s="233">
        <v>0</v>
      </c>
      <c r="J206" s="233"/>
      <c r="K206" s="233"/>
      <c r="L206" s="233"/>
      <c r="M206" s="233">
        <f t="shared" si="22"/>
        <v>0</v>
      </c>
      <c r="N206" s="233">
        <v>0</v>
      </c>
      <c r="O206" s="233"/>
      <c r="P206" s="233"/>
      <c r="Q206" s="233"/>
      <c r="R206" s="233">
        <f t="shared" si="23"/>
        <v>0</v>
      </c>
    </row>
    <row r="207" spans="1:18" s="29" customFormat="1" ht="12" hidden="1" customHeight="1">
      <c r="A207" s="139">
        <v>1100</v>
      </c>
      <c r="B207" s="125" t="s">
        <v>107</v>
      </c>
      <c r="C207" s="171"/>
      <c r="D207" s="171">
        <v>0</v>
      </c>
      <c r="E207" s="233"/>
      <c r="F207" s="233"/>
      <c r="G207" s="233"/>
      <c r="H207" s="233">
        <f t="shared" si="21"/>
        <v>0</v>
      </c>
      <c r="I207" s="233">
        <v>0</v>
      </c>
      <c r="J207" s="233"/>
      <c r="K207" s="233"/>
      <c r="L207" s="233"/>
      <c r="M207" s="233">
        <f t="shared" si="22"/>
        <v>0</v>
      </c>
      <c r="N207" s="233">
        <v>0</v>
      </c>
      <c r="O207" s="233"/>
      <c r="P207" s="233"/>
      <c r="Q207" s="233"/>
      <c r="R207" s="233">
        <f t="shared" si="23"/>
        <v>0</v>
      </c>
    </row>
    <row r="208" spans="1:18" s="29" customFormat="1" ht="12" hidden="1" customHeight="1">
      <c r="A208" s="132">
        <v>2000</v>
      </c>
      <c r="B208" s="125" t="s">
        <v>108</v>
      </c>
      <c r="C208" s="171"/>
      <c r="D208" s="171">
        <v>0</v>
      </c>
      <c r="E208" s="233"/>
      <c r="F208" s="233"/>
      <c r="G208" s="233"/>
      <c r="H208" s="233">
        <f t="shared" si="21"/>
        <v>0</v>
      </c>
      <c r="I208" s="233">
        <v>0</v>
      </c>
      <c r="J208" s="233"/>
      <c r="K208" s="233"/>
      <c r="L208" s="233"/>
      <c r="M208" s="233">
        <f t="shared" si="22"/>
        <v>0</v>
      </c>
      <c r="N208" s="233">
        <v>0</v>
      </c>
      <c r="O208" s="233"/>
      <c r="P208" s="233"/>
      <c r="Q208" s="233"/>
      <c r="R208" s="233">
        <f t="shared" si="23"/>
        <v>0</v>
      </c>
    </row>
    <row r="209" spans="1:18" s="29" customFormat="1" ht="12" hidden="1" customHeight="1">
      <c r="A209" s="140">
        <v>4000</v>
      </c>
      <c r="B209" s="124" t="s">
        <v>132</v>
      </c>
      <c r="C209" s="171"/>
      <c r="D209" s="171">
        <v>0</v>
      </c>
      <c r="E209" s="233"/>
      <c r="F209" s="233"/>
      <c r="G209" s="233"/>
      <c r="H209" s="233">
        <f t="shared" si="21"/>
        <v>0</v>
      </c>
      <c r="I209" s="233">
        <v>0</v>
      </c>
      <c r="J209" s="233"/>
      <c r="K209" s="233"/>
      <c r="L209" s="233"/>
      <c r="M209" s="233">
        <f t="shared" si="22"/>
        <v>0</v>
      </c>
      <c r="N209" s="233">
        <v>0</v>
      </c>
      <c r="O209" s="233"/>
      <c r="P209" s="233"/>
      <c r="Q209" s="233"/>
      <c r="R209" s="233">
        <f t="shared" si="23"/>
        <v>0</v>
      </c>
    </row>
    <row r="210" spans="1:18" s="29" customFormat="1" ht="12" hidden="1" customHeight="1">
      <c r="A210" s="140" t="s">
        <v>109</v>
      </c>
      <c r="B210" s="124" t="s">
        <v>110</v>
      </c>
      <c r="C210" s="171">
        <v>0</v>
      </c>
      <c r="D210" s="171">
        <v>0</v>
      </c>
      <c r="E210" s="233">
        <f>E211+E212</f>
        <v>0</v>
      </c>
      <c r="F210" s="233">
        <f>F211+F212</f>
        <v>0</v>
      </c>
      <c r="G210" s="233">
        <f>G211+G212</f>
        <v>0</v>
      </c>
      <c r="H210" s="233">
        <f t="shared" si="21"/>
        <v>0</v>
      </c>
      <c r="I210" s="233">
        <v>0</v>
      </c>
      <c r="J210" s="233">
        <f>J211+J212</f>
        <v>0</v>
      </c>
      <c r="K210" s="233">
        <f>K211+K212</f>
        <v>0</v>
      </c>
      <c r="L210" s="233">
        <f>L211+L212</f>
        <v>0</v>
      </c>
      <c r="M210" s="233">
        <f t="shared" si="22"/>
        <v>0</v>
      </c>
      <c r="N210" s="233">
        <v>0</v>
      </c>
      <c r="O210" s="233">
        <f>O211+O212</f>
        <v>0</v>
      </c>
      <c r="P210" s="233">
        <f>P211+P212</f>
        <v>0</v>
      </c>
      <c r="Q210" s="233">
        <f>Q211+Q212</f>
        <v>0</v>
      </c>
      <c r="R210" s="233">
        <f t="shared" si="23"/>
        <v>0</v>
      </c>
    </row>
    <row r="211" spans="1:18" s="29" customFormat="1" ht="12" hidden="1" customHeight="1">
      <c r="A211" s="132">
        <v>3000</v>
      </c>
      <c r="B211" s="125" t="s">
        <v>111</v>
      </c>
      <c r="C211" s="213"/>
      <c r="D211" s="213">
        <v>0</v>
      </c>
      <c r="E211" s="345"/>
      <c r="F211" s="345"/>
      <c r="G211" s="345"/>
      <c r="H211" s="233">
        <f t="shared" si="21"/>
        <v>0</v>
      </c>
      <c r="I211" s="345">
        <v>0</v>
      </c>
      <c r="J211" s="345"/>
      <c r="K211" s="345"/>
      <c r="L211" s="345"/>
      <c r="M211" s="233">
        <f t="shared" si="22"/>
        <v>0</v>
      </c>
      <c r="N211" s="345">
        <v>0</v>
      </c>
      <c r="O211" s="345"/>
      <c r="P211" s="345"/>
      <c r="Q211" s="345"/>
      <c r="R211" s="233">
        <f t="shared" si="23"/>
        <v>0</v>
      </c>
    </row>
    <row r="212" spans="1:18" s="29" customFormat="1" ht="12" hidden="1" customHeight="1">
      <c r="A212" s="132">
        <v>6000</v>
      </c>
      <c r="B212" s="125" t="s">
        <v>112</v>
      </c>
      <c r="C212" s="287"/>
      <c r="D212" s="287">
        <v>0</v>
      </c>
      <c r="E212" s="346"/>
      <c r="F212" s="346"/>
      <c r="G212" s="346"/>
      <c r="H212" s="233">
        <f t="shared" si="21"/>
        <v>0</v>
      </c>
      <c r="I212" s="346">
        <v>0</v>
      </c>
      <c r="J212" s="346"/>
      <c r="K212" s="346"/>
      <c r="L212" s="346"/>
      <c r="M212" s="233">
        <f t="shared" si="22"/>
        <v>0</v>
      </c>
      <c r="N212" s="346">
        <v>0</v>
      </c>
      <c r="O212" s="346"/>
      <c r="P212" s="346"/>
      <c r="Q212" s="346"/>
      <c r="R212" s="233">
        <f t="shared" si="23"/>
        <v>0</v>
      </c>
    </row>
    <row r="213" spans="1:18" s="29" customFormat="1" ht="24" hidden="1" customHeight="1">
      <c r="A213" s="140" t="s">
        <v>113</v>
      </c>
      <c r="B213" s="124" t="s">
        <v>183</v>
      </c>
      <c r="C213" s="171">
        <v>0</v>
      </c>
      <c r="D213" s="171">
        <v>0</v>
      </c>
      <c r="E213" s="233">
        <f>E214+E215</f>
        <v>0</v>
      </c>
      <c r="F213" s="233">
        <f>F214+F215</f>
        <v>0</v>
      </c>
      <c r="G213" s="233">
        <f>G214+G215</f>
        <v>0</v>
      </c>
      <c r="H213" s="233">
        <f t="shared" si="21"/>
        <v>0</v>
      </c>
      <c r="I213" s="233">
        <v>0</v>
      </c>
      <c r="J213" s="233">
        <f>J214+J215</f>
        <v>0</v>
      </c>
      <c r="K213" s="233">
        <f>K214+K215</f>
        <v>0</v>
      </c>
      <c r="L213" s="233">
        <f>L214+L215</f>
        <v>0</v>
      </c>
      <c r="M213" s="233">
        <f t="shared" si="22"/>
        <v>0</v>
      </c>
      <c r="N213" s="233">
        <v>0</v>
      </c>
      <c r="O213" s="233">
        <f>O214+O215</f>
        <v>0</v>
      </c>
      <c r="P213" s="233">
        <f>P214+P215</f>
        <v>0</v>
      </c>
      <c r="Q213" s="233">
        <f>Q214+Q215</f>
        <v>0</v>
      </c>
      <c r="R213" s="233">
        <f t="shared" si="23"/>
        <v>0</v>
      </c>
    </row>
    <row r="214" spans="1:18" s="29" customFormat="1" ht="12" hidden="1" customHeight="1">
      <c r="A214" s="132">
        <v>7600</v>
      </c>
      <c r="B214" s="179" t="s">
        <v>184</v>
      </c>
      <c r="C214" s="171">
        <v>0</v>
      </c>
      <c r="D214" s="171">
        <v>0</v>
      </c>
      <c r="E214" s="233"/>
      <c r="F214" s="233"/>
      <c r="G214" s="233"/>
      <c r="H214" s="233">
        <f t="shared" si="21"/>
        <v>0</v>
      </c>
      <c r="I214" s="233">
        <v>0</v>
      </c>
      <c r="J214" s="233"/>
      <c r="K214" s="233"/>
      <c r="L214" s="233"/>
      <c r="M214" s="233">
        <f t="shared" si="22"/>
        <v>0</v>
      </c>
      <c r="N214" s="233">
        <v>0</v>
      </c>
      <c r="O214" s="233"/>
      <c r="P214" s="233"/>
      <c r="Q214" s="233"/>
      <c r="R214" s="233">
        <f t="shared" si="23"/>
        <v>0</v>
      </c>
    </row>
    <row r="215" spans="1:18" s="29" customFormat="1" ht="12" hidden="1" customHeight="1">
      <c r="A215" s="132">
        <v>7700</v>
      </c>
      <c r="B215" s="126" t="s">
        <v>114</v>
      </c>
      <c r="C215" s="171">
        <v>0</v>
      </c>
      <c r="D215" s="171">
        <v>0</v>
      </c>
      <c r="E215" s="233"/>
      <c r="F215" s="233"/>
      <c r="G215" s="233"/>
      <c r="H215" s="233">
        <f t="shared" si="21"/>
        <v>0</v>
      </c>
      <c r="I215" s="233">
        <v>0</v>
      </c>
      <c r="J215" s="233"/>
      <c r="K215" s="233"/>
      <c r="L215" s="233"/>
      <c r="M215" s="233">
        <f t="shared" si="22"/>
        <v>0</v>
      </c>
      <c r="N215" s="233">
        <v>0</v>
      </c>
      <c r="O215" s="233"/>
      <c r="P215" s="233"/>
      <c r="Q215" s="233"/>
      <c r="R215" s="233">
        <f t="shared" si="23"/>
        <v>0</v>
      </c>
    </row>
    <row r="216" spans="1:18" s="29" customFormat="1" ht="21" hidden="1" customHeight="1">
      <c r="A216" s="140" t="s">
        <v>185</v>
      </c>
      <c r="B216" s="124" t="s">
        <v>115</v>
      </c>
      <c r="C216" s="171">
        <v>0</v>
      </c>
      <c r="D216" s="171">
        <v>0</v>
      </c>
      <c r="E216" s="233">
        <f>E217+E223+E227+E230</f>
        <v>0</v>
      </c>
      <c r="F216" s="233">
        <f>F217+F223+F227+F230</f>
        <v>0</v>
      </c>
      <c r="G216" s="233">
        <f>G217+G223+G227+G230</f>
        <v>0</v>
      </c>
      <c r="H216" s="233">
        <f t="shared" si="21"/>
        <v>0</v>
      </c>
      <c r="I216" s="233">
        <v>0</v>
      </c>
      <c r="J216" s="233">
        <f>J217+J223+J227+J230</f>
        <v>0</v>
      </c>
      <c r="K216" s="233">
        <f>K217+K223+K227+K230</f>
        <v>0</v>
      </c>
      <c r="L216" s="233">
        <f>L217+L223+L227+L230</f>
        <v>0</v>
      </c>
      <c r="M216" s="233">
        <f t="shared" si="22"/>
        <v>0</v>
      </c>
      <c r="N216" s="233">
        <v>0</v>
      </c>
      <c r="O216" s="233">
        <f>O217+O223+O227+O230</f>
        <v>0</v>
      </c>
      <c r="P216" s="233">
        <f>P217+P223+P227+P230</f>
        <v>0</v>
      </c>
      <c r="Q216" s="233">
        <f>Q217+Q223+Q227+Q230</f>
        <v>0</v>
      </c>
      <c r="R216" s="233">
        <f t="shared" si="23"/>
        <v>0</v>
      </c>
    </row>
    <row r="217" spans="1:18" s="29" customFormat="1" ht="12" hidden="1" customHeight="1">
      <c r="A217" s="132">
        <v>7100</v>
      </c>
      <c r="B217" s="179" t="s">
        <v>116</v>
      </c>
      <c r="C217" s="171">
        <v>0</v>
      </c>
      <c r="D217" s="171">
        <v>0</v>
      </c>
      <c r="E217" s="233">
        <f>E218+E219</f>
        <v>0</v>
      </c>
      <c r="F217" s="233">
        <f>F218+F219</f>
        <v>0</v>
      </c>
      <c r="G217" s="233">
        <f>G218+G219</f>
        <v>0</v>
      </c>
      <c r="H217" s="233">
        <f t="shared" si="21"/>
        <v>0</v>
      </c>
      <c r="I217" s="233">
        <v>0</v>
      </c>
      <c r="J217" s="233">
        <f>J218+J219</f>
        <v>0</v>
      </c>
      <c r="K217" s="233">
        <f>K218+K219</f>
        <v>0</v>
      </c>
      <c r="L217" s="233">
        <f>L218+L219</f>
        <v>0</v>
      </c>
      <c r="M217" s="233">
        <f t="shared" si="22"/>
        <v>0</v>
      </c>
      <c r="N217" s="233">
        <v>0</v>
      </c>
      <c r="O217" s="233">
        <f>O218+O219</f>
        <v>0</v>
      </c>
      <c r="P217" s="233">
        <f>P218+P219</f>
        <v>0</v>
      </c>
      <c r="Q217" s="233">
        <f>Q218+Q219</f>
        <v>0</v>
      </c>
      <c r="R217" s="233">
        <f t="shared" si="23"/>
        <v>0</v>
      </c>
    </row>
    <row r="218" spans="1:18" s="29" customFormat="1" ht="24" hidden="1" customHeight="1">
      <c r="A218" s="133" t="s">
        <v>117</v>
      </c>
      <c r="B218" s="179" t="s">
        <v>118</v>
      </c>
      <c r="C218" s="171"/>
      <c r="D218" s="171">
        <v>0</v>
      </c>
      <c r="E218" s="233"/>
      <c r="F218" s="233"/>
      <c r="G218" s="233"/>
      <c r="H218" s="233">
        <f t="shared" si="21"/>
        <v>0</v>
      </c>
      <c r="I218" s="233">
        <v>0</v>
      </c>
      <c r="J218" s="233"/>
      <c r="K218" s="233"/>
      <c r="L218" s="233"/>
      <c r="M218" s="233">
        <f t="shared" si="22"/>
        <v>0</v>
      </c>
      <c r="N218" s="233">
        <v>0</v>
      </c>
      <c r="O218" s="233"/>
      <c r="P218" s="233"/>
      <c r="Q218" s="233"/>
      <c r="R218" s="233">
        <f t="shared" si="23"/>
        <v>0</v>
      </c>
    </row>
    <row r="219" spans="1:18" s="29" customFormat="1" ht="24" hidden="1" customHeight="1">
      <c r="A219" s="133">
        <v>7130</v>
      </c>
      <c r="B219" s="179" t="s">
        <v>119</v>
      </c>
      <c r="C219" s="171">
        <v>0</v>
      </c>
      <c r="D219" s="171">
        <v>0</v>
      </c>
      <c r="E219" s="233">
        <f>SUM(E220:E222)</f>
        <v>0</v>
      </c>
      <c r="F219" s="233">
        <f>SUM(F220:F222)</f>
        <v>0</v>
      </c>
      <c r="G219" s="233">
        <f>SUM(G220:G222)</f>
        <v>0</v>
      </c>
      <c r="H219" s="233">
        <f t="shared" si="21"/>
        <v>0</v>
      </c>
      <c r="I219" s="233">
        <v>0</v>
      </c>
      <c r="J219" s="233">
        <f>SUM(J220:J222)</f>
        <v>0</v>
      </c>
      <c r="K219" s="233">
        <f>SUM(K220:K222)</f>
        <v>0</v>
      </c>
      <c r="L219" s="233">
        <f>SUM(L220:L222)</f>
        <v>0</v>
      </c>
      <c r="M219" s="233">
        <f t="shared" si="22"/>
        <v>0</v>
      </c>
      <c r="N219" s="233">
        <v>0</v>
      </c>
      <c r="O219" s="233">
        <f>SUM(O220:O222)</f>
        <v>0</v>
      </c>
      <c r="P219" s="233">
        <f>SUM(P220:P222)</f>
        <v>0</v>
      </c>
      <c r="Q219" s="233">
        <f>SUM(Q220:Q222)</f>
        <v>0</v>
      </c>
      <c r="R219" s="233">
        <f t="shared" si="23"/>
        <v>0</v>
      </c>
    </row>
    <row r="220" spans="1:18" s="29" customFormat="1" ht="36" hidden="1" customHeight="1">
      <c r="A220" s="134">
        <v>7131</v>
      </c>
      <c r="B220" s="179" t="s">
        <v>120</v>
      </c>
      <c r="C220" s="171"/>
      <c r="D220" s="171">
        <v>0</v>
      </c>
      <c r="E220" s="233"/>
      <c r="F220" s="233"/>
      <c r="G220" s="233"/>
      <c r="H220" s="233">
        <f t="shared" si="21"/>
        <v>0</v>
      </c>
      <c r="I220" s="233">
        <v>0</v>
      </c>
      <c r="J220" s="233"/>
      <c r="K220" s="233"/>
      <c r="L220" s="233"/>
      <c r="M220" s="233">
        <f t="shared" si="22"/>
        <v>0</v>
      </c>
      <c r="N220" s="233">
        <v>0</v>
      </c>
      <c r="O220" s="233"/>
      <c r="P220" s="233"/>
      <c r="Q220" s="233"/>
      <c r="R220" s="233">
        <f t="shared" si="23"/>
        <v>0</v>
      </c>
    </row>
    <row r="221" spans="1:18" s="29" customFormat="1" ht="36" hidden="1" customHeight="1">
      <c r="A221" s="134">
        <v>7132</v>
      </c>
      <c r="B221" s="179" t="s">
        <v>121</v>
      </c>
      <c r="C221" s="171"/>
      <c r="D221" s="171">
        <v>0</v>
      </c>
      <c r="E221" s="233"/>
      <c r="F221" s="233"/>
      <c r="G221" s="233"/>
      <c r="H221" s="233">
        <f t="shared" si="21"/>
        <v>0</v>
      </c>
      <c r="I221" s="233">
        <v>0</v>
      </c>
      <c r="J221" s="233"/>
      <c r="K221" s="233"/>
      <c r="L221" s="233"/>
      <c r="M221" s="233">
        <f t="shared" si="22"/>
        <v>0</v>
      </c>
      <c r="N221" s="233">
        <v>0</v>
      </c>
      <c r="O221" s="233"/>
      <c r="P221" s="233"/>
      <c r="Q221" s="233"/>
      <c r="R221" s="233">
        <f t="shared" si="23"/>
        <v>0</v>
      </c>
    </row>
    <row r="222" spans="1:18" s="29" customFormat="1" ht="24" hidden="1" customHeight="1">
      <c r="A222" s="134" t="s">
        <v>186</v>
      </c>
      <c r="B222" s="179" t="s">
        <v>187</v>
      </c>
      <c r="C222" s="171"/>
      <c r="D222" s="171">
        <v>0</v>
      </c>
      <c r="E222" s="233"/>
      <c r="F222" s="233"/>
      <c r="G222" s="233"/>
      <c r="H222" s="233">
        <f t="shared" si="21"/>
        <v>0</v>
      </c>
      <c r="I222" s="233">
        <v>0</v>
      </c>
      <c r="J222" s="233"/>
      <c r="K222" s="233"/>
      <c r="L222" s="233"/>
      <c r="M222" s="233">
        <f t="shared" si="22"/>
        <v>0</v>
      </c>
      <c r="N222" s="233">
        <v>0</v>
      </c>
      <c r="O222" s="233"/>
      <c r="P222" s="233"/>
      <c r="Q222" s="233"/>
      <c r="R222" s="233">
        <f t="shared" si="23"/>
        <v>0</v>
      </c>
    </row>
    <row r="223" spans="1:18" s="29" customFormat="1" ht="24" hidden="1" customHeight="1">
      <c r="A223" s="132">
        <v>7300</v>
      </c>
      <c r="B223" s="172" t="s">
        <v>155</v>
      </c>
      <c r="C223" s="171">
        <v>0</v>
      </c>
      <c r="D223" s="171">
        <v>0</v>
      </c>
      <c r="E223" s="233">
        <f>SUM(E224:E226)</f>
        <v>0</v>
      </c>
      <c r="F223" s="233">
        <f>SUM(F224:F226)</f>
        <v>0</v>
      </c>
      <c r="G223" s="233">
        <f>SUM(G224:G226)</f>
        <v>0</v>
      </c>
      <c r="H223" s="233">
        <f t="shared" si="21"/>
        <v>0</v>
      </c>
      <c r="I223" s="233">
        <v>0</v>
      </c>
      <c r="J223" s="233">
        <f>SUM(J224:J226)</f>
        <v>0</v>
      </c>
      <c r="K223" s="233">
        <f>SUM(K224:K226)</f>
        <v>0</v>
      </c>
      <c r="L223" s="233">
        <f>SUM(L224:L226)</f>
        <v>0</v>
      </c>
      <c r="M223" s="233">
        <f t="shared" si="22"/>
        <v>0</v>
      </c>
      <c r="N223" s="233">
        <v>0</v>
      </c>
      <c r="O223" s="233">
        <f>SUM(O224:O226)</f>
        <v>0</v>
      </c>
      <c r="P223" s="233">
        <f>SUM(P224:P226)</f>
        <v>0</v>
      </c>
      <c r="Q223" s="233">
        <f>SUM(Q224:Q226)</f>
        <v>0</v>
      </c>
      <c r="R223" s="233">
        <f t="shared" si="23"/>
        <v>0</v>
      </c>
    </row>
    <row r="224" spans="1:18" s="29" customFormat="1" ht="24" hidden="1" customHeight="1">
      <c r="A224" s="133" t="s">
        <v>188</v>
      </c>
      <c r="B224" s="179" t="s">
        <v>170</v>
      </c>
      <c r="C224" s="180"/>
      <c r="D224" s="180">
        <v>0</v>
      </c>
      <c r="E224" s="252"/>
      <c r="F224" s="252"/>
      <c r="G224" s="252"/>
      <c r="H224" s="233">
        <f t="shared" si="21"/>
        <v>0</v>
      </c>
      <c r="I224" s="252">
        <v>0</v>
      </c>
      <c r="J224" s="252"/>
      <c r="K224" s="252"/>
      <c r="L224" s="252"/>
      <c r="M224" s="233">
        <f t="shared" si="22"/>
        <v>0</v>
      </c>
      <c r="N224" s="252">
        <v>0</v>
      </c>
      <c r="O224" s="252"/>
      <c r="P224" s="252"/>
      <c r="Q224" s="252"/>
      <c r="R224" s="233">
        <f t="shared" si="23"/>
        <v>0</v>
      </c>
    </row>
    <row r="225" spans="1:18" s="29" customFormat="1" ht="48" hidden="1" customHeight="1">
      <c r="A225" s="133" t="s">
        <v>189</v>
      </c>
      <c r="B225" s="179" t="s">
        <v>156</v>
      </c>
      <c r="C225" s="180"/>
      <c r="D225" s="180">
        <v>0</v>
      </c>
      <c r="E225" s="252"/>
      <c r="F225" s="252"/>
      <c r="G225" s="252"/>
      <c r="H225" s="233">
        <f t="shared" si="21"/>
        <v>0</v>
      </c>
      <c r="I225" s="252">
        <v>0</v>
      </c>
      <c r="J225" s="252"/>
      <c r="K225" s="252"/>
      <c r="L225" s="252"/>
      <c r="M225" s="233">
        <f t="shared" si="22"/>
        <v>0</v>
      </c>
      <c r="N225" s="252">
        <v>0</v>
      </c>
      <c r="O225" s="252"/>
      <c r="P225" s="252"/>
      <c r="Q225" s="252"/>
      <c r="R225" s="233">
        <f t="shared" si="23"/>
        <v>0</v>
      </c>
    </row>
    <row r="226" spans="1:18" s="29" customFormat="1" ht="36" hidden="1" customHeight="1">
      <c r="A226" s="133">
        <v>7350</v>
      </c>
      <c r="B226" s="179" t="s">
        <v>163</v>
      </c>
      <c r="C226" s="180"/>
      <c r="D226" s="180">
        <v>0</v>
      </c>
      <c r="E226" s="252"/>
      <c r="F226" s="252"/>
      <c r="G226" s="252"/>
      <c r="H226" s="233">
        <f t="shared" si="21"/>
        <v>0</v>
      </c>
      <c r="I226" s="252">
        <v>0</v>
      </c>
      <c r="J226" s="252"/>
      <c r="K226" s="252"/>
      <c r="L226" s="252"/>
      <c r="M226" s="233">
        <f t="shared" si="22"/>
        <v>0</v>
      </c>
      <c r="N226" s="252">
        <v>0</v>
      </c>
      <c r="O226" s="252"/>
      <c r="P226" s="252"/>
      <c r="Q226" s="252"/>
      <c r="R226" s="233">
        <f t="shared" si="23"/>
        <v>0</v>
      </c>
    </row>
    <row r="227" spans="1:18" s="29" customFormat="1" ht="24" hidden="1" customHeight="1">
      <c r="A227" s="132">
        <v>7400</v>
      </c>
      <c r="B227" s="172" t="s">
        <v>161</v>
      </c>
      <c r="C227" s="171">
        <v>0</v>
      </c>
      <c r="D227" s="171">
        <v>0</v>
      </c>
      <c r="E227" s="233">
        <f>SUM(E228:E229)</f>
        <v>0</v>
      </c>
      <c r="F227" s="233">
        <f>SUM(F228:F229)</f>
        <v>0</v>
      </c>
      <c r="G227" s="233">
        <f>SUM(G228:G229)</f>
        <v>0</v>
      </c>
      <c r="H227" s="233">
        <f t="shared" si="21"/>
        <v>0</v>
      </c>
      <c r="I227" s="233">
        <v>0</v>
      </c>
      <c r="J227" s="233">
        <f>SUM(J228:J229)</f>
        <v>0</v>
      </c>
      <c r="K227" s="233">
        <f>SUM(K228:K229)</f>
        <v>0</v>
      </c>
      <c r="L227" s="233">
        <f>SUM(L228:L229)</f>
        <v>0</v>
      </c>
      <c r="M227" s="233">
        <f t="shared" si="22"/>
        <v>0</v>
      </c>
      <c r="N227" s="233">
        <v>0</v>
      </c>
      <c r="O227" s="233">
        <f>SUM(O228:O229)</f>
        <v>0</v>
      </c>
      <c r="P227" s="233">
        <f>SUM(P228:P229)</f>
        <v>0</v>
      </c>
      <c r="Q227" s="233">
        <f>SUM(Q228:Q229)</f>
        <v>0</v>
      </c>
      <c r="R227" s="233">
        <f t="shared" si="23"/>
        <v>0</v>
      </c>
    </row>
    <row r="228" spans="1:18" s="29" customFormat="1" ht="24" hidden="1" customHeight="1">
      <c r="A228" s="133">
        <v>7460</v>
      </c>
      <c r="B228" s="172" t="s">
        <v>162</v>
      </c>
      <c r="C228" s="180"/>
      <c r="D228" s="180">
        <v>0</v>
      </c>
      <c r="E228" s="252"/>
      <c r="F228" s="252"/>
      <c r="G228" s="252"/>
      <c r="H228" s="233">
        <f t="shared" si="21"/>
        <v>0</v>
      </c>
      <c r="I228" s="252">
        <v>0</v>
      </c>
      <c r="J228" s="252"/>
      <c r="K228" s="252"/>
      <c r="L228" s="252"/>
      <c r="M228" s="233">
        <f t="shared" si="22"/>
        <v>0</v>
      </c>
      <c r="N228" s="252">
        <v>0</v>
      </c>
      <c r="O228" s="252"/>
      <c r="P228" s="252"/>
      <c r="Q228" s="252"/>
      <c r="R228" s="233">
        <f t="shared" si="23"/>
        <v>0</v>
      </c>
    </row>
    <row r="229" spans="1:18" s="29" customFormat="1" ht="48" hidden="1" customHeight="1">
      <c r="A229" s="133">
        <v>7470</v>
      </c>
      <c r="B229" s="179" t="s">
        <v>167</v>
      </c>
      <c r="C229" s="180"/>
      <c r="D229" s="180">
        <v>0</v>
      </c>
      <c r="E229" s="252"/>
      <c r="F229" s="252"/>
      <c r="G229" s="252"/>
      <c r="H229" s="233">
        <f t="shared" si="21"/>
        <v>0</v>
      </c>
      <c r="I229" s="252">
        <v>0</v>
      </c>
      <c r="J229" s="252"/>
      <c r="K229" s="252"/>
      <c r="L229" s="252"/>
      <c r="M229" s="233">
        <f t="shared" si="22"/>
        <v>0</v>
      </c>
      <c r="N229" s="252">
        <v>0</v>
      </c>
      <c r="O229" s="252"/>
      <c r="P229" s="252"/>
      <c r="Q229" s="252"/>
      <c r="R229" s="233">
        <f t="shared" si="23"/>
        <v>0</v>
      </c>
    </row>
    <row r="230" spans="1:18" s="29" customFormat="1" ht="24" hidden="1" customHeight="1">
      <c r="A230" s="132">
        <v>7500</v>
      </c>
      <c r="B230" s="179" t="s">
        <v>157</v>
      </c>
      <c r="C230" s="171"/>
      <c r="D230" s="171">
        <v>0</v>
      </c>
      <c r="E230" s="233"/>
      <c r="F230" s="233"/>
      <c r="G230" s="233"/>
      <c r="H230" s="233">
        <f t="shared" si="21"/>
        <v>0</v>
      </c>
      <c r="I230" s="233">
        <v>0</v>
      </c>
      <c r="J230" s="233"/>
      <c r="K230" s="233"/>
      <c r="L230" s="233"/>
      <c r="M230" s="233">
        <f t="shared" si="22"/>
        <v>0</v>
      </c>
      <c r="N230" s="233">
        <v>0</v>
      </c>
      <c r="O230" s="233"/>
      <c r="P230" s="233"/>
      <c r="Q230" s="233"/>
      <c r="R230" s="233">
        <f t="shared" si="23"/>
        <v>0</v>
      </c>
    </row>
    <row r="231" spans="1:18" s="29" customFormat="1" ht="12" hidden="1" customHeight="1">
      <c r="A231" s="140" t="s">
        <v>133</v>
      </c>
      <c r="B231" s="124" t="s">
        <v>122</v>
      </c>
      <c r="C231" s="181">
        <v>0</v>
      </c>
      <c r="D231" s="181">
        <v>0</v>
      </c>
      <c r="E231" s="254">
        <f>E232+E233</f>
        <v>0</v>
      </c>
      <c r="F231" s="254">
        <f>F232+F233</f>
        <v>0</v>
      </c>
      <c r="G231" s="254">
        <f>G232+G233</f>
        <v>0</v>
      </c>
      <c r="H231" s="233">
        <f t="shared" si="21"/>
        <v>0</v>
      </c>
      <c r="I231" s="254">
        <v>0</v>
      </c>
      <c r="J231" s="254">
        <f>J232+J233</f>
        <v>0</v>
      </c>
      <c r="K231" s="254">
        <f>K232+K233</f>
        <v>0</v>
      </c>
      <c r="L231" s="254">
        <f>L232+L233</f>
        <v>0</v>
      </c>
      <c r="M231" s="233">
        <f t="shared" si="22"/>
        <v>0</v>
      </c>
      <c r="N231" s="254">
        <v>0</v>
      </c>
      <c r="O231" s="254">
        <f>O232+O233</f>
        <v>0</v>
      </c>
      <c r="P231" s="254">
        <f>P232+P233</f>
        <v>0</v>
      </c>
      <c r="Q231" s="254">
        <f>Q232+Q233</f>
        <v>0</v>
      </c>
      <c r="R231" s="233">
        <f t="shared" si="23"/>
        <v>0</v>
      </c>
    </row>
    <row r="232" spans="1:18" s="29" customFormat="1" ht="12" hidden="1" customHeight="1">
      <c r="A232" s="140">
        <v>5000</v>
      </c>
      <c r="B232" s="124" t="s">
        <v>123</v>
      </c>
      <c r="C232" s="171"/>
      <c r="D232" s="171">
        <v>0</v>
      </c>
      <c r="E232" s="233"/>
      <c r="F232" s="233"/>
      <c r="G232" s="233"/>
      <c r="H232" s="233">
        <f t="shared" si="21"/>
        <v>0</v>
      </c>
      <c r="I232" s="233">
        <v>0</v>
      </c>
      <c r="J232" s="233"/>
      <c r="K232" s="233"/>
      <c r="L232" s="233"/>
      <c r="M232" s="233">
        <f t="shared" si="22"/>
        <v>0</v>
      </c>
      <c r="N232" s="233">
        <v>0</v>
      </c>
      <c r="O232" s="233"/>
      <c r="P232" s="233"/>
      <c r="Q232" s="233"/>
      <c r="R232" s="233">
        <f t="shared" si="23"/>
        <v>0</v>
      </c>
    </row>
    <row r="233" spans="1:18" s="29" customFormat="1" ht="12" hidden="1" customHeight="1">
      <c r="A233" s="140">
        <v>9000</v>
      </c>
      <c r="B233" s="182" t="s">
        <v>164</v>
      </c>
      <c r="C233" s="171">
        <v>0</v>
      </c>
      <c r="D233" s="171">
        <v>0</v>
      </c>
      <c r="E233" s="233">
        <f>E234+E240+E244+E247</f>
        <v>0</v>
      </c>
      <c r="F233" s="233">
        <f>F234+F240+F244+F247</f>
        <v>0</v>
      </c>
      <c r="G233" s="233">
        <f>G234+G240+G244+G247</f>
        <v>0</v>
      </c>
      <c r="H233" s="233">
        <f t="shared" si="21"/>
        <v>0</v>
      </c>
      <c r="I233" s="233">
        <v>0</v>
      </c>
      <c r="J233" s="233">
        <f>J234+J240+J244+J247</f>
        <v>0</v>
      </c>
      <c r="K233" s="233">
        <f>K234+K240+K244+K247</f>
        <v>0</v>
      </c>
      <c r="L233" s="233">
        <f>L234+L240+L244+L247</f>
        <v>0</v>
      </c>
      <c r="M233" s="233">
        <f t="shared" si="22"/>
        <v>0</v>
      </c>
      <c r="N233" s="233">
        <v>0</v>
      </c>
      <c r="O233" s="233">
        <f>O234+O240+O244+O247</f>
        <v>0</v>
      </c>
      <c r="P233" s="233">
        <f>P234+P240+P244+P247</f>
        <v>0</v>
      </c>
      <c r="Q233" s="233">
        <f>Q234+Q240+Q244+Q247</f>
        <v>0</v>
      </c>
      <c r="R233" s="233">
        <f t="shared" si="23"/>
        <v>0</v>
      </c>
    </row>
    <row r="234" spans="1:18" s="29" customFormat="1" ht="12" hidden="1" customHeight="1">
      <c r="A234" s="141">
        <v>9100</v>
      </c>
      <c r="B234" s="179" t="s">
        <v>124</v>
      </c>
      <c r="C234" s="171">
        <v>0</v>
      </c>
      <c r="D234" s="171">
        <v>0</v>
      </c>
      <c r="E234" s="233">
        <f>SUM(E235:E236)</f>
        <v>0</v>
      </c>
      <c r="F234" s="233">
        <f>SUM(F235:F236)</f>
        <v>0</v>
      </c>
      <c r="G234" s="233">
        <f>SUM(G235:G236)</f>
        <v>0</v>
      </c>
      <c r="H234" s="233">
        <f t="shared" si="21"/>
        <v>0</v>
      </c>
      <c r="I234" s="233">
        <v>0</v>
      </c>
      <c r="J234" s="233">
        <f>SUM(J235:J236)</f>
        <v>0</v>
      </c>
      <c r="K234" s="233">
        <f>SUM(K235:K236)</f>
        <v>0</v>
      </c>
      <c r="L234" s="233">
        <f>SUM(L235:L236)</f>
        <v>0</v>
      </c>
      <c r="M234" s="233">
        <f t="shared" si="22"/>
        <v>0</v>
      </c>
      <c r="N234" s="233">
        <v>0</v>
      </c>
      <c r="O234" s="233">
        <f>SUM(O235:O236)</f>
        <v>0</v>
      </c>
      <c r="P234" s="233">
        <f>SUM(P235:P236)</f>
        <v>0</v>
      </c>
      <c r="Q234" s="233">
        <f>SUM(Q235:Q236)</f>
        <v>0</v>
      </c>
      <c r="R234" s="233">
        <f t="shared" si="23"/>
        <v>0</v>
      </c>
    </row>
    <row r="235" spans="1:18" s="29" customFormat="1" ht="24" hidden="1" customHeight="1">
      <c r="A235" s="133" t="s">
        <v>125</v>
      </c>
      <c r="B235" s="179" t="s">
        <v>214</v>
      </c>
      <c r="C235" s="171"/>
      <c r="D235" s="171">
        <v>0</v>
      </c>
      <c r="E235" s="233"/>
      <c r="F235" s="233"/>
      <c r="G235" s="233"/>
      <c r="H235" s="233">
        <f t="shared" si="21"/>
        <v>0</v>
      </c>
      <c r="I235" s="233">
        <v>0</v>
      </c>
      <c r="J235" s="233"/>
      <c r="K235" s="233"/>
      <c r="L235" s="233"/>
      <c r="M235" s="233">
        <f t="shared" si="22"/>
        <v>0</v>
      </c>
      <c r="N235" s="233">
        <v>0</v>
      </c>
      <c r="O235" s="233"/>
      <c r="P235" s="233"/>
      <c r="Q235" s="233"/>
      <c r="R235" s="233">
        <f t="shared" si="23"/>
        <v>0</v>
      </c>
    </row>
    <row r="236" spans="1:18" s="29" customFormat="1" ht="24" hidden="1" customHeight="1">
      <c r="A236" s="133">
        <v>9140</v>
      </c>
      <c r="B236" s="179" t="s">
        <v>215</v>
      </c>
      <c r="C236" s="171">
        <v>0</v>
      </c>
      <c r="D236" s="171">
        <v>0</v>
      </c>
      <c r="E236" s="233">
        <f>SUM(E237:E239)</f>
        <v>0</v>
      </c>
      <c r="F236" s="233">
        <f>SUM(F237:F239)</f>
        <v>0</v>
      </c>
      <c r="G236" s="233">
        <f>SUM(G237:G239)</f>
        <v>0</v>
      </c>
      <c r="H236" s="233">
        <f t="shared" si="21"/>
        <v>0</v>
      </c>
      <c r="I236" s="233">
        <v>0</v>
      </c>
      <c r="J236" s="233">
        <f>SUM(J237:J239)</f>
        <v>0</v>
      </c>
      <c r="K236" s="233">
        <f>SUM(K237:K239)</f>
        <v>0</v>
      </c>
      <c r="L236" s="233">
        <f>SUM(L237:L239)</f>
        <v>0</v>
      </c>
      <c r="M236" s="233">
        <f t="shared" si="22"/>
        <v>0</v>
      </c>
      <c r="N236" s="233">
        <v>0</v>
      </c>
      <c r="O236" s="233">
        <f>SUM(O237:O239)</f>
        <v>0</v>
      </c>
      <c r="P236" s="233">
        <f>SUM(P237:P239)</f>
        <v>0</v>
      </c>
      <c r="Q236" s="233">
        <f>SUM(Q237:Q239)</f>
        <v>0</v>
      </c>
      <c r="R236" s="233">
        <f t="shared" si="23"/>
        <v>0</v>
      </c>
    </row>
    <row r="237" spans="1:18" s="29" customFormat="1" ht="36" hidden="1" customHeight="1">
      <c r="A237" s="134">
        <v>9141</v>
      </c>
      <c r="B237" s="172" t="s">
        <v>190</v>
      </c>
      <c r="C237" s="180"/>
      <c r="D237" s="180">
        <v>0</v>
      </c>
      <c r="E237" s="252"/>
      <c r="F237" s="252"/>
      <c r="G237" s="252"/>
      <c r="H237" s="233">
        <f t="shared" si="21"/>
        <v>0</v>
      </c>
      <c r="I237" s="252">
        <v>0</v>
      </c>
      <c r="J237" s="252"/>
      <c r="K237" s="252"/>
      <c r="L237" s="252"/>
      <c r="M237" s="233">
        <f t="shared" si="22"/>
        <v>0</v>
      </c>
      <c r="N237" s="252">
        <v>0</v>
      </c>
      <c r="O237" s="252"/>
      <c r="P237" s="252"/>
      <c r="Q237" s="252"/>
      <c r="R237" s="233">
        <f t="shared" si="23"/>
        <v>0</v>
      </c>
    </row>
    <row r="238" spans="1:18" s="29" customFormat="1" ht="36" hidden="1" customHeight="1">
      <c r="A238" s="134">
        <v>9142</v>
      </c>
      <c r="B238" s="172" t="s">
        <v>191</v>
      </c>
      <c r="C238" s="180"/>
      <c r="D238" s="180">
        <v>0</v>
      </c>
      <c r="E238" s="252"/>
      <c r="F238" s="252"/>
      <c r="G238" s="252"/>
      <c r="H238" s="233">
        <f t="shared" si="21"/>
        <v>0</v>
      </c>
      <c r="I238" s="252">
        <v>0</v>
      </c>
      <c r="J238" s="252"/>
      <c r="K238" s="252"/>
      <c r="L238" s="252"/>
      <c r="M238" s="233">
        <f t="shared" si="22"/>
        <v>0</v>
      </c>
      <c r="N238" s="252">
        <v>0</v>
      </c>
      <c r="O238" s="252"/>
      <c r="P238" s="252"/>
      <c r="Q238" s="252"/>
      <c r="R238" s="233">
        <f t="shared" si="23"/>
        <v>0</v>
      </c>
    </row>
    <row r="239" spans="1:18" s="29" customFormat="1" ht="24" hidden="1" customHeight="1">
      <c r="A239" s="134">
        <v>9149</v>
      </c>
      <c r="B239" s="172" t="s">
        <v>192</v>
      </c>
      <c r="C239" s="180"/>
      <c r="D239" s="180">
        <v>0</v>
      </c>
      <c r="E239" s="252"/>
      <c r="F239" s="252"/>
      <c r="G239" s="252"/>
      <c r="H239" s="233">
        <f t="shared" si="21"/>
        <v>0</v>
      </c>
      <c r="I239" s="252">
        <v>0</v>
      </c>
      <c r="J239" s="252"/>
      <c r="K239" s="252"/>
      <c r="L239" s="252"/>
      <c r="M239" s="233">
        <f t="shared" si="22"/>
        <v>0</v>
      </c>
      <c r="N239" s="252">
        <v>0</v>
      </c>
      <c r="O239" s="252"/>
      <c r="P239" s="252"/>
      <c r="Q239" s="252"/>
      <c r="R239" s="233">
        <f t="shared" si="23"/>
        <v>0</v>
      </c>
    </row>
    <row r="240" spans="1:18" s="29" customFormat="1" ht="24" hidden="1" customHeight="1">
      <c r="A240" s="141">
        <v>9500</v>
      </c>
      <c r="B240" s="172" t="s">
        <v>165</v>
      </c>
      <c r="C240" s="171">
        <v>0</v>
      </c>
      <c r="D240" s="171">
        <v>0</v>
      </c>
      <c r="E240" s="233">
        <f>SUM(E241:E243)</f>
        <v>0</v>
      </c>
      <c r="F240" s="233">
        <f>SUM(F241:F243)</f>
        <v>0</v>
      </c>
      <c r="G240" s="233">
        <f>SUM(G241:G243)</f>
        <v>0</v>
      </c>
      <c r="H240" s="233">
        <f t="shared" si="21"/>
        <v>0</v>
      </c>
      <c r="I240" s="233">
        <v>0</v>
      </c>
      <c r="J240" s="233">
        <f>SUM(J241:J243)</f>
        <v>0</v>
      </c>
      <c r="K240" s="233">
        <f>SUM(K241:K243)</f>
        <v>0</v>
      </c>
      <c r="L240" s="233">
        <f>SUM(L241:L243)</f>
        <v>0</v>
      </c>
      <c r="M240" s="233">
        <f t="shared" si="22"/>
        <v>0</v>
      </c>
      <c r="N240" s="233">
        <v>0</v>
      </c>
      <c r="O240" s="233">
        <f>SUM(O241:O243)</f>
        <v>0</v>
      </c>
      <c r="P240" s="233">
        <f>SUM(P241:P243)</f>
        <v>0</v>
      </c>
      <c r="Q240" s="233">
        <f>SUM(Q241:Q243)</f>
        <v>0</v>
      </c>
      <c r="R240" s="233">
        <f t="shared" si="23"/>
        <v>0</v>
      </c>
    </row>
    <row r="241" spans="1:18" s="29" customFormat="1" ht="24" hidden="1" customHeight="1">
      <c r="A241" s="133" t="s">
        <v>193</v>
      </c>
      <c r="B241" s="172" t="s">
        <v>171</v>
      </c>
      <c r="C241" s="171"/>
      <c r="D241" s="171">
        <v>0</v>
      </c>
      <c r="E241" s="233"/>
      <c r="F241" s="233"/>
      <c r="G241" s="233"/>
      <c r="H241" s="233">
        <f t="shared" si="21"/>
        <v>0</v>
      </c>
      <c r="I241" s="233">
        <v>0</v>
      </c>
      <c r="J241" s="233"/>
      <c r="K241" s="233"/>
      <c r="L241" s="233"/>
      <c r="M241" s="233">
        <f t="shared" si="22"/>
        <v>0</v>
      </c>
      <c r="N241" s="233">
        <v>0</v>
      </c>
      <c r="O241" s="233"/>
      <c r="P241" s="233"/>
      <c r="Q241" s="233"/>
      <c r="R241" s="233">
        <f t="shared" si="23"/>
        <v>0</v>
      </c>
    </row>
    <row r="242" spans="1:18" s="29" customFormat="1" ht="48" hidden="1" customHeight="1">
      <c r="A242" s="133">
        <v>9580</v>
      </c>
      <c r="B242" s="172" t="s">
        <v>166</v>
      </c>
      <c r="C242" s="180"/>
      <c r="D242" s="180">
        <v>0</v>
      </c>
      <c r="E242" s="252"/>
      <c r="F242" s="252"/>
      <c r="G242" s="252"/>
      <c r="H242" s="233">
        <f t="shared" si="21"/>
        <v>0</v>
      </c>
      <c r="I242" s="252">
        <v>0</v>
      </c>
      <c r="J242" s="252"/>
      <c r="K242" s="252"/>
      <c r="L242" s="252"/>
      <c r="M242" s="233">
        <f t="shared" si="22"/>
        <v>0</v>
      </c>
      <c r="N242" s="252">
        <v>0</v>
      </c>
      <c r="O242" s="252"/>
      <c r="P242" s="252"/>
      <c r="Q242" s="252"/>
      <c r="R242" s="233">
        <f t="shared" si="23"/>
        <v>0</v>
      </c>
    </row>
    <row r="243" spans="1:18" s="29" customFormat="1" ht="48" hidden="1" customHeight="1">
      <c r="A243" s="133">
        <v>9590</v>
      </c>
      <c r="B243" s="179" t="s">
        <v>172</v>
      </c>
      <c r="C243" s="180"/>
      <c r="D243" s="180">
        <v>0</v>
      </c>
      <c r="E243" s="252"/>
      <c r="F243" s="252"/>
      <c r="G243" s="252"/>
      <c r="H243" s="233">
        <f t="shared" si="21"/>
        <v>0</v>
      </c>
      <c r="I243" s="252">
        <v>0</v>
      </c>
      <c r="J243" s="252"/>
      <c r="K243" s="252"/>
      <c r="L243" s="252"/>
      <c r="M243" s="233">
        <f t="shared" si="22"/>
        <v>0</v>
      </c>
      <c r="N243" s="252">
        <v>0</v>
      </c>
      <c r="O243" s="252"/>
      <c r="P243" s="252"/>
      <c r="Q243" s="252"/>
      <c r="R243" s="233">
        <f t="shared" si="23"/>
        <v>0</v>
      </c>
    </row>
    <row r="244" spans="1:18" s="29" customFormat="1" ht="24" hidden="1" customHeight="1">
      <c r="A244" s="141">
        <v>9700</v>
      </c>
      <c r="B244" s="183" t="s">
        <v>194</v>
      </c>
      <c r="C244" s="171">
        <v>0</v>
      </c>
      <c r="D244" s="171">
        <v>0</v>
      </c>
      <c r="E244" s="233">
        <f>SUM(E245:E246)</f>
        <v>0</v>
      </c>
      <c r="F244" s="233">
        <f>SUM(F245:F246)</f>
        <v>0</v>
      </c>
      <c r="G244" s="233">
        <f>SUM(G245:G246)</f>
        <v>0</v>
      </c>
      <c r="H244" s="233">
        <f t="shared" si="21"/>
        <v>0</v>
      </c>
      <c r="I244" s="233">
        <v>0</v>
      </c>
      <c r="J244" s="233">
        <f>SUM(J245:J246)</f>
        <v>0</v>
      </c>
      <c r="K244" s="233">
        <f>SUM(K245:K246)</f>
        <v>0</v>
      </c>
      <c r="L244" s="233">
        <f>SUM(L245:L246)</f>
        <v>0</v>
      </c>
      <c r="M244" s="233">
        <f t="shared" si="22"/>
        <v>0</v>
      </c>
      <c r="N244" s="233">
        <v>0</v>
      </c>
      <c r="O244" s="233">
        <f>SUM(O245:O246)</f>
        <v>0</v>
      </c>
      <c r="P244" s="233">
        <f>SUM(P245:P246)</f>
        <v>0</v>
      </c>
      <c r="Q244" s="233">
        <f>SUM(Q245:Q246)</f>
        <v>0</v>
      </c>
      <c r="R244" s="233">
        <f t="shared" si="23"/>
        <v>0</v>
      </c>
    </row>
    <row r="245" spans="1:18" s="29" customFormat="1" ht="24" hidden="1" customHeight="1">
      <c r="A245" s="133">
        <v>9710</v>
      </c>
      <c r="B245" s="184" t="s">
        <v>195</v>
      </c>
      <c r="C245" s="180"/>
      <c r="D245" s="180">
        <v>0</v>
      </c>
      <c r="E245" s="252"/>
      <c r="F245" s="252"/>
      <c r="G245" s="252"/>
      <c r="H245" s="233">
        <f t="shared" si="21"/>
        <v>0</v>
      </c>
      <c r="I245" s="252">
        <v>0</v>
      </c>
      <c r="J245" s="252"/>
      <c r="K245" s="252"/>
      <c r="L245" s="252"/>
      <c r="M245" s="233">
        <f t="shared" si="22"/>
        <v>0</v>
      </c>
      <c r="N245" s="252">
        <v>0</v>
      </c>
      <c r="O245" s="252"/>
      <c r="P245" s="252"/>
      <c r="Q245" s="252"/>
      <c r="R245" s="233">
        <f t="shared" si="23"/>
        <v>0</v>
      </c>
    </row>
    <row r="246" spans="1:18" s="29" customFormat="1" ht="36" hidden="1" customHeight="1">
      <c r="A246" s="142">
        <v>9720</v>
      </c>
      <c r="B246" s="183" t="s">
        <v>196</v>
      </c>
      <c r="C246" s="180"/>
      <c r="D246" s="180">
        <v>0</v>
      </c>
      <c r="E246" s="252"/>
      <c r="F246" s="252"/>
      <c r="G246" s="252"/>
      <c r="H246" s="233">
        <f t="shared" si="21"/>
        <v>0</v>
      </c>
      <c r="I246" s="252">
        <v>0</v>
      </c>
      <c r="J246" s="252"/>
      <c r="K246" s="252"/>
      <c r="L246" s="252"/>
      <c r="M246" s="233">
        <f t="shared" si="22"/>
        <v>0</v>
      </c>
      <c r="N246" s="252">
        <v>0</v>
      </c>
      <c r="O246" s="252"/>
      <c r="P246" s="252"/>
      <c r="Q246" s="252"/>
      <c r="R246" s="233">
        <f t="shared" si="23"/>
        <v>0</v>
      </c>
    </row>
    <row r="247" spans="1:18" s="29" customFormat="1" ht="24" hidden="1" customHeight="1">
      <c r="A247" s="141">
        <v>9600</v>
      </c>
      <c r="B247" s="179" t="s">
        <v>134</v>
      </c>
      <c r="C247" s="180"/>
      <c r="D247" s="180">
        <v>0</v>
      </c>
      <c r="E247" s="252"/>
      <c r="F247" s="252"/>
      <c r="G247" s="252"/>
      <c r="H247" s="233">
        <f t="shared" si="21"/>
        <v>0</v>
      </c>
      <c r="I247" s="252">
        <v>0</v>
      </c>
      <c r="J247" s="252"/>
      <c r="K247" s="252"/>
      <c r="L247" s="252"/>
      <c r="M247" s="233">
        <f t="shared" si="22"/>
        <v>0</v>
      </c>
      <c r="N247" s="252">
        <v>0</v>
      </c>
      <c r="O247" s="252"/>
      <c r="P247" s="252"/>
      <c r="Q247" s="252"/>
      <c r="R247" s="233">
        <f t="shared" si="23"/>
        <v>0</v>
      </c>
    </row>
    <row r="248" spans="1:18" s="29" customFormat="1" ht="52.5" hidden="1" customHeight="1">
      <c r="A248" s="130" t="s">
        <v>197</v>
      </c>
      <c r="B248" s="185" t="s">
        <v>47</v>
      </c>
      <c r="C248" s="186"/>
      <c r="D248" s="186">
        <v>0</v>
      </c>
      <c r="E248" s="262">
        <f>E178-E203</f>
        <v>0</v>
      </c>
      <c r="F248" s="262">
        <f>F178-F203</f>
        <v>0</v>
      </c>
      <c r="G248" s="262">
        <f>G178-G203</f>
        <v>0</v>
      </c>
      <c r="H248" s="233">
        <f t="shared" si="21"/>
        <v>0</v>
      </c>
      <c r="I248" s="262">
        <v>0</v>
      </c>
      <c r="J248" s="262">
        <f>J178-J203</f>
        <v>0</v>
      </c>
      <c r="K248" s="262">
        <f>K178-K203</f>
        <v>0</v>
      </c>
      <c r="L248" s="262">
        <f>L178-L203</f>
        <v>0</v>
      </c>
      <c r="M248" s="233">
        <f t="shared" si="22"/>
        <v>0</v>
      </c>
      <c r="N248" s="262">
        <v>0</v>
      </c>
      <c r="O248" s="262">
        <f>O178-O203</f>
        <v>0</v>
      </c>
      <c r="P248" s="262">
        <f>P178-P203</f>
        <v>0</v>
      </c>
      <c r="Q248" s="262">
        <f>Q178-Q203</f>
        <v>0</v>
      </c>
      <c r="R248" s="233">
        <f t="shared" si="23"/>
        <v>0</v>
      </c>
    </row>
    <row r="249" spans="1:18" s="29" customFormat="1" ht="12" hidden="1" customHeight="1">
      <c r="A249" s="143" t="s">
        <v>48</v>
      </c>
      <c r="B249" s="185" t="s">
        <v>49</v>
      </c>
      <c r="C249" s="186">
        <v>0</v>
      </c>
      <c r="D249" s="186">
        <v>0</v>
      </c>
      <c r="E249" s="262">
        <f>E250+E253+E257+E256</f>
        <v>0</v>
      </c>
      <c r="F249" s="262">
        <f>F250+F253+F257+F256</f>
        <v>0</v>
      </c>
      <c r="G249" s="262">
        <f>G250+G253+G257+G256</f>
        <v>0</v>
      </c>
      <c r="H249" s="233">
        <f t="shared" si="21"/>
        <v>0</v>
      </c>
      <c r="I249" s="262">
        <v>0</v>
      </c>
      <c r="J249" s="262">
        <f>J250+J253+J257+J256</f>
        <v>0</v>
      </c>
      <c r="K249" s="262">
        <f>K250+K253+K257+K256</f>
        <v>0</v>
      </c>
      <c r="L249" s="262">
        <f>L250+L253+L257+L256</f>
        <v>0</v>
      </c>
      <c r="M249" s="233">
        <f t="shared" si="22"/>
        <v>0</v>
      </c>
      <c r="N249" s="262">
        <v>0</v>
      </c>
      <c r="O249" s="262">
        <f>O250+O253+O257+O256</f>
        <v>0</v>
      </c>
      <c r="P249" s="262">
        <f>P250+P253+P257+P256</f>
        <v>0</v>
      </c>
      <c r="Q249" s="262">
        <f>Q250+Q253+Q257+Q256</f>
        <v>0</v>
      </c>
      <c r="R249" s="233">
        <f t="shared" si="23"/>
        <v>0</v>
      </c>
    </row>
    <row r="250" spans="1:18" s="29" customFormat="1" ht="12" hidden="1" customHeight="1">
      <c r="A250" s="141" t="s">
        <v>50</v>
      </c>
      <c r="B250" s="179" t="s">
        <v>51</v>
      </c>
      <c r="C250" s="169">
        <v>0</v>
      </c>
      <c r="D250" s="169">
        <v>0</v>
      </c>
      <c r="E250" s="231">
        <f>E251+E252</f>
        <v>0</v>
      </c>
      <c r="F250" s="231">
        <f>F251+F252</f>
        <v>0</v>
      </c>
      <c r="G250" s="231">
        <f>G251+G252</f>
        <v>0</v>
      </c>
      <c r="H250" s="233">
        <f t="shared" si="21"/>
        <v>0</v>
      </c>
      <c r="I250" s="231">
        <v>0</v>
      </c>
      <c r="J250" s="231">
        <f>J251+J252</f>
        <v>0</v>
      </c>
      <c r="K250" s="231">
        <f>K251+K252</f>
        <v>0</v>
      </c>
      <c r="L250" s="231">
        <f>L251+L252</f>
        <v>0</v>
      </c>
      <c r="M250" s="233">
        <f t="shared" si="22"/>
        <v>0</v>
      </c>
      <c r="N250" s="231">
        <v>0</v>
      </c>
      <c r="O250" s="231">
        <f>O251+O252</f>
        <v>0</v>
      </c>
      <c r="P250" s="231">
        <f>P251+P252</f>
        <v>0</v>
      </c>
      <c r="Q250" s="231">
        <f>Q251+Q252</f>
        <v>0</v>
      </c>
      <c r="R250" s="233">
        <f t="shared" si="23"/>
        <v>0</v>
      </c>
    </row>
    <row r="251" spans="1:18" s="29" customFormat="1" ht="12" hidden="1" customHeight="1">
      <c r="A251" s="141" t="s">
        <v>52</v>
      </c>
      <c r="B251" s="179" t="s">
        <v>53</v>
      </c>
      <c r="C251" s="169"/>
      <c r="D251" s="169">
        <v>0</v>
      </c>
      <c r="E251" s="231"/>
      <c r="F251" s="231"/>
      <c r="G251" s="231"/>
      <c r="H251" s="233">
        <f t="shared" si="21"/>
        <v>0</v>
      </c>
      <c r="I251" s="231">
        <v>0</v>
      </c>
      <c r="J251" s="231"/>
      <c r="K251" s="231"/>
      <c r="L251" s="231"/>
      <c r="M251" s="233">
        <f t="shared" si="22"/>
        <v>0</v>
      </c>
      <c r="N251" s="231">
        <v>0</v>
      </c>
      <c r="O251" s="231"/>
      <c r="P251" s="231"/>
      <c r="Q251" s="231"/>
      <c r="R251" s="233">
        <f t="shared" si="23"/>
        <v>0</v>
      </c>
    </row>
    <row r="252" spans="1:18" s="29" customFormat="1" ht="12" hidden="1" customHeight="1">
      <c r="A252" s="141" t="s">
        <v>54</v>
      </c>
      <c r="B252" s="179" t="s">
        <v>55</v>
      </c>
      <c r="C252" s="169"/>
      <c r="D252" s="169">
        <v>0</v>
      </c>
      <c r="E252" s="231"/>
      <c r="F252" s="231"/>
      <c r="G252" s="231"/>
      <c r="H252" s="233">
        <f t="shared" si="21"/>
        <v>0</v>
      </c>
      <c r="I252" s="231">
        <v>0</v>
      </c>
      <c r="J252" s="231"/>
      <c r="K252" s="231"/>
      <c r="L252" s="231"/>
      <c r="M252" s="233">
        <f t="shared" si="22"/>
        <v>0</v>
      </c>
      <c r="N252" s="231">
        <v>0</v>
      </c>
      <c r="O252" s="231"/>
      <c r="P252" s="231"/>
      <c r="Q252" s="231"/>
      <c r="R252" s="233">
        <f t="shared" si="23"/>
        <v>0</v>
      </c>
    </row>
    <row r="253" spans="1:18" s="29" customFormat="1" ht="12" hidden="1" customHeight="1">
      <c r="A253" s="141" t="s">
        <v>56</v>
      </c>
      <c r="B253" s="179" t="s">
        <v>57</v>
      </c>
      <c r="C253" s="169">
        <v>0</v>
      </c>
      <c r="D253" s="169">
        <v>0</v>
      </c>
      <c r="E253" s="231">
        <f>E254+E255</f>
        <v>0</v>
      </c>
      <c r="F253" s="231">
        <f>F254+F255</f>
        <v>0</v>
      </c>
      <c r="G253" s="231">
        <f>G254+G255</f>
        <v>0</v>
      </c>
      <c r="H253" s="233">
        <f t="shared" si="21"/>
        <v>0</v>
      </c>
      <c r="I253" s="231">
        <v>0</v>
      </c>
      <c r="J253" s="231">
        <f>J254+J255</f>
        <v>0</v>
      </c>
      <c r="K253" s="231">
        <f>K254+K255</f>
        <v>0</v>
      </c>
      <c r="L253" s="231">
        <f>L254+L255</f>
        <v>0</v>
      </c>
      <c r="M253" s="233">
        <f t="shared" si="22"/>
        <v>0</v>
      </c>
      <c r="N253" s="231">
        <v>0</v>
      </c>
      <c r="O253" s="231">
        <f>O254+O255</f>
        <v>0</v>
      </c>
      <c r="P253" s="231">
        <f>P254+P255</f>
        <v>0</v>
      </c>
      <c r="Q253" s="231">
        <f>Q254+Q255</f>
        <v>0</v>
      </c>
      <c r="R253" s="233">
        <f t="shared" si="23"/>
        <v>0</v>
      </c>
    </row>
    <row r="254" spans="1:18" s="29" customFormat="1" ht="12" hidden="1" customHeight="1">
      <c r="A254" s="141" t="s">
        <v>58</v>
      </c>
      <c r="B254" s="179" t="s">
        <v>59</v>
      </c>
      <c r="C254" s="169"/>
      <c r="D254" s="169">
        <v>0</v>
      </c>
      <c r="E254" s="231"/>
      <c r="F254" s="231"/>
      <c r="G254" s="231"/>
      <c r="H254" s="233">
        <f t="shared" si="21"/>
        <v>0</v>
      </c>
      <c r="I254" s="231">
        <v>0</v>
      </c>
      <c r="J254" s="231"/>
      <c r="K254" s="231"/>
      <c r="L254" s="231"/>
      <c r="M254" s="233">
        <f t="shared" si="22"/>
        <v>0</v>
      </c>
      <c r="N254" s="231">
        <v>0</v>
      </c>
      <c r="O254" s="231"/>
      <c r="P254" s="231"/>
      <c r="Q254" s="231"/>
      <c r="R254" s="233">
        <f t="shared" si="23"/>
        <v>0</v>
      </c>
    </row>
    <row r="255" spans="1:18" s="29" customFormat="1" ht="12" hidden="1" customHeight="1">
      <c r="A255" s="141" t="s">
        <v>60</v>
      </c>
      <c r="B255" s="179" t="s">
        <v>61</v>
      </c>
      <c r="C255" s="169"/>
      <c r="D255" s="169">
        <v>0</v>
      </c>
      <c r="E255" s="231"/>
      <c r="F255" s="231"/>
      <c r="G255" s="231"/>
      <c r="H255" s="233">
        <f t="shared" si="21"/>
        <v>0</v>
      </c>
      <c r="I255" s="231">
        <v>0</v>
      </c>
      <c r="J255" s="231"/>
      <c r="K255" s="231"/>
      <c r="L255" s="231"/>
      <c r="M255" s="233">
        <f t="shared" si="22"/>
        <v>0</v>
      </c>
      <c r="N255" s="231">
        <v>0</v>
      </c>
      <c r="O255" s="231"/>
      <c r="P255" s="231"/>
      <c r="Q255" s="231"/>
      <c r="R255" s="233">
        <f t="shared" si="23"/>
        <v>0</v>
      </c>
    </row>
    <row r="256" spans="1:18" s="29" customFormat="1" ht="12" hidden="1" customHeight="1">
      <c r="A256" s="141" t="s">
        <v>198</v>
      </c>
      <c r="B256" s="187" t="s">
        <v>168</v>
      </c>
      <c r="C256" s="169"/>
      <c r="D256" s="169">
        <v>0</v>
      </c>
      <c r="E256" s="231"/>
      <c r="F256" s="231"/>
      <c r="G256" s="231"/>
      <c r="H256" s="233">
        <f t="shared" si="21"/>
        <v>0</v>
      </c>
      <c r="I256" s="231">
        <v>0</v>
      </c>
      <c r="J256" s="231"/>
      <c r="K256" s="231"/>
      <c r="L256" s="231"/>
      <c r="M256" s="233">
        <f t="shared" si="22"/>
        <v>0</v>
      </c>
      <c r="N256" s="231">
        <v>0</v>
      </c>
      <c r="O256" s="231"/>
      <c r="P256" s="231"/>
      <c r="Q256" s="231"/>
      <c r="R256" s="233">
        <f t="shared" si="23"/>
        <v>0</v>
      </c>
    </row>
    <row r="257" spans="1:18" s="29" customFormat="1" ht="12" hidden="1" customHeight="1">
      <c r="A257" s="144" t="s">
        <v>62</v>
      </c>
      <c r="B257" s="125" t="s">
        <v>63</v>
      </c>
      <c r="C257" s="171">
        <v>0</v>
      </c>
      <c r="D257" s="171">
        <v>0</v>
      </c>
      <c r="E257" s="233">
        <f>E258+E259+E260</f>
        <v>0</v>
      </c>
      <c r="F257" s="233">
        <f>F258+F259+F260</f>
        <v>0</v>
      </c>
      <c r="G257" s="233">
        <f>G258+G259+G260</f>
        <v>0</v>
      </c>
      <c r="H257" s="233">
        <f t="shared" si="21"/>
        <v>0</v>
      </c>
      <c r="I257" s="233">
        <v>0</v>
      </c>
      <c r="J257" s="233">
        <f>J258+J259+J260</f>
        <v>0</v>
      </c>
      <c r="K257" s="233">
        <f>K258+K259+K260</f>
        <v>0</v>
      </c>
      <c r="L257" s="233">
        <f>L258+L259+L260</f>
        <v>0</v>
      </c>
      <c r="M257" s="233">
        <f t="shared" si="22"/>
        <v>0</v>
      </c>
      <c r="N257" s="233">
        <v>0</v>
      </c>
      <c r="O257" s="233">
        <f>O258+O259+O260</f>
        <v>0</v>
      </c>
      <c r="P257" s="233">
        <f>P258+P259+P260</f>
        <v>0</v>
      </c>
      <c r="Q257" s="233">
        <f>Q258+Q259+Q260</f>
        <v>0</v>
      </c>
      <c r="R257" s="233">
        <f t="shared" si="23"/>
        <v>0</v>
      </c>
    </row>
    <row r="258" spans="1:18" s="29" customFormat="1" ht="36" hidden="1" customHeight="1">
      <c r="A258" s="144" t="s">
        <v>64</v>
      </c>
      <c r="B258" s="179" t="s">
        <v>65</v>
      </c>
      <c r="C258" s="169"/>
      <c r="D258" s="169">
        <v>0</v>
      </c>
      <c r="E258" s="231"/>
      <c r="F258" s="231"/>
      <c r="G258" s="231"/>
      <c r="H258" s="233">
        <f t="shared" si="21"/>
        <v>0</v>
      </c>
      <c r="I258" s="231">
        <v>0</v>
      </c>
      <c r="J258" s="231"/>
      <c r="K258" s="231"/>
      <c r="L258" s="231"/>
      <c r="M258" s="233">
        <f t="shared" si="22"/>
        <v>0</v>
      </c>
      <c r="N258" s="231">
        <v>0</v>
      </c>
      <c r="O258" s="231"/>
      <c r="P258" s="231"/>
      <c r="Q258" s="231"/>
      <c r="R258" s="233">
        <f t="shared" si="23"/>
        <v>0</v>
      </c>
    </row>
    <row r="259" spans="1:18" s="29" customFormat="1" ht="24" hidden="1" customHeight="1">
      <c r="A259" s="144" t="s">
        <v>66</v>
      </c>
      <c r="B259" s="179" t="s">
        <v>67</v>
      </c>
      <c r="C259" s="169"/>
      <c r="D259" s="169">
        <v>0</v>
      </c>
      <c r="E259" s="231"/>
      <c r="F259" s="231"/>
      <c r="G259" s="231"/>
      <c r="H259" s="233">
        <f t="shared" si="21"/>
        <v>0</v>
      </c>
      <c r="I259" s="231">
        <v>0</v>
      </c>
      <c r="J259" s="231"/>
      <c r="K259" s="231"/>
      <c r="L259" s="231"/>
      <c r="M259" s="233">
        <f t="shared" si="22"/>
        <v>0</v>
      </c>
      <c r="N259" s="231">
        <v>0</v>
      </c>
      <c r="O259" s="231"/>
      <c r="P259" s="231"/>
      <c r="Q259" s="231"/>
      <c r="R259" s="233">
        <f t="shared" si="23"/>
        <v>0</v>
      </c>
    </row>
    <row r="260" spans="1:18" s="29" customFormat="1" ht="24" hidden="1" customHeight="1">
      <c r="A260" s="144" t="s">
        <v>68</v>
      </c>
      <c r="B260" s="125" t="s">
        <v>69</v>
      </c>
      <c r="C260" s="98"/>
      <c r="D260" s="169">
        <v>0</v>
      </c>
      <c r="E260" s="231"/>
      <c r="F260" s="231"/>
      <c r="G260" s="231"/>
      <c r="H260" s="232">
        <f t="shared" si="21"/>
        <v>0</v>
      </c>
      <c r="I260" s="231">
        <v>0</v>
      </c>
      <c r="J260" s="231"/>
      <c r="K260" s="231"/>
      <c r="L260" s="231"/>
      <c r="M260" s="232">
        <f t="shared" si="22"/>
        <v>0</v>
      </c>
      <c r="N260" s="231">
        <v>0</v>
      </c>
      <c r="O260" s="231"/>
      <c r="P260" s="231"/>
      <c r="Q260" s="231"/>
      <c r="R260" s="232">
        <f t="shared" si="23"/>
        <v>0</v>
      </c>
    </row>
    <row r="261" spans="1:18" s="29" customFormat="1" ht="12">
      <c r="A261" s="271"/>
      <c r="B261" s="272"/>
      <c r="C261" s="253"/>
      <c r="D261" s="254"/>
      <c r="E261" s="253"/>
      <c r="F261" s="253"/>
      <c r="G261" s="253"/>
      <c r="H261" s="232"/>
      <c r="I261" s="254"/>
      <c r="J261" s="253"/>
      <c r="K261" s="253"/>
      <c r="L261" s="253"/>
      <c r="M261" s="232"/>
      <c r="N261" s="254"/>
      <c r="O261" s="253"/>
      <c r="P261" s="253"/>
      <c r="Q261" s="253"/>
      <c r="R261" s="232"/>
    </row>
    <row r="262" spans="1:18" ht="12">
      <c r="A262" s="33"/>
      <c r="B262" s="164"/>
      <c r="C262" s="165"/>
      <c r="D262" s="163"/>
      <c r="E262" s="165"/>
      <c r="F262" s="165"/>
      <c r="G262" s="165"/>
      <c r="H262" s="165"/>
      <c r="I262" s="165"/>
      <c r="J262" s="165"/>
      <c r="K262" s="165"/>
      <c r="L262" s="165"/>
      <c r="M262" s="163"/>
      <c r="N262" s="163"/>
      <c r="O262" s="165"/>
      <c r="P262" s="163"/>
      <c r="Q262" s="163"/>
      <c r="R262" s="163"/>
    </row>
    <row r="263" spans="1:18" ht="12">
      <c r="A263" s="33"/>
      <c r="B263" s="164"/>
      <c r="C263" s="165"/>
      <c r="D263" s="163"/>
      <c r="E263" s="165"/>
      <c r="F263" s="165"/>
      <c r="G263" s="165"/>
      <c r="H263" s="165"/>
      <c r="I263" s="165"/>
      <c r="J263" s="165"/>
      <c r="K263" s="165"/>
      <c r="L263" s="165"/>
      <c r="M263" s="163"/>
      <c r="N263" s="163"/>
      <c r="O263" s="165"/>
      <c r="P263" s="163"/>
      <c r="Q263" s="163"/>
      <c r="R263" s="163"/>
    </row>
    <row r="264" spans="1:18" ht="13.2">
      <c r="A264" s="369" t="s">
        <v>236</v>
      </c>
      <c r="B264" s="370" t="s">
        <v>237</v>
      </c>
      <c r="C264" s="165"/>
      <c r="D264" s="163"/>
      <c r="E264" s="165"/>
      <c r="F264" s="165"/>
      <c r="G264" s="165"/>
      <c r="H264" s="165"/>
      <c r="I264" s="165"/>
      <c r="J264" s="165"/>
      <c r="K264" s="165"/>
      <c r="L264" s="165"/>
      <c r="M264" s="163"/>
      <c r="N264" s="163"/>
      <c r="O264" s="165"/>
      <c r="P264" s="163"/>
      <c r="Q264" s="163"/>
      <c r="R264" s="163"/>
    </row>
    <row r="265" spans="1:18" ht="13.2">
      <c r="A265" s="371"/>
      <c r="B265" s="372" t="s">
        <v>238</v>
      </c>
      <c r="C265" s="165"/>
      <c r="D265" s="163"/>
      <c r="E265" s="165"/>
      <c r="F265" s="165"/>
      <c r="G265" s="165"/>
      <c r="H265" s="165"/>
      <c r="I265" s="165"/>
      <c r="J265" s="165"/>
      <c r="K265" s="165"/>
      <c r="L265" s="165"/>
      <c r="M265" s="163"/>
      <c r="N265" s="163"/>
      <c r="O265" s="165"/>
      <c r="P265" s="163"/>
      <c r="Q265" s="163"/>
      <c r="R265" s="163"/>
    </row>
    <row r="266" spans="1:18" ht="13.2">
      <c r="A266" s="373" t="s">
        <v>223</v>
      </c>
      <c r="B266" s="374" t="s">
        <v>434</v>
      </c>
      <c r="C266" s="165"/>
      <c r="D266" s="163"/>
      <c r="E266" s="165"/>
      <c r="F266" s="165"/>
      <c r="G266" s="165"/>
      <c r="H266" s="165"/>
      <c r="I266" s="165"/>
      <c r="J266" s="165"/>
      <c r="K266" s="165"/>
      <c r="L266" s="165"/>
      <c r="M266" s="163"/>
      <c r="N266" s="163"/>
      <c r="O266" s="165"/>
      <c r="P266" s="163"/>
      <c r="Q266" s="163"/>
      <c r="R266" s="163"/>
    </row>
    <row r="267" spans="1:18" ht="13.2">
      <c r="A267" s="375" t="s">
        <v>240</v>
      </c>
      <c r="B267" s="376" t="s">
        <v>241</v>
      </c>
      <c r="C267" s="165"/>
      <c r="D267" s="163"/>
      <c r="E267" s="165"/>
      <c r="F267" s="165"/>
      <c r="G267" s="165"/>
      <c r="H267" s="165"/>
      <c r="I267" s="165"/>
      <c r="J267" s="165"/>
      <c r="K267" s="165"/>
      <c r="L267" s="165"/>
      <c r="M267" s="163"/>
      <c r="N267" s="163"/>
      <c r="O267" s="165"/>
      <c r="P267" s="163"/>
      <c r="Q267" s="163"/>
      <c r="R267" s="163"/>
    </row>
    <row r="268" spans="1:18" ht="13.2">
      <c r="A268" s="377"/>
      <c r="B268" s="376"/>
      <c r="C268" s="165"/>
      <c r="D268" s="163"/>
      <c r="E268" s="165"/>
      <c r="F268" s="165"/>
      <c r="G268" s="165"/>
      <c r="H268" s="165"/>
      <c r="I268" s="165"/>
      <c r="J268" s="165"/>
      <c r="K268" s="165"/>
      <c r="L268" s="165"/>
      <c r="M268" s="163"/>
      <c r="N268" s="163"/>
      <c r="O268" s="165"/>
      <c r="P268" s="163"/>
      <c r="Q268" s="163"/>
      <c r="R268" s="163"/>
    </row>
    <row r="269" spans="1:18" ht="13.2">
      <c r="A269" s="378" t="s">
        <v>224</v>
      </c>
      <c r="B269" s="374" t="s">
        <v>242</v>
      </c>
      <c r="C269" s="165"/>
      <c r="D269" s="163"/>
      <c r="E269" s="165"/>
      <c r="F269" s="165"/>
      <c r="G269" s="165"/>
      <c r="H269" s="165"/>
      <c r="I269" s="165"/>
      <c r="J269" s="165"/>
      <c r="K269" s="165"/>
      <c r="L269" s="165"/>
      <c r="M269" s="163"/>
      <c r="N269" s="163"/>
      <c r="O269" s="165"/>
      <c r="P269" s="163"/>
      <c r="Q269" s="163"/>
      <c r="R269" s="163"/>
    </row>
    <row r="270" spans="1:18" ht="39.6">
      <c r="A270" s="375" t="s">
        <v>243</v>
      </c>
      <c r="B270" s="376" t="s">
        <v>896</v>
      </c>
      <c r="C270" s="165"/>
      <c r="D270" s="163"/>
      <c r="E270" s="165"/>
      <c r="F270" s="165">
        <v>-20000</v>
      </c>
      <c r="G270" s="165"/>
      <c r="H270" s="165"/>
      <c r="I270" s="165"/>
      <c r="J270" s="165"/>
      <c r="K270" s="165">
        <v>-20000</v>
      </c>
      <c r="L270" s="165"/>
      <c r="M270" s="163"/>
      <c r="N270" s="163"/>
      <c r="O270" s="165"/>
      <c r="P270" s="163"/>
      <c r="Q270" s="163"/>
      <c r="R270" s="163"/>
    </row>
    <row r="271" spans="1:18" ht="40.200000000000003">
      <c r="A271" s="375" t="s">
        <v>250</v>
      </c>
      <c r="B271" s="376" t="s">
        <v>592</v>
      </c>
      <c r="C271" s="165"/>
      <c r="D271" s="163"/>
      <c r="E271" s="165"/>
      <c r="F271" s="165"/>
      <c r="G271" s="165">
        <v>25000</v>
      </c>
      <c r="H271" s="165"/>
      <c r="I271" s="165"/>
      <c r="J271" s="165"/>
      <c r="K271" s="165"/>
      <c r="L271" s="165">
        <v>25000</v>
      </c>
      <c r="M271" s="163"/>
      <c r="N271" s="163"/>
      <c r="O271" s="165"/>
      <c r="P271" s="163"/>
      <c r="Q271" s="163"/>
      <c r="R271" s="163"/>
    </row>
    <row r="272" spans="1:18" ht="40.200000000000003">
      <c r="A272" s="375" t="s">
        <v>257</v>
      </c>
      <c r="B272" s="376" t="s">
        <v>593</v>
      </c>
      <c r="C272" s="165"/>
      <c r="D272" s="163"/>
      <c r="E272" s="165"/>
      <c r="F272" s="165"/>
      <c r="G272" s="165">
        <v>62000</v>
      </c>
      <c r="H272" s="165"/>
      <c r="I272" s="165"/>
      <c r="J272" s="165"/>
      <c r="K272" s="165"/>
      <c r="L272" s="165">
        <v>62000</v>
      </c>
      <c r="M272" s="163"/>
      <c r="N272" s="163"/>
      <c r="O272" s="165"/>
      <c r="P272" s="163"/>
      <c r="Q272" s="165">
        <v>62000</v>
      </c>
      <c r="R272" s="163"/>
    </row>
    <row r="273" spans="1:18" ht="53.4">
      <c r="A273" s="375" t="s">
        <v>324</v>
      </c>
      <c r="B273" s="376" t="s">
        <v>594</v>
      </c>
      <c r="C273" s="165"/>
      <c r="D273" s="163"/>
      <c r="E273" s="165"/>
      <c r="F273" s="165"/>
      <c r="G273" s="165">
        <v>8270</v>
      </c>
      <c r="H273" s="165"/>
      <c r="I273" s="165"/>
      <c r="J273" s="165"/>
      <c r="K273" s="165"/>
      <c r="L273" s="165">
        <v>8270</v>
      </c>
      <c r="M273" s="163"/>
      <c r="N273" s="163"/>
      <c r="O273" s="165"/>
      <c r="P273" s="163"/>
      <c r="Q273" s="163"/>
      <c r="R273" s="163"/>
    </row>
    <row r="274" spans="1:18" ht="13.2">
      <c r="A274" s="369" t="s">
        <v>245</v>
      </c>
      <c r="B274" s="370" t="s">
        <v>140</v>
      </c>
      <c r="C274" s="165"/>
      <c r="D274" s="163"/>
      <c r="E274" s="165"/>
      <c r="F274" s="165"/>
      <c r="G274" s="165"/>
      <c r="H274" s="165"/>
      <c r="I274" s="165"/>
      <c r="J274" s="165"/>
      <c r="K274" s="165"/>
      <c r="L274" s="165"/>
      <c r="M274" s="163"/>
      <c r="N274" s="163"/>
      <c r="O274" s="165"/>
      <c r="P274" s="163"/>
      <c r="Q274" s="163"/>
      <c r="R274" s="163"/>
    </row>
    <row r="275" spans="1:18" ht="13.2">
      <c r="A275" s="371"/>
      <c r="B275" s="372" t="s">
        <v>238</v>
      </c>
      <c r="C275" s="165"/>
      <c r="D275" s="163"/>
      <c r="E275" s="165"/>
      <c r="F275" s="165"/>
      <c r="G275" s="165"/>
      <c r="H275" s="165"/>
      <c r="I275" s="165"/>
      <c r="J275" s="165"/>
      <c r="K275" s="165"/>
      <c r="L275" s="165"/>
      <c r="M275" s="163"/>
      <c r="N275" s="163"/>
      <c r="O275" s="165"/>
      <c r="P275" s="163"/>
      <c r="Q275" s="163"/>
      <c r="R275" s="163"/>
    </row>
    <row r="276" spans="1:18" ht="13.2">
      <c r="A276" s="373" t="s">
        <v>223</v>
      </c>
      <c r="B276" s="374" t="s">
        <v>434</v>
      </c>
      <c r="C276" s="165"/>
      <c r="D276" s="163"/>
      <c r="E276" s="165"/>
      <c r="F276" s="165"/>
      <c r="G276" s="165"/>
      <c r="H276" s="165"/>
      <c r="I276" s="165"/>
      <c r="J276" s="165"/>
      <c r="K276" s="165"/>
      <c r="L276" s="165"/>
      <c r="M276" s="163"/>
      <c r="N276" s="163"/>
      <c r="O276" s="165"/>
      <c r="P276" s="163"/>
      <c r="Q276" s="163"/>
      <c r="R276" s="163"/>
    </row>
    <row r="277" spans="1:18" ht="13.2">
      <c r="A277" s="375" t="s">
        <v>240</v>
      </c>
      <c r="B277" s="376" t="s">
        <v>241</v>
      </c>
      <c r="C277" s="165"/>
      <c r="D277" s="163"/>
      <c r="E277" s="165"/>
      <c r="F277" s="165"/>
      <c r="G277" s="165"/>
      <c r="H277" s="165"/>
      <c r="I277" s="165"/>
      <c r="J277" s="165"/>
      <c r="K277" s="165"/>
      <c r="L277" s="165"/>
      <c r="M277" s="163"/>
      <c r="N277" s="163"/>
      <c r="O277" s="165"/>
      <c r="P277" s="163"/>
      <c r="Q277" s="163"/>
      <c r="R277" s="163"/>
    </row>
    <row r="278" spans="1:18" ht="13.2">
      <c r="A278" s="377"/>
      <c r="B278" s="376"/>
      <c r="C278" s="165"/>
      <c r="D278" s="163"/>
      <c r="E278" s="165"/>
      <c r="F278" s="165"/>
      <c r="G278" s="165"/>
      <c r="H278" s="165"/>
      <c r="I278" s="165"/>
      <c r="J278" s="165"/>
      <c r="K278" s="165"/>
      <c r="L278" s="165"/>
      <c r="M278" s="163"/>
      <c r="N278" s="163"/>
      <c r="O278" s="165"/>
      <c r="P278" s="163"/>
      <c r="Q278" s="163"/>
      <c r="R278" s="163"/>
    </row>
    <row r="279" spans="1:18" ht="13.2">
      <c r="A279" s="378" t="s">
        <v>224</v>
      </c>
      <c r="B279" s="374" t="s">
        <v>242</v>
      </c>
      <c r="C279" s="165"/>
      <c r="D279" s="163"/>
      <c r="E279" s="165"/>
      <c r="F279" s="165"/>
      <c r="G279" s="165"/>
      <c r="H279" s="165"/>
      <c r="I279" s="165"/>
      <c r="J279" s="165"/>
      <c r="K279" s="165"/>
      <c r="L279" s="165"/>
      <c r="M279" s="163"/>
      <c r="N279" s="163"/>
      <c r="O279" s="165"/>
      <c r="P279" s="163"/>
      <c r="Q279" s="163"/>
      <c r="R279" s="163"/>
    </row>
    <row r="280" spans="1:18" ht="13.2">
      <c r="A280" s="375" t="s">
        <v>243</v>
      </c>
      <c r="B280" s="376" t="s">
        <v>244</v>
      </c>
      <c r="C280" s="165"/>
      <c r="D280" s="163"/>
      <c r="E280" s="165"/>
      <c r="F280" s="165"/>
      <c r="G280" s="165"/>
      <c r="H280" s="165"/>
      <c r="I280" s="165"/>
      <c r="J280" s="165"/>
      <c r="K280" s="165"/>
      <c r="L280" s="165"/>
      <c r="M280" s="163"/>
      <c r="N280" s="163"/>
      <c r="O280" s="165"/>
      <c r="P280" s="163"/>
      <c r="Q280" s="163"/>
      <c r="R280" s="163"/>
    </row>
    <row r="281" spans="1:18" ht="12">
      <c r="A281" s="33"/>
      <c r="B281" s="34"/>
      <c r="C281" s="165"/>
      <c r="D281" s="163"/>
      <c r="E281" s="165"/>
      <c r="F281" s="165"/>
      <c r="G281" s="165"/>
      <c r="H281" s="165"/>
      <c r="I281" s="165"/>
      <c r="J281" s="165"/>
      <c r="K281" s="165"/>
      <c r="L281" s="165"/>
      <c r="M281" s="163"/>
      <c r="N281" s="163"/>
      <c r="O281" s="165"/>
      <c r="P281" s="163"/>
      <c r="Q281" s="163"/>
      <c r="R281" s="163"/>
    </row>
    <row r="282" spans="1:18" ht="12">
      <c r="A282" s="33"/>
      <c r="B282" s="34"/>
      <c r="C282" s="165"/>
      <c r="D282" s="163"/>
      <c r="E282" s="165"/>
      <c r="F282" s="165"/>
      <c r="G282" s="165"/>
      <c r="H282" s="165"/>
      <c r="I282" s="165"/>
      <c r="J282" s="165"/>
      <c r="K282" s="165"/>
      <c r="L282" s="165"/>
      <c r="M282" s="163"/>
      <c r="N282" s="163"/>
      <c r="O282" s="165"/>
      <c r="P282" s="163"/>
      <c r="Q282" s="163"/>
      <c r="R282" s="163"/>
    </row>
    <row r="283" spans="1:18" ht="12">
      <c r="A283" s="33"/>
      <c r="B283" s="31"/>
      <c r="C283" s="165"/>
      <c r="D283" s="163"/>
      <c r="E283" s="165"/>
      <c r="F283" s="165"/>
      <c r="G283" s="165"/>
      <c r="H283" s="165"/>
      <c r="I283" s="165"/>
      <c r="J283" s="165"/>
      <c r="K283" s="165"/>
      <c r="L283" s="165"/>
      <c r="M283" s="163"/>
      <c r="N283" s="163"/>
      <c r="O283" s="165"/>
      <c r="P283" s="163"/>
      <c r="Q283" s="163"/>
      <c r="R283" s="163"/>
    </row>
    <row r="284" spans="1:18" ht="12">
      <c r="E284" s="165"/>
      <c r="F284" s="165"/>
      <c r="G284" s="165"/>
      <c r="H284" s="165"/>
      <c r="I284" s="165"/>
      <c r="J284" s="165"/>
      <c r="K284" s="165"/>
      <c r="L284" s="165"/>
      <c r="M284" s="163"/>
      <c r="N284" s="163"/>
      <c r="O284" s="165"/>
      <c r="P284" s="163"/>
      <c r="Q284" s="163"/>
      <c r="R284" s="163"/>
    </row>
    <row r="285" spans="1:18" ht="12">
      <c r="E285" s="165"/>
      <c r="F285" s="165"/>
      <c r="G285" s="165"/>
      <c r="H285" s="165"/>
      <c r="I285" s="165"/>
      <c r="J285" s="165"/>
      <c r="K285" s="165"/>
      <c r="L285" s="165"/>
      <c r="M285" s="163"/>
      <c r="N285" s="163"/>
      <c r="O285" s="165"/>
      <c r="P285" s="163"/>
      <c r="Q285" s="163"/>
      <c r="R285" s="163"/>
    </row>
    <row r="286" spans="1:18" ht="12">
      <c r="E286" s="165"/>
      <c r="F286" s="165"/>
      <c r="G286" s="165"/>
      <c r="H286" s="165"/>
      <c r="I286" s="165"/>
      <c r="J286" s="165"/>
      <c r="K286" s="165"/>
      <c r="L286" s="165"/>
      <c r="M286" s="163"/>
      <c r="N286" s="163"/>
      <c r="O286" s="165"/>
      <c r="P286" s="163"/>
      <c r="Q286" s="163"/>
      <c r="R286" s="163"/>
    </row>
    <row r="287" spans="1:18" ht="12">
      <c r="E287" s="165"/>
      <c r="F287" s="165"/>
      <c r="G287" s="165"/>
      <c r="H287" s="165"/>
      <c r="I287" s="165"/>
      <c r="J287" s="165"/>
      <c r="K287" s="165"/>
      <c r="L287" s="165"/>
      <c r="M287" s="163"/>
      <c r="N287" s="163"/>
      <c r="O287" s="165"/>
      <c r="P287" s="163"/>
      <c r="Q287" s="163"/>
      <c r="R287" s="163"/>
    </row>
    <row r="288" spans="1:18" ht="12">
      <c r="E288" s="165"/>
      <c r="F288" s="165"/>
      <c r="G288" s="165"/>
      <c r="H288" s="165"/>
      <c r="I288" s="165"/>
      <c r="J288" s="165"/>
      <c r="K288" s="165"/>
      <c r="L288" s="165"/>
      <c r="M288" s="163"/>
      <c r="N288" s="163"/>
      <c r="O288" s="165"/>
      <c r="P288" s="163"/>
      <c r="Q288" s="163"/>
      <c r="R288" s="163"/>
    </row>
    <row r="289" spans="5:18" ht="12">
      <c r="E289" s="165"/>
      <c r="F289" s="165"/>
      <c r="G289" s="165"/>
      <c r="H289" s="165"/>
      <c r="I289" s="165"/>
      <c r="J289" s="165"/>
      <c r="K289" s="165"/>
      <c r="L289" s="165"/>
      <c r="M289" s="163"/>
      <c r="N289" s="163"/>
      <c r="O289" s="165"/>
      <c r="P289" s="163"/>
      <c r="Q289" s="163"/>
      <c r="R289" s="163"/>
    </row>
    <row r="290" spans="5:18" ht="12">
      <c r="E290" s="165"/>
      <c r="F290" s="165"/>
      <c r="G290" s="165"/>
      <c r="H290" s="165"/>
      <c r="I290" s="165"/>
      <c r="J290" s="165"/>
      <c r="K290" s="165"/>
      <c r="L290" s="165"/>
      <c r="M290" s="163"/>
      <c r="N290" s="163"/>
      <c r="O290" s="165"/>
      <c r="P290" s="163"/>
      <c r="Q290" s="163"/>
      <c r="R290" s="163"/>
    </row>
    <row r="291" spans="5:18" ht="12">
      <c r="E291" s="165"/>
      <c r="F291" s="165"/>
      <c r="G291" s="165"/>
      <c r="H291" s="165"/>
      <c r="I291" s="165"/>
      <c r="J291" s="165"/>
      <c r="K291" s="165"/>
      <c r="L291" s="165"/>
      <c r="M291" s="163"/>
      <c r="N291" s="163"/>
      <c r="O291" s="165"/>
      <c r="P291" s="163"/>
      <c r="Q291" s="163"/>
      <c r="R291" s="163"/>
    </row>
    <row r="292" spans="5:18" ht="12">
      <c r="E292" s="165"/>
      <c r="F292" s="165"/>
      <c r="G292" s="165"/>
      <c r="H292" s="165"/>
      <c r="I292" s="165"/>
      <c r="J292" s="165"/>
      <c r="K292" s="165"/>
      <c r="L292" s="165"/>
      <c r="M292" s="163"/>
      <c r="N292" s="163"/>
      <c r="O292" s="165"/>
      <c r="P292" s="163"/>
      <c r="Q292" s="163"/>
      <c r="R292" s="163"/>
    </row>
    <row r="293" spans="5:18" ht="12">
      <c r="E293" s="165"/>
      <c r="F293" s="165"/>
      <c r="G293" s="165"/>
      <c r="H293" s="165"/>
      <c r="I293" s="165"/>
      <c r="J293" s="165"/>
      <c r="K293" s="165"/>
      <c r="L293" s="165"/>
      <c r="M293" s="163"/>
      <c r="N293" s="163"/>
      <c r="O293" s="165"/>
      <c r="P293" s="163"/>
      <c r="Q293" s="163"/>
      <c r="R293" s="163"/>
    </row>
    <row r="294" spans="5:18" ht="12">
      <c r="E294" s="165"/>
      <c r="F294" s="165"/>
      <c r="G294" s="165"/>
      <c r="H294" s="165"/>
      <c r="I294" s="165"/>
      <c r="J294" s="165"/>
      <c r="K294" s="165"/>
      <c r="L294" s="165"/>
      <c r="M294" s="163"/>
      <c r="N294" s="163"/>
      <c r="O294" s="165"/>
      <c r="P294" s="163"/>
      <c r="Q294" s="163"/>
      <c r="R294" s="163"/>
    </row>
    <row r="295" spans="5:18" ht="12">
      <c r="E295" s="165"/>
      <c r="F295" s="165"/>
      <c r="G295" s="165"/>
      <c r="H295" s="165"/>
      <c r="I295" s="165"/>
      <c r="J295" s="165"/>
      <c r="K295" s="165"/>
      <c r="L295" s="165"/>
      <c r="M295" s="163"/>
      <c r="N295" s="163"/>
      <c r="O295" s="165"/>
      <c r="P295" s="163"/>
      <c r="Q295" s="163"/>
      <c r="R295" s="163"/>
    </row>
    <row r="296" spans="5:18" ht="12">
      <c r="E296" s="165"/>
      <c r="F296" s="165"/>
      <c r="G296" s="165"/>
      <c r="H296" s="165"/>
      <c r="I296" s="165"/>
      <c r="J296" s="165"/>
      <c r="K296" s="165"/>
      <c r="L296" s="165"/>
      <c r="M296" s="163"/>
      <c r="N296" s="163"/>
      <c r="O296" s="165"/>
      <c r="P296" s="163"/>
      <c r="Q296" s="163"/>
      <c r="R296" s="163"/>
    </row>
    <row r="297" spans="5:18" ht="12">
      <c r="E297" s="165"/>
      <c r="F297" s="165"/>
      <c r="G297" s="165"/>
      <c r="H297" s="165"/>
      <c r="I297" s="165"/>
      <c r="J297" s="165"/>
      <c r="K297" s="165"/>
      <c r="L297" s="165"/>
      <c r="M297" s="163"/>
      <c r="N297" s="163"/>
      <c r="O297" s="165"/>
      <c r="P297" s="163"/>
      <c r="Q297" s="163"/>
      <c r="R297" s="163"/>
    </row>
    <row r="298" spans="5:18" ht="12">
      <c r="E298" s="165"/>
      <c r="F298" s="165"/>
      <c r="G298" s="165"/>
      <c r="H298" s="165"/>
      <c r="I298" s="165"/>
      <c r="J298" s="165"/>
      <c r="K298" s="165"/>
      <c r="L298" s="165"/>
      <c r="M298" s="163"/>
      <c r="N298" s="163"/>
      <c r="O298" s="165"/>
      <c r="P298" s="163"/>
      <c r="Q298" s="163"/>
      <c r="R298" s="163"/>
    </row>
    <row r="299" spans="5:18" ht="12">
      <c r="E299" s="165"/>
      <c r="F299" s="165"/>
      <c r="G299" s="165"/>
      <c r="H299" s="165"/>
      <c r="I299" s="165"/>
      <c r="J299" s="165"/>
      <c r="K299" s="165"/>
      <c r="L299" s="165"/>
      <c r="M299" s="163"/>
      <c r="N299" s="163"/>
      <c r="O299" s="165"/>
      <c r="P299" s="163"/>
      <c r="Q299" s="163"/>
      <c r="R299" s="163"/>
    </row>
    <row r="300" spans="5:18" ht="12">
      <c r="E300" s="165"/>
      <c r="F300" s="165"/>
      <c r="G300" s="165"/>
      <c r="H300" s="165"/>
      <c r="I300" s="165"/>
      <c r="J300" s="165"/>
      <c r="K300" s="165"/>
      <c r="L300" s="165"/>
      <c r="M300" s="163"/>
      <c r="N300" s="163"/>
      <c r="O300" s="165"/>
      <c r="P300" s="163"/>
      <c r="Q300" s="163"/>
      <c r="R300" s="163"/>
    </row>
    <row r="301" spans="5:18" ht="12">
      <c r="E301" s="165"/>
      <c r="F301" s="165"/>
      <c r="G301" s="165"/>
      <c r="H301" s="165"/>
      <c r="I301" s="165"/>
      <c r="J301" s="165"/>
      <c r="K301" s="165"/>
      <c r="L301" s="165"/>
      <c r="M301" s="163"/>
      <c r="N301" s="163"/>
      <c r="O301" s="165"/>
      <c r="P301" s="163"/>
      <c r="Q301" s="163"/>
      <c r="R301" s="163"/>
    </row>
    <row r="302" spans="5:18" ht="12">
      <c r="E302" s="165"/>
      <c r="F302" s="165"/>
      <c r="G302" s="165"/>
      <c r="H302" s="165"/>
      <c r="I302" s="165"/>
      <c r="J302" s="165"/>
      <c r="K302" s="165"/>
      <c r="L302" s="165"/>
      <c r="M302" s="163"/>
      <c r="N302" s="163"/>
      <c r="O302" s="165"/>
      <c r="P302" s="163"/>
      <c r="Q302" s="163"/>
      <c r="R302" s="163"/>
    </row>
    <row r="303" spans="5:18" ht="12">
      <c r="E303" s="165"/>
      <c r="F303" s="165"/>
      <c r="G303" s="165"/>
      <c r="H303" s="165"/>
      <c r="I303" s="165"/>
      <c r="J303" s="165"/>
      <c r="K303" s="165"/>
      <c r="L303" s="165"/>
      <c r="M303" s="163"/>
      <c r="N303" s="163"/>
      <c r="O303" s="165"/>
      <c r="P303" s="163"/>
      <c r="Q303" s="163"/>
      <c r="R303" s="163"/>
    </row>
    <row r="304" spans="5:18" ht="12">
      <c r="E304" s="165"/>
      <c r="F304" s="165"/>
      <c r="G304" s="165"/>
      <c r="H304" s="165"/>
      <c r="I304" s="165"/>
      <c r="J304" s="165"/>
      <c r="K304" s="165"/>
      <c r="L304" s="165"/>
      <c r="M304" s="163"/>
      <c r="N304" s="163"/>
      <c r="O304" s="165"/>
      <c r="P304" s="163"/>
      <c r="Q304" s="163"/>
      <c r="R304" s="163"/>
    </row>
    <row r="305" spans="5:18" ht="12">
      <c r="E305" s="165"/>
      <c r="F305" s="165"/>
      <c r="G305" s="165"/>
      <c r="H305" s="165"/>
      <c r="I305" s="165"/>
      <c r="J305" s="165"/>
      <c r="K305" s="165"/>
      <c r="L305" s="165"/>
      <c r="M305" s="163"/>
      <c r="N305" s="163"/>
      <c r="O305" s="165"/>
      <c r="P305" s="163"/>
      <c r="Q305" s="163"/>
      <c r="R305" s="163"/>
    </row>
    <row r="306" spans="5:18" ht="12">
      <c r="E306" s="165"/>
      <c r="F306" s="165"/>
      <c r="G306" s="165"/>
      <c r="H306" s="165"/>
      <c r="I306" s="165"/>
      <c r="J306" s="165"/>
      <c r="K306" s="165"/>
      <c r="L306" s="165"/>
      <c r="M306" s="163"/>
      <c r="N306" s="163"/>
      <c r="O306" s="165"/>
      <c r="P306" s="163"/>
      <c r="Q306" s="163"/>
      <c r="R306" s="163"/>
    </row>
    <row r="307" spans="5:18" ht="12">
      <c r="E307" s="165"/>
      <c r="F307" s="165"/>
      <c r="G307" s="165"/>
      <c r="H307" s="165"/>
      <c r="I307" s="165"/>
      <c r="J307" s="165"/>
      <c r="K307" s="165"/>
      <c r="L307" s="165"/>
      <c r="M307" s="163"/>
      <c r="N307" s="163"/>
      <c r="O307" s="165"/>
      <c r="P307" s="163"/>
      <c r="Q307" s="163"/>
      <c r="R307" s="163"/>
    </row>
    <row r="308" spans="5:18" ht="12">
      <c r="E308" s="165"/>
      <c r="F308" s="165"/>
      <c r="G308" s="165"/>
      <c r="H308" s="165"/>
      <c r="I308" s="165"/>
      <c r="J308" s="165"/>
      <c r="K308" s="165"/>
      <c r="L308" s="165"/>
      <c r="M308" s="163"/>
      <c r="N308" s="163"/>
      <c r="O308" s="165"/>
      <c r="P308" s="163"/>
      <c r="Q308" s="163"/>
      <c r="R308" s="163"/>
    </row>
    <row r="309" spans="5:18" ht="12">
      <c r="E309" s="165"/>
      <c r="F309" s="165"/>
      <c r="G309" s="165"/>
      <c r="H309" s="165"/>
      <c r="I309" s="165"/>
      <c r="J309" s="165"/>
      <c r="K309" s="165"/>
      <c r="L309" s="165"/>
      <c r="M309" s="163"/>
      <c r="N309" s="163"/>
      <c r="O309" s="165"/>
      <c r="P309" s="163"/>
      <c r="Q309" s="163"/>
      <c r="R309" s="163"/>
    </row>
    <row r="310" spans="5:18" ht="12">
      <c r="E310" s="165"/>
      <c r="F310" s="165"/>
      <c r="G310" s="165"/>
      <c r="H310" s="165"/>
      <c r="I310" s="165"/>
      <c r="J310" s="165"/>
      <c r="K310" s="165"/>
      <c r="L310" s="165"/>
      <c r="M310" s="163"/>
      <c r="N310" s="163"/>
      <c r="O310" s="165"/>
      <c r="P310" s="163"/>
      <c r="Q310" s="163"/>
      <c r="R310" s="163"/>
    </row>
    <row r="311" spans="5:18" ht="12">
      <c r="E311" s="165"/>
      <c r="F311" s="165"/>
      <c r="G311" s="165"/>
      <c r="H311" s="165"/>
      <c r="I311" s="165"/>
      <c r="J311" s="165"/>
      <c r="K311" s="165"/>
      <c r="L311" s="165"/>
      <c r="M311" s="163"/>
      <c r="N311" s="163"/>
      <c r="O311" s="165"/>
      <c r="P311" s="163"/>
      <c r="Q311" s="163"/>
      <c r="R311" s="163"/>
    </row>
    <row r="312" spans="5:18" ht="12">
      <c r="E312" s="165"/>
      <c r="F312" s="165"/>
      <c r="G312" s="165"/>
      <c r="H312" s="165"/>
      <c r="I312" s="165"/>
      <c r="J312" s="165"/>
      <c r="K312" s="165"/>
      <c r="L312" s="165"/>
      <c r="M312" s="163"/>
      <c r="N312" s="163"/>
      <c r="O312" s="165"/>
      <c r="P312" s="163"/>
      <c r="Q312" s="163"/>
      <c r="R312" s="163"/>
    </row>
    <row r="313" spans="5:18" ht="12">
      <c r="E313" s="165"/>
      <c r="F313" s="165"/>
      <c r="G313" s="165"/>
      <c r="H313" s="165"/>
      <c r="I313" s="165"/>
      <c r="J313" s="165"/>
      <c r="K313" s="165"/>
      <c r="L313" s="165"/>
      <c r="M313" s="163"/>
      <c r="N313" s="163"/>
      <c r="O313" s="165"/>
      <c r="P313" s="163"/>
      <c r="Q313" s="163"/>
      <c r="R313" s="163"/>
    </row>
    <row r="314" spans="5:18" ht="12">
      <c r="E314" s="165"/>
      <c r="F314" s="165"/>
      <c r="G314" s="165"/>
      <c r="H314" s="165"/>
      <c r="I314" s="165"/>
      <c r="J314" s="165"/>
      <c r="K314" s="165"/>
      <c r="L314" s="165"/>
      <c r="M314" s="163"/>
      <c r="N314" s="163"/>
      <c r="O314" s="165"/>
      <c r="P314" s="163"/>
      <c r="Q314" s="163"/>
      <c r="R314" s="163"/>
    </row>
    <row r="315" spans="5:18" ht="12">
      <c r="E315" s="165"/>
      <c r="F315" s="165"/>
      <c r="G315" s="165"/>
      <c r="H315" s="165"/>
      <c r="I315" s="165"/>
      <c r="J315" s="165"/>
      <c r="K315" s="165"/>
      <c r="L315" s="165"/>
      <c r="M315" s="163"/>
      <c r="N315" s="163"/>
      <c r="O315" s="165"/>
      <c r="P315" s="163"/>
      <c r="Q315" s="163"/>
      <c r="R315" s="163"/>
    </row>
    <row r="316" spans="5:18" ht="12">
      <c r="E316" s="165"/>
      <c r="F316" s="165"/>
      <c r="G316" s="165"/>
      <c r="H316" s="165"/>
      <c r="I316" s="165"/>
      <c r="J316" s="165"/>
      <c r="K316" s="165"/>
      <c r="L316" s="165"/>
      <c r="M316" s="163"/>
      <c r="N316" s="163"/>
      <c r="O316" s="165"/>
      <c r="P316" s="163"/>
      <c r="Q316" s="163"/>
      <c r="R316" s="163"/>
    </row>
    <row r="317" spans="5:18" ht="12">
      <c r="E317" s="165"/>
      <c r="F317" s="165"/>
      <c r="G317" s="165"/>
      <c r="H317" s="165"/>
      <c r="I317" s="165"/>
      <c r="J317" s="165"/>
      <c r="K317" s="165"/>
      <c r="L317" s="165"/>
      <c r="M317" s="163"/>
      <c r="N317" s="163"/>
      <c r="O317" s="165"/>
      <c r="P317" s="163"/>
      <c r="Q317" s="163"/>
      <c r="R317" s="163"/>
    </row>
    <row r="318" spans="5:18" ht="12">
      <c r="E318" s="165"/>
      <c r="F318" s="165"/>
      <c r="G318" s="165"/>
      <c r="H318" s="165"/>
      <c r="I318" s="165"/>
      <c r="J318" s="165"/>
      <c r="K318" s="165"/>
      <c r="L318" s="165"/>
      <c r="M318" s="163"/>
      <c r="N318" s="163"/>
      <c r="O318" s="165"/>
      <c r="P318" s="163"/>
      <c r="Q318" s="163"/>
      <c r="R318" s="163"/>
    </row>
    <row r="319" spans="5:18" ht="12">
      <c r="E319" s="165"/>
      <c r="F319" s="165"/>
      <c r="G319" s="165"/>
      <c r="H319" s="165"/>
      <c r="I319" s="165"/>
      <c r="J319" s="165"/>
      <c r="K319" s="165"/>
      <c r="L319" s="165"/>
      <c r="M319" s="163"/>
      <c r="N319" s="163"/>
      <c r="O319" s="165"/>
      <c r="P319" s="163"/>
      <c r="Q319" s="163"/>
      <c r="R319" s="163"/>
    </row>
    <row r="320" spans="5:18" ht="12">
      <c r="E320" s="165"/>
      <c r="F320" s="165"/>
      <c r="G320" s="165"/>
      <c r="H320" s="165"/>
      <c r="I320" s="165"/>
      <c r="J320" s="165"/>
      <c r="K320" s="165"/>
      <c r="L320" s="165"/>
      <c r="M320" s="163"/>
      <c r="N320" s="163"/>
      <c r="O320" s="165"/>
      <c r="P320" s="163"/>
      <c r="Q320" s="163"/>
      <c r="R320" s="163"/>
    </row>
    <row r="321" spans="5:18" ht="12">
      <c r="E321" s="165"/>
      <c r="F321" s="165"/>
      <c r="G321" s="165"/>
      <c r="H321" s="165"/>
      <c r="I321" s="165"/>
      <c r="J321" s="165"/>
      <c r="K321" s="165"/>
      <c r="L321" s="165"/>
      <c r="M321" s="163"/>
      <c r="N321" s="163"/>
      <c r="O321" s="165"/>
      <c r="P321" s="163"/>
      <c r="Q321" s="163"/>
      <c r="R321" s="163"/>
    </row>
    <row r="322" spans="5:18" ht="12">
      <c r="E322" s="165"/>
      <c r="F322" s="165"/>
      <c r="G322" s="165"/>
      <c r="H322" s="165"/>
      <c r="I322" s="165"/>
      <c r="J322" s="165"/>
      <c r="K322" s="165"/>
      <c r="L322" s="165"/>
      <c r="M322" s="163"/>
      <c r="N322" s="163"/>
      <c r="O322" s="165"/>
      <c r="P322" s="163"/>
      <c r="Q322" s="163"/>
      <c r="R322" s="163"/>
    </row>
    <row r="323" spans="5:18" ht="12">
      <c r="E323" s="165"/>
      <c r="F323" s="165"/>
      <c r="G323" s="165"/>
      <c r="H323" s="165"/>
      <c r="I323" s="165"/>
      <c r="J323" s="165"/>
      <c r="K323" s="165"/>
      <c r="L323" s="165"/>
      <c r="M323" s="163"/>
      <c r="N323" s="163"/>
      <c r="O323" s="165"/>
      <c r="P323" s="163"/>
      <c r="Q323" s="163"/>
      <c r="R323" s="163"/>
    </row>
    <row r="324" spans="5:18" ht="12">
      <c r="E324" s="165"/>
      <c r="F324" s="165"/>
      <c r="G324" s="165"/>
      <c r="H324" s="165"/>
      <c r="I324" s="165"/>
      <c r="J324" s="165"/>
      <c r="K324" s="165"/>
      <c r="L324" s="165"/>
      <c r="M324" s="163"/>
      <c r="N324" s="163"/>
      <c r="O324" s="165"/>
      <c r="P324" s="163"/>
      <c r="Q324" s="163"/>
      <c r="R324" s="163"/>
    </row>
    <row r="325" spans="5:18" ht="12">
      <c r="E325" s="165"/>
      <c r="F325" s="165"/>
      <c r="G325" s="165"/>
      <c r="H325" s="165"/>
      <c r="I325" s="165"/>
      <c r="J325" s="165"/>
      <c r="K325" s="165"/>
      <c r="L325" s="165"/>
      <c r="M325" s="163"/>
      <c r="N325" s="163"/>
      <c r="O325" s="165"/>
      <c r="P325" s="163"/>
      <c r="Q325" s="163"/>
      <c r="R325" s="163"/>
    </row>
    <row r="326" spans="5:18" ht="12">
      <c r="E326" s="165"/>
      <c r="F326" s="165"/>
      <c r="G326" s="165"/>
      <c r="H326" s="165"/>
      <c r="I326" s="165"/>
      <c r="J326" s="165"/>
      <c r="K326" s="165"/>
      <c r="L326" s="165"/>
      <c r="M326" s="163"/>
      <c r="N326" s="163"/>
      <c r="O326" s="165"/>
      <c r="P326" s="163"/>
      <c r="Q326" s="163"/>
      <c r="R326" s="163"/>
    </row>
    <row r="327" spans="5:18" ht="12">
      <c r="E327" s="165"/>
      <c r="F327" s="165"/>
      <c r="G327" s="165"/>
      <c r="H327" s="165"/>
      <c r="I327" s="165"/>
      <c r="J327" s="165"/>
      <c r="K327" s="165"/>
      <c r="L327" s="165"/>
      <c r="M327" s="163"/>
      <c r="N327" s="163"/>
      <c r="O327" s="165"/>
      <c r="P327" s="163"/>
      <c r="Q327" s="163"/>
      <c r="R327" s="163"/>
    </row>
    <row r="328" spans="5:18" ht="12">
      <c r="E328" s="165"/>
      <c r="F328" s="165"/>
      <c r="G328" s="165"/>
      <c r="H328" s="165"/>
      <c r="I328" s="165"/>
      <c r="J328" s="165"/>
      <c r="K328" s="165"/>
      <c r="L328" s="165"/>
      <c r="M328" s="163"/>
      <c r="N328" s="163"/>
      <c r="O328" s="165"/>
      <c r="P328" s="163"/>
      <c r="Q328" s="163"/>
      <c r="R328" s="163"/>
    </row>
    <row r="329" spans="5:18" ht="12">
      <c r="E329" s="165"/>
      <c r="F329" s="165"/>
      <c r="G329" s="165"/>
      <c r="H329" s="165"/>
      <c r="I329" s="165"/>
      <c r="J329" s="165"/>
      <c r="K329" s="165"/>
      <c r="L329" s="165"/>
      <c r="M329" s="163"/>
      <c r="N329" s="163"/>
      <c r="O329" s="165"/>
      <c r="P329" s="163"/>
      <c r="Q329" s="163"/>
      <c r="R329" s="163"/>
    </row>
    <row r="330" spans="5:18" ht="12">
      <c r="E330" s="165"/>
      <c r="F330" s="165"/>
      <c r="G330" s="165"/>
      <c r="H330" s="165"/>
      <c r="I330" s="165"/>
      <c r="J330" s="165"/>
      <c r="K330" s="165"/>
      <c r="L330" s="165"/>
      <c r="M330" s="163"/>
      <c r="N330" s="163"/>
      <c r="O330" s="165"/>
      <c r="P330" s="163"/>
      <c r="Q330" s="163"/>
      <c r="R330" s="163"/>
    </row>
    <row r="331" spans="5:18" ht="12">
      <c r="E331" s="165"/>
      <c r="F331" s="165"/>
      <c r="G331" s="165"/>
      <c r="H331" s="165"/>
      <c r="I331" s="165"/>
      <c r="J331" s="165"/>
      <c r="K331" s="165"/>
      <c r="L331" s="165"/>
      <c r="M331" s="163"/>
      <c r="N331" s="163"/>
      <c r="O331" s="165"/>
      <c r="P331" s="163"/>
      <c r="Q331" s="163"/>
      <c r="R331" s="163"/>
    </row>
    <row r="332" spans="5:18" ht="12">
      <c r="E332" s="165"/>
      <c r="F332" s="165"/>
      <c r="G332" s="165"/>
      <c r="H332" s="165"/>
      <c r="I332" s="165"/>
      <c r="J332" s="165"/>
      <c r="K332" s="165"/>
      <c r="L332" s="165"/>
      <c r="M332" s="163"/>
      <c r="N332" s="163"/>
      <c r="O332" s="165"/>
      <c r="P332" s="163"/>
      <c r="Q332" s="163"/>
      <c r="R332" s="163"/>
    </row>
    <row r="333" spans="5:18" ht="12">
      <c r="E333" s="165"/>
      <c r="F333" s="165"/>
      <c r="G333" s="165"/>
      <c r="H333" s="165"/>
      <c r="I333" s="165"/>
      <c r="J333" s="165"/>
      <c r="K333" s="165"/>
      <c r="L333" s="165"/>
      <c r="M333" s="163"/>
      <c r="N333" s="163"/>
      <c r="O333" s="165"/>
      <c r="P333" s="163"/>
      <c r="Q333" s="163"/>
      <c r="R333" s="163"/>
    </row>
    <row r="334" spans="5:18" ht="12">
      <c r="E334" s="165"/>
      <c r="F334" s="165"/>
      <c r="G334" s="165"/>
      <c r="H334" s="165"/>
      <c r="I334" s="165"/>
      <c r="J334" s="165"/>
      <c r="K334" s="165"/>
      <c r="L334" s="165"/>
      <c r="M334" s="163"/>
      <c r="N334" s="163"/>
      <c r="O334" s="165"/>
      <c r="P334" s="163"/>
      <c r="Q334" s="163"/>
      <c r="R334" s="163"/>
    </row>
    <row r="335" spans="5:18" ht="12">
      <c r="E335" s="165"/>
      <c r="F335" s="165"/>
      <c r="G335" s="165"/>
      <c r="H335" s="165"/>
      <c r="I335" s="165"/>
      <c r="J335" s="165"/>
      <c r="K335" s="165"/>
      <c r="L335" s="165"/>
      <c r="M335" s="163"/>
      <c r="N335" s="163"/>
      <c r="O335" s="165"/>
      <c r="P335" s="163"/>
      <c r="Q335" s="163"/>
      <c r="R335" s="163"/>
    </row>
    <row r="336" spans="5:18" ht="12">
      <c r="E336" s="165"/>
      <c r="F336" s="165"/>
      <c r="G336" s="165"/>
      <c r="H336" s="165"/>
      <c r="I336" s="165"/>
      <c r="J336" s="165"/>
      <c r="K336" s="165"/>
      <c r="L336" s="165"/>
      <c r="M336" s="163"/>
      <c r="N336" s="163"/>
      <c r="O336" s="165"/>
      <c r="P336" s="163"/>
      <c r="Q336" s="163"/>
      <c r="R336" s="163"/>
    </row>
    <row r="337" spans="5:18" ht="12">
      <c r="E337" s="165"/>
      <c r="F337" s="165"/>
      <c r="G337" s="165"/>
      <c r="H337" s="165"/>
      <c r="I337" s="165"/>
      <c r="J337" s="165"/>
      <c r="K337" s="165"/>
      <c r="L337" s="165"/>
      <c r="M337" s="163"/>
      <c r="N337" s="163"/>
      <c r="O337" s="165"/>
      <c r="P337" s="163"/>
      <c r="Q337" s="163"/>
      <c r="R337" s="163"/>
    </row>
    <row r="338" spans="5:18" ht="12">
      <c r="E338" s="165"/>
      <c r="F338" s="165"/>
      <c r="G338" s="165"/>
      <c r="H338" s="165"/>
      <c r="I338" s="165"/>
      <c r="J338" s="165"/>
      <c r="K338" s="165"/>
      <c r="L338" s="165"/>
      <c r="M338" s="163"/>
      <c r="N338" s="163"/>
      <c r="O338" s="165"/>
      <c r="P338" s="163"/>
      <c r="Q338" s="163"/>
      <c r="R338" s="163"/>
    </row>
    <row r="339" spans="5:18" ht="12">
      <c r="E339" s="165"/>
      <c r="F339" s="165"/>
      <c r="G339" s="165"/>
      <c r="H339" s="165"/>
      <c r="I339" s="165"/>
      <c r="J339" s="165"/>
      <c r="K339" s="165"/>
      <c r="L339" s="165"/>
      <c r="M339" s="163"/>
      <c r="N339" s="163"/>
      <c r="O339" s="165"/>
      <c r="P339" s="163"/>
      <c r="Q339" s="163"/>
      <c r="R339" s="163"/>
    </row>
    <row r="340" spans="5:18" ht="12">
      <c r="E340" s="165"/>
      <c r="F340" s="165"/>
      <c r="G340" s="165"/>
      <c r="H340" s="165"/>
      <c r="I340" s="165"/>
      <c r="J340" s="165"/>
      <c r="K340" s="165"/>
      <c r="L340" s="165"/>
      <c r="M340" s="163"/>
      <c r="N340" s="163"/>
      <c r="O340" s="165"/>
      <c r="P340" s="163"/>
      <c r="Q340" s="163"/>
      <c r="R340" s="163"/>
    </row>
    <row r="341" spans="5:18" ht="12">
      <c r="E341" s="165"/>
      <c r="F341" s="165"/>
      <c r="G341" s="165"/>
      <c r="H341" s="165"/>
      <c r="I341" s="165"/>
      <c r="J341" s="165"/>
      <c r="K341" s="165"/>
      <c r="L341" s="165"/>
      <c r="M341" s="163"/>
      <c r="N341" s="163"/>
      <c r="O341" s="165"/>
      <c r="P341" s="163"/>
      <c r="Q341" s="163"/>
      <c r="R341" s="163"/>
    </row>
    <row r="342" spans="5:18" ht="12">
      <c r="E342" s="165"/>
      <c r="F342" s="165"/>
      <c r="G342" s="165"/>
      <c r="H342" s="165"/>
      <c r="I342" s="165"/>
      <c r="J342" s="165"/>
      <c r="K342" s="165"/>
      <c r="L342" s="165"/>
      <c r="M342" s="163"/>
      <c r="N342" s="163"/>
      <c r="O342" s="165"/>
      <c r="P342" s="163"/>
      <c r="Q342" s="163"/>
      <c r="R342" s="163"/>
    </row>
    <row r="343" spans="5:18" ht="12">
      <c r="E343" s="165"/>
      <c r="F343" s="165"/>
      <c r="G343" s="165"/>
      <c r="H343" s="165"/>
      <c r="I343" s="165"/>
      <c r="J343" s="165"/>
      <c r="K343" s="165"/>
      <c r="L343" s="165"/>
      <c r="M343" s="163"/>
      <c r="N343" s="163"/>
      <c r="O343" s="165"/>
      <c r="P343" s="163"/>
      <c r="Q343" s="163"/>
      <c r="R343" s="163"/>
    </row>
    <row r="344" spans="5:18" ht="12">
      <c r="E344" s="165"/>
      <c r="F344" s="165"/>
      <c r="G344" s="165"/>
      <c r="H344" s="165"/>
      <c r="I344" s="165"/>
      <c r="J344" s="165"/>
      <c r="K344" s="165"/>
      <c r="L344" s="165"/>
      <c r="M344" s="163"/>
      <c r="N344" s="163"/>
      <c r="O344" s="165"/>
      <c r="P344" s="163"/>
      <c r="Q344" s="163"/>
      <c r="R344" s="163"/>
    </row>
    <row r="345" spans="5:18" ht="12">
      <c r="E345" s="165"/>
      <c r="F345" s="165"/>
      <c r="G345" s="165"/>
      <c r="H345" s="165"/>
      <c r="I345" s="165"/>
      <c r="J345" s="165"/>
      <c r="K345" s="165"/>
      <c r="L345" s="165"/>
      <c r="M345" s="163"/>
      <c r="N345" s="163"/>
      <c r="O345" s="165"/>
      <c r="P345" s="163"/>
      <c r="Q345" s="163"/>
      <c r="R345" s="163"/>
    </row>
    <row r="346" spans="5:18" ht="12">
      <c r="E346" s="165"/>
      <c r="F346" s="165"/>
      <c r="G346" s="165"/>
      <c r="H346" s="165"/>
      <c r="I346" s="165"/>
      <c r="J346" s="165"/>
      <c r="K346" s="165"/>
      <c r="L346" s="165"/>
      <c r="M346" s="163"/>
      <c r="N346" s="163"/>
      <c r="O346" s="165"/>
      <c r="P346" s="163"/>
      <c r="Q346" s="163"/>
      <c r="R346" s="163"/>
    </row>
    <row r="347" spans="5:18" ht="12">
      <c r="E347" s="165"/>
      <c r="F347" s="165"/>
      <c r="G347" s="165"/>
      <c r="H347" s="165"/>
      <c r="I347" s="165"/>
      <c r="J347" s="165"/>
      <c r="K347" s="165"/>
      <c r="L347" s="165"/>
      <c r="M347" s="163"/>
      <c r="N347" s="163"/>
      <c r="O347" s="165"/>
      <c r="P347" s="163"/>
      <c r="Q347" s="163"/>
      <c r="R347" s="163"/>
    </row>
    <row r="348" spans="5:18" ht="12">
      <c r="E348" s="165"/>
      <c r="F348" s="165"/>
      <c r="G348" s="165"/>
      <c r="H348" s="165"/>
      <c r="I348" s="165"/>
      <c r="J348" s="165"/>
      <c r="K348" s="165"/>
      <c r="L348" s="165"/>
      <c r="M348" s="163"/>
      <c r="N348" s="163"/>
      <c r="O348" s="165"/>
      <c r="P348" s="163"/>
      <c r="Q348" s="163"/>
      <c r="R348" s="163"/>
    </row>
    <row r="349" spans="5:18" ht="12">
      <c r="E349" s="165"/>
      <c r="F349" s="165"/>
      <c r="G349" s="165"/>
      <c r="H349" s="165"/>
      <c r="I349" s="165"/>
      <c r="J349" s="165"/>
      <c r="K349" s="165"/>
      <c r="L349" s="165"/>
      <c r="M349" s="163"/>
      <c r="N349" s="163"/>
      <c r="O349" s="165"/>
      <c r="P349" s="163"/>
      <c r="Q349" s="163"/>
      <c r="R349" s="163"/>
    </row>
    <row r="350" spans="5:18" ht="12">
      <c r="E350" s="165"/>
      <c r="F350" s="165"/>
      <c r="G350" s="165"/>
      <c r="H350" s="165"/>
      <c r="I350" s="165"/>
      <c r="J350" s="165"/>
      <c r="K350" s="165"/>
      <c r="L350" s="165"/>
      <c r="M350" s="163"/>
      <c r="N350" s="163"/>
      <c r="O350" s="165"/>
      <c r="P350" s="163"/>
      <c r="Q350" s="163"/>
      <c r="R350" s="163"/>
    </row>
    <row r="351" spans="5:18" ht="12">
      <c r="E351" s="165"/>
      <c r="F351" s="165"/>
      <c r="G351" s="165"/>
      <c r="H351" s="165"/>
      <c r="I351" s="165"/>
      <c r="J351" s="165"/>
      <c r="K351" s="165"/>
      <c r="L351" s="165"/>
      <c r="M351" s="163"/>
      <c r="N351" s="163"/>
      <c r="O351" s="165"/>
      <c r="P351" s="163"/>
      <c r="Q351" s="163"/>
      <c r="R351" s="163"/>
    </row>
    <row r="352" spans="5:18" ht="12">
      <c r="E352" s="165"/>
      <c r="F352" s="165"/>
      <c r="G352" s="165"/>
      <c r="H352" s="165"/>
      <c r="I352" s="165"/>
      <c r="J352" s="165"/>
      <c r="K352" s="165"/>
      <c r="L352" s="165"/>
      <c r="M352" s="163"/>
      <c r="N352" s="163"/>
      <c r="O352" s="165"/>
      <c r="P352" s="163"/>
      <c r="Q352" s="163"/>
      <c r="R352" s="163"/>
    </row>
    <row r="353" spans="5:18" ht="12">
      <c r="E353" s="165"/>
      <c r="F353" s="165"/>
      <c r="G353" s="165"/>
      <c r="H353" s="165"/>
      <c r="I353" s="165"/>
      <c r="J353" s="165"/>
      <c r="K353" s="165"/>
      <c r="L353" s="165"/>
      <c r="M353" s="163"/>
      <c r="N353" s="163"/>
      <c r="O353" s="165"/>
      <c r="P353" s="163"/>
      <c r="Q353" s="163"/>
      <c r="R353" s="163"/>
    </row>
    <row r="354" spans="5:18" ht="12">
      <c r="E354" s="165"/>
      <c r="F354" s="165"/>
      <c r="G354" s="165"/>
      <c r="H354" s="165"/>
      <c r="I354" s="165"/>
      <c r="J354" s="165"/>
      <c r="K354" s="165"/>
      <c r="L354" s="165"/>
      <c r="M354" s="163"/>
      <c r="N354" s="163"/>
      <c r="O354" s="165"/>
      <c r="P354" s="163"/>
      <c r="Q354" s="163"/>
      <c r="R354" s="163"/>
    </row>
    <row r="355" spans="5:18" ht="12">
      <c r="E355" s="165"/>
      <c r="F355" s="165"/>
      <c r="G355" s="165"/>
      <c r="H355" s="165"/>
      <c r="I355" s="165"/>
      <c r="J355" s="165"/>
      <c r="K355" s="165"/>
      <c r="L355" s="165"/>
      <c r="M355" s="163"/>
      <c r="N355" s="163"/>
      <c r="O355" s="165"/>
      <c r="P355" s="163"/>
      <c r="Q355" s="163"/>
      <c r="R355" s="163"/>
    </row>
    <row r="356" spans="5:18" ht="12">
      <c r="E356" s="165"/>
      <c r="F356" s="165"/>
      <c r="G356" s="165"/>
      <c r="H356" s="165"/>
      <c r="I356" s="165"/>
      <c r="J356" s="165"/>
      <c r="K356" s="165"/>
      <c r="L356" s="165"/>
      <c r="M356" s="163"/>
      <c r="N356" s="163"/>
      <c r="O356" s="165"/>
      <c r="P356" s="163"/>
      <c r="Q356" s="163"/>
      <c r="R356" s="163"/>
    </row>
    <row r="357" spans="5:18" ht="12">
      <c r="E357" s="165"/>
      <c r="F357" s="165"/>
      <c r="G357" s="165"/>
      <c r="H357" s="165"/>
      <c r="I357" s="165"/>
      <c r="J357" s="165"/>
      <c r="K357" s="165"/>
      <c r="L357" s="165"/>
      <c r="M357" s="163"/>
      <c r="N357" s="163"/>
      <c r="O357" s="165"/>
      <c r="P357" s="163"/>
      <c r="Q357" s="163"/>
      <c r="R357" s="163"/>
    </row>
    <row r="358" spans="5:18">
      <c r="E358" s="35"/>
      <c r="F358" s="35"/>
      <c r="G358" s="35"/>
      <c r="H358" s="532"/>
      <c r="I358" s="35"/>
      <c r="J358" s="35"/>
      <c r="K358" s="35"/>
      <c r="L358" s="35"/>
      <c r="M358" s="36"/>
      <c r="N358" s="33"/>
      <c r="O358" s="35"/>
      <c r="P358" s="33"/>
      <c r="Q358" s="33"/>
      <c r="R358" s="36"/>
    </row>
    <row r="359" spans="5:18">
      <c r="E359" s="35"/>
      <c r="F359" s="35"/>
      <c r="G359" s="35"/>
      <c r="H359" s="532"/>
      <c r="I359" s="35"/>
      <c r="J359" s="35"/>
      <c r="K359" s="35"/>
      <c r="L359" s="35"/>
      <c r="M359" s="36"/>
      <c r="N359" s="33"/>
      <c r="O359" s="35"/>
      <c r="P359" s="33"/>
      <c r="Q359" s="33"/>
      <c r="R359" s="36"/>
    </row>
    <row r="360" spans="5:18">
      <c r="E360" s="35"/>
      <c r="F360" s="35"/>
      <c r="G360" s="35"/>
      <c r="H360" s="532"/>
      <c r="I360" s="35"/>
      <c r="J360" s="35"/>
      <c r="K360" s="35"/>
      <c r="L360" s="35"/>
      <c r="M360" s="36"/>
      <c r="N360" s="33"/>
      <c r="O360" s="35"/>
      <c r="P360" s="33"/>
      <c r="Q360" s="33"/>
      <c r="R360" s="36"/>
    </row>
    <row r="361" spans="5:18">
      <c r="E361" s="35"/>
      <c r="F361" s="35"/>
      <c r="G361" s="35"/>
      <c r="H361" s="532"/>
      <c r="I361" s="35"/>
      <c r="J361" s="35"/>
      <c r="K361" s="35"/>
      <c r="L361" s="35"/>
      <c r="M361" s="36"/>
      <c r="N361" s="33"/>
      <c r="O361" s="35"/>
      <c r="P361" s="33"/>
      <c r="Q361" s="33"/>
      <c r="R361" s="36"/>
    </row>
    <row r="362" spans="5:18">
      <c r="E362" s="35"/>
      <c r="F362" s="35"/>
      <c r="G362" s="35"/>
      <c r="H362" s="532"/>
      <c r="I362" s="35"/>
      <c r="J362" s="35"/>
      <c r="K362" s="35"/>
      <c r="L362" s="35"/>
      <c r="M362" s="36"/>
      <c r="N362" s="33"/>
      <c r="O362" s="35"/>
      <c r="P362" s="33"/>
      <c r="Q362" s="33"/>
      <c r="R362" s="36"/>
    </row>
    <row r="363" spans="5:18">
      <c r="E363" s="35"/>
      <c r="F363" s="35"/>
      <c r="G363" s="35"/>
      <c r="H363" s="532"/>
      <c r="I363" s="35"/>
      <c r="J363" s="35"/>
      <c r="K363" s="35"/>
      <c r="L363" s="35"/>
      <c r="M363" s="36"/>
      <c r="N363" s="33"/>
      <c r="O363" s="35"/>
      <c r="P363" s="33"/>
      <c r="Q363" s="33"/>
      <c r="R363" s="36"/>
    </row>
    <row r="364" spans="5:18">
      <c r="E364" s="35"/>
      <c r="F364" s="35"/>
      <c r="G364" s="35"/>
      <c r="H364" s="532"/>
      <c r="I364" s="35"/>
      <c r="J364" s="35"/>
      <c r="K364" s="35"/>
      <c r="L364" s="35"/>
      <c r="M364" s="36"/>
      <c r="N364" s="33"/>
      <c r="O364" s="35"/>
      <c r="P364" s="33"/>
      <c r="Q364" s="33"/>
      <c r="R364" s="36"/>
    </row>
    <row r="365" spans="5:18">
      <c r="E365" s="35"/>
      <c r="F365" s="35"/>
      <c r="G365" s="35"/>
      <c r="H365" s="532"/>
      <c r="I365" s="35"/>
      <c r="J365" s="35"/>
      <c r="K365" s="35"/>
      <c r="L365" s="35"/>
      <c r="M365" s="36"/>
      <c r="N365" s="33"/>
      <c r="O365" s="35"/>
      <c r="P365" s="33"/>
      <c r="Q365" s="33"/>
      <c r="R365" s="36"/>
    </row>
    <row r="366" spans="5:18">
      <c r="E366" s="35"/>
      <c r="F366" s="35"/>
      <c r="G366" s="35"/>
      <c r="H366" s="532"/>
      <c r="I366" s="35"/>
      <c r="J366" s="35"/>
      <c r="K366" s="35"/>
      <c r="L366" s="35"/>
      <c r="M366" s="36"/>
      <c r="N366" s="33"/>
      <c r="O366" s="35"/>
      <c r="P366" s="33"/>
      <c r="Q366" s="33"/>
      <c r="R366" s="36"/>
    </row>
    <row r="367" spans="5:18">
      <c r="E367" s="35"/>
      <c r="F367" s="35"/>
      <c r="G367" s="35"/>
      <c r="H367" s="532"/>
      <c r="I367" s="35"/>
      <c r="J367" s="35"/>
      <c r="K367" s="35"/>
      <c r="L367" s="35"/>
      <c r="M367" s="36"/>
      <c r="N367" s="33"/>
      <c r="O367" s="35"/>
      <c r="P367" s="33"/>
      <c r="Q367" s="33"/>
      <c r="R367" s="36"/>
    </row>
    <row r="368" spans="5:18">
      <c r="E368" s="35"/>
      <c r="F368" s="35"/>
      <c r="G368" s="35"/>
      <c r="H368" s="532"/>
      <c r="I368" s="35"/>
      <c r="J368" s="35"/>
      <c r="K368" s="35"/>
      <c r="L368" s="35"/>
      <c r="M368" s="36"/>
      <c r="N368" s="33"/>
      <c r="O368" s="35"/>
      <c r="P368" s="33"/>
      <c r="Q368" s="33"/>
      <c r="R368" s="36"/>
    </row>
    <row r="369" spans="5:18">
      <c r="E369" s="35"/>
      <c r="F369" s="35"/>
      <c r="G369" s="35"/>
      <c r="H369" s="532"/>
      <c r="I369" s="35"/>
      <c r="J369" s="35"/>
      <c r="K369" s="35"/>
      <c r="L369" s="35"/>
      <c r="M369" s="36"/>
      <c r="N369" s="33"/>
      <c r="O369" s="35"/>
      <c r="P369" s="33"/>
      <c r="Q369" s="33"/>
      <c r="R369" s="36"/>
    </row>
    <row r="370" spans="5:18">
      <c r="E370" s="35"/>
      <c r="F370" s="35"/>
      <c r="G370" s="35"/>
      <c r="H370" s="532"/>
      <c r="I370" s="35"/>
      <c r="J370" s="35"/>
      <c r="K370" s="35"/>
      <c r="L370" s="35"/>
      <c r="M370" s="36"/>
      <c r="N370" s="33"/>
      <c r="O370" s="35"/>
      <c r="P370" s="33"/>
      <c r="Q370" s="33"/>
      <c r="R370" s="36"/>
    </row>
    <row r="371" spans="5:18">
      <c r="E371" s="35"/>
      <c r="F371" s="35"/>
      <c r="G371" s="35"/>
      <c r="H371" s="532"/>
      <c r="I371" s="35"/>
      <c r="J371" s="35"/>
      <c r="K371" s="35"/>
      <c r="L371" s="35"/>
      <c r="M371" s="36"/>
      <c r="N371" s="33"/>
      <c r="O371" s="35"/>
      <c r="P371" s="33"/>
      <c r="Q371" s="33"/>
      <c r="R371" s="36"/>
    </row>
    <row r="372" spans="5:18">
      <c r="E372" s="35"/>
      <c r="F372" s="35"/>
      <c r="G372" s="35"/>
      <c r="H372" s="532"/>
      <c r="I372" s="35"/>
      <c r="J372" s="35"/>
      <c r="K372" s="35"/>
      <c r="L372" s="35"/>
      <c r="M372" s="36"/>
      <c r="N372" s="33"/>
      <c r="O372" s="35"/>
      <c r="P372" s="33"/>
      <c r="Q372" s="33"/>
      <c r="R372" s="36"/>
    </row>
    <row r="373" spans="5:18">
      <c r="E373" s="35"/>
      <c r="F373" s="35"/>
      <c r="G373" s="35"/>
      <c r="H373" s="532"/>
      <c r="I373" s="35"/>
      <c r="J373" s="35"/>
      <c r="K373" s="35"/>
      <c r="L373" s="35"/>
      <c r="M373" s="36"/>
      <c r="N373" s="33"/>
      <c r="O373" s="35"/>
      <c r="P373" s="33"/>
      <c r="Q373" s="33"/>
      <c r="R373" s="36"/>
    </row>
    <row r="374" spans="5:18">
      <c r="E374" s="35"/>
      <c r="F374" s="35"/>
      <c r="G374" s="35"/>
      <c r="H374" s="532"/>
      <c r="I374" s="35"/>
      <c r="J374" s="35"/>
      <c r="K374" s="35"/>
      <c r="L374" s="35"/>
      <c r="M374" s="36"/>
      <c r="N374" s="33"/>
      <c r="O374" s="35"/>
      <c r="P374" s="33"/>
      <c r="Q374" s="33"/>
      <c r="R374" s="36"/>
    </row>
    <row r="375" spans="5:18">
      <c r="E375" s="35"/>
      <c r="F375" s="35"/>
      <c r="G375" s="35"/>
      <c r="H375" s="532"/>
      <c r="I375" s="35"/>
      <c r="J375" s="35"/>
      <c r="K375" s="35"/>
      <c r="L375" s="35"/>
      <c r="M375" s="36"/>
      <c r="N375" s="33"/>
      <c r="O375" s="35"/>
      <c r="P375" s="33"/>
      <c r="Q375" s="33"/>
      <c r="R375" s="36"/>
    </row>
    <row r="376" spans="5:18">
      <c r="E376" s="35"/>
      <c r="F376" s="35"/>
      <c r="G376" s="35"/>
      <c r="H376" s="532"/>
      <c r="I376" s="35"/>
      <c r="J376" s="35"/>
      <c r="K376" s="35"/>
      <c r="L376" s="35"/>
      <c r="M376" s="36"/>
      <c r="N376" s="33"/>
      <c r="O376" s="35"/>
      <c r="P376" s="33"/>
      <c r="Q376" s="33"/>
      <c r="R376" s="36"/>
    </row>
    <row r="377" spans="5:18">
      <c r="E377" s="35"/>
      <c r="F377" s="35"/>
      <c r="G377" s="35"/>
      <c r="H377" s="532"/>
      <c r="I377" s="35"/>
      <c r="J377" s="35"/>
      <c r="K377" s="35"/>
      <c r="L377" s="35"/>
      <c r="M377" s="36"/>
      <c r="N377" s="33"/>
      <c r="O377" s="35"/>
      <c r="P377" s="33"/>
      <c r="Q377" s="33"/>
      <c r="R377" s="36"/>
    </row>
    <row r="378" spans="5:18">
      <c r="E378" s="35"/>
      <c r="F378" s="35"/>
      <c r="G378" s="35"/>
      <c r="H378" s="532"/>
      <c r="I378" s="35"/>
      <c r="J378" s="35"/>
      <c r="K378" s="35"/>
      <c r="L378" s="35"/>
      <c r="M378" s="36"/>
      <c r="N378" s="33"/>
      <c r="O378" s="35"/>
      <c r="P378" s="33"/>
      <c r="Q378" s="33"/>
      <c r="R378" s="36"/>
    </row>
    <row r="379" spans="5:18">
      <c r="E379" s="35"/>
      <c r="F379" s="35"/>
      <c r="G379" s="35"/>
      <c r="H379" s="532"/>
      <c r="I379" s="35"/>
      <c r="J379" s="35"/>
      <c r="K379" s="35"/>
      <c r="L379" s="35"/>
      <c r="M379" s="36"/>
      <c r="N379" s="33"/>
      <c r="O379" s="35"/>
      <c r="P379" s="33"/>
      <c r="Q379" s="33"/>
      <c r="R379" s="36"/>
    </row>
    <row r="380" spans="5:18">
      <c r="E380" s="35"/>
      <c r="F380" s="35"/>
      <c r="G380" s="35"/>
      <c r="H380" s="532"/>
      <c r="I380" s="35"/>
      <c r="J380" s="35"/>
      <c r="K380" s="35"/>
      <c r="L380" s="35"/>
      <c r="M380" s="36"/>
      <c r="N380" s="33"/>
      <c r="O380" s="35"/>
      <c r="P380" s="33"/>
      <c r="Q380" s="33"/>
      <c r="R380" s="36"/>
    </row>
    <row r="381" spans="5:18">
      <c r="E381" s="35"/>
      <c r="F381" s="35"/>
      <c r="G381" s="35"/>
      <c r="H381" s="532"/>
      <c r="I381" s="35"/>
      <c r="J381" s="35"/>
      <c r="K381" s="35"/>
      <c r="L381" s="35"/>
      <c r="M381" s="36"/>
      <c r="N381" s="33"/>
      <c r="O381" s="35"/>
      <c r="P381" s="33"/>
      <c r="Q381" s="33"/>
      <c r="R381" s="36"/>
    </row>
    <row r="382" spans="5:18">
      <c r="E382" s="35"/>
      <c r="F382" s="35"/>
      <c r="G382" s="35"/>
      <c r="H382" s="532"/>
      <c r="I382" s="35"/>
      <c r="J382" s="35"/>
      <c r="K382" s="35"/>
      <c r="L382" s="35"/>
      <c r="M382" s="36"/>
      <c r="N382" s="33"/>
      <c r="O382" s="35"/>
      <c r="P382" s="33"/>
      <c r="Q382" s="33"/>
      <c r="R382" s="36"/>
    </row>
    <row r="383" spans="5:18">
      <c r="E383" s="35"/>
      <c r="F383" s="35"/>
      <c r="G383" s="35"/>
      <c r="H383" s="532"/>
      <c r="I383" s="35"/>
      <c r="J383" s="35"/>
      <c r="K383" s="35"/>
      <c r="L383" s="35"/>
      <c r="M383" s="36"/>
      <c r="N383" s="33"/>
      <c r="O383" s="35"/>
      <c r="P383" s="33"/>
      <c r="Q383" s="33"/>
      <c r="R383" s="36"/>
    </row>
    <row r="384" spans="5:18">
      <c r="E384" s="35"/>
      <c r="F384" s="35"/>
      <c r="G384" s="35"/>
      <c r="H384" s="532"/>
      <c r="I384" s="35"/>
      <c r="J384" s="35"/>
      <c r="K384" s="35"/>
      <c r="L384" s="35"/>
      <c r="M384" s="36"/>
      <c r="N384" s="33"/>
      <c r="O384" s="35"/>
      <c r="P384" s="33"/>
      <c r="Q384" s="33"/>
      <c r="R384" s="36"/>
    </row>
    <row r="385" spans="5:18">
      <c r="E385" s="35"/>
      <c r="F385" s="35"/>
      <c r="G385" s="35"/>
      <c r="H385" s="532"/>
      <c r="I385" s="35"/>
      <c r="J385" s="35"/>
      <c r="K385" s="35"/>
      <c r="L385" s="35"/>
      <c r="M385" s="36"/>
      <c r="N385" s="33"/>
      <c r="O385" s="35"/>
      <c r="P385" s="33"/>
      <c r="Q385" s="33"/>
      <c r="R385" s="36"/>
    </row>
    <row r="386" spans="5:18">
      <c r="E386" s="35"/>
      <c r="F386" s="35"/>
      <c r="G386" s="35"/>
      <c r="H386" s="532"/>
      <c r="I386" s="35"/>
      <c r="J386" s="35"/>
      <c r="K386" s="35"/>
      <c r="L386" s="35"/>
      <c r="M386" s="36"/>
      <c r="N386" s="33"/>
      <c r="O386" s="35"/>
      <c r="P386" s="33"/>
      <c r="Q386" s="33"/>
      <c r="R386" s="36"/>
    </row>
    <row r="387" spans="5:18">
      <c r="E387" s="35"/>
      <c r="F387" s="35"/>
      <c r="G387" s="35"/>
      <c r="H387" s="532"/>
      <c r="I387" s="35"/>
      <c r="J387" s="35"/>
      <c r="K387" s="35"/>
      <c r="L387" s="35"/>
      <c r="M387" s="36"/>
      <c r="N387" s="33"/>
      <c r="O387" s="35"/>
      <c r="P387" s="33"/>
      <c r="Q387" s="33"/>
      <c r="R387" s="36"/>
    </row>
    <row r="388" spans="5:18">
      <c r="E388" s="35"/>
      <c r="F388" s="35"/>
      <c r="G388" s="35"/>
      <c r="H388" s="532"/>
      <c r="I388" s="35"/>
      <c r="J388" s="35"/>
      <c r="K388" s="35"/>
      <c r="L388" s="35"/>
      <c r="M388" s="36"/>
      <c r="N388" s="33"/>
      <c r="O388" s="35"/>
      <c r="P388" s="33"/>
      <c r="Q388" s="33"/>
      <c r="R388" s="36"/>
    </row>
    <row r="389" spans="5:18">
      <c r="E389" s="35"/>
      <c r="F389" s="35"/>
      <c r="G389" s="35"/>
      <c r="H389" s="532"/>
      <c r="I389" s="35"/>
      <c r="J389" s="35"/>
      <c r="K389" s="35"/>
      <c r="L389" s="35"/>
      <c r="M389" s="36"/>
      <c r="N389" s="33"/>
      <c r="O389" s="35"/>
      <c r="P389" s="33"/>
      <c r="Q389" s="33"/>
      <c r="R389" s="36"/>
    </row>
    <row r="390" spans="5:18">
      <c r="E390" s="35"/>
      <c r="F390" s="35"/>
      <c r="G390" s="35"/>
      <c r="H390" s="532"/>
      <c r="I390" s="35"/>
      <c r="J390" s="35"/>
      <c r="K390" s="35"/>
      <c r="L390" s="35"/>
      <c r="M390" s="36"/>
      <c r="N390" s="33"/>
      <c r="O390" s="35"/>
      <c r="P390" s="33"/>
      <c r="Q390" s="33"/>
      <c r="R390" s="36"/>
    </row>
    <row r="391" spans="5:18">
      <c r="E391" s="35"/>
      <c r="F391" s="35"/>
      <c r="G391" s="35"/>
      <c r="H391" s="532"/>
      <c r="I391" s="35"/>
      <c r="J391" s="35"/>
      <c r="K391" s="35"/>
      <c r="L391" s="35"/>
      <c r="M391" s="36"/>
      <c r="N391" s="33"/>
      <c r="O391" s="35"/>
      <c r="P391" s="33"/>
      <c r="Q391" s="33"/>
      <c r="R391" s="36"/>
    </row>
    <row r="392" spans="5:18">
      <c r="E392" s="35"/>
      <c r="F392" s="35"/>
      <c r="G392" s="35"/>
      <c r="H392" s="532"/>
      <c r="I392" s="35"/>
      <c r="J392" s="35"/>
      <c r="K392" s="35"/>
      <c r="L392" s="35"/>
      <c r="M392" s="36"/>
      <c r="N392" s="33"/>
      <c r="O392" s="35"/>
      <c r="P392" s="33"/>
      <c r="Q392" s="33"/>
      <c r="R392" s="36"/>
    </row>
    <row r="393" spans="5:18">
      <c r="E393" s="35"/>
      <c r="F393" s="35"/>
      <c r="G393" s="35"/>
      <c r="H393" s="532"/>
      <c r="I393" s="35"/>
      <c r="J393" s="35"/>
      <c r="K393" s="35"/>
      <c r="L393" s="35"/>
      <c r="M393" s="36"/>
      <c r="N393" s="33"/>
      <c r="O393" s="35"/>
      <c r="P393" s="33"/>
      <c r="Q393" s="33"/>
      <c r="R393" s="36"/>
    </row>
    <row r="394" spans="5:18">
      <c r="E394" s="35"/>
      <c r="F394" s="35"/>
      <c r="G394" s="35"/>
      <c r="H394" s="532"/>
      <c r="I394" s="35"/>
      <c r="J394" s="35"/>
      <c r="K394" s="35"/>
      <c r="L394" s="35"/>
      <c r="M394" s="36"/>
      <c r="N394" s="33"/>
      <c r="O394" s="35"/>
      <c r="P394" s="33"/>
      <c r="Q394" s="33"/>
      <c r="R394" s="36"/>
    </row>
    <row r="395" spans="5:18">
      <c r="E395" s="35"/>
      <c r="F395" s="35"/>
      <c r="G395" s="35"/>
      <c r="H395" s="532"/>
      <c r="I395" s="35"/>
      <c r="J395" s="35"/>
      <c r="K395" s="35"/>
      <c r="L395" s="35"/>
      <c r="M395" s="36"/>
      <c r="N395" s="33"/>
      <c r="O395" s="35"/>
      <c r="P395" s="33"/>
      <c r="Q395" s="33"/>
      <c r="R395" s="36"/>
    </row>
    <row r="396" spans="5:18">
      <c r="E396" s="35"/>
      <c r="F396" s="35"/>
      <c r="G396" s="35"/>
      <c r="H396" s="532"/>
      <c r="I396" s="35"/>
      <c r="J396" s="35"/>
      <c r="K396" s="35"/>
      <c r="L396" s="35"/>
      <c r="M396" s="36"/>
      <c r="N396" s="33"/>
      <c r="O396" s="35"/>
      <c r="P396" s="33"/>
      <c r="Q396" s="33"/>
      <c r="R396" s="36"/>
    </row>
    <row r="397" spans="5:18">
      <c r="E397" s="35"/>
      <c r="F397" s="35"/>
      <c r="G397" s="35"/>
      <c r="H397" s="532"/>
      <c r="I397" s="35"/>
      <c r="J397" s="35"/>
      <c r="K397" s="35"/>
      <c r="L397" s="35"/>
      <c r="M397" s="36"/>
      <c r="N397" s="33"/>
      <c r="O397" s="35"/>
      <c r="P397" s="33"/>
      <c r="Q397" s="33"/>
      <c r="R397" s="36"/>
    </row>
    <row r="398" spans="5:18">
      <c r="E398" s="35"/>
      <c r="F398" s="35"/>
      <c r="G398" s="35"/>
      <c r="H398" s="532"/>
      <c r="I398" s="35"/>
      <c r="J398" s="35"/>
      <c r="K398" s="35"/>
      <c r="L398" s="35"/>
      <c r="M398" s="36"/>
      <c r="N398" s="33"/>
      <c r="O398" s="35"/>
      <c r="P398" s="33"/>
      <c r="Q398" s="33"/>
      <c r="R398" s="36"/>
    </row>
    <row r="399" spans="5:18">
      <c r="E399" s="35"/>
      <c r="F399" s="35"/>
      <c r="G399" s="35"/>
      <c r="H399" s="532"/>
      <c r="I399" s="35"/>
      <c r="J399" s="35"/>
      <c r="K399" s="35"/>
      <c r="L399" s="35"/>
      <c r="M399" s="36"/>
      <c r="N399" s="33"/>
      <c r="O399" s="35"/>
      <c r="P399" s="33"/>
      <c r="Q399" s="33"/>
      <c r="R399" s="36"/>
    </row>
    <row r="400" spans="5:18">
      <c r="E400" s="35"/>
      <c r="F400" s="35"/>
      <c r="G400" s="35"/>
      <c r="H400" s="532"/>
      <c r="I400" s="35"/>
      <c r="J400" s="35"/>
      <c r="K400" s="35"/>
      <c r="L400" s="35"/>
      <c r="M400" s="36"/>
      <c r="N400" s="33"/>
      <c r="O400" s="35"/>
      <c r="P400" s="33"/>
      <c r="Q400" s="33"/>
      <c r="R400" s="36"/>
    </row>
    <row r="401" spans="5:18">
      <c r="E401" s="35"/>
      <c r="F401" s="35"/>
      <c r="G401" s="35"/>
      <c r="H401" s="532"/>
      <c r="I401" s="35"/>
      <c r="J401" s="35"/>
      <c r="K401" s="35"/>
      <c r="L401" s="35"/>
      <c r="M401" s="36"/>
      <c r="N401" s="33"/>
      <c r="O401" s="35"/>
      <c r="P401" s="33"/>
      <c r="Q401" s="33"/>
      <c r="R401" s="36"/>
    </row>
    <row r="402" spans="5:18">
      <c r="E402" s="35"/>
      <c r="F402" s="35"/>
      <c r="G402" s="35"/>
      <c r="H402" s="532"/>
      <c r="I402" s="35"/>
      <c r="J402" s="35"/>
      <c r="K402" s="35"/>
      <c r="L402" s="35"/>
      <c r="M402" s="36"/>
      <c r="N402" s="33"/>
      <c r="O402" s="35"/>
      <c r="P402" s="33"/>
      <c r="Q402" s="33"/>
      <c r="R402" s="36"/>
    </row>
    <row r="403" spans="5:18">
      <c r="E403" s="35"/>
      <c r="F403" s="35"/>
      <c r="G403" s="35"/>
      <c r="H403" s="532"/>
      <c r="I403" s="35"/>
      <c r="J403" s="35"/>
      <c r="K403" s="35"/>
      <c r="L403" s="35"/>
      <c r="M403" s="36"/>
      <c r="N403" s="33"/>
      <c r="O403" s="35"/>
      <c r="P403" s="33"/>
      <c r="Q403" s="33"/>
      <c r="R403" s="36"/>
    </row>
    <row r="404" spans="5:18">
      <c r="E404" s="35"/>
      <c r="F404" s="35"/>
      <c r="G404" s="35"/>
      <c r="H404" s="532"/>
      <c r="I404" s="35"/>
      <c r="J404" s="35"/>
      <c r="K404" s="35"/>
      <c r="L404" s="35"/>
      <c r="M404" s="36"/>
      <c r="N404" s="33"/>
      <c r="O404" s="35"/>
      <c r="P404" s="33"/>
      <c r="Q404" s="33"/>
      <c r="R404" s="36"/>
    </row>
    <row r="405" spans="5:18">
      <c r="E405" s="35"/>
      <c r="F405" s="35"/>
      <c r="G405" s="35"/>
      <c r="H405" s="532"/>
      <c r="I405" s="35"/>
      <c r="J405" s="35"/>
      <c r="K405" s="35"/>
      <c r="L405" s="35"/>
      <c r="M405" s="36"/>
      <c r="N405" s="33"/>
      <c r="O405" s="35"/>
      <c r="P405" s="33"/>
      <c r="Q405" s="33"/>
      <c r="R405" s="36"/>
    </row>
    <row r="406" spans="5:18">
      <c r="E406" s="35"/>
      <c r="F406" s="35"/>
      <c r="G406" s="35"/>
      <c r="H406" s="532"/>
      <c r="I406" s="35"/>
      <c r="J406" s="35"/>
      <c r="K406" s="35"/>
      <c r="L406" s="35"/>
      <c r="M406" s="36"/>
      <c r="N406" s="33"/>
      <c r="O406" s="35"/>
      <c r="P406" s="33"/>
      <c r="Q406" s="33"/>
      <c r="R406" s="36"/>
    </row>
    <row r="407" spans="5:18">
      <c r="E407" s="35"/>
      <c r="F407" s="35"/>
      <c r="G407" s="35"/>
      <c r="H407" s="532"/>
      <c r="I407" s="35"/>
      <c r="J407" s="35"/>
      <c r="K407" s="35"/>
      <c r="L407" s="35"/>
      <c r="M407" s="36"/>
      <c r="N407" s="33"/>
      <c r="O407" s="35"/>
      <c r="P407" s="33"/>
      <c r="Q407" s="33"/>
      <c r="R407" s="36"/>
    </row>
    <row r="408" spans="5:18">
      <c r="E408" s="35"/>
      <c r="F408" s="35"/>
      <c r="G408" s="35"/>
      <c r="H408" s="532"/>
      <c r="I408" s="35"/>
      <c r="J408" s="35"/>
      <c r="K408" s="35"/>
      <c r="L408" s="35"/>
      <c r="M408" s="36"/>
      <c r="N408" s="33"/>
      <c r="O408" s="35"/>
      <c r="P408" s="33"/>
      <c r="Q408" s="33"/>
      <c r="R408" s="36"/>
    </row>
    <row r="409" spans="5:18">
      <c r="E409" s="35"/>
      <c r="F409" s="35"/>
      <c r="G409" s="35"/>
      <c r="H409" s="532"/>
      <c r="I409" s="35"/>
      <c r="J409" s="35"/>
      <c r="K409" s="35"/>
      <c r="L409" s="35"/>
      <c r="M409" s="36"/>
      <c r="N409" s="33"/>
      <c r="O409" s="35"/>
      <c r="P409" s="33"/>
      <c r="Q409" s="33"/>
      <c r="R409" s="36"/>
    </row>
    <row r="410" spans="5:18">
      <c r="E410" s="35"/>
      <c r="F410" s="35"/>
      <c r="G410" s="35"/>
      <c r="H410" s="532"/>
      <c r="I410" s="35"/>
      <c r="J410" s="35"/>
      <c r="K410" s="35"/>
      <c r="L410" s="35"/>
      <c r="M410" s="36"/>
      <c r="N410" s="33"/>
      <c r="O410" s="35"/>
      <c r="P410" s="33"/>
      <c r="Q410" s="33"/>
      <c r="R410" s="36"/>
    </row>
    <row r="411" spans="5:18">
      <c r="E411" s="35"/>
      <c r="F411" s="35"/>
      <c r="G411" s="35"/>
      <c r="H411" s="532"/>
      <c r="I411" s="35"/>
      <c r="J411" s="35"/>
      <c r="K411" s="35"/>
      <c r="L411" s="35"/>
      <c r="M411" s="36"/>
      <c r="N411" s="33"/>
      <c r="O411" s="35"/>
      <c r="P411" s="33"/>
      <c r="Q411" s="33"/>
      <c r="R411" s="36"/>
    </row>
  </sheetData>
  <mergeCells count="23">
    <mergeCell ref="A5:A7"/>
    <mergeCell ref="B5:B7"/>
    <mergeCell ref="C5:C7"/>
    <mergeCell ref="I5:I7"/>
    <mergeCell ref="R5:R7"/>
    <mergeCell ref="L6:L7"/>
    <mergeCell ref="O6:O7"/>
    <mergeCell ref="Q6:Q7"/>
    <mergeCell ref="J6:J7"/>
    <mergeCell ref="J5:L5"/>
    <mergeCell ref="M5:M7"/>
    <mergeCell ref="N5:N7"/>
    <mergeCell ref="O5:Q5"/>
    <mergeCell ref="P6:P7"/>
    <mergeCell ref="K6:K7"/>
    <mergeCell ref="F6:F7"/>
    <mergeCell ref="B2:H2"/>
    <mergeCell ref="B3:H3"/>
    <mergeCell ref="D5:D7"/>
    <mergeCell ref="E5:G5"/>
    <mergeCell ref="H5:H7"/>
    <mergeCell ref="E6:E7"/>
    <mergeCell ref="G6:G7"/>
  </mergeCells>
  <phoneticPr fontId="27" type="noConversion"/>
  <pageMargins left="0.27559055118110237" right="0.27559055118110237" top="0.39370078740157483" bottom="0.35433070866141736" header="0.23622047244094491" footer="0.15748031496062992"/>
  <pageSetup paperSize="9" scale="60" orientation="landscape" r:id="rId1"/>
  <headerFooter alignWithMargins="0">
    <oddFooter>&amp;L&amp;F&amp;C&amp;P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R469"/>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C9" sqref="C9"/>
    </sheetView>
  </sheetViews>
  <sheetFormatPr defaultColWidth="9.109375" defaultRowHeight="10.199999999999999"/>
  <cols>
    <col min="1" max="1" width="11.44140625" style="21" bestFit="1" customWidth="1"/>
    <col min="2" max="2" width="35.109375" style="1" customWidth="1"/>
    <col min="3" max="3" width="12.88671875" style="22" customWidth="1"/>
    <col min="4" max="4" width="12.6640625" style="21" customWidth="1"/>
    <col min="5" max="5" width="12" style="274" customWidth="1"/>
    <col min="6" max="7" width="11.44140625" style="273" customWidth="1"/>
    <col min="8" max="8" width="12.88671875" style="275" customWidth="1"/>
    <col min="9" max="9" width="12.109375" style="273" customWidth="1"/>
    <col min="10" max="10" width="12" style="274" customWidth="1"/>
    <col min="11" max="12" width="11.44140625" style="273" customWidth="1"/>
    <col min="13" max="13" width="11.6640625" style="275" customWidth="1"/>
    <col min="14" max="14" width="12.44140625" style="273" customWidth="1"/>
    <col min="15" max="15" width="12" style="274" customWidth="1"/>
    <col min="16" max="17" width="11.44140625" style="273" customWidth="1"/>
    <col min="18" max="18" width="12.554687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363"/>
      <c r="J2" s="363"/>
      <c r="K2" s="566"/>
      <c r="L2" s="363"/>
      <c r="M2" s="220"/>
      <c r="N2" s="363"/>
      <c r="O2" s="363"/>
      <c r="P2" s="566"/>
      <c r="Q2" s="363"/>
      <c r="R2" s="220"/>
    </row>
    <row r="3" spans="1:18" s="1" customFormat="1" ht="13.2">
      <c r="A3" s="221"/>
      <c r="B3" s="1400" t="s">
        <v>489</v>
      </c>
      <c r="C3" s="1400"/>
      <c r="D3" s="1400"/>
      <c r="E3" s="1400"/>
      <c r="F3" s="1400"/>
      <c r="G3" s="1400"/>
      <c r="H3" s="1400"/>
      <c r="I3" s="567"/>
      <c r="J3" s="567"/>
      <c r="K3" s="567"/>
      <c r="L3" s="567"/>
      <c r="M3" s="220"/>
      <c r="N3" s="567"/>
      <c r="O3" s="567"/>
      <c r="P3" s="567"/>
      <c r="Q3" s="567"/>
      <c r="R3" s="220"/>
    </row>
    <row r="4" spans="1:18" s="1" customFormat="1" ht="13.2">
      <c r="A4" s="221"/>
      <c r="B4" s="567"/>
      <c r="C4" s="222"/>
      <c r="D4" s="567"/>
      <c r="E4" s="567"/>
      <c r="F4" s="567"/>
      <c r="G4" s="567"/>
      <c r="H4" s="567"/>
      <c r="I4" s="567"/>
      <c r="J4" s="567"/>
      <c r="K4" s="567"/>
      <c r="L4" s="567"/>
      <c r="M4" s="567"/>
      <c r="N4" s="567"/>
      <c r="O4" s="567"/>
      <c r="P4" s="567"/>
      <c r="Q4" s="567"/>
      <c r="R4" s="567"/>
    </row>
    <row r="5" spans="1:18" s="1" customFormat="1" ht="14.25" customHeight="1">
      <c r="A5" s="1396" t="s">
        <v>213</v>
      </c>
      <c r="B5" s="1357"/>
      <c r="C5" s="1360" t="s">
        <v>202</v>
      </c>
      <c r="D5" s="1363" t="s">
        <v>231</v>
      </c>
      <c r="E5" s="1371" t="s">
        <v>232</v>
      </c>
      <c r="F5" s="1372"/>
      <c r="G5" s="1373"/>
      <c r="H5" s="1354" t="s">
        <v>486</v>
      </c>
      <c r="I5" s="1366" t="s">
        <v>234</v>
      </c>
      <c r="J5" s="1374" t="s">
        <v>232</v>
      </c>
      <c r="K5" s="1375"/>
      <c r="L5" s="1376"/>
      <c r="M5" s="1384" t="s">
        <v>487</v>
      </c>
      <c r="N5" s="1381" t="s">
        <v>235</v>
      </c>
      <c r="O5" s="1387" t="s">
        <v>232</v>
      </c>
      <c r="P5" s="1388"/>
      <c r="Q5" s="1389"/>
      <c r="R5" s="1393" t="s">
        <v>488</v>
      </c>
    </row>
    <row r="6" spans="1:18" s="1" customFormat="1" ht="18" customHeight="1">
      <c r="A6" s="1396"/>
      <c r="B6" s="1358"/>
      <c r="C6" s="1361"/>
      <c r="D6" s="1364"/>
      <c r="E6" s="1369" t="s">
        <v>233</v>
      </c>
      <c r="F6" s="1369" t="s">
        <v>496</v>
      </c>
      <c r="G6" s="1369" t="s">
        <v>485</v>
      </c>
      <c r="H6" s="1355"/>
      <c r="I6" s="1367"/>
      <c r="J6" s="1377" t="s">
        <v>233</v>
      </c>
      <c r="K6" s="1377" t="s">
        <v>496</v>
      </c>
      <c r="L6" s="1377" t="s">
        <v>485</v>
      </c>
      <c r="M6" s="1385"/>
      <c r="N6" s="1382"/>
      <c r="O6" s="1379" t="s">
        <v>233</v>
      </c>
      <c r="P6" s="1379" t="s">
        <v>496</v>
      </c>
      <c r="Q6" s="1379" t="s">
        <v>485</v>
      </c>
      <c r="R6" s="1394"/>
    </row>
    <row r="7" spans="1:18" s="1" customFormat="1" ht="25.95" customHeight="1">
      <c r="A7" s="1396"/>
      <c r="B7" s="1359"/>
      <c r="C7" s="1362"/>
      <c r="D7" s="1365"/>
      <c r="E7" s="1370"/>
      <c r="F7" s="1370"/>
      <c r="G7" s="1370"/>
      <c r="H7" s="1356"/>
      <c r="I7" s="1368"/>
      <c r="J7" s="1378"/>
      <c r="K7" s="1378"/>
      <c r="L7" s="1378"/>
      <c r="M7" s="1386"/>
      <c r="N7" s="1383"/>
      <c r="O7" s="1380"/>
      <c r="P7" s="1380"/>
      <c r="Q7" s="1380"/>
      <c r="R7" s="1395"/>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5"/>
      <c r="B9" s="392" t="s">
        <v>81</v>
      </c>
      <c r="C9" s="387"/>
      <c r="D9" s="387"/>
      <c r="E9" s="226"/>
      <c r="F9" s="226"/>
      <c r="G9" s="226"/>
      <c r="H9" s="226"/>
      <c r="I9" s="365"/>
      <c r="J9" s="226"/>
      <c r="K9" s="226"/>
      <c r="L9" s="226"/>
      <c r="M9" s="226"/>
      <c r="N9" s="365"/>
      <c r="O9" s="226"/>
      <c r="P9" s="226"/>
      <c r="Q9" s="226"/>
      <c r="R9" s="226"/>
    </row>
    <row r="10" spans="1:18" s="4" customFormat="1" ht="20.399999999999999">
      <c r="A10" s="129" t="s">
        <v>201</v>
      </c>
      <c r="B10" s="123" t="s">
        <v>88</v>
      </c>
      <c r="C10" s="200">
        <v>681149</v>
      </c>
      <c r="D10" s="167">
        <v>681149</v>
      </c>
      <c r="E10" s="228">
        <f>E11+E12+E14+E32</f>
        <v>0</v>
      </c>
      <c r="F10" s="228">
        <f t="shared" ref="F10:G10" si="0">F11+F12+F14+F32</f>
        <v>0</v>
      </c>
      <c r="G10" s="228">
        <f t="shared" si="0"/>
        <v>0</v>
      </c>
      <c r="H10" s="229">
        <f t="shared" ref="H10:H73" si="1">SUM(D10:G10)</f>
        <v>681149</v>
      </c>
      <c r="I10" s="228">
        <v>681149</v>
      </c>
      <c r="J10" s="228">
        <f>J11+J12+J14+J32</f>
        <v>0</v>
      </c>
      <c r="K10" s="228">
        <f t="shared" ref="K10:L10" si="2">K11+K12+K14+K32</f>
        <v>0</v>
      </c>
      <c r="L10" s="228">
        <f t="shared" si="2"/>
        <v>0</v>
      </c>
      <c r="M10" s="229">
        <f t="shared" ref="M10:M73" si="3">SUM(I10:L10)</f>
        <v>681149</v>
      </c>
      <c r="N10" s="228">
        <v>681149</v>
      </c>
      <c r="O10" s="228">
        <f>O11+O12+O14+O32</f>
        <v>0</v>
      </c>
      <c r="P10" s="228">
        <f t="shared" ref="P10:Q10" si="4">P11+P12+P14+P32</f>
        <v>0</v>
      </c>
      <c r="Q10" s="228">
        <f t="shared" si="4"/>
        <v>0</v>
      </c>
      <c r="R10" s="229">
        <f t="shared" ref="R10:R73" si="5">SUM(N10:Q10)</f>
        <v>681149</v>
      </c>
    </row>
    <row r="11" spans="1:18" ht="22.8">
      <c r="A11" s="130" t="s">
        <v>177</v>
      </c>
      <c r="B11" s="124" t="s">
        <v>90</v>
      </c>
      <c r="C11" s="98">
        <v>22200</v>
      </c>
      <c r="D11" s="169">
        <v>22200</v>
      </c>
      <c r="E11" s="231"/>
      <c r="F11" s="231"/>
      <c r="G11" s="231"/>
      <c r="H11" s="232">
        <f t="shared" si="1"/>
        <v>22200</v>
      </c>
      <c r="I11" s="231">
        <v>22200</v>
      </c>
      <c r="J11" s="231"/>
      <c r="K11" s="231"/>
      <c r="L11" s="231"/>
      <c r="M11" s="232">
        <f t="shared" si="3"/>
        <v>22200</v>
      </c>
      <c r="N11" s="231">
        <v>22200</v>
      </c>
      <c r="O11" s="231"/>
      <c r="P11" s="231"/>
      <c r="Q11" s="231"/>
      <c r="R11" s="232">
        <f t="shared" si="5"/>
        <v>22200</v>
      </c>
    </row>
    <row r="12" spans="1:18" ht="24" hidden="1" customHeight="1">
      <c r="A12" s="130" t="s">
        <v>91</v>
      </c>
      <c r="B12" s="124" t="s">
        <v>92</v>
      </c>
      <c r="C12" s="98"/>
      <c r="D12" s="169">
        <v>0</v>
      </c>
      <c r="E12" s="231"/>
      <c r="F12" s="231"/>
      <c r="G12" s="231"/>
      <c r="H12" s="232">
        <f t="shared" si="1"/>
        <v>0</v>
      </c>
      <c r="I12" s="231">
        <v>0</v>
      </c>
      <c r="J12" s="231"/>
      <c r="K12" s="231"/>
      <c r="L12" s="231"/>
      <c r="M12" s="232">
        <f t="shared" si="3"/>
        <v>0</v>
      </c>
      <c r="N12" s="231">
        <v>0</v>
      </c>
      <c r="O12" s="231"/>
      <c r="P12" s="231"/>
      <c r="Q12" s="231"/>
      <c r="R12" s="232">
        <f t="shared" si="5"/>
        <v>0</v>
      </c>
    </row>
    <row r="13" spans="1:18" ht="24" hidden="1" customHeight="1">
      <c r="A13" s="131">
        <v>21210</v>
      </c>
      <c r="B13" s="125" t="s">
        <v>93</v>
      </c>
      <c r="C13" s="98"/>
      <c r="D13" s="169">
        <v>0</v>
      </c>
      <c r="E13" s="231"/>
      <c r="F13" s="231"/>
      <c r="G13" s="231"/>
      <c r="H13" s="232">
        <f t="shared" si="1"/>
        <v>0</v>
      </c>
      <c r="I13" s="231">
        <v>0</v>
      </c>
      <c r="J13" s="231"/>
      <c r="K13" s="231"/>
      <c r="L13" s="231"/>
      <c r="M13" s="232">
        <f t="shared" si="3"/>
        <v>0</v>
      </c>
      <c r="N13" s="231">
        <v>0</v>
      </c>
      <c r="O13" s="231"/>
      <c r="P13" s="231"/>
      <c r="Q13" s="231"/>
      <c r="R13" s="232">
        <f t="shared" si="5"/>
        <v>0</v>
      </c>
    </row>
    <row r="14" spans="1:18" ht="21" hidden="1" customHeight="1">
      <c r="A14" s="130" t="s">
        <v>178</v>
      </c>
      <c r="B14" s="124" t="s">
        <v>94</v>
      </c>
      <c r="C14" s="170">
        <v>0</v>
      </c>
      <c r="D14" s="171">
        <v>0</v>
      </c>
      <c r="E14" s="233">
        <f>E15+E21</f>
        <v>0</v>
      </c>
      <c r="F14" s="233">
        <f t="shared" ref="F14:G14" si="6">F15+F21</f>
        <v>0</v>
      </c>
      <c r="G14" s="233">
        <f t="shared" si="6"/>
        <v>0</v>
      </c>
      <c r="H14" s="232">
        <f t="shared" si="1"/>
        <v>0</v>
      </c>
      <c r="I14" s="233">
        <v>0</v>
      </c>
      <c r="J14" s="233">
        <f>J15+J21</f>
        <v>0</v>
      </c>
      <c r="K14" s="233">
        <f t="shared" ref="K14:L14" si="7">K15+K21</f>
        <v>0</v>
      </c>
      <c r="L14" s="233">
        <f t="shared" si="7"/>
        <v>0</v>
      </c>
      <c r="M14" s="232">
        <f t="shared" si="3"/>
        <v>0</v>
      </c>
      <c r="N14" s="233">
        <v>0</v>
      </c>
      <c r="O14" s="233">
        <f>O15+O21</f>
        <v>0</v>
      </c>
      <c r="P14" s="233">
        <f t="shared" ref="P14:Q14" si="8">P15+P21</f>
        <v>0</v>
      </c>
      <c r="Q14" s="233">
        <f t="shared" si="8"/>
        <v>0</v>
      </c>
      <c r="R14" s="232">
        <f t="shared" si="5"/>
        <v>0</v>
      </c>
    </row>
    <row r="15" spans="1:18" ht="12" hidden="1" customHeight="1">
      <c r="A15" s="132">
        <v>18000</v>
      </c>
      <c r="B15" s="125" t="s">
        <v>95</v>
      </c>
      <c r="C15" s="170">
        <v>0</v>
      </c>
      <c r="D15" s="171">
        <v>0</v>
      </c>
      <c r="E15" s="233">
        <f t="shared" ref="E15:L16" si="9">E16</f>
        <v>0</v>
      </c>
      <c r="F15" s="233">
        <f t="shared" si="9"/>
        <v>0</v>
      </c>
      <c r="G15" s="233">
        <f t="shared" si="9"/>
        <v>0</v>
      </c>
      <c r="H15" s="232">
        <f t="shared" si="1"/>
        <v>0</v>
      </c>
      <c r="I15" s="233">
        <v>0</v>
      </c>
      <c r="J15" s="233">
        <f t="shared" si="9"/>
        <v>0</v>
      </c>
      <c r="K15" s="233">
        <f t="shared" si="9"/>
        <v>0</v>
      </c>
      <c r="L15" s="233">
        <f t="shared" si="9"/>
        <v>0</v>
      </c>
      <c r="M15" s="232">
        <f t="shared" si="3"/>
        <v>0</v>
      </c>
      <c r="N15" s="233">
        <v>0</v>
      </c>
      <c r="O15" s="233">
        <f t="shared" ref="O15:Q16" si="10">O16</f>
        <v>0</v>
      </c>
      <c r="P15" s="233">
        <f t="shared" si="10"/>
        <v>0</v>
      </c>
      <c r="Q15" s="233">
        <f t="shared" si="10"/>
        <v>0</v>
      </c>
      <c r="R15" s="232">
        <f t="shared" si="5"/>
        <v>0</v>
      </c>
    </row>
    <row r="16" spans="1:18" ht="12" hidden="1" customHeight="1">
      <c r="A16" s="132">
        <v>18100</v>
      </c>
      <c r="B16" s="125" t="s">
        <v>96</v>
      </c>
      <c r="C16" s="170">
        <v>0</v>
      </c>
      <c r="D16" s="171">
        <v>0</v>
      </c>
      <c r="E16" s="233">
        <f>E17</f>
        <v>0</v>
      </c>
      <c r="F16" s="233">
        <f t="shared" si="9"/>
        <v>0</v>
      </c>
      <c r="G16" s="233">
        <f t="shared" si="9"/>
        <v>0</v>
      </c>
      <c r="H16" s="232">
        <f t="shared" si="1"/>
        <v>0</v>
      </c>
      <c r="I16" s="233">
        <v>0</v>
      </c>
      <c r="J16" s="233">
        <f>J17</f>
        <v>0</v>
      </c>
      <c r="K16" s="233">
        <f t="shared" si="9"/>
        <v>0</v>
      </c>
      <c r="L16" s="233">
        <f t="shared" si="9"/>
        <v>0</v>
      </c>
      <c r="M16" s="232">
        <f t="shared" si="3"/>
        <v>0</v>
      </c>
      <c r="N16" s="233">
        <v>0</v>
      </c>
      <c r="O16" s="233">
        <f>O17</f>
        <v>0</v>
      </c>
      <c r="P16" s="233">
        <f t="shared" si="10"/>
        <v>0</v>
      </c>
      <c r="Q16" s="233">
        <f t="shared" si="10"/>
        <v>0</v>
      </c>
      <c r="R16" s="232">
        <f t="shared" si="5"/>
        <v>0</v>
      </c>
    </row>
    <row r="17" spans="1:18" s="4" customFormat="1" ht="24" hidden="1" customHeight="1">
      <c r="A17" s="133">
        <v>18130</v>
      </c>
      <c r="B17" s="172" t="s">
        <v>159</v>
      </c>
      <c r="C17" s="170">
        <v>0</v>
      </c>
      <c r="D17" s="171">
        <v>0</v>
      </c>
      <c r="E17" s="233">
        <f>SUM(E18:E20)</f>
        <v>0</v>
      </c>
      <c r="F17" s="233">
        <f t="shared" ref="F17:G17" si="11">SUM(F18:F20)</f>
        <v>0</v>
      </c>
      <c r="G17" s="233">
        <f t="shared" si="11"/>
        <v>0</v>
      </c>
      <c r="H17" s="232">
        <f t="shared" si="1"/>
        <v>0</v>
      </c>
      <c r="I17" s="233">
        <v>0</v>
      </c>
      <c r="J17" s="233">
        <f>SUM(J18:J20)</f>
        <v>0</v>
      </c>
      <c r="K17" s="233">
        <f t="shared" ref="K17:L17" si="12">SUM(K18:K20)</f>
        <v>0</v>
      </c>
      <c r="L17" s="233">
        <f t="shared" si="12"/>
        <v>0</v>
      </c>
      <c r="M17" s="232">
        <f t="shared" si="3"/>
        <v>0</v>
      </c>
      <c r="N17" s="233">
        <v>0</v>
      </c>
      <c r="O17" s="233">
        <f>SUM(O18:O20)</f>
        <v>0</v>
      </c>
      <c r="P17" s="233">
        <f t="shared" ref="P17:Q17" si="13">SUM(P18:P20)</f>
        <v>0</v>
      </c>
      <c r="Q17" s="233">
        <f t="shared" si="13"/>
        <v>0</v>
      </c>
      <c r="R17" s="232">
        <f t="shared" si="5"/>
        <v>0</v>
      </c>
    </row>
    <row r="18" spans="1:18" s="6" customFormat="1" ht="36" hidden="1" customHeight="1">
      <c r="A18" s="134">
        <v>18131</v>
      </c>
      <c r="B18" s="172" t="s">
        <v>160</v>
      </c>
      <c r="C18" s="170"/>
      <c r="D18" s="171">
        <v>0</v>
      </c>
      <c r="E18" s="233"/>
      <c r="F18" s="233"/>
      <c r="G18" s="233"/>
      <c r="H18" s="232">
        <f t="shared" si="1"/>
        <v>0</v>
      </c>
      <c r="I18" s="233">
        <v>0</v>
      </c>
      <c r="J18" s="233"/>
      <c r="K18" s="233"/>
      <c r="L18" s="233"/>
      <c r="M18" s="232">
        <f t="shared" si="3"/>
        <v>0</v>
      </c>
      <c r="N18" s="233">
        <v>0</v>
      </c>
      <c r="O18" s="233"/>
      <c r="P18" s="233"/>
      <c r="Q18" s="233"/>
      <c r="R18" s="232">
        <f t="shared" si="5"/>
        <v>0</v>
      </c>
    </row>
    <row r="19" spans="1:18" s="6" customFormat="1" ht="24" hidden="1" customHeight="1">
      <c r="A19" s="134">
        <v>18132</v>
      </c>
      <c r="B19" s="172" t="s">
        <v>169</v>
      </c>
      <c r="C19" s="170"/>
      <c r="D19" s="171">
        <v>0</v>
      </c>
      <c r="E19" s="233"/>
      <c r="F19" s="233"/>
      <c r="G19" s="233"/>
      <c r="H19" s="232">
        <f t="shared" si="1"/>
        <v>0</v>
      </c>
      <c r="I19" s="233">
        <v>0</v>
      </c>
      <c r="J19" s="233"/>
      <c r="K19" s="233"/>
      <c r="L19" s="233"/>
      <c r="M19" s="232">
        <f t="shared" si="3"/>
        <v>0</v>
      </c>
      <c r="N19" s="233">
        <v>0</v>
      </c>
      <c r="O19" s="233"/>
      <c r="P19" s="233"/>
      <c r="Q19" s="233"/>
      <c r="R19" s="232">
        <f t="shared" si="5"/>
        <v>0</v>
      </c>
    </row>
    <row r="20" spans="1:18" s="6" customFormat="1" ht="24" hidden="1" customHeight="1">
      <c r="A20" s="134">
        <v>18139</v>
      </c>
      <c r="B20" s="172" t="s">
        <v>179</v>
      </c>
      <c r="C20" s="170"/>
      <c r="D20" s="171">
        <v>0</v>
      </c>
      <c r="E20" s="233"/>
      <c r="F20" s="233"/>
      <c r="G20" s="233"/>
      <c r="H20" s="232">
        <f t="shared" si="1"/>
        <v>0</v>
      </c>
      <c r="I20" s="233">
        <v>0</v>
      </c>
      <c r="J20" s="233"/>
      <c r="K20" s="233"/>
      <c r="L20" s="233"/>
      <c r="M20" s="232">
        <f t="shared" si="3"/>
        <v>0</v>
      </c>
      <c r="N20" s="233">
        <v>0</v>
      </c>
      <c r="O20" s="233"/>
      <c r="P20" s="233"/>
      <c r="Q20" s="233"/>
      <c r="R20" s="232">
        <f t="shared" si="5"/>
        <v>0</v>
      </c>
    </row>
    <row r="21" spans="1:18" s="6" customFormat="1" ht="12" hidden="1" customHeight="1">
      <c r="A21" s="135" t="s">
        <v>180</v>
      </c>
      <c r="B21" s="173" t="s">
        <v>173</v>
      </c>
      <c r="C21" s="201">
        <v>0</v>
      </c>
      <c r="D21" s="174">
        <v>0</v>
      </c>
      <c r="E21" s="238">
        <f t="shared" ref="E21:L21" si="14">E22</f>
        <v>0</v>
      </c>
      <c r="F21" s="238">
        <f t="shared" si="14"/>
        <v>0</v>
      </c>
      <c r="G21" s="238">
        <f t="shared" si="14"/>
        <v>0</v>
      </c>
      <c r="H21" s="232">
        <f t="shared" si="1"/>
        <v>0</v>
      </c>
      <c r="I21" s="238">
        <v>0</v>
      </c>
      <c r="J21" s="238">
        <f t="shared" si="14"/>
        <v>0</v>
      </c>
      <c r="K21" s="238">
        <f t="shared" si="14"/>
        <v>0</v>
      </c>
      <c r="L21" s="238">
        <f t="shared" si="14"/>
        <v>0</v>
      </c>
      <c r="M21" s="232">
        <f t="shared" si="3"/>
        <v>0</v>
      </c>
      <c r="N21" s="238">
        <v>0</v>
      </c>
      <c r="O21" s="238">
        <f t="shared" ref="O21:Q21" si="15">O22</f>
        <v>0</v>
      </c>
      <c r="P21" s="238">
        <f t="shared" si="15"/>
        <v>0</v>
      </c>
      <c r="Q21" s="238">
        <f t="shared" si="15"/>
        <v>0</v>
      </c>
      <c r="R21" s="232">
        <f t="shared" si="5"/>
        <v>0</v>
      </c>
    </row>
    <row r="22" spans="1:18" s="6" customFormat="1" ht="24" hidden="1" customHeight="1">
      <c r="A22" s="135">
        <v>19500</v>
      </c>
      <c r="B22" s="172" t="s">
        <v>174</v>
      </c>
      <c r="C22" s="170">
        <v>0</v>
      </c>
      <c r="D22" s="171">
        <v>0</v>
      </c>
      <c r="E22" s="233">
        <f>SUM(E23:E25)</f>
        <v>0</v>
      </c>
      <c r="F22" s="233">
        <f t="shared" ref="F22:G22" si="16">SUM(F23:F25)</f>
        <v>0</v>
      </c>
      <c r="G22" s="233">
        <f t="shared" si="16"/>
        <v>0</v>
      </c>
      <c r="H22" s="232">
        <f t="shared" si="1"/>
        <v>0</v>
      </c>
      <c r="I22" s="233">
        <v>0</v>
      </c>
      <c r="J22" s="233">
        <f>SUM(J23:J25)</f>
        <v>0</v>
      </c>
      <c r="K22" s="233">
        <f t="shared" ref="K22:L22" si="17">SUM(K23:K25)</f>
        <v>0</v>
      </c>
      <c r="L22" s="233">
        <f t="shared" si="17"/>
        <v>0</v>
      </c>
      <c r="M22" s="232">
        <f t="shared" si="3"/>
        <v>0</v>
      </c>
      <c r="N22" s="233">
        <v>0</v>
      </c>
      <c r="O22" s="233">
        <f>SUM(O23:O25)</f>
        <v>0</v>
      </c>
      <c r="P22" s="233">
        <f t="shared" ref="P22:Q22" si="18">SUM(P23:P25)</f>
        <v>0</v>
      </c>
      <c r="Q22" s="233">
        <f t="shared" si="18"/>
        <v>0</v>
      </c>
      <c r="R22" s="232">
        <f t="shared" si="5"/>
        <v>0</v>
      </c>
    </row>
    <row r="23" spans="1:18" s="6" customFormat="1" ht="24" hidden="1" customHeight="1">
      <c r="A23" s="136">
        <v>19550</v>
      </c>
      <c r="B23" s="172" t="s">
        <v>175</v>
      </c>
      <c r="C23" s="170"/>
      <c r="D23" s="171">
        <v>0</v>
      </c>
      <c r="E23" s="233"/>
      <c r="F23" s="233"/>
      <c r="G23" s="233"/>
      <c r="H23" s="232">
        <f t="shared" si="1"/>
        <v>0</v>
      </c>
      <c r="I23" s="233">
        <v>0</v>
      </c>
      <c r="J23" s="233"/>
      <c r="K23" s="233"/>
      <c r="L23" s="233"/>
      <c r="M23" s="232">
        <f t="shared" si="3"/>
        <v>0</v>
      </c>
      <c r="N23" s="233">
        <v>0</v>
      </c>
      <c r="O23" s="233"/>
      <c r="P23" s="233"/>
      <c r="Q23" s="233"/>
      <c r="R23" s="232">
        <f t="shared" si="5"/>
        <v>0</v>
      </c>
    </row>
    <row r="24" spans="1:18" s="6" customFormat="1" ht="36" hidden="1" customHeight="1">
      <c r="A24" s="136">
        <v>19560</v>
      </c>
      <c r="B24" s="172" t="s">
        <v>181</v>
      </c>
      <c r="C24" s="170"/>
      <c r="D24" s="171">
        <v>0</v>
      </c>
      <c r="E24" s="233"/>
      <c r="F24" s="233"/>
      <c r="G24" s="233"/>
      <c r="H24" s="232">
        <f t="shared" si="1"/>
        <v>0</v>
      </c>
      <c r="I24" s="233">
        <v>0</v>
      </c>
      <c r="J24" s="233"/>
      <c r="K24" s="233"/>
      <c r="L24" s="233"/>
      <c r="M24" s="232">
        <f t="shared" si="3"/>
        <v>0</v>
      </c>
      <c r="N24" s="233">
        <v>0</v>
      </c>
      <c r="O24" s="233"/>
      <c r="P24" s="233"/>
      <c r="Q24" s="233"/>
      <c r="R24" s="232">
        <f t="shared" si="5"/>
        <v>0</v>
      </c>
    </row>
    <row r="25" spans="1:18" s="6" customFormat="1" ht="84" hidden="1" customHeight="1">
      <c r="A25" s="136">
        <v>19570</v>
      </c>
      <c r="B25" s="172" t="s">
        <v>182</v>
      </c>
      <c r="C25" s="170"/>
      <c r="D25" s="171">
        <v>0</v>
      </c>
      <c r="E25" s="233"/>
      <c r="F25" s="233"/>
      <c r="G25" s="233"/>
      <c r="H25" s="232">
        <f t="shared" si="1"/>
        <v>0</v>
      </c>
      <c r="I25" s="233">
        <v>0</v>
      </c>
      <c r="J25" s="233"/>
      <c r="K25" s="233"/>
      <c r="L25" s="233"/>
      <c r="M25" s="232">
        <f t="shared" si="3"/>
        <v>0</v>
      </c>
      <c r="N25" s="233">
        <v>0</v>
      </c>
      <c r="O25" s="233"/>
      <c r="P25" s="233"/>
      <c r="Q25" s="233"/>
      <c r="R25" s="232">
        <f t="shared" si="5"/>
        <v>0</v>
      </c>
    </row>
    <row r="26" spans="1:18" s="6" customFormat="1" ht="36" hidden="1" customHeight="1">
      <c r="A26" s="209" t="s">
        <v>222</v>
      </c>
      <c r="B26" s="208" t="s">
        <v>216</v>
      </c>
      <c r="C26" s="106">
        <f>C27</f>
        <v>0</v>
      </c>
      <c r="D26" s="107">
        <v>0</v>
      </c>
      <c r="E26" s="232">
        <f t="shared" ref="E26:L26" si="19">E27</f>
        <v>0</v>
      </c>
      <c r="F26" s="232">
        <f t="shared" si="19"/>
        <v>0</v>
      </c>
      <c r="G26" s="232">
        <f t="shared" si="19"/>
        <v>0</v>
      </c>
      <c r="H26" s="232">
        <f t="shared" si="1"/>
        <v>0</v>
      </c>
      <c r="I26" s="233">
        <v>0</v>
      </c>
      <c r="J26" s="232">
        <f t="shared" si="19"/>
        <v>0</v>
      </c>
      <c r="K26" s="232">
        <f t="shared" si="19"/>
        <v>0</v>
      </c>
      <c r="L26" s="232">
        <f t="shared" si="19"/>
        <v>0</v>
      </c>
      <c r="M26" s="232">
        <f t="shared" si="3"/>
        <v>0</v>
      </c>
      <c r="N26" s="233">
        <v>0</v>
      </c>
      <c r="O26" s="232">
        <f t="shared" ref="O26:Q26" si="20">O27</f>
        <v>0</v>
      </c>
      <c r="P26" s="232">
        <f t="shared" si="20"/>
        <v>0</v>
      </c>
      <c r="Q26" s="232">
        <f t="shared" si="20"/>
        <v>0</v>
      </c>
      <c r="R26" s="232">
        <f t="shared" si="5"/>
        <v>0</v>
      </c>
    </row>
    <row r="27" spans="1:18" s="6" customFormat="1" ht="48" hidden="1" customHeight="1">
      <c r="A27" s="209">
        <v>17100</v>
      </c>
      <c r="B27" s="208" t="s">
        <v>217</v>
      </c>
      <c r="C27" s="106">
        <f>SUM(C28:C31)</f>
        <v>0</v>
      </c>
      <c r="D27" s="107">
        <v>0</v>
      </c>
      <c r="E27" s="232">
        <f t="shared" ref="E27:G27" si="21">SUM(E28:E31)</f>
        <v>0</v>
      </c>
      <c r="F27" s="232">
        <f t="shared" ref="F27" si="22">SUM(F28:F31)</f>
        <v>0</v>
      </c>
      <c r="G27" s="232">
        <f t="shared" si="21"/>
        <v>0</v>
      </c>
      <c r="H27" s="232">
        <f t="shared" si="1"/>
        <v>0</v>
      </c>
      <c r="I27" s="233">
        <v>0</v>
      </c>
      <c r="J27" s="232">
        <f t="shared" ref="J27:L27" si="23">SUM(J28:J31)</f>
        <v>0</v>
      </c>
      <c r="K27" s="232">
        <f t="shared" ref="K27" si="24">SUM(K28:K31)</f>
        <v>0</v>
      </c>
      <c r="L27" s="232">
        <f t="shared" si="23"/>
        <v>0</v>
      </c>
      <c r="M27" s="232">
        <f t="shared" si="3"/>
        <v>0</v>
      </c>
      <c r="N27" s="233">
        <v>0</v>
      </c>
      <c r="O27" s="232">
        <f t="shared" ref="O27:Q27" si="25">SUM(O28:O31)</f>
        <v>0</v>
      </c>
      <c r="P27" s="232">
        <f t="shared" ref="P27" si="26">SUM(P28:P31)</f>
        <v>0</v>
      </c>
      <c r="Q27" s="232">
        <f t="shared" si="25"/>
        <v>0</v>
      </c>
      <c r="R27" s="232">
        <f t="shared" si="5"/>
        <v>0</v>
      </c>
    </row>
    <row r="28" spans="1:18" s="6" customFormat="1" ht="60" hidden="1" customHeight="1">
      <c r="A28" s="149">
        <v>17110</v>
      </c>
      <c r="B28" s="208" t="s">
        <v>218</v>
      </c>
      <c r="C28" s="106"/>
      <c r="D28" s="107">
        <v>0</v>
      </c>
      <c r="E28" s="233"/>
      <c r="F28" s="233"/>
      <c r="G28" s="233"/>
      <c r="H28" s="232">
        <f t="shared" si="1"/>
        <v>0</v>
      </c>
      <c r="I28" s="233">
        <v>0</v>
      </c>
      <c r="J28" s="233"/>
      <c r="K28" s="233"/>
      <c r="L28" s="233"/>
      <c r="M28" s="232">
        <f t="shared" si="3"/>
        <v>0</v>
      </c>
      <c r="N28" s="233">
        <v>0</v>
      </c>
      <c r="O28" s="233"/>
      <c r="P28" s="233"/>
      <c r="Q28" s="233"/>
      <c r="R28" s="232">
        <f t="shared" si="5"/>
        <v>0</v>
      </c>
    </row>
    <row r="29" spans="1:18" s="6" customFormat="1" ht="60" hidden="1" customHeight="1">
      <c r="A29" s="149">
        <v>17120</v>
      </c>
      <c r="B29" s="208" t="s">
        <v>219</v>
      </c>
      <c r="C29" s="106"/>
      <c r="D29" s="107">
        <v>0</v>
      </c>
      <c r="E29" s="233"/>
      <c r="F29" s="233"/>
      <c r="G29" s="233"/>
      <c r="H29" s="232">
        <f t="shared" si="1"/>
        <v>0</v>
      </c>
      <c r="I29" s="233">
        <v>0</v>
      </c>
      <c r="J29" s="233"/>
      <c r="K29" s="233"/>
      <c r="L29" s="233"/>
      <c r="M29" s="232">
        <f t="shared" si="3"/>
        <v>0</v>
      </c>
      <c r="N29" s="233">
        <v>0</v>
      </c>
      <c r="O29" s="233"/>
      <c r="P29" s="233"/>
      <c r="Q29" s="233"/>
      <c r="R29" s="232">
        <f t="shared" si="5"/>
        <v>0</v>
      </c>
    </row>
    <row r="30" spans="1:18" s="6" customFormat="1" ht="120" hidden="1" customHeight="1">
      <c r="A30" s="149">
        <v>17130</v>
      </c>
      <c r="B30" s="208" t="s">
        <v>220</v>
      </c>
      <c r="C30" s="106"/>
      <c r="D30" s="107">
        <v>0</v>
      </c>
      <c r="E30" s="233"/>
      <c r="F30" s="233"/>
      <c r="G30" s="233"/>
      <c r="H30" s="232">
        <f t="shared" si="1"/>
        <v>0</v>
      </c>
      <c r="I30" s="233">
        <v>0</v>
      </c>
      <c r="J30" s="233"/>
      <c r="K30" s="233"/>
      <c r="L30" s="233"/>
      <c r="M30" s="232">
        <f t="shared" si="3"/>
        <v>0</v>
      </c>
      <c r="N30" s="233">
        <v>0</v>
      </c>
      <c r="O30" s="233"/>
      <c r="P30" s="233"/>
      <c r="Q30" s="233"/>
      <c r="R30" s="232">
        <f t="shared" si="5"/>
        <v>0</v>
      </c>
    </row>
    <row r="31" spans="1:18" s="6" customFormat="1" ht="120" hidden="1" customHeight="1">
      <c r="A31" s="149">
        <v>17140</v>
      </c>
      <c r="B31" s="208" t="s">
        <v>221</v>
      </c>
      <c r="C31" s="106"/>
      <c r="D31" s="107">
        <v>0</v>
      </c>
      <c r="E31" s="233"/>
      <c r="F31" s="233"/>
      <c r="G31" s="233"/>
      <c r="H31" s="232">
        <f t="shared" si="1"/>
        <v>0</v>
      </c>
      <c r="I31" s="233">
        <v>0</v>
      </c>
      <c r="J31" s="233"/>
      <c r="K31" s="233"/>
      <c r="L31" s="233"/>
      <c r="M31" s="232">
        <f t="shared" si="3"/>
        <v>0</v>
      </c>
      <c r="N31" s="233">
        <v>0</v>
      </c>
      <c r="O31" s="233"/>
      <c r="P31" s="233"/>
      <c r="Q31" s="233"/>
      <c r="R31" s="232">
        <f t="shared" si="5"/>
        <v>0</v>
      </c>
    </row>
    <row r="32" spans="1:18" s="6" customFormat="1" ht="12">
      <c r="A32" s="137">
        <v>21700</v>
      </c>
      <c r="B32" s="124" t="s">
        <v>97</v>
      </c>
      <c r="C32" s="170">
        <v>658949</v>
      </c>
      <c r="D32" s="171">
        <v>658949</v>
      </c>
      <c r="E32" s="233">
        <f>E33+E34</f>
        <v>0</v>
      </c>
      <c r="F32" s="233">
        <f t="shared" ref="F32:G32" si="27">F33+F34</f>
        <v>0</v>
      </c>
      <c r="G32" s="233">
        <f t="shared" si="27"/>
        <v>0</v>
      </c>
      <c r="H32" s="232">
        <f t="shared" si="1"/>
        <v>658949</v>
      </c>
      <c r="I32" s="233">
        <v>658949</v>
      </c>
      <c r="J32" s="233">
        <f>J33+J34</f>
        <v>0</v>
      </c>
      <c r="K32" s="233">
        <f t="shared" ref="K32:L32" si="28">K33+K34</f>
        <v>0</v>
      </c>
      <c r="L32" s="233">
        <f t="shared" si="28"/>
        <v>0</v>
      </c>
      <c r="M32" s="232">
        <f t="shared" si="3"/>
        <v>658949</v>
      </c>
      <c r="N32" s="233">
        <v>658949</v>
      </c>
      <c r="O32" s="233">
        <f>O33+O34</f>
        <v>0</v>
      </c>
      <c r="P32" s="233">
        <f t="shared" ref="P32:Q32" si="29">P33+P34</f>
        <v>0</v>
      </c>
      <c r="Q32" s="233">
        <f t="shared" si="29"/>
        <v>0</v>
      </c>
      <c r="R32" s="232">
        <f t="shared" si="5"/>
        <v>658949</v>
      </c>
    </row>
    <row r="33" spans="1:18" s="6" customFormat="1" ht="24">
      <c r="A33" s="138">
        <v>21710</v>
      </c>
      <c r="B33" s="125" t="s">
        <v>98</v>
      </c>
      <c r="C33" s="170">
        <v>658949</v>
      </c>
      <c r="D33" s="171">
        <v>658949</v>
      </c>
      <c r="E33" s="233"/>
      <c r="F33" s="233"/>
      <c r="G33" s="233"/>
      <c r="H33" s="232">
        <f t="shared" si="1"/>
        <v>658949</v>
      </c>
      <c r="I33" s="233">
        <v>658949</v>
      </c>
      <c r="J33" s="233"/>
      <c r="K33" s="233"/>
      <c r="L33" s="233"/>
      <c r="M33" s="232">
        <f t="shared" si="3"/>
        <v>658949</v>
      </c>
      <c r="N33" s="233">
        <v>658949</v>
      </c>
      <c r="O33" s="233"/>
      <c r="P33" s="233"/>
      <c r="Q33" s="233"/>
      <c r="R33" s="232">
        <f t="shared" si="5"/>
        <v>658949</v>
      </c>
    </row>
    <row r="34" spans="1:18" s="6" customFormat="1" ht="24" hidden="1" customHeight="1">
      <c r="A34" s="138">
        <v>21720</v>
      </c>
      <c r="B34" s="125" t="s">
        <v>99</v>
      </c>
      <c r="C34" s="170"/>
      <c r="D34" s="171">
        <v>0</v>
      </c>
      <c r="E34" s="233"/>
      <c r="F34" s="233"/>
      <c r="G34" s="233"/>
      <c r="H34" s="232">
        <f t="shared" si="1"/>
        <v>0</v>
      </c>
      <c r="I34" s="233">
        <v>0</v>
      </c>
      <c r="J34" s="233"/>
      <c r="K34" s="233"/>
      <c r="L34" s="233"/>
      <c r="M34" s="232">
        <f t="shared" si="3"/>
        <v>0</v>
      </c>
      <c r="N34" s="233">
        <v>0</v>
      </c>
      <c r="O34" s="233"/>
      <c r="P34" s="233"/>
      <c r="Q34" s="233"/>
      <c r="R34" s="232">
        <f t="shared" si="5"/>
        <v>0</v>
      </c>
    </row>
    <row r="35" spans="1:18" s="6" customFormat="1" ht="11.4">
      <c r="A35" s="129" t="s">
        <v>100</v>
      </c>
      <c r="B35" s="123" t="s">
        <v>101</v>
      </c>
      <c r="C35" s="168">
        <v>681149</v>
      </c>
      <c r="D35" s="175">
        <v>681149</v>
      </c>
      <c r="E35" s="243">
        <f t="shared" ref="E35:G35" si="30">E36+E63</f>
        <v>0</v>
      </c>
      <c r="F35" s="243">
        <f t="shared" ref="F35" si="31">F36+F63</f>
        <v>0</v>
      </c>
      <c r="G35" s="243">
        <f t="shared" si="30"/>
        <v>0</v>
      </c>
      <c r="H35" s="229">
        <f t="shared" si="1"/>
        <v>681149</v>
      </c>
      <c r="I35" s="243">
        <v>681149</v>
      </c>
      <c r="J35" s="243">
        <f t="shared" ref="J35:L35" si="32">J36+J63</f>
        <v>0</v>
      </c>
      <c r="K35" s="243">
        <f t="shared" ref="K35" si="33">K36+K63</f>
        <v>0</v>
      </c>
      <c r="L35" s="243">
        <f t="shared" si="32"/>
        <v>0</v>
      </c>
      <c r="M35" s="229">
        <f t="shared" si="3"/>
        <v>681149</v>
      </c>
      <c r="N35" s="243">
        <v>681149</v>
      </c>
      <c r="O35" s="243">
        <f t="shared" ref="O35:Q35" si="34">O36+O63</f>
        <v>0</v>
      </c>
      <c r="P35" s="243">
        <f t="shared" ref="P35" si="35">P36+P63</f>
        <v>0</v>
      </c>
      <c r="Q35" s="243">
        <f t="shared" si="34"/>
        <v>0</v>
      </c>
      <c r="R35" s="229">
        <f t="shared" si="5"/>
        <v>681149</v>
      </c>
    </row>
    <row r="36" spans="1:18" s="6" customFormat="1" ht="20.399999999999999">
      <c r="A36" s="130" t="s">
        <v>102</v>
      </c>
      <c r="B36" s="124" t="s">
        <v>103</v>
      </c>
      <c r="C36" s="170">
        <v>681149</v>
      </c>
      <c r="D36" s="171">
        <v>681149</v>
      </c>
      <c r="E36" s="233">
        <f>E37+E41+E42+E45+E48</f>
        <v>0</v>
      </c>
      <c r="F36" s="233">
        <f t="shared" ref="F36:G36" si="36">F37+F41+F42+F45+F48</f>
        <v>0</v>
      </c>
      <c r="G36" s="233">
        <f t="shared" si="36"/>
        <v>0</v>
      </c>
      <c r="H36" s="232">
        <f t="shared" si="1"/>
        <v>681149</v>
      </c>
      <c r="I36" s="233">
        <v>681149</v>
      </c>
      <c r="J36" s="233">
        <f>J37+J41+J42+J45+J48</f>
        <v>0</v>
      </c>
      <c r="K36" s="233">
        <f t="shared" ref="K36:L36" si="37">K37+K41+K42+K45+K48</f>
        <v>0</v>
      </c>
      <c r="L36" s="233">
        <f t="shared" si="37"/>
        <v>0</v>
      </c>
      <c r="M36" s="232">
        <f t="shared" si="3"/>
        <v>681149</v>
      </c>
      <c r="N36" s="233">
        <v>681149</v>
      </c>
      <c r="O36" s="233">
        <f>O37+O41+O42+O45+O48</f>
        <v>0</v>
      </c>
      <c r="P36" s="233">
        <f t="shared" ref="P36:Q36" si="38">P37+P41+P42+P45+P48</f>
        <v>0</v>
      </c>
      <c r="Q36" s="233">
        <f t="shared" si="38"/>
        <v>0</v>
      </c>
      <c r="R36" s="232">
        <f t="shared" si="5"/>
        <v>681149</v>
      </c>
    </row>
    <row r="37" spans="1:18" s="6" customFormat="1" ht="12">
      <c r="A37" s="130" t="s">
        <v>104</v>
      </c>
      <c r="B37" s="124" t="s">
        <v>105</v>
      </c>
      <c r="C37" s="170">
        <v>679378</v>
      </c>
      <c r="D37" s="171">
        <v>679378</v>
      </c>
      <c r="E37" s="233">
        <f>E38+E40</f>
        <v>0</v>
      </c>
      <c r="F37" s="233">
        <f t="shared" ref="F37:G37" si="39">F38+F40</f>
        <v>0</v>
      </c>
      <c r="G37" s="233">
        <f t="shared" si="39"/>
        <v>0</v>
      </c>
      <c r="H37" s="232">
        <f t="shared" si="1"/>
        <v>679378</v>
      </c>
      <c r="I37" s="233">
        <v>679378</v>
      </c>
      <c r="J37" s="233">
        <f>J38+J40</f>
        <v>0</v>
      </c>
      <c r="K37" s="233">
        <f t="shared" ref="K37:L37" si="40">K38+K40</f>
        <v>0</v>
      </c>
      <c r="L37" s="233">
        <f t="shared" si="40"/>
        <v>0</v>
      </c>
      <c r="M37" s="232">
        <f t="shared" si="3"/>
        <v>679378</v>
      </c>
      <c r="N37" s="233">
        <v>679378</v>
      </c>
      <c r="O37" s="233">
        <f>O38+O40</f>
        <v>0</v>
      </c>
      <c r="P37" s="233">
        <f t="shared" ref="P37:Q37" si="41">P38+P40</f>
        <v>0</v>
      </c>
      <c r="Q37" s="233">
        <f t="shared" si="41"/>
        <v>0</v>
      </c>
      <c r="R37" s="232">
        <f t="shared" si="5"/>
        <v>679378</v>
      </c>
    </row>
    <row r="38" spans="1:18" s="6" customFormat="1" ht="12">
      <c r="A38" s="132">
        <v>1000</v>
      </c>
      <c r="B38" s="125" t="s">
        <v>106</v>
      </c>
      <c r="C38" s="170">
        <v>497499</v>
      </c>
      <c r="D38" s="171">
        <v>497499</v>
      </c>
      <c r="E38" s="244"/>
      <c r="F38" s="244"/>
      <c r="G38" s="244"/>
      <c r="H38" s="232">
        <f t="shared" si="1"/>
        <v>497499</v>
      </c>
      <c r="I38" s="233">
        <v>497499</v>
      </c>
      <c r="J38" s="244"/>
      <c r="K38" s="244"/>
      <c r="L38" s="244"/>
      <c r="M38" s="232">
        <f t="shared" si="3"/>
        <v>497499</v>
      </c>
      <c r="N38" s="233">
        <v>497499</v>
      </c>
      <c r="O38" s="244"/>
      <c r="P38" s="244"/>
      <c r="Q38" s="244"/>
      <c r="R38" s="232">
        <f t="shared" si="5"/>
        <v>497499</v>
      </c>
    </row>
    <row r="39" spans="1:18" s="6" customFormat="1" ht="12">
      <c r="A39" s="139">
        <v>1100</v>
      </c>
      <c r="B39" s="125" t="s">
        <v>107</v>
      </c>
      <c r="C39" s="170">
        <v>392859</v>
      </c>
      <c r="D39" s="171">
        <v>392859</v>
      </c>
      <c r="E39" s="244"/>
      <c r="F39" s="244"/>
      <c r="G39" s="244"/>
      <c r="H39" s="232">
        <f t="shared" si="1"/>
        <v>392859</v>
      </c>
      <c r="I39" s="233">
        <v>392859</v>
      </c>
      <c r="J39" s="244"/>
      <c r="K39" s="244"/>
      <c r="L39" s="244"/>
      <c r="M39" s="232">
        <f t="shared" si="3"/>
        <v>392859</v>
      </c>
      <c r="N39" s="233">
        <v>392859</v>
      </c>
      <c r="O39" s="244"/>
      <c r="P39" s="244"/>
      <c r="Q39" s="244"/>
      <c r="R39" s="232">
        <f t="shared" si="5"/>
        <v>392859</v>
      </c>
    </row>
    <row r="40" spans="1:18" s="6" customFormat="1" ht="12">
      <c r="A40" s="132">
        <v>2000</v>
      </c>
      <c r="B40" s="125" t="s">
        <v>108</v>
      </c>
      <c r="C40" s="170">
        <v>181879</v>
      </c>
      <c r="D40" s="171">
        <v>181879</v>
      </c>
      <c r="E40" s="244"/>
      <c r="F40" s="244"/>
      <c r="G40" s="244"/>
      <c r="H40" s="232">
        <f t="shared" si="1"/>
        <v>181879</v>
      </c>
      <c r="I40" s="233">
        <v>181879</v>
      </c>
      <c r="J40" s="244"/>
      <c r="K40" s="244"/>
      <c r="L40" s="244"/>
      <c r="M40" s="232">
        <f t="shared" si="3"/>
        <v>181879</v>
      </c>
      <c r="N40" s="233">
        <v>181879</v>
      </c>
      <c r="O40" s="244"/>
      <c r="P40" s="244"/>
      <c r="Q40" s="244"/>
      <c r="R40" s="232">
        <f t="shared" si="5"/>
        <v>181879</v>
      </c>
    </row>
    <row r="41" spans="1:18" s="6" customFormat="1" ht="12" hidden="1" customHeight="1">
      <c r="A41" s="140">
        <v>4000</v>
      </c>
      <c r="B41" s="124" t="s">
        <v>132</v>
      </c>
      <c r="C41" s="170"/>
      <c r="D41" s="171">
        <v>0</v>
      </c>
      <c r="E41" s="244"/>
      <c r="F41" s="244"/>
      <c r="G41" s="244"/>
      <c r="H41" s="232">
        <f t="shared" si="1"/>
        <v>0</v>
      </c>
      <c r="I41" s="233">
        <v>0</v>
      </c>
      <c r="J41" s="244"/>
      <c r="K41" s="244"/>
      <c r="L41" s="244"/>
      <c r="M41" s="232">
        <f t="shared" si="3"/>
        <v>0</v>
      </c>
      <c r="N41" s="233">
        <v>0</v>
      </c>
      <c r="O41" s="244"/>
      <c r="P41" s="244"/>
      <c r="Q41" s="244"/>
      <c r="R41" s="232">
        <f t="shared" si="5"/>
        <v>0</v>
      </c>
    </row>
    <row r="42" spans="1:18" s="6" customFormat="1" ht="12" hidden="1" customHeight="1">
      <c r="A42" s="140" t="s">
        <v>109</v>
      </c>
      <c r="B42" s="124" t="s">
        <v>110</v>
      </c>
      <c r="C42" s="170">
        <v>0</v>
      </c>
      <c r="D42" s="171">
        <v>0</v>
      </c>
      <c r="E42" s="233">
        <f>E43+E44</f>
        <v>0</v>
      </c>
      <c r="F42" s="233">
        <f t="shared" ref="F42:G42" si="42">F43+F44</f>
        <v>0</v>
      </c>
      <c r="G42" s="233">
        <f t="shared" si="42"/>
        <v>0</v>
      </c>
      <c r="H42" s="232">
        <f t="shared" si="1"/>
        <v>0</v>
      </c>
      <c r="I42" s="233">
        <v>0</v>
      </c>
      <c r="J42" s="233">
        <f>J43+J44</f>
        <v>0</v>
      </c>
      <c r="K42" s="233">
        <f t="shared" ref="K42:L42" si="43">K43+K44</f>
        <v>0</v>
      </c>
      <c r="L42" s="233">
        <f t="shared" si="43"/>
        <v>0</v>
      </c>
      <c r="M42" s="232">
        <f t="shared" si="3"/>
        <v>0</v>
      </c>
      <c r="N42" s="233">
        <v>0</v>
      </c>
      <c r="O42" s="233">
        <f>O43+O44</f>
        <v>0</v>
      </c>
      <c r="P42" s="233">
        <f t="shared" ref="P42:Q42" si="44">P43+P44</f>
        <v>0</v>
      </c>
      <c r="Q42" s="233">
        <f t="shared" si="44"/>
        <v>0</v>
      </c>
      <c r="R42" s="232">
        <f t="shared" si="5"/>
        <v>0</v>
      </c>
    </row>
    <row r="43" spans="1:18" s="6" customFormat="1" ht="12" hidden="1" customHeight="1">
      <c r="A43" s="132">
        <v>3000</v>
      </c>
      <c r="B43" s="125" t="s">
        <v>111</v>
      </c>
      <c r="C43" s="202"/>
      <c r="D43" s="213">
        <v>0</v>
      </c>
      <c r="E43" s="246"/>
      <c r="F43" s="246"/>
      <c r="G43" s="246"/>
      <c r="H43" s="232">
        <f t="shared" si="1"/>
        <v>0</v>
      </c>
      <c r="I43" s="345">
        <v>0</v>
      </c>
      <c r="J43" s="246"/>
      <c r="K43" s="246"/>
      <c r="L43" s="246"/>
      <c r="M43" s="232">
        <f t="shared" si="3"/>
        <v>0</v>
      </c>
      <c r="N43" s="345">
        <v>0</v>
      </c>
      <c r="O43" s="246"/>
      <c r="P43" s="246"/>
      <c r="Q43" s="246"/>
      <c r="R43" s="232">
        <f t="shared" si="5"/>
        <v>0</v>
      </c>
    </row>
    <row r="44" spans="1:18" s="6" customFormat="1" ht="12" hidden="1" customHeight="1">
      <c r="A44" s="132">
        <v>6000</v>
      </c>
      <c r="B44" s="125" t="s">
        <v>112</v>
      </c>
      <c r="C44" s="203"/>
      <c r="D44" s="287">
        <v>0</v>
      </c>
      <c r="E44" s="248"/>
      <c r="F44" s="248"/>
      <c r="G44" s="248"/>
      <c r="H44" s="232">
        <f t="shared" si="1"/>
        <v>0</v>
      </c>
      <c r="I44" s="346">
        <v>0</v>
      </c>
      <c r="J44" s="248"/>
      <c r="K44" s="248"/>
      <c r="L44" s="248"/>
      <c r="M44" s="232">
        <f t="shared" si="3"/>
        <v>0</v>
      </c>
      <c r="N44" s="346">
        <v>0</v>
      </c>
      <c r="O44" s="248"/>
      <c r="P44" s="248"/>
      <c r="Q44" s="248"/>
      <c r="R44" s="232">
        <f t="shared" si="5"/>
        <v>0</v>
      </c>
    </row>
    <row r="45" spans="1:18" s="6" customFormat="1" ht="22.8">
      <c r="A45" s="140" t="s">
        <v>113</v>
      </c>
      <c r="B45" s="124" t="s">
        <v>183</v>
      </c>
      <c r="C45" s="170">
        <v>1771</v>
      </c>
      <c r="D45" s="171">
        <v>1771</v>
      </c>
      <c r="E45" s="233">
        <f>E46+E47</f>
        <v>0</v>
      </c>
      <c r="F45" s="233">
        <f t="shared" ref="F45:G45" si="45">F46+F47</f>
        <v>0</v>
      </c>
      <c r="G45" s="233">
        <f t="shared" si="45"/>
        <v>0</v>
      </c>
      <c r="H45" s="232">
        <f t="shared" si="1"/>
        <v>1771</v>
      </c>
      <c r="I45" s="233">
        <v>1771</v>
      </c>
      <c r="J45" s="233">
        <f>J46+J47</f>
        <v>0</v>
      </c>
      <c r="K45" s="233">
        <f t="shared" ref="K45:L45" si="46">K46+K47</f>
        <v>0</v>
      </c>
      <c r="L45" s="233">
        <f t="shared" si="46"/>
        <v>0</v>
      </c>
      <c r="M45" s="232">
        <f t="shared" si="3"/>
        <v>1771</v>
      </c>
      <c r="N45" s="233">
        <v>1771</v>
      </c>
      <c r="O45" s="233">
        <f>O46+O47</f>
        <v>0</v>
      </c>
      <c r="P45" s="233">
        <f t="shared" ref="P45:Q45" si="47">P46+P47</f>
        <v>0</v>
      </c>
      <c r="Q45" s="233">
        <f t="shared" si="47"/>
        <v>0</v>
      </c>
      <c r="R45" s="232">
        <f t="shared" si="5"/>
        <v>1771</v>
      </c>
    </row>
    <row r="46" spans="1:18" s="6" customFormat="1" ht="12" hidden="1" customHeight="1">
      <c r="A46" s="132">
        <v>7600</v>
      </c>
      <c r="B46" s="179" t="s">
        <v>184</v>
      </c>
      <c r="C46" s="170"/>
      <c r="D46" s="171">
        <v>0</v>
      </c>
      <c r="E46" s="244"/>
      <c r="F46" s="244"/>
      <c r="G46" s="244"/>
      <c r="H46" s="232">
        <f t="shared" si="1"/>
        <v>0</v>
      </c>
      <c r="I46" s="233">
        <v>0</v>
      </c>
      <c r="J46" s="244"/>
      <c r="K46" s="244"/>
      <c r="L46" s="244"/>
      <c r="M46" s="232">
        <f t="shared" si="3"/>
        <v>0</v>
      </c>
      <c r="N46" s="233">
        <v>0</v>
      </c>
      <c r="O46" s="244"/>
      <c r="P46" s="244"/>
      <c r="Q46" s="244"/>
      <c r="R46" s="232">
        <f t="shared" si="5"/>
        <v>0</v>
      </c>
    </row>
    <row r="47" spans="1:18" s="6" customFormat="1" ht="12">
      <c r="A47" s="132">
        <v>7700</v>
      </c>
      <c r="B47" s="126" t="s">
        <v>114</v>
      </c>
      <c r="C47" s="170">
        <v>1771</v>
      </c>
      <c r="D47" s="171">
        <v>1771</v>
      </c>
      <c r="E47" s="244"/>
      <c r="F47" s="244"/>
      <c r="G47" s="244"/>
      <c r="H47" s="232">
        <f t="shared" si="1"/>
        <v>1771</v>
      </c>
      <c r="I47" s="233">
        <v>1771</v>
      </c>
      <c r="J47" s="244"/>
      <c r="K47" s="244"/>
      <c r="L47" s="244"/>
      <c r="M47" s="232">
        <f t="shared" si="3"/>
        <v>1771</v>
      </c>
      <c r="N47" s="233">
        <v>1771</v>
      </c>
      <c r="O47" s="244"/>
      <c r="P47" s="244"/>
      <c r="Q47" s="244"/>
      <c r="R47" s="232">
        <f t="shared" si="5"/>
        <v>1771</v>
      </c>
    </row>
    <row r="48" spans="1:18" s="6" customFormat="1" ht="21" hidden="1" customHeight="1">
      <c r="A48" s="140" t="s">
        <v>185</v>
      </c>
      <c r="B48" s="124" t="s">
        <v>115</v>
      </c>
      <c r="C48" s="170">
        <v>0</v>
      </c>
      <c r="D48" s="171">
        <v>0</v>
      </c>
      <c r="E48" s="233">
        <f t="shared" ref="E48:G48" si="48">E49+E55+E59+E62</f>
        <v>0</v>
      </c>
      <c r="F48" s="233">
        <f t="shared" ref="F48" si="49">F49+F55+F59+F62</f>
        <v>0</v>
      </c>
      <c r="G48" s="233">
        <f t="shared" si="48"/>
        <v>0</v>
      </c>
      <c r="H48" s="232">
        <f t="shared" si="1"/>
        <v>0</v>
      </c>
      <c r="I48" s="233">
        <v>0</v>
      </c>
      <c r="J48" s="233">
        <f t="shared" ref="J48:L48" si="50">J49+J55+J59+J62</f>
        <v>0</v>
      </c>
      <c r="K48" s="233">
        <f t="shared" ref="K48" si="51">K49+K55+K59+K62</f>
        <v>0</v>
      </c>
      <c r="L48" s="233">
        <f t="shared" si="50"/>
        <v>0</v>
      </c>
      <c r="M48" s="232">
        <f t="shared" si="3"/>
        <v>0</v>
      </c>
      <c r="N48" s="233">
        <v>0</v>
      </c>
      <c r="O48" s="233">
        <f t="shared" ref="O48:Q48" si="52">O49+O55+O59+O62</f>
        <v>0</v>
      </c>
      <c r="P48" s="233">
        <f t="shared" ref="P48" si="53">P49+P55+P59+P62</f>
        <v>0</v>
      </c>
      <c r="Q48" s="233">
        <f t="shared" si="52"/>
        <v>0</v>
      </c>
      <c r="R48" s="232">
        <f t="shared" si="5"/>
        <v>0</v>
      </c>
    </row>
    <row r="49" spans="1:18" s="6" customFormat="1" ht="12" hidden="1" customHeight="1">
      <c r="A49" s="132">
        <v>7100</v>
      </c>
      <c r="B49" s="179" t="s">
        <v>116</v>
      </c>
      <c r="C49" s="170">
        <v>0</v>
      </c>
      <c r="D49" s="171">
        <v>0</v>
      </c>
      <c r="E49" s="233">
        <f>E50+E51</f>
        <v>0</v>
      </c>
      <c r="F49" s="233">
        <f t="shared" ref="F49:G49" si="54">F50+F51</f>
        <v>0</v>
      </c>
      <c r="G49" s="233">
        <f t="shared" si="54"/>
        <v>0</v>
      </c>
      <c r="H49" s="232">
        <f t="shared" si="1"/>
        <v>0</v>
      </c>
      <c r="I49" s="233">
        <v>0</v>
      </c>
      <c r="J49" s="233">
        <f>J50+J51</f>
        <v>0</v>
      </c>
      <c r="K49" s="233">
        <f t="shared" ref="K49:L49" si="55">K50+K51</f>
        <v>0</v>
      </c>
      <c r="L49" s="233">
        <f t="shared" si="55"/>
        <v>0</v>
      </c>
      <c r="M49" s="232">
        <f t="shared" si="3"/>
        <v>0</v>
      </c>
      <c r="N49" s="233">
        <v>0</v>
      </c>
      <c r="O49" s="233">
        <f>O50+O51</f>
        <v>0</v>
      </c>
      <c r="P49" s="233">
        <f t="shared" ref="P49:Q49" si="56">P50+P51</f>
        <v>0</v>
      </c>
      <c r="Q49" s="233">
        <f t="shared" si="56"/>
        <v>0</v>
      </c>
      <c r="R49" s="232">
        <f t="shared" si="5"/>
        <v>0</v>
      </c>
    </row>
    <row r="50" spans="1:18" s="6" customFormat="1" ht="36" hidden="1" customHeight="1">
      <c r="A50" s="133" t="s">
        <v>117</v>
      </c>
      <c r="B50" s="179" t="s">
        <v>118</v>
      </c>
      <c r="C50" s="170"/>
      <c r="D50" s="171">
        <v>0</v>
      </c>
      <c r="E50" s="233"/>
      <c r="F50" s="233"/>
      <c r="G50" s="233"/>
      <c r="H50" s="232">
        <f t="shared" si="1"/>
        <v>0</v>
      </c>
      <c r="I50" s="233">
        <v>0</v>
      </c>
      <c r="J50" s="233"/>
      <c r="K50" s="233"/>
      <c r="L50" s="233"/>
      <c r="M50" s="232">
        <f t="shared" si="3"/>
        <v>0</v>
      </c>
      <c r="N50" s="233">
        <v>0</v>
      </c>
      <c r="O50" s="233"/>
      <c r="P50" s="233"/>
      <c r="Q50" s="233"/>
      <c r="R50" s="232">
        <f t="shared" si="5"/>
        <v>0</v>
      </c>
    </row>
    <row r="51" spans="1:18" s="6" customFormat="1" ht="36" hidden="1" customHeight="1">
      <c r="A51" s="133">
        <v>7130</v>
      </c>
      <c r="B51" s="179" t="s">
        <v>119</v>
      </c>
      <c r="C51" s="170">
        <v>0</v>
      </c>
      <c r="D51" s="171">
        <v>0</v>
      </c>
      <c r="E51" s="233">
        <f>SUM(E52:E54)</f>
        <v>0</v>
      </c>
      <c r="F51" s="233">
        <f t="shared" ref="F51:G51" si="57">SUM(F52:F54)</f>
        <v>0</v>
      </c>
      <c r="G51" s="233">
        <f t="shared" si="57"/>
        <v>0</v>
      </c>
      <c r="H51" s="232">
        <f t="shared" si="1"/>
        <v>0</v>
      </c>
      <c r="I51" s="233">
        <v>0</v>
      </c>
      <c r="J51" s="233">
        <f>SUM(J52:J54)</f>
        <v>0</v>
      </c>
      <c r="K51" s="233">
        <f t="shared" ref="K51:L51" si="58">SUM(K52:K54)</f>
        <v>0</v>
      </c>
      <c r="L51" s="233">
        <f t="shared" si="58"/>
        <v>0</v>
      </c>
      <c r="M51" s="232">
        <f t="shared" si="3"/>
        <v>0</v>
      </c>
      <c r="N51" s="233">
        <v>0</v>
      </c>
      <c r="O51" s="233">
        <f>SUM(O52:O54)</f>
        <v>0</v>
      </c>
      <c r="P51" s="233">
        <f t="shared" ref="P51:Q51" si="59">SUM(P52:P54)</f>
        <v>0</v>
      </c>
      <c r="Q51" s="233">
        <f t="shared" si="59"/>
        <v>0</v>
      </c>
      <c r="R51" s="232">
        <f t="shared" si="5"/>
        <v>0</v>
      </c>
    </row>
    <row r="52" spans="1:18" s="6" customFormat="1" ht="48" hidden="1" customHeight="1">
      <c r="A52" s="134">
        <v>7131</v>
      </c>
      <c r="B52" s="179" t="s">
        <v>120</v>
      </c>
      <c r="C52" s="170"/>
      <c r="D52" s="171">
        <v>0</v>
      </c>
      <c r="E52" s="233"/>
      <c r="F52" s="233"/>
      <c r="G52" s="233"/>
      <c r="H52" s="232">
        <f t="shared" si="1"/>
        <v>0</v>
      </c>
      <c r="I52" s="233">
        <v>0</v>
      </c>
      <c r="J52" s="233"/>
      <c r="K52" s="233"/>
      <c r="L52" s="233"/>
      <c r="M52" s="232">
        <f t="shared" si="3"/>
        <v>0</v>
      </c>
      <c r="N52" s="233">
        <v>0</v>
      </c>
      <c r="O52" s="233"/>
      <c r="P52" s="233"/>
      <c r="Q52" s="233"/>
      <c r="R52" s="232">
        <f t="shared" si="5"/>
        <v>0</v>
      </c>
    </row>
    <row r="53" spans="1:18" s="6" customFormat="1" ht="48" hidden="1" customHeight="1">
      <c r="A53" s="134">
        <v>7132</v>
      </c>
      <c r="B53" s="179" t="s">
        <v>121</v>
      </c>
      <c r="C53" s="170"/>
      <c r="D53" s="171">
        <v>0</v>
      </c>
      <c r="E53" s="233"/>
      <c r="F53" s="233"/>
      <c r="G53" s="233"/>
      <c r="H53" s="232">
        <f t="shared" si="1"/>
        <v>0</v>
      </c>
      <c r="I53" s="233">
        <v>0</v>
      </c>
      <c r="J53" s="233"/>
      <c r="K53" s="233"/>
      <c r="L53" s="233"/>
      <c r="M53" s="232">
        <f t="shared" si="3"/>
        <v>0</v>
      </c>
      <c r="N53" s="233">
        <v>0</v>
      </c>
      <c r="O53" s="233"/>
      <c r="P53" s="233"/>
      <c r="Q53" s="233"/>
      <c r="R53" s="232">
        <f t="shared" si="5"/>
        <v>0</v>
      </c>
    </row>
    <row r="54" spans="1:18" s="6" customFormat="1" ht="36" hidden="1" customHeight="1">
      <c r="A54" s="134" t="s">
        <v>186</v>
      </c>
      <c r="B54" s="179" t="s">
        <v>187</v>
      </c>
      <c r="C54" s="170"/>
      <c r="D54" s="171">
        <v>0</v>
      </c>
      <c r="E54" s="233"/>
      <c r="F54" s="233"/>
      <c r="G54" s="233"/>
      <c r="H54" s="232">
        <f t="shared" si="1"/>
        <v>0</v>
      </c>
      <c r="I54" s="233">
        <v>0</v>
      </c>
      <c r="J54" s="233"/>
      <c r="K54" s="233"/>
      <c r="L54" s="233"/>
      <c r="M54" s="232">
        <f t="shared" si="3"/>
        <v>0</v>
      </c>
      <c r="N54" s="233">
        <v>0</v>
      </c>
      <c r="O54" s="233"/>
      <c r="P54" s="233"/>
      <c r="Q54" s="233"/>
      <c r="R54" s="232">
        <f t="shared" si="5"/>
        <v>0</v>
      </c>
    </row>
    <row r="55" spans="1:18" s="6" customFormat="1" ht="24" hidden="1" customHeight="1">
      <c r="A55" s="132">
        <v>7300</v>
      </c>
      <c r="B55" s="172" t="s">
        <v>155</v>
      </c>
      <c r="C55" s="170">
        <v>0</v>
      </c>
      <c r="D55" s="171">
        <v>0</v>
      </c>
      <c r="E55" s="233">
        <f>SUM(E56:E58)</f>
        <v>0</v>
      </c>
      <c r="F55" s="233">
        <f t="shared" ref="F55:G55" si="60">SUM(F56:F58)</f>
        <v>0</v>
      </c>
      <c r="G55" s="233">
        <f t="shared" si="60"/>
        <v>0</v>
      </c>
      <c r="H55" s="232">
        <f t="shared" si="1"/>
        <v>0</v>
      </c>
      <c r="I55" s="233">
        <v>0</v>
      </c>
      <c r="J55" s="233">
        <f>SUM(J56:J58)</f>
        <v>0</v>
      </c>
      <c r="K55" s="233">
        <f t="shared" ref="K55:L55" si="61">SUM(K56:K58)</f>
        <v>0</v>
      </c>
      <c r="L55" s="233">
        <f t="shared" si="61"/>
        <v>0</v>
      </c>
      <c r="M55" s="232">
        <f t="shared" si="3"/>
        <v>0</v>
      </c>
      <c r="N55" s="233">
        <v>0</v>
      </c>
      <c r="O55" s="233">
        <f>SUM(O56:O58)</f>
        <v>0</v>
      </c>
      <c r="P55" s="233">
        <f t="shared" ref="P55:Q55" si="62">SUM(P56:P58)</f>
        <v>0</v>
      </c>
      <c r="Q55" s="233">
        <f t="shared" si="62"/>
        <v>0</v>
      </c>
      <c r="R55" s="232">
        <f t="shared" si="5"/>
        <v>0</v>
      </c>
    </row>
    <row r="56" spans="1:18" s="6" customFormat="1" ht="24" hidden="1" customHeight="1">
      <c r="A56" s="133" t="s">
        <v>188</v>
      </c>
      <c r="B56" s="179" t="s">
        <v>170</v>
      </c>
      <c r="C56" s="204"/>
      <c r="D56" s="180">
        <v>0</v>
      </c>
      <c r="E56" s="252"/>
      <c r="F56" s="252"/>
      <c r="G56" s="252"/>
      <c r="H56" s="232">
        <f t="shared" si="1"/>
        <v>0</v>
      </c>
      <c r="I56" s="252">
        <v>0</v>
      </c>
      <c r="J56" s="252"/>
      <c r="K56" s="252"/>
      <c r="L56" s="252"/>
      <c r="M56" s="232">
        <f t="shared" si="3"/>
        <v>0</v>
      </c>
      <c r="N56" s="252">
        <v>0</v>
      </c>
      <c r="O56" s="252"/>
      <c r="P56" s="252"/>
      <c r="Q56" s="252"/>
      <c r="R56" s="232">
        <f t="shared" si="5"/>
        <v>0</v>
      </c>
    </row>
    <row r="57" spans="1:18" s="29" customFormat="1" ht="60" hidden="1" customHeight="1">
      <c r="A57" s="133" t="s">
        <v>189</v>
      </c>
      <c r="B57" s="179" t="s">
        <v>156</v>
      </c>
      <c r="C57" s="204"/>
      <c r="D57" s="180">
        <v>0</v>
      </c>
      <c r="E57" s="252"/>
      <c r="F57" s="252"/>
      <c r="G57" s="252"/>
      <c r="H57" s="232">
        <f t="shared" si="1"/>
        <v>0</v>
      </c>
      <c r="I57" s="252">
        <v>0</v>
      </c>
      <c r="J57" s="252"/>
      <c r="K57" s="252"/>
      <c r="L57" s="252"/>
      <c r="M57" s="232">
        <f t="shared" si="3"/>
        <v>0</v>
      </c>
      <c r="N57" s="252">
        <v>0</v>
      </c>
      <c r="O57" s="252"/>
      <c r="P57" s="252"/>
      <c r="Q57" s="252"/>
      <c r="R57" s="232">
        <f t="shared" si="5"/>
        <v>0</v>
      </c>
    </row>
    <row r="58" spans="1:18" s="89" customFormat="1" ht="48" hidden="1" customHeight="1">
      <c r="A58" s="133">
        <v>7350</v>
      </c>
      <c r="B58" s="179" t="s">
        <v>163</v>
      </c>
      <c r="C58" s="204"/>
      <c r="D58" s="180">
        <v>0</v>
      </c>
      <c r="E58" s="252"/>
      <c r="F58" s="252"/>
      <c r="G58" s="252"/>
      <c r="H58" s="232">
        <f t="shared" si="1"/>
        <v>0</v>
      </c>
      <c r="I58" s="252">
        <v>0</v>
      </c>
      <c r="J58" s="252"/>
      <c r="K58" s="252"/>
      <c r="L58" s="252"/>
      <c r="M58" s="232">
        <f t="shared" si="3"/>
        <v>0</v>
      </c>
      <c r="N58" s="252">
        <v>0</v>
      </c>
      <c r="O58" s="252"/>
      <c r="P58" s="252"/>
      <c r="Q58" s="252"/>
      <c r="R58" s="232">
        <f t="shared" si="5"/>
        <v>0</v>
      </c>
    </row>
    <row r="59" spans="1:18" s="89" customFormat="1" ht="24" hidden="1" customHeight="1">
      <c r="A59" s="132">
        <v>7400</v>
      </c>
      <c r="B59" s="172" t="s">
        <v>161</v>
      </c>
      <c r="C59" s="170">
        <v>0</v>
      </c>
      <c r="D59" s="171">
        <v>0</v>
      </c>
      <c r="E59" s="233">
        <f>SUM(E60:E61)</f>
        <v>0</v>
      </c>
      <c r="F59" s="233">
        <f t="shared" ref="F59:G59" si="63">SUM(F60:F61)</f>
        <v>0</v>
      </c>
      <c r="G59" s="233">
        <f t="shared" si="63"/>
        <v>0</v>
      </c>
      <c r="H59" s="232">
        <f t="shared" si="1"/>
        <v>0</v>
      </c>
      <c r="I59" s="233">
        <v>0</v>
      </c>
      <c r="J59" s="233">
        <f>SUM(J60:J61)</f>
        <v>0</v>
      </c>
      <c r="K59" s="233">
        <f t="shared" ref="K59:L59" si="64">SUM(K60:K61)</f>
        <v>0</v>
      </c>
      <c r="L59" s="233">
        <f t="shared" si="64"/>
        <v>0</v>
      </c>
      <c r="M59" s="232">
        <f t="shared" si="3"/>
        <v>0</v>
      </c>
      <c r="N59" s="233">
        <v>0</v>
      </c>
      <c r="O59" s="233">
        <f>SUM(O60:O61)</f>
        <v>0</v>
      </c>
      <c r="P59" s="233">
        <f t="shared" ref="P59:Q59" si="65">SUM(P60:P61)</f>
        <v>0</v>
      </c>
      <c r="Q59" s="233">
        <f t="shared" si="65"/>
        <v>0</v>
      </c>
      <c r="R59" s="232">
        <f t="shared" si="5"/>
        <v>0</v>
      </c>
    </row>
    <row r="60" spans="1:18" s="89" customFormat="1" ht="24" hidden="1" customHeight="1">
      <c r="A60" s="133">
        <v>7460</v>
      </c>
      <c r="B60" s="172" t="s">
        <v>162</v>
      </c>
      <c r="C60" s="204"/>
      <c r="D60" s="180">
        <v>0</v>
      </c>
      <c r="E60" s="252"/>
      <c r="F60" s="252"/>
      <c r="G60" s="252"/>
      <c r="H60" s="232">
        <f t="shared" si="1"/>
        <v>0</v>
      </c>
      <c r="I60" s="252">
        <v>0</v>
      </c>
      <c r="J60" s="252"/>
      <c r="K60" s="252"/>
      <c r="L60" s="252"/>
      <c r="M60" s="232">
        <f t="shared" si="3"/>
        <v>0</v>
      </c>
      <c r="N60" s="252">
        <v>0</v>
      </c>
      <c r="O60" s="252"/>
      <c r="P60" s="252"/>
      <c r="Q60" s="252"/>
      <c r="R60" s="232">
        <f t="shared" si="5"/>
        <v>0</v>
      </c>
    </row>
    <row r="61" spans="1:18" s="89" customFormat="1" ht="48" hidden="1" customHeight="1">
      <c r="A61" s="133">
        <v>7470</v>
      </c>
      <c r="B61" s="179" t="s">
        <v>167</v>
      </c>
      <c r="C61" s="204"/>
      <c r="D61" s="180">
        <v>0</v>
      </c>
      <c r="E61" s="252"/>
      <c r="F61" s="252"/>
      <c r="G61" s="252"/>
      <c r="H61" s="232">
        <f t="shared" si="1"/>
        <v>0</v>
      </c>
      <c r="I61" s="252">
        <v>0</v>
      </c>
      <c r="J61" s="252"/>
      <c r="K61" s="252"/>
      <c r="L61" s="252"/>
      <c r="M61" s="232">
        <f t="shared" si="3"/>
        <v>0</v>
      </c>
      <c r="N61" s="252">
        <v>0</v>
      </c>
      <c r="O61" s="252"/>
      <c r="P61" s="252"/>
      <c r="Q61" s="252"/>
      <c r="R61" s="232">
        <f t="shared" si="5"/>
        <v>0</v>
      </c>
    </row>
    <row r="62" spans="1:18" s="89" customFormat="1" ht="24" hidden="1" customHeight="1">
      <c r="A62" s="132">
        <v>7500</v>
      </c>
      <c r="B62" s="179" t="s">
        <v>157</v>
      </c>
      <c r="C62" s="170"/>
      <c r="D62" s="171">
        <v>0</v>
      </c>
      <c r="E62" s="233"/>
      <c r="F62" s="233"/>
      <c r="G62" s="233"/>
      <c r="H62" s="232">
        <f t="shared" si="1"/>
        <v>0</v>
      </c>
      <c r="I62" s="233">
        <v>0</v>
      </c>
      <c r="J62" s="233"/>
      <c r="K62" s="233"/>
      <c r="L62" s="233"/>
      <c r="M62" s="232">
        <f t="shared" si="3"/>
        <v>0</v>
      </c>
      <c r="N62" s="233">
        <v>0</v>
      </c>
      <c r="O62" s="233"/>
      <c r="P62" s="233"/>
      <c r="Q62" s="233"/>
      <c r="R62" s="232">
        <f t="shared" si="5"/>
        <v>0</v>
      </c>
    </row>
    <row r="63" spans="1:18" s="89" customFormat="1" ht="12" hidden="1" customHeight="1">
      <c r="A63" s="140" t="s">
        <v>133</v>
      </c>
      <c r="B63" s="124" t="s">
        <v>122</v>
      </c>
      <c r="C63" s="205">
        <v>0</v>
      </c>
      <c r="D63" s="181">
        <v>0</v>
      </c>
      <c r="E63" s="254">
        <f>E64+E65</f>
        <v>0</v>
      </c>
      <c r="F63" s="254">
        <f t="shared" ref="F63:G63" si="66">F64+F65</f>
        <v>0</v>
      </c>
      <c r="G63" s="254">
        <f t="shared" si="66"/>
        <v>0</v>
      </c>
      <c r="H63" s="232">
        <f t="shared" si="1"/>
        <v>0</v>
      </c>
      <c r="I63" s="254">
        <v>0</v>
      </c>
      <c r="J63" s="254">
        <f>J64+J65</f>
        <v>0</v>
      </c>
      <c r="K63" s="254">
        <f t="shared" ref="K63:L63" si="67">K64+K65</f>
        <v>0</v>
      </c>
      <c r="L63" s="254">
        <f t="shared" si="67"/>
        <v>0</v>
      </c>
      <c r="M63" s="232">
        <f t="shared" si="3"/>
        <v>0</v>
      </c>
      <c r="N63" s="254">
        <v>0</v>
      </c>
      <c r="O63" s="254">
        <f>O64+O65</f>
        <v>0</v>
      </c>
      <c r="P63" s="254">
        <f t="shared" ref="P63:Q63" si="68">P64+P65</f>
        <v>0</v>
      </c>
      <c r="Q63" s="254">
        <f t="shared" si="68"/>
        <v>0</v>
      </c>
      <c r="R63" s="232">
        <f t="shared" si="5"/>
        <v>0</v>
      </c>
    </row>
    <row r="64" spans="1:18" s="89" customFormat="1" ht="12" hidden="1" customHeight="1">
      <c r="A64" s="140">
        <v>5000</v>
      </c>
      <c r="B64" s="124" t="s">
        <v>123</v>
      </c>
      <c r="C64" s="170"/>
      <c r="D64" s="171">
        <v>0</v>
      </c>
      <c r="E64" s="244"/>
      <c r="F64" s="244"/>
      <c r="G64" s="244"/>
      <c r="H64" s="232">
        <f t="shared" si="1"/>
        <v>0</v>
      </c>
      <c r="I64" s="233">
        <v>0</v>
      </c>
      <c r="J64" s="244"/>
      <c r="K64" s="244"/>
      <c r="L64" s="244"/>
      <c r="M64" s="232">
        <f t="shared" si="3"/>
        <v>0</v>
      </c>
      <c r="N64" s="233">
        <v>0</v>
      </c>
      <c r="O64" s="244"/>
      <c r="P64" s="244"/>
      <c r="Q64" s="244"/>
      <c r="R64" s="232">
        <f t="shared" si="5"/>
        <v>0</v>
      </c>
    </row>
    <row r="65" spans="1:18" s="89" customFormat="1" ht="12" hidden="1" customHeight="1">
      <c r="A65" s="140">
        <v>9000</v>
      </c>
      <c r="B65" s="182" t="s">
        <v>164</v>
      </c>
      <c r="C65" s="170">
        <v>0</v>
      </c>
      <c r="D65" s="171">
        <v>0</v>
      </c>
      <c r="E65" s="233">
        <f t="shared" ref="E65:G65" si="69">E66+E72+E76+E79</f>
        <v>0</v>
      </c>
      <c r="F65" s="233">
        <f t="shared" ref="F65" si="70">F66+F72+F76+F79</f>
        <v>0</v>
      </c>
      <c r="G65" s="233">
        <f t="shared" si="69"/>
        <v>0</v>
      </c>
      <c r="H65" s="232">
        <f t="shared" si="1"/>
        <v>0</v>
      </c>
      <c r="I65" s="233">
        <v>0</v>
      </c>
      <c r="J65" s="233">
        <f t="shared" ref="J65:L65" si="71">J66+J72+J76+J79</f>
        <v>0</v>
      </c>
      <c r="K65" s="233">
        <f t="shared" ref="K65" si="72">K66+K72+K76+K79</f>
        <v>0</v>
      </c>
      <c r="L65" s="233">
        <f t="shared" si="71"/>
        <v>0</v>
      </c>
      <c r="M65" s="232">
        <f t="shared" si="3"/>
        <v>0</v>
      </c>
      <c r="N65" s="233">
        <v>0</v>
      </c>
      <c r="O65" s="233">
        <f t="shared" ref="O65:Q65" si="73">O66+O72+O76+O79</f>
        <v>0</v>
      </c>
      <c r="P65" s="233">
        <f t="shared" ref="P65" si="74">P66+P72+P76+P79</f>
        <v>0</v>
      </c>
      <c r="Q65" s="233">
        <f t="shared" si="73"/>
        <v>0</v>
      </c>
      <c r="R65" s="232">
        <f t="shared" si="5"/>
        <v>0</v>
      </c>
    </row>
    <row r="66" spans="1:18" s="89" customFormat="1" ht="12" hidden="1" customHeight="1">
      <c r="A66" s="141">
        <v>9100</v>
      </c>
      <c r="B66" s="179" t="s">
        <v>124</v>
      </c>
      <c r="C66" s="170">
        <v>0</v>
      </c>
      <c r="D66" s="171">
        <v>0</v>
      </c>
      <c r="E66" s="233">
        <f t="shared" ref="E66:G66" si="75">SUM(E67:E68)</f>
        <v>0</v>
      </c>
      <c r="F66" s="233">
        <f t="shared" ref="F66" si="76">SUM(F67:F68)</f>
        <v>0</v>
      </c>
      <c r="G66" s="233">
        <f t="shared" si="75"/>
        <v>0</v>
      </c>
      <c r="H66" s="232">
        <f t="shared" si="1"/>
        <v>0</v>
      </c>
      <c r="I66" s="233">
        <v>0</v>
      </c>
      <c r="J66" s="233">
        <f t="shared" ref="J66:L66" si="77">SUM(J67:J68)</f>
        <v>0</v>
      </c>
      <c r="K66" s="233">
        <f t="shared" ref="K66" si="78">SUM(K67:K68)</f>
        <v>0</v>
      </c>
      <c r="L66" s="233">
        <f t="shared" si="77"/>
        <v>0</v>
      </c>
      <c r="M66" s="232">
        <f t="shared" si="3"/>
        <v>0</v>
      </c>
      <c r="N66" s="233">
        <v>0</v>
      </c>
      <c r="O66" s="233">
        <f t="shared" ref="O66:Q66" si="79">SUM(O67:O68)</f>
        <v>0</v>
      </c>
      <c r="P66" s="233">
        <f t="shared" ref="P66" si="80">SUM(P67:P68)</f>
        <v>0</v>
      </c>
      <c r="Q66" s="233">
        <f t="shared" si="79"/>
        <v>0</v>
      </c>
      <c r="R66" s="232">
        <f t="shared" si="5"/>
        <v>0</v>
      </c>
    </row>
    <row r="67" spans="1:18" s="89" customFormat="1" ht="36" hidden="1" customHeight="1">
      <c r="A67" s="133" t="s">
        <v>125</v>
      </c>
      <c r="B67" s="179" t="s">
        <v>214</v>
      </c>
      <c r="C67" s="170"/>
      <c r="D67" s="171">
        <v>0</v>
      </c>
      <c r="E67" s="233"/>
      <c r="F67" s="233"/>
      <c r="G67" s="233"/>
      <c r="H67" s="232">
        <f t="shared" si="1"/>
        <v>0</v>
      </c>
      <c r="I67" s="233">
        <v>0</v>
      </c>
      <c r="J67" s="233"/>
      <c r="K67" s="233"/>
      <c r="L67" s="233"/>
      <c r="M67" s="232">
        <f t="shared" si="3"/>
        <v>0</v>
      </c>
      <c r="N67" s="233">
        <v>0</v>
      </c>
      <c r="O67" s="233"/>
      <c r="P67" s="233"/>
      <c r="Q67" s="233"/>
      <c r="R67" s="232">
        <f t="shared" si="5"/>
        <v>0</v>
      </c>
    </row>
    <row r="68" spans="1:18" s="89" customFormat="1" ht="24" hidden="1" customHeight="1">
      <c r="A68" s="133">
        <v>9140</v>
      </c>
      <c r="B68" s="179" t="s">
        <v>215</v>
      </c>
      <c r="C68" s="170">
        <v>0</v>
      </c>
      <c r="D68" s="171">
        <v>0</v>
      </c>
      <c r="E68" s="233">
        <f>SUM(E69:E71)</f>
        <v>0</v>
      </c>
      <c r="F68" s="233">
        <f t="shared" ref="F68:G68" si="81">SUM(F69:F71)</f>
        <v>0</v>
      </c>
      <c r="G68" s="233">
        <f t="shared" si="81"/>
        <v>0</v>
      </c>
      <c r="H68" s="232">
        <f t="shared" si="1"/>
        <v>0</v>
      </c>
      <c r="I68" s="233">
        <v>0</v>
      </c>
      <c r="J68" s="233">
        <f>SUM(J69:J71)</f>
        <v>0</v>
      </c>
      <c r="K68" s="233">
        <f t="shared" ref="K68:L68" si="82">SUM(K69:K71)</f>
        <v>0</v>
      </c>
      <c r="L68" s="233">
        <f t="shared" si="82"/>
        <v>0</v>
      </c>
      <c r="M68" s="232">
        <f t="shared" si="3"/>
        <v>0</v>
      </c>
      <c r="N68" s="233">
        <v>0</v>
      </c>
      <c r="O68" s="233">
        <f>SUM(O69:O71)</f>
        <v>0</v>
      </c>
      <c r="P68" s="233">
        <f t="shared" ref="P68:Q68" si="83">SUM(P69:P71)</f>
        <v>0</v>
      </c>
      <c r="Q68" s="233">
        <f t="shared" si="83"/>
        <v>0</v>
      </c>
      <c r="R68" s="232">
        <f t="shared" si="5"/>
        <v>0</v>
      </c>
    </row>
    <row r="69" spans="1:18" s="89" customFormat="1" ht="36" hidden="1" customHeight="1">
      <c r="A69" s="134">
        <v>9141</v>
      </c>
      <c r="B69" s="172" t="s">
        <v>190</v>
      </c>
      <c r="C69" s="204"/>
      <c r="D69" s="180">
        <v>0</v>
      </c>
      <c r="E69" s="252"/>
      <c r="F69" s="252"/>
      <c r="G69" s="252"/>
      <c r="H69" s="232">
        <f t="shared" si="1"/>
        <v>0</v>
      </c>
      <c r="I69" s="252">
        <v>0</v>
      </c>
      <c r="J69" s="252"/>
      <c r="K69" s="252"/>
      <c r="L69" s="252"/>
      <c r="M69" s="232">
        <f t="shared" si="3"/>
        <v>0</v>
      </c>
      <c r="N69" s="252">
        <v>0</v>
      </c>
      <c r="O69" s="252"/>
      <c r="P69" s="252"/>
      <c r="Q69" s="252"/>
      <c r="R69" s="232">
        <f t="shared" si="5"/>
        <v>0</v>
      </c>
    </row>
    <row r="70" spans="1:18" s="89" customFormat="1" ht="36" hidden="1" customHeight="1">
      <c r="A70" s="134">
        <v>9142</v>
      </c>
      <c r="B70" s="172" t="s">
        <v>191</v>
      </c>
      <c r="C70" s="204"/>
      <c r="D70" s="180">
        <v>0</v>
      </c>
      <c r="E70" s="252"/>
      <c r="F70" s="252"/>
      <c r="G70" s="252"/>
      <c r="H70" s="232">
        <f t="shared" si="1"/>
        <v>0</v>
      </c>
      <c r="I70" s="252">
        <v>0</v>
      </c>
      <c r="J70" s="252"/>
      <c r="K70" s="252"/>
      <c r="L70" s="252"/>
      <c r="M70" s="232">
        <f t="shared" si="3"/>
        <v>0</v>
      </c>
      <c r="N70" s="252">
        <v>0</v>
      </c>
      <c r="O70" s="252"/>
      <c r="P70" s="252"/>
      <c r="Q70" s="252"/>
      <c r="R70" s="232">
        <f t="shared" si="5"/>
        <v>0</v>
      </c>
    </row>
    <row r="71" spans="1:18" s="89" customFormat="1" ht="36" hidden="1" customHeight="1">
      <c r="A71" s="134">
        <v>9149</v>
      </c>
      <c r="B71" s="172" t="s">
        <v>192</v>
      </c>
      <c r="C71" s="204"/>
      <c r="D71" s="180">
        <v>0</v>
      </c>
      <c r="E71" s="252"/>
      <c r="F71" s="252"/>
      <c r="G71" s="252"/>
      <c r="H71" s="232">
        <f t="shared" si="1"/>
        <v>0</v>
      </c>
      <c r="I71" s="252">
        <v>0</v>
      </c>
      <c r="J71" s="252"/>
      <c r="K71" s="252"/>
      <c r="L71" s="252"/>
      <c r="M71" s="232">
        <f t="shared" si="3"/>
        <v>0</v>
      </c>
      <c r="N71" s="252">
        <v>0</v>
      </c>
      <c r="O71" s="252"/>
      <c r="P71" s="252"/>
      <c r="Q71" s="252"/>
      <c r="R71" s="232">
        <f t="shared" si="5"/>
        <v>0</v>
      </c>
    </row>
    <row r="72" spans="1:18" s="29" customFormat="1" ht="36" hidden="1" customHeight="1">
      <c r="A72" s="141">
        <v>9500</v>
      </c>
      <c r="B72" s="172" t="s">
        <v>165</v>
      </c>
      <c r="C72" s="170">
        <v>0</v>
      </c>
      <c r="D72" s="171">
        <v>0</v>
      </c>
      <c r="E72" s="233">
        <f>SUM(E73:E75)</f>
        <v>0</v>
      </c>
      <c r="F72" s="233">
        <f t="shared" ref="F72:G72" si="84">SUM(F73:F75)</f>
        <v>0</v>
      </c>
      <c r="G72" s="233">
        <f t="shared" si="84"/>
        <v>0</v>
      </c>
      <c r="H72" s="232">
        <f t="shared" si="1"/>
        <v>0</v>
      </c>
      <c r="I72" s="233">
        <v>0</v>
      </c>
      <c r="J72" s="233">
        <f>SUM(J73:J75)</f>
        <v>0</v>
      </c>
      <c r="K72" s="233">
        <f t="shared" ref="K72:L72" si="85">SUM(K73:K75)</f>
        <v>0</v>
      </c>
      <c r="L72" s="233">
        <f t="shared" si="85"/>
        <v>0</v>
      </c>
      <c r="M72" s="232">
        <f t="shared" si="3"/>
        <v>0</v>
      </c>
      <c r="N72" s="233">
        <v>0</v>
      </c>
      <c r="O72" s="233">
        <f>SUM(O73:O75)</f>
        <v>0</v>
      </c>
      <c r="P72" s="233">
        <f t="shared" ref="P72:Q72" si="86">SUM(P73:P75)</f>
        <v>0</v>
      </c>
      <c r="Q72" s="233">
        <f t="shared" si="86"/>
        <v>0</v>
      </c>
      <c r="R72" s="232">
        <f t="shared" si="5"/>
        <v>0</v>
      </c>
    </row>
    <row r="73" spans="1:18" s="29" customFormat="1" ht="24" hidden="1" customHeight="1">
      <c r="A73" s="133" t="s">
        <v>193</v>
      </c>
      <c r="B73" s="172" t="s">
        <v>171</v>
      </c>
      <c r="C73" s="170"/>
      <c r="D73" s="171">
        <v>0</v>
      </c>
      <c r="E73" s="233"/>
      <c r="F73" s="233"/>
      <c r="G73" s="233"/>
      <c r="H73" s="232">
        <f t="shared" si="1"/>
        <v>0</v>
      </c>
      <c r="I73" s="233">
        <v>0</v>
      </c>
      <c r="J73" s="233"/>
      <c r="K73" s="233"/>
      <c r="L73" s="233"/>
      <c r="M73" s="232">
        <f t="shared" si="3"/>
        <v>0</v>
      </c>
      <c r="N73" s="233">
        <v>0</v>
      </c>
      <c r="O73" s="233"/>
      <c r="P73" s="233"/>
      <c r="Q73" s="233"/>
      <c r="R73" s="232">
        <f t="shared" si="5"/>
        <v>0</v>
      </c>
    </row>
    <row r="74" spans="1:18" s="28" customFormat="1" ht="60" hidden="1" customHeight="1">
      <c r="A74" s="133">
        <v>9580</v>
      </c>
      <c r="B74" s="172" t="s">
        <v>166</v>
      </c>
      <c r="C74" s="204"/>
      <c r="D74" s="180">
        <v>0</v>
      </c>
      <c r="E74" s="252"/>
      <c r="F74" s="252"/>
      <c r="G74" s="252"/>
      <c r="H74" s="232">
        <f t="shared" ref="H74:H137" si="87">SUM(D74:G74)</f>
        <v>0</v>
      </c>
      <c r="I74" s="252">
        <v>0</v>
      </c>
      <c r="J74" s="252"/>
      <c r="K74" s="252"/>
      <c r="L74" s="252"/>
      <c r="M74" s="232">
        <f t="shared" ref="M74:M137" si="88">SUM(I74:L74)</f>
        <v>0</v>
      </c>
      <c r="N74" s="252">
        <v>0</v>
      </c>
      <c r="O74" s="252"/>
      <c r="P74" s="252"/>
      <c r="Q74" s="252"/>
      <c r="R74" s="232">
        <f t="shared" ref="R74:R137" si="89">SUM(N74:Q74)</f>
        <v>0</v>
      </c>
    </row>
    <row r="75" spans="1:18" s="4" customFormat="1" ht="48" hidden="1" customHeight="1">
      <c r="A75" s="133">
        <v>9590</v>
      </c>
      <c r="B75" s="179" t="s">
        <v>172</v>
      </c>
      <c r="C75" s="204"/>
      <c r="D75" s="180">
        <v>0</v>
      </c>
      <c r="E75" s="252"/>
      <c r="F75" s="252"/>
      <c r="G75" s="252"/>
      <c r="H75" s="232">
        <f t="shared" si="87"/>
        <v>0</v>
      </c>
      <c r="I75" s="252">
        <v>0</v>
      </c>
      <c r="J75" s="252"/>
      <c r="K75" s="252"/>
      <c r="L75" s="252"/>
      <c r="M75" s="232">
        <f t="shared" si="88"/>
        <v>0</v>
      </c>
      <c r="N75" s="252">
        <v>0</v>
      </c>
      <c r="O75" s="252"/>
      <c r="P75" s="252"/>
      <c r="Q75" s="252"/>
      <c r="R75" s="232">
        <f t="shared" si="89"/>
        <v>0</v>
      </c>
    </row>
    <row r="76" spans="1:18" ht="24" hidden="1" customHeight="1">
      <c r="A76" s="141">
        <v>9700</v>
      </c>
      <c r="B76" s="183" t="s">
        <v>194</v>
      </c>
      <c r="C76" s="170">
        <v>0</v>
      </c>
      <c r="D76" s="171">
        <v>0</v>
      </c>
      <c r="E76" s="233">
        <f>SUM(E77:E78)</f>
        <v>0</v>
      </c>
      <c r="F76" s="233">
        <f t="shared" ref="F76:G76" si="90">SUM(F77:F78)</f>
        <v>0</v>
      </c>
      <c r="G76" s="233">
        <f t="shared" si="90"/>
        <v>0</v>
      </c>
      <c r="H76" s="232">
        <f t="shared" si="87"/>
        <v>0</v>
      </c>
      <c r="I76" s="233">
        <v>0</v>
      </c>
      <c r="J76" s="233">
        <f>SUM(J77:J78)</f>
        <v>0</v>
      </c>
      <c r="K76" s="233">
        <f t="shared" ref="K76:L76" si="91">SUM(K77:K78)</f>
        <v>0</v>
      </c>
      <c r="L76" s="233">
        <f t="shared" si="91"/>
        <v>0</v>
      </c>
      <c r="M76" s="232">
        <f t="shared" si="88"/>
        <v>0</v>
      </c>
      <c r="N76" s="233">
        <v>0</v>
      </c>
      <c r="O76" s="233">
        <f>SUM(O77:O78)</f>
        <v>0</v>
      </c>
      <c r="P76" s="233">
        <f t="shared" ref="P76:Q76" si="92">SUM(P77:P78)</f>
        <v>0</v>
      </c>
      <c r="Q76" s="233">
        <f t="shared" si="92"/>
        <v>0</v>
      </c>
      <c r="R76" s="232">
        <f t="shared" si="89"/>
        <v>0</v>
      </c>
    </row>
    <row r="77" spans="1:18" ht="24" hidden="1" customHeight="1">
      <c r="A77" s="133">
        <v>9710</v>
      </c>
      <c r="B77" s="184" t="s">
        <v>195</v>
      </c>
      <c r="C77" s="204"/>
      <c r="D77" s="180">
        <v>0</v>
      </c>
      <c r="E77" s="252"/>
      <c r="F77" s="252"/>
      <c r="G77" s="252"/>
      <c r="H77" s="232">
        <f t="shared" si="87"/>
        <v>0</v>
      </c>
      <c r="I77" s="252">
        <v>0</v>
      </c>
      <c r="J77" s="252"/>
      <c r="K77" s="252"/>
      <c r="L77" s="252"/>
      <c r="M77" s="232">
        <f t="shared" si="88"/>
        <v>0</v>
      </c>
      <c r="N77" s="252">
        <v>0</v>
      </c>
      <c r="O77" s="252"/>
      <c r="P77" s="252"/>
      <c r="Q77" s="252"/>
      <c r="R77" s="232">
        <f t="shared" si="89"/>
        <v>0</v>
      </c>
    </row>
    <row r="78" spans="1:18" ht="48" hidden="1" customHeight="1">
      <c r="A78" s="142">
        <v>9720</v>
      </c>
      <c r="B78" s="183" t="s">
        <v>196</v>
      </c>
      <c r="C78" s="204"/>
      <c r="D78" s="180">
        <v>0</v>
      </c>
      <c r="E78" s="252"/>
      <c r="F78" s="252"/>
      <c r="G78" s="252"/>
      <c r="H78" s="232">
        <f t="shared" si="87"/>
        <v>0</v>
      </c>
      <c r="I78" s="252">
        <v>0</v>
      </c>
      <c r="J78" s="252"/>
      <c r="K78" s="252"/>
      <c r="L78" s="252"/>
      <c r="M78" s="232">
        <f t="shared" si="88"/>
        <v>0</v>
      </c>
      <c r="N78" s="252">
        <v>0</v>
      </c>
      <c r="O78" s="252"/>
      <c r="P78" s="252"/>
      <c r="Q78" s="252"/>
      <c r="R78" s="232">
        <f t="shared" si="89"/>
        <v>0</v>
      </c>
    </row>
    <row r="79" spans="1:18" ht="24" hidden="1" customHeight="1">
      <c r="A79" s="141">
        <v>9600</v>
      </c>
      <c r="B79" s="179" t="s">
        <v>134</v>
      </c>
      <c r="C79" s="204"/>
      <c r="D79" s="180">
        <v>0</v>
      </c>
      <c r="E79" s="252"/>
      <c r="F79" s="252"/>
      <c r="G79" s="252"/>
      <c r="H79" s="232">
        <f t="shared" si="87"/>
        <v>0</v>
      </c>
      <c r="I79" s="252">
        <v>0</v>
      </c>
      <c r="J79" s="252"/>
      <c r="K79" s="252"/>
      <c r="L79" s="252"/>
      <c r="M79" s="232">
        <f t="shared" si="88"/>
        <v>0</v>
      </c>
      <c r="N79" s="252">
        <v>0</v>
      </c>
      <c r="O79" s="252"/>
      <c r="P79" s="252"/>
      <c r="Q79" s="252"/>
      <c r="R79" s="232">
        <f t="shared" si="89"/>
        <v>0</v>
      </c>
    </row>
    <row r="80" spans="1:18" ht="52.5" hidden="1" customHeight="1">
      <c r="A80" s="130" t="s">
        <v>197</v>
      </c>
      <c r="B80" s="185" t="s">
        <v>47</v>
      </c>
      <c r="C80" s="206">
        <v>0</v>
      </c>
      <c r="D80" s="186">
        <v>0</v>
      </c>
      <c r="E80" s="262">
        <f>E10-E35</f>
        <v>0</v>
      </c>
      <c r="F80" s="262">
        <f t="shared" ref="F80:G80" si="93">F10-F35</f>
        <v>0</v>
      </c>
      <c r="G80" s="262">
        <f t="shared" si="93"/>
        <v>0</v>
      </c>
      <c r="H80" s="232">
        <f t="shared" si="87"/>
        <v>0</v>
      </c>
      <c r="I80" s="262">
        <v>0</v>
      </c>
      <c r="J80" s="262">
        <f>J10-J35</f>
        <v>0</v>
      </c>
      <c r="K80" s="262">
        <f t="shared" ref="K80:L80" si="94">K10-K35</f>
        <v>0</v>
      </c>
      <c r="L80" s="262">
        <f t="shared" si="94"/>
        <v>0</v>
      </c>
      <c r="M80" s="232">
        <f t="shared" si="88"/>
        <v>0</v>
      </c>
      <c r="N80" s="262">
        <v>0</v>
      </c>
      <c r="O80" s="262">
        <f>O10-O35</f>
        <v>0</v>
      </c>
      <c r="P80" s="262">
        <f t="shared" ref="P80:Q80" si="95">P10-P35</f>
        <v>0</v>
      </c>
      <c r="Q80" s="262">
        <f t="shared" si="95"/>
        <v>0</v>
      </c>
      <c r="R80" s="232">
        <f t="shared" si="89"/>
        <v>0</v>
      </c>
    </row>
    <row r="81" spans="1:18" ht="12" hidden="1" customHeight="1">
      <c r="A81" s="143" t="s">
        <v>48</v>
      </c>
      <c r="B81" s="185" t="s">
        <v>49</v>
      </c>
      <c r="C81" s="206">
        <v>0</v>
      </c>
      <c r="D81" s="186">
        <v>0</v>
      </c>
      <c r="E81" s="262">
        <f>E82+E85+E89+E88</f>
        <v>0</v>
      </c>
      <c r="F81" s="262">
        <f t="shared" ref="F81:G81" si="96">F82+F85+F89+F88</f>
        <v>0</v>
      </c>
      <c r="G81" s="262">
        <f t="shared" si="96"/>
        <v>0</v>
      </c>
      <c r="H81" s="232">
        <f t="shared" si="87"/>
        <v>0</v>
      </c>
      <c r="I81" s="262">
        <v>0</v>
      </c>
      <c r="J81" s="262">
        <f>J82+J85+J89+J88</f>
        <v>0</v>
      </c>
      <c r="K81" s="262">
        <f t="shared" ref="K81:L81" si="97">K82+K85+K89+K88</f>
        <v>0</v>
      </c>
      <c r="L81" s="262">
        <f t="shared" si="97"/>
        <v>0</v>
      </c>
      <c r="M81" s="232">
        <f t="shared" si="88"/>
        <v>0</v>
      </c>
      <c r="N81" s="262">
        <v>0</v>
      </c>
      <c r="O81" s="262">
        <f>O82+O85+O89+O88</f>
        <v>0</v>
      </c>
      <c r="P81" s="262">
        <f t="shared" ref="P81:Q81" si="98">P82+P85+P89+P88</f>
        <v>0</v>
      </c>
      <c r="Q81" s="262">
        <f t="shared" si="98"/>
        <v>0</v>
      </c>
      <c r="R81" s="232">
        <f t="shared" si="89"/>
        <v>0</v>
      </c>
    </row>
    <row r="82" spans="1:18" s="4" customFormat="1" ht="12" hidden="1" customHeight="1">
      <c r="A82" s="141" t="s">
        <v>50</v>
      </c>
      <c r="B82" s="179" t="s">
        <v>51</v>
      </c>
      <c r="C82" s="98">
        <v>0</v>
      </c>
      <c r="D82" s="169">
        <v>0</v>
      </c>
      <c r="E82" s="231">
        <f>E83+E84</f>
        <v>0</v>
      </c>
      <c r="F82" s="231">
        <f t="shared" ref="F82:G82" si="99">F83+F84</f>
        <v>0</v>
      </c>
      <c r="G82" s="231">
        <f t="shared" si="99"/>
        <v>0</v>
      </c>
      <c r="H82" s="232">
        <f t="shared" si="87"/>
        <v>0</v>
      </c>
      <c r="I82" s="231">
        <v>0</v>
      </c>
      <c r="J82" s="231">
        <f>J83+J84</f>
        <v>0</v>
      </c>
      <c r="K82" s="231">
        <f t="shared" ref="K82:L82" si="100">K83+K84</f>
        <v>0</v>
      </c>
      <c r="L82" s="231">
        <f t="shared" si="100"/>
        <v>0</v>
      </c>
      <c r="M82" s="232">
        <f t="shared" si="88"/>
        <v>0</v>
      </c>
      <c r="N82" s="231">
        <v>0</v>
      </c>
      <c r="O82" s="231">
        <f>O83+O84</f>
        <v>0</v>
      </c>
      <c r="P82" s="231">
        <f t="shared" ref="P82:Q82" si="101">P83+P84</f>
        <v>0</v>
      </c>
      <c r="Q82" s="231">
        <f t="shared" si="101"/>
        <v>0</v>
      </c>
      <c r="R82" s="232">
        <f t="shared" si="89"/>
        <v>0</v>
      </c>
    </row>
    <row r="83" spans="1:18" s="6" customFormat="1" ht="12" hidden="1" customHeight="1">
      <c r="A83" s="141" t="s">
        <v>52</v>
      </c>
      <c r="B83" s="179" t="s">
        <v>53</v>
      </c>
      <c r="C83" s="98"/>
      <c r="D83" s="169">
        <v>0</v>
      </c>
      <c r="E83" s="231"/>
      <c r="F83" s="231"/>
      <c r="G83" s="231"/>
      <c r="H83" s="232">
        <f t="shared" si="87"/>
        <v>0</v>
      </c>
      <c r="I83" s="231">
        <v>0</v>
      </c>
      <c r="J83" s="231"/>
      <c r="K83" s="231"/>
      <c r="L83" s="231"/>
      <c r="M83" s="232">
        <f t="shared" si="88"/>
        <v>0</v>
      </c>
      <c r="N83" s="231">
        <v>0</v>
      </c>
      <c r="O83" s="231"/>
      <c r="P83" s="231"/>
      <c r="Q83" s="231"/>
      <c r="R83" s="232">
        <f t="shared" si="89"/>
        <v>0</v>
      </c>
    </row>
    <row r="84" spans="1:18" s="6" customFormat="1" ht="12" hidden="1" customHeight="1">
      <c r="A84" s="141" t="s">
        <v>54</v>
      </c>
      <c r="B84" s="179" t="s">
        <v>55</v>
      </c>
      <c r="C84" s="98"/>
      <c r="D84" s="169">
        <v>0</v>
      </c>
      <c r="E84" s="231"/>
      <c r="F84" s="231"/>
      <c r="G84" s="231"/>
      <c r="H84" s="232">
        <f t="shared" si="87"/>
        <v>0</v>
      </c>
      <c r="I84" s="231">
        <v>0</v>
      </c>
      <c r="J84" s="231"/>
      <c r="K84" s="231"/>
      <c r="L84" s="231"/>
      <c r="M84" s="232">
        <f t="shared" si="88"/>
        <v>0</v>
      </c>
      <c r="N84" s="231">
        <v>0</v>
      </c>
      <c r="O84" s="231"/>
      <c r="P84" s="231"/>
      <c r="Q84" s="231"/>
      <c r="R84" s="232">
        <f t="shared" si="89"/>
        <v>0</v>
      </c>
    </row>
    <row r="85" spans="1:18" s="6" customFormat="1" ht="12" hidden="1" customHeight="1">
      <c r="A85" s="141" t="s">
        <v>56</v>
      </c>
      <c r="B85" s="179" t="s">
        <v>57</v>
      </c>
      <c r="C85" s="98">
        <v>0</v>
      </c>
      <c r="D85" s="169">
        <v>0</v>
      </c>
      <c r="E85" s="231">
        <f>E86+E87</f>
        <v>0</v>
      </c>
      <c r="F85" s="231">
        <f t="shared" ref="F85:G85" si="102">F86+F87</f>
        <v>0</v>
      </c>
      <c r="G85" s="231">
        <f t="shared" si="102"/>
        <v>0</v>
      </c>
      <c r="H85" s="232">
        <f t="shared" si="87"/>
        <v>0</v>
      </c>
      <c r="I85" s="231">
        <v>0</v>
      </c>
      <c r="J85" s="231">
        <f>J86+J87</f>
        <v>0</v>
      </c>
      <c r="K85" s="231">
        <f t="shared" ref="K85:L85" si="103">K86+K87</f>
        <v>0</v>
      </c>
      <c r="L85" s="231">
        <f t="shared" si="103"/>
        <v>0</v>
      </c>
      <c r="M85" s="232">
        <f t="shared" si="88"/>
        <v>0</v>
      </c>
      <c r="N85" s="231">
        <v>0</v>
      </c>
      <c r="O85" s="231">
        <f>O86+O87</f>
        <v>0</v>
      </c>
      <c r="P85" s="231">
        <f t="shared" ref="P85:Q85" si="104">P86+P87</f>
        <v>0</v>
      </c>
      <c r="Q85" s="231">
        <f t="shared" si="104"/>
        <v>0</v>
      </c>
      <c r="R85" s="232">
        <f t="shared" si="89"/>
        <v>0</v>
      </c>
    </row>
    <row r="86" spans="1:18" s="6" customFormat="1" ht="12" hidden="1" customHeight="1">
      <c r="A86" s="141" t="s">
        <v>58</v>
      </c>
      <c r="B86" s="179" t="s">
        <v>59</v>
      </c>
      <c r="C86" s="98"/>
      <c r="D86" s="169">
        <v>0</v>
      </c>
      <c r="E86" s="231"/>
      <c r="F86" s="231"/>
      <c r="G86" s="231"/>
      <c r="H86" s="232">
        <f t="shared" si="87"/>
        <v>0</v>
      </c>
      <c r="I86" s="231">
        <v>0</v>
      </c>
      <c r="J86" s="231"/>
      <c r="K86" s="231"/>
      <c r="L86" s="231"/>
      <c r="M86" s="232">
        <f t="shared" si="88"/>
        <v>0</v>
      </c>
      <c r="N86" s="231">
        <v>0</v>
      </c>
      <c r="O86" s="231"/>
      <c r="P86" s="231"/>
      <c r="Q86" s="231"/>
      <c r="R86" s="232">
        <f t="shared" si="89"/>
        <v>0</v>
      </c>
    </row>
    <row r="87" spans="1:18" s="6" customFormat="1" ht="12" hidden="1" customHeight="1">
      <c r="A87" s="141" t="s">
        <v>60</v>
      </c>
      <c r="B87" s="179" t="s">
        <v>61</v>
      </c>
      <c r="C87" s="98"/>
      <c r="D87" s="169">
        <v>0</v>
      </c>
      <c r="E87" s="231"/>
      <c r="F87" s="231"/>
      <c r="G87" s="231"/>
      <c r="H87" s="232">
        <f t="shared" si="87"/>
        <v>0</v>
      </c>
      <c r="I87" s="231">
        <v>0</v>
      </c>
      <c r="J87" s="231"/>
      <c r="K87" s="231"/>
      <c r="L87" s="231"/>
      <c r="M87" s="232">
        <f t="shared" si="88"/>
        <v>0</v>
      </c>
      <c r="N87" s="231">
        <v>0</v>
      </c>
      <c r="O87" s="231"/>
      <c r="P87" s="231"/>
      <c r="Q87" s="231"/>
      <c r="R87" s="232">
        <f t="shared" si="89"/>
        <v>0</v>
      </c>
    </row>
    <row r="88" spans="1:18" s="6" customFormat="1" ht="24" hidden="1" customHeight="1">
      <c r="A88" s="141" t="s">
        <v>198</v>
      </c>
      <c r="B88" s="187" t="s">
        <v>168</v>
      </c>
      <c r="C88" s="98"/>
      <c r="D88" s="169">
        <v>0</v>
      </c>
      <c r="E88" s="231"/>
      <c r="F88" s="231"/>
      <c r="G88" s="231"/>
      <c r="H88" s="232">
        <f t="shared" si="87"/>
        <v>0</v>
      </c>
      <c r="I88" s="231">
        <v>0</v>
      </c>
      <c r="J88" s="231"/>
      <c r="K88" s="231"/>
      <c r="L88" s="231"/>
      <c r="M88" s="232">
        <f t="shared" si="88"/>
        <v>0</v>
      </c>
      <c r="N88" s="231">
        <v>0</v>
      </c>
      <c r="O88" s="231"/>
      <c r="P88" s="231"/>
      <c r="Q88" s="231"/>
      <c r="R88" s="232">
        <f t="shared" si="89"/>
        <v>0</v>
      </c>
    </row>
    <row r="89" spans="1:18" s="6" customFormat="1" ht="12" hidden="1" customHeight="1">
      <c r="A89" s="144" t="s">
        <v>62</v>
      </c>
      <c r="B89" s="125" t="s">
        <v>63</v>
      </c>
      <c r="C89" s="170">
        <v>0</v>
      </c>
      <c r="D89" s="171">
        <v>0</v>
      </c>
      <c r="E89" s="233">
        <f t="shared" ref="E89:G89" si="105">E90+E91+E92</f>
        <v>0</v>
      </c>
      <c r="F89" s="233">
        <f t="shared" ref="F89" si="106">F90+F91+F92</f>
        <v>0</v>
      </c>
      <c r="G89" s="233">
        <f t="shared" si="105"/>
        <v>0</v>
      </c>
      <c r="H89" s="232">
        <f t="shared" si="87"/>
        <v>0</v>
      </c>
      <c r="I89" s="233">
        <v>0</v>
      </c>
      <c r="J89" s="233">
        <f t="shared" ref="J89:L89" si="107">J90+J91+J92</f>
        <v>0</v>
      </c>
      <c r="K89" s="233">
        <f t="shared" ref="K89" si="108">K90+K91+K92</f>
        <v>0</v>
      </c>
      <c r="L89" s="233">
        <f t="shared" si="107"/>
        <v>0</v>
      </c>
      <c r="M89" s="232">
        <f t="shared" si="88"/>
        <v>0</v>
      </c>
      <c r="N89" s="233">
        <v>0</v>
      </c>
      <c r="O89" s="233">
        <f t="shared" ref="O89:Q89" si="109">O90+O91+O92</f>
        <v>0</v>
      </c>
      <c r="P89" s="233">
        <f t="shared" ref="P89" si="110">P90+P91+P92</f>
        <v>0</v>
      </c>
      <c r="Q89" s="233">
        <f t="shared" si="109"/>
        <v>0</v>
      </c>
      <c r="R89" s="232">
        <f t="shared" si="89"/>
        <v>0</v>
      </c>
    </row>
    <row r="90" spans="1:18" s="6" customFormat="1" ht="36" hidden="1" customHeight="1">
      <c r="A90" s="144" t="s">
        <v>64</v>
      </c>
      <c r="B90" s="179" t="s">
        <v>65</v>
      </c>
      <c r="C90" s="98"/>
      <c r="D90" s="169">
        <v>0</v>
      </c>
      <c r="E90" s="231"/>
      <c r="F90" s="231"/>
      <c r="G90" s="231"/>
      <c r="H90" s="232">
        <f t="shared" si="87"/>
        <v>0</v>
      </c>
      <c r="I90" s="231">
        <v>0</v>
      </c>
      <c r="J90" s="231"/>
      <c r="K90" s="231"/>
      <c r="L90" s="231"/>
      <c r="M90" s="232">
        <f t="shared" si="88"/>
        <v>0</v>
      </c>
      <c r="N90" s="231">
        <v>0</v>
      </c>
      <c r="O90" s="231"/>
      <c r="P90" s="231"/>
      <c r="Q90" s="231"/>
      <c r="R90" s="232">
        <f t="shared" si="89"/>
        <v>0</v>
      </c>
    </row>
    <row r="91" spans="1:18" s="6" customFormat="1" ht="36" hidden="1" customHeight="1">
      <c r="A91" s="144" t="s">
        <v>66</v>
      </c>
      <c r="B91" s="179" t="s">
        <v>67</v>
      </c>
      <c r="C91" s="98"/>
      <c r="D91" s="169">
        <v>0</v>
      </c>
      <c r="E91" s="231"/>
      <c r="F91" s="231"/>
      <c r="G91" s="231"/>
      <c r="H91" s="232">
        <f t="shared" si="87"/>
        <v>0</v>
      </c>
      <c r="I91" s="231">
        <v>0</v>
      </c>
      <c r="J91" s="231"/>
      <c r="K91" s="231"/>
      <c r="L91" s="231"/>
      <c r="M91" s="232">
        <f t="shared" si="88"/>
        <v>0</v>
      </c>
      <c r="N91" s="231">
        <v>0</v>
      </c>
      <c r="O91" s="231"/>
      <c r="P91" s="231"/>
      <c r="Q91" s="231"/>
      <c r="R91" s="232">
        <f t="shared" si="89"/>
        <v>0</v>
      </c>
    </row>
    <row r="92" spans="1:18" s="6" customFormat="1" ht="24" hidden="1" customHeight="1">
      <c r="A92" s="144" t="s">
        <v>68</v>
      </c>
      <c r="B92" s="125" t="s">
        <v>69</v>
      </c>
      <c r="C92" s="98"/>
      <c r="D92" s="169">
        <v>0</v>
      </c>
      <c r="E92" s="231"/>
      <c r="F92" s="231"/>
      <c r="G92" s="231"/>
      <c r="H92" s="232">
        <f t="shared" si="87"/>
        <v>0</v>
      </c>
      <c r="I92" s="231">
        <v>0</v>
      </c>
      <c r="J92" s="231"/>
      <c r="K92" s="231"/>
      <c r="L92" s="231"/>
      <c r="M92" s="232">
        <f t="shared" si="88"/>
        <v>0</v>
      </c>
      <c r="N92" s="231">
        <v>0</v>
      </c>
      <c r="O92" s="231"/>
      <c r="P92" s="231"/>
      <c r="Q92" s="231"/>
      <c r="R92" s="232">
        <f t="shared" si="89"/>
        <v>0</v>
      </c>
    </row>
    <row r="93" spans="1:18" s="6" customFormat="1" ht="12">
      <c r="A93" s="145"/>
      <c r="B93" s="188" t="s">
        <v>199</v>
      </c>
      <c r="C93" s="207"/>
      <c r="D93" s="294"/>
      <c r="E93" s="268"/>
      <c r="F93" s="268"/>
      <c r="G93" s="268"/>
      <c r="H93" s="269">
        <f t="shared" si="87"/>
        <v>0</v>
      </c>
      <c r="I93" s="347"/>
      <c r="J93" s="268"/>
      <c r="K93" s="268"/>
      <c r="L93" s="268"/>
      <c r="M93" s="269">
        <f t="shared" si="88"/>
        <v>0</v>
      </c>
      <c r="N93" s="347"/>
      <c r="O93" s="268"/>
      <c r="P93" s="268"/>
      <c r="Q93" s="268"/>
      <c r="R93" s="269">
        <f t="shared" si="89"/>
        <v>0</v>
      </c>
    </row>
    <row r="94" spans="1:18" s="6" customFormat="1" ht="20.399999999999999">
      <c r="A94" s="129" t="s">
        <v>201</v>
      </c>
      <c r="B94" s="123" t="s">
        <v>88</v>
      </c>
      <c r="C94" s="200">
        <v>681149</v>
      </c>
      <c r="D94" s="167">
        <v>681149</v>
      </c>
      <c r="E94" s="228">
        <f t="shared" ref="E94:G94" si="111">E95+E96+E98+E116</f>
        <v>0</v>
      </c>
      <c r="F94" s="228">
        <f t="shared" ref="F94" si="112">F95+F96+F98+F116</f>
        <v>0</v>
      </c>
      <c r="G94" s="228">
        <f t="shared" si="111"/>
        <v>0</v>
      </c>
      <c r="H94" s="229">
        <f t="shared" si="87"/>
        <v>681149</v>
      </c>
      <c r="I94" s="228">
        <v>681149</v>
      </c>
      <c r="J94" s="228">
        <f t="shared" ref="J94:L94" si="113">J95+J96+J98+J116</f>
        <v>0</v>
      </c>
      <c r="K94" s="228">
        <f t="shared" ref="K94" si="114">K95+K96+K98+K116</f>
        <v>0</v>
      </c>
      <c r="L94" s="228">
        <f t="shared" si="113"/>
        <v>0</v>
      </c>
      <c r="M94" s="229">
        <f t="shared" si="88"/>
        <v>681149</v>
      </c>
      <c r="N94" s="228">
        <v>681149</v>
      </c>
      <c r="O94" s="228">
        <f t="shared" ref="O94:Q94" si="115">O95+O96+O98+O116</f>
        <v>0</v>
      </c>
      <c r="P94" s="228">
        <f t="shared" ref="P94" si="116">P95+P96+P98+P116</f>
        <v>0</v>
      </c>
      <c r="Q94" s="228">
        <f t="shared" si="115"/>
        <v>0</v>
      </c>
      <c r="R94" s="229">
        <f t="shared" si="89"/>
        <v>681149</v>
      </c>
    </row>
    <row r="95" spans="1:18" s="6" customFormat="1" ht="22.8">
      <c r="A95" s="130" t="s">
        <v>177</v>
      </c>
      <c r="B95" s="124" t="s">
        <v>90</v>
      </c>
      <c r="C95" s="98">
        <v>22200</v>
      </c>
      <c r="D95" s="169">
        <v>22200</v>
      </c>
      <c r="E95" s="231"/>
      <c r="F95" s="231"/>
      <c r="G95" s="231"/>
      <c r="H95" s="232">
        <f t="shared" si="87"/>
        <v>22200</v>
      </c>
      <c r="I95" s="231">
        <v>22200</v>
      </c>
      <c r="J95" s="231"/>
      <c r="K95" s="231"/>
      <c r="L95" s="231"/>
      <c r="M95" s="232">
        <f t="shared" si="88"/>
        <v>22200</v>
      </c>
      <c r="N95" s="231">
        <v>22200</v>
      </c>
      <c r="O95" s="231"/>
      <c r="P95" s="231"/>
      <c r="Q95" s="231"/>
      <c r="R95" s="232">
        <f t="shared" si="89"/>
        <v>22200</v>
      </c>
    </row>
    <row r="96" spans="1:18" s="6" customFormat="1" ht="24" hidden="1" customHeight="1">
      <c r="A96" s="130" t="s">
        <v>91</v>
      </c>
      <c r="B96" s="124" t="s">
        <v>92</v>
      </c>
      <c r="C96" s="98"/>
      <c r="D96" s="169">
        <v>0</v>
      </c>
      <c r="E96" s="231"/>
      <c r="F96" s="231"/>
      <c r="G96" s="231"/>
      <c r="H96" s="232">
        <f t="shared" si="87"/>
        <v>0</v>
      </c>
      <c r="I96" s="231">
        <v>0</v>
      </c>
      <c r="J96" s="231"/>
      <c r="K96" s="231"/>
      <c r="L96" s="231"/>
      <c r="M96" s="232">
        <f t="shared" si="88"/>
        <v>0</v>
      </c>
      <c r="N96" s="231">
        <v>0</v>
      </c>
      <c r="O96" s="231"/>
      <c r="P96" s="231"/>
      <c r="Q96" s="231"/>
      <c r="R96" s="232">
        <f t="shared" si="89"/>
        <v>0</v>
      </c>
    </row>
    <row r="97" spans="1:18" s="6" customFormat="1" ht="24" hidden="1" customHeight="1">
      <c r="A97" s="131">
        <v>21210</v>
      </c>
      <c r="B97" s="125" t="s">
        <v>93</v>
      </c>
      <c r="C97" s="98"/>
      <c r="D97" s="169">
        <v>0</v>
      </c>
      <c r="E97" s="231"/>
      <c r="F97" s="231"/>
      <c r="G97" s="231"/>
      <c r="H97" s="232">
        <f t="shared" si="87"/>
        <v>0</v>
      </c>
      <c r="I97" s="231">
        <v>0</v>
      </c>
      <c r="J97" s="231"/>
      <c r="K97" s="231"/>
      <c r="L97" s="231"/>
      <c r="M97" s="232">
        <f t="shared" si="88"/>
        <v>0</v>
      </c>
      <c r="N97" s="231">
        <v>0</v>
      </c>
      <c r="O97" s="231"/>
      <c r="P97" s="231"/>
      <c r="Q97" s="231"/>
      <c r="R97" s="232">
        <f t="shared" si="89"/>
        <v>0</v>
      </c>
    </row>
    <row r="98" spans="1:18" s="6" customFormat="1" ht="21" hidden="1" customHeight="1">
      <c r="A98" s="130" t="s">
        <v>178</v>
      </c>
      <c r="B98" s="124" t="s">
        <v>94</v>
      </c>
      <c r="C98" s="170">
        <v>0</v>
      </c>
      <c r="D98" s="171">
        <v>0</v>
      </c>
      <c r="E98" s="233">
        <f t="shared" ref="E98:G98" si="117">E99+E105</f>
        <v>0</v>
      </c>
      <c r="F98" s="233">
        <f t="shared" ref="F98" si="118">F99+F105</f>
        <v>0</v>
      </c>
      <c r="G98" s="233">
        <f t="shared" si="117"/>
        <v>0</v>
      </c>
      <c r="H98" s="232">
        <f t="shared" si="87"/>
        <v>0</v>
      </c>
      <c r="I98" s="233">
        <v>0</v>
      </c>
      <c r="J98" s="233">
        <f t="shared" ref="J98:L98" si="119">J99+J105</f>
        <v>0</v>
      </c>
      <c r="K98" s="233">
        <f t="shared" ref="K98" si="120">K99+K105</f>
        <v>0</v>
      </c>
      <c r="L98" s="233">
        <f t="shared" si="119"/>
        <v>0</v>
      </c>
      <c r="M98" s="232">
        <f t="shared" si="88"/>
        <v>0</v>
      </c>
      <c r="N98" s="233">
        <v>0</v>
      </c>
      <c r="O98" s="233">
        <f t="shared" ref="O98:Q98" si="121">O99+O105</f>
        <v>0</v>
      </c>
      <c r="P98" s="233">
        <f t="shared" ref="P98" si="122">P99+P105</f>
        <v>0</v>
      </c>
      <c r="Q98" s="233">
        <f t="shared" si="121"/>
        <v>0</v>
      </c>
      <c r="R98" s="232">
        <f t="shared" si="89"/>
        <v>0</v>
      </c>
    </row>
    <row r="99" spans="1:18" s="6" customFormat="1" ht="12" hidden="1" customHeight="1">
      <c r="A99" s="132">
        <v>18000</v>
      </c>
      <c r="B99" s="125" t="s">
        <v>95</v>
      </c>
      <c r="C99" s="170">
        <v>0</v>
      </c>
      <c r="D99" s="171">
        <v>0</v>
      </c>
      <c r="E99" s="233">
        <f t="shared" ref="E99:L100" si="123">E100</f>
        <v>0</v>
      </c>
      <c r="F99" s="233">
        <f t="shared" si="123"/>
        <v>0</v>
      </c>
      <c r="G99" s="233">
        <f t="shared" si="123"/>
        <v>0</v>
      </c>
      <c r="H99" s="232">
        <f t="shared" si="87"/>
        <v>0</v>
      </c>
      <c r="I99" s="233">
        <v>0</v>
      </c>
      <c r="J99" s="233">
        <f t="shared" si="123"/>
        <v>0</v>
      </c>
      <c r="K99" s="233">
        <f t="shared" si="123"/>
        <v>0</v>
      </c>
      <c r="L99" s="233">
        <f t="shared" si="123"/>
        <v>0</v>
      </c>
      <c r="M99" s="232">
        <f t="shared" si="88"/>
        <v>0</v>
      </c>
      <c r="N99" s="233">
        <v>0</v>
      </c>
      <c r="O99" s="233">
        <f t="shared" ref="O99:Q100" si="124">O100</f>
        <v>0</v>
      </c>
      <c r="P99" s="233">
        <f t="shared" si="124"/>
        <v>0</v>
      </c>
      <c r="Q99" s="233">
        <f t="shared" si="124"/>
        <v>0</v>
      </c>
      <c r="R99" s="232">
        <f t="shared" si="89"/>
        <v>0</v>
      </c>
    </row>
    <row r="100" spans="1:18" s="6" customFormat="1" ht="12" hidden="1" customHeight="1">
      <c r="A100" s="132">
        <v>18100</v>
      </c>
      <c r="B100" s="125" t="s">
        <v>96</v>
      </c>
      <c r="C100" s="170">
        <v>0</v>
      </c>
      <c r="D100" s="171">
        <v>0</v>
      </c>
      <c r="E100" s="233">
        <f t="shared" si="123"/>
        <v>0</v>
      </c>
      <c r="F100" s="233">
        <f t="shared" si="123"/>
        <v>0</v>
      </c>
      <c r="G100" s="233">
        <f t="shared" si="123"/>
        <v>0</v>
      </c>
      <c r="H100" s="232">
        <f t="shared" si="87"/>
        <v>0</v>
      </c>
      <c r="I100" s="233">
        <v>0</v>
      </c>
      <c r="J100" s="233">
        <f t="shared" si="123"/>
        <v>0</v>
      </c>
      <c r="K100" s="233">
        <f t="shared" si="123"/>
        <v>0</v>
      </c>
      <c r="L100" s="233">
        <f t="shared" si="123"/>
        <v>0</v>
      </c>
      <c r="M100" s="232">
        <f t="shared" si="88"/>
        <v>0</v>
      </c>
      <c r="N100" s="233">
        <v>0</v>
      </c>
      <c r="O100" s="233">
        <f t="shared" si="124"/>
        <v>0</v>
      </c>
      <c r="P100" s="233">
        <f t="shared" si="124"/>
        <v>0</v>
      </c>
      <c r="Q100" s="233">
        <f t="shared" si="124"/>
        <v>0</v>
      </c>
      <c r="R100" s="232">
        <f t="shared" si="89"/>
        <v>0</v>
      </c>
    </row>
    <row r="101" spans="1:18" s="6" customFormat="1" ht="24" hidden="1" customHeight="1">
      <c r="A101" s="133">
        <v>18130</v>
      </c>
      <c r="B101" s="172" t="s">
        <v>159</v>
      </c>
      <c r="C101" s="170">
        <v>0</v>
      </c>
      <c r="D101" s="171">
        <v>0</v>
      </c>
      <c r="E101" s="233">
        <f t="shared" ref="E101:G101" si="125">SUM(E102:E104)</f>
        <v>0</v>
      </c>
      <c r="F101" s="233">
        <f t="shared" ref="F101" si="126">SUM(F102:F104)</f>
        <v>0</v>
      </c>
      <c r="G101" s="233">
        <f t="shared" si="125"/>
        <v>0</v>
      </c>
      <c r="H101" s="232">
        <f t="shared" si="87"/>
        <v>0</v>
      </c>
      <c r="I101" s="233">
        <v>0</v>
      </c>
      <c r="J101" s="233">
        <f t="shared" ref="J101:L101" si="127">SUM(J102:J104)</f>
        <v>0</v>
      </c>
      <c r="K101" s="233">
        <f t="shared" ref="K101" si="128">SUM(K102:K104)</f>
        <v>0</v>
      </c>
      <c r="L101" s="233">
        <f t="shared" si="127"/>
        <v>0</v>
      </c>
      <c r="M101" s="232">
        <f t="shared" si="88"/>
        <v>0</v>
      </c>
      <c r="N101" s="233">
        <v>0</v>
      </c>
      <c r="O101" s="233">
        <f t="shared" ref="O101:Q101" si="129">SUM(O102:O104)</f>
        <v>0</v>
      </c>
      <c r="P101" s="233">
        <f t="shared" ref="P101" si="130">SUM(P102:P104)</f>
        <v>0</v>
      </c>
      <c r="Q101" s="233">
        <f t="shared" si="129"/>
        <v>0</v>
      </c>
      <c r="R101" s="232">
        <f t="shared" si="89"/>
        <v>0</v>
      </c>
    </row>
    <row r="102" spans="1:18" s="6" customFormat="1" ht="36" hidden="1" customHeight="1">
      <c r="A102" s="134">
        <v>18131</v>
      </c>
      <c r="B102" s="172" t="s">
        <v>160</v>
      </c>
      <c r="C102" s="170"/>
      <c r="D102" s="171">
        <v>0</v>
      </c>
      <c r="E102" s="233"/>
      <c r="F102" s="233"/>
      <c r="G102" s="233"/>
      <c r="H102" s="232">
        <f t="shared" si="87"/>
        <v>0</v>
      </c>
      <c r="I102" s="233">
        <v>0</v>
      </c>
      <c r="J102" s="233"/>
      <c r="K102" s="233"/>
      <c r="L102" s="233"/>
      <c r="M102" s="232">
        <f t="shared" si="88"/>
        <v>0</v>
      </c>
      <c r="N102" s="233">
        <v>0</v>
      </c>
      <c r="O102" s="233"/>
      <c r="P102" s="233"/>
      <c r="Q102" s="233"/>
      <c r="R102" s="232">
        <f t="shared" si="89"/>
        <v>0</v>
      </c>
    </row>
    <row r="103" spans="1:18" s="6" customFormat="1" ht="24" hidden="1" customHeight="1">
      <c r="A103" s="134">
        <v>18132</v>
      </c>
      <c r="B103" s="172" t="s">
        <v>169</v>
      </c>
      <c r="C103" s="170"/>
      <c r="D103" s="171">
        <v>0</v>
      </c>
      <c r="E103" s="233"/>
      <c r="F103" s="233"/>
      <c r="G103" s="233"/>
      <c r="H103" s="232">
        <f t="shared" si="87"/>
        <v>0</v>
      </c>
      <c r="I103" s="233">
        <v>0</v>
      </c>
      <c r="J103" s="233"/>
      <c r="K103" s="233"/>
      <c r="L103" s="233"/>
      <c r="M103" s="232">
        <f t="shared" si="88"/>
        <v>0</v>
      </c>
      <c r="N103" s="233">
        <v>0</v>
      </c>
      <c r="O103" s="233"/>
      <c r="P103" s="233"/>
      <c r="Q103" s="233"/>
      <c r="R103" s="232">
        <f t="shared" si="89"/>
        <v>0</v>
      </c>
    </row>
    <row r="104" spans="1:18" s="6" customFormat="1" ht="24" hidden="1" customHeight="1">
      <c r="A104" s="134">
        <v>18139</v>
      </c>
      <c r="B104" s="172" t="s">
        <v>179</v>
      </c>
      <c r="C104" s="170"/>
      <c r="D104" s="171">
        <v>0</v>
      </c>
      <c r="E104" s="233"/>
      <c r="F104" s="233"/>
      <c r="G104" s="233"/>
      <c r="H104" s="232">
        <f t="shared" si="87"/>
        <v>0</v>
      </c>
      <c r="I104" s="233">
        <v>0</v>
      </c>
      <c r="J104" s="233"/>
      <c r="K104" s="233"/>
      <c r="L104" s="233"/>
      <c r="M104" s="232">
        <f t="shared" si="88"/>
        <v>0</v>
      </c>
      <c r="N104" s="233">
        <v>0</v>
      </c>
      <c r="O104" s="233"/>
      <c r="P104" s="233"/>
      <c r="Q104" s="233"/>
      <c r="R104" s="232">
        <f t="shared" si="89"/>
        <v>0</v>
      </c>
    </row>
    <row r="105" spans="1:18" s="6" customFormat="1" ht="12" hidden="1" customHeight="1">
      <c r="A105" s="135" t="s">
        <v>180</v>
      </c>
      <c r="B105" s="173" t="s">
        <v>173</v>
      </c>
      <c r="C105" s="201">
        <v>0</v>
      </c>
      <c r="D105" s="174">
        <v>0</v>
      </c>
      <c r="E105" s="238">
        <f t="shared" ref="E105:L105" si="131">E106</f>
        <v>0</v>
      </c>
      <c r="F105" s="238">
        <f t="shared" si="131"/>
        <v>0</v>
      </c>
      <c r="G105" s="238">
        <f t="shared" si="131"/>
        <v>0</v>
      </c>
      <c r="H105" s="232">
        <f t="shared" si="87"/>
        <v>0</v>
      </c>
      <c r="I105" s="238">
        <v>0</v>
      </c>
      <c r="J105" s="238">
        <f t="shared" si="131"/>
        <v>0</v>
      </c>
      <c r="K105" s="238">
        <f t="shared" si="131"/>
        <v>0</v>
      </c>
      <c r="L105" s="238">
        <f t="shared" si="131"/>
        <v>0</v>
      </c>
      <c r="M105" s="232">
        <f t="shared" si="88"/>
        <v>0</v>
      </c>
      <c r="N105" s="238">
        <v>0</v>
      </c>
      <c r="O105" s="238">
        <f t="shared" ref="O105:Q105" si="132">O106</f>
        <v>0</v>
      </c>
      <c r="P105" s="238">
        <f t="shared" si="132"/>
        <v>0</v>
      </c>
      <c r="Q105" s="238">
        <f t="shared" si="132"/>
        <v>0</v>
      </c>
      <c r="R105" s="232">
        <f t="shared" si="89"/>
        <v>0</v>
      </c>
    </row>
    <row r="106" spans="1:18" s="6" customFormat="1" ht="24" hidden="1" customHeight="1">
      <c r="A106" s="135">
        <v>19500</v>
      </c>
      <c r="B106" s="172" t="s">
        <v>174</v>
      </c>
      <c r="C106" s="170">
        <v>0</v>
      </c>
      <c r="D106" s="171">
        <v>0</v>
      </c>
      <c r="E106" s="233">
        <f t="shared" ref="E106:G106" si="133">SUM(E107:E109)</f>
        <v>0</v>
      </c>
      <c r="F106" s="233">
        <f t="shared" ref="F106" si="134">SUM(F107:F109)</f>
        <v>0</v>
      </c>
      <c r="G106" s="233">
        <f t="shared" si="133"/>
        <v>0</v>
      </c>
      <c r="H106" s="232">
        <f t="shared" si="87"/>
        <v>0</v>
      </c>
      <c r="I106" s="233">
        <v>0</v>
      </c>
      <c r="J106" s="233">
        <f t="shared" ref="J106:L106" si="135">SUM(J107:J109)</f>
        <v>0</v>
      </c>
      <c r="K106" s="233">
        <f t="shared" ref="K106" si="136">SUM(K107:K109)</f>
        <v>0</v>
      </c>
      <c r="L106" s="233">
        <f t="shared" si="135"/>
        <v>0</v>
      </c>
      <c r="M106" s="232">
        <f t="shared" si="88"/>
        <v>0</v>
      </c>
      <c r="N106" s="233">
        <v>0</v>
      </c>
      <c r="O106" s="233">
        <f t="shared" ref="O106:Q106" si="137">SUM(O107:O109)</f>
        <v>0</v>
      </c>
      <c r="P106" s="233">
        <f t="shared" ref="P106" si="138">SUM(P107:P109)</f>
        <v>0</v>
      </c>
      <c r="Q106" s="233">
        <f t="shared" si="137"/>
        <v>0</v>
      </c>
      <c r="R106" s="232">
        <f t="shared" si="89"/>
        <v>0</v>
      </c>
    </row>
    <row r="107" spans="1:18" s="6" customFormat="1" ht="24" hidden="1" customHeight="1">
      <c r="A107" s="136">
        <v>19550</v>
      </c>
      <c r="B107" s="172" t="s">
        <v>175</v>
      </c>
      <c r="C107" s="170"/>
      <c r="D107" s="171">
        <v>0</v>
      </c>
      <c r="E107" s="233"/>
      <c r="F107" s="233"/>
      <c r="G107" s="233"/>
      <c r="H107" s="232">
        <f t="shared" si="87"/>
        <v>0</v>
      </c>
      <c r="I107" s="233">
        <v>0</v>
      </c>
      <c r="J107" s="233"/>
      <c r="K107" s="233"/>
      <c r="L107" s="233"/>
      <c r="M107" s="232">
        <f t="shared" si="88"/>
        <v>0</v>
      </c>
      <c r="N107" s="233">
        <v>0</v>
      </c>
      <c r="O107" s="233"/>
      <c r="P107" s="233"/>
      <c r="Q107" s="233"/>
      <c r="R107" s="232">
        <f t="shared" si="89"/>
        <v>0</v>
      </c>
    </row>
    <row r="108" spans="1:18" s="6" customFormat="1" ht="36" hidden="1" customHeight="1">
      <c r="A108" s="136">
        <v>19560</v>
      </c>
      <c r="B108" s="172" t="s">
        <v>181</v>
      </c>
      <c r="C108" s="170"/>
      <c r="D108" s="171">
        <v>0</v>
      </c>
      <c r="E108" s="233"/>
      <c r="F108" s="233"/>
      <c r="G108" s="233"/>
      <c r="H108" s="232">
        <f t="shared" si="87"/>
        <v>0</v>
      </c>
      <c r="I108" s="233">
        <v>0</v>
      </c>
      <c r="J108" s="233"/>
      <c r="K108" s="233"/>
      <c r="L108" s="233"/>
      <c r="M108" s="232">
        <f t="shared" si="88"/>
        <v>0</v>
      </c>
      <c r="N108" s="233">
        <v>0</v>
      </c>
      <c r="O108" s="233"/>
      <c r="P108" s="233"/>
      <c r="Q108" s="233"/>
      <c r="R108" s="232">
        <f t="shared" si="89"/>
        <v>0</v>
      </c>
    </row>
    <row r="109" spans="1:18" s="6" customFormat="1" ht="84" hidden="1" customHeight="1">
      <c r="A109" s="136">
        <v>19570</v>
      </c>
      <c r="B109" s="172" t="s">
        <v>182</v>
      </c>
      <c r="C109" s="170"/>
      <c r="D109" s="171">
        <v>0</v>
      </c>
      <c r="E109" s="233"/>
      <c r="F109" s="233"/>
      <c r="G109" s="233"/>
      <c r="H109" s="232">
        <f t="shared" si="87"/>
        <v>0</v>
      </c>
      <c r="I109" s="233">
        <v>0</v>
      </c>
      <c r="J109" s="233"/>
      <c r="K109" s="233"/>
      <c r="L109" s="233"/>
      <c r="M109" s="232">
        <f t="shared" si="88"/>
        <v>0</v>
      </c>
      <c r="N109" s="233">
        <v>0</v>
      </c>
      <c r="O109" s="233"/>
      <c r="P109" s="233"/>
      <c r="Q109" s="233"/>
      <c r="R109" s="232">
        <f t="shared" si="89"/>
        <v>0</v>
      </c>
    </row>
    <row r="110" spans="1:18" s="6" customFormat="1" ht="36" hidden="1" customHeight="1">
      <c r="A110" s="209" t="s">
        <v>222</v>
      </c>
      <c r="B110" s="208" t="s">
        <v>216</v>
      </c>
      <c r="C110" s="106">
        <f>C111</f>
        <v>0</v>
      </c>
      <c r="D110" s="107">
        <v>0</v>
      </c>
      <c r="E110" s="232">
        <f t="shared" ref="E110:L110" si="139">E111</f>
        <v>0</v>
      </c>
      <c r="F110" s="232">
        <f t="shared" si="139"/>
        <v>0</v>
      </c>
      <c r="G110" s="232">
        <f t="shared" si="139"/>
        <v>0</v>
      </c>
      <c r="H110" s="232">
        <f t="shared" si="87"/>
        <v>0</v>
      </c>
      <c r="I110" s="233">
        <v>0</v>
      </c>
      <c r="J110" s="232">
        <f t="shared" si="139"/>
        <v>0</v>
      </c>
      <c r="K110" s="232">
        <f t="shared" si="139"/>
        <v>0</v>
      </c>
      <c r="L110" s="232">
        <f t="shared" si="139"/>
        <v>0</v>
      </c>
      <c r="M110" s="232">
        <f t="shared" si="88"/>
        <v>0</v>
      </c>
      <c r="N110" s="233">
        <v>0</v>
      </c>
      <c r="O110" s="232">
        <f t="shared" ref="O110:Q110" si="140">O111</f>
        <v>0</v>
      </c>
      <c r="P110" s="232">
        <f t="shared" si="140"/>
        <v>0</v>
      </c>
      <c r="Q110" s="232">
        <f t="shared" si="140"/>
        <v>0</v>
      </c>
      <c r="R110" s="232">
        <f t="shared" si="89"/>
        <v>0</v>
      </c>
    </row>
    <row r="111" spans="1:18" s="6" customFormat="1" ht="48" hidden="1" customHeight="1">
      <c r="A111" s="209">
        <v>17100</v>
      </c>
      <c r="B111" s="208" t="s">
        <v>217</v>
      </c>
      <c r="C111" s="106">
        <f>SUM(C112:C115)</f>
        <v>0</v>
      </c>
      <c r="D111" s="107">
        <v>0</v>
      </c>
      <c r="E111" s="232">
        <f t="shared" ref="E111:G111" si="141">SUM(E112:E115)</f>
        <v>0</v>
      </c>
      <c r="F111" s="232">
        <f t="shared" ref="F111" si="142">SUM(F112:F115)</f>
        <v>0</v>
      </c>
      <c r="G111" s="232">
        <f t="shared" si="141"/>
        <v>0</v>
      </c>
      <c r="H111" s="232">
        <f t="shared" si="87"/>
        <v>0</v>
      </c>
      <c r="I111" s="233">
        <v>0</v>
      </c>
      <c r="J111" s="232">
        <f t="shared" ref="J111:L111" si="143">SUM(J112:J115)</f>
        <v>0</v>
      </c>
      <c r="K111" s="232">
        <f t="shared" ref="K111" si="144">SUM(K112:K115)</f>
        <v>0</v>
      </c>
      <c r="L111" s="232">
        <f t="shared" si="143"/>
        <v>0</v>
      </c>
      <c r="M111" s="232">
        <f t="shared" si="88"/>
        <v>0</v>
      </c>
      <c r="N111" s="233">
        <v>0</v>
      </c>
      <c r="O111" s="232">
        <f t="shared" ref="O111:Q111" si="145">SUM(O112:O115)</f>
        <v>0</v>
      </c>
      <c r="P111" s="232">
        <f t="shared" ref="P111" si="146">SUM(P112:P115)</f>
        <v>0</v>
      </c>
      <c r="Q111" s="232">
        <f t="shared" si="145"/>
        <v>0</v>
      </c>
      <c r="R111" s="232">
        <f t="shared" si="89"/>
        <v>0</v>
      </c>
    </row>
    <row r="112" spans="1:18" s="6" customFormat="1" ht="60" hidden="1" customHeight="1">
      <c r="A112" s="149">
        <v>17110</v>
      </c>
      <c r="B112" s="208" t="s">
        <v>218</v>
      </c>
      <c r="C112" s="106"/>
      <c r="D112" s="107">
        <v>0</v>
      </c>
      <c r="E112" s="233"/>
      <c r="F112" s="233"/>
      <c r="G112" s="233"/>
      <c r="H112" s="232">
        <f t="shared" si="87"/>
        <v>0</v>
      </c>
      <c r="I112" s="233">
        <v>0</v>
      </c>
      <c r="J112" s="233"/>
      <c r="K112" s="233"/>
      <c r="L112" s="233"/>
      <c r="M112" s="232">
        <f t="shared" si="88"/>
        <v>0</v>
      </c>
      <c r="N112" s="233">
        <v>0</v>
      </c>
      <c r="O112" s="233"/>
      <c r="P112" s="233"/>
      <c r="Q112" s="233"/>
      <c r="R112" s="232">
        <f t="shared" si="89"/>
        <v>0</v>
      </c>
    </row>
    <row r="113" spans="1:18" s="6" customFormat="1" ht="60" hidden="1" customHeight="1">
      <c r="A113" s="149">
        <v>17120</v>
      </c>
      <c r="B113" s="208" t="s">
        <v>219</v>
      </c>
      <c r="C113" s="106"/>
      <c r="D113" s="107">
        <v>0</v>
      </c>
      <c r="E113" s="233"/>
      <c r="F113" s="233"/>
      <c r="G113" s="233"/>
      <c r="H113" s="232">
        <f t="shared" si="87"/>
        <v>0</v>
      </c>
      <c r="I113" s="233">
        <v>0</v>
      </c>
      <c r="J113" s="233"/>
      <c r="K113" s="233"/>
      <c r="L113" s="233"/>
      <c r="M113" s="232">
        <f t="shared" si="88"/>
        <v>0</v>
      </c>
      <c r="N113" s="233">
        <v>0</v>
      </c>
      <c r="O113" s="233"/>
      <c r="P113" s="233"/>
      <c r="Q113" s="233"/>
      <c r="R113" s="232">
        <f t="shared" si="89"/>
        <v>0</v>
      </c>
    </row>
    <row r="114" spans="1:18" s="6" customFormat="1" ht="120" hidden="1" customHeight="1">
      <c r="A114" s="149">
        <v>17130</v>
      </c>
      <c r="B114" s="208" t="s">
        <v>220</v>
      </c>
      <c r="C114" s="106"/>
      <c r="D114" s="107">
        <v>0</v>
      </c>
      <c r="E114" s="233"/>
      <c r="F114" s="233"/>
      <c r="G114" s="233"/>
      <c r="H114" s="232">
        <f t="shared" si="87"/>
        <v>0</v>
      </c>
      <c r="I114" s="233">
        <v>0</v>
      </c>
      <c r="J114" s="233"/>
      <c r="K114" s="233"/>
      <c r="L114" s="233"/>
      <c r="M114" s="232">
        <f t="shared" si="88"/>
        <v>0</v>
      </c>
      <c r="N114" s="233">
        <v>0</v>
      </c>
      <c r="O114" s="233"/>
      <c r="P114" s="233"/>
      <c r="Q114" s="233"/>
      <c r="R114" s="232">
        <f t="shared" si="89"/>
        <v>0</v>
      </c>
    </row>
    <row r="115" spans="1:18" s="6" customFormat="1" ht="120" hidden="1" customHeight="1">
      <c r="A115" s="149">
        <v>17140</v>
      </c>
      <c r="B115" s="208" t="s">
        <v>221</v>
      </c>
      <c r="C115" s="106"/>
      <c r="D115" s="107">
        <v>0</v>
      </c>
      <c r="E115" s="233"/>
      <c r="F115" s="233"/>
      <c r="G115" s="233"/>
      <c r="H115" s="232">
        <f t="shared" si="87"/>
        <v>0</v>
      </c>
      <c r="I115" s="233">
        <v>0</v>
      </c>
      <c r="J115" s="233"/>
      <c r="K115" s="233"/>
      <c r="L115" s="233"/>
      <c r="M115" s="232">
        <f t="shared" si="88"/>
        <v>0</v>
      </c>
      <c r="N115" s="233">
        <v>0</v>
      </c>
      <c r="O115" s="233"/>
      <c r="P115" s="233"/>
      <c r="Q115" s="233"/>
      <c r="R115" s="232">
        <f t="shared" si="89"/>
        <v>0</v>
      </c>
    </row>
    <row r="116" spans="1:18" s="6" customFormat="1" ht="12">
      <c r="A116" s="137">
        <v>21700</v>
      </c>
      <c r="B116" s="124" t="s">
        <v>97</v>
      </c>
      <c r="C116" s="170">
        <v>658949</v>
      </c>
      <c r="D116" s="171">
        <v>658949</v>
      </c>
      <c r="E116" s="233">
        <f t="shared" ref="E116:G116" si="147">E117+E118</f>
        <v>0</v>
      </c>
      <c r="F116" s="233">
        <f t="shared" ref="F116" si="148">F117+F118</f>
        <v>0</v>
      </c>
      <c r="G116" s="233">
        <f t="shared" si="147"/>
        <v>0</v>
      </c>
      <c r="H116" s="232">
        <f t="shared" si="87"/>
        <v>658949</v>
      </c>
      <c r="I116" s="233">
        <v>658949</v>
      </c>
      <c r="J116" s="233">
        <f t="shared" ref="J116:L116" si="149">J117+J118</f>
        <v>0</v>
      </c>
      <c r="K116" s="233">
        <f t="shared" ref="K116" si="150">K117+K118</f>
        <v>0</v>
      </c>
      <c r="L116" s="233">
        <f t="shared" si="149"/>
        <v>0</v>
      </c>
      <c r="M116" s="232">
        <f t="shared" si="88"/>
        <v>658949</v>
      </c>
      <c r="N116" s="233">
        <v>658949</v>
      </c>
      <c r="O116" s="233">
        <f t="shared" ref="O116:Q116" si="151">O117+O118</f>
        <v>0</v>
      </c>
      <c r="P116" s="233">
        <f t="shared" ref="P116" si="152">P117+P118</f>
        <v>0</v>
      </c>
      <c r="Q116" s="233">
        <f t="shared" si="151"/>
        <v>0</v>
      </c>
      <c r="R116" s="232">
        <f t="shared" si="89"/>
        <v>658949</v>
      </c>
    </row>
    <row r="117" spans="1:18" s="6" customFormat="1" ht="24">
      <c r="A117" s="138">
        <v>21710</v>
      </c>
      <c r="B117" s="125" t="s">
        <v>98</v>
      </c>
      <c r="C117" s="170">
        <v>658949</v>
      </c>
      <c r="D117" s="171">
        <v>658949</v>
      </c>
      <c r="E117" s="233"/>
      <c r="F117" s="233"/>
      <c r="G117" s="233"/>
      <c r="H117" s="232">
        <f t="shared" si="87"/>
        <v>658949</v>
      </c>
      <c r="I117" s="233">
        <v>658949</v>
      </c>
      <c r="J117" s="233"/>
      <c r="K117" s="233"/>
      <c r="L117" s="233"/>
      <c r="M117" s="232">
        <f t="shared" si="88"/>
        <v>658949</v>
      </c>
      <c r="N117" s="233">
        <v>658949</v>
      </c>
      <c r="O117" s="233"/>
      <c r="P117" s="233"/>
      <c r="Q117" s="233"/>
      <c r="R117" s="232">
        <f t="shared" si="89"/>
        <v>658949</v>
      </c>
    </row>
    <row r="118" spans="1:18" s="6" customFormat="1" ht="24" hidden="1" customHeight="1">
      <c r="A118" s="138">
        <v>21720</v>
      </c>
      <c r="B118" s="125" t="s">
        <v>99</v>
      </c>
      <c r="C118" s="170"/>
      <c r="D118" s="171">
        <v>0</v>
      </c>
      <c r="E118" s="233"/>
      <c r="F118" s="233"/>
      <c r="G118" s="233"/>
      <c r="H118" s="232">
        <f t="shared" si="87"/>
        <v>0</v>
      </c>
      <c r="I118" s="233">
        <v>0</v>
      </c>
      <c r="J118" s="233"/>
      <c r="K118" s="233"/>
      <c r="L118" s="233"/>
      <c r="M118" s="232">
        <f t="shared" si="88"/>
        <v>0</v>
      </c>
      <c r="N118" s="233">
        <v>0</v>
      </c>
      <c r="O118" s="233"/>
      <c r="P118" s="233"/>
      <c r="Q118" s="233"/>
      <c r="R118" s="232">
        <f t="shared" si="89"/>
        <v>0</v>
      </c>
    </row>
    <row r="119" spans="1:18" s="6" customFormat="1" ht="11.4">
      <c r="A119" s="129" t="s">
        <v>100</v>
      </c>
      <c r="B119" s="123" t="s">
        <v>101</v>
      </c>
      <c r="C119" s="168">
        <v>681149</v>
      </c>
      <c r="D119" s="175">
        <v>681149</v>
      </c>
      <c r="E119" s="243">
        <f t="shared" ref="E119:G119" si="153">E120+E147</f>
        <v>0</v>
      </c>
      <c r="F119" s="243">
        <f t="shared" ref="F119" si="154">F120+F147</f>
        <v>0</v>
      </c>
      <c r="G119" s="243">
        <f t="shared" si="153"/>
        <v>0</v>
      </c>
      <c r="H119" s="229">
        <f t="shared" si="87"/>
        <v>681149</v>
      </c>
      <c r="I119" s="243">
        <v>681149</v>
      </c>
      <c r="J119" s="243">
        <f t="shared" ref="J119:L119" si="155">J120+J147</f>
        <v>0</v>
      </c>
      <c r="K119" s="243">
        <f t="shared" ref="K119" si="156">K120+K147</f>
        <v>0</v>
      </c>
      <c r="L119" s="243">
        <f t="shared" si="155"/>
        <v>0</v>
      </c>
      <c r="M119" s="229">
        <f t="shared" si="88"/>
        <v>681149</v>
      </c>
      <c r="N119" s="243">
        <v>681149</v>
      </c>
      <c r="O119" s="243">
        <f t="shared" ref="O119:Q119" si="157">O120+O147</f>
        <v>0</v>
      </c>
      <c r="P119" s="243">
        <f t="shared" ref="P119" si="158">P120+P147</f>
        <v>0</v>
      </c>
      <c r="Q119" s="243">
        <f t="shared" si="157"/>
        <v>0</v>
      </c>
      <c r="R119" s="229">
        <f t="shared" si="89"/>
        <v>681149</v>
      </c>
    </row>
    <row r="120" spans="1:18" s="6" customFormat="1" ht="20.399999999999999">
      <c r="A120" s="130" t="s">
        <v>102</v>
      </c>
      <c r="B120" s="124" t="s">
        <v>103</v>
      </c>
      <c r="C120" s="170">
        <v>681149</v>
      </c>
      <c r="D120" s="171">
        <v>681149</v>
      </c>
      <c r="E120" s="233">
        <f t="shared" ref="E120:G120" si="159">E121+E125+E126+E129+E132</f>
        <v>0</v>
      </c>
      <c r="F120" s="233">
        <f t="shared" ref="F120" si="160">F121+F125+F126+F129+F132</f>
        <v>0</v>
      </c>
      <c r="G120" s="233">
        <f t="shared" si="159"/>
        <v>0</v>
      </c>
      <c r="H120" s="232">
        <f t="shared" si="87"/>
        <v>681149</v>
      </c>
      <c r="I120" s="233">
        <v>681149</v>
      </c>
      <c r="J120" s="233">
        <f t="shared" ref="J120:L120" si="161">J121+J125+J126+J129+J132</f>
        <v>0</v>
      </c>
      <c r="K120" s="233">
        <f t="shared" ref="K120" si="162">K121+K125+K126+K129+K132</f>
        <v>0</v>
      </c>
      <c r="L120" s="233">
        <f t="shared" si="161"/>
        <v>0</v>
      </c>
      <c r="M120" s="232">
        <f t="shared" si="88"/>
        <v>681149</v>
      </c>
      <c r="N120" s="233">
        <v>681149</v>
      </c>
      <c r="O120" s="233">
        <f t="shared" ref="O120:Q120" si="163">O121+O125+O126+O129+O132</f>
        <v>0</v>
      </c>
      <c r="P120" s="233">
        <f t="shared" ref="P120" si="164">P121+P125+P126+P129+P132</f>
        <v>0</v>
      </c>
      <c r="Q120" s="233">
        <f t="shared" si="163"/>
        <v>0</v>
      </c>
      <c r="R120" s="232">
        <f t="shared" si="89"/>
        <v>681149</v>
      </c>
    </row>
    <row r="121" spans="1:18" s="6" customFormat="1" ht="12">
      <c r="A121" s="130" t="s">
        <v>104</v>
      </c>
      <c r="B121" s="124" t="s">
        <v>105</v>
      </c>
      <c r="C121" s="170">
        <v>679378</v>
      </c>
      <c r="D121" s="171">
        <v>679378</v>
      </c>
      <c r="E121" s="233">
        <f t="shared" ref="E121:G121" si="165">E122+E124</f>
        <v>0</v>
      </c>
      <c r="F121" s="233">
        <f t="shared" ref="F121" si="166">F122+F124</f>
        <v>0</v>
      </c>
      <c r="G121" s="233">
        <f t="shared" si="165"/>
        <v>0</v>
      </c>
      <c r="H121" s="232">
        <f t="shared" si="87"/>
        <v>679378</v>
      </c>
      <c r="I121" s="233">
        <v>679378</v>
      </c>
      <c r="J121" s="233">
        <f t="shared" ref="J121:L121" si="167">J122+J124</f>
        <v>0</v>
      </c>
      <c r="K121" s="233">
        <f t="shared" ref="K121" si="168">K122+K124</f>
        <v>0</v>
      </c>
      <c r="L121" s="233">
        <f t="shared" si="167"/>
        <v>0</v>
      </c>
      <c r="M121" s="232">
        <f t="shared" si="88"/>
        <v>679378</v>
      </c>
      <c r="N121" s="233">
        <v>679378</v>
      </c>
      <c r="O121" s="233">
        <f t="shared" ref="O121:Q121" si="169">O122+O124</f>
        <v>0</v>
      </c>
      <c r="P121" s="233">
        <f t="shared" ref="P121" si="170">P122+P124</f>
        <v>0</v>
      </c>
      <c r="Q121" s="233">
        <f t="shared" si="169"/>
        <v>0</v>
      </c>
      <c r="R121" s="232">
        <f t="shared" si="89"/>
        <v>679378</v>
      </c>
    </row>
    <row r="122" spans="1:18" s="29" customFormat="1" ht="12">
      <c r="A122" s="132">
        <v>1000</v>
      </c>
      <c r="B122" s="125" t="s">
        <v>106</v>
      </c>
      <c r="C122" s="170">
        <v>497499</v>
      </c>
      <c r="D122" s="171">
        <v>497499</v>
      </c>
      <c r="E122" s="244"/>
      <c r="F122" s="244"/>
      <c r="G122" s="244"/>
      <c r="H122" s="232">
        <f t="shared" si="87"/>
        <v>497499</v>
      </c>
      <c r="I122" s="233">
        <v>497499</v>
      </c>
      <c r="J122" s="244"/>
      <c r="K122" s="244"/>
      <c r="L122" s="244"/>
      <c r="M122" s="232">
        <f t="shared" si="88"/>
        <v>497499</v>
      </c>
      <c r="N122" s="233">
        <v>497499</v>
      </c>
      <c r="O122" s="244"/>
      <c r="P122" s="244"/>
      <c r="Q122" s="244"/>
      <c r="R122" s="232">
        <f t="shared" si="89"/>
        <v>497499</v>
      </c>
    </row>
    <row r="123" spans="1:18" s="89" customFormat="1" ht="12">
      <c r="A123" s="139">
        <v>1100</v>
      </c>
      <c r="B123" s="125" t="s">
        <v>107</v>
      </c>
      <c r="C123" s="170">
        <v>392859</v>
      </c>
      <c r="D123" s="171">
        <v>392859</v>
      </c>
      <c r="E123" s="244"/>
      <c r="F123" s="244"/>
      <c r="G123" s="244"/>
      <c r="H123" s="232">
        <f t="shared" si="87"/>
        <v>392859</v>
      </c>
      <c r="I123" s="233">
        <v>392859</v>
      </c>
      <c r="J123" s="244"/>
      <c r="K123" s="244"/>
      <c r="L123" s="244"/>
      <c r="M123" s="232">
        <f t="shared" si="88"/>
        <v>392859</v>
      </c>
      <c r="N123" s="233">
        <v>392859</v>
      </c>
      <c r="O123" s="244"/>
      <c r="P123" s="244"/>
      <c r="Q123" s="244"/>
      <c r="R123" s="232">
        <f t="shared" si="89"/>
        <v>392859</v>
      </c>
    </row>
    <row r="124" spans="1:18" s="89" customFormat="1" ht="12">
      <c r="A124" s="132">
        <v>2000</v>
      </c>
      <c r="B124" s="125" t="s">
        <v>108</v>
      </c>
      <c r="C124" s="170">
        <v>181879</v>
      </c>
      <c r="D124" s="171">
        <v>181879</v>
      </c>
      <c r="E124" s="244"/>
      <c r="F124" s="244"/>
      <c r="G124" s="244"/>
      <c r="H124" s="232">
        <f t="shared" si="87"/>
        <v>181879</v>
      </c>
      <c r="I124" s="233">
        <v>181879</v>
      </c>
      <c r="J124" s="244"/>
      <c r="K124" s="244"/>
      <c r="L124" s="244"/>
      <c r="M124" s="232">
        <f t="shared" si="88"/>
        <v>181879</v>
      </c>
      <c r="N124" s="233">
        <v>181879</v>
      </c>
      <c r="O124" s="244"/>
      <c r="P124" s="244"/>
      <c r="Q124" s="244"/>
      <c r="R124" s="232">
        <f t="shared" si="89"/>
        <v>181879</v>
      </c>
    </row>
    <row r="125" spans="1:18" s="89" customFormat="1" ht="12" hidden="1" customHeight="1">
      <c r="A125" s="140">
        <v>4000</v>
      </c>
      <c r="B125" s="124" t="s">
        <v>132</v>
      </c>
      <c r="C125" s="170"/>
      <c r="D125" s="171">
        <v>0</v>
      </c>
      <c r="E125" s="244"/>
      <c r="F125" s="244"/>
      <c r="G125" s="244"/>
      <c r="H125" s="232">
        <f t="shared" si="87"/>
        <v>0</v>
      </c>
      <c r="I125" s="233">
        <v>0</v>
      </c>
      <c r="J125" s="244"/>
      <c r="K125" s="244"/>
      <c r="L125" s="244"/>
      <c r="M125" s="232">
        <f t="shared" si="88"/>
        <v>0</v>
      </c>
      <c r="N125" s="233">
        <v>0</v>
      </c>
      <c r="O125" s="244"/>
      <c r="P125" s="244"/>
      <c r="Q125" s="244"/>
      <c r="R125" s="232">
        <f t="shared" si="89"/>
        <v>0</v>
      </c>
    </row>
    <row r="126" spans="1:18" s="89" customFormat="1" ht="12" hidden="1" customHeight="1">
      <c r="A126" s="140" t="s">
        <v>109</v>
      </c>
      <c r="B126" s="124" t="s">
        <v>110</v>
      </c>
      <c r="C126" s="170">
        <v>0</v>
      </c>
      <c r="D126" s="171">
        <v>0</v>
      </c>
      <c r="E126" s="233">
        <f t="shared" ref="E126:G126" si="171">E127+E128</f>
        <v>0</v>
      </c>
      <c r="F126" s="233">
        <f t="shared" ref="F126" si="172">F127+F128</f>
        <v>0</v>
      </c>
      <c r="G126" s="233">
        <f t="shared" si="171"/>
        <v>0</v>
      </c>
      <c r="H126" s="232">
        <f t="shared" si="87"/>
        <v>0</v>
      </c>
      <c r="I126" s="233">
        <v>0</v>
      </c>
      <c r="J126" s="233">
        <f t="shared" ref="J126:L126" si="173">J127+J128</f>
        <v>0</v>
      </c>
      <c r="K126" s="233">
        <f t="shared" ref="K126" si="174">K127+K128</f>
        <v>0</v>
      </c>
      <c r="L126" s="233">
        <f t="shared" si="173"/>
        <v>0</v>
      </c>
      <c r="M126" s="232">
        <f t="shared" si="88"/>
        <v>0</v>
      </c>
      <c r="N126" s="233">
        <v>0</v>
      </c>
      <c r="O126" s="233">
        <f t="shared" ref="O126:Q126" si="175">O127+O128</f>
        <v>0</v>
      </c>
      <c r="P126" s="233">
        <f t="shared" ref="P126" si="176">P127+P128</f>
        <v>0</v>
      </c>
      <c r="Q126" s="233">
        <f t="shared" si="175"/>
        <v>0</v>
      </c>
      <c r="R126" s="232">
        <f t="shared" si="89"/>
        <v>0</v>
      </c>
    </row>
    <row r="127" spans="1:18" s="89" customFormat="1" ht="12" hidden="1" customHeight="1">
      <c r="A127" s="132">
        <v>3000</v>
      </c>
      <c r="B127" s="125" t="s">
        <v>111</v>
      </c>
      <c r="C127" s="202"/>
      <c r="D127" s="213">
        <v>0</v>
      </c>
      <c r="E127" s="246"/>
      <c r="F127" s="246"/>
      <c r="G127" s="246"/>
      <c r="H127" s="232">
        <f t="shared" si="87"/>
        <v>0</v>
      </c>
      <c r="I127" s="345">
        <v>0</v>
      </c>
      <c r="J127" s="246"/>
      <c r="K127" s="246"/>
      <c r="L127" s="246"/>
      <c r="M127" s="232">
        <f t="shared" si="88"/>
        <v>0</v>
      </c>
      <c r="N127" s="345">
        <v>0</v>
      </c>
      <c r="O127" s="246"/>
      <c r="P127" s="246"/>
      <c r="Q127" s="246"/>
      <c r="R127" s="232">
        <f t="shared" si="89"/>
        <v>0</v>
      </c>
    </row>
    <row r="128" spans="1:18" s="89" customFormat="1" ht="12" hidden="1" customHeight="1">
      <c r="A128" s="132">
        <v>6000</v>
      </c>
      <c r="B128" s="125" t="s">
        <v>112</v>
      </c>
      <c r="C128" s="203"/>
      <c r="D128" s="287">
        <v>0</v>
      </c>
      <c r="E128" s="248"/>
      <c r="F128" s="248"/>
      <c r="G128" s="248"/>
      <c r="H128" s="232">
        <f t="shared" si="87"/>
        <v>0</v>
      </c>
      <c r="I128" s="346">
        <v>0</v>
      </c>
      <c r="J128" s="248"/>
      <c r="K128" s="248"/>
      <c r="L128" s="248"/>
      <c r="M128" s="232">
        <f t="shared" si="88"/>
        <v>0</v>
      </c>
      <c r="N128" s="346">
        <v>0</v>
      </c>
      <c r="O128" s="248"/>
      <c r="P128" s="248"/>
      <c r="Q128" s="248"/>
      <c r="R128" s="232">
        <f t="shared" si="89"/>
        <v>0</v>
      </c>
    </row>
    <row r="129" spans="1:18" s="89" customFormat="1" ht="22.8">
      <c r="A129" s="140" t="s">
        <v>113</v>
      </c>
      <c r="B129" s="124" t="s">
        <v>183</v>
      </c>
      <c r="C129" s="170">
        <v>1771</v>
      </c>
      <c r="D129" s="171">
        <v>1771</v>
      </c>
      <c r="E129" s="233">
        <f t="shared" ref="E129:G129" si="177">E130+E131</f>
        <v>0</v>
      </c>
      <c r="F129" s="233">
        <f t="shared" ref="F129" si="178">F130+F131</f>
        <v>0</v>
      </c>
      <c r="G129" s="233">
        <f t="shared" si="177"/>
        <v>0</v>
      </c>
      <c r="H129" s="232">
        <f t="shared" si="87"/>
        <v>1771</v>
      </c>
      <c r="I129" s="233">
        <v>1771</v>
      </c>
      <c r="J129" s="233">
        <f t="shared" ref="J129:L129" si="179">J130+J131</f>
        <v>0</v>
      </c>
      <c r="K129" s="233">
        <f t="shared" ref="K129" si="180">K130+K131</f>
        <v>0</v>
      </c>
      <c r="L129" s="233">
        <f t="shared" si="179"/>
        <v>0</v>
      </c>
      <c r="M129" s="232">
        <f t="shared" si="88"/>
        <v>1771</v>
      </c>
      <c r="N129" s="233">
        <v>1771</v>
      </c>
      <c r="O129" s="233">
        <f t="shared" ref="O129:Q129" si="181">O130+O131</f>
        <v>0</v>
      </c>
      <c r="P129" s="233">
        <f t="shared" ref="P129" si="182">P130+P131</f>
        <v>0</v>
      </c>
      <c r="Q129" s="233">
        <f t="shared" si="181"/>
        <v>0</v>
      </c>
      <c r="R129" s="232">
        <f t="shared" si="89"/>
        <v>1771</v>
      </c>
    </row>
    <row r="130" spans="1:18" s="89" customFormat="1" ht="12" hidden="1" customHeight="1">
      <c r="A130" s="132">
        <v>7600</v>
      </c>
      <c r="B130" s="179" t="s">
        <v>184</v>
      </c>
      <c r="C130" s="170"/>
      <c r="D130" s="171">
        <v>0</v>
      </c>
      <c r="E130" s="244"/>
      <c r="F130" s="244"/>
      <c r="G130" s="244"/>
      <c r="H130" s="232">
        <f t="shared" si="87"/>
        <v>0</v>
      </c>
      <c r="I130" s="233">
        <v>0</v>
      </c>
      <c r="J130" s="244"/>
      <c r="K130" s="244"/>
      <c r="L130" s="244"/>
      <c r="M130" s="232">
        <f t="shared" si="88"/>
        <v>0</v>
      </c>
      <c r="N130" s="233">
        <v>0</v>
      </c>
      <c r="O130" s="244"/>
      <c r="P130" s="244"/>
      <c r="Q130" s="244"/>
      <c r="R130" s="232">
        <f t="shared" si="89"/>
        <v>0</v>
      </c>
    </row>
    <row r="131" spans="1:18" s="89" customFormat="1" ht="12">
      <c r="A131" s="132">
        <v>7700</v>
      </c>
      <c r="B131" s="126" t="s">
        <v>114</v>
      </c>
      <c r="C131" s="170">
        <v>1771</v>
      </c>
      <c r="D131" s="171">
        <v>1771</v>
      </c>
      <c r="E131" s="244"/>
      <c r="F131" s="244"/>
      <c r="G131" s="244"/>
      <c r="H131" s="232">
        <f t="shared" si="87"/>
        <v>1771</v>
      </c>
      <c r="I131" s="233">
        <v>1771</v>
      </c>
      <c r="J131" s="244"/>
      <c r="K131" s="244"/>
      <c r="L131" s="244"/>
      <c r="M131" s="232">
        <f t="shared" si="88"/>
        <v>1771</v>
      </c>
      <c r="N131" s="233">
        <v>1771</v>
      </c>
      <c r="O131" s="244"/>
      <c r="P131" s="244"/>
      <c r="Q131" s="244"/>
      <c r="R131" s="232">
        <f t="shared" si="89"/>
        <v>1771</v>
      </c>
    </row>
    <row r="132" spans="1:18" s="89" customFormat="1" ht="21" hidden="1" customHeight="1">
      <c r="A132" s="140" t="s">
        <v>185</v>
      </c>
      <c r="B132" s="124" t="s">
        <v>115</v>
      </c>
      <c r="C132" s="170">
        <v>0</v>
      </c>
      <c r="D132" s="171">
        <v>0</v>
      </c>
      <c r="E132" s="233">
        <f t="shared" ref="E132:G132" si="183">E133+E139+E143+E146</f>
        <v>0</v>
      </c>
      <c r="F132" s="233">
        <f t="shared" ref="F132" si="184">F133+F139+F143+F146</f>
        <v>0</v>
      </c>
      <c r="G132" s="233">
        <f t="shared" si="183"/>
        <v>0</v>
      </c>
      <c r="H132" s="232">
        <f t="shared" si="87"/>
        <v>0</v>
      </c>
      <c r="I132" s="233">
        <v>0</v>
      </c>
      <c r="J132" s="233">
        <f t="shared" ref="J132:L132" si="185">J133+J139+J143+J146</f>
        <v>0</v>
      </c>
      <c r="K132" s="233">
        <f t="shared" ref="K132" si="186">K133+K139+K143+K146</f>
        <v>0</v>
      </c>
      <c r="L132" s="233">
        <f t="shared" si="185"/>
        <v>0</v>
      </c>
      <c r="M132" s="232">
        <f t="shared" si="88"/>
        <v>0</v>
      </c>
      <c r="N132" s="233">
        <v>0</v>
      </c>
      <c r="O132" s="233">
        <f t="shared" ref="O132:Q132" si="187">O133+O139+O143+O146</f>
        <v>0</v>
      </c>
      <c r="P132" s="233">
        <f t="shared" ref="P132" si="188">P133+P139+P143+P146</f>
        <v>0</v>
      </c>
      <c r="Q132" s="233">
        <f t="shared" si="187"/>
        <v>0</v>
      </c>
      <c r="R132" s="232">
        <f t="shared" si="89"/>
        <v>0</v>
      </c>
    </row>
    <row r="133" spans="1:18" s="89" customFormat="1" ht="12" hidden="1" customHeight="1">
      <c r="A133" s="132">
        <v>7100</v>
      </c>
      <c r="B133" s="179" t="s">
        <v>116</v>
      </c>
      <c r="C133" s="170">
        <v>0</v>
      </c>
      <c r="D133" s="171">
        <v>0</v>
      </c>
      <c r="E133" s="233">
        <f t="shared" ref="E133:G133" si="189">E134+E135</f>
        <v>0</v>
      </c>
      <c r="F133" s="233">
        <f t="shared" ref="F133" si="190">F134+F135</f>
        <v>0</v>
      </c>
      <c r="G133" s="233">
        <f t="shared" si="189"/>
        <v>0</v>
      </c>
      <c r="H133" s="232">
        <f t="shared" si="87"/>
        <v>0</v>
      </c>
      <c r="I133" s="233">
        <v>0</v>
      </c>
      <c r="J133" s="233">
        <f t="shared" ref="J133:L133" si="191">J134+J135</f>
        <v>0</v>
      </c>
      <c r="K133" s="233">
        <f t="shared" ref="K133" si="192">K134+K135</f>
        <v>0</v>
      </c>
      <c r="L133" s="233">
        <f t="shared" si="191"/>
        <v>0</v>
      </c>
      <c r="M133" s="232">
        <f t="shared" si="88"/>
        <v>0</v>
      </c>
      <c r="N133" s="233">
        <v>0</v>
      </c>
      <c r="O133" s="233">
        <f t="shared" ref="O133:Q133" si="193">O134+O135</f>
        <v>0</v>
      </c>
      <c r="P133" s="233">
        <f t="shared" ref="P133" si="194">P134+P135</f>
        <v>0</v>
      </c>
      <c r="Q133" s="233">
        <f t="shared" si="193"/>
        <v>0</v>
      </c>
      <c r="R133" s="232">
        <f t="shared" si="89"/>
        <v>0</v>
      </c>
    </row>
    <row r="134" spans="1:18" s="89" customFormat="1" ht="36" hidden="1" customHeight="1">
      <c r="A134" s="133" t="s">
        <v>117</v>
      </c>
      <c r="B134" s="179" t="s">
        <v>118</v>
      </c>
      <c r="C134" s="170"/>
      <c r="D134" s="171">
        <v>0</v>
      </c>
      <c r="E134" s="233"/>
      <c r="F134" s="233"/>
      <c r="G134" s="233"/>
      <c r="H134" s="232">
        <f t="shared" si="87"/>
        <v>0</v>
      </c>
      <c r="I134" s="233">
        <v>0</v>
      </c>
      <c r="J134" s="233"/>
      <c r="K134" s="233"/>
      <c r="L134" s="233"/>
      <c r="M134" s="232">
        <f t="shared" si="88"/>
        <v>0</v>
      </c>
      <c r="N134" s="233">
        <v>0</v>
      </c>
      <c r="O134" s="233"/>
      <c r="P134" s="233"/>
      <c r="Q134" s="233"/>
      <c r="R134" s="232">
        <f t="shared" si="89"/>
        <v>0</v>
      </c>
    </row>
    <row r="135" spans="1:18" s="89" customFormat="1" ht="36" hidden="1" customHeight="1">
      <c r="A135" s="133">
        <v>7130</v>
      </c>
      <c r="B135" s="179" t="s">
        <v>119</v>
      </c>
      <c r="C135" s="170">
        <v>0</v>
      </c>
      <c r="D135" s="171">
        <v>0</v>
      </c>
      <c r="E135" s="233">
        <f t="shared" ref="E135:G135" si="195">SUM(E136:E138)</f>
        <v>0</v>
      </c>
      <c r="F135" s="233">
        <f t="shared" ref="F135" si="196">SUM(F136:F138)</f>
        <v>0</v>
      </c>
      <c r="G135" s="233">
        <f t="shared" si="195"/>
        <v>0</v>
      </c>
      <c r="H135" s="232">
        <f t="shared" si="87"/>
        <v>0</v>
      </c>
      <c r="I135" s="233">
        <v>0</v>
      </c>
      <c r="J135" s="233">
        <f t="shared" ref="J135:L135" si="197">SUM(J136:J138)</f>
        <v>0</v>
      </c>
      <c r="K135" s="233">
        <f t="shared" ref="K135" si="198">SUM(K136:K138)</f>
        <v>0</v>
      </c>
      <c r="L135" s="233">
        <f t="shared" si="197"/>
        <v>0</v>
      </c>
      <c r="M135" s="232">
        <f t="shared" si="88"/>
        <v>0</v>
      </c>
      <c r="N135" s="233">
        <v>0</v>
      </c>
      <c r="O135" s="233">
        <f t="shared" ref="O135:Q135" si="199">SUM(O136:O138)</f>
        <v>0</v>
      </c>
      <c r="P135" s="233">
        <f t="shared" ref="P135" si="200">SUM(P136:P138)</f>
        <v>0</v>
      </c>
      <c r="Q135" s="233">
        <f t="shared" si="199"/>
        <v>0</v>
      </c>
      <c r="R135" s="232">
        <f t="shared" si="89"/>
        <v>0</v>
      </c>
    </row>
    <row r="136" spans="1:18" s="89" customFormat="1" ht="48" hidden="1" customHeight="1">
      <c r="A136" s="134">
        <v>7131</v>
      </c>
      <c r="B136" s="179" t="s">
        <v>120</v>
      </c>
      <c r="C136" s="170"/>
      <c r="D136" s="171">
        <v>0</v>
      </c>
      <c r="E136" s="233"/>
      <c r="F136" s="233"/>
      <c r="G136" s="233"/>
      <c r="H136" s="232">
        <f t="shared" si="87"/>
        <v>0</v>
      </c>
      <c r="I136" s="233">
        <v>0</v>
      </c>
      <c r="J136" s="233"/>
      <c r="K136" s="233"/>
      <c r="L136" s="233"/>
      <c r="M136" s="232">
        <f t="shared" si="88"/>
        <v>0</v>
      </c>
      <c r="N136" s="233">
        <v>0</v>
      </c>
      <c r="O136" s="233"/>
      <c r="P136" s="233"/>
      <c r="Q136" s="233"/>
      <c r="R136" s="232">
        <f t="shared" si="89"/>
        <v>0</v>
      </c>
    </row>
    <row r="137" spans="1:18" s="29" customFormat="1" ht="48" hidden="1" customHeight="1">
      <c r="A137" s="134">
        <v>7132</v>
      </c>
      <c r="B137" s="179" t="s">
        <v>121</v>
      </c>
      <c r="C137" s="170"/>
      <c r="D137" s="171">
        <v>0</v>
      </c>
      <c r="E137" s="233"/>
      <c r="F137" s="233"/>
      <c r="G137" s="233"/>
      <c r="H137" s="232">
        <f t="shared" si="87"/>
        <v>0</v>
      </c>
      <c r="I137" s="233">
        <v>0</v>
      </c>
      <c r="J137" s="233"/>
      <c r="K137" s="233"/>
      <c r="L137" s="233"/>
      <c r="M137" s="232">
        <f t="shared" si="88"/>
        <v>0</v>
      </c>
      <c r="N137" s="233">
        <v>0</v>
      </c>
      <c r="O137" s="233"/>
      <c r="P137" s="233"/>
      <c r="Q137" s="233"/>
      <c r="R137" s="232">
        <f t="shared" si="89"/>
        <v>0</v>
      </c>
    </row>
    <row r="138" spans="1:18" s="29" customFormat="1" ht="36" hidden="1" customHeight="1">
      <c r="A138" s="134" t="s">
        <v>186</v>
      </c>
      <c r="B138" s="179" t="s">
        <v>187</v>
      </c>
      <c r="C138" s="170"/>
      <c r="D138" s="171">
        <v>0</v>
      </c>
      <c r="E138" s="233"/>
      <c r="F138" s="233"/>
      <c r="G138" s="233"/>
      <c r="H138" s="232">
        <f t="shared" ref="H138:H201" si="201">SUM(D138:G138)</f>
        <v>0</v>
      </c>
      <c r="I138" s="233">
        <v>0</v>
      </c>
      <c r="J138" s="233"/>
      <c r="K138" s="233"/>
      <c r="L138" s="233"/>
      <c r="M138" s="232">
        <f t="shared" ref="M138:M201" si="202">SUM(I138:L138)</f>
        <v>0</v>
      </c>
      <c r="N138" s="233">
        <v>0</v>
      </c>
      <c r="O138" s="233"/>
      <c r="P138" s="233"/>
      <c r="Q138" s="233"/>
      <c r="R138" s="232">
        <f t="shared" ref="R138:R201" si="203">SUM(N138:Q138)</f>
        <v>0</v>
      </c>
    </row>
    <row r="139" spans="1:18" s="29" customFormat="1" ht="24" hidden="1" customHeight="1">
      <c r="A139" s="132">
        <v>7300</v>
      </c>
      <c r="B139" s="172" t="s">
        <v>155</v>
      </c>
      <c r="C139" s="170">
        <v>0</v>
      </c>
      <c r="D139" s="171">
        <v>0</v>
      </c>
      <c r="E139" s="233">
        <f t="shared" ref="E139:G139" si="204">SUM(E140:E142)</f>
        <v>0</v>
      </c>
      <c r="F139" s="233">
        <f t="shared" ref="F139" si="205">SUM(F140:F142)</f>
        <v>0</v>
      </c>
      <c r="G139" s="233">
        <f t="shared" si="204"/>
        <v>0</v>
      </c>
      <c r="H139" s="232">
        <f t="shared" si="201"/>
        <v>0</v>
      </c>
      <c r="I139" s="233">
        <v>0</v>
      </c>
      <c r="J139" s="233">
        <f t="shared" ref="J139:L139" si="206">SUM(J140:J142)</f>
        <v>0</v>
      </c>
      <c r="K139" s="233">
        <f t="shared" ref="K139" si="207">SUM(K140:K142)</f>
        <v>0</v>
      </c>
      <c r="L139" s="233">
        <f t="shared" si="206"/>
        <v>0</v>
      </c>
      <c r="M139" s="232">
        <f t="shared" si="202"/>
        <v>0</v>
      </c>
      <c r="N139" s="233">
        <v>0</v>
      </c>
      <c r="O139" s="233">
        <f t="shared" ref="O139:Q139" si="208">SUM(O140:O142)</f>
        <v>0</v>
      </c>
      <c r="P139" s="233">
        <f t="shared" ref="P139" si="209">SUM(P140:P142)</f>
        <v>0</v>
      </c>
      <c r="Q139" s="233">
        <f t="shared" si="208"/>
        <v>0</v>
      </c>
      <c r="R139" s="232">
        <f t="shared" si="203"/>
        <v>0</v>
      </c>
    </row>
    <row r="140" spans="1:18" s="4" customFormat="1" ht="24" hidden="1" customHeight="1">
      <c r="A140" s="133" t="s">
        <v>188</v>
      </c>
      <c r="B140" s="179" t="s">
        <v>170</v>
      </c>
      <c r="C140" s="204"/>
      <c r="D140" s="180">
        <v>0</v>
      </c>
      <c r="E140" s="252"/>
      <c r="F140" s="252"/>
      <c r="G140" s="252"/>
      <c r="H140" s="232">
        <f t="shared" si="201"/>
        <v>0</v>
      </c>
      <c r="I140" s="252">
        <v>0</v>
      </c>
      <c r="J140" s="252"/>
      <c r="K140" s="252"/>
      <c r="L140" s="252"/>
      <c r="M140" s="232">
        <f t="shared" si="202"/>
        <v>0</v>
      </c>
      <c r="N140" s="252">
        <v>0</v>
      </c>
      <c r="O140" s="252"/>
      <c r="P140" s="252"/>
      <c r="Q140" s="252"/>
      <c r="R140" s="232">
        <f t="shared" si="203"/>
        <v>0</v>
      </c>
    </row>
    <row r="141" spans="1:18" ht="60" hidden="1" customHeight="1">
      <c r="A141" s="133" t="s">
        <v>189</v>
      </c>
      <c r="B141" s="179" t="s">
        <v>156</v>
      </c>
      <c r="C141" s="204"/>
      <c r="D141" s="180">
        <v>0</v>
      </c>
      <c r="E141" s="252"/>
      <c r="F141" s="252"/>
      <c r="G141" s="252"/>
      <c r="H141" s="232">
        <f t="shared" si="201"/>
        <v>0</v>
      </c>
      <c r="I141" s="252">
        <v>0</v>
      </c>
      <c r="J141" s="252"/>
      <c r="K141" s="252"/>
      <c r="L141" s="252"/>
      <c r="M141" s="232">
        <f t="shared" si="202"/>
        <v>0</v>
      </c>
      <c r="N141" s="252">
        <v>0</v>
      </c>
      <c r="O141" s="252"/>
      <c r="P141" s="252"/>
      <c r="Q141" s="252"/>
      <c r="R141" s="232">
        <f t="shared" si="203"/>
        <v>0</v>
      </c>
    </row>
    <row r="142" spans="1:18" ht="48" hidden="1" customHeight="1">
      <c r="A142" s="133">
        <v>7350</v>
      </c>
      <c r="B142" s="179" t="s">
        <v>163</v>
      </c>
      <c r="C142" s="204"/>
      <c r="D142" s="180">
        <v>0</v>
      </c>
      <c r="E142" s="252"/>
      <c r="F142" s="252"/>
      <c r="G142" s="252"/>
      <c r="H142" s="232">
        <f t="shared" si="201"/>
        <v>0</v>
      </c>
      <c r="I142" s="252">
        <v>0</v>
      </c>
      <c r="J142" s="252"/>
      <c r="K142" s="252"/>
      <c r="L142" s="252"/>
      <c r="M142" s="232">
        <f t="shared" si="202"/>
        <v>0</v>
      </c>
      <c r="N142" s="252">
        <v>0</v>
      </c>
      <c r="O142" s="252"/>
      <c r="P142" s="252"/>
      <c r="Q142" s="252"/>
      <c r="R142" s="232">
        <f t="shared" si="203"/>
        <v>0</v>
      </c>
    </row>
    <row r="143" spans="1:18" ht="24" hidden="1" customHeight="1">
      <c r="A143" s="132">
        <v>7400</v>
      </c>
      <c r="B143" s="172" t="s">
        <v>161</v>
      </c>
      <c r="C143" s="170">
        <v>0</v>
      </c>
      <c r="D143" s="171">
        <v>0</v>
      </c>
      <c r="E143" s="233">
        <f t="shared" ref="E143:G143" si="210">SUM(E144:E145)</f>
        <v>0</v>
      </c>
      <c r="F143" s="233">
        <f t="shared" ref="F143" si="211">SUM(F144:F145)</f>
        <v>0</v>
      </c>
      <c r="G143" s="233">
        <f t="shared" si="210"/>
        <v>0</v>
      </c>
      <c r="H143" s="232">
        <f t="shared" si="201"/>
        <v>0</v>
      </c>
      <c r="I143" s="233">
        <v>0</v>
      </c>
      <c r="J143" s="233">
        <f t="shared" ref="J143:L143" si="212">SUM(J144:J145)</f>
        <v>0</v>
      </c>
      <c r="K143" s="233">
        <f t="shared" ref="K143" si="213">SUM(K144:K145)</f>
        <v>0</v>
      </c>
      <c r="L143" s="233">
        <f t="shared" si="212"/>
        <v>0</v>
      </c>
      <c r="M143" s="232">
        <f t="shared" si="202"/>
        <v>0</v>
      </c>
      <c r="N143" s="233">
        <v>0</v>
      </c>
      <c r="O143" s="233">
        <f t="shared" ref="O143:Q143" si="214">SUM(O144:O145)</f>
        <v>0</v>
      </c>
      <c r="P143" s="233">
        <f t="shared" ref="P143" si="215">SUM(P144:P145)</f>
        <v>0</v>
      </c>
      <c r="Q143" s="233">
        <f t="shared" si="214"/>
        <v>0</v>
      </c>
      <c r="R143" s="232">
        <f t="shared" si="203"/>
        <v>0</v>
      </c>
    </row>
    <row r="144" spans="1:18" ht="24" hidden="1" customHeight="1">
      <c r="A144" s="133">
        <v>7460</v>
      </c>
      <c r="B144" s="172" t="s">
        <v>162</v>
      </c>
      <c r="C144" s="204"/>
      <c r="D144" s="180">
        <v>0</v>
      </c>
      <c r="E144" s="252"/>
      <c r="F144" s="252"/>
      <c r="G144" s="252"/>
      <c r="H144" s="232">
        <f t="shared" si="201"/>
        <v>0</v>
      </c>
      <c r="I144" s="252">
        <v>0</v>
      </c>
      <c r="J144" s="252"/>
      <c r="K144" s="252"/>
      <c r="L144" s="252"/>
      <c r="M144" s="232">
        <f t="shared" si="202"/>
        <v>0</v>
      </c>
      <c r="N144" s="252">
        <v>0</v>
      </c>
      <c r="O144" s="252"/>
      <c r="P144" s="252"/>
      <c r="Q144" s="252"/>
      <c r="R144" s="232">
        <f t="shared" si="203"/>
        <v>0</v>
      </c>
    </row>
    <row r="145" spans="1:18" ht="48" hidden="1" customHeight="1">
      <c r="A145" s="133">
        <v>7470</v>
      </c>
      <c r="B145" s="179" t="s">
        <v>167</v>
      </c>
      <c r="C145" s="204"/>
      <c r="D145" s="180">
        <v>0</v>
      </c>
      <c r="E145" s="252"/>
      <c r="F145" s="252"/>
      <c r="G145" s="252"/>
      <c r="H145" s="232">
        <f t="shared" si="201"/>
        <v>0</v>
      </c>
      <c r="I145" s="252">
        <v>0</v>
      </c>
      <c r="J145" s="252"/>
      <c r="K145" s="252"/>
      <c r="L145" s="252"/>
      <c r="M145" s="232">
        <f t="shared" si="202"/>
        <v>0</v>
      </c>
      <c r="N145" s="252">
        <v>0</v>
      </c>
      <c r="O145" s="252"/>
      <c r="P145" s="252"/>
      <c r="Q145" s="252"/>
      <c r="R145" s="232">
        <f t="shared" si="203"/>
        <v>0</v>
      </c>
    </row>
    <row r="146" spans="1:18" ht="24" hidden="1" customHeight="1">
      <c r="A146" s="132">
        <v>7500</v>
      </c>
      <c r="B146" s="179" t="s">
        <v>157</v>
      </c>
      <c r="C146" s="170"/>
      <c r="D146" s="171">
        <v>0</v>
      </c>
      <c r="E146" s="233"/>
      <c r="F146" s="233"/>
      <c r="G146" s="233"/>
      <c r="H146" s="232">
        <f t="shared" si="201"/>
        <v>0</v>
      </c>
      <c r="I146" s="233">
        <v>0</v>
      </c>
      <c r="J146" s="233"/>
      <c r="K146" s="233"/>
      <c r="L146" s="233"/>
      <c r="M146" s="232">
        <f t="shared" si="202"/>
        <v>0</v>
      </c>
      <c r="N146" s="233">
        <v>0</v>
      </c>
      <c r="O146" s="233"/>
      <c r="P146" s="233"/>
      <c r="Q146" s="233"/>
      <c r="R146" s="232">
        <f t="shared" si="203"/>
        <v>0</v>
      </c>
    </row>
    <row r="147" spans="1:18" s="4" customFormat="1" ht="12" hidden="1" customHeight="1">
      <c r="A147" s="140" t="s">
        <v>133</v>
      </c>
      <c r="B147" s="124" t="s">
        <v>122</v>
      </c>
      <c r="C147" s="205">
        <v>0</v>
      </c>
      <c r="D147" s="181">
        <v>0</v>
      </c>
      <c r="E147" s="254">
        <f t="shared" ref="E147:G147" si="216">E148+E149</f>
        <v>0</v>
      </c>
      <c r="F147" s="254">
        <f t="shared" ref="F147" si="217">F148+F149</f>
        <v>0</v>
      </c>
      <c r="G147" s="254">
        <f t="shared" si="216"/>
        <v>0</v>
      </c>
      <c r="H147" s="232">
        <f t="shared" si="201"/>
        <v>0</v>
      </c>
      <c r="I147" s="254">
        <v>0</v>
      </c>
      <c r="J147" s="254">
        <f t="shared" ref="J147:L147" si="218">J148+J149</f>
        <v>0</v>
      </c>
      <c r="K147" s="254">
        <f t="shared" ref="K147" si="219">K148+K149</f>
        <v>0</v>
      </c>
      <c r="L147" s="254">
        <f t="shared" si="218"/>
        <v>0</v>
      </c>
      <c r="M147" s="232">
        <f t="shared" si="202"/>
        <v>0</v>
      </c>
      <c r="N147" s="254">
        <v>0</v>
      </c>
      <c r="O147" s="254">
        <f t="shared" ref="O147:Q147" si="220">O148+O149</f>
        <v>0</v>
      </c>
      <c r="P147" s="254">
        <f t="shared" ref="P147" si="221">P148+P149</f>
        <v>0</v>
      </c>
      <c r="Q147" s="254">
        <f t="shared" si="220"/>
        <v>0</v>
      </c>
      <c r="R147" s="232">
        <f t="shared" si="203"/>
        <v>0</v>
      </c>
    </row>
    <row r="148" spans="1:18" s="6" customFormat="1" ht="12" hidden="1" customHeight="1">
      <c r="A148" s="140">
        <v>5000</v>
      </c>
      <c r="B148" s="124" t="s">
        <v>123</v>
      </c>
      <c r="C148" s="170"/>
      <c r="D148" s="171">
        <v>0</v>
      </c>
      <c r="E148" s="244"/>
      <c r="F148" s="244"/>
      <c r="G148" s="244"/>
      <c r="H148" s="232">
        <f t="shared" si="201"/>
        <v>0</v>
      </c>
      <c r="I148" s="233">
        <v>0</v>
      </c>
      <c r="J148" s="244"/>
      <c r="K148" s="244"/>
      <c r="L148" s="244"/>
      <c r="M148" s="232">
        <f t="shared" si="202"/>
        <v>0</v>
      </c>
      <c r="N148" s="233">
        <v>0</v>
      </c>
      <c r="O148" s="244"/>
      <c r="P148" s="244"/>
      <c r="Q148" s="244"/>
      <c r="R148" s="232">
        <f t="shared" si="203"/>
        <v>0</v>
      </c>
    </row>
    <row r="149" spans="1:18" s="6" customFormat="1" ht="12" hidden="1" customHeight="1">
      <c r="A149" s="140">
        <v>9000</v>
      </c>
      <c r="B149" s="182" t="s">
        <v>164</v>
      </c>
      <c r="C149" s="170">
        <v>0</v>
      </c>
      <c r="D149" s="171">
        <v>0</v>
      </c>
      <c r="E149" s="233">
        <f t="shared" ref="E149:G149" si="222">E150+E156+E160+E163</f>
        <v>0</v>
      </c>
      <c r="F149" s="233">
        <f t="shared" ref="F149" si="223">F150+F156+F160+F163</f>
        <v>0</v>
      </c>
      <c r="G149" s="233">
        <f t="shared" si="222"/>
        <v>0</v>
      </c>
      <c r="H149" s="232">
        <f t="shared" si="201"/>
        <v>0</v>
      </c>
      <c r="I149" s="233">
        <v>0</v>
      </c>
      <c r="J149" s="233">
        <f t="shared" ref="J149:L149" si="224">J150+J156+J160+J163</f>
        <v>0</v>
      </c>
      <c r="K149" s="233">
        <f t="shared" ref="K149" si="225">K150+K156+K160+K163</f>
        <v>0</v>
      </c>
      <c r="L149" s="233">
        <f t="shared" si="224"/>
        <v>0</v>
      </c>
      <c r="M149" s="232">
        <f t="shared" si="202"/>
        <v>0</v>
      </c>
      <c r="N149" s="233">
        <v>0</v>
      </c>
      <c r="O149" s="233">
        <f t="shared" ref="O149:Q149" si="226">O150+O156+O160+O163</f>
        <v>0</v>
      </c>
      <c r="P149" s="233">
        <f t="shared" ref="P149" si="227">P150+P156+P160+P163</f>
        <v>0</v>
      </c>
      <c r="Q149" s="233">
        <f t="shared" si="226"/>
        <v>0</v>
      </c>
      <c r="R149" s="232">
        <f t="shared" si="203"/>
        <v>0</v>
      </c>
    </row>
    <row r="150" spans="1:18" s="6" customFormat="1" ht="12" hidden="1" customHeight="1">
      <c r="A150" s="141">
        <v>9100</v>
      </c>
      <c r="B150" s="179" t="s">
        <v>124</v>
      </c>
      <c r="C150" s="170">
        <v>0</v>
      </c>
      <c r="D150" s="171">
        <v>0</v>
      </c>
      <c r="E150" s="233">
        <f t="shared" ref="E150:G150" si="228">SUM(E151:E152)</f>
        <v>0</v>
      </c>
      <c r="F150" s="233">
        <f t="shared" ref="F150" si="229">SUM(F151:F152)</f>
        <v>0</v>
      </c>
      <c r="G150" s="233">
        <f t="shared" si="228"/>
        <v>0</v>
      </c>
      <c r="H150" s="232">
        <f t="shared" si="201"/>
        <v>0</v>
      </c>
      <c r="I150" s="233">
        <v>0</v>
      </c>
      <c r="J150" s="233">
        <f t="shared" ref="J150:L150" si="230">SUM(J151:J152)</f>
        <v>0</v>
      </c>
      <c r="K150" s="233">
        <f t="shared" ref="K150" si="231">SUM(K151:K152)</f>
        <v>0</v>
      </c>
      <c r="L150" s="233">
        <f t="shared" si="230"/>
        <v>0</v>
      </c>
      <c r="M150" s="232">
        <f t="shared" si="202"/>
        <v>0</v>
      </c>
      <c r="N150" s="233">
        <v>0</v>
      </c>
      <c r="O150" s="233">
        <f t="shared" ref="O150:Q150" si="232">SUM(O151:O152)</f>
        <v>0</v>
      </c>
      <c r="P150" s="233">
        <f t="shared" ref="P150" si="233">SUM(P151:P152)</f>
        <v>0</v>
      </c>
      <c r="Q150" s="233">
        <f t="shared" si="232"/>
        <v>0</v>
      </c>
      <c r="R150" s="232">
        <f t="shared" si="203"/>
        <v>0</v>
      </c>
    </row>
    <row r="151" spans="1:18" s="6" customFormat="1" ht="36" hidden="1" customHeight="1">
      <c r="A151" s="133" t="s">
        <v>125</v>
      </c>
      <c r="B151" s="179" t="s">
        <v>214</v>
      </c>
      <c r="C151" s="170"/>
      <c r="D151" s="171">
        <v>0</v>
      </c>
      <c r="E151" s="233"/>
      <c r="F151" s="233"/>
      <c r="G151" s="233"/>
      <c r="H151" s="232">
        <f t="shared" si="201"/>
        <v>0</v>
      </c>
      <c r="I151" s="233">
        <v>0</v>
      </c>
      <c r="J151" s="233"/>
      <c r="K151" s="233"/>
      <c r="L151" s="233"/>
      <c r="M151" s="232">
        <f t="shared" si="202"/>
        <v>0</v>
      </c>
      <c r="N151" s="233">
        <v>0</v>
      </c>
      <c r="O151" s="233"/>
      <c r="P151" s="233"/>
      <c r="Q151" s="233"/>
      <c r="R151" s="232">
        <f t="shared" si="203"/>
        <v>0</v>
      </c>
    </row>
    <row r="152" spans="1:18" s="6" customFormat="1" ht="24" hidden="1" customHeight="1">
      <c r="A152" s="133">
        <v>9140</v>
      </c>
      <c r="B152" s="179" t="s">
        <v>215</v>
      </c>
      <c r="C152" s="170">
        <v>0</v>
      </c>
      <c r="D152" s="171">
        <v>0</v>
      </c>
      <c r="E152" s="233">
        <f t="shared" ref="E152:G152" si="234">SUM(E153:E155)</f>
        <v>0</v>
      </c>
      <c r="F152" s="233">
        <f t="shared" ref="F152" si="235">SUM(F153:F155)</f>
        <v>0</v>
      </c>
      <c r="G152" s="233">
        <f t="shared" si="234"/>
        <v>0</v>
      </c>
      <c r="H152" s="232">
        <f t="shared" si="201"/>
        <v>0</v>
      </c>
      <c r="I152" s="233">
        <v>0</v>
      </c>
      <c r="J152" s="233">
        <f t="shared" ref="J152:L152" si="236">SUM(J153:J155)</f>
        <v>0</v>
      </c>
      <c r="K152" s="233">
        <f t="shared" ref="K152" si="237">SUM(K153:K155)</f>
        <v>0</v>
      </c>
      <c r="L152" s="233">
        <f t="shared" si="236"/>
        <v>0</v>
      </c>
      <c r="M152" s="232">
        <f t="shared" si="202"/>
        <v>0</v>
      </c>
      <c r="N152" s="233">
        <v>0</v>
      </c>
      <c r="O152" s="233">
        <f t="shared" ref="O152:Q152" si="238">SUM(O153:O155)</f>
        <v>0</v>
      </c>
      <c r="P152" s="233">
        <f t="shared" ref="P152" si="239">SUM(P153:P155)</f>
        <v>0</v>
      </c>
      <c r="Q152" s="233">
        <f t="shared" si="238"/>
        <v>0</v>
      </c>
      <c r="R152" s="232">
        <f t="shared" si="203"/>
        <v>0</v>
      </c>
    </row>
    <row r="153" spans="1:18" s="6" customFormat="1" ht="36" hidden="1" customHeight="1">
      <c r="A153" s="134">
        <v>9141</v>
      </c>
      <c r="B153" s="172" t="s">
        <v>190</v>
      </c>
      <c r="C153" s="204"/>
      <c r="D153" s="180">
        <v>0</v>
      </c>
      <c r="E153" s="252"/>
      <c r="F153" s="252"/>
      <c r="G153" s="252"/>
      <c r="H153" s="232">
        <f t="shared" si="201"/>
        <v>0</v>
      </c>
      <c r="I153" s="252">
        <v>0</v>
      </c>
      <c r="J153" s="252"/>
      <c r="K153" s="252"/>
      <c r="L153" s="252"/>
      <c r="M153" s="232">
        <f t="shared" si="202"/>
        <v>0</v>
      </c>
      <c r="N153" s="252">
        <v>0</v>
      </c>
      <c r="O153" s="252"/>
      <c r="P153" s="252"/>
      <c r="Q153" s="252"/>
      <c r="R153" s="232">
        <f t="shared" si="203"/>
        <v>0</v>
      </c>
    </row>
    <row r="154" spans="1:18" s="6" customFormat="1" ht="36" hidden="1" customHeight="1">
      <c r="A154" s="134">
        <v>9142</v>
      </c>
      <c r="B154" s="172" t="s">
        <v>191</v>
      </c>
      <c r="C154" s="204"/>
      <c r="D154" s="180">
        <v>0</v>
      </c>
      <c r="E154" s="252"/>
      <c r="F154" s="252"/>
      <c r="G154" s="252"/>
      <c r="H154" s="232">
        <f t="shared" si="201"/>
        <v>0</v>
      </c>
      <c r="I154" s="252">
        <v>0</v>
      </c>
      <c r="J154" s="252"/>
      <c r="K154" s="252"/>
      <c r="L154" s="252"/>
      <c r="M154" s="232">
        <f t="shared" si="202"/>
        <v>0</v>
      </c>
      <c r="N154" s="252">
        <v>0</v>
      </c>
      <c r="O154" s="252"/>
      <c r="P154" s="252"/>
      <c r="Q154" s="252"/>
      <c r="R154" s="232">
        <f t="shared" si="203"/>
        <v>0</v>
      </c>
    </row>
    <row r="155" spans="1:18" s="6" customFormat="1" ht="36" hidden="1" customHeight="1">
      <c r="A155" s="134">
        <v>9149</v>
      </c>
      <c r="B155" s="172" t="s">
        <v>192</v>
      </c>
      <c r="C155" s="204"/>
      <c r="D155" s="180">
        <v>0</v>
      </c>
      <c r="E155" s="252"/>
      <c r="F155" s="252"/>
      <c r="G155" s="252"/>
      <c r="H155" s="232">
        <f t="shared" si="201"/>
        <v>0</v>
      </c>
      <c r="I155" s="252">
        <v>0</v>
      </c>
      <c r="J155" s="252"/>
      <c r="K155" s="252"/>
      <c r="L155" s="252"/>
      <c r="M155" s="232">
        <f t="shared" si="202"/>
        <v>0</v>
      </c>
      <c r="N155" s="252">
        <v>0</v>
      </c>
      <c r="O155" s="252"/>
      <c r="P155" s="252"/>
      <c r="Q155" s="252"/>
      <c r="R155" s="232">
        <f t="shared" si="203"/>
        <v>0</v>
      </c>
    </row>
    <row r="156" spans="1:18" s="6" customFormat="1" ht="36" hidden="1" customHeight="1">
      <c r="A156" s="141">
        <v>9500</v>
      </c>
      <c r="B156" s="172" t="s">
        <v>165</v>
      </c>
      <c r="C156" s="170">
        <v>0</v>
      </c>
      <c r="D156" s="171">
        <v>0</v>
      </c>
      <c r="E156" s="233">
        <f t="shared" ref="E156:G156" si="240">SUM(E157:E159)</f>
        <v>0</v>
      </c>
      <c r="F156" s="233">
        <f t="shared" ref="F156" si="241">SUM(F157:F159)</f>
        <v>0</v>
      </c>
      <c r="G156" s="233">
        <f t="shared" si="240"/>
        <v>0</v>
      </c>
      <c r="H156" s="232">
        <f t="shared" si="201"/>
        <v>0</v>
      </c>
      <c r="I156" s="233">
        <v>0</v>
      </c>
      <c r="J156" s="233">
        <f t="shared" ref="J156:L156" si="242">SUM(J157:J159)</f>
        <v>0</v>
      </c>
      <c r="K156" s="233">
        <f t="shared" ref="K156" si="243">SUM(K157:K159)</f>
        <v>0</v>
      </c>
      <c r="L156" s="233">
        <f t="shared" si="242"/>
        <v>0</v>
      </c>
      <c r="M156" s="232">
        <f t="shared" si="202"/>
        <v>0</v>
      </c>
      <c r="N156" s="233">
        <v>0</v>
      </c>
      <c r="O156" s="233">
        <f t="shared" ref="O156:Q156" si="244">SUM(O157:O159)</f>
        <v>0</v>
      </c>
      <c r="P156" s="233">
        <f t="shared" ref="P156" si="245">SUM(P157:P159)</f>
        <v>0</v>
      </c>
      <c r="Q156" s="233">
        <f t="shared" si="244"/>
        <v>0</v>
      </c>
      <c r="R156" s="232">
        <f t="shared" si="203"/>
        <v>0</v>
      </c>
    </row>
    <row r="157" spans="1:18" s="6" customFormat="1" ht="24" hidden="1" customHeight="1">
      <c r="A157" s="133" t="s">
        <v>193</v>
      </c>
      <c r="B157" s="172" t="s">
        <v>171</v>
      </c>
      <c r="C157" s="170"/>
      <c r="D157" s="171">
        <v>0</v>
      </c>
      <c r="E157" s="233"/>
      <c r="F157" s="233"/>
      <c r="G157" s="233"/>
      <c r="H157" s="232">
        <f t="shared" si="201"/>
        <v>0</v>
      </c>
      <c r="I157" s="233">
        <v>0</v>
      </c>
      <c r="J157" s="233"/>
      <c r="K157" s="233"/>
      <c r="L157" s="233"/>
      <c r="M157" s="232">
        <f t="shared" si="202"/>
        <v>0</v>
      </c>
      <c r="N157" s="233">
        <v>0</v>
      </c>
      <c r="O157" s="233"/>
      <c r="P157" s="233"/>
      <c r="Q157" s="233"/>
      <c r="R157" s="232">
        <f t="shared" si="203"/>
        <v>0</v>
      </c>
    </row>
    <row r="158" spans="1:18" s="6" customFormat="1" ht="60" hidden="1" customHeight="1">
      <c r="A158" s="133">
        <v>9580</v>
      </c>
      <c r="B158" s="172" t="s">
        <v>166</v>
      </c>
      <c r="C158" s="204"/>
      <c r="D158" s="180">
        <v>0</v>
      </c>
      <c r="E158" s="252"/>
      <c r="F158" s="252"/>
      <c r="G158" s="252"/>
      <c r="H158" s="232">
        <f t="shared" si="201"/>
        <v>0</v>
      </c>
      <c r="I158" s="252">
        <v>0</v>
      </c>
      <c r="J158" s="252"/>
      <c r="K158" s="252"/>
      <c r="L158" s="252"/>
      <c r="M158" s="232">
        <f t="shared" si="202"/>
        <v>0</v>
      </c>
      <c r="N158" s="252">
        <v>0</v>
      </c>
      <c r="O158" s="252"/>
      <c r="P158" s="252"/>
      <c r="Q158" s="252"/>
      <c r="R158" s="232">
        <f t="shared" si="203"/>
        <v>0</v>
      </c>
    </row>
    <row r="159" spans="1:18" s="6" customFormat="1" ht="48" hidden="1" customHeight="1">
      <c r="A159" s="133">
        <v>9590</v>
      </c>
      <c r="B159" s="179" t="s">
        <v>172</v>
      </c>
      <c r="C159" s="204"/>
      <c r="D159" s="180">
        <v>0</v>
      </c>
      <c r="E159" s="252"/>
      <c r="F159" s="252"/>
      <c r="G159" s="252"/>
      <c r="H159" s="232">
        <f t="shared" si="201"/>
        <v>0</v>
      </c>
      <c r="I159" s="252">
        <v>0</v>
      </c>
      <c r="J159" s="252"/>
      <c r="K159" s="252"/>
      <c r="L159" s="252"/>
      <c r="M159" s="232">
        <f t="shared" si="202"/>
        <v>0</v>
      </c>
      <c r="N159" s="252">
        <v>0</v>
      </c>
      <c r="O159" s="252"/>
      <c r="P159" s="252"/>
      <c r="Q159" s="252"/>
      <c r="R159" s="232">
        <f t="shared" si="203"/>
        <v>0</v>
      </c>
    </row>
    <row r="160" spans="1:18" s="6" customFormat="1" ht="24" hidden="1" customHeight="1">
      <c r="A160" s="141">
        <v>9700</v>
      </c>
      <c r="B160" s="183" t="s">
        <v>194</v>
      </c>
      <c r="C160" s="170">
        <v>0</v>
      </c>
      <c r="D160" s="171">
        <v>0</v>
      </c>
      <c r="E160" s="233">
        <f t="shared" ref="E160:G160" si="246">SUM(E161:E162)</f>
        <v>0</v>
      </c>
      <c r="F160" s="233">
        <f t="shared" ref="F160" si="247">SUM(F161:F162)</f>
        <v>0</v>
      </c>
      <c r="G160" s="233">
        <f t="shared" si="246"/>
        <v>0</v>
      </c>
      <c r="H160" s="232">
        <f t="shared" si="201"/>
        <v>0</v>
      </c>
      <c r="I160" s="233">
        <v>0</v>
      </c>
      <c r="J160" s="233">
        <f t="shared" ref="J160:L160" si="248">SUM(J161:J162)</f>
        <v>0</v>
      </c>
      <c r="K160" s="233">
        <f t="shared" ref="K160" si="249">SUM(K161:K162)</f>
        <v>0</v>
      </c>
      <c r="L160" s="233">
        <f t="shared" si="248"/>
        <v>0</v>
      </c>
      <c r="M160" s="232">
        <f t="shared" si="202"/>
        <v>0</v>
      </c>
      <c r="N160" s="233">
        <v>0</v>
      </c>
      <c r="O160" s="233">
        <f t="shared" ref="O160:Q160" si="250">SUM(O161:O162)</f>
        <v>0</v>
      </c>
      <c r="P160" s="233">
        <f t="shared" ref="P160" si="251">SUM(P161:P162)</f>
        <v>0</v>
      </c>
      <c r="Q160" s="233">
        <f t="shared" si="250"/>
        <v>0</v>
      </c>
      <c r="R160" s="232">
        <f t="shared" si="203"/>
        <v>0</v>
      </c>
    </row>
    <row r="161" spans="1:18" s="6" customFormat="1" ht="24" hidden="1" customHeight="1">
      <c r="A161" s="133">
        <v>9710</v>
      </c>
      <c r="B161" s="184" t="s">
        <v>195</v>
      </c>
      <c r="C161" s="204"/>
      <c r="D161" s="180">
        <v>0</v>
      </c>
      <c r="E161" s="252"/>
      <c r="F161" s="252"/>
      <c r="G161" s="252"/>
      <c r="H161" s="232">
        <f t="shared" si="201"/>
        <v>0</v>
      </c>
      <c r="I161" s="252">
        <v>0</v>
      </c>
      <c r="J161" s="252"/>
      <c r="K161" s="252"/>
      <c r="L161" s="252"/>
      <c r="M161" s="232">
        <f t="shared" si="202"/>
        <v>0</v>
      </c>
      <c r="N161" s="252">
        <v>0</v>
      </c>
      <c r="O161" s="252"/>
      <c r="P161" s="252"/>
      <c r="Q161" s="252"/>
      <c r="R161" s="232">
        <f t="shared" si="203"/>
        <v>0</v>
      </c>
    </row>
    <row r="162" spans="1:18" s="6" customFormat="1" ht="48" hidden="1" customHeight="1">
      <c r="A162" s="142">
        <v>9720</v>
      </c>
      <c r="B162" s="183" t="s">
        <v>196</v>
      </c>
      <c r="C162" s="204"/>
      <c r="D162" s="180">
        <v>0</v>
      </c>
      <c r="E162" s="252"/>
      <c r="F162" s="252"/>
      <c r="G162" s="252"/>
      <c r="H162" s="232">
        <f t="shared" si="201"/>
        <v>0</v>
      </c>
      <c r="I162" s="252">
        <v>0</v>
      </c>
      <c r="J162" s="252"/>
      <c r="K162" s="252"/>
      <c r="L162" s="252"/>
      <c r="M162" s="232">
        <f t="shared" si="202"/>
        <v>0</v>
      </c>
      <c r="N162" s="252">
        <v>0</v>
      </c>
      <c r="O162" s="252"/>
      <c r="P162" s="252"/>
      <c r="Q162" s="252"/>
      <c r="R162" s="232">
        <f t="shared" si="203"/>
        <v>0</v>
      </c>
    </row>
    <row r="163" spans="1:18" s="6" customFormat="1" ht="24" hidden="1" customHeight="1">
      <c r="A163" s="141">
        <v>9600</v>
      </c>
      <c r="B163" s="179" t="s">
        <v>134</v>
      </c>
      <c r="C163" s="204"/>
      <c r="D163" s="180">
        <v>0</v>
      </c>
      <c r="E163" s="252"/>
      <c r="F163" s="252"/>
      <c r="G163" s="252"/>
      <c r="H163" s="232">
        <f t="shared" si="201"/>
        <v>0</v>
      </c>
      <c r="I163" s="252">
        <v>0</v>
      </c>
      <c r="J163" s="252"/>
      <c r="K163" s="252"/>
      <c r="L163" s="252"/>
      <c r="M163" s="232">
        <f t="shared" si="202"/>
        <v>0</v>
      </c>
      <c r="N163" s="252">
        <v>0</v>
      </c>
      <c r="O163" s="252"/>
      <c r="P163" s="252"/>
      <c r="Q163" s="252"/>
      <c r="R163" s="232">
        <f t="shared" si="203"/>
        <v>0</v>
      </c>
    </row>
    <row r="164" spans="1:18" s="6" customFormat="1" ht="52.5" hidden="1" customHeight="1">
      <c r="A164" s="130" t="s">
        <v>197</v>
      </c>
      <c r="B164" s="185" t="s">
        <v>47</v>
      </c>
      <c r="C164" s="206">
        <v>0</v>
      </c>
      <c r="D164" s="186">
        <v>0</v>
      </c>
      <c r="E164" s="262">
        <f t="shared" ref="E164:G164" si="252">E94-E119</f>
        <v>0</v>
      </c>
      <c r="F164" s="262">
        <f t="shared" ref="F164" si="253">F94-F119</f>
        <v>0</v>
      </c>
      <c r="G164" s="262">
        <f t="shared" si="252"/>
        <v>0</v>
      </c>
      <c r="H164" s="232">
        <f t="shared" si="201"/>
        <v>0</v>
      </c>
      <c r="I164" s="262">
        <v>0</v>
      </c>
      <c r="J164" s="262">
        <f t="shared" ref="J164:L164" si="254">J94-J119</f>
        <v>0</v>
      </c>
      <c r="K164" s="262">
        <f t="shared" ref="K164" si="255">K94-K119</f>
        <v>0</v>
      </c>
      <c r="L164" s="262">
        <f t="shared" si="254"/>
        <v>0</v>
      </c>
      <c r="M164" s="232">
        <f t="shared" si="202"/>
        <v>0</v>
      </c>
      <c r="N164" s="262">
        <v>0</v>
      </c>
      <c r="O164" s="262">
        <f t="shared" ref="O164:Q164" si="256">O94-O119</f>
        <v>0</v>
      </c>
      <c r="P164" s="262">
        <f t="shared" ref="P164" si="257">P94-P119</f>
        <v>0</v>
      </c>
      <c r="Q164" s="262">
        <f t="shared" si="256"/>
        <v>0</v>
      </c>
      <c r="R164" s="232">
        <f t="shared" si="203"/>
        <v>0</v>
      </c>
    </row>
    <row r="165" spans="1:18" s="6" customFormat="1" ht="12" hidden="1" customHeight="1">
      <c r="A165" s="143" t="s">
        <v>48</v>
      </c>
      <c r="B165" s="185" t="s">
        <v>49</v>
      </c>
      <c r="C165" s="206">
        <v>0</v>
      </c>
      <c r="D165" s="186">
        <v>0</v>
      </c>
      <c r="E165" s="262">
        <f t="shared" ref="E165:G165" si="258">E166+E169+E173+E172</f>
        <v>0</v>
      </c>
      <c r="F165" s="262">
        <f t="shared" ref="F165" si="259">F166+F169+F173+F172</f>
        <v>0</v>
      </c>
      <c r="G165" s="262">
        <f t="shared" si="258"/>
        <v>0</v>
      </c>
      <c r="H165" s="232">
        <f t="shared" si="201"/>
        <v>0</v>
      </c>
      <c r="I165" s="262">
        <v>0</v>
      </c>
      <c r="J165" s="262">
        <f t="shared" ref="J165:L165" si="260">J166+J169+J173+J172</f>
        <v>0</v>
      </c>
      <c r="K165" s="262">
        <f t="shared" ref="K165" si="261">K166+K169+K173+K172</f>
        <v>0</v>
      </c>
      <c r="L165" s="262">
        <f t="shared" si="260"/>
        <v>0</v>
      </c>
      <c r="M165" s="232">
        <f t="shared" si="202"/>
        <v>0</v>
      </c>
      <c r="N165" s="262">
        <v>0</v>
      </c>
      <c r="O165" s="262">
        <f t="shared" ref="O165:Q165" si="262">O166+O169+O173+O172</f>
        <v>0</v>
      </c>
      <c r="P165" s="262">
        <f t="shared" ref="P165" si="263">P166+P169+P173+P172</f>
        <v>0</v>
      </c>
      <c r="Q165" s="262">
        <f t="shared" si="262"/>
        <v>0</v>
      </c>
      <c r="R165" s="232">
        <f t="shared" si="203"/>
        <v>0</v>
      </c>
    </row>
    <row r="166" spans="1:18" s="6" customFormat="1" ht="12" hidden="1" customHeight="1">
      <c r="A166" s="141" t="s">
        <v>50</v>
      </c>
      <c r="B166" s="179" t="s">
        <v>51</v>
      </c>
      <c r="C166" s="98">
        <v>0</v>
      </c>
      <c r="D166" s="169">
        <v>0</v>
      </c>
      <c r="E166" s="231">
        <f t="shared" ref="E166:G166" si="264">E167+E168</f>
        <v>0</v>
      </c>
      <c r="F166" s="231">
        <f t="shared" ref="F166" si="265">F167+F168</f>
        <v>0</v>
      </c>
      <c r="G166" s="231">
        <f t="shared" si="264"/>
        <v>0</v>
      </c>
      <c r="H166" s="232">
        <f t="shared" si="201"/>
        <v>0</v>
      </c>
      <c r="I166" s="231">
        <v>0</v>
      </c>
      <c r="J166" s="231">
        <f t="shared" ref="J166:L166" si="266">J167+J168</f>
        <v>0</v>
      </c>
      <c r="K166" s="231">
        <f t="shared" ref="K166" si="267">K167+K168</f>
        <v>0</v>
      </c>
      <c r="L166" s="231">
        <f t="shared" si="266"/>
        <v>0</v>
      </c>
      <c r="M166" s="232">
        <f t="shared" si="202"/>
        <v>0</v>
      </c>
      <c r="N166" s="231">
        <v>0</v>
      </c>
      <c r="O166" s="231">
        <f t="shared" ref="O166:Q166" si="268">O167+O168</f>
        <v>0</v>
      </c>
      <c r="P166" s="231">
        <f t="shared" ref="P166" si="269">P167+P168</f>
        <v>0</v>
      </c>
      <c r="Q166" s="231">
        <f t="shared" si="268"/>
        <v>0</v>
      </c>
      <c r="R166" s="232">
        <f t="shared" si="203"/>
        <v>0</v>
      </c>
    </row>
    <row r="167" spans="1:18" s="6" customFormat="1" ht="12" hidden="1" customHeight="1">
      <c r="A167" s="141" t="s">
        <v>52</v>
      </c>
      <c r="B167" s="179" t="s">
        <v>53</v>
      </c>
      <c r="C167" s="98"/>
      <c r="D167" s="169">
        <v>0</v>
      </c>
      <c r="E167" s="231"/>
      <c r="F167" s="231"/>
      <c r="G167" s="231"/>
      <c r="H167" s="232">
        <f t="shared" si="201"/>
        <v>0</v>
      </c>
      <c r="I167" s="231">
        <v>0</v>
      </c>
      <c r="J167" s="231"/>
      <c r="K167" s="231"/>
      <c r="L167" s="231"/>
      <c r="M167" s="232">
        <f t="shared" si="202"/>
        <v>0</v>
      </c>
      <c r="N167" s="231">
        <v>0</v>
      </c>
      <c r="O167" s="231"/>
      <c r="P167" s="231"/>
      <c r="Q167" s="231"/>
      <c r="R167" s="232">
        <f t="shared" si="203"/>
        <v>0</v>
      </c>
    </row>
    <row r="168" spans="1:18" s="6" customFormat="1" ht="12" hidden="1" customHeight="1">
      <c r="A168" s="141" t="s">
        <v>54</v>
      </c>
      <c r="B168" s="179" t="s">
        <v>55</v>
      </c>
      <c r="C168" s="98"/>
      <c r="D168" s="169">
        <v>0</v>
      </c>
      <c r="E168" s="231"/>
      <c r="F168" s="231"/>
      <c r="G168" s="231"/>
      <c r="H168" s="232">
        <f t="shared" si="201"/>
        <v>0</v>
      </c>
      <c r="I168" s="231">
        <v>0</v>
      </c>
      <c r="J168" s="231"/>
      <c r="K168" s="231"/>
      <c r="L168" s="231"/>
      <c r="M168" s="232">
        <f t="shared" si="202"/>
        <v>0</v>
      </c>
      <c r="N168" s="231">
        <v>0</v>
      </c>
      <c r="O168" s="231"/>
      <c r="P168" s="231"/>
      <c r="Q168" s="231"/>
      <c r="R168" s="232">
        <f t="shared" si="203"/>
        <v>0</v>
      </c>
    </row>
    <row r="169" spans="1:18" s="6" customFormat="1" ht="12" hidden="1" customHeight="1">
      <c r="A169" s="141" t="s">
        <v>56</v>
      </c>
      <c r="B169" s="179" t="s">
        <v>57</v>
      </c>
      <c r="C169" s="98">
        <v>0</v>
      </c>
      <c r="D169" s="169">
        <v>0</v>
      </c>
      <c r="E169" s="231">
        <f t="shared" ref="E169:G169" si="270">E170+E171</f>
        <v>0</v>
      </c>
      <c r="F169" s="231">
        <f t="shared" ref="F169" si="271">F170+F171</f>
        <v>0</v>
      </c>
      <c r="G169" s="231">
        <f t="shared" si="270"/>
        <v>0</v>
      </c>
      <c r="H169" s="232">
        <f t="shared" si="201"/>
        <v>0</v>
      </c>
      <c r="I169" s="231">
        <v>0</v>
      </c>
      <c r="J169" s="231">
        <f t="shared" ref="J169:L169" si="272">J170+J171</f>
        <v>0</v>
      </c>
      <c r="K169" s="231">
        <f t="shared" ref="K169" si="273">K170+K171</f>
        <v>0</v>
      </c>
      <c r="L169" s="231">
        <f t="shared" si="272"/>
        <v>0</v>
      </c>
      <c r="M169" s="232">
        <f t="shared" si="202"/>
        <v>0</v>
      </c>
      <c r="N169" s="231">
        <v>0</v>
      </c>
      <c r="O169" s="231">
        <f t="shared" ref="O169:Q169" si="274">O170+O171</f>
        <v>0</v>
      </c>
      <c r="P169" s="231">
        <f t="shared" ref="P169" si="275">P170+P171</f>
        <v>0</v>
      </c>
      <c r="Q169" s="231">
        <f t="shared" si="274"/>
        <v>0</v>
      </c>
      <c r="R169" s="232">
        <f t="shared" si="203"/>
        <v>0</v>
      </c>
    </row>
    <row r="170" spans="1:18" s="6" customFormat="1" ht="12" hidden="1" customHeight="1">
      <c r="A170" s="141" t="s">
        <v>58</v>
      </c>
      <c r="B170" s="179" t="s">
        <v>59</v>
      </c>
      <c r="C170" s="98"/>
      <c r="D170" s="169">
        <v>0</v>
      </c>
      <c r="E170" s="231"/>
      <c r="F170" s="231"/>
      <c r="G170" s="231"/>
      <c r="H170" s="232">
        <f t="shared" si="201"/>
        <v>0</v>
      </c>
      <c r="I170" s="231">
        <v>0</v>
      </c>
      <c r="J170" s="231"/>
      <c r="K170" s="231"/>
      <c r="L170" s="231"/>
      <c r="M170" s="232">
        <f t="shared" si="202"/>
        <v>0</v>
      </c>
      <c r="N170" s="231">
        <v>0</v>
      </c>
      <c r="O170" s="231"/>
      <c r="P170" s="231"/>
      <c r="Q170" s="231"/>
      <c r="R170" s="232">
        <f t="shared" si="203"/>
        <v>0</v>
      </c>
    </row>
    <row r="171" spans="1:18" s="6" customFormat="1" ht="12" hidden="1" customHeight="1">
      <c r="A171" s="141" t="s">
        <v>60</v>
      </c>
      <c r="B171" s="179" t="s">
        <v>61</v>
      </c>
      <c r="C171" s="98"/>
      <c r="D171" s="169">
        <v>0</v>
      </c>
      <c r="E171" s="231"/>
      <c r="F171" s="231"/>
      <c r="G171" s="231"/>
      <c r="H171" s="232">
        <f t="shared" si="201"/>
        <v>0</v>
      </c>
      <c r="I171" s="231">
        <v>0</v>
      </c>
      <c r="J171" s="231"/>
      <c r="K171" s="231"/>
      <c r="L171" s="231"/>
      <c r="M171" s="232">
        <f t="shared" si="202"/>
        <v>0</v>
      </c>
      <c r="N171" s="231">
        <v>0</v>
      </c>
      <c r="O171" s="231"/>
      <c r="P171" s="231"/>
      <c r="Q171" s="231"/>
      <c r="R171" s="232">
        <f t="shared" si="203"/>
        <v>0</v>
      </c>
    </row>
    <row r="172" spans="1:18" s="6" customFormat="1" ht="24" hidden="1" customHeight="1">
      <c r="A172" s="141" t="s">
        <v>198</v>
      </c>
      <c r="B172" s="187" t="s">
        <v>168</v>
      </c>
      <c r="C172" s="98"/>
      <c r="D172" s="169">
        <v>0</v>
      </c>
      <c r="E172" s="231"/>
      <c r="F172" s="231"/>
      <c r="G172" s="231"/>
      <c r="H172" s="232">
        <f t="shared" si="201"/>
        <v>0</v>
      </c>
      <c r="I172" s="231">
        <v>0</v>
      </c>
      <c r="J172" s="231"/>
      <c r="K172" s="231"/>
      <c r="L172" s="231"/>
      <c r="M172" s="232">
        <f t="shared" si="202"/>
        <v>0</v>
      </c>
      <c r="N172" s="231">
        <v>0</v>
      </c>
      <c r="O172" s="231"/>
      <c r="P172" s="231"/>
      <c r="Q172" s="231"/>
      <c r="R172" s="232">
        <f t="shared" si="203"/>
        <v>0</v>
      </c>
    </row>
    <row r="173" spans="1:18" s="6" customFormat="1" ht="12" hidden="1" customHeight="1">
      <c r="A173" s="144" t="s">
        <v>62</v>
      </c>
      <c r="B173" s="125" t="s">
        <v>63</v>
      </c>
      <c r="C173" s="170">
        <v>0</v>
      </c>
      <c r="D173" s="171">
        <v>0</v>
      </c>
      <c r="E173" s="233">
        <f t="shared" ref="E173:G173" si="276">E174+E175+E176</f>
        <v>0</v>
      </c>
      <c r="F173" s="233">
        <f t="shared" ref="F173" si="277">F174+F175+F176</f>
        <v>0</v>
      </c>
      <c r="G173" s="233">
        <f t="shared" si="276"/>
        <v>0</v>
      </c>
      <c r="H173" s="232">
        <f t="shared" si="201"/>
        <v>0</v>
      </c>
      <c r="I173" s="233">
        <v>0</v>
      </c>
      <c r="J173" s="233">
        <f t="shared" ref="J173:L173" si="278">J174+J175+J176</f>
        <v>0</v>
      </c>
      <c r="K173" s="233">
        <f t="shared" ref="K173" si="279">K174+K175+K176</f>
        <v>0</v>
      </c>
      <c r="L173" s="233">
        <f t="shared" si="278"/>
        <v>0</v>
      </c>
      <c r="M173" s="232">
        <f t="shared" si="202"/>
        <v>0</v>
      </c>
      <c r="N173" s="233">
        <v>0</v>
      </c>
      <c r="O173" s="233">
        <f t="shared" ref="O173:Q173" si="280">O174+O175+O176</f>
        <v>0</v>
      </c>
      <c r="P173" s="233">
        <f t="shared" ref="P173" si="281">P174+P175+P176</f>
        <v>0</v>
      </c>
      <c r="Q173" s="233">
        <f t="shared" si="280"/>
        <v>0</v>
      </c>
      <c r="R173" s="232">
        <f t="shared" si="203"/>
        <v>0</v>
      </c>
    </row>
    <row r="174" spans="1:18" s="6" customFormat="1" ht="36" hidden="1" customHeight="1">
      <c r="A174" s="144" t="s">
        <v>64</v>
      </c>
      <c r="B174" s="179" t="s">
        <v>65</v>
      </c>
      <c r="C174" s="98"/>
      <c r="D174" s="169">
        <v>0</v>
      </c>
      <c r="E174" s="231"/>
      <c r="F174" s="231"/>
      <c r="G174" s="231"/>
      <c r="H174" s="232">
        <f t="shared" si="201"/>
        <v>0</v>
      </c>
      <c r="I174" s="231">
        <v>0</v>
      </c>
      <c r="J174" s="231"/>
      <c r="K174" s="231"/>
      <c r="L174" s="231"/>
      <c r="M174" s="232">
        <f t="shared" si="202"/>
        <v>0</v>
      </c>
      <c r="N174" s="231">
        <v>0</v>
      </c>
      <c r="O174" s="231"/>
      <c r="P174" s="231"/>
      <c r="Q174" s="231"/>
      <c r="R174" s="232">
        <f t="shared" si="203"/>
        <v>0</v>
      </c>
    </row>
    <row r="175" spans="1:18" s="6" customFormat="1" ht="36" hidden="1" customHeight="1">
      <c r="A175" s="144" t="s">
        <v>66</v>
      </c>
      <c r="B175" s="179" t="s">
        <v>67</v>
      </c>
      <c r="C175" s="98"/>
      <c r="D175" s="169">
        <v>0</v>
      </c>
      <c r="E175" s="231"/>
      <c r="F175" s="231"/>
      <c r="G175" s="231"/>
      <c r="H175" s="232">
        <f t="shared" si="201"/>
        <v>0</v>
      </c>
      <c r="I175" s="231">
        <v>0</v>
      </c>
      <c r="J175" s="231"/>
      <c r="K175" s="231"/>
      <c r="L175" s="231"/>
      <c r="M175" s="232">
        <f t="shared" si="202"/>
        <v>0</v>
      </c>
      <c r="N175" s="231">
        <v>0</v>
      </c>
      <c r="O175" s="231"/>
      <c r="P175" s="231"/>
      <c r="Q175" s="231"/>
      <c r="R175" s="232">
        <f t="shared" si="203"/>
        <v>0</v>
      </c>
    </row>
    <row r="176" spans="1:18" s="6" customFormat="1" ht="24" hidden="1" customHeight="1">
      <c r="A176" s="144" t="s">
        <v>68</v>
      </c>
      <c r="B176" s="125" t="s">
        <v>69</v>
      </c>
      <c r="C176" s="98"/>
      <c r="D176" s="169">
        <v>0</v>
      </c>
      <c r="E176" s="231"/>
      <c r="F176" s="231"/>
      <c r="G176" s="231"/>
      <c r="H176" s="232">
        <f t="shared" si="201"/>
        <v>0</v>
      </c>
      <c r="I176" s="231">
        <v>0</v>
      </c>
      <c r="J176" s="231"/>
      <c r="K176" s="231"/>
      <c r="L176" s="231"/>
      <c r="M176" s="232">
        <f t="shared" si="202"/>
        <v>0</v>
      </c>
      <c r="N176" s="231">
        <v>0</v>
      </c>
      <c r="O176" s="231"/>
      <c r="P176" s="231"/>
      <c r="Q176" s="231"/>
      <c r="R176" s="232">
        <f t="shared" si="203"/>
        <v>0</v>
      </c>
    </row>
    <row r="177" spans="1:18" s="6" customFormat="1" ht="34.200000000000003">
      <c r="A177" s="145"/>
      <c r="B177" s="188" t="s">
        <v>200</v>
      </c>
      <c r="C177" s="207"/>
      <c r="D177" s="294">
        <v>0</v>
      </c>
      <c r="E177" s="268"/>
      <c r="F177" s="268"/>
      <c r="G177" s="268"/>
      <c r="H177" s="269">
        <f t="shared" si="201"/>
        <v>0</v>
      </c>
      <c r="I177" s="347">
        <v>0</v>
      </c>
      <c r="J177" s="268"/>
      <c r="K177" s="268"/>
      <c r="L177" s="268"/>
      <c r="M177" s="269">
        <f t="shared" si="202"/>
        <v>0</v>
      </c>
      <c r="N177" s="347">
        <v>0</v>
      </c>
      <c r="O177" s="268"/>
      <c r="P177" s="268"/>
      <c r="Q177" s="268"/>
      <c r="R177" s="269">
        <f t="shared" si="203"/>
        <v>0</v>
      </c>
    </row>
    <row r="178" spans="1:18" s="6" customFormat="1" ht="21" hidden="1" customHeight="1">
      <c r="A178" s="129" t="s">
        <v>201</v>
      </c>
      <c r="B178" s="123" t="s">
        <v>88</v>
      </c>
      <c r="C178" s="200">
        <v>0</v>
      </c>
      <c r="D178" s="167">
        <v>0</v>
      </c>
      <c r="E178" s="228">
        <f t="shared" ref="E178:G178" si="282">E179+E180+E182+E200</f>
        <v>0</v>
      </c>
      <c r="F178" s="228">
        <f t="shared" ref="F178" si="283">F179+F180+F182+F200</f>
        <v>0</v>
      </c>
      <c r="G178" s="228">
        <f t="shared" si="282"/>
        <v>0</v>
      </c>
      <c r="H178" s="229">
        <f t="shared" si="201"/>
        <v>0</v>
      </c>
      <c r="I178" s="228">
        <v>0</v>
      </c>
      <c r="J178" s="228">
        <f t="shared" ref="J178:L178" si="284">J179+J180+J182+J200</f>
        <v>0</v>
      </c>
      <c r="K178" s="228">
        <f t="shared" ref="K178" si="285">K179+K180+K182+K200</f>
        <v>0</v>
      </c>
      <c r="L178" s="228">
        <f t="shared" si="284"/>
        <v>0</v>
      </c>
      <c r="M178" s="229">
        <f t="shared" si="202"/>
        <v>0</v>
      </c>
      <c r="N178" s="228">
        <v>0</v>
      </c>
      <c r="O178" s="228">
        <f t="shared" ref="O178:Q178" si="286">O179+O180+O182+O200</f>
        <v>0</v>
      </c>
      <c r="P178" s="228">
        <f t="shared" ref="P178" si="287">P179+P180+P182+P200</f>
        <v>0</v>
      </c>
      <c r="Q178" s="228">
        <f t="shared" si="286"/>
        <v>0</v>
      </c>
      <c r="R178" s="229">
        <f t="shared" si="203"/>
        <v>0</v>
      </c>
    </row>
    <row r="179" spans="1:18" s="6" customFormat="1" ht="24" hidden="1" customHeight="1">
      <c r="A179" s="130" t="s">
        <v>177</v>
      </c>
      <c r="B179" s="124" t="s">
        <v>90</v>
      </c>
      <c r="C179" s="98"/>
      <c r="D179" s="169">
        <v>0</v>
      </c>
      <c r="E179" s="231"/>
      <c r="F179" s="231"/>
      <c r="G179" s="231"/>
      <c r="H179" s="232">
        <f t="shared" si="201"/>
        <v>0</v>
      </c>
      <c r="I179" s="231">
        <v>0</v>
      </c>
      <c r="J179" s="231"/>
      <c r="K179" s="231"/>
      <c r="L179" s="231"/>
      <c r="M179" s="232">
        <f t="shared" si="202"/>
        <v>0</v>
      </c>
      <c r="N179" s="231">
        <v>0</v>
      </c>
      <c r="O179" s="231"/>
      <c r="P179" s="231"/>
      <c r="Q179" s="231"/>
      <c r="R179" s="232">
        <f t="shared" si="203"/>
        <v>0</v>
      </c>
    </row>
    <row r="180" spans="1:18" s="6" customFormat="1" ht="24" hidden="1" customHeight="1">
      <c r="A180" s="130" t="s">
        <v>91</v>
      </c>
      <c r="B180" s="124" t="s">
        <v>92</v>
      </c>
      <c r="C180" s="98"/>
      <c r="D180" s="169">
        <v>0</v>
      </c>
      <c r="E180" s="231"/>
      <c r="F180" s="231"/>
      <c r="G180" s="231"/>
      <c r="H180" s="232">
        <f t="shared" si="201"/>
        <v>0</v>
      </c>
      <c r="I180" s="231">
        <v>0</v>
      </c>
      <c r="J180" s="231"/>
      <c r="K180" s="231"/>
      <c r="L180" s="231"/>
      <c r="M180" s="232">
        <f t="shared" si="202"/>
        <v>0</v>
      </c>
      <c r="N180" s="231">
        <v>0</v>
      </c>
      <c r="O180" s="231"/>
      <c r="P180" s="231"/>
      <c r="Q180" s="231"/>
      <c r="R180" s="232">
        <f t="shared" si="203"/>
        <v>0</v>
      </c>
    </row>
    <row r="181" spans="1:18" s="29" customFormat="1" ht="24" hidden="1" customHeight="1">
      <c r="A181" s="131">
        <v>21210</v>
      </c>
      <c r="B181" s="125" t="s">
        <v>93</v>
      </c>
      <c r="C181" s="98"/>
      <c r="D181" s="169">
        <v>0</v>
      </c>
      <c r="E181" s="231"/>
      <c r="F181" s="231"/>
      <c r="G181" s="231"/>
      <c r="H181" s="232">
        <f t="shared" si="201"/>
        <v>0</v>
      </c>
      <c r="I181" s="231">
        <v>0</v>
      </c>
      <c r="J181" s="231"/>
      <c r="K181" s="231"/>
      <c r="L181" s="231"/>
      <c r="M181" s="232">
        <f t="shared" si="202"/>
        <v>0</v>
      </c>
      <c r="N181" s="231">
        <v>0</v>
      </c>
      <c r="O181" s="231"/>
      <c r="P181" s="231"/>
      <c r="Q181" s="231"/>
      <c r="R181" s="232">
        <f t="shared" si="203"/>
        <v>0</v>
      </c>
    </row>
    <row r="182" spans="1:18" s="89" customFormat="1" ht="21" hidden="1" customHeight="1">
      <c r="A182" s="130" t="s">
        <v>178</v>
      </c>
      <c r="B182" s="124" t="s">
        <v>94</v>
      </c>
      <c r="C182" s="170">
        <v>0</v>
      </c>
      <c r="D182" s="171">
        <v>0</v>
      </c>
      <c r="E182" s="233">
        <f t="shared" ref="E182:G182" si="288">E183+E189</f>
        <v>0</v>
      </c>
      <c r="F182" s="233">
        <f t="shared" ref="F182" si="289">F183+F189</f>
        <v>0</v>
      </c>
      <c r="G182" s="233">
        <f t="shared" si="288"/>
        <v>0</v>
      </c>
      <c r="H182" s="232">
        <f t="shared" si="201"/>
        <v>0</v>
      </c>
      <c r="I182" s="233">
        <v>0</v>
      </c>
      <c r="J182" s="233">
        <f t="shared" ref="J182:L182" si="290">J183+J189</f>
        <v>0</v>
      </c>
      <c r="K182" s="233">
        <f t="shared" ref="K182" si="291">K183+K189</f>
        <v>0</v>
      </c>
      <c r="L182" s="233">
        <f t="shared" si="290"/>
        <v>0</v>
      </c>
      <c r="M182" s="232">
        <f t="shared" si="202"/>
        <v>0</v>
      </c>
      <c r="N182" s="233">
        <v>0</v>
      </c>
      <c r="O182" s="233">
        <f t="shared" ref="O182:Q182" si="292">O183+O189</f>
        <v>0</v>
      </c>
      <c r="P182" s="233">
        <f t="shared" ref="P182" si="293">P183+P189</f>
        <v>0</v>
      </c>
      <c r="Q182" s="233">
        <f t="shared" si="292"/>
        <v>0</v>
      </c>
      <c r="R182" s="232">
        <f t="shared" si="203"/>
        <v>0</v>
      </c>
    </row>
    <row r="183" spans="1:18" s="89" customFormat="1" ht="12" hidden="1" customHeight="1">
      <c r="A183" s="132">
        <v>18000</v>
      </c>
      <c r="B183" s="125" t="s">
        <v>95</v>
      </c>
      <c r="C183" s="170">
        <v>0</v>
      </c>
      <c r="D183" s="171">
        <v>0</v>
      </c>
      <c r="E183" s="233">
        <f t="shared" ref="E183:L184" si="294">E184</f>
        <v>0</v>
      </c>
      <c r="F183" s="233">
        <f t="shared" si="294"/>
        <v>0</v>
      </c>
      <c r="G183" s="233">
        <f t="shared" si="294"/>
        <v>0</v>
      </c>
      <c r="H183" s="232">
        <f t="shared" si="201"/>
        <v>0</v>
      </c>
      <c r="I183" s="233">
        <v>0</v>
      </c>
      <c r="J183" s="233">
        <f t="shared" si="294"/>
        <v>0</v>
      </c>
      <c r="K183" s="233">
        <f t="shared" si="294"/>
        <v>0</v>
      </c>
      <c r="L183" s="233">
        <f t="shared" si="294"/>
        <v>0</v>
      </c>
      <c r="M183" s="232">
        <f t="shared" si="202"/>
        <v>0</v>
      </c>
      <c r="N183" s="233">
        <v>0</v>
      </c>
      <c r="O183" s="233">
        <f t="shared" ref="O183:Q184" si="295">O184</f>
        <v>0</v>
      </c>
      <c r="P183" s="233">
        <f t="shared" si="295"/>
        <v>0</v>
      </c>
      <c r="Q183" s="233">
        <f t="shared" si="295"/>
        <v>0</v>
      </c>
      <c r="R183" s="232">
        <f t="shared" si="203"/>
        <v>0</v>
      </c>
    </row>
    <row r="184" spans="1:18" s="89" customFormat="1" ht="12" hidden="1" customHeight="1">
      <c r="A184" s="132">
        <v>18100</v>
      </c>
      <c r="B184" s="125" t="s">
        <v>96</v>
      </c>
      <c r="C184" s="170">
        <v>0</v>
      </c>
      <c r="D184" s="171">
        <v>0</v>
      </c>
      <c r="E184" s="233">
        <f t="shared" si="294"/>
        <v>0</v>
      </c>
      <c r="F184" s="233">
        <f t="shared" si="294"/>
        <v>0</v>
      </c>
      <c r="G184" s="233">
        <f t="shared" si="294"/>
        <v>0</v>
      </c>
      <c r="H184" s="232">
        <f t="shared" si="201"/>
        <v>0</v>
      </c>
      <c r="I184" s="233">
        <v>0</v>
      </c>
      <c r="J184" s="233">
        <f t="shared" si="294"/>
        <v>0</v>
      </c>
      <c r="K184" s="233">
        <f t="shared" si="294"/>
        <v>0</v>
      </c>
      <c r="L184" s="233">
        <f t="shared" si="294"/>
        <v>0</v>
      </c>
      <c r="M184" s="232">
        <f t="shared" si="202"/>
        <v>0</v>
      </c>
      <c r="N184" s="233">
        <v>0</v>
      </c>
      <c r="O184" s="233">
        <f t="shared" si="295"/>
        <v>0</v>
      </c>
      <c r="P184" s="233">
        <f t="shared" si="295"/>
        <v>0</v>
      </c>
      <c r="Q184" s="233">
        <f t="shared" si="295"/>
        <v>0</v>
      </c>
      <c r="R184" s="232">
        <f t="shared" si="203"/>
        <v>0</v>
      </c>
    </row>
    <row r="185" spans="1:18" s="89" customFormat="1" ht="24" hidden="1" customHeight="1">
      <c r="A185" s="133">
        <v>18130</v>
      </c>
      <c r="B185" s="172" t="s">
        <v>159</v>
      </c>
      <c r="C185" s="170">
        <v>0</v>
      </c>
      <c r="D185" s="171">
        <v>0</v>
      </c>
      <c r="E185" s="233">
        <f t="shared" ref="E185:G185" si="296">SUM(E186:E188)</f>
        <v>0</v>
      </c>
      <c r="F185" s="233">
        <f t="shared" ref="F185" si="297">SUM(F186:F188)</f>
        <v>0</v>
      </c>
      <c r="G185" s="233">
        <f t="shared" si="296"/>
        <v>0</v>
      </c>
      <c r="H185" s="232">
        <f t="shared" si="201"/>
        <v>0</v>
      </c>
      <c r="I185" s="233">
        <v>0</v>
      </c>
      <c r="J185" s="233">
        <f t="shared" ref="J185:L185" si="298">SUM(J186:J188)</f>
        <v>0</v>
      </c>
      <c r="K185" s="233">
        <f t="shared" ref="K185" si="299">SUM(K186:K188)</f>
        <v>0</v>
      </c>
      <c r="L185" s="233">
        <f t="shared" si="298"/>
        <v>0</v>
      </c>
      <c r="M185" s="232">
        <f t="shared" si="202"/>
        <v>0</v>
      </c>
      <c r="N185" s="233">
        <v>0</v>
      </c>
      <c r="O185" s="233">
        <f t="shared" ref="O185:Q185" si="300">SUM(O186:O188)</f>
        <v>0</v>
      </c>
      <c r="P185" s="233">
        <f t="shared" ref="P185" si="301">SUM(P186:P188)</f>
        <v>0</v>
      </c>
      <c r="Q185" s="233">
        <f t="shared" si="300"/>
        <v>0</v>
      </c>
      <c r="R185" s="232">
        <f t="shared" si="203"/>
        <v>0</v>
      </c>
    </row>
    <row r="186" spans="1:18" s="89" customFormat="1" ht="36" hidden="1" customHeight="1">
      <c r="A186" s="134">
        <v>18131</v>
      </c>
      <c r="B186" s="172" t="s">
        <v>160</v>
      </c>
      <c r="C186" s="170"/>
      <c r="D186" s="171">
        <v>0</v>
      </c>
      <c r="E186" s="233"/>
      <c r="F186" s="233"/>
      <c r="G186" s="233"/>
      <c r="H186" s="232">
        <f t="shared" si="201"/>
        <v>0</v>
      </c>
      <c r="I186" s="233">
        <v>0</v>
      </c>
      <c r="J186" s="233"/>
      <c r="K186" s="233"/>
      <c r="L186" s="233"/>
      <c r="M186" s="232">
        <f t="shared" si="202"/>
        <v>0</v>
      </c>
      <c r="N186" s="233">
        <v>0</v>
      </c>
      <c r="O186" s="233"/>
      <c r="P186" s="233"/>
      <c r="Q186" s="233"/>
      <c r="R186" s="232">
        <f t="shared" si="203"/>
        <v>0</v>
      </c>
    </row>
    <row r="187" spans="1:18" s="89" customFormat="1" ht="24" hidden="1" customHeight="1">
      <c r="A187" s="134">
        <v>18132</v>
      </c>
      <c r="B187" s="172" t="s">
        <v>169</v>
      </c>
      <c r="C187" s="170"/>
      <c r="D187" s="171">
        <v>0</v>
      </c>
      <c r="E187" s="233"/>
      <c r="F187" s="233"/>
      <c r="G187" s="233"/>
      <c r="H187" s="232">
        <f t="shared" si="201"/>
        <v>0</v>
      </c>
      <c r="I187" s="233">
        <v>0</v>
      </c>
      <c r="J187" s="233"/>
      <c r="K187" s="233"/>
      <c r="L187" s="233"/>
      <c r="M187" s="232">
        <f t="shared" si="202"/>
        <v>0</v>
      </c>
      <c r="N187" s="233">
        <v>0</v>
      </c>
      <c r="O187" s="233"/>
      <c r="P187" s="233"/>
      <c r="Q187" s="233"/>
      <c r="R187" s="232">
        <f t="shared" si="203"/>
        <v>0</v>
      </c>
    </row>
    <row r="188" spans="1:18" s="89" customFormat="1" ht="24" hidden="1" customHeight="1">
      <c r="A188" s="134">
        <v>18139</v>
      </c>
      <c r="B188" s="172" t="s">
        <v>179</v>
      </c>
      <c r="C188" s="170"/>
      <c r="D188" s="171">
        <v>0</v>
      </c>
      <c r="E188" s="233"/>
      <c r="F188" s="233"/>
      <c r="G188" s="233"/>
      <c r="H188" s="232">
        <f t="shared" si="201"/>
        <v>0</v>
      </c>
      <c r="I188" s="233">
        <v>0</v>
      </c>
      <c r="J188" s="233"/>
      <c r="K188" s="233"/>
      <c r="L188" s="233"/>
      <c r="M188" s="232">
        <f t="shared" si="202"/>
        <v>0</v>
      </c>
      <c r="N188" s="233">
        <v>0</v>
      </c>
      <c r="O188" s="233"/>
      <c r="P188" s="233"/>
      <c r="Q188" s="233"/>
      <c r="R188" s="232">
        <f t="shared" si="203"/>
        <v>0</v>
      </c>
    </row>
    <row r="189" spans="1:18" s="89" customFormat="1" ht="12" hidden="1" customHeight="1">
      <c r="A189" s="135" t="s">
        <v>180</v>
      </c>
      <c r="B189" s="173" t="s">
        <v>173</v>
      </c>
      <c r="C189" s="201">
        <v>0</v>
      </c>
      <c r="D189" s="174">
        <v>0</v>
      </c>
      <c r="E189" s="238">
        <f t="shared" ref="E189:L189" si="302">E190</f>
        <v>0</v>
      </c>
      <c r="F189" s="238">
        <f t="shared" si="302"/>
        <v>0</v>
      </c>
      <c r="G189" s="238">
        <f t="shared" si="302"/>
        <v>0</v>
      </c>
      <c r="H189" s="232">
        <f t="shared" si="201"/>
        <v>0</v>
      </c>
      <c r="I189" s="238">
        <v>0</v>
      </c>
      <c r="J189" s="238">
        <f t="shared" si="302"/>
        <v>0</v>
      </c>
      <c r="K189" s="238">
        <f t="shared" si="302"/>
        <v>0</v>
      </c>
      <c r="L189" s="238">
        <f t="shared" si="302"/>
        <v>0</v>
      </c>
      <c r="M189" s="232">
        <f t="shared" si="202"/>
        <v>0</v>
      </c>
      <c r="N189" s="238">
        <v>0</v>
      </c>
      <c r="O189" s="238">
        <f t="shared" ref="O189:Q189" si="303">O190</f>
        <v>0</v>
      </c>
      <c r="P189" s="238">
        <f t="shared" si="303"/>
        <v>0</v>
      </c>
      <c r="Q189" s="238">
        <f t="shared" si="303"/>
        <v>0</v>
      </c>
      <c r="R189" s="232">
        <f t="shared" si="203"/>
        <v>0</v>
      </c>
    </row>
    <row r="190" spans="1:18" s="89" customFormat="1" ht="24" hidden="1" customHeight="1">
      <c r="A190" s="135">
        <v>19500</v>
      </c>
      <c r="B190" s="172" t="s">
        <v>174</v>
      </c>
      <c r="C190" s="170">
        <v>0</v>
      </c>
      <c r="D190" s="171">
        <v>0</v>
      </c>
      <c r="E190" s="233">
        <f t="shared" ref="E190:G190" si="304">SUM(E191:E193)</f>
        <v>0</v>
      </c>
      <c r="F190" s="233">
        <f t="shared" ref="F190" si="305">SUM(F191:F193)</f>
        <v>0</v>
      </c>
      <c r="G190" s="233">
        <f t="shared" si="304"/>
        <v>0</v>
      </c>
      <c r="H190" s="232">
        <f t="shared" si="201"/>
        <v>0</v>
      </c>
      <c r="I190" s="233">
        <v>0</v>
      </c>
      <c r="J190" s="233">
        <f t="shared" ref="J190:L190" si="306">SUM(J191:J193)</f>
        <v>0</v>
      </c>
      <c r="K190" s="233">
        <f t="shared" ref="K190" si="307">SUM(K191:K193)</f>
        <v>0</v>
      </c>
      <c r="L190" s="233">
        <f t="shared" si="306"/>
        <v>0</v>
      </c>
      <c r="M190" s="232">
        <f t="shared" si="202"/>
        <v>0</v>
      </c>
      <c r="N190" s="233">
        <v>0</v>
      </c>
      <c r="O190" s="233">
        <f t="shared" ref="O190:Q190" si="308">SUM(O191:O193)</f>
        <v>0</v>
      </c>
      <c r="P190" s="233">
        <f t="shared" ref="P190" si="309">SUM(P191:P193)</f>
        <v>0</v>
      </c>
      <c r="Q190" s="233">
        <f t="shared" si="308"/>
        <v>0</v>
      </c>
      <c r="R190" s="232">
        <f t="shared" si="203"/>
        <v>0</v>
      </c>
    </row>
    <row r="191" spans="1:18" s="89" customFormat="1" ht="24" hidden="1" customHeight="1">
      <c r="A191" s="136">
        <v>19550</v>
      </c>
      <c r="B191" s="172" t="s">
        <v>175</v>
      </c>
      <c r="C191" s="170"/>
      <c r="D191" s="171">
        <v>0</v>
      </c>
      <c r="E191" s="233"/>
      <c r="F191" s="233"/>
      <c r="G191" s="233"/>
      <c r="H191" s="232">
        <f t="shared" si="201"/>
        <v>0</v>
      </c>
      <c r="I191" s="233">
        <v>0</v>
      </c>
      <c r="J191" s="233"/>
      <c r="K191" s="233"/>
      <c r="L191" s="233"/>
      <c r="M191" s="232">
        <f t="shared" si="202"/>
        <v>0</v>
      </c>
      <c r="N191" s="233">
        <v>0</v>
      </c>
      <c r="O191" s="233"/>
      <c r="P191" s="233"/>
      <c r="Q191" s="233"/>
      <c r="R191" s="232">
        <f t="shared" si="203"/>
        <v>0</v>
      </c>
    </row>
    <row r="192" spans="1:18" s="89" customFormat="1" ht="36" hidden="1" customHeight="1">
      <c r="A192" s="136">
        <v>19560</v>
      </c>
      <c r="B192" s="172" t="s">
        <v>181</v>
      </c>
      <c r="C192" s="170"/>
      <c r="D192" s="171">
        <v>0</v>
      </c>
      <c r="E192" s="233"/>
      <c r="F192" s="233"/>
      <c r="G192" s="233"/>
      <c r="H192" s="232">
        <f t="shared" si="201"/>
        <v>0</v>
      </c>
      <c r="I192" s="233">
        <v>0</v>
      </c>
      <c r="J192" s="233"/>
      <c r="K192" s="233"/>
      <c r="L192" s="233"/>
      <c r="M192" s="232">
        <f t="shared" si="202"/>
        <v>0</v>
      </c>
      <c r="N192" s="233">
        <v>0</v>
      </c>
      <c r="O192" s="233"/>
      <c r="P192" s="233"/>
      <c r="Q192" s="233"/>
      <c r="R192" s="232">
        <f t="shared" si="203"/>
        <v>0</v>
      </c>
    </row>
    <row r="193" spans="1:18" s="89" customFormat="1" ht="84" hidden="1" customHeight="1">
      <c r="A193" s="136">
        <v>19570</v>
      </c>
      <c r="B193" s="172" t="s">
        <v>182</v>
      </c>
      <c r="C193" s="170"/>
      <c r="D193" s="171">
        <v>0</v>
      </c>
      <c r="E193" s="233"/>
      <c r="F193" s="233"/>
      <c r="G193" s="233"/>
      <c r="H193" s="232">
        <f t="shared" si="201"/>
        <v>0</v>
      </c>
      <c r="I193" s="233">
        <v>0</v>
      </c>
      <c r="J193" s="233"/>
      <c r="K193" s="233"/>
      <c r="L193" s="233"/>
      <c r="M193" s="232">
        <f t="shared" si="202"/>
        <v>0</v>
      </c>
      <c r="N193" s="233">
        <v>0</v>
      </c>
      <c r="O193" s="233"/>
      <c r="P193" s="233"/>
      <c r="Q193" s="233"/>
      <c r="R193" s="232">
        <f t="shared" si="203"/>
        <v>0</v>
      </c>
    </row>
    <row r="194" spans="1:18" s="6" customFormat="1" ht="36" hidden="1" customHeight="1">
      <c r="A194" s="209" t="s">
        <v>222</v>
      </c>
      <c r="B194" s="208" t="s">
        <v>216</v>
      </c>
      <c r="C194" s="106">
        <f>C195</f>
        <v>0</v>
      </c>
      <c r="D194" s="107">
        <v>0</v>
      </c>
      <c r="E194" s="232">
        <f t="shared" ref="E194:L194" si="310">E195</f>
        <v>0</v>
      </c>
      <c r="F194" s="232">
        <f t="shared" si="310"/>
        <v>0</v>
      </c>
      <c r="G194" s="232">
        <f t="shared" si="310"/>
        <v>0</v>
      </c>
      <c r="H194" s="232">
        <f t="shared" si="201"/>
        <v>0</v>
      </c>
      <c r="I194" s="233">
        <v>0</v>
      </c>
      <c r="J194" s="232">
        <f t="shared" si="310"/>
        <v>0</v>
      </c>
      <c r="K194" s="232">
        <f t="shared" si="310"/>
        <v>0</v>
      </c>
      <c r="L194" s="232">
        <f t="shared" si="310"/>
        <v>0</v>
      </c>
      <c r="M194" s="232">
        <f t="shared" si="202"/>
        <v>0</v>
      </c>
      <c r="N194" s="233">
        <v>0</v>
      </c>
      <c r="O194" s="232">
        <f t="shared" ref="O194:Q194" si="311">O195</f>
        <v>0</v>
      </c>
      <c r="P194" s="232">
        <f t="shared" si="311"/>
        <v>0</v>
      </c>
      <c r="Q194" s="232">
        <f t="shared" si="311"/>
        <v>0</v>
      </c>
      <c r="R194" s="232">
        <f t="shared" si="203"/>
        <v>0</v>
      </c>
    </row>
    <row r="195" spans="1:18" s="6" customFormat="1" ht="48" hidden="1" customHeight="1">
      <c r="A195" s="209">
        <v>17100</v>
      </c>
      <c r="B195" s="208" t="s">
        <v>217</v>
      </c>
      <c r="C195" s="106">
        <f>SUM(C196:C199)</f>
        <v>0</v>
      </c>
      <c r="D195" s="107">
        <v>0</v>
      </c>
      <c r="E195" s="232">
        <f t="shared" ref="E195:G195" si="312">SUM(E196:E199)</f>
        <v>0</v>
      </c>
      <c r="F195" s="232">
        <f t="shared" ref="F195" si="313">SUM(F196:F199)</f>
        <v>0</v>
      </c>
      <c r="G195" s="232">
        <f t="shared" si="312"/>
        <v>0</v>
      </c>
      <c r="H195" s="232">
        <f t="shared" si="201"/>
        <v>0</v>
      </c>
      <c r="I195" s="233">
        <v>0</v>
      </c>
      <c r="J195" s="232">
        <f t="shared" ref="J195:L195" si="314">SUM(J196:J199)</f>
        <v>0</v>
      </c>
      <c r="K195" s="232">
        <f t="shared" ref="K195" si="315">SUM(K196:K199)</f>
        <v>0</v>
      </c>
      <c r="L195" s="232">
        <f t="shared" si="314"/>
        <v>0</v>
      </c>
      <c r="M195" s="232">
        <f t="shared" si="202"/>
        <v>0</v>
      </c>
      <c r="N195" s="233">
        <v>0</v>
      </c>
      <c r="O195" s="232">
        <f t="shared" ref="O195:Q195" si="316">SUM(O196:O199)</f>
        <v>0</v>
      </c>
      <c r="P195" s="232">
        <f t="shared" ref="P195" si="317">SUM(P196:P199)</f>
        <v>0</v>
      </c>
      <c r="Q195" s="232">
        <f t="shared" si="316"/>
        <v>0</v>
      </c>
      <c r="R195" s="232">
        <f t="shared" si="203"/>
        <v>0</v>
      </c>
    </row>
    <row r="196" spans="1:18" s="6" customFormat="1" ht="60" hidden="1" customHeight="1">
      <c r="A196" s="149">
        <v>17110</v>
      </c>
      <c r="B196" s="208" t="s">
        <v>218</v>
      </c>
      <c r="C196" s="106"/>
      <c r="D196" s="107">
        <v>0</v>
      </c>
      <c r="E196" s="233"/>
      <c r="F196" s="233"/>
      <c r="G196" s="233"/>
      <c r="H196" s="232">
        <f t="shared" si="201"/>
        <v>0</v>
      </c>
      <c r="I196" s="233">
        <v>0</v>
      </c>
      <c r="J196" s="233"/>
      <c r="K196" s="233"/>
      <c r="L196" s="233"/>
      <c r="M196" s="232">
        <f t="shared" si="202"/>
        <v>0</v>
      </c>
      <c r="N196" s="233">
        <v>0</v>
      </c>
      <c r="O196" s="233"/>
      <c r="P196" s="233"/>
      <c r="Q196" s="233"/>
      <c r="R196" s="232">
        <f t="shared" si="203"/>
        <v>0</v>
      </c>
    </row>
    <row r="197" spans="1:18" s="6" customFormat="1" ht="60" hidden="1" customHeight="1">
      <c r="A197" s="149">
        <v>17120</v>
      </c>
      <c r="B197" s="208" t="s">
        <v>219</v>
      </c>
      <c r="C197" s="106"/>
      <c r="D197" s="107">
        <v>0</v>
      </c>
      <c r="E197" s="233"/>
      <c r="F197" s="233"/>
      <c r="G197" s="233"/>
      <c r="H197" s="232">
        <f t="shared" si="201"/>
        <v>0</v>
      </c>
      <c r="I197" s="233">
        <v>0</v>
      </c>
      <c r="J197" s="233"/>
      <c r="K197" s="233"/>
      <c r="L197" s="233"/>
      <c r="M197" s="232">
        <f t="shared" si="202"/>
        <v>0</v>
      </c>
      <c r="N197" s="233">
        <v>0</v>
      </c>
      <c r="O197" s="233"/>
      <c r="P197" s="233"/>
      <c r="Q197" s="233"/>
      <c r="R197" s="232">
        <f t="shared" si="203"/>
        <v>0</v>
      </c>
    </row>
    <row r="198" spans="1:18" s="6" customFormat="1" ht="120" hidden="1" customHeight="1">
      <c r="A198" s="149">
        <v>17130</v>
      </c>
      <c r="B198" s="208" t="s">
        <v>220</v>
      </c>
      <c r="C198" s="106"/>
      <c r="D198" s="107">
        <v>0</v>
      </c>
      <c r="E198" s="233"/>
      <c r="F198" s="233"/>
      <c r="G198" s="233"/>
      <c r="H198" s="232">
        <f t="shared" si="201"/>
        <v>0</v>
      </c>
      <c r="I198" s="233">
        <v>0</v>
      </c>
      <c r="J198" s="233"/>
      <c r="K198" s="233"/>
      <c r="L198" s="233"/>
      <c r="M198" s="232">
        <f t="shared" si="202"/>
        <v>0</v>
      </c>
      <c r="N198" s="233">
        <v>0</v>
      </c>
      <c r="O198" s="233"/>
      <c r="P198" s="233"/>
      <c r="Q198" s="233"/>
      <c r="R198" s="232">
        <f t="shared" si="203"/>
        <v>0</v>
      </c>
    </row>
    <row r="199" spans="1:18" s="6" customFormat="1" ht="120" hidden="1" customHeight="1">
      <c r="A199" s="149">
        <v>17140</v>
      </c>
      <c r="B199" s="208" t="s">
        <v>221</v>
      </c>
      <c r="C199" s="106"/>
      <c r="D199" s="107">
        <v>0</v>
      </c>
      <c r="E199" s="233"/>
      <c r="F199" s="233"/>
      <c r="G199" s="233"/>
      <c r="H199" s="232">
        <f t="shared" si="201"/>
        <v>0</v>
      </c>
      <c r="I199" s="233">
        <v>0</v>
      </c>
      <c r="J199" s="233"/>
      <c r="K199" s="233"/>
      <c r="L199" s="233"/>
      <c r="M199" s="232">
        <f t="shared" si="202"/>
        <v>0</v>
      </c>
      <c r="N199" s="233">
        <v>0</v>
      </c>
      <c r="O199" s="233"/>
      <c r="P199" s="233"/>
      <c r="Q199" s="233"/>
      <c r="R199" s="232">
        <f t="shared" si="203"/>
        <v>0</v>
      </c>
    </row>
    <row r="200" spans="1:18" s="89" customFormat="1" ht="12" hidden="1" customHeight="1">
      <c r="A200" s="137">
        <v>21700</v>
      </c>
      <c r="B200" s="124" t="s">
        <v>97</v>
      </c>
      <c r="C200" s="170">
        <v>0</v>
      </c>
      <c r="D200" s="171">
        <v>0</v>
      </c>
      <c r="E200" s="233">
        <f t="shared" ref="E200:G200" si="318">E201+E202</f>
        <v>0</v>
      </c>
      <c r="F200" s="233">
        <f t="shared" ref="F200" si="319">F201+F202</f>
        <v>0</v>
      </c>
      <c r="G200" s="233">
        <f t="shared" si="318"/>
        <v>0</v>
      </c>
      <c r="H200" s="232">
        <f t="shared" si="201"/>
        <v>0</v>
      </c>
      <c r="I200" s="233">
        <v>0</v>
      </c>
      <c r="J200" s="233">
        <f t="shared" ref="J200:L200" si="320">J201+J202</f>
        <v>0</v>
      </c>
      <c r="K200" s="233">
        <f t="shared" ref="K200" si="321">K201+K202</f>
        <v>0</v>
      </c>
      <c r="L200" s="233">
        <f t="shared" si="320"/>
        <v>0</v>
      </c>
      <c r="M200" s="232">
        <f t="shared" si="202"/>
        <v>0</v>
      </c>
      <c r="N200" s="233">
        <v>0</v>
      </c>
      <c r="O200" s="233">
        <f t="shared" ref="O200:Q200" si="322">O201+O202</f>
        <v>0</v>
      </c>
      <c r="P200" s="233">
        <f t="shared" ref="P200" si="323">P201+P202</f>
        <v>0</v>
      </c>
      <c r="Q200" s="233">
        <f t="shared" si="322"/>
        <v>0</v>
      </c>
      <c r="R200" s="232">
        <f t="shared" si="203"/>
        <v>0</v>
      </c>
    </row>
    <row r="201" spans="1:18" s="89" customFormat="1" ht="24" hidden="1" customHeight="1">
      <c r="A201" s="138">
        <v>21710</v>
      </c>
      <c r="B201" s="125" t="s">
        <v>98</v>
      </c>
      <c r="C201" s="170"/>
      <c r="D201" s="171">
        <v>0</v>
      </c>
      <c r="E201" s="233"/>
      <c r="F201" s="233"/>
      <c r="G201" s="233"/>
      <c r="H201" s="232">
        <f t="shared" si="201"/>
        <v>0</v>
      </c>
      <c r="I201" s="233">
        <v>0</v>
      </c>
      <c r="J201" s="233"/>
      <c r="K201" s="233"/>
      <c r="L201" s="233"/>
      <c r="M201" s="232">
        <f t="shared" si="202"/>
        <v>0</v>
      </c>
      <c r="N201" s="233">
        <v>0</v>
      </c>
      <c r="O201" s="233"/>
      <c r="P201" s="233"/>
      <c r="Q201" s="233"/>
      <c r="R201" s="232">
        <f t="shared" si="203"/>
        <v>0</v>
      </c>
    </row>
    <row r="202" spans="1:18" s="29" customFormat="1" ht="24" hidden="1" customHeight="1">
      <c r="A202" s="138">
        <v>21720</v>
      </c>
      <c r="B202" s="125" t="s">
        <v>99</v>
      </c>
      <c r="C202" s="170"/>
      <c r="D202" s="171">
        <v>0</v>
      </c>
      <c r="E202" s="233"/>
      <c r="F202" s="233"/>
      <c r="G202" s="233"/>
      <c r="H202" s="232">
        <f t="shared" ref="H202:H260" si="324">SUM(D202:G202)</f>
        <v>0</v>
      </c>
      <c r="I202" s="233">
        <v>0</v>
      </c>
      <c r="J202" s="233"/>
      <c r="K202" s="233"/>
      <c r="L202" s="233"/>
      <c r="M202" s="232">
        <f t="shared" ref="M202:M260" si="325">SUM(I202:L202)</f>
        <v>0</v>
      </c>
      <c r="N202" s="233">
        <v>0</v>
      </c>
      <c r="O202" s="233"/>
      <c r="P202" s="233"/>
      <c r="Q202" s="233"/>
      <c r="R202" s="232">
        <f t="shared" ref="R202:R260" si="326">SUM(N202:Q202)</f>
        <v>0</v>
      </c>
    </row>
    <row r="203" spans="1:18" s="29" customFormat="1" ht="12" hidden="1" customHeight="1">
      <c r="A203" s="129" t="s">
        <v>100</v>
      </c>
      <c r="B203" s="123" t="s">
        <v>101</v>
      </c>
      <c r="C203" s="168">
        <v>0</v>
      </c>
      <c r="D203" s="175">
        <v>0</v>
      </c>
      <c r="E203" s="243">
        <f t="shared" ref="E203:G203" si="327">E204+E231</f>
        <v>0</v>
      </c>
      <c r="F203" s="243">
        <f t="shared" ref="F203" si="328">F204+F231</f>
        <v>0</v>
      </c>
      <c r="G203" s="243">
        <f t="shared" si="327"/>
        <v>0</v>
      </c>
      <c r="H203" s="270">
        <f t="shared" si="324"/>
        <v>0</v>
      </c>
      <c r="I203" s="243">
        <v>0</v>
      </c>
      <c r="J203" s="243">
        <f t="shared" ref="J203:L203" si="329">J204+J231</f>
        <v>0</v>
      </c>
      <c r="K203" s="243">
        <f t="shared" ref="K203" si="330">K204+K231</f>
        <v>0</v>
      </c>
      <c r="L203" s="243">
        <f t="shared" si="329"/>
        <v>0</v>
      </c>
      <c r="M203" s="270">
        <f t="shared" si="325"/>
        <v>0</v>
      </c>
      <c r="N203" s="243">
        <v>0</v>
      </c>
      <c r="O203" s="243">
        <f t="shared" ref="O203:Q203" si="331">O204+O231</f>
        <v>0</v>
      </c>
      <c r="P203" s="243">
        <f t="shared" ref="P203" si="332">P204+P231</f>
        <v>0</v>
      </c>
      <c r="Q203" s="243">
        <f t="shared" si="331"/>
        <v>0</v>
      </c>
      <c r="R203" s="270">
        <f t="shared" si="326"/>
        <v>0</v>
      </c>
    </row>
    <row r="204" spans="1:18" s="29" customFormat="1" ht="21" hidden="1" customHeight="1">
      <c r="A204" s="130" t="s">
        <v>102</v>
      </c>
      <c r="B204" s="124" t="s">
        <v>103</v>
      </c>
      <c r="C204" s="170">
        <v>0</v>
      </c>
      <c r="D204" s="171">
        <v>0</v>
      </c>
      <c r="E204" s="233">
        <f t="shared" ref="E204:G204" si="333">E205+E209+E210+E213+E216</f>
        <v>0</v>
      </c>
      <c r="F204" s="233">
        <f t="shared" ref="F204" si="334">F205+F209+F210+F213+F216</f>
        <v>0</v>
      </c>
      <c r="G204" s="233">
        <f t="shared" si="333"/>
        <v>0</v>
      </c>
      <c r="H204" s="232">
        <f t="shared" si="324"/>
        <v>0</v>
      </c>
      <c r="I204" s="233">
        <v>0</v>
      </c>
      <c r="J204" s="233">
        <f t="shared" ref="J204:L204" si="335">J205+J209+J210+J213+J216</f>
        <v>0</v>
      </c>
      <c r="K204" s="233">
        <f t="shared" ref="K204" si="336">K205+K209+K210+K213+K216</f>
        <v>0</v>
      </c>
      <c r="L204" s="233">
        <f t="shared" si="335"/>
        <v>0</v>
      </c>
      <c r="M204" s="232">
        <f t="shared" si="325"/>
        <v>0</v>
      </c>
      <c r="N204" s="233">
        <v>0</v>
      </c>
      <c r="O204" s="233">
        <f t="shared" ref="O204:Q204" si="337">O205+O209+O210+O213+O216</f>
        <v>0</v>
      </c>
      <c r="P204" s="233">
        <f t="shared" ref="P204" si="338">P205+P209+P210+P213+P216</f>
        <v>0</v>
      </c>
      <c r="Q204" s="233">
        <f t="shared" si="337"/>
        <v>0</v>
      </c>
      <c r="R204" s="232">
        <f t="shared" si="326"/>
        <v>0</v>
      </c>
    </row>
    <row r="205" spans="1:18" s="29" customFormat="1" ht="12" hidden="1" customHeight="1">
      <c r="A205" s="130" t="s">
        <v>104</v>
      </c>
      <c r="B205" s="124" t="s">
        <v>105</v>
      </c>
      <c r="C205" s="170">
        <v>0</v>
      </c>
      <c r="D205" s="171">
        <v>0</v>
      </c>
      <c r="E205" s="233">
        <f t="shared" ref="E205:G205" si="339">E206+E208</f>
        <v>0</v>
      </c>
      <c r="F205" s="233">
        <f t="shared" ref="F205" si="340">F206+F208</f>
        <v>0</v>
      </c>
      <c r="G205" s="233">
        <f t="shared" si="339"/>
        <v>0</v>
      </c>
      <c r="H205" s="232">
        <f t="shared" si="324"/>
        <v>0</v>
      </c>
      <c r="I205" s="233">
        <v>0</v>
      </c>
      <c r="J205" s="233">
        <f t="shared" ref="J205:L205" si="341">J206+J208</f>
        <v>0</v>
      </c>
      <c r="K205" s="233">
        <f t="shared" ref="K205" si="342">K206+K208</f>
        <v>0</v>
      </c>
      <c r="L205" s="233">
        <f t="shared" si="341"/>
        <v>0</v>
      </c>
      <c r="M205" s="232">
        <f t="shared" si="325"/>
        <v>0</v>
      </c>
      <c r="N205" s="233">
        <v>0</v>
      </c>
      <c r="O205" s="233">
        <f t="shared" ref="O205:Q205" si="343">O206+O208</f>
        <v>0</v>
      </c>
      <c r="P205" s="233">
        <f t="shared" ref="P205" si="344">P206+P208</f>
        <v>0</v>
      </c>
      <c r="Q205" s="233">
        <f t="shared" si="343"/>
        <v>0</v>
      </c>
      <c r="R205" s="232">
        <f t="shared" si="326"/>
        <v>0</v>
      </c>
    </row>
    <row r="206" spans="1:18" s="29" customFormat="1" ht="12" hidden="1" customHeight="1">
      <c r="A206" s="132">
        <v>1000</v>
      </c>
      <c r="B206" s="125" t="s">
        <v>106</v>
      </c>
      <c r="C206" s="170"/>
      <c r="D206" s="171">
        <v>0</v>
      </c>
      <c r="E206" s="244"/>
      <c r="F206" s="244"/>
      <c r="G206" s="244"/>
      <c r="H206" s="232">
        <f t="shared" si="324"/>
        <v>0</v>
      </c>
      <c r="I206" s="233">
        <v>0</v>
      </c>
      <c r="J206" s="244"/>
      <c r="K206" s="244"/>
      <c r="L206" s="244"/>
      <c r="M206" s="232">
        <f t="shared" si="325"/>
        <v>0</v>
      </c>
      <c r="N206" s="233">
        <v>0</v>
      </c>
      <c r="O206" s="244"/>
      <c r="P206" s="244"/>
      <c r="Q206" s="244"/>
      <c r="R206" s="232">
        <f t="shared" si="326"/>
        <v>0</v>
      </c>
    </row>
    <row r="207" spans="1:18" s="29" customFormat="1" ht="12" hidden="1" customHeight="1">
      <c r="A207" s="139">
        <v>1100</v>
      </c>
      <c r="B207" s="125" t="s">
        <v>107</v>
      </c>
      <c r="C207" s="170"/>
      <c r="D207" s="171">
        <v>0</v>
      </c>
      <c r="E207" s="244"/>
      <c r="F207" s="244"/>
      <c r="G207" s="244"/>
      <c r="H207" s="232">
        <f t="shared" si="324"/>
        <v>0</v>
      </c>
      <c r="I207" s="233">
        <v>0</v>
      </c>
      <c r="J207" s="244"/>
      <c r="K207" s="244"/>
      <c r="L207" s="244"/>
      <c r="M207" s="232">
        <f t="shared" si="325"/>
        <v>0</v>
      </c>
      <c r="N207" s="233">
        <v>0</v>
      </c>
      <c r="O207" s="244"/>
      <c r="P207" s="244"/>
      <c r="Q207" s="244"/>
      <c r="R207" s="232">
        <f t="shared" si="326"/>
        <v>0</v>
      </c>
    </row>
    <row r="208" spans="1:18" s="29" customFormat="1" ht="12" hidden="1" customHeight="1">
      <c r="A208" s="132">
        <v>2000</v>
      </c>
      <c r="B208" s="125" t="s">
        <v>108</v>
      </c>
      <c r="C208" s="170"/>
      <c r="D208" s="171">
        <v>0</v>
      </c>
      <c r="E208" s="244"/>
      <c r="F208" s="244"/>
      <c r="G208" s="244"/>
      <c r="H208" s="232">
        <f t="shared" si="324"/>
        <v>0</v>
      </c>
      <c r="I208" s="233">
        <v>0</v>
      </c>
      <c r="J208" s="244"/>
      <c r="K208" s="244"/>
      <c r="L208" s="244"/>
      <c r="M208" s="232">
        <f t="shared" si="325"/>
        <v>0</v>
      </c>
      <c r="N208" s="233">
        <v>0</v>
      </c>
      <c r="O208" s="244"/>
      <c r="P208" s="244"/>
      <c r="Q208" s="244"/>
      <c r="R208" s="232">
        <f t="shared" si="326"/>
        <v>0</v>
      </c>
    </row>
    <row r="209" spans="1:18" s="29" customFormat="1" ht="12" hidden="1" customHeight="1">
      <c r="A209" s="140">
        <v>4000</v>
      </c>
      <c r="B209" s="124" t="s">
        <v>132</v>
      </c>
      <c r="C209" s="170"/>
      <c r="D209" s="171">
        <v>0</v>
      </c>
      <c r="E209" s="244"/>
      <c r="F209" s="244"/>
      <c r="G209" s="244"/>
      <c r="H209" s="232">
        <f t="shared" si="324"/>
        <v>0</v>
      </c>
      <c r="I209" s="233">
        <v>0</v>
      </c>
      <c r="J209" s="244"/>
      <c r="K209" s="244"/>
      <c r="L209" s="244"/>
      <c r="M209" s="232">
        <f t="shared" si="325"/>
        <v>0</v>
      </c>
      <c r="N209" s="233">
        <v>0</v>
      </c>
      <c r="O209" s="244"/>
      <c r="P209" s="244"/>
      <c r="Q209" s="244"/>
      <c r="R209" s="232">
        <f t="shared" si="326"/>
        <v>0</v>
      </c>
    </row>
    <row r="210" spans="1:18" s="29" customFormat="1" ht="12" hidden="1" customHeight="1">
      <c r="A210" s="140" t="s">
        <v>109</v>
      </c>
      <c r="B210" s="124" t="s">
        <v>110</v>
      </c>
      <c r="C210" s="170">
        <v>0</v>
      </c>
      <c r="D210" s="171">
        <v>0</v>
      </c>
      <c r="E210" s="233">
        <f t="shared" ref="E210:G210" si="345">E211+E212</f>
        <v>0</v>
      </c>
      <c r="F210" s="233">
        <f t="shared" ref="F210" si="346">F211+F212</f>
        <v>0</v>
      </c>
      <c r="G210" s="233">
        <f t="shared" si="345"/>
        <v>0</v>
      </c>
      <c r="H210" s="232">
        <f t="shared" si="324"/>
        <v>0</v>
      </c>
      <c r="I210" s="233">
        <v>0</v>
      </c>
      <c r="J210" s="233">
        <f t="shared" ref="J210:L210" si="347">J211+J212</f>
        <v>0</v>
      </c>
      <c r="K210" s="233">
        <f t="shared" ref="K210" si="348">K211+K212</f>
        <v>0</v>
      </c>
      <c r="L210" s="233">
        <f t="shared" si="347"/>
        <v>0</v>
      </c>
      <c r="M210" s="232">
        <f t="shared" si="325"/>
        <v>0</v>
      </c>
      <c r="N210" s="233">
        <v>0</v>
      </c>
      <c r="O210" s="233">
        <f t="shared" ref="O210:Q210" si="349">O211+O212</f>
        <v>0</v>
      </c>
      <c r="P210" s="233">
        <f t="shared" ref="P210" si="350">P211+P212</f>
        <v>0</v>
      </c>
      <c r="Q210" s="233">
        <f t="shared" si="349"/>
        <v>0</v>
      </c>
      <c r="R210" s="232">
        <f t="shared" si="326"/>
        <v>0</v>
      </c>
    </row>
    <row r="211" spans="1:18" s="29" customFormat="1" ht="12" hidden="1" customHeight="1">
      <c r="A211" s="132">
        <v>3000</v>
      </c>
      <c r="B211" s="125" t="s">
        <v>111</v>
      </c>
      <c r="C211" s="202"/>
      <c r="D211" s="213">
        <v>0</v>
      </c>
      <c r="E211" s="246"/>
      <c r="F211" s="246"/>
      <c r="G211" s="246"/>
      <c r="H211" s="232">
        <f t="shared" si="324"/>
        <v>0</v>
      </c>
      <c r="I211" s="345">
        <v>0</v>
      </c>
      <c r="J211" s="246"/>
      <c r="K211" s="246"/>
      <c r="L211" s="246"/>
      <c r="M211" s="232">
        <f t="shared" si="325"/>
        <v>0</v>
      </c>
      <c r="N211" s="345">
        <v>0</v>
      </c>
      <c r="O211" s="246"/>
      <c r="P211" s="246"/>
      <c r="Q211" s="246"/>
      <c r="R211" s="232">
        <f t="shared" si="326"/>
        <v>0</v>
      </c>
    </row>
    <row r="212" spans="1:18" s="29" customFormat="1" ht="12" hidden="1" customHeight="1">
      <c r="A212" s="132">
        <v>6000</v>
      </c>
      <c r="B212" s="125" t="s">
        <v>112</v>
      </c>
      <c r="C212" s="203"/>
      <c r="D212" s="287">
        <v>0</v>
      </c>
      <c r="E212" s="248"/>
      <c r="F212" s="248"/>
      <c r="G212" s="248"/>
      <c r="H212" s="232">
        <f t="shared" si="324"/>
        <v>0</v>
      </c>
      <c r="I212" s="346">
        <v>0</v>
      </c>
      <c r="J212" s="248"/>
      <c r="K212" s="248"/>
      <c r="L212" s="248"/>
      <c r="M212" s="232">
        <f t="shared" si="325"/>
        <v>0</v>
      </c>
      <c r="N212" s="346">
        <v>0</v>
      </c>
      <c r="O212" s="248"/>
      <c r="P212" s="248"/>
      <c r="Q212" s="248"/>
      <c r="R212" s="232">
        <f t="shared" si="326"/>
        <v>0</v>
      </c>
    </row>
    <row r="213" spans="1:18" s="29" customFormat="1" ht="24" hidden="1" customHeight="1">
      <c r="A213" s="140" t="s">
        <v>113</v>
      </c>
      <c r="B213" s="124" t="s">
        <v>183</v>
      </c>
      <c r="C213" s="170">
        <v>0</v>
      </c>
      <c r="D213" s="171">
        <v>0</v>
      </c>
      <c r="E213" s="233">
        <f t="shared" ref="E213:G213" si="351">E214+E215</f>
        <v>0</v>
      </c>
      <c r="F213" s="233">
        <f t="shared" ref="F213" si="352">F214+F215</f>
        <v>0</v>
      </c>
      <c r="G213" s="233">
        <f t="shared" si="351"/>
        <v>0</v>
      </c>
      <c r="H213" s="232">
        <f t="shared" si="324"/>
        <v>0</v>
      </c>
      <c r="I213" s="233">
        <v>0</v>
      </c>
      <c r="J213" s="233">
        <f t="shared" ref="J213:L213" si="353">J214+J215</f>
        <v>0</v>
      </c>
      <c r="K213" s="233">
        <f t="shared" ref="K213" si="354">K214+K215</f>
        <v>0</v>
      </c>
      <c r="L213" s="233">
        <f t="shared" si="353"/>
        <v>0</v>
      </c>
      <c r="M213" s="232">
        <f t="shared" si="325"/>
        <v>0</v>
      </c>
      <c r="N213" s="233">
        <v>0</v>
      </c>
      <c r="O213" s="233">
        <f t="shared" ref="O213:Q213" si="355">O214+O215</f>
        <v>0</v>
      </c>
      <c r="P213" s="233">
        <f t="shared" ref="P213" si="356">P214+P215</f>
        <v>0</v>
      </c>
      <c r="Q213" s="233">
        <f t="shared" si="355"/>
        <v>0</v>
      </c>
      <c r="R213" s="232">
        <f t="shared" si="326"/>
        <v>0</v>
      </c>
    </row>
    <row r="214" spans="1:18" s="29" customFormat="1" ht="12" hidden="1" customHeight="1">
      <c r="A214" s="132">
        <v>7600</v>
      </c>
      <c r="B214" s="179" t="s">
        <v>184</v>
      </c>
      <c r="C214" s="170"/>
      <c r="D214" s="171">
        <v>0</v>
      </c>
      <c r="E214" s="244"/>
      <c r="F214" s="244"/>
      <c r="G214" s="244"/>
      <c r="H214" s="232">
        <f t="shared" si="324"/>
        <v>0</v>
      </c>
      <c r="I214" s="233">
        <v>0</v>
      </c>
      <c r="J214" s="244"/>
      <c r="K214" s="244"/>
      <c r="L214" s="244"/>
      <c r="M214" s="232">
        <f t="shared" si="325"/>
        <v>0</v>
      </c>
      <c r="N214" s="233">
        <v>0</v>
      </c>
      <c r="O214" s="244"/>
      <c r="P214" s="244"/>
      <c r="Q214" s="244"/>
      <c r="R214" s="232">
        <f t="shared" si="326"/>
        <v>0</v>
      </c>
    </row>
    <row r="215" spans="1:18" s="29" customFormat="1" ht="12" hidden="1" customHeight="1">
      <c r="A215" s="132">
        <v>7700</v>
      </c>
      <c r="B215" s="126" t="s">
        <v>114</v>
      </c>
      <c r="C215" s="170"/>
      <c r="D215" s="171">
        <v>0</v>
      </c>
      <c r="E215" s="244"/>
      <c r="F215" s="244"/>
      <c r="G215" s="244"/>
      <c r="H215" s="232">
        <f t="shared" si="324"/>
        <v>0</v>
      </c>
      <c r="I215" s="233">
        <v>0</v>
      </c>
      <c r="J215" s="244"/>
      <c r="K215" s="244"/>
      <c r="L215" s="244"/>
      <c r="M215" s="232">
        <f t="shared" si="325"/>
        <v>0</v>
      </c>
      <c r="N215" s="233">
        <v>0</v>
      </c>
      <c r="O215" s="244"/>
      <c r="P215" s="244"/>
      <c r="Q215" s="244"/>
      <c r="R215" s="232">
        <f t="shared" si="326"/>
        <v>0</v>
      </c>
    </row>
    <row r="216" spans="1:18" s="29" customFormat="1" ht="21" hidden="1" customHeight="1">
      <c r="A216" s="140" t="s">
        <v>185</v>
      </c>
      <c r="B216" s="124" t="s">
        <v>115</v>
      </c>
      <c r="C216" s="170">
        <v>0</v>
      </c>
      <c r="D216" s="171">
        <v>0</v>
      </c>
      <c r="E216" s="233">
        <f t="shared" ref="E216:G216" si="357">E217+E223+E227+E230</f>
        <v>0</v>
      </c>
      <c r="F216" s="233">
        <f t="shared" ref="F216" si="358">F217+F223+F227+F230</f>
        <v>0</v>
      </c>
      <c r="G216" s="233">
        <f t="shared" si="357"/>
        <v>0</v>
      </c>
      <c r="H216" s="232">
        <f t="shared" si="324"/>
        <v>0</v>
      </c>
      <c r="I216" s="233">
        <v>0</v>
      </c>
      <c r="J216" s="233">
        <f t="shared" ref="J216:L216" si="359">J217+J223+J227+J230</f>
        <v>0</v>
      </c>
      <c r="K216" s="233">
        <f t="shared" ref="K216" si="360">K217+K223+K227+K230</f>
        <v>0</v>
      </c>
      <c r="L216" s="233">
        <f t="shared" si="359"/>
        <v>0</v>
      </c>
      <c r="M216" s="232">
        <f t="shared" si="325"/>
        <v>0</v>
      </c>
      <c r="N216" s="233">
        <v>0</v>
      </c>
      <c r="O216" s="233">
        <f t="shared" ref="O216:Q216" si="361">O217+O223+O227+O230</f>
        <v>0</v>
      </c>
      <c r="P216" s="233">
        <f t="shared" ref="P216" si="362">P217+P223+P227+P230</f>
        <v>0</v>
      </c>
      <c r="Q216" s="233">
        <f t="shared" si="361"/>
        <v>0</v>
      </c>
      <c r="R216" s="232">
        <f t="shared" si="326"/>
        <v>0</v>
      </c>
    </row>
    <row r="217" spans="1:18" s="29" customFormat="1" ht="12" hidden="1" customHeight="1">
      <c r="A217" s="132">
        <v>7100</v>
      </c>
      <c r="B217" s="179" t="s">
        <v>116</v>
      </c>
      <c r="C217" s="170">
        <v>0</v>
      </c>
      <c r="D217" s="171">
        <v>0</v>
      </c>
      <c r="E217" s="233">
        <f t="shared" ref="E217:G217" si="363">E218+E219</f>
        <v>0</v>
      </c>
      <c r="F217" s="233">
        <f t="shared" ref="F217" si="364">F218+F219</f>
        <v>0</v>
      </c>
      <c r="G217" s="233">
        <f t="shared" si="363"/>
        <v>0</v>
      </c>
      <c r="H217" s="232">
        <f t="shared" si="324"/>
        <v>0</v>
      </c>
      <c r="I217" s="233">
        <v>0</v>
      </c>
      <c r="J217" s="233">
        <f t="shared" ref="J217:L217" si="365">J218+J219</f>
        <v>0</v>
      </c>
      <c r="K217" s="233">
        <f t="shared" ref="K217" si="366">K218+K219</f>
        <v>0</v>
      </c>
      <c r="L217" s="233">
        <f t="shared" si="365"/>
        <v>0</v>
      </c>
      <c r="M217" s="232">
        <f t="shared" si="325"/>
        <v>0</v>
      </c>
      <c r="N217" s="233">
        <v>0</v>
      </c>
      <c r="O217" s="233">
        <f t="shared" ref="O217:Q217" si="367">O218+O219</f>
        <v>0</v>
      </c>
      <c r="P217" s="233">
        <f t="shared" ref="P217" si="368">P218+P219</f>
        <v>0</v>
      </c>
      <c r="Q217" s="233">
        <f t="shared" si="367"/>
        <v>0</v>
      </c>
      <c r="R217" s="232">
        <f t="shared" si="326"/>
        <v>0</v>
      </c>
    </row>
    <row r="218" spans="1:18" s="29" customFormat="1" ht="36" hidden="1" customHeight="1">
      <c r="A218" s="133" t="s">
        <v>117</v>
      </c>
      <c r="B218" s="179" t="s">
        <v>118</v>
      </c>
      <c r="C218" s="170"/>
      <c r="D218" s="171">
        <v>0</v>
      </c>
      <c r="E218" s="233"/>
      <c r="F218" s="233"/>
      <c r="G218" s="233"/>
      <c r="H218" s="232">
        <f t="shared" si="324"/>
        <v>0</v>
      </c>
      <c r="I218" s="233">
        <v>0</v>
      </c>
      <c r="J218" s="233"/>
      <c r="K218" s="233"/>
      <c r="L218" s="233"/>
      <c r="M218" s="232">
        <f t="shared" si="325"/>
        <v>0</v>
      </c>
      <c r="N218" s="233">
        <v>0</v>
      </c>
      <c r="O218" s="233"/>
      <c r="P218" s="233"/>
      <c r="Q218" s="233"/>
      <c r="R218" s="232">
        <f t="shared" si="326"/>
        <v>0</v>
      </c>
    </row>
    <row r="219" spans="1:18" s="29" customFormat="1" ht="36" hidden="1" customHeight="1">
      <c r="A219" s="133">
        <v>7130</v>
      </c>
      <c r="B219" s="179" t="s">
        <v>119</v>
      </c>
      <c r="C219" s="170">
        <v>0</v>
      </c>
      <c r="D219" s="171">
        <v>0</v>
      </c>
      <c r="E219" s="233">
        <f t="shared" ref="E219:G219" si="369">SUM(E220:E222)</f>
        <v>0</v>
      </c>
      <c r="F219" s="233">
        <f t="shared" ref="F219" si="370">SUM(F220:F222)</f>
        <v>0</v>
      </c>
      <c r="G219" s="233">
        <f t="shared" si="369"/>
        <v>0</v>
      </c>
      <c r="H219" s="232">
        <f t="shared" si="324"/>
        <v>0</v>
      </c>
      <c r="I219" s="233">
        <v>0</v>
      </c>
      <c r="J219" s="233">
        <f t="shared" ref="J219:L219" si="371">SUM(J220:J222)</f>
        <v>0</v>
      </c>
      <c r="K219" s="233">
        <f t="shared" ref="K219" si="372">SUM(K220:K222)</f>
        <v>0</v>
      </c>
      <c r="L219" s="233">
        <f t="shared" si="371"/>
        <v>0</v>
      </c>
      <c r="M219" s="232">
        <f t="shared" si="325"/>
        <v>0</v>
      </c>
      <c r="N219" s="233">
        <v>0</v>
      </c>
      <c r="O219" s="233">
        <f t="shared" ref="O219:Q219" si="373">SUM(O220:O222)</f>
        <v>0</v>
      </c>
      <c r="P219" s="233">
        <f t="shared" ref="P219" si="374">SUM(P220:P222)</f>
        <v>0</v>
      </c>
      <c r="Q219" s="233">
        <f t="shared" si="373"/>
        <v>0</v>
      </c>
      <c r="R219" s="232">
        <f t="shared" si="326"/>
        <v>0</v>
      </c>
    </row>
    <row r="220" spans="1:18" s="29" customFormat="1" ht="48" hidden="1" customHeight="1">
      <c r="A220" s="134">
        <v>7131</v>
      </c>
      <c r="B220" s="179" t="s">
        <v>120</v>
      </c>
      <c r="C220" s="170"/>
      <c r="D220" s="171">
        <v>0</v>
      </c>
      <c r="E220" s="233"/>
      <c r="F220" s="233"/>
      <c r="G220" s="233"/>
      <c r="H220" s="232">
        <f t="shared" si="324"/>
        <v>0</v>
      </c>
      <c r="I220" s="233">
        <v>0</v>
      </c>
      <c r="J220" s="233"/>
      <c r="K220" s="233"/>
      <c r="L220" s="233"/>
      <c r="M220" s="232">
        <f t="shared" si="325"/>
        <v>0</v>
      </c>
      <c r="N220" s="233">
        <v>0</v>
      </c>
      <c r="O220" s="233"/>
      <c r="P220" s="233"/>
      <c r="Q220" s="233"/>
      <c r="R220" s="232">
        <f t="shared" si="326"/>
        <v>0</v>
      </c>
    </row>
    <row r="221" spans="1:18" s="29" customFormat="1" ht="48" hidden="1" customHeight="1">
      <c r="A221" s="134">
        <v>7132</v>
      </c>
      <c r="B221" s="179" t="s">
        <v>121</v>
      </c>
      <c r="C221" s="170"/>
      <c r="D221" s="171">
        <v>0</v>
      </c>
      <c r="E221" s="233"/>
      <c r="F221" s="233"/>
      <c r="G221" s="233"/>
      <c r="H221" s="232">
        <f t="shared" si="324"/>
        <v>0</v>
      </c>
      <c r="I221" s="233">
        <v>0</v>
      </c>
      <c r="J221" s="233"/>
      <c r="K221" s="233"/>
      <c r="L221" s="233"/>
      <c r="M221" s="232">
        <f t="shared" si="325"/>
        <v>0</v>
      </c>
      <c r="N221" s="233">
        <v>0</v>
      </c>
      <c r="O221" s="233"/>
      <c r="P221" s="233"/>
      <c r="Q221" s="233"/>
      <c r="R221" s="232">
        <f t="shared" si="326"/>
        <v>0</v>
      </c>
    </row>
    <row r="222" spans="1:18" s="29" customFormat="1" ht="36" hidden="1" customHeight="1">
      <c r="A222" s="134" t="s">
        <v>186</v>
      </c>
      <c r="B222" s="179" t="s">
        <v>187</v>
      </c>
      <c r="C222" s="170"/>
      <c r="D222" s="171">
        <v>0</v>
      </c>
      <c r="E222" s="233"/>
      <c r="F222" s="233"/>
      <c r="G222" s="233"/>
      <c r="H222" s="232">
        <f t="shared" si="324"/>
        <v>0</v>
      </c>
      <c r="I222" s="233">
        <v>0</v>
      </c>
      <c r="J222" s="233"/>
      <c r="K222" s="233"/>
      <c r="L222" s="233"/>
      <c r="M222" s="232">
        <f t="shared" si="325"/>
        <v>0</v>
      </c>
      <c r="N222" s="233">
        <v>0</v>
      </c>
      <c r="O222" s="233"/>
      <c r="P222" s="233"/>
      <c r="Q222" s="233"/>
      <c r="R222" s="232">
        <f t="shared" si="326"/>
        <v>0</v>
      </c>
    </row>
    <row r="223" spans="1:18" s="29" customFormat="1" ht="24" hidden="1" customHeight="1">
      <c r="A223" s="132">
        <v>7300</v>
      </c>
      <c r="B223" s="172" t="s">
        <v>155</v>
      </c>
      <c r="C223" s="170">
        <v>0</v>
      </c>
      <c r="D223" s="171">
        <v>0</v>
      </c>
      <c r="E223" s="233">
        <f t="shared" ref="E223:G223" si="375">SUM(E224:E226)</f>
        <v>0</v>
      </c>
      <c r="F223" s="233">
        <f t="shared" ref="F223" si="376">SUM(F224:F226)</f>
        <v>0</v>
      </c>
      <c r="G223" s="233">
        <f t="shared" si="375"/>
        <v>0</v>
      </c>
      <c r="H223" s="232">
        <f t="shared" si="324"/>
        <v>0</v>
      </c>
      <c r="I223" s="233">
        <v>0</v>
      </c>
      <c r="J223" s="233">
        <f t="shared" ref="J223:L223" si="377">SUM(J224:J226)</f>
        <v>0</v>
      </c>
      <c r="K223" s="233">
        <f t="shared" ref="K223" si="378">SUM(K224:K226)</f>
        <v>0</v>
      </c>
      <c r="L223" s="233">
        <f t="shared" si="377"/>
        <v>0</v>
      </c>
      <c r="M223" s="232">
        <f t="shared" si="325"/>
        <v>0</v>
      </c>
      <c r="N223" s="233">
        <v>0</v>
      </c>
      <c r="O223" s="233">
        <f t="shared" ref="O223:Q223" si="379">SUM(O224:O226)</f>
        <v>0</v>
      </c>
      <c r="P223" s="233">
        <f t="shared" ref="P223" si="380">SUM(P224:P226)</f>
        <v>0</v>
      </c>
      <c r="Q223" s="233">
        <f t="shared" si="379"/>
        <v>0</v>
      </c>
      <c r="R223" s="232">
        <f t="shared" si="326"/>
        <v>0</v>
      </c>
    </row>
    <row r="224" spans="1:18" s="29" customFormat="1" ht="24" hidden="1" customHeight="1">
      <c r="A224" s="133" t="s">
        <v>188</v>
      </c>
      <c r="B224" s="179" t="s">
        <v>170</v>
      </c>
      <c r="C224" s="204"/>
      <c r="D224" s="180">
        <v>0</v>
      </c>
      <c r="E224" s="252"/>
      <c r="F224" s="252"/>
      <c r="G224" s="252"/>
      <c r="H224" s="232">
        <f t="shared" si="324"/>
        <v>0</v>
      </c>
      <c r="I224" s="252">
        <v>0</v>
      </c>
      <c r="J224" s="252"/>
      <c r="K224" s="252"/>
      <c r="L224" s="252"/>
      <c r="M224" s="232">
        <f t="shared" si="325"/>
        <v>0</v>
      </c>
      <c r="N224" s="252">
        <v>0</v>
      </c>
      <c r="O224" s="252"/>
      <c r="P224" s="252"/>
      <c r="Q224" s="252"/>
      <c r="R224" s="232">
        <f t="shared" si="326"/>
        <v>0</v>
      </c>
    </row>
    <row r="225" spans="1:18" s="29" customFormat="1" ht="60" hidden="1" customHeight="1">
      <c r="A225" s="133" t="s">
        <v>189</v>
      </c>
      <c r="B225" s="179" t="s">
        <v>156</v>
      </c>
      <c r="C225" s="204"/>
      <c r="D225" s="180">
        <v>0</v>
      </c>
      <c r="E225" s="252"/>
      <c r="F225" s="252"/>
      <c r="G225" s="252"/>
      <c r="H225" s="232">
        <f t="shared" si="324"/>
        <v>0</v>
      </c>
      <c r="I225" s="252">
        <v>0</v>
      </c>
      <c r="J225" s="252"/>
      <c r="K225" s="252"/>
      <c r="L225" s="252"/>
      <c r="M225" s="232">
        <f t="shared" si="325"/>
        <v>0</v>
      </c>
      <c r="N225" s="252">
        <v>0</v>
      </c>
      <c r="O225" s="252"/>
      <c r="P225" s="252"/>
      <c r="Q225" s="252"/>
      <c r="R225" s="232">
        <f t="shared" si="326"/>
        <v>0</v>
      </c>
    </row>
    <row r="226" spans="1:18" s="29" customFormat="1" ht="48" hidden="1" customHeight="1">
      <c r="A226" s="133">
        <v>7350</v>
      </c>
      <c r="B226" s="179" t="s">
        <v>163</v>
      </c>
      <c r="C226" s="204"/>
      <c r="D226" s="180">
        <v>0</v>
      </c>
      <c r="E226" s="252"/>
      <c r="F226" s="252"/>
      <c r="G226" s="252"/>
      <c r="H226" s="232">
        <f t="shared" si="324"/>
        <v>0</v>
      </c>
      <c r="I226" s="252">
        <v>0</v>
      </c>
      <c r="J226" s="252"/>
      <c r="K226" s="252"/>
      <c r="L226" s="252"/>
      <c r="M226" s="232">
        <f t="shared" si="325"/>
        <v>0</v>
      </c>
      <c r="N226" s="252">
        <v>0</v>
      </c>
      <c r="O226" s="252"/>
      <c r="P226" s="252"/>
      <c r="Q226" s="252"/>
      <c r="R226" s="232">
        <f t="shared" si="326"/>
        <v>0</v>
      </c>
    </row>
    <row r="227" spans="1:18" s="29" customFormat="1" ht="24" hidden="1" customHeight="1">
      <c r="A227" s="132">
        <v>7400</v>
      </c>
      <c r="B227" s="172" t="s">
        <v>161</v>
      </c>
      <c r="C227" s="170">
        <v>0</v>
      </c>
      <c r="D227" s="171">
        <v>0</v>
      </c>
      <c r="E227" s="233">
        <f t="shared" ref="E227:G227" si="381">SUM(E228:E229)</f>
        <v>0</v>
      </c>
      <c r="F227" s="233">
        <f t="shared" ref="F227" si="382">SUM(F228:F229)</f>
        <v>0</v>
      </c>
      <c r="G227" s="233">
        <f t="shared" si="381"/>
        <v>0</v>
      </c>
      <c r="H227" s="232">
        <f t="shared" si="324"/>
        <v>0</v>
      </c>
      <c r="I227" s="233">
        <v>0</v>
      </c>
      <c r="J227" s="233">
        <f t="shared" ref="J227:L227" si="383">SUM(J228:J229)</f>
        <v>0</v>
      </c>
      <c r="K227" s="233">
        <f t="shared" ref="K227" si="384">SUM(K228:K229)</f>
        <v>0</v>
      </c>
      <c r="L227" s="233">
        <f t="shared" si="383"/>
        <v>0</v>
      </c>
      <c r="M227" s="232">
        <f t="shared" si="325"/>
        <v>0</v>
      </c>
      <c r="N227" s="233">
        <v>0</v>
      </c>
      <c r="O227" s="233">
        <f t="shared" ref="O227:Q227" si="385">SUM(O228:O229)</f>
        <v>0</v>
      </c>
      <c r="P227" s="233">
        <f t="shared" ref="P227" si="386">SUM(P228:P229)</f>
        <v>0</v>
      </c>
      <c r="Q227" s="233">
        <f t="shared" si="385"/>
        <v>0</v>
      </c>
      <c r="R227" s="232">
        <f t="shared" si="326"/>
        <v>0</v>
      </c>
    </row>
    <row r="228" spans="1:18" s="29" customFormat="1" ht="24" hidden="1" customHeight="1">
      <c r="A228" s="133">
        <v>7460</v>
      </c>
      <c r="B228" s="172" t="s">
        <v>162</v>
      </c>
      <c r="C228" s="204"/>
      <c r="D228" s="180">
        <v>0</v>
      </c>
      <c r="E228" s="252"/>
      <c r="F228" s="252"/>
      <c r="G228" s="252"/>
      <c r="H228" s="232">
        <f t="shared" si="324"/>
        <v>0</v>
      </c>
      <c r="I228" s="252">
        <v>0</v>
      </c>
      <c r="J228" s="252"/>
      <c r="K228" s="252"/>
      <c r="L228" s="252"/>
      <c r="M228" s="232">
        <f t="shared" si="325"/>
        <v>0</v>
      </c>
      <c r="N228" s="252">
        <v>0</v>
      </c>
      <c r="O228" s="252"/>
      <c r="P228" s="252"/>
      <c r="Q228" s="252"/>
      <c r="R228" s="232">
        <f t="shared" si="326"/>
        <v>0</v>
      </c>
    </row>
    <row r="229" spans="1:18" s="29" customFormat="1" ht="48" hidden="1" customHeight="1">
      <c r="A229" s="133">
        <v>7470</v>
      </c>
      <c r="B229" s="179" t="s">
        <v>167</v>
      </c>
      <c r="C229" s="204"/>
      <c r="D229" s="180">
        <v>0</v>
      </c>
      <c r="E229" s="252"/>
      <c r="F229" s="252"/>
      <c r="G229" s="252"/>
      <c r="H229" s="232">
        <f t="shared" si="324"/>
        <v>0</v>
      </c>
      <c r="I229" s="252">
        <v>0</v>
      </c>
      <c r="J229" s="252"/>
      <c r="K229" s="252"/>
      <c r="L229" s="252"/>
      <c r="M229" s="232">
        <f t="shared" si="325"/>
        <v>0</v>
      </c>
      <c r="N229" s="252">
        <v>0</v>
      </c>
      <c r="O229" s="252"/>
      <c r="P229" s="252"/>
      <c r="Q229" s="252"/>
      <c r="R229" s="232">
        <f t="shared" si="326"/>
        <v>0</v>
      </c>
    </row>
    <row r="230" spans="1:18" s="29" customFormat="1" ht="24" hidden="1" customHeight="1">
      <c r="A230" s="132">
        <v>7500</v>
      </c>
      <c r="B230" s="179" t="s">
        <v>157</v>
      </c>
      <c r="C230" s="170"/>
      <c r="D230" s="171">
        <v>0</v>
      </c>
      <c r="E230" s="233"/>
      <c r="F230" s="233"/>
      <c r="G230" s="233"/>
      <c r="H230" s="232">
        <f t="shared" si="324"/>
        <v>0</v>
      </c>
      <c r="I230" s="233">
        <v>0</v>
      </c>
      <c r="J230" s="233"/>
      <c r="K230" s="233"/>
      <c r="L230" s="233"/>
      <c r="M230" s="232">
        <f t="shared" si="325"/>
        <v>0</v>
      </c>
      <c r="N230" s="233">
        <v>0</v>
      </c>
      <c r="O230" s="233"/>
      <c r="P230" s="233"/>
      <c r="Q230" s="233"/>
      <c r="R230" s="232">
        <f t="shared" si="326"/>
        <v>0</v>
      </c>
    </row>
    <row r="231" spans="1:18" s="29" customFormat="1" ht="12" hidden="1" customHeight="1">
      <c r="A231" s="140" t="s">
        <v>133</v>
      </c>
      <c r="B231" s="124" t="s">
        <v>122</v>
      </c>
      <c r="C231" s="205">
        <v>0</v>
      </c>
      <c r="D231" s="181">
        <v>0</v>
      </c>
      <c r="E231" s="254">
        <f t="shared" ref="E231:G231" si="387">E232+E233</f>
        <v>0</v>
      </c>
      <c r="F231" s="254">
        <f t="shared" ref="F231" si="388">F232+F233</f>
        <v>0</v>
      </c>
      <c r="G231" s="254">
        <f t="shared" si="387"/>
        <v>0</v>
      </c>
      <c r="H231" s="232">
        <f t="shared" si="324"/>
        <v>0</v>
      </c>
      <c r="I231" s="254">
        <v>0</v>
      </c>
      <c r="J231" s="254">
        <f t="shared" ref="J231:L231" si="389">J232+J233</f>
        <v>0</v>
      </c>
      <c r="K231" s="254">
        <f t="shared" ref="K231" si="390">K232+K233</f>
        <v>0</v>
      </c>
      <c r="L231" s="254">
        <f t="shared" si="389"/>
        <v>0</v>
      </c>
      <c r="M231" s="232">
        <f t="shared" si="325"/>
        <v>0</v>
      </c>
      <c r="N231" s="254">
        <v>0</v>
      </c>
      <c r="O231" s="254">
        <f t="shared" ref="O231:Q231" si="391">O232+O233</f>
        <v>0</v>
      </c>
      <c r="P231" s="254">
        <f t="shared" ref="P231" si="392">P232+P233</f>
        <v>0</v>
      </c>
      <c r="Q231" s="254">
        <f t="shared" si="391"/>
        <v>0</v>
      </c>
      <c r="R231" s="232">
        <f t="shared" si="326"/>
        <v>0</v>
      </c>
    </row>
    <row r="232" spans="1:18" s="29" customFormat="1" ht="12" hidden="1" customHeight="1">
      <c r="A232" s="140">
        <v>5000</v>
      </c>
      <c r="B232" s="124" t="s">
        <v>123</v>
      </c>
      <c r="C232" s="170"/>
      <c r="D232" s="171">
        <v>0</v>
      </c>
      <c r="E232" s="244"/>
      <c r="F232" s="244"/>
      <c r="G232" s="244"/>
      <c r="H232" s="232">
        <f t="shared" si="324"/>
        <v>0</v>
      </c>
      <c r="I232" s="233">
        <v>0</v>
      </c>
      <c r="J232" s="244"/>
      <c r="K232" s="244"/>
      <c r="L232" s="244"/>
      <c r="M232" s="232">
        <f t="shared" si="325"/>
        <v>0</v>
      </c>
      <c r="N232" s="233">
        <v>0</v>
      </c>
      <c r="O232" s="244"/>
      <c r="P232" s="244"/>
      <c r="Q232" s="244"/>
      <c r="R232" s="232">
        <f t="shared" si="326"/>
        <v>0</v>
      </c>
    </row>
    <row r="233" spans="1:18" s="29" customFormat="1" ht="12" hidden="1" customHeight="1">
      <c r="A233" s="140">
        <v>9000</v>
      </c>
      <c r="B233" s="182" t="s">
        <v>164</v>
      </c>
      <c r="C233" s="170">
        <v>0</v>
      </c>
      <c r="D233" s="171">
        <v>0</v>
      </c>
      <c r="E233" s="233">
        <f t="shared" ref="E233:G233" si="393">E234+E240+E244+E247</f>
        <v>0</v>
      </c>
      <c r="F233" s="233">
        <f t="shared" ref="F233" si="394">F234+F240+F244+F247</f>
        <v>0</v>
      </c>
      <c r="G233" s="233">
        <f t="shared" si="393"/>
        <v>0</v>
      </c>
      <c r="H233" s="232">
        <f t="shared" si="324"/>
        <v>0</v>
      </c>
      <c r="I233" s="233">
        <v>0</v>
      </c>
      <c r="J233" s="233">
        <f t="shared" ref="J233:L233" si="395">J234+J240+J244+J247</f>
        <v>0</v>
      </c>
      <c r="K233" s="233">
        <f t="shared" ref="K233" si="396">K234+K240+K244+K247</f>
        <v>0</v>
      </c>
      <c r="L233" s="233">
        <f t="shared" si="395"/>
        <v>0</v>
      </c>
      <c r="M233" s="232">
        <f t="shared" si="325"/>
        <v>0</v>
      </c>
      <c r="N233" s="233">
        <v>0</v>
      </c>
      <c r="O233" s="233">
        <f t="shared" ref="O233:Q233" si="397">O234+O240+O244+O247</f>
        <v>0</v>
      </c>
      <c r="P233" s="233">
        <f t="shared" ref="P233" si="398">P234+P240+P244+P247</f>
        <v>0</v>
      </c>
      <c r="Q233" s="233">
        <f t="shared" si="397"/>
        <v>0</v>
      </c>
      <c r="R233" s="232">
        <f t="shared" si="326"/>
        <v>0</v>
      </c>
    </row>
    <row r="234" spans="1:18" s="29" customFormat="1" ht="12" hidden="1" customHeight="1">
      <c r="A234" s="141">
        <v>9100</v>
      </c>
      <c r="B234" s="179" t="s">
        <v>124</v>
      </c>
      <c r="C234" s="170">
        <v>0</v>
      </c>
      <c r="D234" s="171">
        <v>0</v>
      </c>
      <c r="E234" s="233">
        <f t="shared" ref="E234:G234" si="399">SUM(E235:E236)</f>
        <v>0</v>
      </c>
      <c r="F234" s="233">
        <f t="shared" ref="F234" si="400">SUM(F235:F236)</f>
        <v>0</v>
      </c>
      <c r="G234" s="233">
        <f t="shared" si="399"/>
        <v>0</v>
      </c>
      <c r="H234" s="232">
        <f t="shared" si="324"/>
        <v>0</v>
      </c>
      <c r="I234" s="233">
        <v>0</v>
      </c>
      <c r="J234" s="233">
        <f t="shared" ref="J234:L234" si="401">SUM(J235:J236)</f>
        <v>0</v>
      </c>
      <c r="K234" s="233">
        <f t="shared" ref="K234" si="402">SUM(K235:K236)</f>
        <v>0</v>
      </c>
      <c r="L234" s="233">
        <f t="shared" si="401"/>
        <v>0</v>
      </c>
      <c r="M234" s="232">
        <f t="shared" si="325"/>
        <v>0</v>
      </c>
      <c r="N234" s="233">
        <v>0</v>
      </c>
      <c r="O234" s="233">
        <f t="shared" ref="O234:Q234" si="403">SUM(O235:O236)</f>
        <v>0</v>
      </c>
      <c r="P234" s="233">
        <f t="shared" ref="P234" si="404">SUM(P235:P236)</f>
        <v>0</v>
      </c>
      <c r="Q234" s="233">
        <f t="shared" si="403"/>
        <v>0</v>
      </c>
      <c r="R234" s="232">
        <f t="shared" si="326"/>
        <v>0</v>
      </c>
    </row>
    <row r="235" spans="1:18" s="29" customFormat="1" ht="36" hidden="1" customHeight="1">
      <c r="A235" s="133" t="s">
        <v>125</v>
      </c>
      <c r="B235" s="179" t="s">
        <v>214</v>
      </c>
      <c r="C235" s="170"/>
      <c r="D235" s="171">
        <v>0</v>
      </c>
      <c r="E235" s="233"/>
      <c r="F235" s="233"/>
      <c r="G235" s="233"/>
      <c r="H235" s="232">
        <f t="shared" si="324"/>
        <v>0</v>
      </c>
      <c r="I235" s="233">
        <v>0</v>
      </c>
      <c r="J235" s="233"/>
      <c r="K235" s="233"/>
      <c r="L235" s="233"/>
      <c r="M235" s="232">
        <f t="shared" si="325"/>
        <v>0</v>
      </c>
      <c r="N235" s="233">
        <v>0</v>
      </c>
      <c r="O235" s="233"/>
      <c r="P235" s="233"/>
      <c r="Q235" s="233"/>
      <c r="R235" s="232">
        <f t="shared" si="326"/>
        <v>0</v>
      </c>
    </row>
    <row r="236" spans="1:18" s="29" customFormat="1" ht="24" hidden="1" customHeight="1">
      <c r="A236" s="133">
        <v>9140</v>
      </c>
      <c r="B236" s="179" t="s">
        <v>215</v>
      </c>
      <c r="C236" s="170">
        <v>0</v>
      </c>
      <c r="D236" s="171">
        <v>0</v>
      </c>
      <c r="E236" s="233">
        <f t="shared" ref="E236:G236" si="405">SUM(E237:E239)</f>
        <v>0</v>
      </c>
      <c r="F236" s="233">
        <f t="shared" ref="F236" si="406">SUM(F237:F239)</f>
        <v>0</v>
      </c>
      <c r="G236" s="233">
        <f t="shared" si="405"/>
        <v>0</v>
      </c>
      <c r="H236" s="232">
        <f t="shared" si="324"/>
        <v>0</v>
      </c>
      <c r="I236" s="233">
        <v>0</v>
      </c>
      <c r="J236" s="233">
        <f t="shared" ref="J236:L236" si="407">SUM(J237:J239)</f>
        <v>0</v>
      </c>
      <c r="K236" s="233">
        <f t="shared" ref="K236" si="408">SUM(K237:K239)</f>
        <v>0</v>
      </c>
      <c r="L236" s="233">
        <f t="shared" si="407"/>
        <v>0</v>
      </c>
      <c r="M236" s="232">
        <f t="shared" si="325"/>
        <v>0</v>
      </c>
      <c r="N236" s="233">
        <v>0</v>
      </c>
      <c r="O236" s="233">
        <f t="shared" ref="O236:Q236" si="409">SUM(O237:O239)</f>
        <v>0</v>
      </c>
      <c r="P236" s="233">
        <f t="shared" ref="P236" si="410">SUM(P237:P239)</f>
        <v>0</v>
      </c>
      <c r="Q236" s="233">
        <f t="shared" si="409"/>
        <v>0</v>
      </c>
      <c r="R236" s="232">
        <f t="shared" si="326"/>
        <v>0</v>
      </c>
    </row>
    <row r="237" spans="1:18" s="29" customFormat="1" ht="36" hidden="1" customHeight="1">
      <c r="A237" s="134">
        <v>9141</v>
      </c>
      <c r="B237" s="172" t="s">
        <v>190</v>
      </c>
      <c r="C237" s="204"/>
      <c r="D237" s="180">
        <v>0</v>
      </c>
      <c r="E237" s="252"/>
      <c r="F237" s="252"/>
      <c r="G237" s="252"/>
      <c r="H237" s="232">
        <f t="shared" si="324"/>
        <v>0</v>
      </c>
      <c r="I237" s="252">
        <v>0</v>
      </c>
      <c r="J237" s="252"/>
      <c r="K237" s="252"/>
      <c r="L237" s="252"/>
      <c r="M237" s="232">
        <f t="shared" si="325"/>
        <v>0</v>
      </c>
      <c r="N237" s="252">
        <v>0</v>
      </c>
      <c r="O237" s="252"/>
      <c r="P237" s="252"/>
      <c r="Q237" s="252"/>
      <c r="R237" s="232">
        <f t="shared" si="326"/>
        <v>0</v>
      </c>
    </row>
    <row r="238" spans="1:18" s="29" customFormat="1" ht="36" hidden="1" customHeight="1">
      <c r="A238" s="134">
        <v>9142</v>
      </c>
      <c r="B238" s="172" t="s">
        <v>191</v>
      </c>
      <c r="C238" s="204"/>
      <c r="D238" s="180">
        <v>0</v>
      </c>
      <c r="E238" s="252"/>
      <c r="F238" s="252"/>
      <c r="G238" s="252"/>
      <c r="H238" s="232">
        <f t="shared" si="324"/>
        <v>0</v>
      </c>
      <c r="I238" s="252">
        <v>0</v>
      </c>
      <c r="J238" s="252"/>
      <c r="K238" s="252"/>
      <c r="L238" s="252"/>
      <c r="M238" s="232">
        <f t="shared" si="325"/>
        <v>0</v>
      </c>
      <c r="N238" s="252">
        <v>0</v>
      </c>
      <c r="O238" s="252"/>
      <c r="P238" s="252"/>
      <c r="Q238" s="252"/>
      <c r="R238" s="232">
        <f t="shared" si="326"/>
        <v>0</v>
      </c>
    </row>
    <row r="239" spans="1:18" s="29" customFormat="1" ht="36" hidden="1" customHeight="1">
      <c r="A239" s="134">
        <v>9149</v>
      </c>
      <c r="B239" s="172" t="s">
        <v>192</v>
      </c>
      <c r="C239" s="204"/>
      <c r="D239" s="180">
        <v>0</v>
      </c>
      <c r="E239" s="252"/>
      <c r="F239" s="252"/>
      <c r="G239" s="252"/>
      <c r="H239" s="232">
        <f t="shared" si="324"/>
        <v>0</v>
      </c>
      <c r="I239" s="252">
        <v>0</v>
      </c>
      <c r="J239" s="252"/>
      <c r="K239" s="252"/>
      <c r="L239" s="252"/>
      <c r="M239" s="232">
        <f t="shared" si="325"/>
        <v>0</v>
      </c>
      <c r="N239" s="252">
        <v>0</v>
      </c>
      <c r="O239" s="252"/>
      <c r="P239" s="252"/>
      <c r="Q239" s="252"/>
      <c r="R239" s="232">
        <f t="shared" si="326"/>
        <v>0</v>
      </c>
    </row>
    <row r="240" spans="1:18" s="29" customFormat="1" ht="36" hidden="1" customHeight="1">
      <c r="A240" s="141">
        <v>9500</v>
      </c>
      <c r="B240" s="172" t="s">
        <v>165</v>
      </c>
      <c r="C240" s="170">
        <v>0</v>
      </c>
      <c r="D240" s="171">
        <v>0</v>
      </c>
      <c r="E240" s="233">
        <f t="shared" ref="E240:G240" si="411">SUM(E241:E243)</f>
        <v>0</v>
      </c>
      <c r="F240" s="233">
        <f t="shared" ref="F240" si="412">SUM(F241:F243)</f>
        <v>0</v>
      </c>
      <c r="G240" s="233">
        <f t="shared" si="411"/>
        <v>0</v>
      </c>
      <c r="H240" s="232">
        <f t="shared" si="324"/>
        <v>0</v>
      </c>
      <c r="I240" s="233">
        <v>0</v>
      </c>
      <c r="J240" s="233">
        <f t="shared" ref="J240:L240" si="413">SUM(J241:J243)</f>
        <v>0</v>
      </c>
      <c r="K240" s="233">
        <f t="shared" ref="K240" si="414">SUM(K241:K243)</f>
        <v>0</v>
      </c>
      <c r="L240" s="233">
        <f t="shared" si="413"/>
        <v>0</v>
      </c>
      <c r="M240" s="232">
        <f t="shared" si="325"/>
        <v>0</v>
      </c>
      <c r="N240" s="233">
        <v>0</v>
      </c>
      <c r="O240" s="233">
        <f t="shared" ref="O240:Q240" si="415">SUM(O241:O243)</f>
        <v>0</v>
      </c>
      <c r="P240" s="233">
        <f t="shared" ref="P240" si="416">SUM(P241:P243)</f>
        <v>0</v>
      </c>
      <c r="Q240" s="233">
        <f t="shared" si="415"/>
        <v>0</v>
      </c>
      <c r="R240" s="232">
        <f t="shared" si="326"/>
        <v>0</v>
      </c>
    </row>
    <row r="241" spans="1:18" s="29" customFormat="1" ht="24" hidden="1" customHeight="1">
      <c r="A241" s="133" t="s">
        <v>193</v>
      </c>
      <c r="B241" s="172" t="s">
        <v>171</v>
      </c>
      <c r="C241" s="170"/>
      <c r="D241" s="171">
        <v>0</v>
      </c>
      <c r="E241" s="233"/>
      <c r="F241" s="233"/>
      <c r="G241" s="233"/>
      <c r="H241" s="232">
        <f t="shared" si="324"/>
        <v>0</v>
      </c>
      <c r="I241" s="233">
        <v>0</v>
      </c>
      <c r="J241" s="233"/>
      <c r="K241" s="233"/>
      <c r="L241" s="233"/>
      <c r="M241" s="232">
        <f t="shared" si="325"/>
        <v>0</v>
      </c>
      <c r="N241" s="233">
        <v>0</v>
      </c>
      <c r="O241" s="233"/>
      <c r="P241" s="233"/>
      <c r="Q241" s="233"/>
      <c r="R241" s="232">
        <f t="shared" si="326"/>
        <v>0</v>
      </c>
    </row>
    <row r="242" spans="1:18" s="29" customFormat="1" ht="60" hidden="1" customHeight="1">
      <c r="A242" s="133">
        <v>9580</v>
      </c>
      <c r="B242" s="172" t="s">
        <v>166</v>
      </c>
      <c r="C242" s="204"/>
      <c r="D242" s="180">
        <v>0</v>
      </c>
      <c r="E242" s="252"/>
      <c r="F242" s="252"/>
      <c r="G242" s="252"/>
      <c r="H242" s="232">
        <f t="shared" si="324"/>
        <v>0</v>
      </c>
      <c r="I242" s="252">
        <v>0</v>
      </c>
      <c r="J242" s="252"/>
      <c r="K242" s="252"/>
      <c r="L242" s="252"/>
      <c r="M242" s="232">
        <f t="shared" si="325"/>
        <v>0</v>
      </c>
      <c r="N242" s="252">
        <v>0</v>
      </c>
      <c r="O242" s="252"/>
      <c r="P242" s="252"/>
      <c r="Q242" s="252"/>
      <c r="R242" s="232">
        <f t="shared" si="326"/>
        <v>0</v>
      </c>
    </row>
    <row r="243" spans="1:18" s="29" customFormat="1" ht="48" hidden="1" customHeight="1">
      <c r="A243" s="133">
        <v>9590</v>
      </c>
      <c r="B243" s="179" t="s">
        <v>172</v>
      </c>
      <c r="C243" s="204"/>
      <c r="D243" s="180">
        <v>0</v>
      </c>
      <c r="E243" s="252"/>
      <c r="F243" s="252"/>
      <c r="G243" s="252"/>
      <c r="H243" s="232">
        <f t="shared" si="324"/>
        <v>0</v>
      </c>
      <c r="I243" s="252">
        <v>0</v>
      </c>
      <c r="J243" s="252"/>
      <c r="K243" s="252"/>
      <c r="L243" s="252"/>
      <c r="M243" s="232">
        <f t="shared" si="325"/>
        <v>0</v>
      </c>
      <c r="N243" s="252">
        <v>0</v>
      </c>
      <c r="O243" s="252"/>
      <c r="P243" s="252"/>
      <c r="Q243" s="252"/>
      <c r="R243" s="232">
        <f t="shared" si="326"/>
        <v>0</v>
      </c>
    </row>
    <row r="244" spans="1:18" s="29" customFormat="1" ht="24" hidden="1" customHeight="1">
      <c r="A244" s="141">
        <v>9700</v>
      </c>
      <c r="B244" s="183" t="s">
        <v>194</v>
      </c>
      <c r="C244" s="170">
        <v>0</v>
      </c>
      <c r="D244" s="171">
        <v>0</v>
      </c>
      <c r="E244" s="233">
        <f t="shared" ref="E244:G244" si="417">SUM(E245:E246)</f>
        <v>0</v>
      </c>
      <c r="F244" s="233">
        <f t="shared" ref="F244" si="418">SUM(F245:F246)</f>
        <v>0</v>
      </c>
      <c r="G244" s="233">
        <f t="shared" si="417"/>
        <v>0</v>
      </c>
      <c r="H244" s="232">
        <f t="shared" si="324"/>
        <v>0</v>
      </c>
      <c r="I244" s="233">
        <v>0</v>
      </c>
      <c r="J244" s="233">
        <f t="shared" ref="J244:L244" si="419">SUM(J245:J246)</f>
        <v>0</v>
      </c>
      <c r="K244" s="233">
        <f t="shared" ref="K244" si="420">SUM(K245:K246)</f>
        <v>0</v>
      </c>
      <c r="L244" s="233">
        <f t="shared" si="419"/>
        <v>0</v>
      </c>
      <c r="M244" s="232">
        <f t="shared" si="325"/>
        <v>0</v>
      </c>
      <c r="N244" s="233">
        <v>0</v>
      </c>
      <c r="O244" s="233">
        <f t="shared" ref="O244:Q244" si="421">SUM(O245:O246)</f>
        <v>0</v>
      </c>
      <c r="P244" s="233">
        <f t="shared" ref="P244" si="422">SUM(P245:P246)</f>
        <v>0</v>
      </c>
      <c r="Q244" s="233">
        <f t="shared" si="421"/>
        <v>0</v>
      </c>
      <c r="R244" s="232">
        <f t="shared" si="326"/>
        <v>0</v>
      </c>
    </row>
    <row r="245" spans="1:18" s="29" customFormat="1" ht="24" hidden="1" customHeight="1">
      <c r="A245" s="133">
        <v>9710</v>
      </c>
      <c r="B245" s="184" t="s">
        <v>195</v>
      </c>
      <c r="C245" s="204"/>
      <c r="D245" s="180">
        <v>0</v>
      </c>
      <c r="E245" s="252"/>
      <c r="F245" s="252"/>
      <c r="G245" s="252"/>
      <c r="H245" s="232">
        <f t="shared" si="324"/>
        <v>0</v>
      </c>
      <c r="I245" s="252">
        <v>0</v>
      </c>
      <c r="J245" s="252"/>
      <c r="K245" s="252"/>
      <c r="L245" s="252"/>
      <c r="M245" s="232">
        <f t="shared" si="325"/>
        <v>0</v>
      </c>
      <c r="N245" s="252">
        <v>0</v>
      </c>
      <c r="O245" s="252"/>
      <c r="P245" s="252"/>
      <c r="Q245" s="252"/>
      <c r="R245" s="232">
        <f t="shared" si="326"/>
        <v>0</v>
      </c>
    </row>
    <row r="246" spans="1:18" s="29" customFormat="1" ht="48" hidden="1" customHeight="1">
      <c r="A246" s="142">
        <v>9720</v>
      </c>
      <c r="B246" s="183" t="s">
        <v>196</v>
      </c>
      <c r="C246" s="204"/>
      <c r="D246" s="180">
        <v>0</v>
      </c>
      <c r="E246" s="252"/>
      <c r="F246" s="252"/>
      <c r="G246" s="252"/>
      <c r="H246" s="232">
        <f t="shared" si="324"/>
        <v>0</v>
      </c>
      <c r="I246" s="252">
        <v>0</v>
      </c>
      <c r="J246" s="252"/>
      <c r="K246" s="252"/>
      <c r="L246" s="252"/>
      <c r="M246" s="232">
        <f t="shared" si="325"/>
        <v>0</v>
      </c>
      <c r="N246" s="252">
        <v>0</v>
      </c>
      <c r="O246" s="252"/>
      <c r="P246" s="252"/>
      <c r="Q246" s="252"/>
      <c r="R246" s="232">
        <f t="shared" si="326"/>
        <v>0</v>
      </c>
    </row>
    <row r="247" spans="1:18" s="29" customFormat="1" ht="24" hidden="1" customHeight="1">
      <c r="A247" s="141">
        <v>9600</v>
      </c>
      <c r="B247" s="179" t="s">
        <v>134</v>
      </c>
      <c r="C247" s="204"/>
      <c r="D247" s="180">
        <v>0</v>
      </c>
      <c r="E247" s="252"/>
      <c r="F247" s="252"/>
      <c r="G247" s="252"/>
      <c r="H247" s="232">
        <f t="shared" si="324"/>
        <v>0</v>
      </c>
      <c r="I247" s="252">
        <v>0</v>
      </c>
      <c r="J247" s="252"/>
      <c r="K247" s="252"/>
      <c r="L247" s="252"/>
      <c r="M247" s="232">
        <f t="shared" si="325"/>
        <v>0</v>
      </c>
      <c r="N247" s="252">
        <v>0</v>
      </c>
      <c r="O247" s="252"/>
      <c r="P247" s="252"/>
      <c r="Q247" s="252"/>
      <c r="R247" s="232">
        <f t="shared" si="326"/>
        <v>0</v>
      </c>
    </row>
    <row r="248" spans="1:18" s="29" customFormat="1" ht="52.5" hidden="1" customHeight="1">
      <c r="A248" s="130" t="s">
        <v>197</v>
      </c>
      <c r="B248" s="185" t="s">
        <v>47</v>
      </c>
      <c r="C248" s="206"/>
      <c r="D248" s="186">
        <v>0</v>
      </c>
      <c r="E248" s="262">
        <f t="shared" ref="E248:G248" si="423">E178-E203</f>
        <v>0</v>
      </c>
      <c r="F248" s="262">
        <f t="shared" ref="F248" si="424">F178-F203</f>
        <v>0</v>
      </c>
      <c r="G248" s="262">
        <f t="shared" si="423"/>
        <v>0</v>
      </c>
      <c r="H248" s="232">
        <f t="shared" si="324"/>
        <v>0</v>
      </c>
      <c r="I248" s="262">
        <v>0</v>
      </c>
      <c r="J248" s="262">
        <f t="shared" ref="J248:L248" si="425">J178-J203</f>
        <v>0</v>
      </c>
      <c r="K248" s="262">
        <f t="shared" ref="K248" si="426">K178-K203</f>
        <v>0</v>
      </c>
      <c r="L248" s="262">
        <f t="shared" si="425"/>
        <v>0</v>
      </c>
      <c r="M248" s="232">
        <f t="shared" si="325"/>
        <v>0</v>
      </c>
      <c r="N248" s="262">
        <v>0</v>
      </c>
      <c r="O248" s="262">
        <f t="shared" ref="O248:Q248" si="427">O178-O203</f>
        <v>0</v>
      </c>
      <c r="P248" s="262">
        <f t="shared" ref="P248" si="428">P178-P203</f>
        <v>0</v>
      </c>
      <c r="Q248" s="262">
        <f t="shared" si="427"/>
        <v>0</v>
      </c>
      <c r="R248" s="232">
        <f t="shared" si="326"/>
        <v>0</v>
      </c>
    </row>
    <row r="249" spans="1:18" s="29" customFormat="1" ht="12" hidden="1" customHeight="1">
      <c r="A249" s="143" t="s">
        <v>48</v>
      </c>
      <c r="B249" s="185" t="s">
        <v>49</v>
      </c>
      <c r="C249" s="206">
        <v>0</v>
      </c>
      <c r="D249" s="186">
        <v>0</v>
      </c>
      <c r="E249" s="262">
        <f t="shared" ref="E249:G249" si="429">E250+E253+E257+E256</f>
        <v>0</v>
      </c>
      <c r="F249" s="262">
        <f t="shared" ref="F249" si="430">F250+F253+F257+F256</f>
        <v>0</v>
      </c>
      <c r="G249" s="262">
        <f t="shared" si="429"/>
        <v>0</v>
      </c>
      <c r="H249" s="232">
        <f t="shared" si="324"/>
        <v>0</v>
      </c>
      <c r="I249" s="262">
        <v>0</v>
      </c>
      <c r="J249" s="262">
        <f t="shared" ref="J249:L249" si="431">J250+J253+J257+J256</f>
        <v>0</v>
      </c>
      <c r="K249" s="262">
        <f t="shared" ref="K249" si="432">K250+K253+K257+K256</f>
        <v>0</v>
      </c>
      <c r="L249" s="262">
        <f t="shared" si="431"/>
        <v>0</v>
      </c>
      <c r="M249" s="232">
        <f t="shared" si="325"/>
        <v>0</v>
      </c>
      <c r="N249" s="262">
        <v>0</v>
      </c>
      <c r="O249" s="262">
        <f t="shared" ref="O249:Q249" si="433">O250+O253+O257+O256</f>
        <v>0</v>
      </c>
      <c r="P249" s="262">
        <f t="shared" ref="P249" si="434">P250+P253+P257+P256</f>
        <v>0</v>
      </c>
      <c r="Q249" s="262">
        <f t="shared" si="433"/>
        <v>0</v>
      </c>
      <c r="R249" s="232">
        <f t="shared" si="326"/>
        <v>0</v>
      </c>
    </row>
    <row r="250" spans="1:18" s="29" customFormat="1" ht="12" hidden="1" customHeight="1">
      <c r="A250" s="141" t="s">
        <v>50</v>
      </c>
      <c r="B250" s="179" t="s">
        <v>51</v>
      </c>
      <c r="C250" s="98">
        <v>0</v>
      </c>
      <c r="D250" s="169">
        <v>0</v>
      </c>
      <c r="E250" s="231">
        <f t="shared" ref="E250:G250" si="435">E251+E252</f>
        <v>0</v>
      </c>
      <c r="F250" s="231">
        <f t="shared" ref="F250" si="436">F251+F252</f>
        <v>0</v>
      </c>
      <c r="G250" s="231">
        <f t="shared" si="435"/>
        <v>0</v>
      </c>
      <c r="H250" s="232">
        <f t="shared" si="324"/>
        <v>0</v>
      </c>
      <c r="I250" s="231">
        <v>0</v>
      </c>
      <c r="J250" s="231">
        <f t="shared" ref="J250:L250" si="437">J251+J252</f>
        <v>0</v>
      </c>
      <c r="K250" s="231">
        <f t="shared" ref="K250" si="438">K251+K252</f>
        <v>0</v>
      </c>
      <c r="L250" s="231">
        <f t="shared" si="437"/>
        <v>0</v>
      </c>
      <c r="M250" s="232">
        <f t="shared" si="325"/>
        <v>0</v>
      </c>
      <c r="N250" s="231">
        <v>0</v>
      </c>
      <c r="O250" s="231">
        <f t="shared" ref="O250:Q250" si="439">O251+O252</f>
        <v>0</v>
      </c>
      <c r="P250" s="231">
        <f t="shared" ref="P250" si="440">P251+P252</f>
        <v>0</v>
      </c>
      <c r="Q250" s="231">
        <f t="shared" si="439"/>
        <v>0</v>
      </c>
      <c r="R250" s="232">
        <f t="shared" si="326"/>
        <v>0</v>
      </c>
    </row>
    <row r="251" spans="1:18" s="29" customFormat="1" ht="12" hidden="1" customHeight="1">
      <c r="A251" s="141" t="s">
        <v>52</v>
      </c>
      <c r="B251" s="179" t="s">
        <v>53</v>
      </c>
      <c r="C251" s="98"/>
      <c r="D251" s="169">
        <v>0</v>
      </c>
      <c r="E251" s="231"/>
      <c r="F251" s="231"/>
      <c r="G251" s="231"/>
      <c r="H251" s="232">
        <f t="shared" si="324"/>
        <v>0</v>
      </c>
      <c r="I251" s="231">
        <v>0</v>
      </c>
      <c r="J251" s="231"/>
      <c r="K251" s="231"/>
      <c r="L251" s="231"/>
      <c r="M251" s="232">
        <f t="shared" si="325"/>
        <v>0</v>
      </c>
      <c r="N251" s="231">
        <v>0</v>
      </c>
      <c r="O251" s="231"/>
      <c r="P251" s="231"/>
      <c r="Q251" s="231"/>
      <c r="R251" s="232">
        <f t="shared" si="326"/>
        <v>0</v>
      </c>
    </row>
    <row r="252" spans="1:18" s="29" customFormat="1" ht="12" hidden="1" customHeight="1">
      <c r="A252" s="141" t="s">
        <v>54</v>
      </c>
      <c r="B252" s="179" t="s">
        <v>55</v>
      </c>
      <c r="C252" s="98"/>
      <c r="D252" s="169">
        <v>0</v>
      </c>
      <c r="E252" s="231"/>
      <c r="F252" s="231"/>
      <c r="G252" s="231"/>
      <c r="H252" s="232">
        <f t="shared" si="324"/>
        <v>0</v>
      </c>
      <c r="I252" s="231">
        <v>0</v>
      </c>
      <c r="J252" s="231"/>
      <c r="K252" s="231"/>
      <c r="L252" s="231"/>
      <c r="M252" s="232">
        <f t="shared" si="325"/>
        <v>0</v>
      </c>
      <c r="N252" s="231">
        <v>0</v>
      </c>
      <c r="O252" s="231"/>
      <c r="P252" s="231"/>
      <c r="Q252" s="231"/>
      <c r="R252" s="232">
        <f t="shared" si="326"/>
        <v>0</v>
      </c>
    </row>
    <row r="253" spans="1:18" s="29" customFormat="1" ht="12" hidden="1" customHeight="1">
      <c r="A253" s="141" t="s">
        <v>56</v>
      </c>
      <c r="B253" s="179" t="s">
        <v>57</v>
      </c>
      <c r="C253" s="98">
        <v>0</v>
      </c>
      <c r="D253" s="169">
        <v>0</v>
      </c>
      <c r="E253" s="231">
        <f t="shared" ref="E253:G253" si="441">E254+E255</f>
        <v>0</v>
      </c>
      <c r="F253" s="231">
        <f t="shared" ref="F253" si="442">F254+F255</f>
        <v>0</v>
      </c>
      <c r="G253" s="231">
        <f t="shared" si="441"/>
        <v>0</v>
      </c>
      <c r="H253" s="232">
        <f t="shared" si="324"/>
        <v>0</v>
      </c>
      <c r="I253" s="231">
        <v>0</v>
      </c>
      <c r="J253" s="231">
        <f t="shared" ref="J253:L253" si="443">J254+J255</f>
        <v>0</v>
      </c>
      <c r="K253" s="231">
        <f t="shared" ref="K253" si="444">K254+K255</f>
        <v>0</v>
      </c>
      <c r="L253" s="231">
        <f t="shared" si="443"/>
        <v>0</v>
      </c>
      <c r="M253" s="232">
        <f t="shared" si="325"/>
        <v>0</v>
      </c>
      <c r="N253" s="231">
        <v>0</v>
      </c>
      <c r="O253" s="231">
        <f t="shared" ref="O253:Q253" si="445">O254+O255</f>
        <v>0</v>
      </c>
      <c r="P253" s="231">
        <f t="shared" ref="P253" si="446">P254+P255</f>
        <v>0</v>
      </c>
      <c r="Q253" s="231">
        <f t="shared" si="445"/>
        <v>0</v>
      </c>
      <c r="R253" s="232">
        <f t="shared" si="326"/>
        <v>0</v>
      </c>
    </row>
    <row r="254" spans="1:18" s="29" customFormat="1" ht="12" hidden="1" customHeight="1">
      <c r="A254" s="141" t="s">
        <v>58</v>
      </c>
      <c r="B254" s="179" t="s">
        <v>59</v>
      </c>
      <c r="C254" s="98"/>
      <c r="D254" s="169">
        <v>0</v>
      </c>
      <c r="E254" s="231"/>
      <c r="F254" s="231"/>
      <c r="G254" s="231"/>
      <c r="H254" s="232">
        <f t="shared" si="324"/>
        <v>0</v>
      </c>
      <c r="I254" s="231">
        <v>0</v>
      </c>
      <c r="J254" s="231"/>
      <c r="K254" s="231"/>
      <c r="L254" s="231"/>
      <c r="M254" s="232">
        <f t="shared" si="325"/>
        <v>0</v>
      </c>
      <c r="N254" s="231">
        <v>0</v>
      </c>
      <c r="O254" s="231"/>
      <c r="P254" s="231"/>
      <c r="Q254" s="231"/>
      <c r="R254" s="232">
        <f t="shared" si="326"/>
        <v>0</v>
      </c>
    </row>
    <row r="255" spans="1:18" s="29" customFormat="1" ht="12" hidden="1" customHeight="1">
      <c r="A255" s="141" t="s">
        <v>60</v>
      </c>
      <c r="B255" s="179" t="s">
        <v>61</v>
      </c>
      <c r="C255" s="98"/>
      <c r="D255" s="169">
        <v>0</v>
      </c>
      <c r="E255" s="231"/>
      <c r="F255" s="231"/>
      <c r="G255" s="231"/>
      <c r="H255" s="232">
        <f t="shared" si="324"/>
        <v>0</v>
      </c>
      <c r="I255" s="231">
        <v>0</v>
      </c>
      <c r="J255" s="231"/>
      <c r="K255" s="231"/>
      <c r="L255" s="231"/>
      <c r="M255" s="232">
        <f t="shared" si="325"/>
        <v>0</v>
      </c>
      <c r="N255" s="231">
        <v>0</v>
      </c>
      <c r="O255" s="231"/>
      <c r="P255" s="231"/>
      <c r="Q255" s="231"/>
      <c r="R255" s="232">
        <f t="shared" si="326"/>
        <v>0</v>
      </c>
    </row>
    <row r="256" spans="1:18" s="29" customFormat="1" ht="24" hidden="1" customHeight="1">
      <c r="A256" s="141" t="s">
        <v>198</v>
      </c>
      <c r="B256" s="187" t="s">
        <v>168</v>
      </c>
      <c r="C256" s="98"/>
      <c r="D256" s="169">
        <v>0</v>
      </c>
      <c r="E256" s="231"/>
      <c r="F256" s="231"/>
      <c r="G256" s="231"/>
      <c r="H256" s="232">
        <f t="shared" si="324"/>
        <v>0</v>
      </c>
      <c r="I256" s="231">
        <v>0</v>
      </c>
      <c r="J256" s="231"/>
      <c r="K256" s="231"/>
      <c r="L256" s="231"/>
      <c r="M256" s="232">
        <f t="shared" si="325"/>
        <v>0</v>
      </c>
      <c r="N256" s="231">
        <v>0</v>
      </c>
      <c r="O256" s="231"/>
      <c r="P256" s="231"/>
      <c r="Q256" s="231"/>
      <c r="R256" s="232">
        <f t="shared" si="326"/>
        <v>0</v>
      </c>
    </row>
    <row r="257" spans="1:18" s="29" customFormat="1" ht="12" hidden="1" customHeight="1">
      <c r="A257" s="144" t="s">
        <v>62</v>
      </c>
      <c r="B257" s="125" t="s">
        <v>63</v>
      </c>
      <c r="C257" s="170">
        <v>0</v>
      </c>
      <c r="D257" s="171">
        <v>0</v>
      </c>
      <c r="E257" s="233">
        <f t="shared" ref="E257:G257" si="447">E258+E259+E260</f>
        <v>0</v>
      </c>
      <c r="F257" s="233">
        <f t="shared" ref="F257" si="448">F258+F259+F260</f>
        <v>0</v>
      </c>
      <c r="G257" s="233">
        <f t="shared" si="447"/>
        <v>0</v>
      </c>
      <c r="H257" s="232">
        <f t="shared" si="324"/>
        <v>0</v>
      </c>
      <c r="I257" s="233">
        <v>0</v>
      </c>
      <c r="J257" s="233">
        <f t="shared" ref="J257:L257" si="449">J258+J259+J260</f>
        <v>0</v>
      </c>
      <c r="K257" s="233">
        <f t="shared" ref="K257" si="450">K258+K259+K260</f>
        <v>0</v>
      </c>
      <c r="L257" s="233">
        <f t="shared" si="449"/>
        <v>0</v>
      </c>
      <c r="M257" s="232">
        <f t="shared" si="325"/>
        <v>0</v>
      </c>
      <c r="N257" s="233">
        <v>0</v>
      </c>
      <c r="O257" s="233">
        <f t="shared" ref="O257:Q257" si="451">O258+O259+O260</f>
        <v>0</v>
      </c>
      <c r="P257" s="233">
        <f t="shared" ref="P257" si="452">P258+P259+P260</f>
        <v>0</v>
      </c>
      <c r="Q257" s="233">
        <f t="shared" si="451"/>
        <v>0</v>
      </c>
      <c r="R257" s="232">
        <f t="shared" si="326"/>
        <v>0</v>
      </c>
    </row>
    <row r="258" spans="1:18" s="29" customFormat="1" ht="36" hidden="1" customHeight="1">
      <c r="A258" s="144" t="s">
        <v>64</v>
      </c>
      <c r="B258" s="179" t="s">
        <v>65</v>
      </c>
      <c r="C258" s="98"/>
      <c r="D258" s="169">
        <v>0</v>
      </c>
      <c r="E258" s="231"/>
      <c r="F258" s="231"/>
      <c r="G258" s="231"/>
      <c r="H258" s="232">
        <f t="shared" si="324"/>
        <v>0</v>
      </c>
      <c r="I258" s="231">
        <v>0</v>
      </c>
      <c r="J258" s="231"/>
      <c r="K258" s="231"/>
      <c r="L258" s="231"/>
      <c r="M258" s="232">
        <f t="shared" si="325"/>
        <v>0</v>
      </c>
      <c r="N258" s="231">
        <v>0</v>
      </c>
      <c r="O258" s="231"/>
      <c r="P258" s="231"/>
      <c r="Q258" s="231"/>
      <c r="R258" s="232">
        <f t="shared" si="326"/>
        <v>0</v>
      </c>
    </row>
    <row r="259" spans="1:18" s="29" customFormat="1" ht="36" hidden="1" customHeight="1">
      <c r="A259" s="144" t="s">
        <v>66</v>
      </c>
      <c r="B259" s="179" t="s">
        <v>67</v>
      </c>
      <c r="C259" s="98"/>
      <c r="D259" s="169">
        <v>0</v>
      </c>
      <c r="E259" s="231"/>
      <c r="F259" s="231"/>
      <c r="G259" s="231"/>
      <c r="H259" s="232">
        <f t="shared" si="324"/>
        <v>0</v>
      </c>
      <c r="I259" s="231">
        <v>0</v>
      </c>
      <c r="J259" s="231"/>
      <c r="K259" s="231"/>
      <c r="L259" s="231"/>
      <c r="M259" s="232">
        <f t="shared" si="325"/>
        <v>0</v>
      </c>
      <c r="N259" s="231">
        <v>0</v>
      </c>
      <c r="O259" s="231"/>
      <c r="P259" s="231"/>
      <c r="Q259" s="231"/>
      <c r="R259" s="232">
        <f t="shared" si="326"/>
        <v>0</v>
      </c>
    </row>
    <row r="260" spans="1:18" s="29" customFormat="1" ht="24" hidden="1" customHeight="1">
      <c r="A260" s="144" t="s">
        <v>68</v>
      </c>
      <c r="B260" s="125" t="s">
        <v>69</v>
      </c>
      <c r="C260" s="98"/>
      <c r="D260" s="169">
        <v>0</v>
      </c>
      <c r="E260" s="231"/>
      <c r="F260" s="231"/>
      <c r="G260" s="231"/>
      <c r="H260" s="232">
        <f t="shared" si="324"/>
        <v>0</v>
      </c>
      <c r="I260" s="231">
        <v>0</v>
      </c>
      <c r="J260" s="231"/>
      <c r="K260" s="231"/>
      <c r="L260" s="231"/>
      <c r="M260" s="232">
        <f t="shared" si="325"/>
        <v>0</v>
      </c>
      <c r="N260" s="231">
        <v>0</v>
      </c>
      <c r="O260" s="231"/>
      <c r="P260" s="231"/>
      <c r="Q260" s="231"/>
      <c r="R260" s="232">
        <f t="shared" si="326"/>
        <v>0</v>
      </c>
    </row>
    <row r="261" spans="1:18" s="29" customFormat="1" ht="12">
      <c r="A261" s="271"/>
      <c r="B261" s="272"/>
      <c r="C261" s="253"/>
      <c r="D261" s="254"/>
      <c r="E261" s="253"/>
      <c r="F261" s="253"/>
      <c r="G261" s="253"/>
      <c r="H261" s="232"/>
      <c r="I261" s="254"/>
      <c r="J261" s="253"/>
      <c r="K261" s="253"/>
      <c r="L261" s="253"/>
      <c r="M261" s="232"/>
      <c r="N261" s="254"/>
      <c r="O261" s="253"/>
      <c r="P261" s="253"/>
      <c r="Q261" s="253"/>
      <c r="R261" s="232"/>
    </row>
    <row r="262" spans="1:18" ht="12">
      <c r="A262" s="33"/>
      <c r="B262" s="164"/>
      <c r="C262" s="165"/>
      <c r="D262" s="163"/>
      <c r="E262" s="165"/>
      <c r="F262" s="163"/>
      <c r="G262" s="163"/>
      <c r="H262" s="163"/>
      <c r="I262" s="163"/>
      <c r="J262" s="165"/>
      <c r="K262" s="163"/>
      <c r="L262" s="163"/>
      <c r="M262" s="163"/>
      <c r="N262" s="163"/>
      <c r="O262" s="165"/>
      <c r="P262" s="163"/>
      <c r="Q262" s="163"/>
      <c r="R262" s="163"/>
    </row>
    <row r="263" spans="1:18" ht="12">
      <c r="A263" s="33"/>
      <c r="B263" s="164"/>
      <c r="C263" s="165"/>
      <c r="D263" s="163"/>
      <c r="E263" s="165"/>
      <c r="F263" s="163"/>
      <c r="G263" s="163"/>
      <c r="H263" s="163"/>
      <c r="I263" s="163"/>
      <c r="J263" s="165"/>
      <c r="K263" s="163"/>
      <c r="L263" s="163"/>
      <c r="M263" s="163"/>
      <c r="N263" s="163"/>
      <c r="O263" s="165"/>
      <c r="P263" s="163"/>
      <c r="Q263" s="163"/>
      <c r="R263" s="163"/>
    </row>
    <row r="264" spans="1:18" ht="13.2">
      <c r="A264" s="369" t="s">
        <v>236</v>
      </c>
      <c r="B264" s="370" t="s">
        <v>237</v>
      </c>
      <c r="C264" s="165"/>
      <c r="D264" s="163"/>
      <c r="E264" s="165"/>
      <c r="F264" s="163"/>
      <c r="G264" s="163"/>
      <c r="H264" s="163"/>
      <c r="I264" s="163"/>
      <c r="J264" s="165"/>
      <c r="K264" s="163"/>
      <c r="L264" s="163"/>
      <c r="M264" s="163"/>
      <c r="N264" s="163"/>
      <c r="O264" s="165"/>
      <c r="P264" s="163"/>
      <c r="Q264" s="163"/>
      <c r="R264" s="163"/>
    </row>
    <row r="265" spans="1:18" ht="13.2">
      <c r="A265" s="371"/>
      <c r="B265" s="372" t="s">
        <v>238</v>
      </c>
      <c r="C265" s="165"/>
      <c r="D265" s="163"/>
      <c r="E265" s="165"/>
      <c r="F265" s="163"/>
      <c r="G265" s="163"/>
      <c r="H265" s="163"/>
      <c r="I265" s="163"/>
      <c r="J265" s="165"/>
      <c r="K265" s="163"/>
      <c r="L265" s="163"/>
      <c r="M265" s="163"/>
      <c r="N265" s="163"/>
      <c r="O265" s="165"/>
      <c r="P265" s="163"/>
      <c r="Q265" s="163"/>
      <c r="R265" s="163"/>
    </row>
    <row r="266" spans="1:18" ht="13.2">
      <c r="A266" s="373" t="s">
        <v>223</v>
      </c>
      <c r="B266" s="374" t="s">
        <v>434</v>
      </c>
      <c r="C266" s="165"/>
      <c r="D266" s="163"/>
      <c r="E266" s="165"/>
      <c r="F266" s="163"/>
      <c r="G266" s="163"/>
      <c r="H266" s="163"/>
      <c r="I266" s="163"/>
      <c r="J266" s="165"/>
      <c r="K266" s="163"/>
      <c r="L266" s="163"/>
      <c r="M266" s="163"/>
      <c r="N266" s="163"/>
      <c r="O266" s="165"/>
      <c r="P266" s="163"/>
      <c r="Q266" s="163"/>
      <c r="R266" s="163"/>
    </row>
    <row r="267" spans="1:18" ht="13.2">
      <c r="A267" s="375" t="s">
        <v>240</v>
      </c>
      <c r="B267" s="376" t="s">
        <v>241</v>
      </c>
      <c r="C267" s="165"/>
      <c r="D267" s="163"/>
      <c r="E267" s="165"/>
      <c r="F267" s="163"/>
      <c r="G267" s="163"/>
      <c r="H267" s="163"/>
      <c r="I267" s="163"/>
      <c r="J267" s="165"/>
      <c r="K267" s="163"/>
      <c r="L267" s="163"/>
      <c r="M267" s="163"/>
      <c r="N267" s="163"/>
      <c r="O267" s="165"/>
      <c r="P267" s="163"/>
      <c r="Q267" s="163"/>
      <c r="R267" s="163"/>
    </row>
    <row r="268" spans="1:18" ht="13.2">
      <c r="A268" s="377"/>
      <c r="B268" s="376"/>
      <c r="C268" s="165"/>
      <c r="D268" s="163"/>
      <c r="E268" s="165"/>
      <c r="F268" s="163"/>
      <c r="G268" s="163"/>
      <c r="H268" s="163"/>
      <c r="I268" s="163"/>
      <c r="J268" s="165"/>
      <c r="K268" s="163"/>
      <c r="L268" s="163"/>
      <c r="M268" s="163"/>
      <c r="N268" s="163"/>
      <c r="O268" s="165"/>
      <c r="P268" s="163"/>
      <c r="Q268" s="163"/>
      <c r="R268" s="163"/>
    </row>
    <row r="269" spans="1:18" ht="13.2">
      <c r="A269" s="378" t="s">
        <v>224</v>
      </c>
      <c r="B269" s="374" t="s">
        <v>242</v>
      </c>
      <c r="C269" s="165"/>
      <c r="D269" s="163"/>
      <c r="E269" s="165"/>
      <c r="F269" s="163"/>
      <c r="G269" s="163"/>
      <c r="H269" s="163"/>
      <c r="I269" s="163"/>
      <c r="J269" s="165"/>
      <c r="K269" s="163"/>
      <c r="L269" s="163"/>
      <c r="M269" s="163"/>
      <c r="N269" s="163"/>
      <c r="O269" s="165"/>
      <c r="P269" s="163"/>
      <c r="Q269" s="163"/>
      <c r="R269" s="163"/>
    </row>
    <row r="270" spans="1:18" ht="13.2">
      <c r="A270" s="375" t="s">
        <v>243</v>
      </c>
      <c r="B270" s="376" t="s">
        <v>244</v>
      </c>
      <c r="C270" s="165"/>
      <c r="D270" s="163"/>
      <c r="E270" s="165"/>
      <c r="F270" s="163"/>
      <c r="G270" s="163"/>
      <c r="H270" s="163"/>
      <c r="I270" s="163"/>
      <c r="J270" s="165"/>
      <c r="K270" s="163"/>
      <c r="L270" s="163"/>
      <c r="M270" s="163"/>
      <c r="N270" s="163"/>
      <c r="O270" s="165"/>
      <c r="P270" s="163"/>
      <c r="Q270" s="163"/>
      <c r="R270" s="163"/>
    </row>
    <row r="271" spans="1:18" ht="13.2">
      <c r="A271" s="377"/>
      <c r="B271" s="376"/>
      <c r="C271" s="165"/>
      <c r="D271" s="163"/>
      <c r="E271" s="165"/>
      <c r="F271" s="163"/>
      <c r="G271" s="163"/>
      <c r="H271" s="163"/>
      <c r="I271" s="163"/>
      <c r="J271" s="165"/>
      <c r="K271" s="163"/>
      <c r="L271" s="163"/>
      <c r="M271" s="163"/>
      <c r="N271" s="163"/>
      <c r="O271" s="165"/>
      <c r="P271" s="163"/>
      <c r="Q271" s="163"/>
      <c r="R271" s="163"/>
    </row>
    <row r="272" spans="1:18" ht="13.2">
      <c r="A272" s="369" t="s">
        <v>245</v>
      </c>
      <c r="B272" s="370" t="s">
        <v>140</v>
      </c>
      <c r="C272" s="165"/>
      <c r="D272" s="163"/>
      <c r="E272" s="165"/>
      <c r="F272" s="163"/>
      <c r="G272" s="163"/>
      <c r="H272" s="163"/>
      <c r="I272" s="163"/>
      <c r="J272" s="165"/>
      <c r="K272" s="163"/>
      <c r="L272" s="163"/>
      <c r="M272" s="163"/>
      <c r="N272" s="163"/>
      <c r="O272" s="165"/>
      <c r="P272" s="163"/>
      <c r="Q272" s="163"/>
      <c r="R272" s="163"/>
    </row>
    <row r="273" spans="1:18" ht="13.2">
      <c r="A273" s="371"/>
      <c r="B273" s="372" t="s">
        <v>238</v>
      </c>
      <c r="C273" s="165"/>
      <c r="D273" s="163"/>
      <c r="E273" s="165"/>
      <c r="F273" s="163"/>
      <c r="G273" s="163"/>
      <c r="H273" s="163"/>
      <c r="I273" s="163"/>
      <c r="J273" s="165"/>
      <c r="K273" s="163"/>
      <c r="L273" s="163"/>
      <c r="M273" s="163"/>
      <c r="N273" s="163"/>
      <c r="O273" s="165"/>
      <c r="P273" s="163"/>
      <c r="Q273" s="163"/>
      <c r="R273" s="163"/>
    </row>
    <row r="274" spans="1:18" ht="13.2">
      <c r="A274" s="373" t="s">
        <v>223</v>
      </c>
      <c r="B274" s="374" t="s">
        <v>434</v>
      </c>
      <c r="C274" s="165"/>
      <c r="D274" s="163"/>
      <c r="E274" s="165"/>
      <c r="F274" s="163"/>
      <c r="G274" s="163"/>
      <c r="H274" s="163"/>
      <c r="I274" s="163"/>
      <c r="J274" s="165"/>
      <c r="K274" s="163"/>
      <c r="L274" s="163"/>
      <c r="M274" s="163"/>
      <c r="N274" s="163"/>
      <c r="O274" s="165"/>
      <c r="P274" s="163"/>
      <c r="Q274" s="163"/>
      <c r="R274" s="163"/>
    </row>
    <row r="275" spans="1:18" ht="13.2">
      <c r="A275" s="375" t="s">
        <v>240</v>
      </c>
      <c r="B275" s="376" t="s">
        <v>241</v>
      </c>
      <c r="C275" s="165"/>
      <c r="D275" s="163"/>
      <c r="E275" s="165"/>
      <c r="F275" s="163"/>
      <c r="G275" s="163"/>
      <c r="H275" s="163"/>
      <c r="I275" s="163"/>
      <c r="J275" s="165"/>
      <c r="K275" s="163"/>
      <c r="L275" s="163"/>
      <c r="M275" s="163"/>
      <c r="N275" s="163"/>
      <c r="O275" s="165"/>
      <c r="P275" s="163"/>
      <c r="Q275" s="163"/>
      <c r="R275" s="163"/>
    </row>
    <row r="276" spans="1:18" ht="13.2">
      <c r="A276" s="377"/>
      <c r="B276" s="376"/>
      <c r="C276" s="165"/>
      <c r="D276" s="163"/>
      <c r="E276" s="165"/>
      <c r="F276" s="163"/>
      <c r="G276" s="163"/>
      <c r="H276" s="163"/>
      <c r="I276" s="163"/>
      <c r="J276" s="165"/>
      <c r="K276" s="163"/>
      <c r="L276" s="163"/>
      <c r="M276" s="163"/>
      <c r="N276" s="163"/>
      <c r="O276" s="165"/>
      <c r="P276" s="163"/>
      <c r="Q276" s="163"/>
      <c r="R276" s="163"/>
    </row>
    <row r="277" spans="1:18" ht="13.2">
      <c r="A277" s="378" t="s">
        <v>224</v>
      </c>
      <c r="B277" s="374" t="s">
        <v>242</v>
      </c>
      <c r="C277" s="165"/>
      <c r="D277" s="163"/>
      <c r="E277" s="165"/>
      <c r="F277" s="163"/>
      <c r="G277" s="163"/>
      <c r="H277" s="163"/>
      <c r="I277" s="163"/>
      <c r="J277" s="165"/>
      <c r="K277" s="163"/>
      <c r="L277" s="163"/>
      <c r="M277" s="163"/>
      <c r="N277" s="163"/>
      <c r="O277" s="165"/>
      <c r="P277" s="163"/>
      <c r="Q277" s="163"/>
      <c r="R277" s="163"/>
    </row>
    <row r="278" spans="1:18" ht="13.2">
      <c r="A278" s="375" t="s">
        <v>243</v>
      </c>
      <c r="B278" s="376" t="s">
        <v>244</v>
      </c>
      <c r="C278" s="165"/>
      <c r="D278" s="163"/>
      <c r="E278" s="165"/>
      <c r="F278" s="163"/>
      <c r="G278" s="163"/>
      <c r="H278" s="163"/>
      <c r="I278" s="163"/>
      <c r="J278" s="165"/>
      <c r="K278" s="163"/>
      <c r="L278" s="163"/>
      <c r="M278" s="163"/>
      <c r="N278" s="163"/>
      <c r="O278" s="165"/>
      <c r="P278" s="163"/>
      <c r="Q278" s="163"/>
      <c r="R278" s="163"/>
    </row>
    <row r="279" spans="1:18" ht="12">
      <c r="A279" s="33"/>
      <c r="B279" s="34"/>
      <c r="C279" s="165"/>
      <c r="D279" s="163"/>
      <c r="E279" s="165"/>
      <c r="F279" s="163"/>
      <c r="G279" s="163"/>
      <c r="H279" s="163"/>
      <c r="I279" s="163"/>
      <c r="J279" s="165"/>
      <c r="K279" s="163"/>
      <c r="L279" s="163"/>
      <c r="M279" s="163"/>
      <c r="N279" s="163"/>
      <c r="O279" s="165"/>
      <c r="P279" s="163"/>
      <c r="Q279" s="163"/>
      <c r="R279" s="163"/>
    </row>
    <row r="280" spans="1:18" ht="12">
      <c r="A280" s="33"/>
      <c r="B280" s="34"/>
      <c r="C280" s="165"/>
      <c r="D280" s="163"/>
      <c r="E280" s="165"/>
      <c r="F280" s="163"/>
      <c r="G280" s="163"/>
      <c r="H280" s="163"/>
      <c r="I280" s="163"/>
      <c r="J280" s="165"/>
      <c r="K280" s="163"/>
      <c r="L280" s="163"/>
      <c r="M280" s="163"/>
      <c r="N280" s="163"/>
      <c r="O280" s="165"/>
      <c r="P280" s="163"/>
      <c r="Q280" s="163"/>
      <c r="R280" s="163"/>
    </row>
    <row r="281" spans="1:18" ht="12">
      <c r="A281" s="33"/>
      <c r="B281" s="31"/>
      <c r="C281" s="165"/>
      <c r="D281" s="163"/>
      <c r="E281" s="165"/>
      <c r="F281" s="163"/>
      <c r="G281" s="163"/>
      <c r="H281" s="163"/>
      <c r="I281" s="163"/>
      <c r="J281" s="165"/>
      <c r="K281" s="163"/>
      <c r="L281" s="163"/>
      <c r="M281" s="163"/>
      <c r="N281" s="163"/>
      <c r="O281" s="165"/>
      <c r="P281" s="163"/>
      <c r="Q281" s="163"/>
      <c r="R281" s="163"/>
    </row>
    <row r="282" spans="1:18" ht="12">
      <c r="A282" s="33"/>
      <c r="B282" s="34"/>
      <c r="C282" s="35"/>
      <c r="D282" s="33"/>
      <c r="E282" s="165"/>
      <c r="F282" s="163"/>
      <c r="G282" s="163"/>
      <c r="H282" s="163"/>
      <c r="I282" s="163"/>
      <c r="J282" s="165"/>
      <c r="K282" s="163"/>
      <c r="L282" s="163"/>
      <c r="M282" s="163"/>
      <c r="N282" s="163"/>
      <c r="O282" s="165"/>
      <c r="P282" s="163"/>
      <c r="Q282" s="163"/>
      <c r="R282" s="163"/>
    </row>
    <row r="283" spans="1:18" ht="12">
      <c r="A283" s="33"/>
      <c r="B283" s="34"/>
      <c r="C283" s="35"/>
      <c r="D283" s="33"/>
      <c r="E283" s="165"/>
      <c r="F283" s="163"/>
      <c r="G283" s="163"/>
      <c r="H283" s="163"/>
      <c r="I283" s="163"/>
      <c r="J283" s="165"/>
      <c r="K283" s="163"/>
      <c r="L283" s="163"/>
      <c r="M283" s="163"/>
      <c r="N283" s="163"/>
      <c r="O283" s="165"/>
      <c r="P283" s="163"/>
      <c r="Q283" s="163"/>
      <c r="R283" s="163"/>
    </row>
    <row r="284" spans="1:18" ht="12">
      <c r="A284" s="33"/>
      <c r="B284" s="34"/>
      <c r="C284" s="35"/>
      <c r="D284" s="33"/>
      <c r="E284" s="165"/>
      <c r="F284" s="163"/>
      <c r="G284" s="163"/>
      <c r="H284" s="163"/>
      <c r="I284" s="163"/>
      <c r="J284" s="165"/>
      <c r="K284" s="163"/>
      <c r="L284" s="163"/>
      <c r="M284" s="163"/>
      <c r="N284" s="163"/>
      <c r="O284" s="165"/>
      <c r="P284" s="163"/>
      <c r="Q284" s="163"/>
      <c r="R284" s="163"/>
    </row>
    <row r="285" spans="1:18" ht="12">
      <c r="A285" s="33"/>
      <c r="B285" s="34"/>
      <c r="C285" s="35"/>
      <c r="D285" s="33"/>
      <c r="E285" s="165"/>
      <c r="F285" s="163"/>
      <c r="G285" s="163"/>
      <c r="H285" s="163"/>
      <c r="I285" s="163"/>
      <c r="J285" s="165"/>
      <c r="K285" s="163"/>
      <c r="L285" s="163"/>
      <c r="M285" s="163"/>
      <c r="N285" s="163"/>
      <c r="O285" s="165"/>
      <c r="P285" s="163"/>
      <c r="Q285" s="163"/>
      <c r="R285" s="163"/>
    </row>
    <row r="286" spans="1:18" ht="12">
      <c r="A286" s="33"/>
      <c r="B286" s="34"/>
      <c r="C286" s="35"/>
      <c r="D286" s="33"/>
      <c r="E286" s="165"/>
      <c r="F286" s="163"/>
      <c r="G286" s="163"/>
      <c r="H286" s="163"/>
      <c r="I286" s="163"/>
      <c r="J286" s="165"/>
      <c r="K286" s="163"/>
      <c r="L286" s="163"/>
      <c r="M286" s="163"/>
      <c r="N286" s="163"/>
      <c r="O286" s="165"/>
      <c r="P286" s="163"/>
      <c r="Q286" s="163"/>
      <c r="R286" s="163"/>
    </row>
    <row r="287" spans="1:18" ht="12">
      <c r="A287" s="33"/>
      <c r="B287" s="34"/>
      <c r="C287" s="35"/>
      <c r="D287" s="33"/>
      <c r="E287" s="165"/>
      <c r="F287" s="163"/>
      <c r="G287" s="163"/>
      <c r="H287" s="163"/>
      <c r="I287" s="163"/>
      <c r="J287" s="165"/>
      <c r="K287" s="163"/>
      <c r="L287" s="163"/>
      <c r="M287" s="163"/>
      <c r="N287" s="163"/>
      <c r="O287" s="165"/>
      <c r="P287" s="163"/>
      <c r="Q287" s="163"/>
      <c r="R287" s="163"/>
    </row>
    <row r="288" spans="1:18" ht="12">
      <c r="A288" s="33"/>
      <c r="B288" s="34"/>
      <c r="C288" s="35"/>
      <c r="D288" s="33"/>
      <c r="E288" s="165"/>
      <c r="F288" s="163"/>
      <c r="G288" s="163"/>
      <c r="H288" s="163"/>
      <c r="I288" s="163"/>
      <c r="J288" s="165"/>
      <c r="K288" s="163"/>
      <c r="L288" s="163"/>
      <c r="M288" s="163"/>
      <c r="N288" s="163"/>
      <c r="O288" s="165"/>
      <c r="P288" s="163"/>
      <c r="Q288" s="163"/>
      <c r="R288" s="163"/>
    </row>
    <row r="289" spans="1:18" ht="12">
      <c r="A289" s="33"/>
      <c r="B289" s="34"/>
      <c r="C289" s="35"/>
      <c r="D289" s="33"/>
      <c r="E289" s="165"/>
      <c r="F289" s="163"/>
      <c r="G289" s="163"/>
      <c r="H289" s="163"/>
      <c r="I289" s="163"/>
      <c r="J289" s="165"/>
      <c r="K289" s="163"/>
      <c r="L289" s="163"/>
      <c r="M289" s="163"/>
      <c r="N289" s="163"/>
      <c r="O289" s="165"/>
      <c r="P289" s="163"/>
      <c r="Q289" s="163"/>
      <c r="R289" s="163"/>
    </row>
    <row r="290" spans="1:18" ht="12">
      <c r="A290" s="33"/>
      <c r="B290" s="34"/>
      <c r="C290" s="35"/>
      <c r="D290" s="33"/>
      <c r="E290" s="165"/>
      <c r="F290" s="163"/>
      <c r="G290" s="163"/>
      <c r="H290" s="163"/>
      <c r="I290" s="163"/>
      <c r="J290" s="165"/>
      <c r="K290" s="163"/>
      <c r="L290" s="163"/>
      <c r="M290" s="163"/>
      <c r="N290" s="163"/>
      <c r="O290" s="165"/>
      <c r="P290" s="163"/>
      <c r="Q290" s="163"/>
      <c r="R290" s="163"/>
    </row>
    <row r="291" spans="1:18" ht="12">
      <c r="A291" s="33"/>
      <c r="B291" s="34"/>
      <c r="C291" s="35"/>
      <c r="D291" s="33"/>
      <c r="E291" s="165"/>
      <c r="F291" s="163"/>
      <c r="G291" s="163"/>
      <c r="H291" s="163"/>
      <c r="I291" s="163"/>
      <c r="J291" s="165"/>
      <c r="K291" s="163"/>
      <c r="L291" s="163"/>
      <c r="M291" s="163"/>
      <c r="N291" s="163"/>
      <c r="O291" s="165"/>
      <c r="P291" s="163"/>
      <c r="Q291" s="163"/>
      <c r="R291" s="163"/>
    </row>
    <row r="292" spans="1:18" ht="12">
      <c r="A292" s="33"/>
      <c r="B292" s="34"/>
      <c r="C292" s="35"/>
      <c r="D292" s="33"/>
      <c r="E292" s="165"/>
      <c r="F292" s="163"/>
      <c r="G292" s="163"/>
      <c r="H292" s="163"/>
      <c r="I292" s="163"/>
      <c r="J292" s="165"/>
      <c r="K292" s="163"/>
      <c r="L292" s="163"/>
      <c r="M292" s="163"/>
      <c r="N292" s="163"/>
      <c r="O292" s="165"/>
      <c r="P292" s="163"/>
      <c r="Q292" s="163"/>
      <c r="R292" s="163"/>
    </row>
    <row r="293" spans="1:18" ht="12">
      <c r="A293" s="33"/>
      <c r="B293" s="34"/>
      <c r="C293" s="35"/>
      <c r="D293" s="33"/>
      <c r="E293" s="165"/>
      <c r="F293" s="163"/>
      <c r="G293" s="163"/>
      <c r="H293" s="163"/>
      <c r="I293" s="163"/>
      <c r="J293" s="165"/>
      <c r="K293" s="163"/>
      <c r="L293" s="163"/>
      <c r="M293" s="163"/>
      <c r="N293" s="163"/>
      <c r="O293" s="165"/>
      <c r="P293" s="163"/>
      <c r="Q293" s="163"/>
      <c r="R293" s="163"/>
    </row>
    <row r="294" spans="1:18" ht="12">
      <c r="A294" s="33"/>
      <c r="B294" s="34"/>
      <c r="C294" s="35"/>
      <c r="D294" s="33"/>
      <c r="E294" s="165"/>
      <c r="F294" s="163"/>
      <c r="G294" s="163"/>
      <c r="H294" s="163"/>
      <c r="I294" s="163"/>
      <c r="J294" s="165"/>
      <c r="K294" s="163"/>
      <c r="L294" s="163"/>
      <c r="M294" s="163"/>
      <c r="N294" s="163"/>
      <c r="O294" s="165"/>
      <c r="P294" s="163"/>
      <c r="Q294" s="163"/>
      <c r="R294" s="163"/>
    </row>
    <row r="295" spans="1:18" ht="12">
      <c r="A295" s="33"/>
      <c r="B295" s="34"/>
      <c r="C295" s="35"/>
      <c r="D295" s="33"/>
      <c r="E295" s="165"/>
      <c r="F295" s="163"/>
      <c r="G295" s="163"/>
      <c r="H295" s="163"/>
      <c r="I295" s="163"/>
      <c r="J295" s="165"/>
      <c r="K295" s="163"/>
      <c r="L295" s="163"/>
      <c r="M295" s="163"/>
      <c r="N295" s="163"/>
      <c r="O295" s="165"/>
      <c r="P295" s="163"/>
      <c r="Q295" s="163"/>
      <c r="R295" s="163"/>
    </row>
    <row r="296" spans="1:18" ht="12">
      <c r="A296" s="33"/>
      <c r="B296" s="34"/>
      <c r="C296" s="35"/>
      <c r="D296" s="33"/>
      <c r="E296" s="165"/>
      <c r="F296" s="163"/>
      <c r="G296" s="163"/>
      <c r="H296" s="163"/>
      <c r="I296" s="163"/>
      <c r="J296" s="165"/>
      <c r="K296" s="163"/>
      <c r="L296" s="163"/>
      <c r="M296" s="163"/>
      <c r="N296" s="163"/>
      <c r="O296" s="165"/>
      <c r="P296" s="163"/>
      <c r="Q296" s="163"/>
      <c r="R296" s="163"/>
    </row>
    <row r="297" spans="1:18" ht="12">
      <c r="A297" s="33"/>
      <c r="B297" s="34"/>
      <c r="C297" s="35"/>
      <c r="D297" s="33"/>
      <c r="E297" s="165"/>
      <c r="F297" s="163"/>
      <c r="G297" s="163"/>
      <c r="H297" s="163"/>
      <c r="I297" s="163"/>
      <c r="J297" s="165"/>
      <c r="K297" s="163"/>
      <c r="L297" s="163"/>
      <c r="M297" s="163"/>
      <c r="N297" s="163"/>
      <c r="O297" s="165"/>
      <c r="P297" s="163"/>
      <c r="Q297" s="163"/>
      <c r="R297" s="163"/>
    </row>
    <row r="298" spans="1:18" ht="12">
      <c r="A298" s="33"/>
      <c r="B298" s="34"/>
      <c r="C298" s="35"/>
      <c r="D298" s="33"/>
      <c r="E298" s="165"/>
      <c r="F298" s="163"/>
      <c r="G298" s="163"/>
      <c r="H298" s="163"/>
      <c r="I298" s="163"/>
      <c r="J298" s="165"/>
      <c r="K298" s="163"/>
      <c r="L298" s="163"/>
      <c r="M298" s="163"/>
      <c r="N298" s="163"/>
      <c r="O298" s="165"/>
      <c r="P298" s="163"/>
      <c r="Q298" s="163"/>
      <c r="R298" s="163"/>
    </row>
    <row r="299" spans="1:18" ht="12">
      <c r="A299" s="33"/>
      <c r="B299" s="34"/>
      <c r="C299" s="35"/>
      <c r="D299" s="33"/>
      <c r="E299" s="165"/>
      <c r="F299" s="163"/>
      <c r="G299" s="163"/>
      <c r="H299" s="163"/>
      <c r="I299" s="163"/>
      <c r="J299" s="165"/>
      <c r="K299" s="163"/>
      <c r="L299" s="163"/>
      <c r="M299" s="163"/>
      <c r="N299" s="163"/>
      <c r="O299" s="165"/>
      <c r="P299" s="163"/>
      <c r="Q299" s="163"/>
      <c r="R299" s="163"/>
    </row>
    <row r="300" spans="1:18" ht="12">
      <c r="A300" s="33"/>
      <c r="B300" s="34"/>
      <c r="C300" s="35"/>
      <c r="D300" s="33"/>
      <c r="E300" s="165"/>
      <c r="F300" s="163"/>
      <c r="G300" s="163"/>
      <c r="H300" s="163"/>
      <c r="I300" s="163"/>
      <c r="J300" s="165"/>
      <c r="K300" s="163"/>
      <c r="L300" s="163"/>
      <c r="M300" s="163"/>
      <c r="N300" s="163"/>
      <c r="O300" s="165"/>
      <c r="P300" s="163"/>
      <c r="Q300" s="163"/>
      <c r="R300" s="163"/>
    </row>
    <row r="301" spans="1:18" ht="12">
      <c r="A301" s="33"/>
      <c r="B301" s="34"/>
      <c r="C301" s="35"/>
      <c r="D301" s="33"/>
      <c r="E301" s="165"/>
      <c r="F301" s="163"/>
      <c r="G301" s="163"/>
      <c r="H301" s="163"/>
      <c r="I301" s="163"/>
      <c r="J301" s="165"/>
      <c r="K301" s="163"/>
      <c r="L301" s="163"/>
      <c r="M301" s="163"/>
      <c r="N301" s="163"/>
      <c r="O301" s="165"/>
      <c r="P301" s="163"/>
      <c r="Q301" s="163"/>
      <c r="R301" s="163"/>
    </row>
    <row r="302" spans="1:18" ht="12">
      <c r="A302" s="33"/>
      <c r="B302" s="34"/>
      <c r="C302" s="35"/>
      <c r="D302" s="33"/>
      <c r="E302" s="165"/>
      <c r="F302" s="163"/>
      <c r="G302" s="163"/>
      <c r="H302" s="163"/>
      <c r="I302" s="163"/>
      <c r="J302" s="165"/>
      <c r="K302" s="163"/>
      <c r="L302" s="163"/>
      <c r="M302" s="163"/>
      <c r="N302" s="163"/>
      <c r="O302" s="165"/>
      <c r="P302" s="163"/>
      <c r="Q302" s="163"/>
      <c r="R302" s="163"/>
    </row>
    <row r="303" spans="1:18" ht="12">
      <c r="A303" s="33"/>
      <c r="B303" s="34"/>
      <c r="C303" s="35"/>
      <c r="D303" s="33"/>
      <c r="E303" s="165"/>
      <c r="F303" s="163"/>
      <c r="G303" s="163"/>
      <c r="H303" s="163"/>
      <c r="I303" s="163"/>
      <c r="J303" s="165"/>
      <c r="K303" s="163"/>
      <c r="L303" s="163"/>
      <c r="M303" s="163"/>
      <c r="N303" s="163"/>
      <c r="O303" s="165"/>
      <c r="P303" s="163"/>
      <c r="Q303" s="163"/>
      <c r="R303" s="163"/>
    </row>
    <row r="304" spans="1:18" ht="12">
      <c r="A304" s="33"/>
      <c r="B304" s="34"/>
      <c r="C304" s="35"/>
      <c r="D304" s="33"/>
      <c r="E304" s="165"/>
      <c r="F304" s="163"/>
      <c r="G304" s="163"/>
      <c r="H304" s="163"/>
      <c r="I304" s="163"/>
      <c r="J304" s="165"/>
      <c r="K304" s="163"/>
      <c r="L304" s="163"/>
      <c r="M304" s="163"/>
      <c r="N304" s="163"/>
      <c r="O304" s="165"/>
      <c r="P304" s="163"/>
      <c r="Q304" s="163"/>
      <c r="R304" s="163"/>
    </row>
    <row r="305" spans="1:18" ht="12">
      <c r="A305" s="33"/>
      <c r="B305" s="34"/>
      <c r="C305" s="35"/>
      <c r="D305" s="33"/>
      <c r="E305" s="165"/>
      <c r="F305" s="163"/>
      <c r="G305" s="163"/>
      <c r="H305" s="163"/>
      <c r="I305" s="163"/>
      <c r="J305" s="165"/>
      <c r="K305" s="163"/>
      <c r="L305" s="163"/>
      <c r="M305" s="163"/>
      <c r="N305" s="163"/>
      <c r="O305" s="165"/>
      <c r="P305" s="163"/>
      <c r="Q305" s="163"/>
      <c r="R305" s="163"/>
    </row>
    <row r="306" spans="1:18" ht="12">
      <c r="A306" s="33"/>
      <c r="B306" s="34"/>
      <c r="C306" s="35"/>
      <c r="D306" s="33"/>
      <c r="E306" s="165"/>
      <c r="F306" s="163"/>
      <c r="G306" s="163"/>
      <c r="H306" s="163"/>
      <c r="I306" s="163"/>
      <c r="J306" s="165"/>
      <c r="K306" s="163"/>
      <c r="L306" s="163"/>
      <c r="M306" s="163"/>
      <c r="N306" s="163"/>
      <c r="O306" s="165"/>
      <c r="P306" s="163"/>
      <c r="Q306" s="163"/>
      <c r="R306" s="163"/>
    </row>
    <row r="307" spans="1:18" ht="12">
      <c r="A307" s="33"/>
      <c r="B307" s="34"/>
      <c r="C307" s="35"/>
      <c r="D307" s="33"/>
      <c r="E307" s="165"/>
      <c r="F307" s="163"/>
      <c r="G307" s="163"/>
      <c r="H307" s="163"/>
      <c r="I307" s="163"/>
      <c r="J307" s="165"/>
      <c r="K307" s="163"/>
      <c r="L307" s="163"/>
      <c r="M307" s="163"/>
      <c r="N307" s="163"/>
      <c r="O307" s="165"/>
      <c r="P307" s="163"/>
      <c r="Q307" s="163"/>
      <c r="R307" s="163"/>
    </row>
    <row r="308" spans="1:18" ht="12">
      <c r="A308" s="33"/>
      <c r="B308" s="34"/>
      <c r="C308" s="35"/>
      <c r="D308" s="33"/>
      <c r="E308" s="165"/>
      <c r="F308" s="163"/>
      <c r="G308" s="163"/>
      <c r="H308" s="163"/>
      <c r="I308" s="163"/>
      <c r="J308" s="165"/>
      <c r="K308" s="163"/>
      <c r="L308" s="163"/>
      <c r="M308" s="163"/>
      <c r="N308" s="163"/>
      <c r="O308" s="165"/>
      <c r="P308" s="163"/>
      <c r="Q308" s="163"/>
      <c r="R308" s="163"/>
    </row>
    <row r="309" spans="1:18" ht="12">
      <c r="A309" s="33"/>
      <c r="B309" s="34"/>
      <c r="C309" s="35"/>
      <c r="D309" s="33"/>
      <c r="E309" s="165"/>
      <c r="F309" s="163"/>
      <c r="G309" s="163"/>
      <c r="H309" s="163"/>
      <c r="I309" s="163"/>
      <c r="J309" s="165"/>
      <c r="K309" s="163"/>
      <c r="L309" s="163"/>
      <c r="M309" s="163"/>
      <c r="N309" s="163"/>
      <c r="O309" s="165"/>
      <c r="P309" s="163"/>
      <c r="Q309" s="163"/>
      <c r="R309" s="163"/>
    </row>
    <row r="310" spans="1:18" ht="12">
      <c r="A310" s="33"/>
      <c r="B310" s="34"/>
      <c r="C310" s="35"/>
      <c r="D310" s="33"/>
      <c r="E310" s="165"/>
      <c r="F310" s="163"/>
      <c r="G310" s="163"/>
      <c r="H310" s="163"/>
      <c r="I310" s="163"/>
      <c r="J310" s="165"/>
      <c r="K310" s="163"/>
      <c r="L310" s="163"/>
      <c r="M310" s="163"/>
      <c r="N310" s="163"/>
      <c r="O310" s="165"/>
      <c r="P310" s="163"/>
      <c r="Q310" s="163"/>
      <c r="R310" s="163"/>
    </row>
    <row r="311" spans="1:18" ht="12">
      <c r="A311" s="33"/>
      <c r="B311" s="34"/>
      <c r="C311" s="35"/>
      <c r="D311" s="33"/>
      <c r="E311" s="165"/>
      <c r="F311" s="163"/>
      <c r="G311" s="163"/>
      <c r="H311" s="163"/>
      <c r="I311" s="163"/>
      <c r="J311" s="165"/>
      <c r="K311" s="163"/>
      <c r="L311" s="163"/>
      <c r="M311" s="163"/>
      <c r="N311" s="163"/>
      <c r="O311" s="165"/>
      <c r="P311" s="163"/>
      <c r="Q311" s="163"/>
      <c r="R311" s="163"/>
    </row>
    <row r="312" spans="1:18" ht="12">
      <c r="A312" s="33"/>
      <c r="B312" s="34"/>
      <c r="C312" s="35"/>
      <c r="D312" s="33"/>
      <c r="E312" s="165"/>
      <c r="F312" s="163"/>
      <c r="G312" s="163"/>
      <c r="H312" s="163"/>
      <c r="I312" s="163"/>
      <c r="J312" s="165"/>
      <c r="K312" s="163"/>
      <c r="L312" s="163"/>
      <c r="M312" s="163"/>
      <c r="N312" s="163"/>
      <c r="O312" s="165"/>
      <c r="P312" s="163"/>
      <c r="Q312" s="163"/>
      <c r="R312" s="163"/>
    </row>
    <row r="313" spans="1:18" ht="12">
      <c r="A313" s="33"/>
      <c r="B313" s="34"/>
      <c r="C313" s="35"/>
      <c r="D313" s="33"/>
      <c r="E313" s="165"/>
      <c r="F313" s="163"/>
      <c r="G313" s="163"/>
      <c r="H313" s="163"/>
      <c r="I313" s="163"/>
      <c r="J313" s="165"/>
      <c r="K313" s="163"/>
      <c r="L313" s="163"/>
      <c r="M313" s="163"/>
      <c r="N313" s="163"/>
      <c r="O313" s="165"/>
      <c r="P313" s="163"/>
      <c r="Q313" s="163"/>
      <c r="R313" s="163"/>
    </row>
    <row r="314" spans="1:18" ht="12">
      <c r="A314" s="33"/>
      <c r="B314" s="34"/>
      <c r="C314" s="35"/>
      <c r="D314" s="33"/>
      <c r="E314" s="165"/>
      <c r="F314" s="163"/>
      <c r="G314" s="163"/>
      <c r="H314" s="163"/>
      <c r="I314" s="163"/>
      <c r="J314" s="165"/>
      <c r="K314" s="163"/>
      <c r="L314" s="163"/>
      <c r="M314" s="163"/>
      <c r="N314" s="163"/>
      <c r="O314" s="165"/>
      <c r="P314" s="163"/>
      <c r="Q314" s="163"/>
      <c r="R314" s="163"/>
    </row>
    <row r="315" spans="1:18" ht="12">
      <c r="A315" s="33"/>
      <c r="B315" s="34"/>
      <c r="C315" s="35"/>
      <c r="D315" s="33"/>
      <c r="E315" s="165"/>
      <c r="F315" s="163"/>
      <c r="G315" s="163"/>
      <c r="H315" s="163"/>
      <c r="I315" s="163"/>
      <c r="J315" s="165"/>
      <c r="K315" s="163"/>
      <c r="L315" s="163"/>
      <c r="M315" s="163"/>
      <c r="N315" s="163"/>
      <c r="O315" s="165"/>
      <c r="P315" s="163"/>
      <c r="Q315" s="163"/>
      <c r="R315" s="163"/>
    </row>
    <row r="316" spans="1:18" ht="12">
      <c r="A316" s="33"/>
      <c r="B316" s="34"/>
      <c r="C316" s="35"/>
      <c r="D316" s="33"/>
      <c r="E316" s="165"/>
      <c r="F316" s="163"/>
      <c r="G316" s="163"/>
      <c r="H316" s="163"/>
      <c r="I316" s="163"/>
      <c r="J316" s="165"/>
      <c r="K316" s="163"/>
      <c r="L316" s="163"/>
      <c r="M316" s="163"/>
      <c r="N316" s="163"/>
      <c r="O316" s="165"/>
      <c r="P316" s="163"/>
      <c r="Q316" s="163"/>
      <c r="R316" s="163"/>
    </row>
    <row r="317" spans="1:18" ht="12">
      <c r="A317" s="33"/>
      <c r="B317" s="34"/>
      <c r="C317" s="35"/>
      <c r="D317" s="33"/>
      <c r="E317" s="165"/>
      <c r="F317" s="163"/>
      <c r="G317" s="163"/>
      <c r="H317" s="163"/>
      <c r="I317" s="163"/>
      <c r="J317" s="165"/>
      <c r="K317" s="163"/>
      <c r="L317" s="163"/>
      <c r="M317" s="163"/>
      <c r="N317" s="163"/>
      <c r="O317" s="165"/>
      <c r="P317" s="163"/>
      <c r="Q317" s="163"/>
      <c r="R317" s="163"/>
    </row>
    <row r="318" spans="1:18" ht="12">
      <c r="A318" s="33"/>
      <c r="B318" s="34"/>
      <c r="C318" s="35"/>
      <c r="D318" s="33"/>
      <c r="E318" s="165"/>
      <c r="F318" s="163"/>
      <c r="G318" s="163"/>
      <c r="H318" s="163"/>
      <c r="I318" s="163"/>
      <c r="J318" s="165"/>
      <c r="K318" s="163"/>
      <c r="L318" s="163"/>
      <c r="M318" s="163"/>
      <c r="N318" s="163"/>
      <c r="O318" s="165"/>
      <c r="P318" s="163"/>
      <c r="Q318" s="163"/>
      <c r="R318" s="163"/>
    </row>
    <row r="319" spans="1:18" ht="12">
      <c r="A319" s="33"/>
      <c r="B319" s="34"/>
      <c r="C319" s="35"/>
      <c r="D319" s="33"/>
      <c r="E319" s="165"/>
      <c r="F319" s="163"/>
      <c r="G319" s="163"/>
      <c r="H319" s="163"/>
      <c r="I319" s="163"/>
      <c r="J319" s="165"/>
      <c r="K319" s="163"/>
      <c r="L319" s="163"/>
      <c r="M319" s="163"/>
      <c r="N319" s="163"/>
      <c r="O319" s="165"/>
      <c r="P319" s="163"/>
      <c r="Q319" s="163"/>
      <c r="R319" s="163"/>
    </row>
    <row r="320" spans="1:18" ht="12">
      <c r="A320" s="33"/>
      <c r="B320" s="34"/>
      <c r="C320" s="35"/>
      <c r="D320" s="33"/>
      <c r="E320" s="165"/>
      <c r="F320" s="163"/>
      <c r="G320" s="163"/>
      <c r="H320" s="163"/>
      <c r="I320" s="163"/>
      <c r="J320" s="165"/>
      <c r="K320" s="163"/>
      <c r="L320" s="163"/>
      <c r="M320" s="163"/>
      <c r="N320" s="163"/>
      <c r="O320" s="165"/>
      <c r="P320" s="163"/>
      <c r="Q320" s="163"/>
      <c r="R320" s="163"/>
    </row>
    <row r="321" spans="1:18" ht="12">
      <c r="A321" s="33"/>
      <c r="B321" s="34"/>
      <c r="C321" s="35"/>
      <c r="D321" s="33"/>
      <c r="E321" s="165"/>
      <c r="F321" s="163"/>
      <c r="G321" s="163"/>
      <c r="H321" s="163"/>
      <c r="I321" s="163"/>
      <c r="J321" s="165"/>
      <c r="K321" s="163"/>
      <c r="L321" s="163"/>
      <c r="M321" s="163"/>
      <c r="N321" s="163"/>
      <c r="O321" s="165"/>
      <c r="P321" s="163"/>
      <c r="Q321" s="163"/>
      <c r="R321" s="163"/>
    </row>
    <row r="322" spans="1:18" ht="12">
      <c r="A322" s="33"/>
      <c r="B322" s="34"/>
      <c r="C322" s="35"/>
      <c r="D322" s="33"/>
      <c r="E322" s="165"/>
      <c r="F322" s="163"/>
      <c r="G322" s="163"/>
      <c r="H322" s="163"/>
      <c r="I322" s="163"/>
      <c r="J322" s="165"/>
      <c r="K322" s="163"/>
      <c r="L322" s="163"/>
      <c r="M322" s="163"/>
      <c r="N322" s="163"/>
      <c r="O322" s="165"/>
      <c r="P322" s="163"/>
      <c r="Q322" s="163"/>
      <c r="R322" s="163"/>
    </row>
    <row r="323" spans="1:18" ht="12">
      <c r="A323" s="33"/>
      <c r="B323" s="34"/>
      <c r="C323" s="35"/>
      <c r="D323" s="33"/>
      <c r="E323" s="165"/>
      <c r="F323" s="163"/>
      <c r="G323" s="163"/>
      <c r="H323" s="163"/>
      <c r="I323" s="163"/>
      <c r="J323" s="165"/>
      <c r="K323" s="163"/>
      <c r="L323" s="163"/>
      <c r="M323" s="163"/>
      <c r="N323" s="163"/>
      <c r="O323" s="165"/>
      <c r="P323" s="163"/>
      <c r="Q323" s="163"/>
      <c r="R323" s="163"/>
    </row>
    <row r="324" spans="1:18" ht="12">
      <c r="A324" s="33"/>
      <c r="B324" s="34"/>
      <c r="C324" s="35"/>
      <c r="D324" s="33"/>
      <c r="E324" s="165"/>
      <c r="F324" s="163"/>
      <c r="G324" s="163"/>
      <c r="H324" s="163"/>
      <c r="I324" s="163"/>
      <c r="J324" s="165"/>
      <c r="K324" s="163"/>
      <c r="L324" s="163"/>
      <c r="M324" s="163"/>
      <c r="N324" s="163"/>
      <c r="O324" s="165"/>
      <c r="P324" s="163"/>
      <c r="Q324" s="163"/>
      <c r="R324" s="163"/>
    </row>
    <row r="325" spans="1:18" ht="12">
      <c r="A325" s="33"/>
      <c r="B325" s="34"/>
      <c r="C325" s="35"/>
      <c r="D325" s="33"/>
      <c r="E325" s="165"/>
      <c r="F325" s="163"/>
      <c r="G325" s="163"/>
      <c r="H325" s="163"/>
      <c r="I325" s="163"/>
      <c r="J325" s="165"/>
      <c r="K325" s="163"/>
      <c r="L325" s="163"/>
      <c r="M325" s="163"/>
      <c r="N325" s="163"/>
      <c r="O325" s="165"/>
      <c r="P325" s="163"/>
      <c r="Q325" s="163"/>
      <c r="R325" s="163"/>
    </row>
    <row r="326" spans="1:18" ht="12">
      <c r="A326" s="33"/>
      <c r="B326" s="34"/>
      <c r="C326" s="35"/>
      <c r="D326" s="33"/>
      <c r="E326" s="165"/>
      <c r="F326" s="163"/>
      <c r="G326" s="163"/>
      <c r="H326" s="163"/>
      <c r="I326" s="163"/>
      <c r="J326" s="165"/>
      <c r="K326" s="163"/>
      <c r="L326" s="163"/>
      <c r="M326" s="163"/>
      <c r="N326" s="163"/>
      <c r="O326" s="165"/>
      <c r="P326" s="163"/>
      <c r="Q326" s="163"/>
      <c r="R326" s="163"/>
    </row>
    <row r="327" spans="1:18" ht="12">
      <c r="A327" s="33"/>
      <c r="B327" s="34"/>
      <c r="C327" s="35"/>
      <c r="D327" s="33"/>
      <c r="E327" s="165"/>
      <c r="F327" s="163"/>
      <c r="G327" s="163"/>
      <c r="H327" s="163"/>
      <c r="I327" s="163"/>
      <c r="J327" s="165"/>
      <c r="K327" s="163"/>
      <c r="L327" s="163"/>
      <c r="M327" s="163"/>
      <c r="N327" s="163"/>
      <c r="O327" s="165"/>
      <c r="P327" s="163"/>
      <c r="Q327" s="163"/>
      <c r="R327" s="163"/>
    </row>
    <row r="328" spans="1:18" ht="12">
      <c r="A328" s="33"/>
      <c r="B328" s="34"/>
      <c r="C328" s="35"/>
      <c r="D328" s="33"/>
      <c r="E328" s="165"/>
      <c r="F328" s="163"/>
      <c r="G328" s="163"/>
      <c r="H328" s="163"/>
      <c r="I328" s="163"/>
      <c r="J328" s="165"/>
      <c r="K328" s="163"/>
      <c r="L328" s="163"/>
      <c r="M328" s="163"/>
      <c r="N328" s="163"/>
      <c r="O328" s="165"/>
      <c r="P328" s="163"/>
      <c r="Q328" s="163"/>
      <c r="R328" s="163"/>
    </row>
    <row r="329" spans="1:18" ht="12">
      <c r="A329" s="33"/>
      <c r="B329" s="34"/>
      <c r="C329" s="35"/>
      <c r="D329" s="33"/>
      <c r="E329" s="165"/>
      <c r="F329" s="163"/>
      <c r="G329" s="163"/>
      <c r="H329" s="163"/>
      <c r="I329" s="163"/>
      <c r="J329" s="165"/>
      <c r="K329" s="163"/>
      <c r="L329" s="163"/>
      <c r="M329" s="163"/>
      <c r="N329" s="163"/>
      <c r="O329" s="165"/>
      <c r="P329" s="163"/>
      <c r="Q329" s="163"/>
      <c r="R329" s="163"/>
    </row>
    <row r="330" spans="1:18" ht="12">
      <c r="A330" s="33"/>
      <c r="B330" s="34"/>
      <c r="C330" s="35"/>
      <c r="D330" s="33"/>
      <c r="E330" s="165"/>
      <c r="F330" s="163"/>
      <c r="G330" s="163"/>
      <c r="H330" s="163"/>
      <c r="I330" s="163"/>
      <c r="J330" s="165"/>
      <c r="K330" s="163"/>
      <c r="L330" s="163"/>
      <c r="M330" s="163"/>
      <c r="N330" s="163"/>
      <c r="O330" s="165"/>
      <c r="P330" s="163"/>
      <c r="Q330" s="163"/>
      <c r="R330" s="163"/>
    </row>
    <row r="331" spans="1:18" ht="12">
      <c r="A331" s="33"/>
      <c r="B331" s="34"/>
      <c r="C331" s="35"/>
      <c r="D331" s="33"/>
      <c r="E331" s="165"/>
      <c r="F331" s="163"/>
      <c r="G331" s="163"/>
      <c r="H331" s="163"/>
      <c r="I331" s="163"/>
      <c r="J331" s="165"/>
      <c r="K331" s="163"/>
      <c r="L331" s="163"/>
      <c r="M331" s="163"/>
      <c r="N331" s="163"/>
      <c r="O331" s="165"/>
      <c r="P331" s="163"/>
      <c r="Q331" s="163"/>
      <c r="R331" s="163"/>
    </row>
    <row r="332" spans="1:18" ht="12">
      <c r="A332" s="33"/>
      <c r="B332" s="34"/>
      <c r="C332" s="35"/>
      <c r="D332" s="33"/>
      <c r="E332" s="165"/>
      <c r="F332" s="163"/>
      <c r="G332" s="163"/>
      <c r="H332" s="163"/>
      <c r="I332" s="163"/>
      <c r="J332" s="165"/>
      <c r="K332" s="163"/>
      <c r="L332" s="163"/>
      <c r="M332" s="163"/>
      <c r="N332" s="163"/>
      <c r="O332" s="165"/>
      <c r="P332" s="163"/>
      <c r="Q332" s="163"/>
      <c r="R332" s="163"/>
    </row>
    <row r="333" spans="1:18" ht="12">
      <c r="A333" s="33"/>
      <c r="B333" s="34"/>
      <c r="C333" s="35"/>
      <c r="D333" s="33"/>
      <c r="E333" s="165"/>
      <c r="F333" s="163"/>
      <c r="G333" s="163"/>
      <c r="H333" s="163"/>
      <c r="I333" s="163"/>
      <c r="J333" s="165"/>
      <c r="K333" s="163"/>
      <c r="L333" s="163"/>
      <c r="M333" s="163"/>
      <c r="N333" s="163"/>
      <c r="O333" s="165"/>
      <c r="P333" s="163"/>
      <c r="Q333" s="163"/>
      <c r="R333" s="163"/>
    </row>
    <row r="334" spans="1:18" ht="12">
      <c r="A334" s="33"/>
      <c r="B334" s="34"/>
      <c r="C334" s="35"/>
      <c r="D334" s="33"/>
      <c r="E334" s="165"/>
      <c r="F334" s="163"/>
      <c r="G334" s="163"/>
      <c r="H334" s="163"/>
      <c r="I334" s="163"/>
      <c r="J334" s="165"/>
      <c r="K334" s="163"/>
      <c r="L334" s="163"/>
      <c r="M334" s="163"/>
      <c r="N334" s="163"/>
      <c r="O334" s="165"/>
      <c r="P334" s="163"/>
      <c r="Q334" s="163"/>
      <c r="R334" s="163"/>
    </row>
    <row r="335" spans="1:18" ht="12">
      <c r="A335" s="33"/>
      <c r="B335" s="34"/>
      <c r="C335" s="35"/>
      <c r="D335" s="33"/>
      <c r="E335" s="165"/>
      <c r="F335" s="163"/>
      <c r="G335" s="163"/>
      <c r="H335" s="163"/>
      <c r="I335" s="163"/>
      <c r="J335" s="165"/>
      <c r="K335" s="163"/>
      <c r="L335" s="163"/>
      <c r="M335" s="163"/>
      <c r="N335" s="163"/>
      <c r="O335" s="165"/>
      <c r="P335" s="163"/>
      <c r="Q335" s="163"/>
      <c r="R335" s="163"/>
    </row>
    <row r="336" spans="1:18" ht="12">
      <c r="A336" s="33"/>
      <c r="B336" s="34"/>
      <c r="C336" s="35"/>
      <c r="D336" s="33"/>
      <c r="E336" s="165"/>
      <c r="F336" s="163"/>
      <c r="G336" s="163"/>
      <c r="H336" s="163"/>
      <c r="I336" s="163"/>
      <c r="J336" s="165"/>
      <c r="K336" s="163"/>
      <c r="L336" s="163"/>
      <c r="M336" s="163"/>
      <c r="N336" s="163"/>
      <c r="O336" s="165"/>
      <c r="P336" s="163"/>
      <c r="Q336" s="163"/>
      <c r="R336" s="163"/>
    </row>
    <row r="337" spans="1:18" ht="12">
      <c r="A337" s="33"/>
      <c r="B337" s="34"/>
      <c r="C337" s="35"/>
      <c r="D337" s="33"/>
      <c r="E337" s="165"/>
      <c r="F337" s="163"/>
      <c r="G337" s="163"/>
      <c r="H337" s="163"/>
      <c r="I337" s="163"/>
      <c r="J337" s="165"/>
      <c r="K337" s="163"/>
      <c r="L337" s="163"/>
      <c r="M337" s="163"/>
      <c r="N337" s="163"/>
      <c r="O337" s="165"/>
      <c r="P337" s="163"/>
      <c r="Q337" s="163"/>
      <c r="R337" s="163"/>
    </row>
    <row r="338" spans="1:18" ht="12">
      <c r="A338" s="33"/>
      <c r="B338" s="34"/>
      <c r="C338" s="35"/>
      <c r="D338" s="33"/>
      <c r="E338" s="165"/>
      <c r="F338" s="163"/>
      <c r="G338" s="163"/>
      <c r="H338" s="163"/>
      <c r="I338" s="163"/>
      <c r="J338" s="165"/>
      <c r="K338" s="163"/>
      <c r="L338" s="163"/>
      <c r="M338" s="163"/>
      <c r="N338" s="163"/>
      <c r="O338" s="165"/>
      <c r="P338" s="163"/>
      <c r="Q338" s="163"/>
      <c r="R338" s="163"/>
    </row>
    <row r="339" spans="1:18" ht="12">
      <c r="A339" s="33"/>
      <c r="B339" s="34"/>
      <c r="C339" s="35"/>
      <c r="D339" s="33"/>
      <c r="E339" s="165"/>
      <c r="F339" s="163"/>
      <c r="G339" s="163"/>
      <c r="H339" s="163"/>
      <c r="I339" s="163"/>
      <c r="J339" s="165"/>
      <c r="K339" s="163"/>
      <c r="L339" s="163"/>
      <c r="M339" s="163"/>
      <c r="N339" s="163"/>
      <c r="O339" s="165"/>
      <c r="P339" s="163"/>
      <c r="Q339" s="163"/>
      <c r="R339" s="163"/>
    </row>
    <row r="340" spans="1:18" ht="12">
      <c r="A340" s="33"/>
      <c r="B340" s="34"/>
      <c r="C340" s="35"/>
      <c r="D340" s="33"/>
      <c r="E340" s="165"/>
      <c r="F340" s="163"/>
      <c r="G340" s="163"/>
      <c r="H340" s="163"/>
      <c r="I340" s="163"/>
      <c r="J340" s="165"/>
      <c r="K340" s="163"/>
      <c r="L340" s="163"/>
      <c r="M340" s="163"/>
      <c r="N340" s="163"/>
      <c r="O340" s="165"/>
      <c r="P340" s="163"/>
      <c r="Q340" s="163"/>
      <c r="R340" s="163"/>
    </row>
    <row r="341" spans="1:18" ht="12">
      <c r="A341" s="33"/>
      <c r="B341" s="34"/>
      <c r="C341" s="35"/>
      <c r="D341" s="33"/>
      <c r="E341" s="165"/>
      <c r="F341" s="163"/>
      <c r="G341" s="163"/>
      <c r="H341" s="163"/>
      <c r="I341" s="163"/>
      <c r="J341" s="165"/>
      <c r="K341" s="163"/>
      <c r="L341" s="163"/>
      <c r="M341" s="163"/>
      <c r="N341" s="163"/>
      <c r="O341" s="165"/>
      <c r="P341" s="163"/>
      <c r="Q341" s="163"/>
      <c r="R341" s="163"/>
    </row>
    <row r="342" spans="1:18" ht="12">
      <c r="A342" s="33"/>
      <c r="B342" s="34"/>
      <c r="C342" s="35"/>
      <c r="D342" s="33"/>
      <c r="E342" s="165"/>
      <c r="F342" s="163"/>
      <c r="G342" s="163"/>
      <c r="H342" s="163"/>
      <c r="I342" s="163"/>
      <c r="J342" s="165"/>
      <c r="K342" s="163"/>
      <c r="L342" s="163"/>
      <c r="M342" s="163"/>
      <c r="N342" s="163"/>
      <c r="O342" s="165"/>
      <c r="P342" s="163"/>
      <c r="Q342" s="163"/>
      <c r="R342" s="163"/>
    </row>
    <row r="343" spans="1:18" ht="12">
      <c r="A343" s="33"/>
      <c r="B343" s="34"/>
      <c r="C343" s="35"/>
      <c r="D343" s="33"/>
      <c r="E343" s="165"/>
      <c r="F343" s="163"/>
      <c r="G343" s="163"/>
      <c r="H343" s="163"/>
      <c r="I343" s="163"/>
      <c r="J343" s="165"/>
      <c r="K343" s="163"/>
      <c r="L343" s="163"/>
      <c r="M343" s="163"/>
      <c r="N343" s="163"/>
      <c r="O343" s="165"/>
      <c r="P343" s="163"/>
      <c r="Q343" s="163"/>
      <c r="R343" s="163"/>
    </row>
    <row r="344" spans="1:18" ht="12">
      <c r="A344" s="33"/>
      <c r="B344" s="34"/>
      <c r="C344" s="35"/>
      <c r="D344" s="33"/>
      <c r="E344" s="165"/>
      <c r="F344" s="163"/>
      <c r="G344" s="163"/>
      <c r="H344" s="163"/>
      <c r="I344" s="163"/>
      <c r="J344" s="165"/>
      <c r="K344" s="163"/>
      <c r="L344" s="163"/>
      <c r="M344" s="163"/>
      <c r="N344" s="163"/>
      <c r="O344" s="165"/>
      <c r="P344" s="163"/>
      <c r="Q344" s="163"/>
      <c r="R344" s="163"/>
    </row>
    <row r="345" spans="1:18" ht="12">
      <c r="A345" s="33"/>
      <c r="B345" s="34"/>
      <c r="C345" s="35"/>
      <c r="D345" s="33"/>
      <c r="E345" s="165"/>
      <c r="F345" s="163"/>
      <c r="G345" s="163"/>
      <c r="H345" s="163"/>
      <c r="I345" s="163"/>
      <c r="J345" s="165"/>
      <c r="K345" s="163"/>
      <c r="L345" s="163"/>
      <c r="M345" s="163"/>
      <c r="N345" s="163"/>
      <c r="O345" s="165"/>
      <c r="P345" s="163"/>
      <c r="Q345" s="163"/>
      <c r="R345" s="163"/>
    </row>
    <row r="346" spans="1:18" ht="12">
      <c r="A346" s="33"/>
      <c r="B346" s="34"/>
      <c r="C346" s="35"/>
      <c r="D346" s="33"/>
      <c r="E346" s="165"/>
      <c r="F346" s="163"/>
      <c r="G346" s="163"/>
      <c r="H346" s="163"/>
      <c r="I346" s="163"/>
      <c r="J346" s="165"/>
      <c r="K346" s="163"/>
      <c r="L346" s="163"/>
      <c r="M346" s="163"/>
      <c r="N346" s="163"/>
      <c r="O346" s="165"/>
      <c r="P346" s="163"/>
      <c r="Q346" s="163"/>
      <c r="R346" s="163"/>
    </row>
    <row r="347" spans="1:18" ht="12">
      <c r="A347" s="33"/>
      <c r="B347" s="34"/>
      <c r="C347" s="35"/>
      <c r="D347" s="33"/>
      <c r="E347" s="165"/>
      <c r="F347" s="163"/>
      <c r="G347" s="163"/>
      <c r="H347" s="163"/>
      <c r="I347" s="163"/>
      <c r="J347" s="165"/>
      <c r="K347" s="163"/>
      <c r="L347" s="163"/>
      <c r="M347" s="163"/>
      <c r="N347" s="163"/>
      <c r="O347" s="165"/>
      <c r="P347" s="163"/>
      <c r="Q347" s="163"/>
      <c r="R347" s="163"/>
    </row>
    <row r="348" spans="1:18" ht="12">
      <c r="A348" s="33"/>
      <c r="B348" s="34"/>
      <c r="C348" s="35"/>
      <c r="D348" s="33"/>
      <c r="E348" s="165"/>
      <c r="F348" s="163"/>
      <c r="G348" s="163"/>
      <c r="H348" s="163"/>
      <c r="I348" s="163"/>
      <c r="J348" s="165"/>
      <c r="K348" s="163"/>
      <c r="L348" s="163"/>
      <c r="M348" s="163"/>
      <c r="N348" s="163"/>
      <c r="O348" s="165"/>
      <c r="P348" s="163"/>
      <c r="Q348" s="163"/>
      <c r="R348" s="163"/>
    </row>
    <row r="349" spans="1:18" ht="12">
      <c r="A349" s="33"/>
      <c r="B349" s="34"/>
      <c r="C349" s="35"/>
      <c r="D349" s="33"/>
      <c r="E349" s="165"/>
      <c r="F349" s="163"/>
      <c r="G349" s="163"/>
      <c r="H349" s="163"/>
      <c r="I349" s="163"/>
      <c r="J349" s="165"/>
      <c r="K349" s="163"/>
      <c r="L349" s="163"/>
      <c r="M349" s="163"/>
      <c r="N349" s="163"/>
      <c r="O349" s="165"/>
      <c r="P349" s="163"/>
      <c r="Q349" s="163"/>
      <c r="R349" s="163"/>
    </row>
    <row r="350" spans="1:18" ht="12">
      <c r="A350" s="33"/>
      <c r="B350" s="34"/>
      <c r="C350" s="35"/>
      <c r="D350" s="33"/>
      <c r="E350" s="165"/>
      <c r="F350" s="163"/>
      <c r="G350" s="163"/>
      <c r="H350" s="163"/>
      <c r="I350" s="163"/>
      <c r="J350" s="165"/>
      <c r="K350" s="163"/>
      <c r="L350" s="163"/>
      <c r="M350" s="163"/>
      <c r="N350" s="163"/>
      <c r="O350" s="165"/>
      <c r="P350" s="163"/>
      <c r="Q350" s="163"/>
      <c r="R350" s="163"/>
    </row>
    <row r="351" spans="1:18" ht="12">
      <c r="A351" s="33"/>
      <c r="B351" s="34"/>
      <c r="C351" s="35"/>
      <c r="D351" s="33"/>
      <c r="E351" s="165"/>
      <c r="F351" s="163"/>
      <c r="G351" s="163"/>
      <c r="H351" s="163"/>
      <c r="I351" s="163"/>
      <c r="J351" s="165"/>
      <c r="K351" s="163"/>
      <c r="L351" s="163"/>
      <c r="M351" s="163"/>
      <c r="N351" s="163"/>
      <c r="O351" s="165"/>
      <c r="P351" s="163"/>
      <c r="Q351" s="163"/>
      <c r="R351" s="163"/>
    </row>
    <row r="352" spans="1:18" ht="12">
      <c r="A352" s="33"/>
      <c r="B352" s="34"/>
      <c r="C352" s="35"/>
      <c r="D352" s="33"/>
      <c r="E352" s="165"/>
      <c r="F352" s="163"/>
      <c r="G352" s="163"/>
      <c r="H352" s="163"/>
      <c r="I352" s="163"/>
      <c r="J352" s="165"/>
      <c r="K352" s="163"/>
      <c r="L352" s="163"/>
      <c r="M352" s="163"/>
      <c r="N352" s="163"/>
      <c r="O352" s="165"/>
      <c r="P352" s="163"/>
      <c r="Q352" s="163"/>
      <c r="R352" s="163"/>
    </row>
    <row r="353" spans="1:18" ht="12">
      <c r="A353" s="33"/>
      <c r="B353" s="34"/>
      <c r="C353" s="35"/>
      <c r="D353" s="33"/>
      <c r="E353" s="165"/>
      <c r="F353" s="163"/>
      <c r="G353" s="163"/>
      <c r="H353" s="163"/>
      <c r="I353" s="163"/>
      <c r="J353" s="165"/>
      <c r="K353" s="163"/>
      <c r="L353" s="163"/>
      <c r="M353" s="163"/>
      <c r="N353" s="163"/>
      <c r="O353" s="165"/>
      <c r="P353" s="163"/>
      <c r="Q353" s="163"/>
      <c r="R353" s="163"/>
    </row>
    <row r="354" spans="1:18" ht="12">
      <c r="A354" s="33"/>
      <c r="B354" s="34"/>
      <c r="C354" s="35"/>
      <c r="D354" s="33"/>
      <c r="E354" s="165"/>
      <c r="F354" s="163"/>
      <c r="G354" s="163"/>
      <c r="H354" s="163"/>
      <c r="I354" s="163"/>
      <c r="J354" s="165"/>
      <c r="K354" s="163"/>
      <c r="L354" s="163"/>
      <c r="M354" s="163"/>
      <c r="N354" s="163"/>
      <c r="O354" s="165"/>
      <c r="P354" s="163"/>
      <c r="Q354" s="163"/>
      <c r="R354" s="163"/>
    </row>
    <row r="355" spans="1:18" ht="12">
      <c r="A355" s="33"/>
      <c r="B355" s="34"/>
      <c r="C355" s="35"/>
      <c r="D355" s="33"/>
      <c r="E355" s="165"/>
      <c r="F355" s="163"/>
      <c r="G355" s="163"/>
      <c r="H355" s="163"/>
      <c r="I355" s="163"/>
      <c r="J355" s="165"/>
      <c r="K355" s="163"/>
      <c r="L355" s="163"/>
      <c r="M355" s="163"/>
      <c r="N355" s="163"/>
      <c r="O355" s="165"/>
      <c r="P355" s="163"/>
      <c r="Q355" s="163"/>
      <c r="R355" s="163"/>
    </row>
    <row r="356" spans="1:18">
      <c r="A356" s="33"/>
      <c r="B356" s="34"/>
      <c r="C356" s="35"/>
      <c r="D356" s="33"/>
      <c r="E356" s="35"/>
      <c r="F356" s="33"/>
      <c r="G356" s="33"/>
      <c r="H356" s="36"/>
      <c r="I356" s="33"/>
      <c r="J356" s="35"/>
      <c r="K356" s="33"/>
      <c r="L356" s="33"/>
      <c r="M356" s="36"/>
      <c r="N356" s="33"/>
      <c r="O356" s="35"/>
      <c r="P356" s="33"/>
      <c r="Q356" s="33"/>
      <c r="R356" s="36"/>
    </row>
    <row r="357" spans="1:18">
      <c r="A357" s="33"/>
      <c r="B357" s="34"/>
      <c r="C357" s="35"/>
      <c r="D357" s="33"/>
      <c r="E357" s="35"/>
      <c r="F357" s="33"/>
      <c r="G357" s="33"/>
      <c r="H357" s="36"/>
      <c r="I357" s="33"/>
      <c r="J357" s="35"/>
      <c r="K357" s="33"/>
      <c r="L357" s="33"/>
      <c r="M357" s="36"/>
      <c r="N357" s="33"/>
      <c r="O357" s="35"/>
      <c r="P357" s="33"/>
      <c r="Q357" s="33"/>
      <c r="R357" s="36"/>
    </row>
    <row r="358" spans="1:18">
      <c r="A358" s="33"/>
      <c r="B358" s="34"/>
      <c r="C358" s="35"/>
      <c r="D358" s="33"/>
      <c r="E358" s="35"/>
      <c r="F358" s="33"/>
      <c r="G358" s="33"/>
      <c r="H358" s="36"/>
      <c r="I358" s="33"/>
      <c r="J358" s="35"/>
      <c r="K358" s="33"/>
      <c r="L358" s="33"/>
      <c r="M358" s="36"/>
      <c r="N358" s="33"/>
      <c r="O358" s="35"/>
      <c r="P358" s="33"/>
      <c r="Q358" s="33"/>
      <c r="R358" s="36"/>
    </row>
    <row r="359" spans="1:18">
      <c r="A359" s="33"/>
      <c r="B359" s="34"/>
      <c r="C359" s="35"/>
      <c r="D359" s="33"/>
      <c r="E359" s="35"/>
      <c r="F359" s="33"/>
      <c r="G359" s="33"/>
      <c r="H359" s="36"/>
      <c r="I359" s="33"/>
      <c r="J359" s="35"/>
      <c r="K359" s="33"/>
      <c r="L359" s="33"/>
      <c r="M359" s="36"/>
      <c r="N359" s="33"/>
      <c r="O359" s="35"/>
      <c r="P359" s="33"/>
      <c r="Q359" s="33"/>
      <c r="R359" s="36"/>
    </row>
    <row r="360" spans="1:18">
      <c r="A360" s="33"/>
      <c r="B360" s="34"/>
      <c r="C360" s="35"/>
      <c r="D360" s="33"/>
      <c r="E360" s="35"/>
      <c r="F360" s="33"/>
      <c r="G360" s="33"/>
      <c r="H360" s="36"/>
      <c r="I360" s="33"/>
      <c r="J360" s="35"/>
      <c r="K360" s="33"/>
      <c r="L360" s="33"/>
      <c r="M360" s="36"/>
      <c r="N360" s="33"/>
      <c r="O360" s="35"/>
      <c r="P360" s="33"/>
      <c r="Q360" s="33"/>
      <c r="R360" s="36"/>
    </row>
    <row r="361" spans="1:18">
      <c r="A361" s="33"/>
      <c r="B361" s="34"/>
      <c r="C361" s="35"/>
      <c r="D361" s="33"/>
      <c r="E361" s="35"/>
      <c r="F361" s="33"/>
      <c r="G361" s="33"/>
      <c r="H361" s="36"/>
      <c r="I361" s="33"/>
      <c r="J361" s="35"/>
      <c r="K361" s="33"/>
      <c r="L361" s="33"/>
      <c r="M361" s="36"/>
      <c r="N361" s="33"/>
      <c r="O361" s="35"/>
      <c r="P361" s="33"/>
      <c r="Q361" s="33"/>
      <c r="R361" s="36"/>
    </row>
    <row r="362" spans="1:18">
      <c r="A362" s="33"/>
      <c r="B362" s="34"/>
      <c r="C362" s="35"/>
      <c r="D362" s="33"/>
      <c r="E362" s="35"/>
      <c r="F362" s="33"/>
      <c r="G362" s="33"/>
      <c r="H362" s="36"/>
      <c r="I362" s="33"/>
      <c r="J362" s="35"/>
      <c r="K362" s="33"/>
      <c r="L362" s="33"/>
      <c r="M362" s="36"/>
      <c r="N362" s="33"/>
      <c r="O362" s="35"/>
      <c r="P362" s="33"/>
      <c r="Q362" s="33"/>
      <c r="R362" s="36"/>
    </row>
    <row r="363" spans="1:18">
      <c r="A363" s="33"/>
      <c r="B363" s="34"/>
      <c r="C363" s="35"/>
      <c r="D363" s="33"/>
      <c r="E363" s="35"/>
      <c r="F363" s="33"/>
      <c r="G363" s="33"/>
      <c r="H363" s="36"/>
      <c r="I363" s="33"/>
      <c r="J363" s="35"/>
      <c r="K363" s="33"/>
      <c r="L363" s="33"/>
      <c r="M363" s="36"/>
      <c r="N363" s="33"/>
      <c r="O363" s="35"/>
      <c r="P363" s="33"/>
      <c r="Q363" s="33"/>
      <c r="R363" s="36"/>
    </row>
    <row r="364" spans="1:18">
      <c r="A364" s="33"/>
      <c r="B364" s="34"/>
      <c r="C364" s="35"/>
      <c r="D364" s="33"/>
      <c r="E364" s="35"/>
      <c r="F364" s="33"/>
      <c r="G364" s="33"/>
      <c r="H364" s="36"/>
      <c r="I364" s="33"/>
      <c r="J364" s="35"/>
      <c r="K364" s="33"/>
      <c r="L364" s="33"/>
      <c r="M364" s="36"/>
      <c r="N364" s="33"/>
      <c r="O364" s="35"/>
      <c r="P364" s="33"/>
      <c r="Q364" s="33"/>
      <c r="R364" s="36"/>
    </row>
    <row r="365" spans="1:18">
      <c r="A365" s="33"/>
      <c r="B365" s="34"/>
      <c r="C365" s="35"/>
      <c r="D365" s="33"/>
      <c r="E365" s="35"/>
      <c r="F365" s="33"/>
      <c r="G365" s="33"/>
      <c r="H365" s="36"/>
      <c r="I365" s="33"/>
      <c r="J365" s="35"/>
      <c r="K365" s="33"/>
      <c r="L365" s="33"/>
      <c r="M365" s="36"/>
      <c r="N365" s="33"/>
      <c r="O365" s="35"/>
      <c r="P365" s="33"/>
      <c r="Q365" s="33"/>
      <c r="R365" s="36"/>
    </row>
    <row r="366" spans="1:18">
      <c r="A366" s="33"/>
      <c r="B366" s="34"/>
      <c r="C366" s="35"/>
      <c r="D366" s="33"/>
      <c r="E366" s="35"/>
      <c r="F366" s="33"/>
      <c r="G366" s="33"/>
      <c r="H366" s="36"/>
      <c r="I366" s="33"/>
      <c r="J366" s="35"/>
      <c r="K366" s="33"/>
      <c r="L366" s="33"/>
      <c r="M366" s="36"/>
      <c r="N366" s="33"/>
      <c r="O366" s="35"/>
      <c r="P366" s="33"/>
      <c r="Q366" s="33"/>
      <c r="R366" s="36"/>
    </row>
    <row r="367" spans="1:18">
      <c r="A367" s="33"/>
      <c r="B367" s="34"/>
      <c r="C367" s="35"/>
      <c r="D367" s="33"/>
      <c r="E367" s="35"/>
      <c r="F367" s="33"/>
      <c r="G367" s="33"/>
      <c r="H367" s="36"/>
      <c r="I367" s="33"/>
      <c r="J367" s="35"/>
      <c r="K367" s="33"/>
      <c r="L367" s="33"/>
      <c r="M367" s="36"/>
      <c r="N367" s="33"/>
      <c r="O367" s="35"/>
      <c r="P367" s="33"/>
      <c r="Q367" s="33"/>
      <c r="R367" s="36"/>
    </row>
    <row r="368" spans="1:18">
      <c r="A368" s="33"/>
      <c r="B368" s="34"/>
      <c r="C368" s="35"/>
      <c r="D368" s="33"/>
      <c r="E368" s="35"/>
      <c r="F368" s="33"/>
      <c r="G368" s="33"/>
      <c r="H368" s="36"/>
      <c r="I368" s="33"/>
      <c r="J368" s="35"/>
      <c r="K368" s="33"/>
      <c r="L368" s="33"/>
      <c r="M368" s="36"/>
      <c r="N368" s="33"/>
      <c r="O368" s="35"/>
      <c r="P368" s="33"/>
      <c r="Q368" s="33"/>
      <c r="R368" s="36"/>
    </row>
    <row r="369" spans="1:18">
      <c r="A369" s="33"/>
      <c r="B369" s="34"/>
      <c r="C369" s="35"/>
      <c r="D369" s="33"/>
      <c r="E369" s="35"/>
      <c r="F369" s="33"/>
      <c r="G369" s="33"/>
      <c r="H369" s="36"/>
      <c r="I369" s="33"/>
      <c r="J369" s="35"/>
      <c r="K369" s="33"/>
      <c r="L369" s="33"/>
      <c r="M369" s="36"/>
      <c r="N369" s="33"/>
      <c r="O369" s="35"/>
      <c r="P369" s="33"/>
      <c r="Q369" s="33"/>
      <c r="R369" s="36"/>
    </row>
    <row r="370" spans="1:18">
      <c r="A370" s="33"/>
      <c r="B370" s="34"/>
      <c r="C370" s="35"/>
      <c r="D370" s="33"/>
      <c r="E370" s="35"/>
      <c r="F370" s="33"/>
      <c r="G370" s="33"/>
      <c r="H370" s="36"/>
      <c r="I370" s="33"/>
      <c r="J370" s="35"/>
      <c r="K370" s="33"/>
      <c r="L370" s="33"/>
      <c r="M370" s="36"/>
      <c r="N370" s="33"/>
      <c r="O370" s="35"/>
      <c r="P370" s="33"/>
      <c r="Q370" s="33"/>
      <c r="R370" s="36"/>
    </row>
    <row r="371" spans="1:18">
      <c r="A371" s="33"/>
      <c r="B371" s="34"/>
      <c r="C371" s="35"/>
      <c r="D371" s="33"/>
      <c r="E371" s="35"/>
      <c r="F371" s="33"/>
      <c r="G371" s="33"/>
      <c r="H371" s="36"/>
      <c r="I371" s="33"/>
      <c r="J371" s="35"/>
      <c r="K371" s="33"/>
      <c r="L371" s="33"/>
      <c r="M371" s="36"/>
      <c r="N371" s="33"/>
      <c r="O371" s="35"/>
      <c r="P371" s="33"/>
      <c r="Q371" s="33"/>
      <c r="R371" s="36"/>
    </row>
    <row r="372" spans="1:18">
      <c r="A372" s="33"/>
      <c r="B372" s="34"/>
      <c r="C372" s="35"/>
      <c r="D372" s="33"/>
      <c r="E372" s="35"/>
      <c r="F372" s="33"/>
      <c r="G372" s="33"/>
      <c r="H372" s="36"/>
      <c r="I372" s="33"/>
      <c r="J372" s="35"/>
      <c r="K372" s="33"/>
      <c r="L372" s="33"/>
      <c r="M372" s="36"/>
      <c r="N372" s="33"/>
      <c r="O372" s="35"/>
      <c r="P372" s="33"/>
      <c r="Q372" s="33"/>
      <c r="R372" s="36"/>
    </row>
    <row r="373" spans="1:18">
      <c r="A373" s="33"/>
      <c r="B373" s="34"/>
      <c r="C373" s="35"/>
      <c r="D373" s="33"/>
      <c r="E373" s="35"/>
      <c r="F373" s="33"/>
      <c r="G373" s="33"/>
      <c r="H373" s="36"/>
      <c r="I373" s="33"/>
      <c r="J373" s="35"/>
      <c r="K373" s="33"/>
      <c r="L373" s="33"/>
      <c r="M373" s="36"/>
      <c r="N373" s="33"/>
      <c r="O373" s="35"/>
      <c r="P373" s="33"/>
      <c r="Q373" s="33"/>
      <c r="R373" s="36"/>
    </row>
    <row r="374" spans="1:18">
      <c r="A374" s="33"/>
      <c r="B374" s="34"/>
      <c r="C374" s="35"/>
      <c r="D374" s="33"/>
      <c r="E374" s="35"/>
      <c r="F374" s="33"/>
      <c r="G374" s="33"/>
      <c r="H374" s="36"/>
      <c r="I374" s="33"/>
      <c r="J374" s="35"/>
      <c r="K374" s="33"/>
      <c r="L374" s="33"/>
      <c r="M374" s="36"/>
      <c r="N374" s="33"/>
      <c r="O374" s="35"/>
      <c r="P374" s="33"/>
      <c r="Q374" s="33"/>
      <c r="R374" s="36"/>
    </row>
    <row r="375" spans="1:18">
      <c r="A375" s="33"/>
      <c r="B375" s="34"/>
      <c r="C375" s="35"/>
      <c r="D375" s="33"/>
      <c r="E375" s="35"/>
      <c r="F375" s="33"/>
      <c r="G375" s="33"/>
      <c r="H375" s="36"/>
      <c r="I375" s="33"/>
      <c r="J375" s="35"/>
      <c r="K375" s="33"/>
      <c r="L375" s="33"/>
      <c r="M375" s="36"/>
      <c r="N375" s="33"/>
      <c r="O375" s="35"/>
      <c r="P375" s="33"/>
      <c r="Q375" s="33"/>
      <c r="R375" s="36"/>
    </row>
    <row r="376" spans="1:18">
      <c r="A376" s="33"/>
      <c r="B376" s="34"/>
      <c r="C376" s="35"/>
      <c r="D376" s="33"/>
      <c r="E376" s="35"/>
      <c r="F376" s="33"/>
      <c r="G376" s="33"/>
      <c r="H376" s="36"/>
      <c r="I376" s="33"/>
      <c r="J376" s="35"/>
      <c r="K376" s="33"/>
      <c r="L376" s="33"/>
      <c r="M376" s="36"/>
      <c r="N376" s="33"/>
      <c r="O376" s="35"/>
      <c r="P376" s="33"/>
      <c r="Q376" s="33"/>
      <c r="R376" s="36"/>
    </row>
    <row r="377" spans="1:18">
      <c r="A377" s="33"/>
      <c r="B377" s="34"/>
      <c r="C377" s="35"/>
      <c r="D377" s="33"/>
      <c r="E377" s="35"/>
      <c r="F377" s="33"/>
      <c r="G377" s="33"/>
      <c r="H377" s="36"/>
      <c r="I377" s="33"/>
      <c r="J377" s="35"/>
      <c r="K377" s="33"/>
      <c r="L377" s="33"/>
      <c r="M377" s="36"/>
      <c r="N377" s="33"/>
      <c r="O377" s="35"/>
      <c r="P377" s="33"/>
      <c r="Q377" s="33"/>
      <c r="R377" s="36"/>
    </row>
    <row r="378" spans="1:18">
      <c r="A378" s="33"/>
      <c r="B378" s="34"/>
      <c r="C378" s="35"/>
      <c r="D378" s="33"/>
      <c r="E378" s="35"/>
      <c r="F378" s="33"/>
      <c r="G378" s="33"/>
      <c r="H378" s="36"/>
      <c r="I378" s="33"/>
      <c r="J378" s="35"/>
      <c r="K378" s="33"/>
      <c r="L378" s="33"/>
      <c r="M378" s="36"/>
      <c r="N378" s="33"/>
      <c r="O378" s="35"/>
      <c r="P378" s="33"/>
      <c r="Q378" s="33"/>
      <c r="R378" s="36"/>
    </row>
    <row r="379" spans="1:18">
      <c r="A379" s="33"/>
      <c r="B379" s="34"/>
      <c r="C379" s="35"/>
      <c r="D379" s="33"/>
      <c r="E379" s="35"/>
      <c r="F379" s="33"/>
      <c r="G379" s="33"/>
      <c r="H379" s="36"/>
      <c r="I379" s="33"/>
      <c r="J379" s="35"/>
      <c r="K379" s="33"/>
      <c r="L379" s="33"/>
      <c r="M379" s="36"/>
      <c r="N379" s="33"/>
      <c r="O379" s="35"/>
      <c r="P379" s="33"/>
      <c r="Q379" s="33"/>
      <c r="R379" s="36"/>
    </row>
    <row r="380" spans="1:18">
      <c r="A380" s="33"/>
      <c r="B380" s="34"/>
      <c r="C380" s="35"/>
      <c r="D380" s="33"/>
      <c r="E380" s="35"/>
      <c r="F380" s="33"/>
      <c r="G380" s="33"/>
      <c r="H380" s="36"/>
      <c r="I380" s="33"/>
      <c r="J380" s="35"/>
      <c r="K380" s="33"/>
      <c r="L380" s="33"/>
      <c r="M380" s="36"/>
      <c r="N380" s="33"/>
      <c r="O380" s="35"/>
      <c r="P380" s="33"/>
      <c r="Q380" s="33"/>
      <c r="R380" s="36"/>
    </row>
    <row r="381" spans="1:18">
      <c r="A381" s="33"/>
      <c r="B381" s="34"/>
      <c r="C381" s="35"/>
      <c r="D381" s="33"/>
      <c r="E381" s="35"/>
      <c r="F381" s="33"/>
      <c r="G381" s="33"/>
      <c r="H381" s="36"/>
      <c r="I381" s="33"/>
      <c r="J381" s="35"/>
      <c r="K381" s="33"/>
      <c r="L381" s="33"/>
      <c r="M381" s="36"/>
      <c r="N381" s="33"/>
      <c r="O381" s="35"/>
      <c r="P381" s="33"/>
      <c r="Q381" s="33"/>
      <c r="R381" s="36"/>
    </row>
    <row r="382" spans="1:18">
      <c r="A382" s="33"/>
      <c r="B382" s="34"/>
      <c r="C382" s="35"/>
      <c r="D382" s="33"/>
      <c r="E382" s="35"/>
      <c r="F382" s="33"/>
      <c r="G382" s="33"/>
      <c r="H382" s="36"/>
      <c r="I382" s="33"/>
      <c r="J382" s="35"/>
      <c r="K382" s="33"/>
      <c r="L382" s="33"/>
      <c r="M382" s="36"/>
      <c r="N382" s="33"/>
      <c r="O382" s="35"/>
      <c r="P382" s="33"/>
      <c r="Q382" s="33"/>
      <c r="R382" s="36"/>
    </row>
    <row r="383" spans="1:18">
      <c r="A383" s="33"/>
      <c r="B383" s="34"/>
      <c r="C383" s="35"/>
      <c r="D383" s="33"/>
      <c r="E383" s="35"/>
      <c r="F383" s="33"/>
      <c r="G383" s="33"/>
      <c r="H383" s="36"/>
      <c r="I383" s="33"/>
      <c r="J383" s="35"/>
      <c r="K383" s="33"/>
      <c r="L383" s="33"/>
      <c r="M383" s="36"/>
      <c r="N383" s="33"/>
      <c r="O383" s="35"/>
      <c r="P383" s="33"/>
      <c r="Q383" s="33"/>
      <c r="R383" s="36"/>
    </row>
    <row r="384" spans="1:18">
      <c r="A384" s="33"/>
      <c r="B384" s="34"/>
      <c r="C384" s="35"/>
      <c r="D384" s="33"/>
      <c r="E384" s="35"/>
      <c r="F384" s="33"/>
      <c r="G384" s="33"/>
      <c r="H384" s="36"/>
      <c r="I384" s="33"/>
      <c r="J384" s="35"/>
      <c r="K384" s="33"/>
      <c r="L384" s="33"/>
      <c r="M384" s="36"/>
      <c r="N384" s="33"/>
      <c r="O384" s="35"/>
      <c r="P384" s="33"/>
      <c r="Q384" s="33"/>
      <c r="R384" s="36"/>
    </row>
    <row r="385" spans="1:18">
      <c r="A385" s="33"/>
      <c r="B385" s="34"/>
      <c r="C385" s="35"/>
      <c r="D385" s="33"/>
      <c r="E385" s="35"/>
      <c r="F385" s="33"/>
      <c r="G385" s="33"/>
      <c r="H385" s="36"/>
      <c r="I385" s="33"/>
      <c r="J385" s="35"/>
      <c r="K385" s="33"/>
      <c r="L385" s="33"/>
      <c r="M385" s="36"/>
      <c r="N385" s="33"/>
      <c r="O385" s="35"/>
      <c r="P385" s="33"/>
      <c r="Q385" s="33"/>
      <c r="R385" s="36"/>
    </row>
    <row r="386" spans="1:18">
      <c r="A386" s="33"/>
      <c r="B386" s="34"/>
      <c r="C386" s="35"/>
      <c r="D386" s="33"/>
      <c r="E386" s="35"/>
      <c r="F386" s="33"/>
      <c r="G386" s="33"/>
      <c r="H386" s="36"/>
      <c r="I386" s="33"/>
      <c r="J386" s="35"/>
      <c r="K386" s="33"/>
      <c r="L386" s="33"/>
      <c r="M386" s="36"/>
      <c r="N386" s="33"/>
      <c r="O386" s="35"/>
      <c r="P386" s="33"/>
      <c r="Q386" s="33"/>
      <c r="R386" s="36"/>
    </row>
    <row r="387" spans="1:18">
      <c r="A387" s="33"/>
      <c r="B387" s="34"/>
      <c r="C387" s="35"/>
      <c r="D387" s="33"/>
      <c r="E387" s="35"/>
      <c r="F387" s="33"/>
      <c r="G387" s="33"/>
      <c r="H387" s="36"/>
      <c r="I387" s="33"/>
      <c r="J387" s="35"/>
      <c r="K387" s="33"/>
      <c r="L387" s="33"/>
      <c r="M387" s="36"/>
      <c r="N387" s="33"/>
      <c r="O387" s="35"/>
      <c r="P387" s="33"/>
      <c r="Q387" s="33"/>
      <c r="R387" s="36"/>
    </row>
    <row r="388" spans="1:18">
      <c r="A388" s="33"/>
      <c r="B388" s="34"/>
      <c r="C388" s="35"/>
      <c r="D388" s="33"/>
      <c r="E388" s="35"/>
      <c r="F388" s="33"/>
      <c r="G388" s="33"/>
      <c r="H388" s="36"/>
      <c r="I388" s="33"/>
      <c r="J388" s="35"/>
      <c r="K388" s="33"/>
      <c r="L388" s="33"/>
      <c r="M388" s="36"/>
      <c r="N388" s="33"/>
      <c r="O388" s="35"/>
      <c r="P388" s="33"/>
      <c r="Q388" s="33"/>
      <c r="R388" s="36"/>
    </row>
    <row r="389" spans="1:18">
      <c r="A389" s="33"/>
      <c r="B389" s="34"/>
      <c r="C389" s="35"/>
      <c r="D389" s="33"/>
      <c r="E389" s="35"/>
      <c r="F389" s="33"/>
      <c r="G389" s="33"/>
      <c r="H389" s="36"/>
      <c r="I389" s="33"/>
      <c r="J389" s="35"/>
      <c r="K389" s="33"/>
      <c r="L389" s="33"/>
      <c r="M389" s="36"/>
      <c r="N389" s="33"/>
      <c r="O389" s="35"/>
      <c r="P389" s="33"/>
      <c r="Q389" s="33"/>
      <c r="R389" s="36"/>
    </row>
    <row r="390" spans="1:18">
      <c r="A390" s="33"/>
      <c r="B390" s="34"/>
      <c r="C390" s="35"/>
      <c r="D390" s="33"/>
      <c r="E390" s="35"/>
      <c r="F390" s="33"/>
      <c r="G390" s="33"/>
      <c r="H390" s="36"/>
      <c r="I390" s="33"/>
      <c r="J390" s="35"/>
      <c r="K390" s="33"/>
      <c r="L390" s="33"/>
      <c r="M390" s="36"/>
      <c r="N390" s="33"/>
      <c r="O390" s="35"/>
      <c r="P390" s="33"/>
      <c r="Q390" s="33"/>
      <c r="R390" s="36"/>
    </row>
    <row r="391" spans="1:18">
      <c r="A391" s="33"/>
      <c r="B391" s="34"/>
      <c r="C391" s="35"/>
      <c r="D391" s="33"/>
      <c r="E391" s="35"/>
      <c r="F391" s="33"/>
      <c r="G391" s="33"/>
      <c r="H391" s="36"/>
      <c r="I391" s="33"/>
      <c r="J391" s="35"/>
      <c r="K391" s="33"/>
      <c r="L391" s="33"/>
      <c r="M391" s="36"/>
      <c r="N391" s="33"/>
      <c r="O391" s="35"/>
      <c r="P391" s="33"/>
      <c r="Q391" s="33"/>
      <c r="R391" s="36"/>
    </row>
    <row r="392" spans="1:18">
      <c r="A392" s="33"/>
      <c r="B392" s="34"/>
      <c r="C392" s="35"/>
      <c r="D392" s="33"/>
      <c r="E392" s="35"/>
      <c r="F392" s="33"/>
      <c r="G392" s="33"/>
      <c r="H392" s="36"/>
      <c r="I392" s="33"/>
      <c r="J392" s="35"/>
      <c r="K392" s="33"/>
      <c r="L392" s="33"/>
      <c r="M392" s="36"/>
      <c r="N392" s="33"/>
      <c r="O392" s="35"/>
      <c r="P392" s="33"/>
      <c r="Q392" s="33"/>
      <c r="R392" s="36"/>
    </row>
    <row r="393" spans="1:18">
      <c r="A393" s="33"/>
      <c r="B393" s="34"/>
      <c r="C393" s="35"/>
      <c r="D393" s="33"/>
      <c r="E393" s="35"/>
      <c r="F393" s="33"/>
      <c r="G393" s="33"/>
      <c r="H393" s="36"/>
      <c r="I393" s="33"/>
      <c r="J393" s="35"/>
      <c r="K393" s="33"/>
      <c r="L393" s="33"/>
      <c r="M393" s="36"/>
      <c r="N393" s="33"/>
      <c r="O393" s="35"/>
      <c r="P393" s="33"/>
      <c r="Q393" s="33"/>
      <c r="R393" s="36"/>
    </row>
    <row r="394" spans="1:18">
      <c r="A394" s="33"/>
      <c r="B394" s="34"/>
      <c r="C394" s="35"/>
      <c r="D394" s="33"/>
      <c r="E394" s="35"/>
      <c r="F394" s="33"/>
      <c r="G394" s="33"/>
      <c r="H394" s="36"/>
      <c r="I394" s="33"/>
      <c r="J394" s="35"/>
      <c r="K394" s="33"/>
      <c r="L394" s="33"/>
      <c r="M394" s="36"/>
      <c r="N394" s="33"/>
      <c r="O394" s="35"/>
      <c r="P394" s="33"/>
      <c r="Q394" s="33"/>
      <c r="R394" s="36"/>
    </row>
    <row r="395" spans="1:18">
      <c r="A395" s="33"/>
      <c r="B395" s="34"/>
      <c r="C395" s="35"/>
      <c r="D395" s="33"/>
      <c r="E395" s="35"/>
      <c r="F395" s="33"/>
      <c r="G395" s="33"/>
      <c r="H395" s="36"/>
      <c r="I395" s="33"/>
      <c r="J395" s="35"/>
      <c r="K395" s="33"/>
      <c r="L395" s="33"/>
      <c r="M395" s="36"/>
      <c r="N395" s="33"/>
      <c r="O395" s="35"/>
      <c r="P395" s="33"/>
      <c r="Q395" s="33"/>
      <c r="R395" s="36"/>
    </row>
    <row r="396" spans="1:18">
      <c r="A396" s="33"/>
      <c r="B396" s="34"/>
      <c r="C396" s="35"/>
      <c r="D396" s="33"/>
      <c r="E396" s="35"/>
      <c r="F396" s="33"/>
      <c r="G396" s="33"/>
      <c r="H396" s="36"/>
      <c r="I396" s="33"/>
      <c r="J396" s="35"/>
      <c r="K396" s="33"/>
      <c r="L396" s="33"/>
      <c r="M396" s="36"/>
      <c r="N396" s="33"/>
      <c r="O396" s="35"/>
      <c r="P396" s="33"/>
      <c r="Q396" s="33"/>
      <c r="R396" s="36"/>
    </row>
    <row r="397" spans="1:18">
      <c r="A397" s="33"/>
      <c r="B397" s="34"/>
      <c r="C397" s="35"/>
      <c r="D397" s="33"/>
      <c r="E397" s="35"/>
      <c r="F397" s="33"/>
      <c r="G397" s="33"/>
      <c r="H397" s="36"/>
      <c r="I397" s="33"/>
      <c r="J397" s="35"/>
      <c r="K397" s="33"/>
      <c r="L397" s="33"/>
      <c r="M397" s="36"/>
      <c r="N397" s="33"/>
      <c r="O397" s="35"/>
      <c r="P397" s="33"/>
      <c r="Q397" s="33"/>
      <c r="R397" s="36"/>
    </row>
    <row r="398" spans="1:18">
      <c r="A398" s="33"/>
      <c r="B398" s="34"/>
      <c r="C398" s="35"/>
      <c r="D398" s="33"/>
      <c r="E398" s="35"/>
      <c r="F398" s="33"/>
      <c r="G398" s="33"/>
      <c r="H398" s="36"/>
      <c r="I398" s="33"/>
      <c r="J398" s="35"/>
      <c r="K398" s="33"/>
      <c r="L398" s="33"/>
      <c r="M398" s="36"/>
      <c r="N398" s="33"/>
      <c r="O398" s="35"/>
      <c r="P398" s="33"/>
      <c r="Q398" s="33"/>
      <c r="R398" s="36"/>
    </row>
    <row r="399" spans="1:18">
      <c r="A399" s="33"/>
      <c r="B399" s="34"/>
      <c r="C399" s="35"/>
      <c r="D399" s="33"/>
      <c r="E399" s="35"/>
      <c r="F399" s="33"/>
      <c r="G399" s="33"/>
      <c r="H399" s="36"/>
      <c r="I399" s="33"/>
      <c r="J399" s="35"/>
      <c r="K399" s="33"/>
      <c r="L399" s="33"/>
      <c r="M399" s="36"/>
      <c r="N399" s="33"/>
      <c r="O399" s="35"/>
      <c r="P399" s="33"/>
      <c r="Q399" s="33"/>
      <c r="R399" s="36"/>
    </row>
    <row r="400" spans="1:18">
      <c r="A400" s="33"/>
      <c r="B400" s="34"/>
      <c r="C400" s="35"/>
      <c r="D400" s="33"/>
      <c r="E400" s="35"/>
      <c r="F400" s="33"/>
      <c r="G400" s="33"/>
      <c r="H400" s="36"/>
      <c r="I400" s="33"/>
      <c r="J400" s="35"/>
      <c r="K400" s="33"/>
      <c r="L400" s="33"/>
      <c r="M400" s="36"/>
      <c r="N400" s="33"/>
      <c r="O400" s="35"/>
      <c r="P400" s="33"/>
      <c r="Q400" s="33"/>
      <c r="R400" s="36"/>
    </row>
    <row r="401" spans="1:18">
      <c r="A401" s="33"/>
      <c r="B401" s="34"/>
      <c r="C401" s="35"/>
      <c r="D401" s="33"/>
      <c r="E401" s="35"/>
      <c r="F401" s="33"/>
      <c r="G401" s="33"/>
      <c r="H401" s="36"/>
      <c r="I401" s="33"/>
      <c r="J401" s="35"/>
      <c r="K401" s="33"/>
      <c r="L401" s="33"/>
      <c r="M401" s="36"/>
      <c r="N401" s="33"/>
      <c r="O401" s="35"/>
      <c r="P401" s="33"/>
      <c r="Q401" s="33"/>
      <c r="R401" s="36"/>
    </row>
    <row r="402" spans="1:18">
      <c r="A402" s="33"/>
      <c r="B402" s="34"/>
      <c r="C402" s="35"/>
      <c r="D402" s="33"/>
      <c r="E402" s="35"/>
      <c r="F402" s="33"/>
      <c r="G402" s="33"/>
      <c r="H402" s="36"/>
      <c r="I402" s="33"/>
      <c r="J402" s="35"/>
      <c r="K402" s="33"/>
      <c r="L402" s="33"/>
      <c r="M402" s="36"/>
      <c r="N402" s="33"/>
      <c r="O402" s="35"/>
      <c r="P402" s="33"/>
      <c r="Q402" s="33"/>
      <c r="R402" s="36"/>
    </row>
    <row r="403" spans="1:18">
      <c r="A403" s="33"/>
      <c r="B403" s="34"/>
      <c r="C403" s="35"/>
      <c r="D403" s="33"/>
      <c r="E403" s="35"/>
      <c r="F403" s="33"/>
      <c r="G403" s="33"/>
      <c r="H403" s="36"/>
      <c r="I403" s="33"/>
      <c r="J403" s="35"/>
      <c r="K403" s="33"/>
      <c r="L403" s="33"/>
      <c r="M403" s="36"/>
      <c r="N403" s="33"/>
      <c r="O403" s="35"/>
      <c r="P403" s="33"/>
      <c r="Q403" s="33"/>
      <c r="R403" s="36"/>
    </row>
    <row r="404" spans="1:18">
      <c r="A404" s="33"/>
      <c r="B404" s="34"/>
      <c r="C404" s="35"/>
      <c r="D404" s="33"/>
      <c r="E404" s="35"/>
      <c r="F404" s="33"/>
      <c r="G404" s="33"/>
      <c r="H404" s="36"/>
      <c r="I404" s="33"/>
      <c r="J404" s="35"/>
      <c r="K404" s="33"/>
      <c r="L404" s="33"/>
      <c r="M404" s="36"/>
      <c r="N404" s="33"/>
      <c r="O404" s="35"/>
      <c r="P404" s="33"/>
      <c r="Q404" s="33"/>
      <c r="R404" s="36"/>
    </row>
    <row r="405" spans="1:18">
      <c r="A405" s="33"/>
      <c r="B405" s="34"/>
      <c r="C405" s="35"/>
      <c r="D405" s="33"/>
      <c r="E405" s="35"/>
      <c r="F405" s="33"/>
      <c r="G405" s="33"/>
      <c r="H405" s="36"/>
      <c r="I405" s="33"/>
      <c r="J405" s="35"/>
      <c r="K405" s="33"/>
      <c r="L405" s="33"/>
      <c r="M405" s="36"/>
      <c r="N405" s="33"/>
      <c r="O405" s="35"/>
      <c r="P405" s="33"/>
      <c r="Q405" s="33"/>
      <c r="R405" s="36"/>
    </row>
    <row r="406" spans="1:18">
      <c r="A406" s="33"/>
      <c r="B406" s="34"/>
      <c r="C406" s="35"/>
      <c r="D406" s="33"/>
      <c r="E406" s="35"/>
      <c r="F406" s="33"/>
      <c r="G406" s="33"/>
      <c r="H406" s="36"/>
      <c r="I406" s="33"/>
      <c r="J406" s="35"/>
      <c r="K406" s="33"/>
      <c r="L406" s="33"/>
      <c r="M406" s="36"/>
      <c r="N406" s="33"/>
      <c r="O406" s="35"/>
      <c r="P406" s="33"/>
      <c r="Q406" s="33"/>
      <c r="R406" s="36"/>
    </row>
    <row r="407" spans="1:18">
      <c r="A407" s="33"/>
      <c r="B407" s="34"/>
      <c r="C407" s="35"/>
      <c r="D407" s="33"/>
      <c r="E407" s="35"/>
      <c r="F407" s="33"/>
      <c r="G407" s="33"/>
      <c r="H407" s="36"/>
      <c r="I407" s="33"/>
      <c r="J407" s="35"/>
      <c r="K407" s="33"/>
      <c r="L407" s="33"/>
      <c r="M407" s="36"/>
      <c r="N407" s="33"/>
      <c r="O407" s="35"/>
      <c r="P407" s="33"/>
      <c r="Q407" s="33"/>
      <c r="R407" s="36"/>
    </row>
    <row r="408" spans="1:18">
      <c r="A408" s="33"/>
      <c r="B408" s="34"/>
      <c r="C408" s="35"/>
      <c r="D408" s="33"/>
      <c r="E408" s="35"/>
      <c r="F408" s="33"/>
      <c r="G408" s="33"/>
      <c r="H408" s="36"/>
      <c r="I408" s="33"/>
      <c r="J408" s="35"/>
      <c r="K408" s="33"/>
      <c r="L408" s="33"/>
      <c r="M408" s="36"/>
      <c r="N408" s="33"/>
      <c r="O408" s="35"/>
      <c r="P408" s="33"/>
      <c r="Q408" s="33"/>
      <c r="R408" s="36"/>
    </row>
    <row r="409" spans="1:18">
      <c r="A409" s="33"/>
      <c r="B409" s="34"/>
      <c r="C409" s="35"/>
      <c r="D409" s="33"/>
      <c r="E409" s="35"/>
      <c r="F409" s="33"/>
      <c r="G409" s="33"/>
      <c r="H409" s="36"/>
      <c r="I409" s="33"/>
      <c r="J409" s="35"/>
      <c r="K409" s="33"/>
      <c r="L409" s="33"/>
      <c r="M409" s="36"/>
      <c r="N409" s="33"/>
      <c r="O409" s="35"/>
      <c r="P409" s="33"/>
      <c r="Q409" s="33"/>
      <c r="R409" s="36"/>
    </row>
    <row r="410" spans="1:18">
      <c r="A410" s="33"/>
      <c r="B410" s="34"/>
      <c r="C410" s="35"/>
      <c r="D410" s="33"/>
    </row>
    <row r="411" spans="1:18">
      <c r="A411" s="33"/>
      <c r="B411" s="34"/>
      <c r="C411" s="35"/>
      <c r="D411" s="33"/>
    </row>
    <row r="412" spans="1:18">
      <c r="A412" s="33"/>
      <c r="B412" s="34"/>
      <c r="C412" s="35"/>
      <c r="D412" s="33"/>
    </row>
    <row r="413" spans="1:18">
      <c r="A413" s="33"/>
      <c r="B413" s="34"/>
      <c r="C413" s="35"/>
      <c r="D413" s="33"/>
    </row>
    <row r="414" spans="1:18">
      <c r="A414" s="33"/>
      <c r="B414" s="34"/>
      <c r="C414" s="35"/>
      <c r="D414" s="33"/>
    </row>
    <row r="415" spans="1:18">
      <c r="A415" s="33"/>
      <c r="B415" s="34"/>
      <c r="C415" s="35"/>
      <c r="D415" s="33"/>
    </row>
    <row r="416" spans="1:18">
      <c r="A416" s="33"/>
      <c r="B416" s="34"/>
      <c r="C416" s="35"/>
      <c r="D416" s="33"/>
    </row>
    <row r="417" spans="1:4">
      <c r="A417" s="33"/>
      <c r="B417" s="34"/>
      <c r="C417" s="35"/>
      <c r="D417" s="33"/>
    </row>
    <row r="418" spans="1:4">
      <c r="A418" s="33"/>
      <c r="B418" s="34"/>
      <c r="C418" s="35"/>
      <c r="D418" s="33"/>
    </row>
    <row r="419" spans="1:4">
      <c r="A419" s="33"/>
      <c r="B419" s="34"/>
      <c r="C419" s="35"/>
      <c r="D419" s="33"/>
    </row>
    <row r="420" spans="1:4">
      <c r="A420" s="33"/>
      <c r="B420" s="34"/>
      <c r="C420" s="35"/>
      <c r="D420" s="33"/>
    </row>
    <row r="421" spans="1:4">
      <c r="A421" s="33"/>
      <c r="B421" s="34"/>
      <c r="C421" s="35"/>
      <c r="D421" s="33"/>
    </row>
    <row r="422" spans="1:4">
      <c r="A422" s="33"/>
      <c r="B422" s="34"/>
      <c r="C422" s="35"/>
      <c r="D422" s="33"/>
    </row>
    <row r="423" spans="1:4">
      <c r="A423" s="33"/>
      <c r="B423" s="34"/>
      <c r="C423" s="35"/>
      <c r="D423" s="33"/>
    </row>
    <row r="424" spans="1:4">
      <c r="A424" s="33"/>
      <c r="B424" s="34"/>
      <c r="C424" s="35"/>
      <c r="D424" s="33"/>
    </row>
    <row r="425" spans="1:4">
      <c r="A425" s="33"/>
      <c r="B425" s="34"/>
      <c r="C425" s="35"/>
      <c r="D425" s="33"/>
    </row>
    <row r="426" spans="1:4">
      <c r="A426" s="33"/>
      <c r="B426" s="34"/>
      <c r="C426" s="35"/>
      <c r="D426" s="33"/>
    </row>
    <row r="427" spans="1:4">
      <c r="A427" s="33"/>
      <c r="B427" s="34"/>
      <c r="C427" s="35"/>
      <c r="D427" s="33"/>
    </row>
    <row r="428" spans="1:4">
      <c r="A428" s="33"/>
      <c r="B428" s="34"/>
      <c r="C428" s="35"/>
      <c r="D428" s="33"/>
    </row>
    <row r="429" spans="1:4">
      <c r="A429" s="33"/>
      <c r="B429" s="34"/>
      <c r="C429" s="35"/>
      <c r="D429" s="33"/>
    </row>
    <row r="430" spans="1:4">
      <c r="A430" s="33"/>
      <c r="B430" s="34"/>
      <c r="C430" s="35"/>
      <c r="D430" s="33"/>
    </row>
    <row r="431" spans="1:4">
      <c r="A431" s="33"/>
      <c r="B431" s="34"/>
      <c r="C431" s="35"/>
      <c r="D431" s="33"/>
    </row>
    <row r="432" spans="1:4">
      <c r="A432" s="33"/>
      <c r="B432" s="34"/>
      <c r="C432" s="35"/>
      <c r="D432" s="33"/>
    </row>
    <row r="433" spans="1:4">
      <c r="A433" s="33"/>
      <c r="B433" s="34"/>
      <c r="C433" s="35"/>
      <c r="D433" s="33"/>
    </row>
    <row r="434" spans="1:4">
      <c r="A434" s="33"/>
      <c r="B434" s="34"/>
      <c r="C434" s="35"/>
      <c r="D434" s="33"/>
    </row>
    <row r="435" spans="1:4">
      <c r="A435" s="33"/>
      <c r="B435" s="34"/>
      <c r="C435" s="35"/>
      <c r="D435" s="33"/>
    </row>
    <row r="436" spans="1:4">
      <c r="A436" s="33"/>
      <c r="B436" s="34"/>
      <c r="C436" s="35"/>
      <c r="D436" s="33"/>
    </row>
    <row r="437" spans="1:4">
      <c r="A437" s="33"/>
      <c r="B437" s="34"/>
      <c r="C437" s="35"/>
      <c r="D437" s="33"/>
    </row>
    <row r="438" spans="1:4">
      <c r="A438" s="33"/>
      <c r="B438" s="34"/>
      <c r="C438" s="35"/>
      <c r="D438" s="33"/>
    </row>
    <row r="439" spans="1:4">
      <c r="A439" s="33"/>
      <c r="B439" s="34"/>
      <c r="C439" s="35"/>
      <c r="D439" s="33"/>
    </row>
    <row r="440" spans="1:4">
      <c r="A440" s="33"/>
      <c r="B440" s="34"/>
      <c r="C440" s="35"/>
      <c r="D440" s="33"/>
    </row>
    <row r="441" spans="1:4">
      <c r="A441" s="33"/>
      <c r="B441" s="34"/>
      <c r="C441" s="35"/>
      <c r="D441" s="33"/>
    </row>
    <row r="442" spans="1:4">
      <c r="A442" s="33"/>
      <c r="B442" s="34"/>
      <c r="C442" s="35"/>
      <c r="D442" s="33"/>
    </row>
    <row r="443" spans="1:4">
      <c r="A443" s="33"/>
      <c r="B443" s="34"/>
      <c r="C443" s="35"/>
      <c r="D443" s="33"/>
    </row>
    <row r="444" spans="1:4">
      <c r="A444" s="33"/>
      <c r="B444" s="34"/>
      <c r="C444" s="35"/>
      <c r="D444" s="33"/>
    </row>
    <row r="445" spans="1:4">
      <c r="A445" s="33"/>
      <c r="B445" s="34"/>
      <c r="C445" s="35"/>
      <c r="D445" s="33"/>
    </row>
    <row r="446" spans="1:4">
      <c r="A446" s="33"/>
      <c r="B446" s="34"/>
      <c r="C446" s="35"/>
      <c r="D446" s="33"/>
    </row>
    <row r="447" spans="1:4">
      <c r="A447" s="33"/>
      <c r="B447" s="34"/>
      <c r="C447" s="35"/>
      <c r="D447" s="33"/>
    </row>
    <row r="448" spans="1:4">
      <c r="A448" s="33"/>
      <c r="B448" s="34"/>
      <c r="C448" s="35"/>
      <c r="D448" s="33"/>
    </row>
    <row r="449" spans="1:4">
      <c r="A449" s="33"/>
      <c r="B449" s="34"/>
      <c r="C449" s="35"/>
      <c r="D449" s="33"/>
    </row>
    <row r="450" spans="1:4">
      <c r="A450" s="33"/>
      <c r="B450" s="34"/>
      <c r="C450" s="35"/>
      <c r="D450" s="33"/>
    </row>
    <row r="451" spans="1:4">
      <c r="A451" s="33"/>
      <c r="B451" s="34"/>
      <c r="C451" s="35"/>
      <c r="D451" s="33"/>
    </row>
    <row r="452" spans="1:4">
      <c r="A452" s="33"/>
      <c r="B452" s="34"/>
      <c r="C452" s="35"/>
      <c r="D452" s="33"/>
    </row>
    <row r="453" spans="1:4">
      <c r="A453" s="33"/>
      <c r="B453" s="34"/>
      <c r="C453" s="35"/>
      <c r="D453" s="33"/>
    </row>
    <row r="454" spans="1:4">
      <c r="A454" s="33"/>
      <c r="B454" s="34"/>
      <c r="C454" s="35"/>
      <c r="D454" s="33"/>
    </row>
    <row r="455" spans="1:4">
      <c r="A455" s="33"/>
      <c r="B455" s="34"/>
      <c r="C455" s="35"/>
      <c r="D455" s="33"/>
    </row>
    <row r="456" spans="1:4">
      <c r="A456" s="33"/>
      <c r="B456" s="34"/>
      <c r="C456" s="35"/>
      <c r="D456" s="33"/>
    </row>
    <row r="457" spans="1:4">
      <c r="A457" s="33"/>
      <c r="B457" s="34"/>
      <c r="C457" s="35"/>
      <c r="D457" s="33"/>
    </row>
    <row r="458" spans="1:4">
      <c r="A458" s="33"/>
      <c r="B458" s="34"/>
      <c r="C458" s="35"/>
      <c r="D458" s="33"/>
    </row>
    <row r="459" spans="1:4">
      <c r="A459" s="33"/>
      <c r="B459" s="34"/>
      <c r="C459" s="35"/>
      <c r="D459" s="33"/>
    </row>
    <row r="460" spans="1:4">
      <c r="A460" s="33"/>
      <c r="B460" s="34"/>
      <c r="C460" s="35"/>
      <c r="D460" s="33"/>
    </row>
    <row r="461" spans="1:4">
      <c r="A461" s="33"/>
      <c r="B461" s="34"/>
      <c r="C461" s="35"/>
      <c r="D461" s="33"/>
    </row>
    <row r="462" spans="1:4">
      <c r="A462" s="33"/>
      <c r="B462" s="34"/>
      <c r="C462" s="35"/>
      <c r="D462" s="33"/>
    </row>
    <row r="463" spans="1:4">
      <c r="A463" s="33"/>
      <c r="B463" s="34"/>
      <c r="C463" s="35"/>
      <c r="D463" s="33"/>
    </row>
    <row r="464" spans="1:4">
      <c r="A464" s="33"/>
      <c r="B464" s="34"/>
      <c r="C464" s="35"/>
      <c r="D464" s="33"/>
    </row>
    <row r="465" spans="1:4">
      <c r="A465" s="33"/>
      <c r="B465" s="34"/>
      <c r="C465" s="35"/>
      <c r="D465" s="33"/>
    </row>
    <row r="466" spans="1:4">
      <c r="A466" s="33"/>
      <c r="B466" s="34"/>
      <c r="C466" s="35"/>
      <c r="D466" s="33"/>
    </row>
    <row r="467" spans="1:4">
      <c r="A467" s="33"/>
      <c r="B467" s="34"/>
      <c r="C467" s="35"/>
      <c r="D467" s="33"/>
    </row>
    <row r="468" spans="1:4">
      <c r="A468" s="33"/>
      <c r="B468" s="34"/>
      <c r="C468" s="35"/>
      <c r="D468" s="33"/>
    </row>
    <row r="469" spans="1:4">
      <c r="A469" s="33"/>
      <c r="B469" s="34"/>
      <c r="C469" s="35"/>
      <c r="D469" s="33"/>
    </row>
  </sheetData>
  <mergeCells count="23">
    <mergeCell ref="O5:Q5"/>
    <mergeCell ref="A5:A7"/>
    <mergeCell ref="B5:B7"/>
    <mergeCell ref="C5:C7"/>
    <mergeCell ref="R5:R7"/>
    <mergeCell ref="L6:L7"/>
    <mergeCell ref="O6:O7"/>
    <mergeCell ref="Q6:Q7"/>
    <mergeCell ref="J6:J7"/>
    <mergeCell ref="I5:I7"/>
    <mergeCell ref="J5:L5"/>
    <mergeCell ref="M5:M7"/>
    <mergeCell ref="N5:N7"/>
    <mergeCell ref="P6:P7"/>
    <mergeCell ref="K6:K7"/>
    <mergeCell ref="F6:F7"/>
    <mergeCell ref="B2:H2"/>
    <mergeCell ref="B3:H3"/>
    <mergeCell ref="D5:D7"/>
    <mergeCell ref="E5:G5"/>
    <mergeCell ref="H5:H7"/>
    <mergeCell ref="E6:E7"/>
    <mergeCell ref="G6:G7"/>
  </mergeCells>
  <phoneticPr fontId="27" type="noConversion"/>
  <pageMargins left="0.27559055118110237" right="0.27559055118110237" top="0.39370078740157483" bottom="0.43307086614173229" header="0.23622047244094491" footer="0.23622047244094491"/>
  <pageSetup paperSize="9" scale="60" orientation="landscape" r:id="rId1"/>
  <headerFooter alignWithMargins="0">
    <oddFooter>&amp;L&amp;F&amp;C&amp;P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R409"/>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R9" sqref="A9:R9"/>
    </sheetView>
  </sheetViews>
  <sheetFormatPr defaultColWidth="9.109375" defaultRowHeight="10.199999999999999"/>
  <cols>
    <col min="1" max="1" width="11.44140625" style="21" bestFit="1" customWidth="1"/>
    <col min="2" max="2" width="39.109375" style="1" customWidth="1"/>
    <col min="3" max="3" width="13" style="22" customWidth="1"/>
    <col min="4" max="4" width="12" style="21"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577"/>
      <c r="J2" s="577"/>
      <c r="K2" s="577"/>
      <c r="L2" s="577"/>
      <c r="M2" s="220"/>
      <c r="N2" s="577"/>
      <c r="O2" s="577"/>
      <c r="P2" s="577"/>
      <c r="Q2" s="577"/>
      <c r="R2" s="220"/>
    </row>
    <row r="3" spans="1:18" s="1" customFormat="1" ht="12.75" customHeight="1">
      <c r="A3" s="221"/>
      <c r="B3" s="1400" t="s">
        <v>489</v>
      </c>
      <c r="C3" s="1400"/>
      <c r="D3" s="1400"/>
      <c r="E3" s="1400"/>
      <c r="F3" s="1400"/>
      <c r="G3" s="1400"/>
      <c r="H3" s="1400"/>
      <c r="I3" s="578"/>
      <c r="J3" s="578"/>
      <c r="K3" s="578"/>
      <c r="L3" s="578"/>
      <c r="M3" s="220"/>
      <c r="N3" s="578"/>
      <c r="O3" s="578"/>
      <c r="P3" s="578"/>
      <c r="Q3" s="578"/>
      <c r="R3" s="220"/>
    </row>
    <row r="4" spans="1:18" s="1" customFormat="1" ht="13.2">
      <c r="A4" s="221"/>
      <c r="B4" s="578"/>
      <c r="C4" s="222"/>
      <c r="D4" s="578"/>
      <c r="E4" s="578"/>
      <c r="F4" s="578"/>
      <c r="G4" s="578"/>
      <c r="H4" s="578"/>
      <c r="I4" s="578"/>
      <c r="J4" s="578"/>
      <c r="K4" s="578"/>
      <c r="L4" s="578"/>
      <c r="M4" s="578"/>
      <c r="N4" s="578"/>
      <c r="O4" s="578"/>
      <c r="P4" s="578"/>
      <c r="Q4" s="578"/>
      <c r="R4" s="578"/>
    </row>
    <row r="5" spans="1:18" s="1" customFormat="1" ht="14.25" customHeight="1">
      <c r="A5" s="1396" t="s">
        <v>213</v>
      </c>
      <c r="B5" s="1357"/>
      <c r="C5" s="1412" t="s">
        <v>202</v>
      </c>
      <c r="D5" s="1401" t="s">
        <v>231</v>
      </c>
      <c r="E5" s="1404" t="s">
        <v>232</v>
      </c>
      <c r="F5" s="1405"/>
      <c r="G5" s="1406"/>
      <c r="H5" s="1407" t="s">
        <v>486</v>
      </c>
      <c r="I5" s="1415" t="s">
        <v>234</v>
      </c>
      <c r="J5" s="1425" t="s">
        <v>232</v>
      </c>
      <c r="K5" s="1426"/>
      <c r="L5" s="1427"/>
      <c r="M5" s="1428" t="s">
        <v>487</v>
      </c>
      <c r="N5" s="1431" t="s">
        <v>235</v>
      </c>
      <c r="O5" s="1434" t="s">
        <v>232</v>
      </c>
      <c r="P5" s="1435"/>
      <c r="Q5" s="1436"/>
      <c r="R5" s="1418" t="s">
        <v>488</v>
      </c>
    </row>
    <row r="6" spans="1:18" s="1" customFormat="1" ht="18" customHeight="1">
      <c r="A6" s="1396"/>
      <c r="B6" s="1358"/>
      <c r="C6" s="1413"/>
      <c r="D6" s="1402"/>
      <c r="E6" s="1410" t="s">
        <v>233</v>
      </c>
      <c r="F6" s="1410" t="s">
        <v>496</v>
      </c>
      <c r="G6" s="1410" t="s">
        <v>485</v>
      </c>
      <c r="H6" s="1408"/>
      <c r="I6" s="1416"/>
      <c r="J6" s="1421" t="s">
        <v>233</v>
      </c>
      <c r="K6" s="1421" t="s">
        <v>496</v>
      </c>
      <c r="L6" s="1421" t="s">
        <v>485</v>
      </c>
      <c r="M6" s="1429"/>
      <c r="N6" s="1432"/>
      <c r="O6" s="1423" t="s">
        <v>233</v>
      </c>
      <c r="P6" s="1423" t="s">
        <v>496</v>
      </c>
      <c r="Q6" s="1423" t="s">
        <v>485</v>
      </c>
      <c r="R6" s="1419"/>
    </row>
    <row r="7" spans="1:18" s="1" customFormat="1" ht="30" customHeight="1">
      <c r="A7" s="1396"/>
      <c r="B7" s="1359"/>
      <c r="C7" s="1414"/>
      <c r="D7" s="1403"/>
      <c r="E7" s="1411"/>
      <c r="F7" s="1411"/>
      <c r="G7" s="1411"/>
      <c r="H7" s="1409"/>
      <c r="I7" s="1417"/>
      <c r="J7" s="1422"/>
      <c r="K7" s="1422"/>
      <c r="L7" s="1422"/>
      <c r="M7" s="1430"/>
      <c r="N7" s="1433"/>
      <c r="O7" s="1424"/>
      <c r="P7" s="1424"/>
      <c r="Q7" s="1424"/>
      <c r="R7" s="1420"/>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13.2">
      <c r="A9" s="385"/>
      <c r="B9" s="392" t="s">
        <v>154</v>
      </c>
      <c r="C9" s="387"/>
      <c r="D9" s="387"/>
      <c r="E9" s="226"/>
      <c r="F9" s="226"/>
      <c r="G9" s="226"/>
      <c r="H9" s="226"/>
      <c r="I9" s="365"/>
      <c r="J9" s="226"/>
      <c r="K9" s="226"/>
      <c r="L9" s="226"/>
      <c r="M9" s="226"/>
      <c r="N9" s="365"/>
      <c r="O9" s="226"/>
      <c r="P9" s="226"/>
      <c r="Q9" s="226"/>
      <c r="R9" s="226"/>
    </row>
    <row r="10" spans="1:18" s="4" customFormat="1" ht="20.399999999999999">
      <c r="A10" s="597" t="s">
        <v>201</v>
      </c>
      <c r="B10" s="598" t="s">
        <v>88</v>
      </c>
      <c r="C10" s="599">
        <v>3287127</v>
      </c>
      <c r="D10" s="617">
        <v>1533352</v>
      </c>
      <c r="E10" s="600">
        <f>E11+E12+E14+E32</f>
        <v>0</v>
      </c>
      <c r="F10" s="600">
        <f>F11+F12+F14+F32</f>
        <v>0</v>
      </c>
      <c r="G10" s="600">
        <f>G11+G12+G14+G32</f>
        <v>100000</v>
      </c>
      <c r="H10" s="601">
        <f t="shared" ref="H10:H73" si="0">SUM(D10:G10)</f>
        <v>1633352</v>
      </c>
      <c r="I10" s="600">
        <v>831436</v>
      </c>
      <c r="J10" s="600">
        <f>J11+J12+J14+J32</f>
        <v>0</v>
      </c>
      <c r="K10" s="600">
        <f>K11+K12+K14+K32</f>
        <v>0</v>
      </c>
      <c r="L10" s="600">
        <f>L11+L12+L14+L32</f>
        <v>100000</v>
      </c>
      <c r="M10" s="601">
        <f t="shared" ref="M10:M73" si="1">SUM(I10:L10)</f>
        <v>931436</v>
      </c>
      <c r="N10" s="600">
        <v>372756</v>
      </c>
      <c r="O10" s="600">
        <f>O11+O12+O14+O32</f>
        <v>0</v>
      </c>
      <c r="P10" s="600">
        <f>P11+P12+P14+P32</f>
        <v>0</v>
      </c>
      <c r="Q10" s="600">
        <f>Q11+Q12+Q14+Q32</f>
        <v>100000</v>
      </c>
      <c r="R10" s="601">
        <f t="shared" ref="R10:R73" si="2">SUM(N10:Q10)</f>
        <v>472756</v>
      </c>
    </row>
    <row r="11" spans="1:18" ht="24" hidden="1" customHeight="1">
      <c r="A11" s="130" t="s">
        <v>177</v>
      </c>
      <c r="B11" s="124" t="s">
        <v>90</v>
      </c>
      <c r="C11" s="98"/>
      <c r="D11" s="169">
        <v>0</v>
      </c>
      <c r="E11" s="231"/>
      <c r="F11" s="231"/>
      <c r="G11" s="231"/>
      <c r="H11" s="232">
        <f t="shared" si="0"/>
        <v>0</v>
      </c>
      <c r="I11" s="231">
        <v>0</v>
      </c>
      <c r="J11" s="231"/>
      <c r="K11" s="231"/>
      <c r="L11" s="231"/>
      <c r="M11" s="232">
        <f t="shared" si="1"/>
        <v>0</v>
      </c>
      <c r="N11" s="231">
        <v>0</v>
      </c>
      <c r="O11" s="231"/>
      <c r="P11" s="231"/>
      <c r="Q11" s="231"/>
      <c r="R11" s="232">
        <f t="shared" si="2"/>
        <v>0</v>
      </c>
    </row>
    <row r="12" spans="1:18" ht="12" hidden="1" customHeight="1">
      <c r="A12" s="130" t="s">
        <v>91</v>
      </c>
      <c r="B12" s="124" t="s">
        <v>92</v>
      </c>
      <c r="C12" s="98"/>
      <c r="D12" s="169">
        <v>0</v>
      </c>
      <c r="E12" s="231"/>
      <c r="F12" s="231"/>
      <c r="G12" s="231"/>
      <c r="H12" s="232">
        <f t="shared" si="0"/>
        <v>0</v>
      </c>
      <c r="I12" s="231">
        <v>0</v>
      </c>
      <c r="J12" s="231"/>
      <c r="K12" s="231"/>
      <c r="L12" s="231"/>
      <c r="M12" s="232">
        <f t="shared" si="1"/>
        <v>0</v>
      </c>
      <c r="N12" s="231">
        <v>0</v>
      </c>
      <c r="O12" s="231"/>
      <c r="P12" s="231"/>
      <c r="Q12" s="231"/>
      <c r="R12" s="232">
        <f t="shared" si="2"/>
        <v>0</v>
      </c>
    </row>
    <row r="13" spans="1:18" ht="24" hidden="1" customHeight="1">
      <c r="A13" s="131">
        <v>21210</v>
      </c>
      <c r="B13" s="125" t="s">
        <v>93</v>
      </c>
      <c r="C13" s="98"/>
      <c r="D13" s="169">
        <v>0</v>
      </c>
      <c r="E13" s="231"/>
      <c r="F13" s="231"/>
      <c r="G13" s="231"/>
      <c r="H13" s="232">
        <f t="shared" si="0"/>
        <v>0</v>
      </c>
      <c r="I13" s="231">
        <v>0</v>
      </c>
      <c r="J13" s="231"/>
      <c r="K13" s="231"/>
      <c r="L13" s="231"/>
      <c r="M13" s="232">
        <f t="shared" si="1"/>
        <v>0</v>
      </c>
      <c r="N13" s="231">
        <v>0</v>
      </c>
      <c r="O13" s="231"/>
      <c r="P13" s="231"/>
      <c r="Q13" s="231"/>
      <c r="R13" s="232">
        <f t="shared" si="2"/>
        <v>0</v>
      </c>
    </row>
    <row r="14" spans="1:18" ht="21" hidden="1" customHeight="1">
      <c r="A14" s="130" t="s">
        <v>178</v>
      </c>
      <c r="B14" s="124" t="s">
        <v>94</v>
      </c>
      <c r="C14" s="170">
        <v>0</v>
      </c>
      <c r="D14" s="171">
        <v>0</v>
      </c>
      <c r="E14" s="233">
        <f>E15+E21</f>
        <v>0</v>
      </c>
      <c r="F14" s="233">
        <f>F15+F21</f>
        <v>0</v>
      </c>
      <c r="G14" s="233">
        <f>G15+G21</f>
        <v>0</v>
      </c>
      <c r="H14" s="232">
        <f t="shared" si="0"/>
        <v>0</v>
      </c>
      <c r="I14" s="233">
        <v>0</v>
      </c>
      <c r="J14" s="233">
        <f>J15+J21</f>
        <v>0</v>
      </c>
      <c r="K14" s="233">
        <f>K15+K21</f>
        <v>0</v>
      </c>
      <c r="L14" s="233">
        <f>L15+L21</f>
        <v>0</v>
      </c>
      <c r="M14" s="232">
        <f t="shared" si="1"/>
        <v>0</v>
      </c>
      <c r="N14" s="233">
        <v>0</v>
      </c>
      <c r="O14" s="233">
        <f>O15+O21</f>
        <v>0</v>
      </c>
      <c r="P14" s="233">
        <f>P15+P21</f>
        <v>0</v>
      </c>
      <c r="Q14" s="233">
        <f>Q15+Q21</f>
        <v>0</v>
      </c>
      <c r="R14" s="232">
        <f t="shared" si="2"/>
        <v>0</v>
      </c>
    </row>
    <row r="15" spans="1:18" ht="12" hidden="1" customHeight="1">
      <c r="A15" s="132">
        <v>18000</v>
      </c>
      <c r="B15" s="125" t="s">
        <v>95</v>
      </c>
      <c r="C15" s="170">
        <v>0</v>
      </c>
      <c r="D15" s="171">
        <v>0</v>
      </c>
      <c r="E15" s="233">
        <f t="shared" ref="E15:L16" si="3">E16</f>
        <v>0</v>
      </c>
      <c r="F15" s="233">
        <f t="shared" si="3"/>
        <v>0</v>
      </c>
      <c r="G15" s="233">
        <f t="shared" si="3"/>
        <v>0</v>
      </c>
      <c r="H15" s="232">
        <f t="shared" si="0"/>
        <v>0</v>
      </c>
      <c r="I15" s="233">
        <v>0</v>
      </c>
      <c r="J15" s="233">
        <f t="shared" si="3"/>
        <v>0</v>
      </c>
      <c r="K15" s="233">
        <f t="shared" si="3"/>
        <v>0</v>
      </c>
      <c r="L15" s="233">
        <f t="shared" si="3"/>
        <v>0</v>
      </c>
      <c r="M15" s="232">
        <f t="shared" si="1"/>
        <v>0</v>
      </c>
      <c r="N15" s="233">
        <v>0</v>
      </c>
      <c r="O15" s="233">
        <f t="shared" ref="O15:Q16" si="4">O16</f>
        <v>0</v>
      </c>
      <c r="P15" s="233">
        <f t="shared" si="4"/>
        <v>0</v>
      </c>
      <c r="Q15" s="233">
        <f t="shared" si="4"/>
        <v>0</v>
      </c>
      <c r="R15" s="232">
        <f t="shared" si="2"/>
        <v>0</v>
      </c>
    </row>
    <row r="16" spans="1:18" ht="12" hidden="1" customHeight="1">
      <c r="A16" s="132">
        <v>18100</v>
      </c>
      <c r="B16" s="125" t="s">
        <v>96</v>
      </c>
      <c r="C16" s="170">
        <v>0</v>
      </c>
      <c r="D16" s="171">
        <v>0</v>
      </c>
      <c r="E16" s="233">
        <f>E17</f>
        <v>0</v>
      </c>
      <c r="F16" s="233">
        <f t="shared" si="3"/>
        <v>0</v>
      </c>
      <c r="G16" s="233">
        <f t="shared" si="3"/>
        <v>0</v>
      </c>
      <c r="H16" s="232">
        <f t="shared" si="0"/>
        <v>0</v>
      </c>
      <c r="I16" s="233">
        <v>0</v>
      </c>
      <c r="J16" s="233">
        <f>J17</f>
        <v>0</v>
      </c>
      <c r="K16" s="233">
        <f t="shared" si="3"/>
        <v>0</v>
      </c>
      <c r="L16" s="233">
        <f t="shared" si="3"/>
        <v>0</v>
      </c>
      <c r="M16" s="232">
        <f t="shared" si="1"/>
        <v>0</v>
      </c>
      <c r="N16" s="233">
        <v>0</v>
      </c>
      <c r="O16" s="233">
        <f>O17</f>
        <v>0</v>
      </c>
      <c r="P16" s="233">
        <f t="shared" si="4"/>
        <v>0</v>
      </c>
      <c r="Q16" s="233">
        <f t="shared" si="4"/>
        <v>0</v>
      </c>
      <c r="R16" s="232">
        <f t="shared" si="2"/>
        <v>0</v>
      </c>
    </row>
    <row r="17" spans="1:18" s="4" customFormat="1" ht="24" hidden="1" customHeight="1">
      <c r="A17" s="133">
        <v>18130</v>
      </c>
      <c r="B17" s="172" t="s">
        <v>159</v>
      </c>
      <c r="C17" s="170">
        <v>0</v>
      </c>
      <c r="D17" s="171">
        <v>0</v>
      </c>
      <c r="E17" s="233">
        <f>SUM(E18:E20)</f>
        <v>0</v>
      </c>
      <c r="F17" s="233">
        <f>SUM(F18:F20)</f>
        <v>0</v>
      </c>
      <c r="G17" s="233">
        <f>SUM(G18:G20)</f>
        <v>0</v>
      </c>
      <c r="H17" s="232">
        <f t="shared" si="0"/>
        <v>0</v>
      </c>
      <c r="I17" s="233">
        <v>0</v>
      </c>
      <c r="J17" s="233">
        <f>SUM(J18:J20)</f>
        <v>0</v>
      </c>
      <c r="K17" s="233">
        <f>SUM(K18:K20)</f>
        <v>0</v>
      </c>
      <c r="L17" s="233">
        <f>SUM(L18:L20)</f>
        <v>0</v>
      </c>
      <c r="M17" s="232">
        <f t="shared" si="1"/>
        <v>0</v>
      </c>
      <c r="N17" s="233">
        <v>0</v>
      </c>
      <c r="O17" s="233">
        <f>SUM(O18:O20)</f>
        <v>0</v>
      </c>
      <c r="P17" s="233">
        <f>SUM(P18:P20)</f>
        <v>0</v>
      </c>
      <c r="Q17" s="233">
        <f>SUM(Q18:Q20)</f>
        <v>0</v>
      </c>
      <c r="R17" s="232">
        <f t="shared" si="2"/>
        <v>0</v>
      </c>
    </row>
    <row r="18" spans="1:18" s="6" customFormat="1" ht="36" hidden="1" customHeight="1">
      <c r="A18" s="134">
        <v>18131</v>
      </c>
      <c r="B18" s="172" t="s">
        <v>160</v>
      </c>
      <c r="C18" s="170"/>
      <c r="D18" s="171">
        <v>0</v>
      </c>
      <c r="E18" s="233"/>
      <c r="F18" s="233"/>
      <c r="G18" s="233"/>
      <c r="H18" s="232">
        <f t="shared" si="0"/>
        <v>0</v>
      </c>
      <c r="I18" s="233">
        <v>0</v>
      </c>
      <c r="J18" s="233"/>
      <c r="K18" s="233"/>
      <c r="L18" s="233"/>
      <c r="M18" s="232">
        <f t="shared" si="1"/>
        <v>0</v>
      </c>
      <c r="N18" s="233">
        <v>0</v>
      </c>
      <c r="O18" s="233"/>
      <c r="P18" s="233"/>
      <c r="Q18" s="233"/>
      <c r="R18" s="232">
        <f t="shared" si="2"/>
        <v>0</v>
      </c>
    </row>
    <row r="19" spans="1:18" s="6" customFormat="1" ht="24" hidden="1" customHeight="1">
      <c r="A19" s="134">
        <v>18132</v>
      </c>
      <c r="B19" s="172" t="s">
        <v>169</v>
      </c>
      <c r="C19" s="170"/>
      <c r="D19" s="171">
        <v>0</v>
      </c>
      <c r="E19" s="233"/>
      <c r="F19" s="233"/>
      <c r="G19" s="233"/>
      <c r="H19" s="232">
        <f t="shared" si="0"/>
        <v>0</v>
      </c>
      <c r="I19" s="233">
        <v>0</v>
      </c>
      <c r="J19" s="233"/>
      <c r="K19" s="233"/>
      <c r="L19" s="233"/>
      <c r="M19" s="232">
        <f t="shared" si="1"/>
        <v>0</v>
      </c>
      <c r="N19" s="233">
        <v>0</v>
      </c>
      <c r="O19" s="233"/>
      <c r="P19" s="233"/>
      <c r="Q19" s="233"/>
      <c r="R19" s="232">
        <f t="shared" si="2"/>
        <v>0</v>
      </c>
    </row>
    <row r="20" spans="1:18" s="6" customFormat="1" ht="24" hidden="1" customHeight="1">
      <c r="A20" s="134">
        <v>18139</v>
      </c>
      <c r="B20" s="172" t="s">
        <v>179</v>
      </c>
      <c r="C20" s="170"/>
      <c r="D20" s="171">
        <v>0</v>
      </c>
      <c r="E20" s="233"/>
      <c r="F20" s="233"/>
      <c r="G20" s="233"/>
      <c r="H20" s="232">
        <f t="shared" si="0"/>
        <v>0</v>
      </c>
      <c r="I20" s="233">
        <v>0</v>
      </c>
      <c r="J20" s="233"/>
      <c r="K20" s="233"/>
      <c r="L20" s="233"/>
      <c r="M20" s="232">
        <f t="shared" si="1"/>
        <v>0</v>
      </c>
      <c r="N20" s="233">
        <v>0</v>
      </c>
      <c r="O20" s="233"/>
      <c r="P20" s="233"/>
      <c r="Q20" s="233"/>
      <c r="R20" s="232">
        <f t="shared" si="2"/>
        <v>0</v>
      </c>
    </row>
    <row r="21" spans="1:18" s="6" customFormat="1" ht="12" hidden="1" customHeight="1">
      <c r="A21" s="135" t="s">
        <v>180</v>
      </c>
      <c r="B21" s="173" t="s">
        <v>173</v>
      </c>
      <c r="C21" s="201">
        <v>0</v>
      </c>
      <c r="D21" s="174">
        <v>0</v>
      </c>
      <c r="E21" s="238">
        <f t="shared" ref="E21:L21" si="5">E22</f>
        <v>0</v>
      </c>
      <c r="F21" s="238">
        <f t="shared" si="5"/>
        <v>0</v>
      </c>
      <c r="G21" s="238">
        <f t="shared" si="5"/>
        <v>0</v>
      </c>
      <c r="H21" s="232">
        <f t="shared" si="0"/>
        <v>0</v>
      </c>
      <c r="I21" s="238">
        <v>0</v>
      </c>
      <c r="J21" s="238">
        <f t="shared" si="5"/>
        <v>0</v>
      </c>
      <c r="K21" s="238">
        <f t="shared" si="5"/>
        <v>0</v>
      </c>
      <c r="L21" s="238">
        <f t="shared" si="5"/>
        <v>0</v>
      </c>
      <c r="M21" s="232">
        <f t="shared" si="1"/>
        <v>0</v>
      </c>
      <c r="N21" s="238">
        <v>0</v>
      </c>
      <c r="O21" s="238">
        <f>O22</f>
        <v>0</v>
      </c>
      <c r="P21" s="238">
        <f>P22</f>
        <v>0</v>
      </c>
      <c r="Q21" s="238">
        <f>Q22</f>
        <v>0</v>
      </c>
      <c r="R21" s="232">
        <f t="shared" si="2"/>
        <v>0</v>
      </c>
    </row>
    <row r="22" spans="1:18" s="6" customFormat="1" ht="24" hidden="1" customHeight="1">
      <c r="A22" s="135">
        <v>19500</v>
      </c>
      <c r="B22" s="172" t="s">
        <v>174</v>
      </c>
      <c r="C22" s="170">
        <v>0</v>
      </c>
      <c r="D22" s="171">
        <v>0</v>
      </c>
      <c r="E22" s="233">
        <f>SUM(E23:E25)</f>
        <v>0</v>
      </c>
      <c r="F22" s="233">
        <f>SUM(F23:F25)</f>
        <v>0</v>
      </c>
      <c r="G22" s="233">
        <f>SUM(G23:G25)</f>
        <v>0</v>
      </c>
      <c r="H22" s="232">
        <f t="shared" si="0"/>
        <v>0</v>
      </c>
      <c r="I22" s="233">
        <v>0</v>
      </c>
      <c r="J22" s="233">
        <f>SUM(J23:J25)</f>
        <v>0</v>
      </c>
      <c r="K22" s="233">
        <f>SUM(K23:K25)</f>
        <v>0</v>
      </c>
      <c r="L22" s="233">
        <f>SUM(L23:L25)</f>
        <v>0</v>
      </c>
      <c r="M22" s="232">
        <f t="shared" si="1"/>
        <v>0</v>
      </c>
      <c r="N22" s="233">
        <v>0</v>
      </c>
      <c r="O22" s="233">
        <f>SUM(O23:O25)</f>
        <v>0</v>
      </c>
      <c r="P22" s="233">
        <f>SUM(P23:P25)</f>
        <v>0</v>
      </c>
      <c r="Q22" s="233">
        <f>SUM(Q23:Q25)</f>
        <v>0</v>
      </c>
      <c r="R22" s="232">
        <f t="shared" si="2"/>
        <v>0</v>
      </c>
    </row>
    <row r="23" spans="1:18" s="6" customFormat="1" ht="24" hidden="1" customHeight="1">
      <c r="A23" s="136">
        <v>19550</v>
      </c>
      <c r="B23" s="172" t="s">
        <v>175</v>
      </c>
      <c r="C23" s="170"/>
      <c r="D23" s="171">
        <v>0</v>
      </c>
      <c r="E23" s="233"/>
      <c r="F23" s="233"/>
      <c r="G23" s="233"/>
      <c r="H23" s="232">
        <f t="shared" si="0"/>
        <v>0</v>
      </c>
      <c r="I23" s="233">
        <v>0</v>
      </c>
      <c r="J23" s="233"/>
      <c r="K23" s="233"/>
      <c r="L23" s="233"/>
      <c r="M23" s="232">
        <f t="shared" si="1"/>
        <v>0</v>
      </c>
      <c r="N23" s="233">
        <v>0</v>
      </c>
      <c r="O23" s="233"/>
      <c r="P23" s="233"/>
      <c r="Q23" s="233"/>
      <c r="R23" s="232">
        <f t="shared" si="2"/>
        <v>0</v>
      </c>
    </row>
    <row r="24" spans="1:18" s="6" customFormat="1" ht="36" hidden="1" customHeight="1">
      <c r="A24" s="136">
        <v>19560</v>
      </c>
      <c r="B24" s="172" t="s">
        <v>181</v>
      </c>
      <c r="C24" s="170"/>
      <c r="D24" s="171">
        <v>0</v>
      </c>
      <c r="E24" s="233"/>
      <c r="F24" s="233"/>
      <c r="G24" s="233"/>
      <c r="H24" s="232">
        <f t="shared" si="0"/>
        <v>0</v>
      </c>
      <c r="I24" s="233">
        <v>0</v>
      </c>
      <c r="J24" s="233"/>
      <c r="K24" s="233"/>
      <c r="L24" s="233"/>
      <c r="M24" s="232">
        <f t="shared" si="1"/>
        <v>0</v>
      </c>
      <c r="N24" s="233">
        <v>0</v>
      </c>
      <c r="O24" s="233"/>
      <c r="P24" s="233"/>
      <c r="Q24" s="233"/>
      <c r="R24" s="232">
        <f t="shared" si="2"/>
        <v>0</v>
      </c>
    </row>
    <row r="25" spans="1:18" s="6" customFormat="1" ht="72" hidden="1" customHeight="1">
      <c r="A25" s="136">
        <v>19570</v>
      </c>
      <c r="B25" s="172" t="s">
        <v>182</v>
      </c>
      <c r="C25" s="170"/>
      <c r="D25" s="171">
        <v>0</v>
      </c>
      <c r="E25" s="233"/>
      <c r="F25" s="233"/>
      <c r="G25" s="233"/>
      <c r="H25" s="232">
        <f t="shared" si="0"/>
        <v>0</v>
      </c>
      <c r="I25" s="233">
        <v>0</v>
      </c>
      <c r="J25" s="233"/>
      <c r="K25" s="233"/>
      <c r="L25" s="233"/>
      <c r="M25" s="232">
        <f t="shared" si="1"/>
        <v>0</v>
      </c>
      <c r="N25" s="233">
        <v>0</v>
      </c>
      <c r="O25" s="233"/>
      <c r="P25" s="233"/>
      <c r="Q25" s="233"/>
      <c r="R25" s="232">
        <f t="shared" si="2"/>
        <v>0</v>
      </c>
    </row>
    <row r="26" spans="1:18" s="6" customFormat="1" ht="24" hidden="1" customHeight="1">
      <c r="A26" s="209" t="s">
        <v>222</v>
      </c>
      <c r="B26" s="208" t="s">
        <v>216</v>
      </c>
      <c r="C26" s="106">
        <f>C27</f>
        <v>0</v>
      </c>
      <c r="D26" s="106">
        <v>0</v>
      </c>
      <c r="E26" s="232">
        <f t="shared" ref="E26:L26" si="6">E27</f>
        <v>0</v>
      </c>
      <c r="F26" s="232">
        <f t="shared" si="6"/>
        <v>0</v>
      </c>
      <c r="G26" s="232">
        <f t="shared" si="6"/>
        <v>0</v>
      </c>
      <c r="H26" s="232">
        <f t="shared" si="0"/>
        <v>0</v>
      </c>
      <c r="I26" s="233">
        <v>0</v>
      </c>
      <c r="J26" s="232">
        <f t="shared" si="6"/>
        <v>0</v>
      </c>
      <c r="K26" s="232">
        <f t="shared" si="6"/>
        <v>0</v>
      </c>
      <c r="L26" s="232">
        <f t="shared" si="6"/>
        <v>0</v>
      </c>
      <c r="M26" s="232">
        <f t="shared" si="1"/>
        <v>0</v>
      </c>
      <c r="N26" s="233">
        <v>0</v>
      </c>
      <c r="O26" s="232">
        <f>O27</f>
        <v>0</v>
      </c>
      <c r="P26" s="232">
        <f>P27</f>
        <v>0</v>
      </c>
      <c r="Q26" s="232">
        <f>Q27</f>
        <v>0</v>
      </c>
      <c r="R26" s="232">
        <f t="shared" si="2"/>
        <v>0</v>
      </c>
    </row>
    <row r="27" spans="1:18" s="6" customFormat="1" ht="36" hidden="1" customHeight="1">
      <c r="A27" s="209">
        <v>17100</v>
      </c>
      <c r="B27" s="208" t="s">
        <v>217</v>
      </c>
      <c r="C27" s="106">
        <f>SUM(C28:C31)</f>
        <v>0</v>
      </c>
      <c r="D27" s="106">
        <v>0</v>
      </c>
      <c r="E27" s="232">
        <f>SUM(E28:E31)</f>
        <v>0</v>
      </c>
      <c r="F27" s="232">
        <f>SUM(F28:F31)</f>
        <v>0</v>
      </c>
      <c r="G27" s="232">
        <f>SUM(G28:G31)</f>
        <v>0</v>
      </c>
      <c r="H27" s="232">
        <f t="shared" si="0"/>
        <v>0</v>
      </c>
      <c r="I27" s="233">
        <v>0</v>
      </c>
      <c r="J27" s="232">
        <f>SUM(J28:J31)</f>
        <v>0</v>
      </c>
      <c r="K27" s="232">
        <f>SUM(K28:K31)</f>
        <v>0</v>
      </c>
      <c r="L27" s="232">
        <f>SUM(L28:L31)</f>
        <v>0</v>
      </c>
      <c r="M27" s="232">
        <f t="shared" si="1"/>
        <v>0</v>
      </c>
      <c r="N27" s="233">
        <v>0</v>
      </c>
      <c r="O27" s="232">
        <f>SUM(O28:O31)</f>
        <v>0</v>
      </c>
      <c r="P27" s="232">
        <f>SUM(P28:P31)</f>
        <v>0</v>
      </c>
      <c r="Q27" s="232">
        <f>SUM(Q28:Q31)</f>
        <v>0</v>
      </c>
      <c r="R27" s="232">
        <f t="shared" si="2"/>
        <v>0</v>
      </c>
    </row>
    <row r="28" spans="1:18" s="6" customFormat="1" ht="60" hidden="1" customHeight="1">
      <c r="A28" s="149">
        <v>17110</v>
      </c>
      <c r="B28" s="208" t="s">
        <v>218</v>
      </c>
      <c r="C28" s="106"/>
      <c r="D28" s="107">
        <v>0</v>
      </c>
      <c r="E28" s="233"/>
      <c r="F28" s="233"/>
      <c r="G28" s="233"/>
      <c r="H28" s="232">
        <f t="shared" si="0"/>
        <v>0</v>
      </c>
      <c r="I28" s="233">
        <v>0</v>
      </c>
      <c r="J28" s="233"/>
      <c r="K28" s="233"/>
      <c r="L28" s="233"/>
      <c r="M28" s="232">
        <f t="shared" si="1"/>
        <v>0</v>
      </c>
      <c r="N28" s="233">
        <v>0</v>
      </c>
      <c r="O28" s="233"/>
      <c r="P28" s="233"/>
      <c r="Q28" s="233"/>
      <c r="R28" s="232">
        <f t="shared" si="2"/>
        <v>0</v>
      </c>
    </row>
    <row r="29" spans="1:18" s="6" customFormat="1" ht="60" hidden="1" customHeight="1">
      <c r="A29" s="149">
        <v>17120</v>
      </c>
      <c r="B29" s="208" t="s">
        <v>219</v>
      </c>
      <c r="C29" s="106"/>
      <c r="D29" s="107">
        <v>0</v>
      </c>
      <c r="E29" s="233"/>
      <c r="F29" s="233"/>
      <c r="G29" s="233"/>
      <c r="H29" s="232">
        <f t="shared" si="0"/>
        <v>0</v>
      </c>
      <c r="I29" s="233">
        <v>0</v>
      </c>
      <c r="J29" s="233"/>
      <c r="K29" s="233"/>
      <c r="L29" s="233"/>
      <c r="M29" s="232">
        <f t="shared" si="1"/>
        <v>0</v>
      </c>
      <c r="N29" s="233">
        <v>0</v>
      </c>
      <c r="O29" s="233"/>
      <c r="P29" s="233"/>
      <c r="Q29" s="233"/>
      <c r="R29" s="232">
        <f t="shared" si="2"/>
        <v>0</v>
      </c>
    </row>
    <row r="30" spans="1:18" s="6" customFormat="1" ht="108" hidden="1" customHeight="1">
      <c r="A30" s="149">
        <v>17130</v>
      </c>
      <c r="B30" s="208" t="s">
        <v>220</v>
      </c>
      <c r="C30" s="106"/>
      <c r="D30" s="107">
        <v>0</v>
      </c>
      <c r="E30" s="233"/>
      <c r="F30" s="233"/>
      <c r="G30" s="233"/>
      <c r="H30" s="232">
        <f t="shared" si="0"/>
        <v>0</v>
      </c>
      <c r="I30" s="233">
        <v>0</v>
      </c>
      <c r="J30" s="233"/>
      <c r="K30" s="233"/>
      <c r="L30" s="233"/>
      <c r="M30" s="232">
        <f t="shared" si="1"/>
        <v>0</v>
      </c>
      <c r="N30" s="233">
        <v>0</v>
      </c>
      <c r="O30" s="233"/>
      <c r="P30" s="233"/>
      <c r="Q30" s="233"/>
      <c r="R30" s="232">
        <f t="shared" si="2"/>
        <v>0</v>
      </c>
    </row>
    <row r="31" spans="1:18" s="6" customFormat="1" ht="108" hidden="1" customHeight="1">
      <c r="A31" s="149">
        <v>17140</v>
      </c>
      <c r="B31" s="208" t="s">
        <v>221</v>
      </c>
      <c r="C31" s="106"/>
      <c r="D31" s="107">
        <v>0</v>
      </c>
      <c r="E31" s="233"/>
      <c r="F31" s="233"/>
      <c r="G31" s="233"/>
      <c r="H31" s="232">
        <f t="shared" si="0"/>
        <v>0</v>
      </c>
      <c r="I31" s="233">
        <v>0</v>
      </c>
      <c r="J31" s="233"/>
      <c r="K31" s="233"/>
      <c r="L31" s="233"/>
      <c r="M31" s="232">
        <f t="shared" si="1"/>
        <v>0</v>
      </c>
      <c r="N31" s="233">
        <v>0</v>
      </c>
      <c r="O31" s="233"/>
      <c r="P31" s="233"/>
      <c r="Q31" s="233"/>
      <c r="R31" s="232">
        <f t="shared" si="2"/>
        <v>0</v>
      </c>
    </row>
    <row r="32" spans="1:18" s="6" customFormat="1" ht="12">
      <c r="A32" s="137">
        <v>21700</v>
      </c>
      <c r="B32" s="124" t="s">
        <v>97</v>
      </c>
      <c r="C32" s="162">
        <v>3287127</v>
      </c>
      <c r="D32" s="114">
        <v>1533352</v>
      </c>
      <c r="E32" s="233">
        <f>E33+E34</f>
        <v>0</v>
      </c>
      <c r="F32" s="233">
        <f>F33+F34</f>
        <v>0</v>
      </c>
      <c r="G32" s="233">
        <f>G33+G34</f>
        <v>100000</v>
      </c>
      <c r="H32" s="232">
        <f t="shared" si="0"/>
        <v>1633352</v>
      </c>
      <c r="I32" s="233">
        <v>831436</v>
      </c>
      <c r="J32" s="233">
        <f>J33+J34</f>
        <v>0</v>
      </c>
      <c r="K32" s="233">
        <f>K33+K34</f>
        <v>0</v>
      </c>
      <c r="L32" s="233">
        <f>L33+L34</f>
        <v>100000</v>
      </c>
      <c r="M32" s="232">
        <f t="shared" si="1"/>
        <v>931436</v>
      </c>
      <c r="N32" s="233">
        <v>372756</v>
      </c>
      <c r="O32" s="233">
        <f>O33+O34</f>
        <v>0</v>
      </c>
      <c r="P32" s="233">
        <f>P33+P34</f>
        <v>0</v>
      </c>
      <c r="Q32" s="233">
        <f>Q33+Q34</f>
        <v>100000</v>
      </c>
      <c r="R32" s="232">
        <f t="shared" si="2"/>
        <v>472756</v>
      </c>
    </row>
    <row r="33" spans="1:18" s="6" customFormat="1" ht="24">
      <c r="A33" s="138">
        <v>21710</v>
      </c>
      <c r="B33" s="125" t="s">
        <v>98</v>
      </c>
      <c r="C33" s="170">
        <v>2687716</v>
      </c>
      <c r="D33" s="171">
        <v>998867</v>
      </c>
      <c r="E33" s="233"/>
      <c r="F33" s="233"/>
      <c r="G33" s="233">
        <v>100000</v>
      </c>
      <c r="H33" s="232">
        <f t="shared" si="0"/>
        <v>1098867</v>
      </c>
      <c r="I33" s="233">
        <v>831436</v>
      </c>
      <c r="J33" s="233"/>
      <c r="K33" s="233"/>
      <c r="L33" s="233">
        <v>100000</v>
      </c>
      <c r="M33" s="232">
        <f t="shared" si="1"/>
        <v>931436</v>
      </c>
      <c r="N33" s="233">
        <v>372756</v>
      </c>
      <c r="O33" s="233"/>
      <c r="P33" s="233"/>
      <c r="Q33" s="233">
        <v>100000</v>
      </c>
      <c r="R33" s="232">
        <f t="shared" si="2"/>
        <v>472756</v>
      </c>
    </row>
    <row r="34" spans="1:18" s="6" customFormat="1" ht="24">
      <c r="A34" s="138">
        <v>21720</v>
      </c>
      <c r="B34" s="125" t="s">
        <v>99</v>
      </c>
      <c r="C34" s="170">
        <v>599411</v>
      </c>
      <c r="D34" s="171">
        <v>534485</v>
      </c>
      <c r="E34" s="233"/>
      <c r="F34" s="233"/>
      <c r="G34" s="233"/>
      <c r="H34" s="232">
        <f t="shared" si="0"/>
        <v>534485</v>
      </c>
      <c r="I34" s="233">
        <v>0</v>
      </c>
      <c r="J34" s="233"/>
      <c r="K34" s="233"/>
      <c r="L34" s="233"/>
      <c r="M34" s="232">
        <f t="shared" si="1"/>
        <v>0</v>
      </c>
      <c r="N34" s="233">
        <v>0</v>
      </c>
      <c r="O34" s="233"/>
      <c r="P34" s="233"/>
      <c r="Q34" s="233"/>
      <c r="R34" s="232">
        <f t="shared" si="2"/>
        <v>0</v>
      </c>
    </row>
    <row r="35" spans="1:18" s="6" customFormat="1" ht="11.4">
      <c r="A35" s="597" t="s">
        <v>100</v>
      </c>
      <c r="B35" s="598" t="s">
        <v>101</v>
      </c>
      <c r="C35" s="602">
        <v>3287127</v>
      </c>
      <c r="D35" s="618">
        <v>1533352</v>
      </c>
      <c r="E35" s="603">
        <f>E36+E63</f>
        <v>0</v>
      </c>
      <c r="F35" s="603">
        <f>F36+F63</f>
        <v>0</v>
      </c>
      <c r="G35" s="603">
        <f>G36+G63</f>
        <v>100000</v>
      </c>
      <c r="H35" s="601">
        <f t="shared" si="0"/>
        <v>1633352</v>
      </c>
      <c r="I35" s="603">
        <v>831436</v>
      </c>
      <c r="J35" s="603">
        <f>J36+J63</f>
        <v>0</v>
      </c>
      <c r="K35" s="603">
        <f>K36+K63</f>
        <v>0</v>
      </c>
      <c r="L35" s="603">
        <f>L36+L63</f>
        <v>100000</v>
      </c>
      <c r="M35" s="601">
        <f t="shared" si="1"/>
        <v>931436</v>
      </c>
      <c r="N35" s="603">
        <v>372756</v>
      </c>
      <c r="O35" s="603">
        <f>O36+O63</f>
        <v>0</v>
      </c>
      <c r="P35" s="603">
        <f>P36+P63</f>
        <v>0</v>
      </c>
      <c r="Q35" s="603">
        <f>Q36+Q63</f>
        <v>100000</v>
      </c>
      <c r="R35" s="601">
        <f t="shared" si="2"/>
        <v>472756</v>
      </c>
    </row>
    <row r="36" spans="1:18" s="6" customFormat="1" ht="20.399999999999999">
      <c r="A36" s="130" t="s">
        <v>102</v>
      </c>
      <c r="B36" s="124" t="s">
        <v>103</v>
      </c>
      <c r="C36" s="162">
        <v>3286627</v>
      </c>
      <c r="D36" s="114">
        <v>1532852</v>
      </c>
      <c r="E36" s="233">
        <f>E37+E41+E42+E45+E48</f>
        <v>0</v>
      </c>
      <c r="F36" s="233">
        <f>F37+F41+F42+F45+F48</f>
        <v>0</v>
      </c>
      <c r="G36" s="233">
        <f>G37+G41+G42+G45+G48</f>
        <v>100000</v>
      </c>
      <c r="H36" s="232">
        <f t="shared" si="0"/>
        <v>1632852</v>
      </c>
      <c r="I36" s="233">
        <v>830936</v>
      </c>
      <c r="J36" s="233">
        <f>J37+J41+J42+J45+J48</f>
        <v>0</v>
      </c>
      <c r="K36" s="233">
        <f>K37+K41+K42+K45+K48</f>
        <v>0</v>
      </c>
      <c r="L36" s="233">
        <f>L37+L41+L42+L45+L48</f>
        <v>100000</v>
      </c>
      <c r="M36" s="232">
        <f t="shared" si="1"/>
        <v>930936</v>
      </c>
      <c r="N36" s="233">
        <v>372256</v>
      </c>
      <c r="O36" s="233">
        <f>O37+O41+O42+O45+O48</f>
        <v>0</v>
      </c>
      <c r="P36" s="233">
        <f>P37+P41+P42+P45+P48</f>
        <v>0</v>
      </c>
      <c r="Q36" s="233">
        <f>Q37+Q41+Q42+Q45+Q48</f>
        <v>100000</v>
      </c>
      <c r="R36" s="232">
        <f t="shared" si="2"/>
        <v>472256</v>
      </c>
    </row>
    <row r="37" spans="1:18" s="6" customFormat="1" ht="12">
      <c r="A37" s="130" t="s">
        <v>104</v>
      </c>
      <c r="B37" s="124" t="s">
        <v>105</v>
      </c>
      <c r="C37" s="162">
        <v>793420</v>
      </c>
      <c r="D37" s="114">
        <v>552655</v>
      </c>
      <c r="E37" s="233">
        <f>E38+E40</f>
        <v>0</v>
      </c>
      <c r="F37" s="233">
        <f>F38+F40</f>
        <v>0</v>
      </c>
      <c r="G37" s="233">
        <f>G38+G40</f>
        <v>100000</v>
      </c>
      <c r="H37" s="232">
        <f t="shared" si="0"/>
        <v>652655</v>
      </c>
      <c r="I37" s="233">
        <v>432849</v>
      </c>
      <c r="J37" s="233">
        <f>J38+J40</f>
        <v>0</v>
      </c>
      <c r="K37" s="233">
        <f>K38+K40</f>
        <v>0</v>
      </c>
      <c r="L37" s="233">
        <f>L38+L40</f>
        <v>100000</v>
      </c>
      <c r="M37" s="232">
        <f t="shared" si="1"/>
        <v>532849</v>
      </c>
      <c r="N37" s="233">
        <v>350256</v>
      </c>
      <c r="O37" s="233">
        <f>O38+O40</f>
        <v>0</v>
      </c>
      <c r="P37" s="233">
        <f>P38+P40</f>
        <v>0</v>
      </c>
      <c r="Q37" s="233">
        <f>Q38+Q40</f>
        <v>100000</v>
      </c>
      <c r="R37" s="232">
        <f t="shared" si="2"/>
        <v>450256</v>
      </c>
    </row>
    <row r="38" spans="1:18" s="6" customFormat="1" ht="12">
      <c r="A38" s="132">
        <v>1000</v>
      </c>
      <c r="B38" s="125" t="s">
        <v>106</v>
      </c>
      <c r="C38" s="170">
        <v>645396</v>
      </c>
      <c r="D38" s="171">
        <v>455869</v>
      </c>
      <c r="E38" s="244"/>
      <c r="F38" s="244"/>
      <c r="G38" s="244"/>
      <c r="H38" s="232">
        <f t="shared" si="0"/>
        <v>455869</v>
      </c>
      <c r="I38" s="233">
        <v>377272</v>
      </c>
      <c r="J38" s="244"/>
      <c r="K38" s="244"/>
      <c r="L38" s="244"/>
      <c r="M38" s="232">
        <f t="shared" si="1"/>
        <v>377272</v>
      </c>
      <c r="N38" s="233">
        <v>308551</v>
      </c>
      <c r="O38" s="244"/>
      <c r="P38" s="244"/>
      <c r="Q38" s="244"/>
      <c r="R38" s="232">
        <f t="shared" si="2"/>
        <v>308551</v>
      </c>
    </row>
    <row r="39" spans="1:18" s="6" customFormat="1" ht="12">
      <c r="A39" s="139">
        <v>1100</v>
      </c>
      <c r="B39" s="125" t="s">
        <v>107</v>
      </c>
      <c r="C39" s="170">
        <v>520105</v>
      </c>
      <c r="D39" s="171">
        <v>367371</v>
      </c>
      <c r="E39" s="244"/>
      <c r="F39" s="244"/>
      <c r="G39" s="244"/>
      <c r="H39" s="232">
        <f t="shared" si="0"/>
        <v>367371</v>
      </c>
      <c r="I39" s="233">
        <v>304032</v>
      </c>
      <c r="J39" s="244"/>
      <c r="K39" s="244"/>
      <c r="L39" s="244"/>
      <c r="M39" s="232">
        <f t="shared" si="1"/>
        <v>304032</v>
      </c>
      <c r="N39" s="233">
        <v>248652</v>
      </c>
      <c r="O39" s="244"/>
      <c r="P39" s="244"/>
      <c r="Q39" s="244"/>
      <c r="R39" s="232">
        <f t="shared" si="2"/>
        <v>248652</v>
      </c>
    </row>
    <row r="40" spans="1:18" s="6" customFormat="1" ht="12">
      <c r="A40" s="132">
        <v>2000</v>
      </c>
      <c r="B40" s="125" t="s">
        <v>108</v>
      </c>
      <c r="C40" s="170">
        <v>148024</v>
      </c>
      <c r="D40" s="171">
        <v>96786</v>
      </c>
      <c r="E40" s="244"/>
      <c r="F40" s="244"/>
      <c r="G40" s="232">
        <v>100000</v>
      </c>
      <c r="H40" s="232">
        <f t="shared" si="0"/>
        <v>196786</v>
      </c>
      <c r="I40" s="232">
        <v>55577</v>
      </c>
      <c r="J40" s="232"/>
      <c r="K40" s="232"/>
      <c r="L40" s="232">
        <v>100000</v>
      </c>
      <c r="M40" s="232">
        <f t="shared" si="1"/>
        <v>155577</v>
      </c>
      <c r="N40" s="233">
        <v>41705</v>
      </c>
      <c r="O40" s="244"/>
      <c r="P40" s="244"/>
      <c r="Q40" s="244">
        <v>100000</v>
      </c>
      <c r="R40" s="232">
        <f t="shared" si="2"/>
        <v>141705</v>
      </c>
    </row>
    <row r="41" spans="1:18" s="6" customFormat="1" ht="12" hidden="1" customHeight="1">
      <c r="A41" s="140">
        <v>4000</v>
      </c>
      <c r="B41" s="124" t="s">
        <v>132</v>
      </c>
      <c r="C41" s="170"/>
      <c r="D41" s="176">
        <v>0</v>
      </c>
      <c r="E41" s="244"/>
      <c r="F41" s="244"/>
      <c r="G41" s="244"/>
      <c r="H41" s="232">
        <f t="shared" si="0"/>
        <v>0</v>
      </c>
      <c r="I41" s="233">
        <v>0</v>
      </c>
      <c r="J41" s="244"/>
      <c r="K41" s="244"/>
      <c r="L41" s="244"/>
      <c r="M41" s="232">
        <f t="shared" si="1"/>
        <v>0</v>
      </c>
      <c r="N41" s="233">
        <v>0</v>
      </c>
      <c r="O41" s="244"/>
      <c r="P41" s="244"/>
      <c r="Q41" s="244"/>
      <c r="R41" s="232">
        <f t="shared" si="2"/>
        <v>0</v>
      </c>
    </row>
    <row r="42" spans="1:18" s="6" customFormat="1" ht="12">
      <c r="A42" s="140" t="s">
        <v>109</v>
      </c>
      <c r="B42" s="124" t="s">
        <v>110</v>
      </c>
      <c r="C42" s="162">
        <v>1541901</v>
      </c>
      <c r="D42" s="114">
        <v>386453</v>
      </c>
      <c r="E42" s="233">
        <f>E43+E44</f>
        <v>0</v>
      </c>
      <c r="F42" s="233">
        <f>F43+F44</f>
        <v>0</v>
      </c>
      <c r="G42" s="233">
        <f>G43+G44</f>
        <v>0</v>
      </c>
      <c r="H42" s="232">
        <f t="shared" si="0"/>
        <v>386453</v>
      </c>
      <c r="I42" s="233">
        <v>398087</v>
      </c>
      <c r="J42" s="233">
        <f>J43+J44</f>
        <v>0</v>
      </c>
      <c r="K42" s="233">
        <f>K43+K44</f>
        <v>0</v>
      </c>
      <c r="L42" s="233">
        <f>L43+L44</f>
        <v>0</v>
      </c>
      <c r="M42" s="232">
        <f t="shared" si="1"/>
        <v>398087</v>
      </c>
      <c r="N42" s="233">
        <v>22000</v>
      </c>
      <c r="O42" s="233">
        <f>O43+O44</f>
        <v>0</v>
      </c>
      <c r="P42" s="233">
        <f>P43+P44</f>
        <v>0</v>
      </c>
      <c r="Q42" s="233">
        <f>Q43+Q44</f>
        <v>0</v>
      </c>
      <c r="R42" s="232">
        <f t="shared" si="2"/>
        <v>22000</v>
      </c>
    </row>
    <row r="43" spans="1:18" s="6" customFormat="1" ht="12">
      <c r="A43" s="132">
        <v>3000</v>
      </c>
      <c r="B43" s="125" t="s">
        <v>111</v>
      </c>
      <c r="C43" s="202">
        <v>1541901</v>
      </c>
      <c r="D43" s="213">
        <v>386453</v>
      </c>
      <c r="E43" s="246"/>
      <c r="F43" s="246"/>
      <c r="G43" s="246"/>
      <c r="H43" s="232">
        <f t="shared" si="0"/>
        <v>386453</v>
      </c>
      <c r="I43" s="345">
        <v>398087</v>
      </c>
      <c r="J43" s="246"/>
      <c r="K43" s="246"/>
      <c r="L43" s="246"/>
      <c r="M43" s="232">
        <f t="shared" si="1"/>
        <v>398087</v>
      </c>
      <c r="N43" s="345">
        <v>22000</v>
      </c>
      <c r="O43" s="246"/>
      <c r="P43" s="246"/>
      <c r="Q43" s="246"/>
      <c r="R43" s="232">
        <f t="shared" si="2"/>
        <v>22000</v>
      </c>
    </row>
    <row r="44" spans="1:18" s="6" customFormat="1" ht="12" hidden="1" customHeight="1">
      <c r="A44" s="132">
        <v>6000</v>
      </c>
      <c r="B44" s="125" t="s">
        <v>112</v>
      </c>
      <c r="C44" s="203"/>
      <c r="D44" s="178">
        <v>0</v>
      </c>
      <c r="E44" s="248"/>
      <c r="F44" s="248"/>
      <c r="G44" s="248"/>
      <c r="H44" s="232">
        <f t="shared" si="0"/>
        <v>0</v>
      </c>
      <c r="I44" s="346">
        <v>0</v>
      </c>
      <c r="J44" s="248"/>
      <c r="K44" s="248"/>
      <c r="L44" s="248"/>
      <c r="M44" s="232">
        <f t="shared" si="1"/>
        <v>0</v>
      </c>
      <c r="N44" s="346">
        <v>0</v>
      </c>
      <c r="O44" s="248"/>
      <c r="P44" s="248"/>
      <c r="Q44" s="248"/>
      <c r="R44" s="232">
        <f t="shared" si="2"/>
        <v>0</v>
      </c>
    </row>
    <row r="45" spans="1:18" s="6" customFormat="1" ht="24" hidden="1" customHeight="1">
      <c r="A45" s="140" t="s">
        <v>113</v>
      </c>
      <c r="B45" s="124" t="s">
        <v>183</v>
      </c>
      <c r="C45" s="170">
        <v>0</v>
      </c>
      <c r="D45" s="171">
        <v>0</v>
      </c>
      <c r="E45" s="233">
        <f>E46+E47</f>
        <v>0</v>
      </c>
      <c r="F45" s="233">
        <f>F46+F47</f>
        <v>0</v>
      </c>
      <c r="G45" s="233">
        <f>G46+G47</f>
        <v>0</v>
      </c>
      <c r="H45" s="232">
        <f t="shared" si="0"/>
        <v>0</v>
      </c>
      <c r="I45" s="233">
        <v>0</v>
      </c>
      <c r="J45" s="233">
        <f>J46+J47</f>
        <v>0</v>
      </c>
      <c r="K45" s="233">
        <f>K46+K47</f>
        <v>0</v>
      </c>
      <c r="L45" s="233">
        <f>L46+L47</f>
        <v>0</v>
      </c>
      <c r="M45" s="232">
        <f t="shared" si="1"/>
        <v>0</v>
      </c>
      <c r="N45" s="233">
        <v>0</v>
      </c>
      <c r="O45" s="233">
        <f>O46+O47</f>
        <v>0</v>
      </c>
      <c r="P45" s="233">
        <f>P46+P47</f>
        <v>0</v>
      </c>
      <c r="Q45" s="233">
        <f>Q46+Q47</f>
        <v>0</v>
      </c>
      <c r="R45" s="232">
        <f t="shared" si="2"/>
        <v>0</v>
      </c>
    </row>
    <row r="46" spans="1:18" s="6" customFormat="1" ht="12" hidden="1" customHeight="1">
      <c r="A46" s="132">
        <v>7600</v>
      </c>
      <c r="B46" s="179" t="s">
        <v>184</v>
      </c>
      <c r="C46" s="170"/>
      <c r="D46" s="176">
        <v>0</v>
      </c>
      <c r="E46" s="244"/>
      <c r="F46" s="244"/>
      <c r="G46" s="244"/>
      <c r="H46" s="232">
        <f t="shared" si="0"/>
        <v>0</v>
      </c>
      <c r="I46" s="233">
        <v>0</v>
      </c>
      <c r="J46" s="244"/>
      <c r="K46" s="244"/>
      <c r="L46" s="244"/>
      <c r="M46" s="232">
        <f t="shared" si="1"/>
        <v>0</v>
      </c>
      <c r="N46" s="233">
        <v>0</v>
      </c>
      <c r="O46" s="244"/>
      <c r="P46" s="244"/>
      <c r="Q46" s="244"/>
      <c r="R46" s="232">
        <f t="shared" si="2"/>
        <v>0</v>
      </c>
    </row>
    <row r="47" spans="1:18" s="6" customFormat="1" ht="12" hidden="1" customHeight="1">
      <c r="A47" s="132">
        <v>7700</v>
      </c>
      <c r="B47" s="126" t="s">
        <v>114</v>
      </c>
      <c r="C47" s="170"/>
      <c r="D47" s="176">
        <v>0</v>
      </c>
      <c r="E47" s="244"/>
      <c r="F47" s="244"/>
      <c r="G47" s="244"/>
      <c r="H47" s="232">
        <f t="shared" si="0"/>
        <v>0</v>
      </c>
      <c r="I47" s="233">
        <v>0</v>
      </c>
      <c r="J47" s="244"/>
      <c r="K47" s="244"/>
      <c r="L47" s="244"/>
      <c r="M47" s="232">
        <f t="shared" si="1"/>
        <v>0</v>
      </c>
      <c r="N47" s="233">
        <v>0</v>
      </c>
      <c r="O47" s="244"/>
      <c r="P47" s="244"/>
      <c r="Q47" s="244"/>
      <c r="R47" s="232">
        <f t="shared" si="2"/>
        <v>0</v>
      </c>
    </row>
    <row r="48" spans="1:18" s="6" customFormat="1" ht="20.399999999999999">
      <c r="A48" s="140" t="s">
        <v>185</v>
      </c>
      <c r="B48" s="124" t="s">
        <v>115</v>
      </c>
      <c r="C48" s="162">
        <v>951306</v>
      </c>
      <c r="D48" s="114">
        <v>593744</v>
      </c>
      <c r="E48" s="233">
        <f>E49+E55+E59+E62</f>
        <v>0</v>
      </c>
      <c r="F48" s="233">
        <f>F49+F55+F59+F62</f>
        <v>0</v>
      </c>
      <c r="G48" s="233">
        <f>G49+G55+G59+G62</f>
        <v>0</v>
      </c>
      <c r="H48" s="232">
        <f t="shared" si="0"/>
        <v>593744</v>
      </c>
      <c r="I48" s="233">
        <v>0</v>
      </c>
      <c r="J48" s="233">
        <f>J49+J55+J59+J62</f>
        <v>0</v>
      </c>
      <c r="K48" s="233">
        <f>K49+K55+K59+K62</f>
        <v>0</v>
      </c>
      <c r="L48" s="233">
        <f>L49+L55+L59+L62</f>
        <v>0</v>
      </c>
      <c r="M48" s="232">
        <f t="shared" si="1"/>
        <v>0</v>
      </c>
      <c r="N48" s="233">
        <v>0</v>
      </c>
      <c r="O48" s="233">
        <f>O49+O55+O59+O62</f>
        <v>0</v>
      </c>
      <c r="P48" s="233">
        <f>P49+P55+P59+P62</f>
        <v>0</v>
      </c>
      <c r="Q48" s="233">
        <f>Q49+Q55+Q59+Q62</f>
        <v>0</v>
      </c>
      <c r="R48" s="232">
        <f t="shared" si="2"/>
        <v>0</v>
      </c>
    </row>
    <row r="49" spans="1:18" s="6" customFormat="1" ht="12" hidden="1" customHeight="1">
      <c r="A49" s="132">
        <v>7100</v>
      </c>
      <c r="B49" s="179" t="s">
        <v>116</v>
      </c>
      <c r="C49" s="170">
        <v>0</v>
      </c>
      <c r="D49" s="171">
        <v>0</v>
      </c>
      <c r="E49" s="233">
        <f>E50+E51</f>
        <v>0</v>
      </c>
      <c r="F49" s="233">
        <f>F50+F51</f>
        <v>0</v>
      </c>
      <c r="G49" s="233">
        <f>G50+G51</f>
        <v>0</v>
      </c>
      <c r="H49" s="232">
        <f t="shared" si="0"/>
        <v>0</v>
      </c>
      <c r="I49" s="233">
        <v>0</v>
      </c>
      <c r="J49" s="233">
        <f>J50+J51</f>
        <v>0</v>
      </c>
      <c r="K49" s="233">
        <f>K50+K51</f>
        <v>0</v>
      </c>
      <c r="L49" s="233">
        <f>L50+L51</f>
        <v>0</v>
      </c>
      <c r="M49" s="232">
        <f t="shared" si="1"/>
        <v>0</v>
      </c>
      <c r="N49" s="233">
        <v>0</v>
      </c>
      <c r="O49" s="233">
        <f>O50+O51</f>
        <v>0</v>
      </c>
      <c r="P49" s="233">
        <f>P50+P51</f>
        <v>0</v>
      </c>
      <c r="Q49" s="233">
        <f>Q50+Q51</f>
        <v>0</v>
      </c>
      <c r="R49" s="232">
        <f t="shared" si="2"/>
        <v>0</v>
      </c>
    </row>
    <row r="50" spans="1:18" s="6" customFormat="1" ht="24" hidden="1" customHeight="1">
      <c r="A50" s="133" t="s">
        <v>117</v>
      </c>
      <c r="B50" s="179" t="s">
        <v>118</v>
      </c>
      <c r="C50" s="170"/>
      <c r="D50" s="171">
        <v>0</v>
      </c>
      <c r="E50" s="233"/>
      <c r="F50" s="233"/>
      <c r="G50" s="233"/>
      <c r="H50" s="232">
        <f t="shared" si="0"/>
        <v>0</v>
      </c>
      <c r="I50" s="233">
        <v>0</v>
      </c>
      <c r="J50" s="233"/>
      <c r="K50" s="233"/>
      <c r="L50" s="233"/>
      <c r="M50" s="232">
        <f t="shared" si="1"/>
        <v>0</v>
      </c>
      <c r="N50" s="233">
        <v>0</v>
      </c>
      <c r="O50" s="233"/>
      <c r="P50" s="233"/>
      <c r="Q50" s="233"/>
      <c r="R50" s="232">
        <f t="shared" si="2"/>
        <v>0</v>
      </c>
    </row>
    <row r="51" spans="1:18" s="6" customFormat="1" ht="24" hidden="1" customHeight="1">
      <c r="A51" s="133">
        <v>7130</v>
      </c>
      <c r="B51" s="179" t="s">
        <v>119</v>
      </c>
      <c r="C51" s="170">
        <v>0</v>
      </c>
      <c r="D51" s="171">
        <v>0</v>
      </c>
      <c r="E51" s="233">
        <f>SUM(E52:E54)</f>
        <v>0</v>
      </c>
      <c r="F51" s="233">
        <f>SUM(F52:F54)</f>
        <v>0</v>
      </c>
      <c r="G51" s="233">
        <f>SUM(G52:G54)</f>
        <v>0</v>
      </c>
      <c r="H51" s="232">
        <f t="shared" si="0"/>
        <v>0</v>
      </c>
      <c r="I51" s="233">
        <v>0</v>
      </c>
      <c r="J51" s="233">
        <f>SUM(J52:J54)</f>
        <v>0</v>
      </c>
      <c r="K51" s="233">
        <f>SUM(K52:K54)</f>
        <v>0</v>
      </c>
      <c r="L51" s="233">
        <f>SUM(L52:L54)</f>
        <v>0</v>
      </c>
      <c r="M51" s="232">
        <f t="shared" si="1"/>
        <v>0</v>
      </c>
      <c r="N51" s="233">
        <v>0</v>
      </c>
      <c r="O51" s="233">
        <f>SUM(O52:O54)</f>
        <v>0</v>
      </c>
      <c r="P51" s="233">
        <f>SUM(P52:P54)</f>
        <v>0</v>
      </c>
      <c r="Q51" s="233">
        <f>SUM(Q52:Q54)</f>
        <v>0</v>
      </c>
      <c r="R51" s="232">
        <f t="shared" si="2"/>
        <v>0</v>
      </c>
    </row>
    <row r="52" spans="1:18" s="6" customFormat="1" ht="36" hidden="1" customHeight="1">
      <c r="A52" s="134">
        <v>7131</v>
      </c>
      <c r="B52" s="179" t="s">
        <v>120</v>
      </c>
      <c r="C52" s="170"/>
      <c r="D52" s="171">
        <v>0</v>
      </c>
      <c r="E52" s="233"/>
      <c r="F52" s="233"/>
      <c r="G52" s="233"/>
      <c r="H52" s="232">
        <f t="shared" si="0"/>
        <v>0</v>
      </c>
      <c r="I52" s="233">
        <v>0</v>
      </c>
      <c r="J52" s="233"/>
      <c r="K52" s="233"/>
      <c r="L52" s="233"/>
      <c r="M52" s="232">
        <f t="shared" si="1"/>
        <v>0</v>
      </c>
      <c r="N52" s="233">
        <v>0</v>
      </c>
      <c r="O52" s="233"/>
      <c r="P52" s="233"/>
      <c r="Q52" s="233"/>
      <c r="R52" s="232">
        <f t="shared" si="2"/>
        <v>0</v>
      </c>
    </row>
    <row r="53" spans="1:18" s="6" customFormat="1" ht="36" hidden="1" customHeight="1">
      <c r="A53" s="134">
        <v>7132</v>
      </c>
      <c r="B53" s="179" t="s">
        <v>121</v>
      </c>
      <c r="C53" s="170"/>
      <c r="D53" s="171">
        <v>0</v>
      </c>
      <c r="E53" s="233"/>
      <c r="F53" s="233"/>
      <c r="G53" s="233"/>
      <c r="H53" s="232">
        <f t="shared" si="0"/>
        <v>0</v>
      </c>
      <c r="I53" s="233">
        <v>0</v>
      </c>
      <c r="J53" s="233"/>
      <c r="K53" s="233"/>
      <c r="L53" s="233"/>
      <c r="M53" s="232">
        <f t="shared" si="1"/>
        <v>0</v>
      </c>
      <c r="N53" s="233">
        <v>0</v>
      </c>
      <c r="O53" s="233"/>
      <c r="P53" s="233"/>
      <c r="Q53" s="233"/>
      <c r="R53" s="232">
        <f t="shared" si="2"/>
        <v>0</v>
      </c>
    </row>
    <row r="54" spans="1:18" s="6" customFormat="1" ht="36" hidden="1" customHeight="1">
      <c r="A54" s="134" t="s">
        <v>186</v>
      </c>
      <c r="B54" s="179" t="s">
        <v>187</v>
      </c>
      <c r="C54" s="170"/>
      <c r="D54" s="171">
        <v>0</v>
      </c>
      <c r="E54" s="233"/>
      <c r="F54" s="233"/>
      <c r="G54" s="233"/>
      <c r="H54" s="232">
        <f t="shared" si="0"/>
        <v>0</v>
      </c>
      <c r="I54" s="233">
        <v>0</v>
      </c>
      <c r="J54" s="233"/>
      <c r="K54" s="233"/>
      <c r="L54" s="233"/>
      <c r="M54" s="232">
        <f t="shared" si="1"/>
        <v>0</v>
      </c>
      <c r="N54" s="233">
        <v>0</v>
      </c>
      <c r="O54" s="233"/>
      <c r="P54" s="233"/>
      <c r="Q54" s="233"/>
      <c r="R54" s="232">
        <f t="shared" si="2"/>
        <v>0</v>
      </c>
    </row>
    <row r="55" spans="1:18" s="6" customFormat="1" ht="24">
      <c r="A55" s="132">
        <v>7300</v>
      </c>
      <c r="B55" s="172" t="s">
        <v>155</v>
      </c>
      <c r="C55" s="170">
        <v>351895</v>
      </c>
      <c r="D55" s="171">
        <v>59259</v>
      </c>
      <c r="E55" s="233">
        <f>SUM(E56:E58)</f>
        <v>0</v>
      </c>
      <c r="F55" s="233">
        <f>SUM(F56:F58)</f>
        <v>0</v>
      </c>
      <c r="G55" s="233">
        <f>SUM(G56:G58)</f>
        <v>0</v>
      </c>
      <c r="H55" s="232">
        <f t="shared" si="0"/>
        <v>59259</v>
      </c>
      <c r="I55" s="233">
        <v>0</v>
      </c>
      <c r="J55" s="233">
        <f>SUM(J56:J58)</f>
        <v>0</v>
      </c>
      <c r="K55" s="233">
        <f>SUM(K56:K58)</f>
        <v>0</v>
      </c>
      <c r="L55" s="233">
        <f>SUM(L56:L58)</f>
        <v>0</v>
      </c>
      <c r="M55" s="232">
        <f t="shared" si="1"/>
        <v>0</v>
      </c>
      <c r="N55" s="233">
        <v>0</v>
      </c>
      <c r="O55" s="233">
        <f>SUM(O56:O58)</f>
        <v>0</v>
      </c>
      <c r="P55" s="233">
        <f>SUM(P56:P58)</f>
        <v>0</v>
      </c>
      <c r="Q55" s="233">
        <f>SUM(Q56:Q58)</f>
        <v>0</v>
      </c>
      <c r="R55" s="232">
        <f t="shared" si="2"/>
        <v>0</v>
      </c>
    </row>
    <row r="56" spans="1:18" s="6" customFormat="1" ht="24" hidden="1" customHeight="1">
      <c r="A56" s="133" t="s">
        <v>188</v>
      </c>
      <c r="B56" s="179" t="s">
        <v>170</v>
      </c>
      <c r="C56" s="604"/>
      <c r="D56" s="619">
        <v>0</v>
      </c>
      <c r="E56" s="605"/>
      <c r="F56" s="605"/>
      <c r="G56" s="605"/>
      <c r="H56" s="232">
        <f t="shared" si="0"/>
        <v>0</v>
      </c>
      <c r="I56" s="605">
        <v>0</v>
      </c>
      <c r="J56" s="605"/>
      <c r="K56" s="605"/>
      <c r="L56" s="605"/>
      <c r="M56" s="232">
        <f t="shared" si="1"/>
        <v>0</v>
      </c>
      <c r="N56" s="605">
        <v>0</v>
      </c>
      <c r="O56" s="605"/>
      <c r="P56" s="605"/>
      <c r="Q56" s="605"/>
      <c r="R56" s="232">
        <f t="shared" si="2"/>
        <v>0</v>
      </c>
    </row>
    <row r="57" spans="1:18" s="29" customFormat="1" ht="48">
      <c r="A57" s="133" t="s">
        <v>189</v>
      </c>
      <c r="B57" s="179" t="s">
        <v>156</v>
      </c>
      <c r="C57" s="604">
        <v>351895</v>
      </c>
      <c r="D57" s="619">
        <v>59259</v>
      </c>
      <c r="E57" s="605"/>
      <c r="F57" s="605"/>
      <c r="G57" s="605"/>
      <c r="H57" s="232">
        <f t="shared" si="0"/>
        <v>59259</v>
      </c>
      <c r="I57" s="605">
        <v>0</v>
      </c>
      <c r="J57" s="605"/>
      <c r="K57" s="605"/>
      <c r="L57" s="605"/>
      <c r="M57" s="232">
        <f t="shared" si="1"/>
        <v>0</v>
      </c>
      <c r="N57" s="605">
        <v>0</v>
      </c>
      <c r="O57" s="605"/>
      <c r="P57" s="605"/>
      <c r="Q57" s="605"/>
      <c r="R57" s="232">
        <f t="shared" si="2"/>
        <v>0</v>
      </c>
    </row>
    <row r="58" spans="1:18" s="89" customFormat="1" ht="36" hidden="1" customHeight="1">
      <c r="A58" s="133">
        <v>7350</v>
      </c>
      <c r="B58" s="179" t="s">
        <v>163</v>
      </c>
      <c r="C58" s="604"/>
      <c r="D58" s="619">
        <v>0</v>
      </c>
      <c r="E58" s="605"/>
      <c r="F58" s="605"/>
      <c r="G58" s="605"/>
      <c r="H58" s="232">
        <f t="shared" si="0"/>
        <v>0</v>
      </c>
      <c r="I58" s="605">
        <v>0</v>
      </c>
      <c r="J58" s="605"/>
      <c r="K58" s="605"/>
      <c r="L58" s="605"/>
      <c r="M58" s="232">
        <f t="shared" si="1"/>
        <v>0</v>
      </c>
      <c r="N58" s="605">
        <v>0</v>
      </c>
      <c r="O58" s="605"/>
      <c r="P58" s="605"/>
      <c r="Q58" s="605"/>
      <c r="R58" s="232">
        <f t="shared" si="2"/>
        <v>0</v>
      </c>
    </row>
    <row r="59" spans="1:18" s="89" customFormat="1" ht="24" hidden="1" customHeight="1">
      <c r="A59" s="132">
        <v>7400</v>
      </c>
      <c r="B59" s="172" t="s">
        <v>161</v>
      </c>
      <c r="C59" s="170">
        <v>0</v>
      </c>
      <c r="D59" s="171">
        <v>0</v>
      </c>
      <c r="E59" s="233">
        <f>SUM(E60:E61)</f>
        <v>0</v>
      </c>
      <c r="F59" s="233">
        <f>SUM(F60:F61)</f>
        <v>0</v>
      </c>
      <c r="G59" s="233">
        <f>SUM(G60:G61)</f>
        <v>0</v>
      </c>
      <c r="H59" s="232">
        <f t="shared" si="0"/>
        <v>0</v>
      </c>
      <c r="I59" s="233">
        <v>0</v>
      </c>
      <c r="J59" s="233">
        <f>SUM(J60:J61)</f>
        <v>0</v>
      </c>
      <c r="K59" s="233">
        <f>SUM(K60:K61)</f>
        <v>0</v>
      </c>
      <c r="L59" s="233">
        <f>SUM(L60:L61)</f>
        <v>0</v>
      </c>
      <c r="M59" s="232">
        <f t="shared" si="1"/>
        <v>0</v>
      </c>
      <c r="N59" s="233">
        <v>0</v>
      </c>
      <c r="O59" s="233">
        <f>SUM(O60:O61)</f>
        <v>0</v>
      </c>
      <c r="P59" s="233">
        <f>SUM(P60:P61)</f>
        <v>0</v>
      </c>
      <c r="Q59" s="233">
        <f>SUM(Q60:Q61)</f>
        <v>0</v>
      </c>
      <c r="R59" s="232">
        <f t="shared" si="2"/>
        <v>0</v>
      </c>
    </row>
    <row r="60" spans="1:18" s="89" customFormat="1" ht="24" hidden="1" customHeight="1">
      <c r="A60" s="133">
        <v>7460</v>
      </c>
      <c r="B60" s="172" t="s">
        <v>162</v>
      </c>
      <c r="C60" s="604"/>
      <c r="D60" s="619">
        <v>0</v>
      </c>
      <c r="E60" s="605"/>
      <c r="F60" s="605"/>
      <c r="G60" s="605"/>
      <c r="H60" s="232">
        <f t="shared" si="0"/>
        <v>0</v>
      </c>
      <c r="I60" s="605">
        <v>0</v>
      </c>
      <c r="J60" s="605"/>
      <c r="K60" s="605"/>
      <c r="L60" s="605"/>
      <c r="M60" s="232">
        <f t="shared" si="1"/>
        <v>0</v>
      </c>
      <c r="N60" s="605">
        <v>0</v>
      </c>
      <c r="O60" s="605"/>
      <c r="P60" s="605"/>
      <c r="Q60" s="605"/>
      <c r="R60" s="232">
        <f t="shared" si="2"/>
        <v>0</v>
      </c>
    </row>
    <row r="61" spans="1:18" s="89" customFormat="1" ht="48" hidden="1" customHeight="1">
      <c r="A61" s="133">
        <v>7470</v>
      </c>
      <c r="B61" s="179" t="s">
        <v>167</v>
      </c>
      <c r="C61" s="604"/>
      <c r="D61" s="619">
        <v>0</v>
      </c>
      <c r="E61" s="605"/>
      <c r="F61" s="605"/>
      <c r="G61" s="605"/>
      <c r="H61" s="232">
        <f t="shared" si="0"/>
        <v>0</v>
      </c>
      <c r="I61" s="605">
        <v>0</v>
      </c>
      <c r="J61" s="605"/>
      <c r="K61" s="605"/>
      <c r="L61" s="605"/>
      <c r="M61" s="232">
        <f t="shared" si="1"/>
        <v>0</v>
      </c>
      <c r="N61" s="605">
        <v>0</v>
      </c>
      <c r="O61" s="605"/>
      <c r="P61" s="605"/>
      <c r="Q61" s="605"/>
      <c r="R61" s="232">
        <f t="shared" si="2"/>
        <v>0</v>
      </c>
    </row>
    <row r="62" spans="1:18" s="89" customFormat="1" ht="24">
      <c r="A62" s="132">
        <v>7500</v>
      </c>
      <c r="B62" s="179" t="s">
        <v>157</v>
      </c>
      <c r="C62" s="170">
        <v>599411</v>
      </c>
      <c r="D62" s="171">
        <v>534485</v>
      </c>
      <c r="E62" s="233"/>
      <c r="F62" s="233"/>
      <c r="G62" s="233"/>
      <c r="H62" s="232">
        <f t="shared" si="0"/>
        <v>534485</v>
      </c>
      <c r="I62" s="233">
        <v>0</v>
      </c>
      <c r="J62" s="233"/>
      <c r="K62" s="233"/>
      <c r="L62" s="233"/>
      <c r="M62" s="232">
        <f t="shared" si="1"/>
        <v>0</v>
      </c>
      <c r="N62" s="233">
        <v>0</v>
      </c>
      <c r="O62" s="233"/>
      <c r="P62" s="233"/>
      <c r="Q62" s="233"/>
      <c r="R62" s="232">
        <f t="shared" si="2"/>
        <v>0</v>
      </c>
    </row>
    <row r="63" spans="1:18" s="89" customFormat="1" ht="12">
      <c r="A63" s="140" t="s">
        <v>133</v>
      </c>
      <c r="B63" s="124" t="s">
        <v>122</v>
      </c>
      <c r="C63" s="162">
        <v>500</v>
      </c>
      <c r="D63" s="114">
        <v>500</v>
      </c>
      <c r="E63" s="254">
        <f>E64+E65</f>
        <v>0</v>
      </c>
      <c r="F63" s="254">
        <f>F64+F65</f>
        <v>0</v>
      </c>
      <c r="G63" s="254">
        <f>G64+G65</f>
        <v>0</v>
      </c>
      <c r="H63" s="232">
        <f t="shared" si="0"/>
        <v>500</v>
      </c>
      <c r="I63" s="254">
        <v>500</v>
      </c>
      <c r="J63" s="254">
        <f>J64+J65</f>
        <v>0</v>
      </c>
      <c r="K63" s="254">
        <f>K64+K65</f>
        <v>0</v>
      </c>
      <c r="L63" s="254">
        <f>L64+L65</f>
        <v>0</v>
      </c>
      <c r="M63" s="232">
        <f t="shared" si="1"/>
        <v>500</v>
      </c>
      <c r="N63" s="254">
        <v>500</v>
      </c>
      <c r="O63" s="254">
        <f>O64+O65</f>
        <v>0</v>
      </c>
      <c r="P63" s="254">
        <f>P64+P65</f>
        <v>0</v>
      </c>
      <c r="Q63" s="254">
        <f>Q64+Q65</f>
        <v>0</v>
      </c>
      <c r="R63" s="232">
        <f t="shared" si="2"/>
        <v>500</v>
      </c>
    </row>
    <row r="64" spans="1:18" s="89" customFormat="1" ht="12">
      <c r="A64" s="140">
        <v>5000</v>
      </c>
      <c r="B64" s="124" t="s">
        <v>123</v>
      </c>
      <c r="C64" s="162">
        <v>500</v>
      </c>
      <c r="D64" s="114">
        <v>500</v>
      </c>
      <c r="E64" s="244"/>
      <c r="F64" s="244"/>
      <c r="G64" s="244"/>
      <c r="H64" s="232">
        <f t="shared" si="0"/>
        <v>500</v>
      </c>
      <c r="I64" s="233">
        <v>500</v>
      </c>
      <c r="J64" s="244"/>
      <c r="K64" s="244"/>
      <c r="L64" s="244"/>
      <c r="M64" s="232">
        <f t="shared" si="1"/>
        <v>500</v>
      </c>
      <c r="N64" s="233">
        <v>500</v>
      </c>
      <c r="O64" s="244"/>
      <c r="P64" s="244"/>
      <c r="Q64" s="244"/>
      <c r="R64" s="232">
        <f t="shared" si="2"/>
        <v>500</v>
      </c>
    </row>
    <row r="65" spans="1:18" s="89" customFormat="1" ht="12" hidden="1" customHeight="1">
      <c r="A65" s="140">
        <v>9000</v>
      </c>
      <c r="B65" s="182" t="s">
        <v>164</v>
      </c>
      <c r="C65" s="170">
        <v>0</v>
      </c>
      <c r="D65" s="171">
        <v>0</v>
      </c>
      <c r="E65" s="233">
        <f>E66+E72+E76+E79</f>
        <v>0</v>
      </c>
      <c r="F65" s="233">
        <f>F66+F72+F76+F79</f>
        <v>0</v>
      </c>
      <c r="G65" s="233">
        <f>G66+G72+G76+G79</f>
        <v>0</v>
      </c>
      <c r="H65" s="232">
        <f t="shared" si="0"/>
        <v>0</v>
      </c>
      <c r="I65" s="233">
        <v>0</v>
      </c>
      <c r="J65" s="233">
        <f>J66+J72+J76+J79</f>
        <v>0</v>
      </c>
      <c r="K65" s="233">
        <f>K66+K72+K76+K79</f>
        <v>0</v>
      </c>
      <c r="L65" s="233">
        <f>L66+L72+L76+L79</f>
        <v>0</v>
      </c>
      <c r="M65" s="232">
        <f t="shared" si="1"/>
        <v>0</v>
      </c>
      <c r="N65" s="233">
        <v>0</v>
      </c>
      <c r="O65" s="233">
        <f>O66+O72+O76+O79</f>
        <v>0</v>
      </c>
      <c r="P65" s="233">
        <f>P66+P72+P76+P79</f>
        <v>0</v>
      </c>
      <c r="Q65" s="233">
        <f>Q66+Q72+Q76+Q79</f>
        <v>0</v>
      </c>
      <c r="R65" s="232">
        <f t="shared" si="2"/>
        <v>0</v>
      </c>
    </row>
    <row r="66" spans="1:18" s="89" customFormat="1" ht="12" hidden="1" customHeight="1">
      <c r="A66" s="141">
        <v>9100</v>
      </c>
      <c r="B66" s="179" t="s">
        <v>124</v>
      </c>
      <c r="C66" s="170">
        <v>0</v>
      </c>
      <c r="D66" s="171">
        <v>0</v>
      </c>
      <c r="E66" s="233">
        <f>SUM(E67:E68)</f>
        <v>0</v>
      </c>
      <c r="F66" s="233">
        <f>SUM(F67:F68)</f>
        <v>0</v>
      </c>
      <c r="G66" s="233">
        <f>SUM(G67:G68)</f>
        <v>0</v>
      </c>
      <c r="H66" s="232">
        <f t="shared" si="0"/>
        <v>0</v>
      </c>
      <c r="I66" s="233">
        <v>0</v>
      </c>
      <c r="J66" s="233">
        <f>SUM(J67:J68)</f>
        <v>0</v>
      </c>
      <c r="K66" s="233">
        <f>SUM(K67:K68)</f>
        <v>0</v>
      </c>
      <c r="L66" s="233">
        <f>SUM(L67:L68)</f>
        <v>0</v>
      </c>
      <c r="M66" s="232">
        <f t="shared" si="1"/>
        <v>0</v>
      </c>
      <c r="N66" s="233">
        <v>0</v>
      </c>
      <c r="O66" s="233">
        <f>SUM(O67:O68)</f>
        <v>0</v>
      </c>
      <c r="P66" s="233">
        <f>SUM(P67:P68)</f>
        <v>0</v>
      </c>
      <c r="Q66" s="233">
        <f>SUM(Q67:Q68)</f>
        <v>0</v>
      </c>
      <c r="R66" s="232">
        <f t="shared" si="2"/>
        <v>0</v>
      </c>
    </row>
    <row r="67" spans="1:18" s="89" customFormat="1" ht="24" hidden="1" customHeight="1">
      <c r="A67" s="133" t="s">
        <v>125</v>
      </c>
      <c r="B67" s="179" t="s">
        <v>214</v>
      </c>
      <c r="C67" s="170"/>
      <c r="D67" s="171">
        <v>0</v>
      </c>
      <c r="E67" s="233"/>
      <c r="F67" s="233"/>
      <c r="G67" s="233"/>
      <c r="H67" s="232">
        <f t="shared" si="0"/>
        <v>0</v>
      </c>
      <c r="I67" s="233">
        <v>0</v>
      </c>
      <c r="J67" s="233"/>
      <c r="K67" s="233"/>
      <c r="L67" s="233"/>
      <c r="M67" s="232">
        <f t="shared" si="1"/>
        <v>0</v>
      </c>
      <c r="N67" s="233">
        <v>0</v>
      </c>
      <c r="O67" s="233"/>
      <c r="P67" s="233"/>
      <c r="Q67" s="233"/>
      <c r="R67" s="232">
        <f t="shared" si="2"/>
        <v>0</v>
      </c>
    </row>
    <row r="68" spans="1:18" s="89" customFormat="1" ht="24" hidden="1" customHeight="1">
      <c r="A68" s="133">
        <v>9140</v>
      </c>
      <c r="B68" s="179" t="s">
        <v>215</v>
      </c>
      <c r="C68" s="170">
        <v>0</v>
      </c>
      <c r="D68" s="171">
        <v>0</v>
      </c>
      <c r="E68" s="233">
        <f>SUM(E69:E71)</f>
        <v>0</v>
      </c>
      <c r="F68" s="233">
        <f>SUM(F69:F71)</f>
        <v>0</v>
      </c>
      <c r="G68" s="233">
        <f>SUM(G69:G71)</f>
        <v>0</v>
      </c>
      <c r="H68" s="232">
        <f t="shared" si="0"/>
        <v>0</v>
      </c>
      <c r="I68" s="233">
        <v>0</v>
      </c>
      <c r="J68" s="233">
        <f>SUM(J69:J71)</f>
        <v>0</v>
      </c>
      <c r="K68" s="233">
        <f>SUM(K69:K71)</f>
        <v>0</v>
      </c>
      <c r="L68" s="233">
        <f>SUM(L69:L71)</f>
        <v>0</v>
      </c>
      <c r="M68" s="232">
        <f t="shared" si="1"/>
        <v>0</v>
      </c>
      <c r="N68" s="233">
        <v>0</v>
      </c>
      <c r="O68" s="233">
        <f>SUM(O69:O71)</f>
        <v>0</v>
      </c>
      <c r="P68" s="233">
        <f>SUM(P69:P71)</f>
        <v>0</v>
      </c>
      <c r="Q68" s="233">
        <f>SUM(Q69:Q71)</f>
        <v>0</v>
      </c>
      <c r="R68" s="232">
        <f t="shared" si="2"/>
        <v>0</v>
      </c>
    </row>
    <row r="69" spans="1:18" s="89" customFormat="1" ht="36" hidden="1" customHeight="1">
      <c r="A69" s="134">
        <v>9141</v>
      </c>
      <c r="B69" s="172" t="s">
        <v>190</v>
      </c>
      <c r="C69" s="604"/>
      <c r="D69" s="619">
        <v>0</v>
      </c>
      <c r="E69" s="605"/>
      <c r="F69" s="605"/>
      <c r="G69" s="605"/>
      <c r="H69" s="232">
        <f t="shared" si="0"/>
        <v>0</v>
      </c>
      <c r="I69" s="605">
        <v>0</v>
      </c>
      <c r="J69" s="605"/>
      <c r="K69" s="605"/>
      <c r="L69" s="605"/>
      <c r="M69" s="232">
        <f t="shared" si="1"/>
        <v>0</v>
      </c>
      <c r="N69" s="605">
        <v>0</v>
      </c>
      <c r="O69" s="605"/>
      <c r="P69" s="605"/>
      <c r="Q69" s="605"/>
      <c r="R69" s="232">
        <f t="shared" si="2"/>
        <v>0</v>
      </c>
    </row>
    <row r="70" spans="1:18" s="89" customFormat="1" ht="36" hidden="1" customHeight="1">
      <c r="A70" s="134">
        <v>9142</v>
      </c>
      <c r="B70" s="172" t="s">
        <v>191</v>
      </c>
      <c r="C70" s="604"/>
      <c r="D70" s="619">
        <v>0</v>
      </c>
      <c r="E70" s="605"/>
      <c r="F70" s="605"/>
      <c r="G70" s="605"/>
      <c r="H70" s="232">
        <f t="shared" si="0"/>
        <v>0</v>
      </c>
      <c r="I70" s="605">
        <v>0</v>
      </c>
      <c r="J70" s="605"/>
      <c r="K70" s="605"/>
      <c r="L70" s="605"/>
      <c r="M70" s="232">
        <f t="shared" si="1"/>
        <v>0</v>
      </c>
      <c r="N70" s="605">
        <v>0</v>
      </c>
      <c r="O70" s="605"/>
      <c r="P70" s="605"/>
      <c r="Q70" s="605"/>
      <c r="R70" s="232">
        <f t="shared" si="2"/>
        <v>0</v>
      </c>
    </row>
    <row r="71" spans="1:18" s="89" customFormat="1" ht="24" hidden="1" customHeight="1">
      <c r="A71" s="134">
        <v>9149</v>
      </c>
      <c r="B71" s="172" t="s">
        <v>192</v>
      </c>
      <c r="C71" s="604"/>
      <c r="D71" s="619">
        <v>0</v>
      </c>
      <c r="E71" s="605"/>
      <c r="F71" s="605"/>
      <c r="G71" s="605"/>
      <c r="H71" s="232">
        <f t="shared" si="0"/>
        <v>0</v>
      </c>
      <c r="I71" s="605">
        <v>0</v>
      </c>
      <c r="J71" s="605"/>
      <c r="K71" s="605"/>
      <c r="L71" s="605"/>
      <c r="M71" s="232">
        <f t="shared" si="1"/>
        <v>0</v>
      </c>
      <c r="N71" s="605">
        <v>0</v>
      </c>
      <c r="O71" s="605"/>
      <c r="P71" s="605"/>
      <c r="Q71" s="605"/>
      <c r="R71" s="232">
        <f t="shared" si="2"/>
        <v>0</v>
      </c>
    </row>
    <row r="72" spans="1:18" s="29" customFormat="1" ht="24" hidden="1" customHeight="1">
      <c r="A72" s="141">
        <v>9500</v>
      </c>
      <c r="B72" s="172" t="s">
        <v>165</v>
      </c>
      <c r="C72" s="170">
        <v>0</v>
      </c>
      <c r="D72" s="171">
        <v>0</v>
      </c>
      <c r="E72" s="233">
        <f>SUM(E73:E75)</f>
        <v>0</v>
      </c>
      <c r="F72" s="233">
        <f>SUM(F73:F75)</f>
        <v>0</v>
      </c>
      <c r="G72" s="233">
        <f>SUM(G73:G75)</f>
        <v>0</v>
      </c>
      <c r="H72" s="232">
        <f t="shared" si="0"/>
        <v>0</v>
      </c>
      <c r="I72" s="233">
        <v>0</v>
      </c>
      <c r="J72" s="233">
        <f>SUM(J73:J75)</f>
        <v>0</v>
      </c>
      <c r="K72" s="233">
        <f>SUM(K73:K75)</f>
        <v>0</v>
      </c>
      <c r="L72" s="233">
        <f>SUM(L73:L75)</f>
        <v>0</v>
      </c>
      <c r="M72" s="232">
        <f t="shared" si="1"/>
        <v>0</v>
      </c>
      <c r="N72" s="233">
        <v>0</v>
      </c>
      <c r="O72" s="233">
        <f>SUM(O73:O75)</f>
        <v>0</v>
      </c>
      <c r="P72" s="233">
        <f>SUM(P73:P75)</f>
        <v>0</v>
      </c>
      <c r="Q72" s="233">
        <f>SUM(Q73:Q75)</f>
        <v>0</v>
      </c>
      <c r="R72" s="232">
        <f t="shared" si="2"/>
        <v>0</v>
      </c>
    </row>
    <row r="73" spans="1:18" s="29" customFormat="1" ht="24" hidden="1" customHeight="1">
      <c r="A73" s="133" t="s">
        <v>193</v>
      </c>
      <c r="B73" s="172" t="s">
        <v>171</v>
      </c>
      <c r="C73" s="170"/>
      <c r="D73" s="171">
        <v>0</v>
      </c>
      <c r="E73" s="233"/>
      <c r="F73" s="233"/>
      <c r="G73" s="233"/>
      <c r="H73" s="232">
        <f t="shared" si="0"/>
        <v>0</v>
      </c>
      <c r="I73" s="233">
        <v>0</v>
      </c>
      <c r="J73" s="233"/>
      <c r="K73" s="233"/>
      <c r="L73" s="233"/>
      <c r="M73" s="232">
        <f t="shared" si="1"/>
        <v>0</v>
      </c>
      <c r="N73" s="233">
        <v>0</v>
      </c>
      <c r="O73" s="233"/>
      <c r="P73" s="233"/>
      <c r="Q73" s="233"/>
      <c r="R73" s="232">
        <f t="shared" si="2"/>
        <v>0</v>
      </c>
    </row>
    <row r="74" spans="1:18" s="28" customFormat="1" ht="48" hidden="1" customHeight="1">
      <c r="A74" s="133">
        <v>9580</v>
      </c>
      <c r="B74" s="172" t="s">
        <v>166</v>
      </c>
      <c r="C74" s="604"/>
      <c r="D74" s="619">
        <v>0</v>
      </c>
      <c r="E74" s="605"/>
      <c r="F74" s="605"/>
      <c r="G74" s="605"/>
      <c r="H74" s="232">
        <f t="shared" ref="H74:H137" si="7">SUM(D74:G74)</f>
        <v>0</v>
      </c>
      <c r="I74" s="605">
        <v>0</v>
      </c>
      <c r="J74" s="605"/>
      <c r="K74" s="605"/>
      <c r="L74" s="605"/>
      <c r="M74" s="232">
        <f t="shared" ref="M74:M137" si="8">SUM(I74:L74)</f>
        <v>0</v>
      </c>
      <c r="N74" s="605">
        <v>0</v>
      </c>
      <c r="O74" s="605"/>
      <c r="P74" s="605"/>
      <c r="Q74" s="605"/>
      <c r="R74" s="232">
        <f t="shared" ref="R74:R137" si="9">SUM(N74:Q74)</f>
        <v>0</v>
      </c>
    </row>
    <row r="75" spans="1:18" s="4" customFormat="1" ht="48" hidden="1" customHeight="1">
      <c r="A75" s="133">
        <v>9590</v>
      </c>
      <c r="B75" s="179" t="s">
        <v>172</v>
      </c>
      <c r="C75" s="604"/>
      <c r="D75" s="619">
        <v>0</v>
      </c>
      <c r="E75" s="605"/>
      <c r="F75" s="605"/>
      <c r="G75" s="605"/>
      <c r="H75" s="232">
        <f t="shared" si="7"/>
        <v>0</v>
      </c>
      <c r="I75" s="605">
        <v>0</v>
      </c>
      <c r="J75" s="605"/>
      <c r="K75" s="605"/>
      <c r="L75" s="605"/>
      <c r="M75" s="232">
        <f t="shared" si="8"/>
        <v>0</v>
      </c>
      <c r="N75" s="605">
        <v>0</v>
      </c>
      <c r="O75" s="605"/>
      <c r="P75" s="605"/>
      <c r="Q75" s="605"/>
      <c r="R75" s="232">
        <f t="shared" si="9"/>
        <v>0</v>
      </c>
    </row>
    <row r="76" spans="1:18" ht="24" hidden="1" customHeight="1">
      <c r="A76" s="141">
        <v>9700</v>
      </c>
      <c r="B76" s="183" t="s">
        <v>194</v>
      </c>
      <c r="C76" s="170">
        <v>0</v>
      </c>
      <c r="D76" s="171">
        <v>0</v>
      </c>
      <c r="E76" s="233">
        <f>SUM(E77:E78)</f>
        <v>0</v>
      </c>
      <c r="F76" s="233">
        <f>SUM(F77:F78)</f>
        <v>0</v>
      </c>
      <c r="G76" s="233">
        <f>SUM(G77:G78)</f>
        <v>0</v>
      </c>
      <c r="H76" s="232">
        <f t="shared" si="7"/>
        <v>0</v>
      </c>
      <c r="I76" s="233">
        <v>0</v>
      </c>
      <c r="J76" s="233">
        <f>SUM(J77:J78)</f>
        <v>0</v>
      </c>
      <c r="K76" s="233">
        <f>SUM(K77:K78)</f>
        <v>0</v>
      </c>
      <c r="L76" s="233">
        <f>SUM(L77:L78)</f>
        <v>0</v>
      </c>
      <c r="M76" s="232">
        <f t="shared" si="8"/>
        <v>0</v>
      </c>
      <c r="N76" s="233">
        <v>0</v>
      </c>
      <c r="O76" s="233">
        <f>SUM(O77:O78)</f>
        <v>0</v>
      </c>
      <c r="P76" s="233">
        <f>SUM(P77:P78)</f>
        <v>0</v>
      </c>
      <c r="Q76" s="233">
        <f>SUM(Q77:Q78)</f>
        <v>0</v>
      </c>
      <c r="R76" s="232">
        <f t="shared" si="9"/>
        <v>0</v>
      </c>
    </row>
    <row r="77" spans="1:18" ht="24" hidden="1" customHeight="1">
      <c r="A77" s="133">
        <v>9710</v>
      </c>
      <c r="B77" s="184" t="s">
        <v>195</v>
      </c>
      <c r="C77" s="604"/>
      <c r="D77" s="619">
        <v>0</v>
      </c>
      <c r="E77" s="605"/>
      <c r="F77" s="605"/>
      <c r="G77" s="605"/>
      <c r="H77" s="232">
        <f t="shared" si="7"/>
        <v>0</v>
      </c>
      <c r="I77" s="605">
        <v>0</v>
      </c>
      <c r="J77" s="605"/>
      <c r="K77" s="605"/>
      <c r="L77" s="605"/>
      <c r="M77" s="232">
        <f t="shared" si="8"/>
        <v>0</v>
      </c>
      <c r="N77" s="605">
        <v>0</v>
      </c>
      <c r="O77" s="605"/>
      <c r="P77" s="605"/>
      <c r="Q77" s="605"/>
      <c r="R77" s="232">
        <f t="shared" si="9"/>
        <v>0</v>
      </c>
    </row>
    <row r="78" spans="1:18" ht="48" hidden="1" customHeight="1">
      <c r="A78" s="142">
        <v>9720</v>
      </c>
      <c r="B78" s="183" t="s">
        <v>196</v>
      </c>
      <c r="C78" s="604"/>
      <c r="D78" s="619">
        <v>0</v>
      </c>
      <c r="E78" s="605"/>
      <c r="F78" s="605"/>
      <c r="G78" s="605"/>
      <c r="H78" s="232">
        <f t="shared" si="7"/>
        <v>0</v>
      </c>
      <c r="I78" s="605">
        <v>0</v>
      </c>
      <c r="J78" s="605"/>
      <c r="K78" s="605"/>
      <c r="L78" s="605"/>
      <c r="M78" s="232">
        <f t="shared" si="8"/>
        <v>0</v>
      </c>
      <c r="N78" s="605">
        <v>0</v>
      </c>
      <c r="O78" s="605"/>
      <c r="P78" s="605"/>
      <c r="Q78" s="605"/>
      <c r="R78" s="232">
        <f t="shared" si="9"/>
        <v>0</v>
      </c>
    </row>
    <row r="79" spans="1:18" ht="24" hidden="1" customHeight="1">
      <c r="A79" s="141">
        <v>9600</v>
      </c>
      <c r="B79" s="179" t="s">
        <v>134</v>
      </c>
      <c r="C79" s="604"/>
      <c r="D79" s="619">
        <v>0</v>
      </c>
      <c r="E79" s="605"/>
      <c r="F79" s="605"/>
      <c r="G79" s="605"/>
      <c r="H79" s="232">
        <f t="shared" si="7"/>
        <v>0</v>
      </c>
      <c r="I79" s="605">
        <v>0</v>
      </c>
      <c r="J79" s="605"/>
      <c r="K79" s="605"/>
      <c r="L79" s="605"/>
      <c r="M79" s="232">
        <f t="shared" si="8"/>
        <v>0</v>
      </c>
      <c r="N79" s="605">
        <v>0</v>
      </c>
      <c r="O79" s="605"/>
      <c r="P79" s="605"/>
      <c r="Q79" s="605"/>
      <c r="R79" s="232">
        <f t="shared" si="9"/>
        <v>0</v>
      </c>
    </row>
    <row r="80" spans="1:18" ht="52.5" hidden="1" customHeight="1">
      <c r="A80" s="130" t="s">
        <v>197</v>
      </c>
      <c r="B80" s="185" t="s">
        <v>47</v>
      </c>
      <c r="C80" s="206"/>
      <c r="D80" s="186">
        <v>0</v>
      </c>
      <c r="E80" s="262">
        <f>E10-E35</f>
        <v>0</v>
      </c>
      <c r="F80" s="262">
        <f>F10-F35</f>
        <v>0</v>
      </c>
      <c r="G80" s="262">
        <f>G10-G35</f>
        <v>0</v>
      </c>
      <c r="H80" s="232">
        <f t="shared" si="7"/>
        <v>0</v>
      </c>
      <c r="I80" s="262">
        <v>0</v>
      </c>
      <c r="J80" s="262">
        <f>J10-J35</f>
        <v>0</v>
      </c>
      <c r="K80" s="262">
        <f>K10-K35</f>
        <v>0</v>
      </c>
      <c r="L80" s="262">
        <f>L10-L35</f>
        <v>0</v>
      </c>
      <c r="M80" s="232">
        <f t="shared" si="8"/>
        <v>0</v>
      </c>
      <c r="N80" s="262">
        <v>0</v>
      </c>
      <c r="O80" s="262">
        <f>O10-O35</f>
        <v>0</v>
      </c>
      <c r="P80" s="262">
        <f>P10-P35</f>
        <v>0</v>
      </c>
      <c r="Q80" s="262">
        <f>Q10-Q35</f>
        <v>0</v>
      </c>
      <c r="R80" s="232">
        <f t="shared" si="9"/>
        <v>0</v>
      </c>
    </row>
    <row r="81" spans="1:18" ht="12" hidden="1" customHeight="1">
      <c r="A81" s="143" t="s">
        <v>48</v>
      </c>
      <c r="B81" s="185" t="s">
        <v>49</v>
      </c>
      <c r="C81" s="206">
        <v>0</v>
      </c>
      <c r="D81" s="186">
        <v>0</v>
      </c>
      <c r="E81" s="262">
        <f>E82+E85+E89+E88</f>
        <v>0</v>
      </c>
      <c r="F81" s="262">
        <f>F82+F85+F89+F88</f>
        <v>0</v>
      </c>
      <c r="G81" s="262">
        <f>G82+G85+G89+G88</f>
        <v>0</v>
      </c>
      <c r="H81" s="232">
        <f t="shared" si="7"/>
        <v>0</v>
      </c>
      <c r="I81" s="262">
        <v>0</v>
      </c>
      <c r="J81" s="262">
        <f>J82+J85+J89+J88</f>
        <v>0</v>
      </c>
      <c r="K81" s="262">
        <f>K82+K85+K89+K88</f>
        <v>0</v>
      </c>
      <c r="L81" s="262">
        <f>L82+L85+L89+L88</f>
        <v>0</v>
      </c>
      <c r="M81" s="232">
        <f t="shared" si="8"/>
        <v>0</v>
      </c>
      <c r="N81" s="262">
        <v>0</v>
      </c>
      <c r="O81" s="262">
        <f>O82+O85+O89+O88</f>
        <v>0</v>
      </c>
      <c r="P81" s="262">
        <f>P82+P85+P89+P88</f>
        <v>0</v>
      </c>
      <c r="Q81" s="262">
        <f>Q82+Q85+Q89+Q88</f>
        <v>0</v>
      </c>
      <c r="R81" s="232">
        <f t="shared" si="9"/>
        <v>0</v>
      </c>
    </row>
    <row r="82" spans="1:18" s="4" customFormat="1" ht="12" hidden="1" customHeight="1">
      <c r="A82" s="141" t="s">
        <v>50</v>
      </c>
      <c r="B82" s="179" t="s">
        <v>51</v>
      </c>
      <c r="C82" s="98">
        <v>0</v>
      </c>
      <c r="D82" s="169">
        <v>0</v>
      </c>
      <c r="E82" s="231">
        <f>E83+E84</f>
        <v>0</v>
      </c>
      <c r="F82" s="231">
        <f>F83+F84</f>
        <v>0</v>
      </c>
      <c r="G82" s="231">
        <f>G83+G84</f>
        <v>0</v>
      </c>
      <c r="H82" s="232">
        <f t="shared" si="7"/>
        <v>0</v>
      </c>
      <c r="I82" s="231">
        <v>0</v>
      </c>
      <c r="J82" s="231">
        <f>J83+J84</f>
        <v>0</v>
      </c>
      <c r="K82" s="231">
        <f>K83+K84</f>
        <v>0</v>
      </c>
      <c r="L82" s="231">
        <f>L83+L84</f>
        <v>0</v>
      </c>
      <c r="M82" s="232">
        <f t="shared" si="8"/>
        <v>0</v>
      </c>
      <c r="N82" s="231">
        <v>0</v>
      </c>
      <c r="O82" s="231">
        <f>O83+O84</f>
        <v>0</v>
      </c>
      <c r="P82" s="231">
        <f>P83+P84</f>
        <v>0</v>
      </c>
      <c r="Q82" s="231">
        <f>Q83+Q84</f>
        <v>0</v>
      </c>
      <c r="R82" s="232">
        <f t="shared" si="9"/>
        <v>0</v>
      </c>
    </row>
    <row r="83" spans="1:18" s="6" customFormat="1" ht="12" hidden="1" customHeight="1">
      <c r="A83" s="141" t="s">
        <v>52</v>
      </c>
      <c r="B83" s="179" t="s">
        <v>53</v>
      </c>
      <c r="C83" s="98"/>
      <c r="D83" s="169">
        <v>0</v>
      </c>
      <c r="E83" s="231"/>
      <c r="F83" s="231"/>
      <c r="G83" s="231"/>
      <c r="H83" s="232">
        <f t="shared" si="7"/>
        <v>0</v>
      </c>
      <c r="I83" s="231">
        <v>0</v>
      </c>
      <c r="J83" s="231"/>
      <c r="K83" s="231"/>
      <c r="L83" s="231"/>
      <c r="M83" s="232">
        <f t="shared" si="8"/>
        <v>0</v>
      </c>
      <c r="N83" s="231">
        <v>0</v>
      </c>
      <c r="O83" s="231"/>
      <c r="P83" s="231"/>
      <c r="Q83" s="231"/>
      <c r="R83" s="232">
        <f t="shared" si="9"/>
        <v>0</v>
      </c>
    </row>
    <row r="84" spans="1:18" s="6" customFormat="1" ht="12" hidden="1" customHeight="1">
      <c r="A84" s="141" t="s">
        <v>54</v>
      </c>
      <c r="B84" s="179" t="s">
        <v>55</v>
      </c>
      <c r="C84" s="98"/>
      <c r="D84" s="169">
        <v>0</v>
      </c>
      <c r="E84" s="231"/>
      <c r="F84" s="231"/>
      <c r="G84" s="231"/>
      <c r="H84" s="232">
        <f t="shared" si="7"/>
        <v>0</v>
      </c>
      <c r="I84" s="231">
        <v>0</v>
      </c>
      <c r="J84" s="231"/>
      <c r="K84" s="231"/>
      <c r="L84" s="231"/>
      <c r="M84" s="232">
        <f t="shared" si="8"/>
        <v>0</v>
      </c>
      <c r="N84" s="231">
        <v>0</v>
      </c>
      <c r="O84" s="231"/>
      <c r="P84" s="231"/>
      <c r="Q84" s="231"/>
      <c r="R84" s="232">
        <f t="shared" si="9"/>
        <v>0</v>
      </c>
    </row>
    <row r="85" spans="1:18" s="6" customFormat="1" ht="12" hidden="1" customHeight="1">
      <c r="A85" s="141" t="s">
        <v>56</v>
      </c>
      <c r="B85" s="179" t="s">
        <v>57</v>
      </c>
      <c r="C85" s="98">
        <v>0</v>
      </c>
      <c r="D85" s="169">
        <v>0</v>
      </c>
      <c r="E85" s="231">
        <f>E86+E87</f>
        <v>0</v>
      </c>
      <c r="F85" s="231">
        <f>F86+F87</f>
        <v>0</v>
      </c>
      <c r="G85" s="231">
        <f>G86+G87</f>
        <v>0</v>
      </c>
      <c r="H85" s="232">
        <f t="shared" si="7"/>
        <v>0</v>
      </c>
      <c r="I85" s="231">
        <v>0</v>
      </c>
      <c r="J85" s="231">
        <f>J86+J87</f>
        <v>0</v>
      </c>
      <c r="K85" s="231">
        <f>K86+K87</f>
        <v>0</v>
      </c>
      <c r="L85" s="231">
        <f>L86+L87</f>
        <v>0</v>
      </c>
      <c r="M85" s="232">
        <f t="shared" si="8"/>
        <v>0</v>
      </c>
      <c r="N85" s="231">
        <v>0</v>
      </c>
      <c r="O85" s="231">
        <f>O86+O87</f>
        <v>0</v>
      </c>
      <c r="P85" s="231">
        <f>P86+P87</f>
        <v>0</v>
      </c>
      <c r="Q85" s="231">
        <f>Q86+Q87</f>
        <v>0</v>
      </c>
      <c r="R85" s="232">
        <f t="shared" si="9"/>
        <v>0</v>
      </c>
    </row>
    <row r="86" spans="1:18" s="6" customFormat="1" ht="12" hidden="1" customHeight="1">
      <c r="A86" s="141" t="s">
        <v>58</v>
      </c>
      <c r="B86" s="179" t="s">
        <v>59</v>
      </c>
      <c r="C86" s="98"/>
      <c r="D86" s="169">
        <v>0</v>
      </c>
      <c r="E86" s="231"/>
      <c r="F86" s="231"/>
      <c r="G86" s="231"/>
      <c r="H86" s="232">
        <f t="shared" si="7"/>
        <v>0</v>
      </c>
      <c r="I86" s="231">
        <v>0</v>
      </c>
      <c r="J86" s="231"/>
      <c r="K86" s="231"/>
      <c r="L86" s="231"/>
      <c r="M86" s="232">
        <f t="shared" si="8"/>
        <v>0</v>
      </c>
      <c r="N86" s="231">
        <v>0</v>
      </c>
      <c r="O86" s="231"/>
      <c r="P86" s="231"/>
      <c r="Q86" s="231"/>
      <c r="R86" s="232">
        <f t="shared" si="9"/>
        <v>0</v>
      </c>
    </row>
    <row r="87" spans="1:18" s="6" customFormat="1" ht="12" hidden="1" customHeight="1">
      <c r="A87" s="141" t="s">
        <v>60</v>
      </c>
      <c r="B87" s="179" t="s">
        <v>61</v>
      </c>
      <c r="C87" s="98"/>
      <c r="D87" s="169">
        <v>0</v>
      </c>
      <c r="E87" s="231"/>
      <c r="F87" s="231"/>
      <c r="G87" s="231"/>
      <c r="H87" s="232">
        <f t="shared" si="7"/>
        <v>0</v>
      </c>
      <c r="I87" s="231">
        <v>0</v>
      </c>
      <c r="J87" s="231"/>
      <c r="K87" s="231"/>
      <c r="L87" s="231"/>
      <c r="M87" s="232">
        <f t="shared" si="8"/>
        <v>0</v>
      </c>
      <c r="N87" s="231">
        <v>0</v>
      </c>
      <c r="O87" s="231"/>
      <c r="P87" s="231"/>
      <c r="Q87" s="231"/>
      <c r="R87" s="232">
        <f t="shared" si="9"/>
        <v>0</v>
      </c>
    </row>
    <row r="88" spans="1:18" s="6" customFormat="1" ht="12" hidden="1" customHeight="1">
      <c r="A88" s="141" t="s">
        <v>198</v>
      </c>
      <c r="B88" s="187" t="s">
        <v>168</v>
      </c>
      <c r="C88" s="98"/>
      <c r="D88" s="169">
        <v>0</v>
      </c>
      <c r="E88" s="231"/>
      <c r="F88" s="231"/>
      <c r="G88" s="231"/>
      <c r="H88" s="232">
        <f t="shared" si="7"/>
        <v>0</v>
      </c>
      <c r="I88" s="231">
        <v>0</v>
      </c>
      <c r="J88" s="231"/>
      <c r="K88" s="231"/>
      <c r="L88" s="231"/>
      <c r="M88" s="232">
        <f t="shared" si="8"/>
        <v>0</v>
      </c>
      <c r="N88" s="231">
        <v>0</v>
      </c>
      <c r="O88" s="231"/>
      <c r="P88" s="231"/>
      <c r="Q88" s="231"/>
      <c r="R88" s="232">
        <f t="shared" si="9"/>
        <v>0</v>
      </c>
    </row>
    <row r="89" spans="1:18" s="6" customFormat="1" ht="12" hidden="1" customHeight="1">
      <c r="A89" s="144" t="s">
        <v>62</v>
      </c>
      <c r="B89" s="125" t="s">
        <v>63</v>
      </c>
      <c r="C89" s="170">
        <v>0</v>
      </c>
      <c r="D89" s="171">
        <v>0</v>
      </c>
      <c r="E89" s="233">
        <f>E90+E91+E92</f>
        <v>0</v>
      </c>
      <c r="F89" s="233">
        <f>F90+F91+F92</f>
        <v>0</v>
      </c>
      <c r="G89" s="233">
        <f>G90+G91+G92</f>
        <v>0</v>
      </c>
      <c r="H89" s="232">
        <f t="shared" si="7"/>
        <v>0</v>
      </c>
      <c r="I89" s="233">
        <v>0</v>
      </c>
      <c r="J89" s="233">
        <f>J90+J91+J92</f>
        <v>0</v>
      </c>
      <c r="K89" s="233">
        <f>K90+K91+K92</f>
        <v>0</v>
      </c>
      <c r="L89" s="233">
        <f>L90+L91+L92</f>
        <v>0</v>
      </c>
      <c r="M89" s="232">
        <f t="shared" si="8"/>
        <v>0</v>
      </c>
      <c r="N89" s="233">
        <v>0</v>
      </c>
      <c r="O89" s="233">
        <f>O90+O91+O92</f>
        <v>0</v>
      </c>
      <c r="P89" s="233">
        <f>P90+P91+P92</f>
        <v>0</v>
      </c>
      <c r="Q89" s="233">
        <f>Q90+Q91+Q92</f>
        <v>0</v>
      </c>
      <c r="R89" s="232">
        <f t="shared" si="9"/>
        <v>0</v>
      </c>
    </row>
    <row r="90" spans="1:18" s="6" customFormat="1" ht="36" hidden="1" customHeight="1">
      <c r="A90" s="144" t="s">
        <v>64</v>
      </c>
      <c r="B90" s="179" t="s">
        <v>65</v>
      </c>
      <c r="C90" s="98"/>
      <c r="D90" s="169">
        <v>0</v>
      </c>
      <c r="E90" s="231"/>
      <c r="F90" s="231"/>
      <c r="G90" s="231"/>
      <c r="H90" s="232">
        <f t="shared" si="7"/>
        <v>0</v>
      </c>
      <c r="I90" s="231">
        <v>0</v>
      </c>
      <c r="J90" s="231"/>
      <c r="K90" s="231"/>
      <c r="L90" s="231"/>
      <c r="M90" s="232">
        <f t="shared" si="8"/>
        <v>0</v>
      </c>
      <c r="N90" s="231">
        <v>0</v>
      </c>
      <c r="O90" s="231"/>
      <c r="P90" s="231"/>
      <c r="Q90" s="231"/>
      <c r="R90" s="232">
        <f t="shared" si="9"/>
        <v>0</v>
      </c>
    </row>
    <row r="91" spans="1:18" s="6" customFormat="1" ht="24" hidden="1" customHeight="1">
      <c r="A91" s="144" t="s">
        <v>66</v>
      </c>
      <c r="B91" s="179" t="s">
        <v>67</v>
      </c>
      <c r="C91" s="98"/>
      <c r="D91" s="169">
        <v>0</v>
      </c>
      <c r="E91" s="231"/>
      <c r="F91" s="231"/>
      <c r="G91" s="231"/>
      <c r="H91" s="232">
        <f t="shared" si="7"/>
        <v>0</v>
      </c>
      <c r="I91" s="231">
        <v>0</v>
      </c>
      <c r="J91" s="231"/>
      <c r="K91" s="231"/>
      <c r="L91" s="231"/>
      <c r="M91" s="232">
        <f t="shared" si="8"/>
        <v>0</v>
      </c>
      <c r="N91" s="231">
        <v>0</v>
      </c>
      <c r="O91" s="231"/>
      <c r="P91" s="231"/>
      <c r="Q91" s="231"/>
      <c r="R91" s="232">
        <f t="shared" si="9"/>
        <v>0</v>
      </c>
    </row>
    <row r="92" spans="1:18" s="6" customFormat="1" ht="24" hidden="1" customHeight="1">
      <c r="A92" s="144" t="s">
        <v>68</v>
      </c>
      <c r="B92" s="125" t="s">
        <v>69</v>
      </c>
      <c r="C92" s="98"/>
      <c r="D92" s="169">
        <v>0</v>
      </c>
      <c r="E92" s="231"/>
      <c r="F92" s="231"/>
      <c r="G92" s="231"/>
      <c r="H92" s="232">
        <f t="shared" si="7"/>
        <v>0</v>
      </c>
      <c r="I92" s="231">
        <v>0</v>
      </c>
      <c r="J92" s="231"/>
      <c r="K92" s="231"/>
      <c r="L92" s="231"/>
      <c r="M92" s="232">
        <f t="shared" si="8"/>
        <v>0</v>
      </c>
      <c r="N92" s="231">
        <v>0</v>
      </c>
      <c r="O92" s="231"/>
      <c r="P92" s="231"/>
      <c r="Q92" s="231"/>
      <c r="R92" s="232">
        <f t="shared" si="9"/>
        <v>0</v>
      </c>
    </row>
    <row r="93" spans="1:18" s="6" customFormat="1" ht="12">
      <c r="A93" s="607"/>
      <c r="B93" s="608" t="s">
        <v>199</v>
      </c>
      <c r="C93" s="609"/>
      <c r="D93" s="620">
        <v>0</v>
      </c>
      <c r="E93" s="612"/>
      <c r="F93" s="612"/>
      <c r="G93" s="612"/>
      <c r="H93" s="613">
        <f t="shared" si="7"/>
        <v>0</v>
      </c>
      <c r="I93" s="611">
        <v>0</v>
      </c>
      <c r="J93" s="612"/>
      <c r="K93" s="612"/>
      <c r="L93" s="612"/>
      <c r="M93" s="613">
        <f t="shared" si="8"/>
        <v>0</v>
      </c>
      <c r="N93" s="611">
        <v>0</v>
      </c>
      <c r="O93" s="612"/>
      <c r="P93" s="612"/>
      <c r="Q93" s="612"/>
      <c r="R93" s="613">
        <f t="shared" si="9"/>
        <v>0</v>
      </c>
    </row>
    <row r="94" spans="1:18" s="6" customFormat="1" ht="20.399999999999999">
      <c r="A94" s="597" t="s">
        <v>201</v>
      </c>
      <c r="B94" s="598" t="s">
        <v>88</v>
      </c>
      <c r="C94" s="599">
        <v>372756</v>
      </c>
      <c r="D94" s="617">
        <v>372756</v>
      </c>
      <c r="E94" s="600">
        <f>E95+E96+E98+E116</f>
        <v>0</v>
      </c>
      <c r="F94" s="600">
        <f>F95+F96+F98+F116</f>
        <v>0</v>
      </c>
      <c r="G94" s="600">
        <f>G95+G96+G98+G116</f>
        <v>100000</v>
      </c>
      <c r="H94" s="601">
        <f t="shared" si="7"/>
        <v>472756</v>
      </c>
      <c r="I94" s="600">
        <v>372756</v>
      </c>
      <c r="J94" s="600">
        <f>J95+J96+J98+J116</f>
        <v>0</v>
      </c>
      <c r="K94" s="600">
        <f>K95+K96+K98+K116</f>
        <v>0</v>
      </c>
      <c r="L94" s="600">
        <f>L95+L96+L98+L116</f>
        <v>100000</v>
      </c>
      <c r="M94" s="601">
        <f t="shared" si="8"/>
        <v>472756</v>
      </c>
      <c r="N94" s="600">
        <v>372756</v>
      </c>
      <c r="O94" s="600">
        <f>O95+O96+O98+O116</f>
        <v>0</v>
      </c>
      <c r="P94" s="600">
        <f>P95+P96+P98+P116</f>
        <v>0</v>
      </c>
      <c r="Q94" s="600">
        <f>Q95+Q96+Q98+Q116</f>
        <v>100000</v>
      </c>
      <c r="R94" s="601">
        <f t="shared" si="9"/>
        <v>472756</v>
      </c>
    </row>
    <row r="95" spans="1:18" s="6" customFormat="1" ht="24" hidden="1" customHeight="1">
      <c r="A95" s="130" t="s">
        <v>177</v>
      </c>
      <c r="B95" s="124" t="s">
        <v>90</v>
      </c>
      <c r="C95" s="98"/>
      <c r="D95" s="169">
        <v>0</v>
      </c>
      <c r="E95" s="231"/>
      <c r="F95" s="231"/>
      <c r="G95" s="231"/>
      <c r="H95" s="232">
        <f t="shared" si="7"/>
        <v>0</v>
      </c>
      <c r="I95" s="231">
        <v>0</v>
      </c>
      <c r="J95" s="231"/>
      <c r="K95" s="231"/>
      <c r="L95" s="231"/>
      <c r="M95" s="232">
        <f t="shared" si="8"/>
        <v>0</v>
      </c>
      <c r="N95" s="231">
        <v>0</v>
      </c>
      <c r="O95" s="231"/>
      <c r="P95" s="231"/>
      <c r="Q95" s="231"/>
      <c r="R95" s="232">
        <f t="shared" si="9"/>
        <v>0</v>
      </c>
    </row>
    <row r="96" spans="1:18" s="6" customFormat="1" ht="12" hidden="1" customHeight="1">
      <c r="A96" s="130" t="s">
        <v>91</v>
      </c>
      <c r="B96" s="124" t="s">
        <v>92</v>
      </c>
      <c r="C96" s="98"/>
      <c r="D96" s="169">
        <v>0</v>
      </c>
      <c r="E96" s="231"/>
      <c r="F96" s="231"/>
      <c r="G96" s="231"/>
      <c r="H96" s="232">
        <f t="shared" si="7"/>
        <v>0</v>
      </c>
      <c r="I96" s="231">
        <v>0</v>
      </c>
      <c r="J96" s="231"/>
      <c r="K96" s="231"/>
      <c r="L96" s="231"/>
      <c r="M96" s="232">
        <f t="shared" si="8"/>
        <v>0</v>
      </c>
      <c r="N96" s="231">
        <v>0</v>
      </c>
      <c r="O96" s="231"/>
      <c r="P96" s="231"/>
      <c r="Q96" s="231"/>
      <c r="R96" s="232">
        <f t="shared" si="9"/>
        <v>0</v>
      </c>
    </row>
    <row r="97" spans="1:18" s="6" customFormat="1" ht="24" hidden="1" customHeight="1">
      <c r="A97" s="131">
        <v>21210</v>
      </c>
      <c r="B97" s="125" t="s">
        <v>93</v>
      </c>
      <c r="C97" s="98"/>
      <c r="D97" s="169">
        <v>0</v>
      </c>
      <c r="E97" s="231"/>
      <c r="F97" s="231"/>
      <c r="G97" s="231"/>
      <c r="H97" s="232">
        <f t="shared" si="7"/>
        <v>0</v>
      </c>
      <c r="I97" s="231">
        <v>0</v>
      </c>
      <c r="J97" s="231"/>
      <c r="K97" s="231"/>
      <c r="L97" s="231"/>
      <c r="M97" s="232">
        <f t="shared" si="8"/>
        <v>0</v>
      </c>
      <c r="N97" s="231">
        <v>0</v>
      </c>
      <c r="O97" s="231"/>
      <c r="P97" s="231"/>
      <c r="Q97" s="231"/>
      <c r="R97" s="232">
        <f t="shared" si="9"/>
        <v>0</v>
      </c>
    </row>
    <row r="98" spans="1:18" s="6" customFormat="1" ht="21" hidden="1" customHeight="1">
      <c r="A98" s="130" t="s">
        <v>178</v>
      </c>
      <c r="B98" s="124" t="s">
        <v>94</v>
      </c>
      <c r="C98" s="170">
        <v>0</v>
      </c>
      <c r="D98" s="171">
        <v>0</v>
      </c>
      <c r="E98" s="233">
        <f>E99+E105</f>
        <v>0</v>
      </c>
      <c r="F98" s="233">
        <f>F99+F105</f>
        <v>0</v>
      </c>
      <c r="G98" s="233">
        <f>G99+G105</f>
        <v>0</v>
      </c>
      <c r="H98" s="232">
        <f t="shared" si="7"/>
        <v>0</v>
      </c>
      <c r="I98" s="233">
        <v>0</v>
      </c>
      <c r="J98" s="233">
        <f>J99+J105</f>
        <v>0</v>
      </c>
      <c r="K98" s="233">
        <f>K99+K105</f>
        <v>0</v>
      </c>
      <c r="L98" s="233">
        <f>L99+L105</f>
        <v>0</v>
      </c>
      <c r="M98" s="232">
        <f t="shared" si="8"/>
        <v>0</v>
      </c>
      <c r="N98" s="233">
        <v>0</v>
      </c>
      <c r="O98" s="233">
        <f>O99+O105</f>
        <v>0</v>
      </c>
      <c r="P98" s="233">
        <f>P99+P105</f>
        <v>0</v>
      </c>
      <c r="Q98" s="233">
        <f>Q99+Q105</f>
        <v>0</v>
      </c>
      <c r="R98" s="232">
        <f t="shared" si="9"/>
        <v>0</v>
      </c>
    </row>
    <row r="99" spans="1:18" s="6" customFormat="1" ht="12" hidden="1" customHeight="1">
      <c r="A99" s="132">
        <v>18000</v>
      </c>
      <c r="B99" s="125" t="s">
        <v>95</v>
      </c>
      <c r="C99" s="170">
        <v>0</v>
      </c>
      <c r="D99" s="171">
        <v>0</v>
      </c>
      <c r="E99" s="233">
        <f t="shared" ref="E99:L100" si="10">E100</f>
        <v>0</v>
      </c>
      <c r="F99" s="233">
        <f t="shared" si="10"/>
        <v>0</v>
      </c>
      <c r="G99" s="233">
        <f t="shared" si="10"/>
        <v>0</v>
      </c>
      <c r="H99" s="232">
        <f t="shared" si="7"/>
        <v>0</v>
      </c>
      <c r="I99" s="233">
        <v>0</v>
      </c>
      <c r="J99" s="233">
        <f t="shared" si="10"/>
        <v>0</v>
      </c>
      <c r="K99" s="233">
        <f t="shared" si="10"/>
        <v>0</v>
      </c>
      <c r="L99" s="233">
        <f t="shared" si="10"/>
        <v>0</v>
      </c>
      <c r="M99" s="232">
        <f t="shared" si="8"/>
        <v>0</v>
      </c>
      <c r="N99" s="233">
        <v>0</v>
      </c>
      <c r="O99" s="233">
        <f t="shared" ref="O99:Q100" si="11">O100</f>
        <v>0</v>
      </c>
      <c r="P99" s="233">
        <f t="shared" si="11"/>
        <v>0</v>
      </c>
      <c r="Q99" s="233">
        <f t="shared" si="11"/>
        <v>0</v>
      </c>
      <c r="R99" s="232">
        <f t="shared" si="9"/>
        <v>0</v>
      </c>
    </row>
    <row r="100" spans="1:18" s="6" customFormat="1" ht="12" hidden="1" customHeight="1">
      <c r="A100" s="132">
        <v>18100</v>
      </c>
      <c r="B100" s="125" t="s">
        <v>96</v>
      </c>
      <c r="C100" s="170">
        <v>0</v>
      </c>
      <c r="D100" s="171">
        <v>0</v>
      </c>
      <c r="E100" s="233">
        <f t="shared" si="10"/>
        <v>0</v>
      </c>
      <c r="F100" s="233">
        <f t="shared" si="10"/>
        <v>0</v>
      </c>
      <c r="G100" s="233">
        <f t="shared" si="10"/>
        <v>0</v>
      </c>
      <c r="H100" s="232">
        <f t="shared" si="7"/>
        <v>0</v>
      </c>
      <c r="I100" s="233">
        <v>0</v>
      </c>
      <c r="J100" s="233">
        <f t="shared" si="10"/>
        <v>0</v>
      </c>
      <c r="K100" s="233">
        <f t="shared" si="10"/>
        <v>0</v>
      </c>
      <c r="L100" s="233">
        <f t="shared" si="10"/>
        <v>0</v>
      </c>
      <c r="M100" s="232">
        <f t="shared" si="8"/>
        <v>0</v>
      </c>
      <c r="N100" s="233">
        <v>0</v>
      </c>
      <c r="O100" s="233">
        <f t="shared" si="11"/>
        <v>0</v>
      </c>
      <c r="P100" s="233">
        <f t="shared" si="11"/>
        <v>0</v>
      </c>
      <c r="Q100" s="233">
        <f t="shared" si="11"/>
        <v>0</v>
      </c>
      <c r="R100" s="232">
        <f t="shared" si="9"/>
        <v>0</v>
      </c>
    </row>
    <row r="101" spans="1:18" s="6" customFormat="1" ht="24" hidden="1" customHeight="1">
      <c r="A101" s="133">
        <v>18130</v>
      </c>
      <c r="B101" s="172" t="s">
        <v>159</v>
      </c>
      <c r="C101" s="170">
        <v>0</v>
      </c>
      <c r="D101" s="171">
        <v>0</v>
      </c>
      <c r="E101" s="233">
        <f>SUM(E102:E104)</f>
        <v>0</v>
      </c>
      <c r="F101" s="233">
        <f>SUM(F102:F104)</f>
        <v>0</v>
      </c>
      <c r="G101" s="233">
        <f>SUM(G102:G104)</f>
        <v>0</v>
      </c>
      <c r="H101" s="232">
        <f t="shared" si="7"/>
        <v>0</v>
      </c>
      <c r="I101" s="233">
        <v>0</v>
      </c>
      <c r="J101" s="233">
        <f>SUM(J102:J104)</f>
        <v>0</v>
      </c>
      <c r="K101" s="233">
        <f>SUM(K102:K104)</f>
        <v>0</v>
      </c>
      <c r="L101" s="233">
        <f>SUM(L102:L104)</f>
        <v>0</v>
      </c>
      <c r="M101" s="232">
        <f t="shared" si="8"/>
        <v>0</v>
      </c>
      <c r="N101" s="233">
        <v>0</v>
      </c>
      <c r="O101" s="233">
        <f>SUM(O102:O104)</f>
        <v>0</v>
      </c>
      <c r="P101" s="233">
        <f>SUM(P102:P104)</f>
        <v>0</v>
      </c>
      <c r="Q101" s="233">
        <f>SUM(Q102:Q104)</f>
        <v>0</v>
      </c>
      <c r="R101" s="232">
        <f t="shared" si="9"/>
        <v>0</v>
      </c>
    </row>
    <row r="102" spans="1:18" s="6" customFormat="1" ht="36" hidden="1" customHeight="1">
      <c r="A102" s="134">
        <v>18131</v>
      </c>
      <c r="B102" s="172" t="s">
        <v>160</v>
      </c>
      <c r="C102" s="170"/>
      <c r="D102" s="171">
        <v>0</v>
      </c>
      <c r="E102" s="233"/>
      <c r="F102" s="233"/>
      <c r="G102" s="233"/>
      <c r="H102" s="232">
        <f t="shared" si="7"/>
        <v>0</v>
      </c>
      <c r="I102" s="233">
        <v>0</v>
      </c>
      <c r="J102" s="233"/>
      <c r="K102" s="233"/>
      <c r="L102" s="233"/>
      <c r="M102" s="232">
        <f t="shared" si="8"/>
        <v>0</v>
      </c>
      <c r="N102" s="233">
        <v>0</v>
      </c>
      <c r="O102" s="233"/>
      <c r="P102" s="233"/>
      <c r="Q102" s="233"/>
      <c r="R102" s="232">
        <f t="shared" si="9"/>
        <v>0</v>
      </c>
    </row>
    <row r="103" spans="1:18" s="6" customFormat="1" ht="24" hidden="1" customHeight="1">
      <c r="A103" s="134">
        <v>18132</v>
      </c>
      <c r="B103" s="172" t="s">
        <v>169</v>
      </c>
      <c r="C103" s="170"/>
      <c r="D103" s="171">
        <v>0</v>
      </c>
      <c r="E103" s="233"/>
      <c r="F103" s="233"/>
      <c r="G103" s="233"/>
      <c r="H103" s="232">
        <f t="shared" si="7"/>
        <v>0</v>
      </c>
      <c r="I103" s="233">
        <v>0</v>
      </c>
      <c r="J103" s="233"/>
      <c r="K103" s="233"/>
      <c r="L103" s="233"/>
      <c r="M103" s="232">
        <f t="shared" si="8"/>
        <v>0</v>
      </c>
      <c r="N103" s="233">
        <v>0</v>
      </c>
      <c r="O103" s="233"/>
      <c r="P103" s="233"/>
      <c r="Q103" s="233"/>
      <c r="R103" s="232">
        <f t="shared" si="9"/>
        <v>0</v>
      </c>
    </row>
    <row r="104" spans="1:18" s="6" customFormat="1" ht="24" hidden="1" customHeight="1">
      <c r="A104" s="134">
        <v>18139</v>
      </c>
      <c r="B104" s="172" t="s">
        <v>179</v>
      </c>
      <c r="C104" s="170"/>
      <c r="D104" s="171">
        <v>0</v>
      </c>
      <c r="E104" s="233"/>
      <c r="F104" s="233"/>
      <c r="G104" s="233"/>
      <c r="H104" s="232">
        <f t="shared" si="7"/>
        <v>0</v>
      </c>
      <c r="I104" s="233">
        <v>0</v>
      </c>
      <c r="J104" s="233"/>
      <c r="K104" s="233"/>
      <c r="L104" s="233"/>
      <c r="M104" s="232">
        <f t="shared" si="8"/>
        <v>0</v>
      </c>
      <c r="N104" s="233">
        <v>0</v>
      </c>
      <c r="O104" s="233"/>
      <c r="P104" s="233"/>
      <c r="Q104" s="233"/>
      <c r="R104" s="232">
        <f t="shared" si="9"/>
        <v>0</v>
      </c>
    </row>
    <row r="105" spans="1:18" s="6" customFormat="1" ht="12" hidden="1" customHeight="1">
      <c r="A105" s="135" t="s">
        <v>180</v>
      </c>
      <c r="B105" s="173" t="s">
        <v>173</v>
      </c>
      <c r="C105" s="201">
        <v>0</v>
      </c>
      <c r="D105" s="174">
        <v>0</v>
      </c>
      <c r="E105" s="238">
        <f t="shared" ref="E105:L105" si="12">E106</f>
        <v>0</v>
      </c>
      <c r="F105" s="238">
        <f t="shared" si="12"/>
        <v>0</v>
      </c>
      <c r="G105" s="238">
        <f t="shared" si="12"/>
        <v>0</v>
      </c>
      <c r="H105" s="232">
        <f t="shared" si="7"/>
        <v>0</v>
      </c>
      <c r="I105" s="238">
        <v>0</v>
      </c>
      <c r="J105" s="238">
        <f t="shared" si="12"/>
        <v>0</v>
      </c>
      <c r="K105" s="238">
        <f t="shared" si="12"/>
        <v>0</v>
      </c>
      <c r="L105" s="238">
        <f t="shared" si="12"/>
        <v>0</v>
      </c>
      <c r="M105" s="232">
        <f t="shared" si="8"/>
        <v>0</v>
      </c>
      <c r="N105" s="238">
        <v>0</v>
      </c>
      <c r="O105" s="238">
        <f>O106</f>
        <v>0</v>
      </c>
      <c r="P105" s="238">
        <f>P106</f>
        <v>0</v>
      </c>
      <c r="Q105" s="238">
        <f>Q106</f>
        <v>0</v>
      </c>
      <c r="R105" s="232">
        <f t="shared" si="9"/>
        <v>0</v>
      </c>
    </row>
    <row r="106" spans="1:18" s="6" customFormat="1" ht="24" hidden="1" customHeight="1">
      <c r="A106" s="135">
        <v>19500</v>
      </c>
      <c r="B106" s="172" t="s">
        <v>174</v>
      </c>
      <c r="C106" s="170">
        <v>0</v>
      </c>
      <c r="D106" s="171">
        <v>0</v>
      </c>
      <c r="E106" s="233">
        <f>SUM(E107:E109)</f>
        <v>0</v>
      </c>
      <c r="F106" s="233">
        <f>SUM(F107:F109)</f>
        <v>0</v>
      </c>
      <c r="G106" s="233">
        <f>SUM(G107:G109)</f>
        <v>0</v>
      </c>
      <c r="H106" s="232">
        <f t="shared" si="7"/>
        <v>0</v>
      </c>
      <c r="I106" s="233">
        <v>0</v>
      </c>
      <c r="J106" s="233">
        <f>SUM(J107:J109)</f>
        <v>0</v>
      </c>
      <c r="K106" s="233">
        <f>SUM(K107:K109)</f>
        <v>0</v>
      </c>
      <c r="L106" s="233">
        <f>SUM(L107:L109)</f>
        <v>0</v>
      </c>
      <c r="M106" s="232">
        <f t="shared" si="8"/>
        <v>0</v>
      </c>
      <c r="N106" s="233">
        <v>0</v>
      </c>
      <c r="O106" s="233">
        <f>SUM(O107:O109)</f>
        <v>0</v>
      </c>
      <c r="P106" s="233">
        <f>SUM(P107:P109)</f>
        <v>0</v>
      </c>
      <c r="Q106" s="233">
        <f>SUM(Q107:Q109)</f>
        <v>0</v>
      </c>
      <c r="R106" s="232">
        <f t="shared" si="9"/>
        <v>0</v>
      </c>
    </row>
    <row r="107" spans="1:18" s="6" customFormat="1" ht="24" hidden="1" customHeight="1">
      <c r="A107" s="136">
        <v>19550</v>
      </c>
      <c r="B107" s="172" t="s">
        <v>175</v>
      </c>
      <c r="C107" s="170"/>
      <c r="D107" s="171">
        <v>0</v>
      </c>
      <c r="E107" s="233"/>
      <c r="F107" s="233"/>
      <c r="G107" s="233"/>
      <c r="H107" s="232">
        <f t="shared" si="7"/>
        <v>0</v>
      </c>
      <c r="I107" s="233">
        <v>0</v>
      </c>
      <c r="J107" s="233"/>
      <c r="K107" s="233"/>
      <c r="L107" s="233"/>
      <c r="M107" s="232">
        <f t="shared" si="8"/>
        <v>0</v>
      </c>
      <c r="N107" s="233">
        <v>0</v>
      </c>
      <c r="O107" s="233"/>
      <c r="P107" s="233"/>
      <c r="Q107" s="233"/>
      <c r="R107" s="232">
        <f t="shared" si="9"/>
        <v>0</v>
      </c>
    </row>
    <row r="108" spans="1:18" s="6" customFormat="1" ht="36" hidden="1" customHeight="1">
      <c r="A108" s="136">
        <v>19560</v>
      </c>
      <c r="B108" s="172" t="s">
        <v>181</v>
      </c>
      <c r="C108" s="170"/>
      <c r="D108" s="171">
        <v>0</v>
      </c>
      <c r="E108" s="233"/>
      <c r="F108" s="233"/>
      <c r="G108" s="233"/>
      <c r="H108" s="232">
        <f t="shared" si="7"/>
        <v>0</v>
      </c>
      <c r="I108" s="233">
        <v>0</v>
      </c>
      <c r="J108" s="233"/>
      <c r="K108" s="233"/>
      <c r="L108" s="233"/>
      <c r="M108" s="232">
        <f t="shared" si="8"/>
        <v>0</v>
      </c>
      <c r="N108" s="233">
        <v>0</v>
      </c>
      <c r="O108" s="233"/>
      <c r="P108" s="233"/>
      <c r="Q108" s="233"/>
      <c r="R108" s="232">
        <f t="shared" si="9"/>
        <v>0</v>
      </c>
    </row>
    <row r="109" spans="1:18" s="6" customFormat="1" ht="72" hidden="1" customHeight="1">
      <c r="A109" s="136">
        <v>19570</v>
      </c>
      <c r="B109" s="172" t="s">
        <v>182</v>
      </c>
      <c r="C109" s="170"/>
      <c r="D109" s="171">
        <v>0</v>
      </c>
      <c r="E109" s="233"/>
      <c r="F109" s="233"/>
      <c r="G109" s="233"/>
      <c r="H109" s="232">
        <f t="shared" si="7"/>
        <v>0</v>
      </c>
      <c r="I109" s="233">
        <v>0</v>
      </c>
      <c r="J109" s="233"/>
      <c r="K109" s="233"/>
      <c r="L109" s="233"/>
      <c r="M109" s="232">
        <f t="shared" si="8"/>
        <v>0</v>
      </c>
      <c r="N109" s="233">
        <v>0</v>
      </c>
      <c r="O109" s="233"/>
      <c r="P109" s="233"/>
      <c r="Q109" s="233"/>
      <c r="R109" s="232">
        <f t="shared" si="9"/>
        <v>0</v>
      </c>
    </row>
    <row r="110" spans="1:18" s="6" customFormat="1" ht="24" hidden="1" customHeight="1">
      <c r="A110" s="209" t="s">
        <v>222</v>
      </c>
      <c r="B110" s="208" t="s">
        <v>216</v>
      </c>
      <c r="C110" s="106">
        <f>C111</f>
        <v>0</v>
      </c>
      <c r="D110" s="106">
        <v>0</v>
      </c>
      <c r="E110" s="232">
        <f t="shared" ref="E110:L110" si="13">E111</f>
        <v>0</v>
      </c>
      <c r="F110" s="232">
        <f t="shared" si="13"/>
        <v>0</v>
      </c>
      <c r="G110" s="232">
        <f t="shared" si="13"/>
        <v>0</v>
      </c>
      <c r="H110" s="232">
        <f t="shared" si="7"/>
        <v>0</v>
      </c>
      <c r="I110" s="233">
        <v>0</v>
      </c>
      <c r="J110" s="232">
        <f t="shared" si="13"/>
        <v>0</v>
      </c>
      <c r="K110" s="232">
        <f t="shared" si="13"/>
        <v>0</v>
      </c>
      <c r="L110" s="232">
        <f t="shared" si="13"/>
        <v>0</v>
      </c>
      <c r="M110" s="232">
        <f t="shared" si="8"/>
        <v>0</v>
      </c>
      <c r="N110" s="233">
        <v>0</v>
      </c>
      <c r="O110" s="232">
        <f>O111</f>
        <v>0</v>
      </c>
      <c r="P110" s="232">
        <f>P111</f>
        <v>0</v>
      </c>
      <c r="Q110" s="232">
        <f>Q111</f>
        <v>0</v>
      </c>
      <c r="R110" s="232">
        <f t="shared" si="9"/>
        <v>0</v>
      </c>
    </row>
    <row r="111" spans="1:18" s="6" customFormat="1" ht="36" hidden="1" customHeight="1">
      <c r="A111" s="209">
        <v>17100</v>
      </c>
      <c r="B111" s="208" t="s">
        <v>217</v>
      </c>
      <c r="C111" s="106">
        <f>SUM(C112:C115)</f>
        <v>0</v>
      </c>
      <c r="D111" s="106">
        <v>0</v>
      </c>
      <c r="E111" s="232">
        <f>SUM(E112:E115)</f>
        <v>0</v>
      </c>
      <c r="F111" s="232">
        <f>SUM(F112:F115)</f>
        <v>0</v>
      </c>
      <c r="G111" s="232">
        <f>SUM(G112:G115)</f>
        <v>0</v>
      </c>
      <c r="H111" s="232">
        <f t="shared" si="7"/>
        <v>0</v>
      </c>
      <c r="I111" s="233">
        <v>0</v>
      </c>
      <c r="J111" s="232">
        <f>SUM(J112:J115)</f>
        <v>0</v>
      </c>
      <c r="K111" s="232">
        <f>SUM(K112:K115)</f>
        <v>0</v>
      </c>
      <c r="L111" s="232">
        <f>SUM(L112:L115)</f>
        <v>0</v>
      </c>
      <c r="M111" s="232">
        <f t="shared" si="8"/>
        <v>0</v>
      </c>
      <c r="N111" s="233">
        <v>0</v>
      </c>
      <c r="O111" s="232">
        <f>SUM(O112:O115)</f>
        <v>0</v>
      </c>
      <c r="P111" s="232">
        <f>SUM(P112:P115)</f>
        <v>0</v>
      </c>
      <c r="Q111" s="232">
        <f>SUM(Q112:Q115)</f>
        <v>0</v>
      </c>
      <c r="R111" s="232">
        <f t="shared" si="9"/>
        <v>0</v>
      </c>
    </row>
    <row r="112" spans="1:18" s="6" customFormat="1" ht="60" hidden="1" customHeight="1">
      <c r="A112" s="149">
        <v>17110</v>
      </c>
      <c r="B112" s="208" t="s">
        <v>218</v>
      </c>
      <c r="C112" s="106"/>
      <c r="D112" s="107">
        <v>0</v>
      </c>
      <c r="E112" s="233"/>
      <c r="F112" s="233"/>
      <c r="G112" s="233"/>
      <c r="H112" s="232">
        <f t="shared" si="7"/>
        <v>0</v>
      </c>
      <c r="I112" s="233">
        <v>0</v>
      </c>
      <c r="J112" s="233"/>
      <c r="K112" s="233"/>
      <c r="L112" s="233"/>
      <c r="M112" s="232">
        <f t="shared" si="8"/>
        <v>0</v>
      </c>
      <c r="N112" s="233">
        <v>0</v>
      </c>
      <c r="O112" s="233"/>
      <c r="P112" s="233"/>
      <c r="Q112" s="233"/>
      <c r="R112" s="232">
        <f t="shared" si="9"/>
        <v>0</v>
      </c>
    </row>
    <row r="113" spans="1:18" s="6" customFormat="1" ht="60" hidden="1" customHeight="1">
      <c r="A113" s="149">
        <v>17120</v>
      </c>
      <c r="B113" s="208" t="s">
        <v>219</v>
      </c>
      <c r="C113" s="106"/>
      <c r="D113" s="107">
        <v>0</v>
      </c>
      <c r="E113" s="233"/>
      <c r="F113" s="233"/>
      <c r="G113" s="233"/>
      <c r="H113" s="232">
        <f t="shared" si="7"/>
        <v>0</v>
      </c>
      <c r="I113" s="233">
        <v>0</v>
      </c>
      <c r="J113" s="233"/>
      <c r="K113" s="233"/>
      <c r="L113" s="233"/>
      <c r="M113" s="232">
        <f t="shared" si="8"/>
        <v>0</v>
      </c>
      <c r="N113" s="233">
        <v>0</v>
      </c>
      <c r="O113" s="233"/>
      <c r="P113" s="233"/>
      <c r="Q113" s="233"/>
      <c r="R113" s="232">
        <f t="shared" si="9"/>
        <v>0</v>
      </c>
    </row>
    <row r="114" spans="1:18" s="6" customFormat="1" ht="108" hidden="1" customHeight="1">
      <c r="A114" s="149">
        <v>17130</v>
      </c>
      <c r="B114" s="208" t="s">
        <v>220</v>
      </c>
      <c r="C114" s="106"/>
      <c r="D114" s="107">
        <v>0</v>
      </c>
      <c r="E114" s="233"/>
      <c r="F114" s="233"/>
      <c r="G114" s="233"/>
      <c r="H114" s="232">
        <f t="shared" si="7"/>
        <v>0</v>
      </c>
      <c r="I114" s="233">
        <v>0</v>
      </c>
      <c r="J114" s="233"/>
      <c r="K114" s="233"/>
      <c r="L114" s="233"/>
      <c r="M114" s="232">
        <f t="shared" si="8"/>
        <v>0</v>
      </c>
      <c r="N114" s="233">
        <v>0</v>
      </c>
      <c r="O114" s="233"/>
      <c r="P114" s="233"/>
      <c r="Q114" s="233"/>
      <c r="R114" s="232">
        <f t="shared" si="9"/>
        <v>0</v>
      </c>
    </row>
    <row r="115" spans="1:18" s="6" customFormat="1" ht="108" hidden="1" customHeight="1">
      <c r="A115" s="149">
        <v>17140</v>
      </c>
      <c r="B115" s="208" t="s">
        <v>221</v>
      </c>
      <c r="C115" s="106"/>
      <c r="D115" s="107">
        <v>0</v>
      </c>
      <c r="E115" s="233"/>
      <c r="F115" s="233"/>
      <c r="G115" s="233"/>
      <c r="H115" s="232">
        <f t="shared" si="7"/>
        <v>0</v>
      </c>
      <c r="I115" s="233">
        <v>0</v>
      </c>
      <c r="J115" s="233"/>
      <c r="K115" s="233"/>
      <c r="L115" s="233"/>
      <c r="M115" s="232">
        <f t="shared" si="8"/>
        <v>0</v>
      </c>
      <c r="N115" s="233">
        <v>0</v>
      </c>
      <c r="O115" s="233"/>
      <c r="P115" s="233"/>
      <c r="Q115" s="233"/>
      <c r="R115" s="232">
        <f t="shared" si="9"/>
        <v>0</v>
      </c>
    </row>
    <row r="116" spans="1:18" s="6" customFormat="1" ht="12">
      <c r="A116" s="137">
        <v>21700</v>
      </c>
      <c r="B116" s="124" t="s">
        <v>97</v>
      </c>
      <c r="C116" s="162">
        <v>372756</v>
      </c>
      <c r="D116" s="114">
        <v>372756</v>
      </c>
      <c r="E116" s="233">
        <f>E117+E118</f>
        <v>0</v>
      </c>
      <c r="F116" s="233">
        <f>F117+F118</f>
        <v>0</v>
      </c>
      <c r="G116" s="233">
        <f>G117+G118</f>
        <v>100000</v>
      </c>
      <c r="H116" s="232">
        <f t="shared" si="7"/>
        <v>472756</v>
      </c>
      <c r="I116" s="233">
        <v>372756</v>
      </c>
      <c r="J116" s="233">
        <f>J117+J118</f>
        <v>0</v>
      </c>
      <c r="K116" s="233">
        <f>K117+K118</f>
        <v>0</v>
      </c>
      <c r="L116" s="233">
        <f>L117+L118</f>
        <v>100000</v>
      </c>
      <c r="M116" s="232">
        <f t="shared" si="8"/>
        <v>472756</v>
      </c>
      <c r="N116" s="233">
        <v>372756</v>
      </c>
      <c r="O116" s="233">
        <f>O117+O118</f>
        <v>0</v>
      </c>
      <c r="P116" s="233">
        <f>P117+P118</f>
        <v>0</v>
      </c>
      <c r="Q116" s="233">
        <f>Q117+Q118</f>
        <v>100000</v>
      </c>
      <c r="R116" s="232">
        <f t="shared" si="9"/>
        <v>472756</v>
      </c>
    </row>
    <row r="117" spans="1:18" s="6" customFormat="1" ht="24">
      <c r="A117" s="138">
        <v>21710</v>
      </c>
      <c r="B117" s="125" t="s">
        <v>98</v>
      </c>
      <c r="C117" s="170">
        <v>372756</v>
      </c>
      <c r="D117" s="171">
        <v>372756</v>
      </c>
      <c r="E117" s="233"/>
      <c r="F117" s="233"/>
      <c r="G117" s="233">
        <v>100000</v>
      </c>
      <c r="H117" s="232">
        <f t="shared" si="7"/>
        <v>472756</v>
      </c>
      <c r="I117" s="233">
        <v>372756</v>
      </c>
      <c r="J117" s="233"/>
      <c r="K117" s="233"/>
      <c r="L117" s="233">
        <v>100000</v>
      </c>
      <c r="M117" s="232">
        <f t="shared" si="8"/>
        <v>472756</v>
      </c>
      <c r="N117" s="233">
        <v>372756</v>
      </c>
      <c r="O117" s="233"/>
      <c r="P117" s="233"/>
      <c r="Q117" s="233">
        <v>100000</v>
      </c>
      <c r="R117" s="232">
        <f t="shared" si="9"/>
        <v>472756</v>
      </c>
    </row>
    <row r="118" spans="1:18" s="6" customFormat="1" ht="24" hidden="1" customHeight="1">
      <c r="A118" s="138">
        <v>21720</v>
      </c>
      <c r="B118" s="125" t="s">
        <v>99</v>
      </c>
      <c r="C118" s="170"/>
      <c r="D118" s="171">
        <v>0</v>
      </c>
      <c r="E118" s="233"/>
      <c r="F118" s="233"/>
      <c r="G118" s="233"/>
      <c r="H118" s="232">
        <f t="shared" si="7"/>
        <v>0</v>
      </c>
      <c r="I118" s="233">
        <v>0</v>
      </c>
      <c r="J118" s="233"/>
      <c r="K118" s="233"/>
      <c r="L118" s="233"/>
      <c r="M118" s="232">
        <f t="shared" si="8"/>
        <v>0</v>
      </c>
      <c r="N118" s="233">
        <v>0</v>
      </c>
      <c r="O118" s="233"/>
      <c r="P118" s="233"/>
      <c r="Q118" s="233"/>
      <c r="R118" s="232">
        <f t="shared" si="9"/>
        <v>0</v>
      </c>
    </row>
    <row r="119" spans="1:18" s="6" customFormat="1" ht="11.4">
      <c r="A119" s="597" t="s">
        <v>100</v>
      </c>
      <c r="B119" s="598" t="s">
        <v>101</v>
      </c>
      <c r="C119" s="602">
        <v>372756</v>
      </c>
      <c r="D119" s="618">
        <v>372756</v>
      </c>
      <c r="E119" s="603">
        <f>E120+E147</f>
        <v>0</v>
      </c>
      <c r="F119" s="603">
        <f>F120+F147</f>
        <v>0</v>
      </c>
      <c r="G119" s="603">
        <f>G120+G147</f>
        <v>100000</v>
      </c>
      <c r="H119" s="601">
        <f t="shared" si="7"/>
        <v>472756</v>
      </c>
      <c r="I119" s="603">
        <v>372756</v>
      </c>
      <c r="J119" s="603">
        <f>J120+J147</f>
        <v>0</v>
      </c>
      <c r="K119" s="603">
        <f>K120+K147</f>
        <v>0</v>
      </c>
      <c r="L119" s="603">
        <f>L120+L147</f>
        <v>100000</v>
      </c>
      <c r="M119" s="601">
        <f t="shared" si="8"/>
        <v>472756</v>
      </c>
      <c r="N119" s="603">
        <v>372756</v>
      </c>
      <c r="O119" s="603">
        <f>O120+O147</f>
        <v>0</v>
      </c>
      <c r="P119" s="603">
        <f>P120+P147</f>
        <v>0</v>
      </c>
      <c r="Q119" s="603">
        <f>Q120+Q147</f>
        <v>100000</v>
      </c>
      <c r="R119" s="601">
        <f t="shared" si="9"/>
        <v>472756</v>
      </c>
    </row>
    <row r="120" spans="1:18" s="6" customFormat="1" ht="20.399999999999999">
      <c r="A120" s="130" t="s">
        <v>102</v>
      </c>
      <c r="B120" s="124" t="s">
        <v>103</v>
      </c>
      <c r="C120" s="162">
        <v>372256</v>
      </c>
      <c r="D120" s="114">
        <v>372256</v>
      </c>
      <c r="E120" s="233">
        <f>E121+E125+E126+E129+E132</f>
        <v>0</v>
      </c>
      <c r="F120" s="233">
        <f>F121+F125+F126+F129+F132</f>
        <v>0</v>
      </c>
      <c r="G120" s="233">
        <f>G121+G125+G126+G129+G132</f>
        <v>100000</v>
      </c>
      <c r="H120" s="232">
        <f t="shared" si="7"/>
        <v>472256</v>
      </c>
      <c r="I120" s="233">
        <v>372256</v>
      </c>
      <c r="J120" s="233">
        <f>J121+J125+J126+J129+J132</f>
        <v>0</v>
      </c>
      <c r="K120" s="233">
        <f>K121+K125+K126+K129+K132</f>
        <v>0</v>
      </c>
      <c r="L120" s="233">
        <f>L121+L125+L126+L129+L132</f>
        <v>100000</v>
      </c>
      <c r="M120" s="232">
        <f t="shared" si="8"/>
        <v>472256</v>
      </c>
      <c r="N120" s="233">
        <v>372256</v>
      </c>
      <c r="O120" s="233">
        <f>O121+O125+O126+O129+O132</f>
        <v>0</v>
      </c>
      <c r="P120" s="233">
        <f>P121+P125+P126+P129+P132</f>
        <v>0</v>
      </c>
      <c r="Q120" s="233">
        <f>Q121+Q125+Q126+Q129+Q132</f>
        <v>100000</v>
      </c>
      <c r="R120" s="232">
        <f t="shared" si="9"/>
        <v>472256</v>
      </c>
    </row>
    <row r="121" spans="1:18" s="6" customFormat="1" ht="12">
      <c r="A121" s="130" t="s">
        <v>104</v>
      </c>
      <c r="B121" s="124" t="s">
        <v>105</v>
      </c>
      <c r="C121" s="162">
        <v>350256</v>
      </c>
      <c r="D121" s="114">
        <v>350256</v>
      </c>
      <c r="E121" s="233">
        <f>E122+E124</f>
        <v>0</v>
      </c>
      <c r="F121" s="233">
        <f>F122+F124</f>
        <v>0</v>
      </c>
      <c r="G121" s="233">
        <f>G122+G124</f>
        <v>100000</v>
      </c>
      <c r="H121" s="232">
        <f t="shared" si="7"/>
        <v>450256</v>
      </c>
      <c r="I121" s="233">
        <v>350256</v>
      </c>
      <c r="J121" s="233">
        <f>J122+J124</f>
        <v>0</v>
      </c>
      <c r="K121" s="233">
        <f>K122+K124</f>
        <v>0</v>
      </c>
      <c r="L121" s="233">
        <f>L122+L124</f>
        <v>100000</v>
      </c>
      <c r="M121" s="232">
        <f t="shared" si="8"/>
        <v>450256</v>
      </c>
      <c r="N121" s="233">
        <v>350256</v>
      </c>
      <c r="O121" s="233">
        <f>O122+O124</f>
        <v>0</v>
      </c>
      <c r="P121" s="233">
        <f>P122+P124</f>
        <v>0</v>
      </c>
      <c r="Q121" s="233">
        <f>Q122+Q124</f>
        <v>100000</v>
      </c>
      <c r="R121" s="232">
        <f t="shared" si="9"/>
        <v>450256</v>
      </c>
    </row>
    <row r="122" spans="1:18" s="29" customFormat="1" ht="12">
      <c r="A122" s="132">
        <v>1000</v>
      </c>
      <c r="B122" s="125" t="s">
        <v>106</v>
      </c>
      <c r="C122" s="170">
        <v>308551</v>
      </c>
      <c r="D122" s="171">
        <v>308551</v>
      </c>
      <c r="E122" s="244"/>
      <c r="F122" s="244"/>
      <c r="G122" s="244"/>
      <c r="H122" s="232">
        <f t="shared" si="7"/>
        <v>308551</v>
      </c>
      <c r="I122" s="233">
        <v>308551</v>
      </c>
      <c r="J122" s="244"/>
      <c r="K122" s="244"/>
      <c r="L122" s="244"/>
      <c r="M122" s="232">
        <f t="shared" si="8"/>
        <v>308551</v>
      </c>
      <c r="N122" s="233">
        <v>308551</v>
      </c>
      <c r="O122" s="244"/>
      <c r="P122" s="244"/>
      <c r="Q122" s="244"/>
      <c r="R122" s="232">
        <f t="shared" si="9"/>
        <v>308551</v>
      </c>
    </row>
    <row r="123" spans="1:18" s="89" customFormat="1" ht="12">
      <c r="A123" s="139">
        <v>1100</v>
      </c>
      <c r="B123" s="125" t="s">
        <v>107</v>
      </c>
      <c r="C123" s="170">
        <v>248652</v>
      </c>
      <c r="D123" s="171">
        <v>248652</v>
      </c>
      <c r="E123" s="244"/>
      <c r="F123" s="244"/>
      <c r="G123" s="244"/>
      <c r="H123" s="232">
        <f t="shared" si="7"/>
        <v>248652</v>
      </c>
      <c r="I123" s="233">
        <v>248652</v>
      </c>
      <c r="J123" s="244"/>
      <c r="K123" s="244"/>
      <c r="L123" s="244"/>
      <c r="M123" s="232">
        <f t="shared" si="8"/>
        <v>248652</v>
      </c>
      <c r="N123" s="233">
        <v>248652</v>
      </c>
      <c r="O123" s="244"/>
      <c r="P123" s="244"/>
      <c r="Q123" s="244"/>
      <c r="R123" s="232">
        <f t="shared" si="9"/>
        <v>248652</v>
      </c>
    </row>
    <row r="124" spans="1:18" s="89" customFormat="1" ht="12">
      <c r="A124" s="132">
        <v>2000</v>
      </c>
      <c r="B124" s="125" t="s">
        <v>108</v>
      </c>
      <c r="C124" s="170">
        <v>41705</v>
      </c>
      <c r="D124" s="171">
        <v>41705</v>
      </c>
      <c r="E124" s="244"/>
      <c r="F124" s="244"/>
      <c r="G124" s="233">
        <v>100000</v>
      </c>
      <c r="H124" s="232">
        <f t="shared" si="7"/>
        <v>141705</v>
      </c>
      <c r="I124" s="233">
        <v>41705</v>
      </c>
      <c r="J124" s="244"/>
      <c r="K124" s="244"/>
      <c r="L124" s="233">
        <v>100000</v>
      </c>
      <c r="M124" s="232">
        <f t="shared" si="8"/>
        <v>141705</v>
      </c>
      <c r="N124" s="233">
        <v>41705</v>
      </c>
      <c r="O124" s="244"/>
      <c r="P124" s="244"/>
      <c r="Q124" s="244">
        <v>100000</v>
      </c>
      <c r="R124" s="232">
        <f t="shared" si="9"/>
        <v>141705</v>
      </c>
    </row>
    <row r="125" spans="1:18" s="89" customFormat="1" ht="12" hidden="1" customHeight="1">
      <c r="A125" s="140">
        <v>4000</v>
      </c>
      <c r="B125" s="124" t="s">
        <v>132</v>
      </c>
      <c r="C125" s="170"/>
      <c r="D125" s="176">
        <v>0</v>
      </c>
      <c r="E125" s="244"/>
      <c r="F125" s="244"/>
      <c r="G125" s="244"/>
      <c r="H125" s="232">
        <f t="shared" si="7"/>
        <v>0</v>
      </c>
      <c r="I125" s="233">
        <v>0</v>
      </c>
      <c r="J125" s="244"/>
      <c r="K125" s="244"/>
      <c r="L125" s="244"/>
      <c r="M125" s="232">
        <f t="shared" si="8"/>
        <v>0</v>
      </c>
      <c r="N125" s="233">
        <v>0</v>
      </c>
      <c r="O125" s="244"/>
      <c r="P125" s="244"/>
      <c r="Q125" s="244"/>
      <c r="R125" s="232">
        <f t="shared" si="9"/>
        <v>0</v>
      </c>
    </row>
    <row r="126" spans="1:18" s="89" customFormat="1" ht="12">
      <c r="A126" s="140" t="s">
        <v>109</v>
      </c>
      <c r="B126" s="124" t="s">
        <v>110</v>
      </c>
      <c r="C126" s="162">
        <v>22000</v>
      </c>
      <c r="D126" s="114">
        <v>22000</v>
      </c>
      <c r="E126" s="233">
        <f>E127+E128</f>
        <v>0</v>
      </c>
      <c r="F126" s="233">
        <f>F127+F128</f>
        <v>0</v>
      </c>
      <c r="G126" s="233">
        <f>G127+G128</f>
        <v>0</v>
      </c>
      <c r="H126" s="232">
        <f t="shared" si="7"/>
        <v>22000</v>
      </c>
      <c r="I126" s="233">
        <v>22000</v>
      </c>
      <c r="J126" s="233">
        <f>J127+J128</f>
        <v>0</v>
      </c>
      <c r="K126" s="233">
        <f>K127+K128</f>
        <v>0</v>
      </c>
      <c r="L126" s="233">
        <f>L127+L128</f>
        <v>0</v>
      </c>
      <c r="M126" s="232">
        <f t="shared" si="8"/>
        <v>22000</v>
      </c>
      <c r="N126" s="233">
        <v>22000</v>
      </c>
      <c r="O126" s="233">
        <f>O127+O128</f>
        <v>0</v>
      </c>
      <c r="P126" s="233">
        <f>P127+P128</f>
        <v>0</v>
      </c>
      <c r="Q126" s="233">
        <f>Q127+Q128</f>
        <v>0</v>
      </c>
      <c r="R126" s="232">
        <f t="shared" si="9"/>
        <v>22000</v>
      </c>
    </row>
    <row r="127" spans="1:18" s="89" customFormat="1" ht="12">
      <c r="A127" s="132">
        <v>3000</v>
      </c>
      <c r="B127" s="125" t="s">
        <v>111</v>
      </c>
      <c r="C127" s="202">
        <v>22000</v>
      </c>
      <c r="D127" s="213">
        <v>22000</v>
      </c>
      <c r="E127" s="246"/>
      <c r="F127" s="246"/>
      <c r="G127" s="246"/>
      <c r="H127" s="232">
        <f t="shared" si="7"/>
        <v>22000</v>
      </c>
      <c r="I127" s="345">
        <v>22000</v>
      </c>
      <c r="J127" s="246"/>
      <c r="K127" s="246"/>
      <c r="L127" s="246"/>
      <c r="M127" s="232">
        <f t="shared" si="8"/>
        <v>22000</v>
      </c>
      <c r="N127" s="345">
        <v>22000</v>
      </c>
      <c r="O127" s="246"/>
      <c r="P127" s="246"/>
      <c r="Q127" s="246"/>
      <c r="R127" s="232">
        <f t="shared" si="9"/>
        <v>22000</v>
      </c>
    </row>
    <row r="128" spans="1:18" s="89" customFormat="1" ht="12" hidden="1" customHeight="1">
      <c r="A128" s="132">
        <v>6000</v>
      </c>
      <c r="B128" s="125" t="s">
        <v>112</v>
      </c>
      <c r="C128" s="203"/>
      <c r="D128" s="178">
        <v>0</v>
      </c>
      <c r="E128" s="248"/>
      <c r="F128" s="248"/>
      <c r="G128" s="248"/>
      <c r="H128" s="232">
        <f t="shared" si="7"/>
        <v>0</v>
      </c>
      <c r="I128" s="346">
        <v>0</v>
      </c>
      <c r="J128" s="248"/>
      <c r="K128" s="248"/>
      <c r="L128" s="248"/>
      <c r="M128" s="232">
        <f t="shared" si="8"/>
        <v>0</v>
      </c>
      <c r="N128" s="346">
        <v>0</v>
      </c>
      <c r="O128" s="248"/>
      <c r="P128" s="248"/>
      <c r="Q128" s="248"/>
      <c r="R128" s="232">
        <f t="shared" si="9"/>
        <v>0</v>
      </c>
    </row>
    <row r="129" spans="1:18" s="89" customFormat="1" ht="24" hidden="1" customHeight="1">
      <c r="A129" s="140" t="s">
        <v>113</v>
      </c>
      <c r="B129" s="124" t="s">
        <v>183</v>
      </c>
      <c r="C129" s="170">
        <v>0</v>
      </c>
      <c r="D129" s="171">
        <v>0</v>
      </c>
      <c r="E129" s="233">
        <f>E130+E131</f>
        <v>0</v>
      </c>
      <c r="F129" s="233">
        <f>F130+F131</f>
        <v>0</v>
      </c>
      <c r="G129" s="233">
        <f>G130+G131</f>
        <v>0</v>
      </c>
      <c r="H129" s="232">
        <f t="shared" si="7"/>
        <v>0</v>
      </c>
      <c r="I129" s="233">
        <v>0</v>
      </c>
      <c r="J129" s="233">
        <f>J130+J131</f>
        <v>0</v>
      </c>
      <c r="K129" s="233">
        <f>K130+K131</f>
        <v>0</v>
      </c>
      <c r="L129" s="233">
        <f>L130+L131</f>
        <v>0</v>
      </c>
      <c r="M129" s="232">
        <f t="shared" si="8"/>
        <v>0</v>
      </c>
      <c r="N129" s="233">
        <v>0</v>
      </c>
      <c r="O129" s="233">
        <f>O130+O131</f>
        <v>0</v>
      </c>
      <c r="P129" s="233">
        <f>P130+P131</f>
        <v>0</v>
      </c>
      <c r="Q129" s="233">
        <f>Q130+Q131</f>
        <v>0</v>
      </c>
      <c r="R129" s="232">
        <f t="shared" si="9"/>
        <v>0</v>
      </c>
    </row>
    <row r="130" spans="1:18" s="89" customFormat="1" ht="12" hidden="1" customHeight="1">
      <c r="A130" s="132">
        <v>7600</v>
      </c>
      <c r="B130" s="179" t="s">
        <v>184</v>
      </c>
      <c r="C130" s="170"/>
      <c r="D130" s="176">
        <v>0</v>
      </c>
      <c r="E130" s="244"/>
      <c r="F130" s="244"/>
      <c r="G130" s="244"/>
      <c r="H130" s="232">
        <f t="shared" si="7"/>
        <v>0</v>
      </c>
      <c r="I130" s="233">
        <v>0</v>
      </c>
      <c r="J130" s="244"/>
      <c r="K130" s="244"/>
      <c r="L130" s="244"/>
      <c r="M130" s="232">
        <f t="shared" si="8"/>
        <v>0</v>
      </c>
      <c r="N130" s="233">
        <v>0</v>
      </c>
      <c r="O130" s="244"/>
      <c r="P130" s="244"/>
      <c r="Q130" s="244"/>
      <c r="R130" s="232">
        <f t="shared" si="9"/>
        <v>0</v>
      </c>
    </row>
    <row r="131" spans="1:18" s="89" customFormat="1" ht="12" hidden="1" customHeight="1">
      <c r="A131" s="132">
        <v>7700</v>
      </c>
      <c r="B131" s="126" t="s">
        <v>114</v>
      </c>
      <c r="C131" s="170"/>
      <c r="D131" s="176">
        <v>0</v>
      </c>
      <c r="E131" s="244"/>
      <c r="F131" s="244"/>
      <c r="G131" s="244"/>
      <c r="H131" s="232">
        <f t="shared" si="7"/>
        <v>0</v>
      </c>
      <c r="I131" s="233">
        <v>0</v>
      </c>
      <c r="J131" s="244"/>
      <c r="K131" s="244"/>
      <c r="L131" s="244"/>
      <c r="M131" s="232">
        <f t="shared" si="8"/>
        <v>0</v>
      </c>
      <c r="N131" s="233">
        <v>0</v>
      </c>
      <c r="O131" s="244"/>
      <c r="P131" s="244"/>
      <c r="Q131" s="244"/>
      <c r="R131" s="232">
        <f t="shared" si="9"/>
        <v>0</v>
      </c>
    </row>
    <row r="132" spans="1:18" s="89" customFormat="1" ht="21" hidden="1" customHeight="1">
      <c r="A132" s="140" t="s">
        <v>185</v>
      </c>
      <c r="B132" s="124" t="s">
        <v>115</v>
      </c>
      <c r="C132" s="170">
        <v>0</v>
      </c>
      <c r="D132" s="171">
        <v>0</v>
      </c>
      <c r="E132" s="233">
        <f>E133+E139+E143+E146</f>
        <v>0</v>
      </c>
      <c r="F132" s="233">
        <f>F133+F139+F143+F146</f>
        <v>0</v>
      </c>
      <c r="G132" s="233">
        <f>G133+G139+G143+G146</f>
        <v>0</v>
      </c>
      <c r="H132" s="232">
        <f t="shared" si="7"/>
        <v>0</v>
      </c>
      <c r="I132" s="233">
        <v>0</v>
      </c>
      <c r="J132" s="233">
        <f>J133+J139+J143+J146</f>
        <v>0</v>
      </c>
      <c r="K132" s="233">
        <f>K133+K139+K143+K146</f>
        <v>0</v>
      </c>
      <c r="L132" s="233">
        <f>L133+L139+L143+L146</f>
        <v>0</v>
      </c>
      <c r="M132" s="232">
        <f t="shared" si="8"/>
        <v>0</v>
      </c>
      <c r="N132" s="233">
        <v>0</v>
      </c>
      <c r="O132" s="233">
        <f>O133+O139+O143+O146</f>
        <v>0</v>
      </c>
      <c r="P132" s="233">
        <f>P133+P139+P143+P146</f>
        <v>0</v>
      </c>
      <c r="Q132" s="233">
        <f>Q133+Q139+Q143+Q146</f>
        <v>0</v>
      </c>
      <c r="R132" s="232">
        <f t="shared" si="9"/>
        <v>0</v>
      </c>
    </row>
    <row r="133" spans="1:18" s="89" customFormat="1" ht="12" hidden="1" customHeight="1">
      <c r="A133" s="132">
        <v>7100</v>
      </c>
      <c r="B133" s="179" t="s">
        <v>116</v>
      </c>
      <c r="C133" s="170">
        <v>0</v>
      </c>
      <c r="D133" s="171">
        <v>0</v>
      </c>
      <c r="E133" s="233">
        <f>E134+E135</f>
        <v>0</v>
      </c>
      <c r="F133" s="233">
        <f>F134+F135</f>
        <v>0</v>
      </c>
      <c r="G133" s="233">
        <f>G134+G135</f>
        <v>0</v>
      </c>
      <c r="H133" s="232">
        <f t="shared" si="7"/>
        <v>0</v>
      </c>
      <c r="I133" s="233">
        <v>0</v>
      </c>
      <c r="J133" s="233">
        <f>J134+J135</f>
        <v>0</v>
      </c>
      <c r="K133" s="233">
        <f>K134+K135</f>
        <v>0</v>
      </c>
      <c r="L133" s="233">
        <f>L134+L135</f>
        <v>0</v>
      </c>
      <c r="M133" s="232">
        <f t="shared" si="8"/>
        <v>0</v>
      </c>
      <c r="N133" s="233">
        <v>0</v>
      </c>
      <c r="O133" s="233">
        <f>O134+O135</f>
        <v>0</v>
      </c>
      <c r="P133" s="233">
        <f>P134+P135</f>
        <v>0</v>
      </c>
      <c r="Q133" s="233">
        <f>Q134+Q135</f>
        <v>0</v>
      </c>
      <c r="R133" s="232">
        <f t="shared" si="9"/>
        <v>0</v>
      </c>
    </row>
    <row r="134" spans="1:18" s="89" customFormat="1" ht="24" hidden="1" customHeight="1">
      <c r="A134" s="133" t="s">
        <v>117</v>
      </c>
      <c r="B134" s="179" t="s">
        <v>118</v>
      </c>
      <c r="C134" s="170"/>
      <c r="D134" s="171">
        <v>0</v>
      </c>
      <c r="E134" s="233"/>
      <c r="F134" s="233"/>
      <c r="G134" s="233"/>
      <c r="H134" s="232">
        <f t="shared" si="7"/>
        <v>0</v>
      </c>
      <c r="I134" s="233">
        <v>0</v>
      </c>
      <c r="J134" s="233"/>
      <c r="K134" s="233"/>
      <c r="L134" s="233"/>
      <c r="M134" s="232">
        <f t="shared" si="8"/>
        <v>0</v>
      </c>
      <c r="N134" s="233">
        <v>0</v>
      </c>
      <c r="O134" s="233"/>
      <c r="P134" s="233"/>
      <c r="Q134" s="233"/>
      <c r="R134" s="232">
        <f t="shared" si="9"/>
        <v>0</v>
      </c>
    </row>
    <row r="135" spans="1:18" s="89" customFormat="1" ht="24" hidden="1" customHeight="1">
      <c r="A135" s="133">
        <v>7130</v>
      </c>
      <c r="B135" s="179" t="s">
        <v>119</v>
      </c>
      <c r="C135" s="170">
        <v>0</v>
      </c>
      <c r="D135" s="171">
        <v>0</v>
      </c>
      <c r="E135" s="233">
        <f>SUM(E136:E138)</f>
        <v>0</v>
      </c>
      <c r="F135" s="233">
        <f>SUM(F136:F138)</f>
        <v>0</v>
      </c>
      <c r="G135" s="233">
        <f>SUM(G136:G138)</f>
        <v>0</v>
      </c>
      <c r="H135" s="232">
        <f t="shared" si="7"/>
        <v>0</v>
      </c>
      <c r="I135" s="233">
        <v>0</v>
      </c>
      <c r="J135" s="233">
        <f>SUM(J136:J138)</f>
        <v>0</v>
      </c>
      <c r="K135" s="233">
        <f>SUM(K136:K138)</f>
        <v>0</v>
      </c>
      <c r="L135" s="233">
        <f>SUM(L136:L138)</f>
        <v>0</v>
      </c>
      <c r="M135" s="232">
        <f t="shared" si="8"/>
        <v>0</v>
      </c>
      <c r="N135" s="233">
        <v>0</v>
      </c>
      <c r="O135" s="233">
        <f>SUM(O136:O138)</f>
        <v>0</v>
      </c>
      <c r="P135" s="233">
        <f>SUM(P136:P138)</f>
        <v>0</v>
      </c>
      <c r="Q135" s="233">
        <f>SUM(Q136:Q138)</f>
        <v>0</v>
      </c>
      <c r="R135" s="232">
        <f t="shared" si="9"/>
        <v>0</v>
      </c>
    </row>
    <row r="136" spans="1:18" s="89" customFormat="1" ht="36" hidden="1" customHeight="1">
      <c r="A136" s="134">
        <v>7131</v>
      </c>
      <c r="B136" s="179" t="s">
        <v>120</v>
      </c>
      <c r="C136" s="170"/>
      <c r="D136" s="171">
        <v>0</v>
      </c>
      <c r="E136" s="233"/>
      <c r="F136" s="233"/>
      <c r="G136" s="233"/>
      <c r="H136" s="232">
        <f t="shared" si="7"/>
        <v>0</v>
      </c>
      <c r="I136" s="233">
        <v>0</v>
      </c>
      <c r="J136" s="233"/>
      <c r="K136" s="233"/>
      <c r="L136" s="233"/>
      <c r="M136" s="232">
        <f t="shared" si="8"/>
        <v>0</v>
      </c>
      <c r="N136" s="233">
        <v>0</v>
      </c>
      <c r="O136" s="233"/>
      <c r="P136" s="233"/>
      <c r="Q136" s="233"/>
      <c r="R136" s="232">
        <f t="shared" si="9"/>
        <v>0</v>
      </c>
    </row>
    <row r="137" spans="1:18" s="29" customFormat="1" ht="36" hidden="1" customHeight="1">
      <c r="A137" s="134">
        <v>7132</v>
      </c>
      <c r="B137" s="179" t="s">
        <v>121</v>
      </c>
      <c r="C137" s="170"/>
      <c r="D137" s="171">
        <v>0</v>
      </c>
      <c r="E137" s="233"/>
      <c r="F137" s="233"/>
      <c r="G137" s="233"/>
      <c r="H137" s="232">
        <f t="shared" si="7"/>
        <v>0</v>
      </c>
      <c r="I137" s="233">
        <v>0</v>
      </c>
      <c r="J137" s="233"/>
      <c r="K137" s="233"/>
      <c r="L137" s="233"/>
      <c r="M137" s="232">
        <f t="shared" si="8"/>
        <v>0</v>
      </c>
      <c r="N137" s="233">
        <v>0</v>
      </c>
      <c r="O137" s="233"/>
      <c r="P137" s="233"/>
      <c r="Q137" s="233"/>
      <c r="R137" s="232">
        <f t="shared" si="9"/>
        <v>0</v>
      </c>
    </row>
    <row r="138" spans="1:18" s="29" customFormat="1" ht="36" hidden="1" customHeight="1">
      <c r="A138" s="134" t="s">
        <v>186</v>
      </c>
      <c r="B138" s="179" t="s">
        <v>187</v>
      </c>
      <c r="C138" s="170"/>
      <c r="D138" s="171">
        <v>0</v>
      </c>
      <c r="E138" s="233"/>
      <c r="F138" s="233"/>
      <c r="G138" s="233"/>
      <c r="H138" s="232">
        <f t="shared" ref="H138:H201" si="14">SUM(D138:G138)</f>
        <v>0</v>
      </c>
      <c r="I138" s="233">
        <v>0</v>
      </c>
      <c r="J138" s="233"/>
      <c r="K138" s="233"/>
      <c r="L138" s="233"/>
      <c r="M138" s="232">
        <f t="shared" ref="M138:M201" si="15">SUM(I138:L138)</f>
        <v>0</v>
      </c>
      <c r="N138" s="233">
        <v>0</v>
      </c>
      <c r="O138" s="233"/>
      <c r="P138" s="233"/>
      <c r="Q138" s="233"/>
      <c r="R138" s="232">
        <f t="shared" ref="R138:R201" si="16">SUM(N138:Q138)</f>
        <v>0</v>
      </c>
    </row>
    <row r="139" spans="1:18" s="29" customFormat="1" ht="24" hidden="1" customHeight="1">
      <c r="A139" s="132">
        <v>7300</v>
      </c>
      <c r="B139" s="172" t="s">
        <v>155</v>
      </c>
      <c r="C139" s="170">
        <v>0</v>
      </c>
      <c r="D139" s="171">
        <v>0</v>
      </c>
      <c r="E139" s="233">
        <f>SUM(E140:E142)</f>
        <v>0</v>
      </c>
      <c r="F139" s="233">
        <f>SUM(F140:F142)</f>
        <v>0</v>
      </c>
      <c r="G139" s="233">
        <f>SUM(G140:G142)</f>
        <v>0</v>
      </c>
      <c r="H139" s="232">
        <f t="shared" si="14"/>
        <v>0</v>
      </c>
      <c r="I139" s="233">
        <v>0</v>
      </c>
      <c r="J139" s="233">
        <f>SUM(J140:J142)</f>
        <v>0</v>
      </c>
      <c r="K139" s="233">
        <f>SUM(K140:K142)</f>
        <v>0</v>
      </c>
      <c r="L139" s="233">
        <f>SUM(L140:L142)</f>
        <v>0</v>
      </c>
      <c r="M139" s="232">
        <f t="shared" si="15"/>
        <v>0</v>
      </c>
      <c r="N139" s="233">
        <v>0</v>
      </c>
      <c r="O139" s="233">
        <f>SUM(O140:O142)</f>
        <v>0</v>
      </c>
      <c r="P139" s="233">
        <f>SUM(P140:P142)</f>
        <v>0</v>
      </c>
      <c r="Q139" s="233">
        <f>SUM(Q140:Q142)</f>
        <v>0</v>
      </c>
      <c r="R139" s="232">
        <f t="shared" si="16"/>
        <v>0</v>
      </c>
    </row>
    <row r="140" spans="1:18" s="4" customFormat="1" ht="24" hidden="1" customHeight="1">
      <c r="A140" s="133" t="s">
        <v>188</v>
      </c>
      <c r="B140" s="179" t="s">
        <v>170</v>
      </c>
      <c r="C140" s="604"/>
      <c r="D140" s="619">
        <v>0</v>
      </c>
      <c r="E140" s="605"/>
      <c r="F140" s="605"/>
      <c r="G140" s="605"/>
      <c r="H140" s="232">
        <f t="shared" si="14"/>
        <v>0</v>
      </c>
      <c r="I140" s="605">
        <v>0</v>
      </c>
      <c r="J140" s="605"/>
      <c r="K140" s="605"/>
      <c r="L140" s="605"/>
      <c r="M140" s="232">
        <f t="shared" si="15"/>
        <v>0</v>
      </c>
      <c r="N140" s="605">
        <v>0</v>
      </c>
      <c r="O140" s="605"/>
      <c r="P140" s="605"/>
      <c r="Q140" s="605"/>
      <c r="R140" s="232">
        <f t="shared" si="16"/>
        <v>0</v>
      </c>
    </row>
    <row r="141" spans="1:18" ht="48" hidden="1" customHeight="1">
      <c r="A141" s="133" t="s">
        <v>189</v>
      </c>
      <c r="B141" s="179" t="s">
        <v>156</v>
      </c>
      <c r="C141" s="604"/>
      <c r="D141" s="619">
        <v>0</v>
      </c>
      <c r="E141" s="605"/>
      <c r="F141" s="605"/>
      <c r="G141" s="605"/>
      <c r="H141" s="232">
        <f t="shared" si="14"/>
        <v>0</v>
      </c>
      <c r="I141" s="605">
        <v>0</v>
      </c>
      <c r="J141" s="605"/>
      <c r="K141" s="605"/>
      <c r="L141" s="605"/>
      <c r="M141" s="232">
        <f t="shared" si="15"/>
        <v>0</v>
      </c>
      <c r="N141" s="605">
        <v>0</v>
      </c>
      <c r="O141" s="605"/>
      <c r="P141" s="605"/>
      <c r="Q141" s="605"/>
      <c r="R141" s="232">
        <f t="shared" si="16"/>
        <v>0</v>
      </c>
    </row>
    <row r="142" spans="1:18" ht="36" hidden="1" customHeight="1">
      <c r="A142" s="133">
        <v>7350</v>
      </c>
      <c r="B142" s="179" t="s">
        <v>163</v>
      </c>
      <c r="C142" s="604"/>
      <c r="D142" s="619">
        <v>0</v>
      </c>
      <c r="E142" s="605"/>
      <c r="F142" s="605"/>
      <c r="G142" s="605"/>
      <c r="H142" s="232">
        <f t="shared" si="14"/>
        <v>0</v>
      </c>
      <c r="I142" s="605">
        <v>0</v>
      </c>
      <c r="J142" s="605"/>
      <c r="K142" s="605"/>
      <c r="L142" s="605"/>
      <c r="M142" s="232">
        <f t="shared" si="15"/>
        <v>0</v>
      </c>
      <c r="N142" s="605">
        <v>0</v>
      </c>
      <c r="O142" s="605"/>
      <c r="P142" s="605"/>
      <c r="Q142" s="605"/>
      <c r="R142" s="232">
        <f t="shared" si="16"/>
        <v>0</v>
      </c>
    </row>
    <row r="143" spans="1:18" ht="24" hidden="1" customHeight="1">
      <c r="A143" s="132">
        <v>7400</v>
      </c>
      <c r="B143" s="172" t="s">
        <v>161</v>
      </c>
      <c r="C143" s="170">
        <v>0</v>
      </c>
      <c r="D143" s="171">
        <v>0</v>
      </c>
      <c r="E143" s="233">
        <f>SUM(E144:E145)</f>
        <v>0</v>
      </c>
      <c r="F143" s="233">
        <f>SUM(F144:F145)</f>
        <v>0</v>
      </c>
      <c r="G143" s="233">
        <f>SUM(G144:G145)</f>
        <v>0</v>
      </c>
      <c r="H143" s="232">
        <f t="shared" si="14"/>
        <v>0</v>
      </c>
      <c r="I143" s="233">
        <v>0</v>
      </c>
      <c r="J143" s="233">
        <f>SUM(J144:J145)</f>
        <v>0</v>
      </c>
      <c r="K143" s="233">
        <f>SUM(K144:K145)</f>
        <v>0</v>
      </c>
      <c r="L143" s="233">
        <f>SUM(L144:L145)</f>
        <v>0</v>
      </c>
      <c r="M143" s="232">
        <f t="shared" si="15"/>
        <v>0</v>
      </c>
      <c r="N143" s="233">
        <v>0</v>
      </c>
      <c r="O143" s="233">
        <f>SUM(O144:O145)</f>
        <v>0</v>
      </c>
      <c r="P143" s="233">
        <f>SUM(P144:P145)</f>
        <v>0</v>
      </c>
      <c r="Q143" s="233">
        <f>SUM(Q144:Q145)</f>
        <v>0</v>
      </c>
      <c r="R143" s="232">
        <f t="shared" si="16"/>
        <v>0</v>
      </c>
    </row>
    <row r="144" spans="1:18" ht="24" hidden="1" customHeight="1">
      <c r="A144" s="133">
        <v>7460</v>
      </c>
      <c r="B144" s="172" t="s">
        <v>162</v>
      </c>
      <c r="C144" s="604"/>
      <c r="D144" s="619">
        <v>0</v>
      </c>
      <c r="E144" s="605"/>
      <c r="F144" s="605"/>
      <c r="G144" s="605"/>
      <c r="H144" s="232">
        <f t="shared" si="14"/>
        <v>0</v>
      </c>
      <c r="I144" s="605">
        <v>0</v>
      </c>
      <c r="J144" s="605"/>
      <c r="K144" s="605"/>
      <c r="L144" s="605"/>
      <c r="M144" s="232">
        <f t="shared" si="15"/>
        <v>0</v>
      </c>
      <c r="N144" s="605">
        <v>0</v>
      </c>
      <c r="O144" s="605"/>
      <c r="P144" s="605"/>
      <c r="Q144" s="605"/>
      <c r="R144" s="232">
        <f t="shared" si="16"/>
        <v>0</v>
      </c>
    </row>
    <row r="145" spans="1:18" ht="48" hidden="1" customHeight="1">
      <c r="A145" s="133">
        <v>7470</v>
      </c>
      <c r="B145" s="179" t="s">
        <v>167</v>
      </c>
      <c r="C145" s="604"/>
      <c r="D145" s="619">
        <v>0</v>
      </c>
      <c r="E145" s="605"/>
      <c r="F145" s="605"/>
      <c r="G145" s="605"/>
      <c r="H145" s="232">
        <f t="shared" si="14"/>
        <v>0</v>
      </c>
      <c r="I145" s="605">
        <v>0</v>
      </c>
      <c r="J145" s="605"/>
      <c r="K145" s="605"/>
      <c r="L145" s="605"/>
      <c r="M145" s="232">
        <f t="shared" si="15"/>
        <v>0</v>
      </c>
      <c r="N145" s="605">
        <v>0</v>
      </c>
      <c r="O145" s="605"/>
      <c r="P145" s="605"/>
      <c r="Q145" s="605"/>
      <c r="R145" s="232">
        <f t="shared" si="16"/>
        <v>0</v>
      </c>
    </row>
    <row r="146" spans="1:18" ht="24" hidden="1" customHeight="1">
      <c r="A146" s="132">
        <v>7500</v>
      </c>
      <c r="B146" s="179" t="s">
        <v>157</v>
      </c>
      <c r="C146" s="170"/>
      <c r="D146" s="171">
        <v>0</v>
      </c>
      <c r="E146" s="233"/>
      <c r="F146" s="233"/>
      <c r="G146" s="233"/>
      <c r="H146" s="232">
        <f t="shared" si="14"/>
        <v>0</v>
      </c>
      <c r="I146" s="233">
        <v>0</v>
      </c>
      <c r="J146" s="233"/>
      <c r="K146" s="233"/>
      <c r="L146" s="233"/>
      <c r="M146" s="232">
        <f t="shared" si="15"/>
        <v>0</v>
      </c>
      <c r="N146" s="233">
        <v>0</v>
      </c>
      <c r="O146" s="233"/>
      <c r="P146" s="233"/>
      <c r="Q146" s="233"/>
      <c r="R146" s="232">
        <f t="shared" si="16"/>
        <v>0</v>
      </c>
    </row>
    <row r="147" spans="1:18" s="4" customFormat="1" ht="12">
      <c r="A147" s="140" t="s">
        <v>133</v>
      </c>
      <c r="B147" s="124" t="s">
        <v>122</v>
      </c>
      <c r="C147" s="162">
        <v>500</v>
      </c>
      <c r="D147" s="114">
        <v>500</v>
      </c>
      <c r="E147" s="254">
        <f>E148+E149</f>
        <v>0</v>
      </c>
      <c r="F147" s="254">
        <f>F148+F149</f>
        <v>0</v>
      </c>
      <c r="G147" s="254">
        <f>G148+G149</f>
        <v>0</v>
      </c>
      <c r="H147" s="232">
        <f t="shared" si="14"/>
        <v>500</v>
      </c>
      <c r="I147" s="254">
        <v>500</v>
      </c>
      <c r="J147" s="254">
        <f>J148+J149</f>
        <v>0</v>
      </c>
      <c r="K147" s="254">
        <f>K148+K149</f>
        <v>0</v>
      </c>
      <c r="L147" s="254">
        <f>L148+L149</f>
        <v>0</v>
      </c>
      <c r="M147" s="232">
        <f t="shared" si="15"/>
        <v>500</v>
      </c>
      <c r="N147" s="254">
        <v>500</v>
      </c>
      <c r="O147" s="254">
        <f>O148+O149</f>
        <v>0</v>
      </c>
      <c r="P147" s="254">
        <f>P148+P149</f>
        <v>0</v>
      </c>
      <c r="Q147" s="254">
        <f>Q148+Q149</f>
        <v>0</v>
      </c>
      <c r="R147" s="232">
        <f t="shared" si="16"/>
        <v>500</v>
      </c>
    </row>
    <row r="148" spans="1:18" s="6" customFormat="1" ht="12">
      <c r="A148" s="140">
        <v>5000</v>
      </c>
      <c r="B148" s="124" t="s">
        <v>123</v>
      </c>
      <c r="C148" s="162">
        <v>500</v>
      </c>
      <c r="D148" s="114">
        <v>500</v>
      </c>
      <c r="E148" s="244"/>
      <c r="F148" s="244"/>
      <c r="G148" s="244"/>
      <c r="H148" s="232">
        <f t="shared" si="14"/>
        <v>500</v>
      </c>
      <c r="I148" s="233">
        <v>500</v>
      </c>
      <c r="J148" s="244"/>
      <c r="K148" s="244"/>
      <c r="L148" s="244"/>
      <c r="M148" s="232">
        <f t="shared" si="15"/>
        <v>500</v>
      </c>
      <c r="N148" s="233">
        <v>500</v>
      </c>
      <c r="O148" s="244"/>
      <c r="P148" s="244"/>
      <c r="Q148" s="244"/>
      <c r="R148" s="232">
        <f t="shared" si="16"/>
        <v>500</v>
      </c>
    </row>
    <row r="149" spans="1:18" s="6" customFormat="1" ht="12" hidden="1" customHeight="1">
      <c r="A149" s="140">
        <v>9000</v>
      </c>
      <c r="B149" s="182" t="s">
        <v>164</v>
      </c>
      <c r="C149" s="170">
        <v>0</v>
      </c>
      <c r="D149" s="171">
        <v>0</v>
      </c>
      <c r="E149" s="233">
        <f>E150+E156+E160+E163</f>
        <v>0</v>
      </c>
      <c r="F149" s="233">
        <f>F150+F156+F160+F163</f>
        <v>0</v>
      </c>
      <c r="G149" s="233">
        <f>G150+G156+G160+G163</f>
        <v>0</v>
      </c>
      <c r="H149" s="232">
        <f t="shared" si="14"/>
        <v>0</v>
      </c>
      <c r="I149" s="233">
        <v>0</v>
      </c>
      <c r="J149" s="233">
        <f>J150+J156+J160+J163</f>
        <v>0</v>
      </c>
      <c r="K149" s="233">
        <f>K150+K156+K160+K163</f>
        <v>0</v>
      </c>
      <c r="L149" s="233">
        <f>L150+L156+L160+L163</f>
        <v>0</v>
      </c>
      <c r="M149" s="232">
        <f t="shared" si="15"/>
        <v>0</v>
      </c>
      <c r="N149" s="233">
        <v>0</v>
      </c>
      <c r="O149" s="233">
        <f>O150+O156+O160+O163</f>
        <v>0</v>
      </c>
      <c r="P149" s="233">
        <f>P150+P156+P160+P163</f>
        <v>0</v>
      </c>
      <c r="Q149" s="233">
        <f>Q150+Q156+Q160+Q163</f>
        <v>0</v>
      </c>
      <c r="R149" s="232">
        <f t="shared" si="16"/>
        <v>0</v>
      </c>
    </row>
    <row r="150" spans="1:18" s="6" customFormat="1" ht="12" hidden="1" customHeight="1">
      <c r="A150" s="141">
        <v>9100</v>
      </c>
      <c r="B150" s="179" t="s">
        <v>124</v>
      </c>
      <c r="C150" s="170">
        <v>0</v>
      </c>
      <c r="D150" s="171">
        <v>0</v>
      </c>
      <c r="E150" s="233">
        <f>SUM(E151:E152)</f>
        <v>0</v>
      </c>
      <c r="F150" s="233">
        <f>SUM(F151:F152)</f>
        <v>0</v>
      </c>
      <c r="G150" s="233">
        <f>SUM(G151:G152)</f>
        <v>0</v>
      </c>
      <c r="H150" s="232">
        <f t="shared" si="14"/>
        <v>0</v>
      </c>
      <c r="I150" s="233">
        <v>0</v>
      </c>
      <c r="J150" s="233">
        <f>SUM(J151:J152)</f>
        <v>0</v>
      </c>
      <c r="K150" s="233">
        <f>SUM(K151:K152)</f>
        <v>0</v>
      </c>
      <c r="L150" s="233">
        <f>SUM(L151:L152)</f>
        <v>0</v>
      </c>
      <c r="M150" s="232">
        <f t="shared" si="15"/>
        <v>0</v>
      </c>
      <c r="N150" s="233">
        <v>0</v>
      </c>
      <c r="O150" s="233">
        <f>SUM(O151:O152)</f>
        <v>0</v>
      </c>
      <c r="P150" s="233">
        <f>SUM(P151:P152)</f>
        <v>0</v>
      </c>
      <c r="Q150" s="233">
        <f>SUM(Q151:Q152)</f>
        <v>0</v>
      </c>
      <c r="R150" s="232">
        <f t="shared" si="16"/>
        <v>0</v>
      </c>
    </row>
    <row r="151" spans="1:18" s="6" customFormat="1" ht="24" hidden="1" customHeight="1">
      <c r="A151" s="133" t="s">
        <v>125</v>
      </c>
      <c r="B151" s="179" t="s">
        <v>214</v>
      </c>
      <c r="C151" s="170"/>
      <c r="D151" s="171">
        <v>0</v>
      </c>
      <c r="E151" s="233"/>
      <c r="F151" s="233"/>
      <c r="G151" s="233"/>
      <c r="H151" s="232">
        <f t="shared" si="14"/>
        <v>0</v>
      </c>
      <c r="I151" s="233">
        <v>0</v>
      </c>
      <c r="J151" s="233"/>
      <c r="K151" s="233"/>
      <c r="L151" s="233"/>
      <c r="M151" s="232">
        <f t="shared" si="15"/>
        <v>0</v>
      </c>
      <c r="N151" s="233">
        <v>0</v>
      </c>
      <c r="O151" s="233"/>
      <c r="P151" s="233"/>
      <c r="Q151" s="233"/>
      <c r="R151" s="232">
        <f t="shared" si="16"/>
        <v>0</v>
      </c>
    </row>
    <row r="152" spans="1:18" s="6" customFormat="1" ht="24" hidden="1" customHeight="1">
      <c r="A152" s="133">
        <v>9140</v>
      </c>
      <c r="B152" s="179" t="s">
        <v>215</v>
      </c>
      <c r="C152" s="170">
        <v>0</v>
      </c>
      <c r="D152" s="171">
        <v>0</v>
      </c>
      <c r="E152" s="233">
        <f>SUM(E153:E155)</f>
        <v>0</v>
      </c>
      <c r="F152" s="233">
        <f>SUM(F153:F155)</f>
        <v>0</v>
      </c>
      <c r="G152" s="233">
        <f>SUM(G153:G155)</f>
        <v>0</v>
      </c>
      <c r="H152" s="232">
        <f t="shared" si="14"/>
        <v>0</v>
      </c>
      <c r="I152" s="233">
        <v>0</v>
      </c>
      <c r="J152" s="233">
        <f>SUM(J153:J155)</f>
        <v>0</v>
      </c>
      <c r="K152" s="233">
        <f>SUM(K153:K155)</f>
        <v>0</v>
      </c>
      <c r="L152" s="233">
        <f>SUM(L153:L155)</f>
        <v>0</v>
      </c>
      <c r="M152" s="232">
        <f t="shared" si="15"/>
        <v>0</v>
      </c>
      <c r="N152" s="233">
        <v>0</v>
      </c>
      <c r="O152" s="233">
        <f>SUM(O153:O155)</f>
        <v>0</v>
      </c>
      <c r="P152" s="233">
        <f>SUM(P153:P155)</f>
        <v>0</v>
      </c>
      <c r="Q152" s="233">
        <f>SUM(Q153:Q155)</f>
        <v>0</v>
      </c>
      <c r="R152" s="232">
        <f t="shared" si="16"/>
        <v>0</v>
      </c>
    </row>
    <row r="153" spans="1:18" s="6" customFormat="1" ht="36" hidden="1" customHeight="1">
      <c r="A153" s="134">
        <v>9141</v>
      </c>
      <c r="B153" s="172" t="s">
        <v>190</v>
      </c>
      <c r="C153" s="604"/>
      <c r="D153" s="619">
        <v>0</v>
      </c>
      <c r="E153" s="605"/>
      <c r="F153" s="605"/>
      <c r="G153" s="605"/>
      <c r="H153" s="232">
        <f t="shared" si="14"/>
        <v>0</v>
      </c>
      <c r="I153" s="605">
        <v>0</v>
      </c>
      <c r="J153" s="605"/>
      <c r="K153" s="605"/>
      <c r="L153" s="605"/>
      <c r="M153" s="232">
        <f t="shared" si="15"/>
        <v>0</v>
      </c>
      <c r="N153" s="605">
        <v>0</v>
      </c>
      <c r="O153" s="605"/>
      <c r="P153" s="605"/>
      <c r="Q153" s="605"/>
      <c r="R153" s="232">
        <f t="shared" si="16"/>
        <v>0</v>
      </c>
    </row>
    <row r="154" spans="1:18" s="6" customFormat="1" ht="36" hidden="1" customHeight="1">
      <c r="A154" s="134">
        <v>9142</v>
      </c>
      <c r="B154" s="172" t="s">
        <v>191</v>
      </c>
      <c r="C154" s="604"/>
      <c r="D154" s="619">
        <v>0</v>
      </c>
      <c r="E154" s="605"/>
      <c r="F154" s="605"/>
      <c r="G154" s="605"/>
      <c r="H154" s="232">
        <f t="shared" si="14"/>
        <v>0</v>
      </c>
      <c r="I154" s="605">
        <v>0</v>
      </c>
      <c r="J154" s="605"/>
      <c r="K154" s="605"/>
      <c r="L154" s="605"/>
      <c r="M154" s="232">
        <f t="shared" si="15"/>
        <v>0</v>
      </c>
      <c r="N154" s="605">
        <v>0</v>
      </c>
      <c r="O154" s="605"/>
      <c r="P154" s="605"/>
      <c r="Q154" s="605"/>
      <c r="R154" s="232">
        <f t="shared" si="16"/>
        <v>0</v>
      </c>
    </row>
    <row r="155" spans="1:18" s="6" customFormat="1" ht="24" hidden="1" customHeight="1">
      <c r="A155" s="134">
        <v>9149</v>
      </c>
      <c r="B155" s="172" t="s">
        <v>192</v>
      </c>
      <c r="C155" s="604"/>
      <c r="D155" s="619">
        <v>0</v>
      </c>
      <c r="E155" s="605"/>
      <c r="F155" s="605"/>
      <c r="G155" s="605"/>
      <c r="H155" s="232">
        <f t="shared" si="14"/>
        <v>0</v>
      </c>
      <c r="I155" s="605">
        <v>0</v>
      </c>
      <c r="J155" s="605"/>
      <c r="K155" s="605"/>
      <c r="L155" s="605"/>
      <c r="M155" s="232">
        <f t="shared" si="15"/>
        <v>0</v>
      </c>
      <c r="N155" s="605">
        <v>0</v>
      </c>
      <c r="O155" s="605"/>
      <c r="P155" s="605"/>
      <c r="Q155" s="605"/>
      <c r="R155" s="232">
        <f t="shared" si="16"/>
        <v>0</v>
      </c>
    </row>
    <row r="156" spans="1:18" s="6" customFormat="1" ht="24" hidden="1" customHeight="1">
      <c r="A156" s="141">
        <v>9500</v>
      </c>
      <c r="B156" s="172" t="s">
        <v>165</v>
      </c>
      <c r="C156" s="170">
        <v>0</v>
      </c>
      <c r="D156" s="171">
        <v>0</v>
      </c>
      <c r="E156" s="233">
        <f>SUM(E157:E159)</f>
        <v>0</v>
      </c>
      <c r="F156" s="233">
        <f>SUM(F157:F159)</f>
        <v>0</v>
      </c>
      <c r="G156" s="233">
        <f>SUM(G157:G159)</f>
        <v>0</v>
      </c>
      <c r="H156" s="232">
        <f t="shared" si="14"/>
        <v>0</v>
      </c>
      <c r="I156" s="233">
        <v>0</v>
      </c>
      <c r="J156" s="233">
        <f>SUM(J157:J159)</f>
        <v>0</v>
      </c>
      <c r="K156" s="233">
        <f>SUM(K157:K159)</f>
        <v>0</v>
      </c>
      <c r="L156" s="233">
        <f>SUM(L157:L159)</f>
        <v>0</v>
      </c>
      <c r="M156" s="232">
        <f t="shared" si="15"/>
        <v>0</v>
      </c>
      <c r="N156" s="233">
        <v>0</v>
      </c>
      <c r="O156" s="233">
        <f>SUM(O157:O159)</f>
        <v>0</v>
      </c>
      <c r="P156" s="233">
        <f>SUM(P157:P159)</f>
        <v>0</v>
      </c>
      <c r="Q156" s="233">
        <f>SUM(Q157:Q159)</f>
        <v>0</v>
      </c>
      <c r="R156" s="232">
        <f t="shared" si="16"/>
        <v>0</v>
      </c>
    </row>
    <row r="157" spans="1:18" s="6" customFormat="1" ht="24" hidden="1" customHeight="1">
      <c r="A157" s="133" t="s">
        <v>193</v>
      </c>
      <c r="B157" s="172" t="s">
        <v>171</v>
      </c>
      <c r="C157" s="170"/>
      <c r="D157" s="171">
        <v>0</v>
      </c>
      <c r="E157" s="233"/>
      <c r="F157" s="233"/>
      <c r="G157" s="233"/>
      <c r="H157" s="232">
        <f t="shared" si="14"/>
        <v>0</v>
      </c>
      <c r="I157" s="233">
        <v>0</v>
      </c>
      <c r="J157" s="233"/>
      <c r="K157" s="233"/>
      <c r="L157" s="233"/>
      <c r="M157" s="232">
        <f t="shared" si="15"/>
        <v>0</v>
      </c>
      <c r="N157" s="233">
        <v>0</v>
      </c>
      <c r="O157" s="233"/>
      <c r="P157" s="233"/>
      <c r="Q157" s="233"/>
      <c r="R157" s="232">
        <f t="shared" si="16"/>
        <v>0</v>
      </c>
    </row>
    <row r="158" spans="1:18" s="6" customFormat="1" ht="48" hidden="1" customHeight="1">
      <c r="A158" s="133">
        <v>9580</v>
      </c>
      <c r="B158" s="172" t="s">
        <v>166</v>
      </c>
      <c r="C158" s="604"/>
      <c r="D158" s="619">
        <v>0</v>
      </c>
      <c r="E158" s="605"/>
      <c r="F158" s="605"/>
      <c r="G158" s="605"/>
      <c r="H158" s="232">
        <f t="shared" si="14"/>
        <v>0</v>
      </c>
      <c r="I158" s="605">
        <v>0</v>
      </c>
      <c r="J158" s="605"/>
      <c r="K158" s="605"/>
      <c r="L158" s="605"/>
      <c r="M158" s="232">
        <f t="shared" si="15"/>
        <v>0</v>
      </c>
      <c r="N158" s="605">
        <v>0</v>
      </c>
      <c r="O158" s="605"/>
      <c r="P158" s="605"/>
      <c r="Q158" s="605"/>
      <c r="R158" s="232">
        <f t="shared" si="16"/>
        <v>0</v>
      </c>
    </row>
    <row r="159" spans="1:18" s="6" customFormat="1" ht="48" hidden="1" customHeight="1">
      <c r="A159" s="133">
        <v>9590</v>
      </c>
      <c r="B159" s="179" t="s">
        <v>172</v>
      </c>
      <c r="C159" s="604"/>
      <c r="D159" s="619">
        <v>0</v>
      </c>
      <c r="E159" s="605"/>
      <c r="F159" s="605"/>
      <c r="G159" s="605"/>
      <c r="H159" s="232">
        <f t="shared" si="14"/>
        <v>0</v>
      </c>
      <c r="I159" s="605">
        <v>0</v>
      </c>
      <c r="J159" s="605"/>
      <c r="K159" s="605"/>
      <c r="L159" s="605"/>
      <c r="M159" s="232">
        <f t="shared" si="15"/>
        <v>0</v>
      </c>
      <c r="N159" s="605">
        <v>0</v>
      </c>
      <c r="O159" s="605"/>
      <c r="P159" s="605"/>
      <c r="Q159" s="605"/>
      <c r="R159" s="232">
        <f t="shared" si="16"/>
        <v>0</v>
      </c>
    </row>
    <row r="160" spans="1:18" s="6" customFormat="1" ht="24" hidden="1" customHeight="1">
      <c r="A160" s="141">
        <v>9700</v>
      </c>
      <c r="B160" s="183" t="s">
        <v>194</v>
      </c>
      <c r="C160" s="170">
        <v>0</v>
      </c>
      <c r="D160" s="171">
        <v>0</v>
      </c>
      <c r="E160" s="233">
        <f>SUM(E161:E162)</f>
        <v>0</v>
      </c>
      <c r="F160" s="233">
        <f>SUM(F161:F162)</f>
        <v>0</v>
      </c>
      <c r="G160" s="233">
        <f>SUM(G161:G162)</f>
        <v>0</v>
      </c>
      <c r="H160" s="232">
        <f t="shared" si="14"/>
        <v>0</v>
      </c>
      <c r="I160" s="233">
        <v>0</v>
      </c>
      <c r="J160" s="233">
        <f>SUM(J161:J162)</f>
        <v>0</v>
      </c>
      <c r="K160" s="233">
        <f>SUM(K161:K162)</f>
        <v>0</v>
      </c>
      <c r="L160" s="233">
        <f>SUM(L161:L162)</f>
        <v>0</v>
      </c>
      <c r="M160" s="232">
        <f t="shared" si="15"/>
        <v>0</v>
      </c>
      <c r="N160" s="233">
        <v>0</v>
      </c>
      <c r="O160" s="233">
        <f>SUM(O161:O162)</f>
        <v>0</v>
      </c>
      <c r="P160" s="233">
        <f>SUM(P161:P162)</f>
        <v>0</v>
      </c>
      <c r="Q160" s="233">
        <f>SUM(Q161:Q162)</f>
        <v>0</v>
      </c>
      <c r="R160" s="232">
        <f t="shared" si="16"/>
        <v>0</v>
      </c>
    </row>
    <row r="161" spans="1:18" s="6" customFormat="1" ht="24" hidden="1" customHeight="1">
      <c r="A161" s="133">
        <v>9710</v>
      </c>
      <c r="B161" s="184" t="s">
        <v>195</v>
      </c>
      <c r="C161" s="604"/>
      <c r="D161" s="619">
        <v>0</v>
      </c>
      <c r="E161" s="605"/>
      <c r="F161" s="605"/>
      <c r="G161" s="605"/>
      <c r="H161" s="232">
        <f t="shared" si="14"/>
        <v>0</v>
      </c>
      <c r="I161" s="605">
        <v>0</v>
      </c>
      <c r="J161" s="605"/>
      <c r="K161" s="605"/>
      <c r="L161" s="605"/>
      <c r="M161" s="232">
        <f t="shared" si="15"/>
        <v>0</v>
      </c>
      <c r="N161" s="605">
        <v>0</v>
      </c>
      <c r="O161" s="605"/>
      <c r="P161" s="605"/>
      <c r="Q161" s="605"/>
      <c r="R161" s="232">
        <f t="shared" si="16"/>
        <v>0</v>
      </c>
    </row>
    <row r="162" spans="1:18" s="6" customFormat="1" ht="48" hidden="1" customHeight="1">
      <c r="A162" s="142">
        <v>9720</v>
      </c>
      <c r="B162" s="183" t="s">
        <v>196</v>
      </c>
      <c r="C162" s="604"/>
      <c r="D162" s="619">
        <v>0</v>
      </c>
      <c r="E162" s="605"/>
      <c r="F162" s="605"/>
      <c r="G162" s="605"/>
      <c r="H162" s="232">
        <f t="shared" si="14"/>
        <v>0</v>
      </c>
      <c r="I162" s="605">
        <v>0</v>
      </c>
      <c r="J162" s="605"/>
      <c r="K162" s="605"/>
      <c r="L162" s="605"/>
      <c r="M162" s="232">
        <f t="shared" si="15"/>
        <v>0</v>
      </c>
      <c r="N162" s="605">
        <v>0</v>
      </c>
      <c r="O162" s="605"/>
      <c r="P162" s="605"/>
      <c r="Q162" s="605"/>
      <c r="R162" s="232">
        <f t="shared" si="16"/>
        <v>0</v>
      </c>
    </row>
    <row r="163" spans="1:18" s="6" customFormat="1" ht="24" hidden="1" customHeight="1">
      <c r="A163" s="141">
        <v>9600</v>
      </c>
      <c r="B163" s="179" t="s">
        <v>134</v>
      </c>
      <c r="C163" s="604"/>
      <c r="D163" s="619">
        <v>0</v>
      </c>
      <c r="E163" s="605"/>
      <c r="F163" s="605"/>
      <c r="G163" s="605"/>
      <c r="H163" s="232">
        <f t="shared" si="14"/>
        <v>0</v>
      </c>
      <c r="I163" s="605">
        <v>0</v>
      </c>
      <c r="J163" s="605"/>
      <c r="K163" s="605"/>
      <c r="L163" s="605"/>
      <c r="M163" s="232">
        <f t="shared" si="15"/>
        <v>0</v>
      </c>
      <c r="N163" s="605">
        <v>0</v>
      </c>
      <c r="O163" s="605"/>
      <c r="P163" s="605"/>
      <c r="Q163" s="605"/>
      <c r="R163" s="232">
        <f t="shared" si="16"/>
        <v>0</v>
      </c>
    </row>
    <row r="164" spans="1:18" s="6" customFormat="1" ht="52.5" hidden="1" customHeight="1">
      <c r="A164" s="130" t="s">
        <v>197</v>
      </c>
      <c r="B164" s="185" t="s">
        <v>47</v>
      </c>
      <c r="C164" s="206"/>
      <c r="D164" s="186">
        <v>0</v>
      </c>
      <c r="E164" s="262">
        <f>E94-E119</f>
        <v>0</v>
      </c>
      <c r="F164" s="262">
        <f>F94-F119</f>
        <v>0</v>
      </c>
      <c r="G164" s="262">
        <f>G94-G119</f>
        <v>0</v>
      </c>
      <c r="H164" s="232">
        <f t="shared" si="14"/>
        <v>0</v>
      </c>
      <c r="I164" s="262">
        <v>0</v>
      </c>
      <c r="J164" s="262">
        <f>J94-J119</f>
        <v>0</v>
      </c>
      <c r="K164" s="262">
        <f>K94-K119</f>
        <v>0</v>
      </c>
      <c r="L164" s="262">
        <f>L94-L119</f>
        <v>0</v>
      </c>
      <c r="M164" s="232">
        <f t="shared" si="15"/>
        <v>0</v>
      </c>
      <c r="N164" s="262">
        <v>0</v>
      </c>
      <c r="O164" s="262">
        <f>O94-O119</f>
        <v>0</v>
      </c>
      <c r="P164" s="262">
        <f>P94-P119</f>
        <v>0</v>
      </c>
      <c r="Q164" s="262">
        <f>Q94-Q119</f>
        <v>0</v>
      </c>
      <c r="R164" s="232">
        <f t="shared" si="16"/>
        <v>0</v>
      </c>
    </row>
    <row r="165" spans="1:18" s="6" customFormat="1" ht="12" hidden="1" customHeight="1">
      <c r="A165" s="143" t="s">
        <v>48</v>
      </c>
      <c r="B165" s="185" t="s">
        <v>49</v>
      </c>
      <c r="C165" s="206">
        <v>0</v>
      </c>
      <c r="D165" s="186">
        <v>0</v>
      </c>
      <c r="E165" s="262">
        <f>E166+E169+E173+E172</f>
        <v>0</v>
      </c>
      <c r="F165" s="262">
        <f>F166+F169+F173+F172</f>
        <v>0</v>
      </c>
      <c r="G165" s="262">
        <f>G166+G169+G173+G172</f>
        <v>0</v>
      </c>
      <c r="H165" s="232">
        <f t="shared" si="14"/>
        <v>0</v>
      </c>
      <c r="I165" s="262">
        <v>0</v>
      </c>
      <c r="J165" s="262">
        <f>J166+J169+J173+J172</f>
        <v>0</v>
      </c>
      <c r="K165" s="262">
        <f>K166+K169+K173+K172</f>
        <v>0</v>
      </c>
      <c r="L165" s="262">
        <f>L166+L169+L173+L172</f>
        <v>0</v>
      </c>
      <c r="M165" s="232">
        <f t="shared" si="15"/>
        <v>0</v>
      </c>
      <c r="N165" s="262">
        <v>0</v>
      </c>
      <c r="O165" s="262">
        <f>O166+O169+O173+O172</f>
        <v>0</v>
      </c>
      <c r="P165" s="262">
        <f>P166+P169+P173+P172</f>
        <v>0</v>
      </c>
      <c r="Q165" s="262">
        <f>Q166+Q169+Q173+Q172</f>
        <v>0</v>
      </c>
      <c r="R165" s="232">
        <f t="shared" si="16"/>
        <v>0</v>
      </c>
    </row>
    <row r="166" spans="1:18" s="6" customFormat="1" ht="12" hidden="1" customHeight="1">
      <c r="A166" s="141" t="s">
        <v>50</v>
      </c>
      <c r="B166" s="179" t="s">
        <v>51</v>
      </c>
      <c r="C166" s="98">
        <v>0</v>
      </c>
      <c r="D166" s="169">
        <v>0</v>
      </c>
      <c r="E166" s="231">
        <f>E167+E168</f>
        <v>0</v>
      </c>
      <c r="F166" s="231">
        <f>F167+F168</f>
        <v>0</v>
      </c>
      <c r="G166" s="231">
        <f>G167+G168</f>
        <v>0</v>
      </c>
      <c r="H166" s="232">
        <f t="shared" si="14"/>
        <v>0</v>
      </c>
      <c r="I166" s="231">
        <v>0</v>
      </c>
      <c r="J166" s="231">
        <f>J167+J168</f>
        <v>0</v>
      </c>
      <c r="K166" s="231">
        <f>K167+K168</f>
        <v>0</v>
      </c>
      <c r="L166" s="231">
        <f>L167+L168</f>
        <v>0</v>
      </c>
      <c r="M166" s="232">
        <f t="shared" si="15"/>
        <v>0</v>
      </c>
      <c r="N166" s="231">
        <v>0</v>
      </c>
      <c r="O166" s="231">
        <f>O167+O168</f>
        <v>0</v>
      </c>
      <c r="P166" s="231">
        <f>P167+P168</f>
        <v>0</v>
      </c>
      <c r="Q166" s="231">
        <f>Q167+Q168</f>
        <v>0</v>
      </c>
      <c r="R166" s="232">
        <f t="shared" si="16"/>
        <v>0</v>
      </c>
    </row>
    <row r="167" spans="1:18" s="6" customFormat="1" ht="12" hidden="1" customHeight="1">
      <c r="A167" s="141" t="s">
        <v>52</v>
      </c>
      <c r="B167" s="179" t="s">
        <v>53</v>
      </c>
      <c r="C167" s="98"/>
      <c r="D167" s="169">
        <v>0</v>
      </c>
      <c r="E167" s="231"/>
      <c r="F167" s="231"/>
      <c r="G167" s="231"/>
      <c r="H167" s="232">
        <f t="shared" si="14"/>
        <v>0</v>
      </c>
      <c r="I167" s="231">
        <v>0</v>
      </c>
      <c r="J167" s="231"/>
      <c r="K167" s="231"/>
      <c r="L167" s="231"/>
      <c r="M167" s="232">
        <f t="shared" si="15"/>
        <v>0</v>
      </c>
      <c r="N167" s="231">
        <v>0</v>
      </c>
      <c r="O167" s="231"/>
      <c r="P167" s="231"/>
      <c r="Q167" s="231"/>
      <c r="R167" s="232">
        <f t="shared" si="16"/>
        <v>0</v>
      </c>
    </row>
    <row r="168" spans="1:18" s="6" customFormat="1" ht="12" hidden="1" customHeight="1">
      <c r="A168" s="141" t="s">
        <v>54</v>
      </c>
      <c r="B168" s="179" t="s">
        <v>55</v>
      </c>
      <c r="C168" s="98"/>
      <c r="D168" s="169">
        <v>0</v>
      </c>
      <c r="E168" s="231"/>
      <c r="F168" s="231"/>
      <c r="G168" s="231"/>
      <c r="H168" s="232">
        <f t="shared" si="14"/>
        <v>0</v>
      </c>
      <c r="I168" s="231">
        <v>0</v>
      </c>
      <c r="J168" s="231"/>
      <c r="K168" s="231"/>
      <c r="L168" s="231"/>
      <c r="M168" s="232">
        <f t="shared" si="15"/>
        <v>0</v>
      </c>
      <c r="N168" s="231">
        <v>0</v>
      </c>
      <c r="O168" s="231"/>
      <c r="P168" s="231"/>
      <c r="Q168" s="231"/>
      <c r="R168" s="232">
        <f t="shared" si="16"/>
        <v>0</v>
      </c>
    </row>
    <row r="169" spans="1:18" s="6" customFormat="1" ht="12" hidden="1" customHeight="1">
      <c r="A169" s="141" t="s">
        <v>56</v>
      </c>
      <c r="B169" s="179" t="s">
        <v>57</v>
      </c>
      <c r="C169" s="98">
        <v>0</v>
      </c>
      <c r="D169" s="169">
        <v>0</v>
      </c>
      <c r="E169" s="231">
        <f>E170+E171</f>
        <v>0</v>
      </c>
      <c r="F169" s="231">
        <f>F170+F171</f>
        <v>0</v>
      </c>
      <c r="G169" s="231">
        <f>G170+G171</f>
        <v>0</v>
      </c>
      <c r="H169" s="232">
        <f t="shared" si="14"/>
        <v>0</v>
      </c>
      <c r="I169" s="231">
        <v>0</v>
      </c>
      <c r="J169" s="231">
        <f>J170+J171</f>
        <v>0</v>
      </c>
      <c r="K169" s="231">
        <f>K170+K171</f>
        <v>0</v>
      </c>
      <c r="L169" s="231">
        <f>L170+L171</f>
        <v>0</v>
      </c>
      <c r="M169" s="232">
        <f t="shared" si="15"/>
        <v>0</v>
      </c>
      <c r="N169" s="231">
        <v>0</v>
      </c>
      <c r="O169" s="231">
        <f>O170+O171</f>
        <v>0</v>
      </c>
      <c r="P169" s="231">
        <f>P170+P171</f>
        <v>0</v>
      </c>
      <c r="Q169" s="231">
        <f>Q170+Q171</f>
        <v>0</v>
      </c>
      <c r="R169" s="232">
        <f t="shared" si="16"/>
        <v>0</v>
      </c>
    </row>
    <row r="170" spans="1:18" s="6" customFormat="1" ht="12" hidden="1" customHeight="1">
      <c r="A170" s="141" t="s">
        <v>58</v>
      </c>
      <c r="B170" s="179" t="s">
        <v>59</v>
      </c>
      <c r="C170" s="98"/>
      <c r="D170" s="169">
        <v>0</v>
      </c>
      <c r="E170" s="231"/>
      <c r="F170" s="231"/>
      <c r="G170" s="231"/>
      <c r="H170" s="232">
        <f t="shared" si="14"/>
        <v>0</v>
      </c>
      <c r="I170" s="231">
        <v>0</v>
      </c>
      <c r="J170" s="231"/>
      <c r="K170" s="231"/>
      <c r="L170" s="231"/>
      <c r="M170" s="232">
        <f t="shared" si="15"/>
        <v>0</v>
      </c>
      <c r="N170" s="231">
        <v>0</v>
      </c>
      <c r="O170" s="231"/>
      <c r="P170" s="231"/>
      <c r="Q170" s="231"/>
      <c r="R170" s="232">
        <f t="shared" si="16"/>
        <v>0</v>
      </c>
    </row>
    <row r="171" spans="1:18" s="6" customFormat="1" ht="12" hidden="1" customHeight="1">
      <c r="A171" s="141" t="s">
        <v>60</v>
      </c>
      <c r="B171" s="179" t="s">
        <v>61</v>
      </c>
      <c r="C171" s="98"/>
      <c r="D171" s="169">
        <v>0</v>
      </c>
      <c r="E171" s="231"/>
      <c r="F171" s="231"/>
      <c r="G171" s="231"/>
      <c r="H171" s="232">
        <f t="shared" si="14"/>
        <v>0</v>
      </c>
      <c r="I171" s="231">
        <v>0</v>
      </c>
      <c r="J171" s="231"/>
      <c r="K171" s="231"/>
      <c r="L171" s="231"/>
      <c r="M171" s="232">
        <f t="shared" si="15"/>
        <v>0</v>
      </c>
      <c r="N171" s="231">
        <v>0</v>
      </c>
      <c r="O171" s="231"/>
      <c r="P171" s="231"/>
      <c r="Q171" s="231"/>
      <c r="R171" s="232">
        <f t="shared" si="16"/>
        <v>0</v>
      </c>
    </row>
    <row r="172" spans="1:18" s="6" customFormat="1" ht="12" hidden="1" customHeight="1">
      <c r="A172" s="141" t="s">
        <v>198</v>
      </c>
      <c r="B172" s="187" t="s">
        <v>168</v>
      </c>
      <c r="C172" s="98"/>
      <c r="D172" s="169">
        <v>0</v>
      </c>
      <c r="E172" s="231"/>
      <c r="F172" s="231"/>
      <c r="G172" s="231"/>
      <c r="H172" s="232">
        <f t="shared" si="14"/>
        <v>0</v>
      </c>
      <c r="I172" s="231">
        <v>0</v>
      </c>
      <c r="J172" s="231"/>
      <c r="K172" s="231"/>
      <c r="L172" s="231"/>
      <c r="M172" s="232">
        <f t="shared" si="15"/>
        <v>0</v>
      </c>
      <c r="N172" s="231">
        <v>0</v>
      </c>
      <c r="O172" s="231"/>
      <c r="P172" s="231"/>
      <c r="Q172" s="231"/>
      <c r="R172" s="232">
        <f t="shared" si="16"/>
        <v>0</v>
      </c>
    </row>
    <row r="173" spans="1:18" s="6" customFormat="1" ht="12" hidden="1" customHeight="1">
      <c r="A173" s="144" t="s">
        <v>62</v>
      </c>
      <c r="B173" s="125" t="s">
        <v>63</v>
      </c>
      <c r="C173" s="170">
        <v>0</v>
      </c>
      <c r="D173" s="171">
        <v>0</v>
      </c>
      <c r="E173" s="233">
        <f>E174+E175+E176</f>
        <v>0</v>
      </c>
      <c r="F173" s="233">
        <f>F174+F175+F176</f>
        <v>0</v>
      </c>
      <c r="G173" s="233">
        <f>G174+G175+G176</f>
        <v>0</v>
      </c>
      <c r="H173" s="232">
        <f t="shared" si="14"/>
        <v>0</v>
      </c>
      <c r="I173" s="233">
        <v>0</v>
      </c>
      <c r="J173" s="233">
        <f>J174+J175+J176</f>
        <v>0</v>
      </c>
      <c r="K173" s="233">
        <f>K174+K175+K176</f>
        <v>0</v>
      </c>
      <c r="L173" s="233">
        <f>L174+L175+L176</f>
        <v>0</v>
      </c>
      <c r="M173" s="232">
        <f t="shared" si="15"/>
        <v>0</v>
      </c>
      <c r="N173" s="233">
        <v>0</v>
      </c>
      <c r="O173" s="233">
        <f>O174+O175+O176</f>
        <v>0</v>
      </c>
      <c r="P173" s="233">
        <f>P174+P175+P176</f>
        <v>0</v>
      </c>
      <c r="Q173" s="233">
        <f>Q174+Q175+Q176</f>
        <v>0</v>
      </c>
      <c r="R173" s="232">
        <f t="shared" si="16"/>
        <v>0</v>
      </c>
    </row>
    <row r="174" spans="1:18" s="6" customFormat="1" ht="36" hidden="1" customHeight="1">
      <c r="A174" s="144" t="s">
        <v>64</v>
      </c>
      <c r="B174" s="179" t="s">
        <v>65</v>
      </c>
      <c r="C174" s="98"/>
      <c r="D174" s="169">
        <v>0</v>
      </c>
      <c r="E174" s="231"/>
      <c r="F174" s="231"/>
      <c r="G174" s="231"/>
      <c r="H174" s="232">
        <f t="shared" si="14"/>
        <v>0</v>
      </c>
      <c r="I174" s="231">
        <v>0</v>
      </c>
      <c r="J174" s="231"/>
      <c r="K174" s="231"/>
      <c r="L174" s="231"/>
      <c r="M174" s="232">
        <f t="shared" si="15"/>
        <v>0</v>
      </c>
      <c r="N174" s="231">
        <v>0</v>
      </c>
      <c r="O174" s="231"/>
      <c r="P174" s="231"/>
      <c r="Q174" s="231"/>
      <c r="R174" s="232">
        <f t="shared" si="16"/>
        <v>0</v>
      </c>
    </row>
    <row r="175" spans="1:18" s="6" customFormat="1" ht="24" hidden="1" customHeight="1">
      <c r="A175" s="144" t="s">
        <v>66</v>
      </c>
      <c r="B175" s="179" t="s">
        <v>67</v>
      </c>
      <c r="C175" s="98"/>
      <c r="D175" s="169">
        <v>0</v>
      </c>
      <c r="E175" s="231"/>
      <c r="F175" s="231"/>
      <c r="G175" s="231"/>
      <c r="H175" s="232">
        <f t="shared" si="14"/>
        <v>0</v>
      </c>
      <c r="I175" s="231">
        <v>0</v>
      </c>
      <c r="J175" s="231"/>
      <c r="K175" s="231"/>
      <c r="L175" s="231"/>
      <c r="M175" s="232">
        <f t="shared" si="15"/>
        <v>0</v>
      </c>
      <c r="N175" s="231">
        <v>0</v>
      </c>
      <c r="O175" s="231"/>
      <c r="P175" s="231"/>
      <c r="Q175" s="231"/>
      <c r="R175" s="232">
        <f t="shared" si="16"/>
        <v>0</v>
      </c>
    </row>
    <row r="176" spans="1:18" s="6" customFormat="1" ht="24" hidden="1" customHeight="1">
      <c r="A176" s="144" t="s">
        <v>68</v>
      </c>
      <c r="B176" s="125" t="s">
        <v>69</v>
      </c>
      <c r="C176" s="98"/>
      <c r="D176" s="169">
        <v>0</v>
      </c>
      <c r="E176" s="231"/>
      <c r="F176" s="231"/>
      <c r="G176" s="231"/>
      <c r="H176" s="232">
        <f t="shared" si="14"/>
        <v>0</v>
      </c>
      <c r="I176" s="231">
        <v>0</v>
      </c>
      <c r="J176" s="231"/>
      <c r="K176" s="231"/>
      <c r="L176" s="231"/>
      <c r="M176" s="232">
        <f t="shared" si="15"/>
        <v>0</v>
      </c>
      <c r="N176" s="231">
        <v>0</v>
      </c>
      <c r="O176" s="231"/>
      <c r="P176" s="231"/>
      <c r="Q176" s="231"/>
      <c r="R176" s="232">
        <f t="shared" si="16"/>
        <v>0</v>
      </c>
    </row>
    <row r="177" spans="1:18" s="6" customFormat="1" ht="34.200000000000003">
      <c r="A177" s="607"/>
      <c r="B177" s="608" t="s">
        <v>200</v>
      </c>
      <c r="C177" s="609"/>
      <c r="D177" s="620">
        <v>0</v>
      </c>
      <c r="E177" s="612"/>
      <c r="F177" s="612"/>
      <c r="G177" s="612"/>
      <c r="H177" s="613">
        <f t="shared" si="14"/>
        <v>0</v>
      </c>
      <c r="I177" s="611">
        <v>0</v>
      </c>
      <c r="J177" s="612"/>
      <c r="K177" s="612"/>
      <c r="L177" s="612"/>
      <c r="M177" s="613">
        <f t="shared" si="15"/>
        <v>0</v>
      </c>
      <c r="N177" s="611">
        <v>0</v>
      </c>
      <c r="O177" s="612"/>
      <c r="P177" s="612"/>
      <c r="Q177" s="612"/>
      <c r="R177" s="613">
        <f t="shared" si="16"/>
        <v>0</v>
      </c>
    </row>
    <row r="178" spans="1:18" s="6" customFormat="1" ht="20.399999999999999">
      <c r="A178" s="597" t="s">
        <v>201</v>
      </c>
      <c r="B178" s="598" t="s">
        <v>88</v>
      </c>
      <c r="C178" s="599">
        <v>2914371</v>
      </c>
      <c r="D178" s="617">
        <v>1160596</v>
      </c>
      <c r="E178" s="600">
        <f>E179+E180+E182+E200</f>
        <v>0</v>
      </c>
      <c r="F178" s="600">
        <f>F179+F180+F182+F200</f>
        <v>0</v>
      </c>
      <c r="G178" s="600">
        <f>G179+G180+G182+G200</f>
        <v>0</v>
      </c>
      <c r="H178" s="601">
        <f t="shared" si="14"/>
        <v>1160596</v>
      </c>
      <c r="I178" s="600">
        <v>458680</v>
      </c>
      <c r="J178" s="600">
        <f>J179+J180+J182+J200</f>
        <v>0</v>
      </c>
      <c r="K178" s="600">
        <f>K179+K180+K182+K200</f>
        <v>0</v>
      </c>
      <c r="L178" s="600">
        <f>L179+L180+L182+L200</f>
        <v>0</v>
      </c>
      <c r="M178" s="601">
        <f t="shared" si="15"/>
        <v>458680</v>
      </c>
      <c r="N178" s="600">
        <v>0</v>
      </c>
      <c r="O178" s="600">
        <f>O179+O180+O182+O200</f>
        <v>0</v>
      </c>
      <c r="P178" s="600">
        <f>P179+P180+P182+P200</f>
        <v>0</v>
      </c>
      <c r="Q178" s="600">
        <f>Q179+Q180+Q182+Q200</f>
        <v>0</v>
      </c>
      <c r="R178" s="601">
        <f t="shared" si="16"/>
        <v>0</v>
      </c>
    </row>
    <row r="179" spans="1:18" s="6" customFormat="1" ht="24" hidden="1" customHeight="1">
      <c r="A179" s="130" t="s">
        <v>177</v>
      </c>
      <c r="B179" s="124" t="s">
        <v>90</v>
      </c>
      <c r="C179" s="98"/>
      <c r="D179" s="169">
        <v>0</v>
      </c>
      <c r="E179" s="231"/>
      <c r="F179" s="231"/>
      <c r="G179" s="231"/>
      <c r="H179" s="232">
        <f t="shared" si="14"/>
        <v>0</v>
      </c>
      <c r="I179" s="231">
        <v>0</v>
      </c>
      <c r="J179" s="231"/>
      <c r="K179" s="231"/>
      <c r="L179" s="231"/>
      <c r="M179" s="232">
        <f t="shared" si="15"/>
        <v>0</v>
      </c>
      <c r="N179" s="231">
        <v>0</v>
      </c>
      <c r="O179" s="231"/>
      <c r="P179" s="231"/>
      <c r="Q179" s="231"/>
      <c r="R179" s="232">
        <f t="shared" si="16"/>
        <v>0</v>
      </c>
    </row>
    <row r="180" spans="1:18" s="6" customFormat="1" ht="12" hidden="1" customHeight="1">
      <c r="A180" s="130" t="s">
        <v>91</v>
      </c>
      <c r="B180" s="124" t="s">
        <v>92</v>
      </c>
      <c r="C180" s="98"/>
      <c r="D180" s="169">
        <v>0</v>
      </c>
      <c r="E180" s="231"/>
      <c r="F180" s="231"/>
      <c r="G180" s="231"/>
      <c r="H180" s="232">
        <f t="shared" si="14"/>
        <v>0</v>
      </c>
      <c r="I180" s="231">
        <v>0</v>
      </c>
      <c r="J180" s="231"/>
      <c r="K180" s="231"/>
      <c r="L180" s="231"/>
      <c r="M180" s="232">
        <f t="shared" si="15"/>
        <v>0</v>
      </c>
      <c r="N180" s="231">
        <v>0</v>
      </c>
      <c r="O180" s="231"/>
      <c r="P180" s="231"/>
      <c r="Q180" s="231"/>
      <c r="R180" s="232">
        <f t="shared" si="16"/>
        <v>0</v>
      </c>
    </row>
    <row r="181" spans="1:18" s="29" customFormat="1" ht="24" hidden="1" customHeight="1">
      <c r="A181" s="131">
        <v>21210</v>
      </c>
      <c r="B181" s="125" t="s">
        <v>93</v>
      </c>
      <c r="C181" s="98"/>
      <c r="D181" s="169">
        <v>0</v>
      </c>
      <c r="E181" s="231"/>
      <c r="F181" s="231"/>
      <c r="G181" s="231"/>
      <c r="H181" s="232">
        <f t="shared" si="14"/>
        <v>0</v>
      </c>
      <c r="I181" s="231">
        <v>0</v>
      </c>
      <c r="J181" s="231"/>
      <c r="K181" s="231"/>
      <c r="L181" s="231"/>
      <c r="M181" s="232">
        <f t="shared" si="15"/>
        <v>0</v>
      </c>
      <c r="N181" s="231">
        <v>0</v>
      </c>
      <c r="O181" s="231"/>
      <c r="P181" s="231"/>
      <c r="Q181" s="231"/>
      <c r="R181" s="232">
        <f t="shared" si="16"/>
        <v>0</v>
      </c>
    </row>
    <row r="182" spans="1:18" s="89" customFormat="1" ht="21" hidden="1" customHeight="1">
      <c r="A182" s="130" t="s">
        <v>178</v>
      </c>
      <c r="B182" s="124" t="s">
        <v>94</v>
      </c>
      <c r="C182" s="170">
        <v>0</v>
      </c>
      <c r="D182" s="171">
        <v>0</v>
      </c>
      <c r="E182" s="233">
        <f>E183+E189</f>
        <v>0</v>
      </c>
      <c r="F182" s="233">
        <f>F183+F189</f>
        <v>0</v>
      </c>
      <c r="G182" s="233">
        <f>G183+G189</f>
        <v>0</v>
      </c>
      <c r="H182" s="232">
        <f t="shared" si="14"/>
        <v>0</v>
      </c>
      <c r="I182" s="233">
        <v>0</v>
      </c>
      <c r="J182" s="233">
        <f>J183+J189</f>
        <v>0</v>
      </c>
      <c r="K182" s="233">
        <f>K183+K189</f>
        <v>0</v>
      </c>
      <c r="L182" s="233">
        <f>L183+L189</f>
        <v>0</v>
      </c>
      <c r="M182" s="232">
        <f t="shared" si="15"/>
        <v>0</v>
      </c>
      <c r="N182" s="233">
        <v>0</v>
      </c>
      <c r="O182" s="233">
        <f>O183+O189</f>
        <v>0</v>
      </c>
      <c r="P182" s="233">
        <f>P183+P189</f>
        <v>0</v>
      </c>
      <c r="Q182" s="233">
        <f>Q183+Q189</f>
        <v>0</v>
      </c>
      <c r="R182" s="232">
        <f t="shared" si="16"/>
        <v>0</v>
      </c>
    </row>
    <row r="183" spans="1:18" s="89" customFormat="1" ht="12" hidden="1" customHeight="1">
      <c r="A183" s="132">
        <v>18000</v>
      </c>
      <c r="B183" s="125" t="s">
        <v>95</v>
      </c>
      <c r="C183" s="170">
        <v>0</v>
      </c>
      <c r="D183" s="171">
        <v>0</v>
      </c>
      <c r="E183" s="233">
        <f t="shared" ref="E183:L184" si="17">E184</f>
        <v>0</v>
      </c>
      <c r="F183" s="233">
        <f t="shared" si="17"/>
        <v>0</v>
      </c>
      <c r="G183" s="233">
        <f t="shared" si="17"/>
        <v>0</v>
      </c>
      <c r="H183" s="232">
        <f t="shared" si="14"/>
        <v>0</v>
      </c>
      <c r="I183" s="233">
        <v>0</v>
      </c>
      <c r="J183" s="233">
        <f t="shared" si="17"/>
        <v>0</v>
      </c>
      <c r="K183" s="233">
        <f t="shared" si="17"/>
        <v>0</v>
      </c>
      <c r="L183" s="233">
        <f t="shared" si="17"/>
        <v>0</v>
      </c>
      <c r="M183" s="232">
        <f t="shared" si="15"/>
        <v>0</v>
      </c>
      <c r="N183" s="233">
        <v>0</v>
      </c>
      <c r="O183" s="233">
        <f t="shared" ref="O183:Q184" si="18">O184</f>
        <v>0</v>
      </c>
      <c r="P183" s="233">
        <f t="shared" si="18"/>
        <v>0</v>
      </c>
      <c r="Q183" s="233">
        <f t="shared" si="18"/>
        <v>0</v>
      </c>
      <c r="R183" s="232">
        <f t="shared" si="16"/>
        <v>0</v>
      </c>
    </row>
    <row r="184" spans="1:18" s="89" customFormat="1" ht="12" hidden="1" customHeight="1">
      <c r="A184" s="132">
        <v>18100</v>
      </c>
      <c r="B184" s="125" t="s">
        <v>96</v>
      </c>
      <c r="C184" s="170">
        <v>0</v>
      </c>
      <c r="D184" s="171">
        <v>0</v>
      </c>
      <c r="E184" s="233">
        <f t="shared" si="17"/>
        <v>0</v>
      </c>
      <c r="F184" s="233">
        <f t="shared" si="17"/>
        <v>0</v>
      </c>
      <c r="G184" s="233">
        <f t="shared" si="17"/>
        <v>0</v>
      </c>
      <c r="H184" s="232">
        <f t="shared" si="14"/>
        <v>0</v>
      </c>
      <c r="I184" s="233">
        <v>0</v>
      </c>
      <c r="J184" s="233">
        <f t="shared" si="17"/>
        <v>0</v>
      </c>
      <c r="K184" s="233">
        <f t="shared" si="17"/>
        <v>0</v>
      </c>
      <c r="L184" s="233">
        <f t="shared" si="17"/>
        <v>0</v>
      </c>
      <c r="M184" s="232">
        <f t="shared" si="15"/>
        <v>0</v>
      </c>
      <c r="N184" s="233">
        <v>0</v>
      </c>
      <c r="O184" s="233">
        <f t="shared" si="18"/>
        <v>0</v>
      </c>
      <c r="P184" s="233">
        <f t="shared" si="18"/>
        <v>0</v>
      </c>
      <c r="Q184" s="233">
        <f t="shared" si="18"/>
        <v>0</v>
      </c>
      <c r="R184" s="232">
        <f t="shared" si="16"/>
        <v>0</v>
      </c>
    </row>
    <row r="185" spans="1:18" s="89" customFormat="1" ht="24" hidden="1" customHeight="1">
      <c r="A185" s="133">
        <v>18130</v>
      </c>
      <c r="B185" s="172" t="s">
        <v>159</v>
      </c>
      <c r="C185" s="170">
        <v>0</v>
      </c>
      <c r="D185" s="171">
        <v>0</v>
      </c>
      <c r="E185" s="233">
        <f>SUM(E186:E188)</f>
        <v>0</v>
      </c>
      <c r="F185" s="233">
        <f>SUM(F186:F188)</f>
        <v>0</v>
      </c>
      <c r="G185" s="233">
        <f>SUM(G186:G188)</f>
        <v>0</v>
      </c>
      <c r="H185" s="232">
        <f t="shared" si="14"/>
        <v>0</v>
      </c>
      <c r="I185" s="233">
        <v>0</v>
      </c>
      <c r="J185" s="233">
        <f>SUM(J186:J188)</f>
        <v>0</v>
      </c>
      <c r="K185" s="233">
        <f>SUM(K186:K188)</f>
        <v>0</v>
      </c>
      <c r="L185" s="233">
        <f>SUM(L186:L188)</f>
        <v>0</v>
      </c>
      <c r="M185" s="232">
        <f t="shared" si="15"/>
        <v>0</v>
      </c>
      <c r="N185" s="233">
        <v>0</v>
      </c>
      <c r="O185" s="233">
        <f>SUM(O186:O188)</f>
        <v>0</v>
      </c>
      <c r="P185" s="233">
        <f>SUM(P186:P188)</f>
        <v>0</v>
      </c>
      <c r="Q185" s="233">
        <f>SUM(Q186:Q188)</f>
        <v>0</v>
      </c>
      <c r="R185" s="232">
        <f t="shared" si="16"/>
        <v>0</v>
      </c>
    </row>
    <row r="186" spans="1:18" s="89" customFormat="1" ht="36" hidden="1" customHeight="1">
      <c r="A186" s="134">
        <v>18131</v>
      </c>
      <c r="B186" s="172" t="s">
        <v>160</v>
      </c>
      <c r="C186" s="170"/>
      <c r="D186" s="171">
        <v>0</v>
      </c>
      <c r="E186" s="233"/>
      <c r="F186" s="233"/>
      <c r="G186" s="233"/>
      <c r="H186" s="232">
        <f t="shared" si="14"/>
        <v>0</v>
      </c>
      <c r="I186" s="233">
        <v>0</v>
      </c>
      <c r="J186" s="233"/>
      <c r="K186" s="233"/>
      <c r="L186" s="233"/>
      <c r="M186" s="232">
        <f t="shared" si="15"/>
        <v>0</v>
      </c>
      <c r="N186" s="233">
        <v>0</v>
      </c>
      <c r="O186" s="233"/>
      <c r="P186" s="233"/>
      <c r="Q186" s="233"/>
      <c r="R186" s="232">
        <f t="shared" si="16"/>
        <v>0</v>
      </c>
    </row>
    <row r="187" spans="1:18" s="89" customFormat="1" ht="24" hidden="1" customHeight="1">
      <c r="A187" s="134">
        <v>18132</v>
      </c>
      <c r="B187" s="172" t="s">
        <v>169</v>
      </c>
      <c r="C187" s="170"/>
      <c r="D187" s="171">
        <v>0</v>
      </c>
      <c r="E187" s="233"/>
      <c r="F187" s="233"/>
      <c r="G187" s="233"/>
      <c r="H187" s="232">
        <f t="shared" si="14"/>
        <v>0</v>
      </c>
      <c r="I187" s="233">
        <v>0</v>
      </c>
      <c r="J187" s="233"/>
      <c r="K187" s="233"/>
      <c r="L187" s="233"/>
      <c r="M187" s="232">
        <f t="shared" si="15"/>
        <v>0</v>
      </c>
      <c r="N187" s="233">
        <v>0</v>
      </c>
      <c r="O187" s="233"/>
      <c r="P187" s="233"/>
      <c r="Q187" s="233"/>
      <c r="R187" s="232">
        <f t="shared" si="16"/>
        <v>0</v>
      </c>
    </row>
    <row r="188" spans="1:18" s="89" customFormat="1" ht="24" hidden="1" customHeight="1">
      <c r="A188" s="134">
        <v>18139</v>
      </c>
      <c r="B188" s="172" t="s">
        <v>179</v>
      </c>
      <c r="C188" s="170"/>
      <c r="D188" s="171">
        <v>0</v>
      </c>
      <c r="E188" s="233"/>
      <c r="F188" s="233"/>
      <c r="G188" s="233"/>
      <c r="H188" s="232">
        <f t="shared" si="14"/>
        <v>0</v>
      </c>
      <c r="I188" s="233">
        <v>0</v>
      </c>
      <c r="J188" s="233"/>
      <c r="K188" s="233"/>
      <c r="L188" s="233"/>
      <c r="M188" s="232">
        <f t="shared" si="15"/>
        <v>0</v>
      </c>
      <c r="N188" s="233">
        <v>0</v>
      </c>
      <c r="O188" s="233"/>
      <c r="P188" s="233"/>
      <c r="Q188" s="233"/>
      <c r="R188" s="232">
        <f t="shared" si="16"/>
        <v>0</v>
      </c>
    </row>
    <row r="189" spans="1:18" s="89" customFormat="1" ht="12" hidden="1" customHeight="1">
      <c r="A189" s="135" t="s">
        <v>180</v>
      </c>
      <c r="B189" s="173" t="s">
        <v>173</v>
      </c>
      <c r="C189" s="201">
        <v>0</v>
      </c>
      <c r="D189" s="174">
        <v>0</v>
      </c>
      <c r="E189" s="238">
        <f t="shared" ref="E189:L189" si="19">E190</f>
        <v>0</v>
      </c>
      <c r="F189" s="238">
        <f t="shared" si="19"/>
        <v>0</v>
      </c>
      <c r="G189" s="238">
        <f t="shared" si="19"/>
        <v>0</v>
      </c>
      <c r="H189" s="232">
        <f t="shared" si="14"/>
        <v>0</v>
      </c>
      <c r="I189" s="238">
        <v>0</v>
      </c>
      <c r="J189" s="238">
        <f t="shared" si="19"/>
        <v>0</v>
      </c>
      <c r="K189" s="238">
        <f t="shared" si="19"/>
        <v>0</v>
      </c>
      <c r="L189" s="238">
        <f t="shared" si="19"/>
        <v>0</v>
      </c>
      <c r="M189" s="232">
        <f t="shared" si="15"/>
        <v>0</v>
      </c>
      <c r="N189" s="238">
        <v>0</v>
      </c>
      <c r="O189" s="238">
        <f>O190</f>
        <v>0</v>
      </c>
      <c r="P189" s="238">
        <f>P190</f>
        <v>0</v>
      </c>
      <c r="Q189" s="238">
        <f>Q190</f>
        <v>0</v>
      </c>
      <c r="R189" s="232">
        <f t="shared" si="16"/>
        <v>0</v>
      </c>
    </row>
    <row r="190" spans="1:18" s="89" customFormat="1" ht="24" hidden="1" customHeight="1">
      <c r="A190" s="135">
        <v>19500</v>
      </c>
      <c r="B190" s="172" t="s">
        <v>174</v>
      </c>
      <c r="C190" s="170">
        <v>0</v>
      </c>
      <c r="D190" s="171">
        <v>0</v>
      </c>
      <c r="E190" s="233">
        <f>SUM(E191:E193)</f>
        <v>0</v>
      </c>
      <c r="F190" s="233">
        <f>SUM(F191:F193)</f>
        <v>0</v>
      </c>
      <c r="G190" s="233">
        <f>SUM(G191:G193)</f>
        <v>0</v>
      </c>
      <c r="H190" s="232">
        <f t="shared" si="14"/>
        <v>0</v>
      </c>
      <c r="I190" s="233">
        <v>0</v>
      </c>
      <c r="J190" s="233">
        <f>SUM(J191:J193)</f>
        <v>0</v>
      </c>
      <c r="K190" s="233">
        <f>SUM(K191:K193)</f>
        <v>0</v>
      </c>
      <c r="L190" s="233">
        <f>SUM(L191:L193)</f>
        <v>0</v>
      </c>
      <c r="M190" s="232">
        <f t="shared" si="15"/>
        <v>0</v>
      </c>
      <c r="N190" s="233">
        <v>0</v>
      </c>
      <c r="O190" s="233">
        <f>SUM(O191:O193)</f>
        <v>0</v>
      </c>
      <c r="P190" s="233">
        <f>SUM(P191:P193)</f>
        <v>0</v>
      </c>
      <c r="Q190" s="233">
        <f>SUM(Q191:Q193)</f>
        <v>0</v>
      </c>
      <c r="R190" s="232">
        <f t="shared" si="16"/>
        <v>0</v>
      </c>
    </row>
    <row r="191" spans="1:18" s="89" customFormat="1" ht="24" hidden="1" customHeight="1">
      <c r="A191" s="136">
        <v>19550</v>
      </c>
      <c r="B191" s="172" t="s">
        <v>175</v>
      </c>
      <c r="C191" s="170"/>
      <c r="D191" s="171">
        <v>0</v>
      </c>
      <c r="E191" s="233"/>
      <c r="F191" s="233"/>
      <c r="G191" s="233"/>
      <c r="H191" s="232">
        <f t="shared" si="14"/>
        <v>0</v>
      </c>
      <c r="I191" s="233">
        <v>0</v>
      </c>
      <c r="J191" s="233"/>
      <c r="K191" s="233"/>
      <c r="L191" s="233"/>
      <c r="M191" s="232">
        <f t="shared" si="15"/>
        <v>0</v>
      </c>
      <c r="N191" s="233">
        <v>0</v>
      </c>
      <c r="O191" s="233"/>
      <c r="P191" s="233"/>
      <c r="Q191" s="233"/>
      <c r="R191" s="232">
        <f t="shared" si="16"/>
        <v>0</v>
      </c>
    </row>
    <row r="192" spans="1:18" s="89" customFormat="1" ht="36" hidden="1" customHeight="1">
      <c r="A192" s="136">
        <v>19560</v>
      </c>
      <c r="B192" s="172" t="s">
        <v>181</v>
      </c>
      <c r="C192" s="170"/>
      <c r="D192" s="171">
        <v>0</v>
      </c>
      <c r="E192" s="233"/>
      <c r="F192" s="233"/>
      <c r="G192" s="233"/>
      <c r="H192" s="232">
        <f t="shared" si="14"/>
        <v>0</v>
      </c>
      <c r="I192" s="233">
        <v>0</v>
      </c>
      <c r="J192" s="233"/>
      <c r="K192" s="233"/>
      <c r="L192" s="233"/>
      <c r="M192" s="232">
        <f t="shared" si="15"/>
        <v>0</v>
      </c>
      <c r="N192" s="233">
        <v>0</v>
      </c>
      <c r="O192" s="233"/>
      <c r="P192" s="233"/>
      <c r="Q192" s="233"/>
      <c r="R192" s="232">
        <f t="shared" si="16"/>
        <v>0</v>
      </c>
    </row>
    <row r="193" spans="1:18" s="89" customFormat="1" ht="72" hidden="1" customHeight="1">
      <c r="A193" s="136">
        <v>19570</v>
      </c>
      <c r="B193" s="172" t="s">
        <v>182</v>
      </c>
      <c r="C193" s="170"/>
      <c r="D193" s="171">
        <v>0</v>
      </c>
      <c r="E193" s="233"/>
      <c r="F193" s="233"/>
      <c r="G193" s="233"/>
      <c r="H193" s="232">
        <f t="shared" si="14"/>
        <v>0</v>
      </c>
      <c r="I193" s="233">
        <v>0</v>
      </c>
      <c r="J193" s="233"/>
      <c r="K193" s="233"/>
      <c r="L193" s="233"/>
      <c r="M193" s="232">
        <f t="shared" si="15"/>
        <v>0</v>
      </c>
      <c r="N193" s="233">
        <v>0</v>
      </c>
      <c r="O193" s="233"/>
      <c r="P193" s="233"/>
      <c r="Q193" s="233"/>
      <c r="R193" s="232">
        <f t="shared" si="16"/>
        <v>0</v>
      </c>
    </row>
    <row r="194" spans="1:18" s="6" customFormat="1" ht="24" hidden="1" customHeight="1">
      <c r="A194" s="209" t="s">
        <v>222</v>
      </c>
      <c r="B194" s="208" t="s">
        <v>216</v>
      </c>
      <c r="C194" s="106">
        <f>C195</f>
        <v>0</v>
      </c>
      <c r="D194" s="106">
        <v>0</v>
      </c>
      <c r="E194" s="232">
        <f t="shared" ref="E194:L194" si="20">E195</f>
        <v>0</v>
      </c>
      <c r="F194" s="232">
        <f t="shared" si="20"/>
        <v>0</v>
      </c>
      <c r="G194" s="232">
        <f t="shared" si="20"/>
        <v>0</v>
      </c>
      <c r="H194" s="232">
        <f t="shared" si="14"/>
        <v>0</v>
      </c>
      <c r="I194" s="233">
        <v>0</v>
      </c>
      <c r="J194" s="232">
        <f t="shared" si="20"/>
        <v>0</v>
      </c>
      <c r="K194" s="232">
        <f t="shared" si="20"/>
        <v>0</v>
      </c>
      <c r="L194" s="232">
        <f t="shared" si="20"/>
        <v>0</v>
      </c>
      <c r="M194" s="232">
        <f t="shared" si="15"/>
        <v>0</v>
      </c>
      <c r="N194" s="233">
        <v>0</v>
      </c>
      <c r="O194" s="232">
        <f>O195</f>
        <v>0</v>
      </c>
      <c r="P194" s="232">
        <f>P195</f>
        <v>0</v>
      </c>
      <c r="Q194" s="232">
        <f>Q195</f>
        <v>0</v>
      </c>
      <c r="R194" s="232">
        <f t="shared" si="16"/>
        <v>0</v>
      </c>
    </row>
    <row r="195" spans="1:18" s="6" customFormat="1" ht="36" hidden="1" customHeight="1">
      <c r="A195" s="209">
        <v>17100</v>
      </c>
      <c r="B195" s="208" t="s">
        <v>217</v>
      </c>
      <c r="C195" s="106">
        <f>SUM(C196:C199)</f>
        <v>0</v>
      </c>
      <c r="D195" s="106">
        <v>0</v>
      </c>
      <c r="E195" s="232">
        <f>SUM(E196:E199)</f>
        <v>0</v>
      </c>
      <c r="F195" s="232">
        <f>SUM(F196:F199)</f>
        <v>0</v>
      </c>
      <c r="G195" s="232">
        <f>SUM(G196:G199)</f>
        <v>0</v>
      </c>
      <c r="H195" s="232">
        <f t="shared" si="14"/>
        <v>0</v>
      </c>
      <c r="I195" s="233">
        <v>0</v>
      </c>
      <c r="J195" s="232">
        <f>SUM(J196:J199)</f>
        <v>0</v>
      </c>
      <c r="K195" s="232">
        <f>SUM(K196:K199)</f>
        <v>0</v>
      </c>
      <c r="L195" s="232">
        <f>SUM(L196:L199)</f>
        <v>0</v>
      </c>
      <c r="M195" s="232">
        <f t="shared" si="15"/>
        <v>0</v>
      </c>
      <c r="N195" s="233">
        <v>0</v>
      </c>
      <c r="O195" s="232">
        <f>SUM(O196:O199)</f>
        <v>0</v>
      </c>
      <c r="P195" s="232">
        <f>SUM(P196:P199)</f>
        <v>0</v>
      </c>
      <c r="Q195" s="232">
        <f>SUM(Q196:Q199)</f>
        <v>0</v>
      </c>
      <c r="R195" s="232">
        <f t="shared" si="16"/>
        <v>0</v>
      </c>
    </row>
    <row r="196" spans="1:18" s="6" customFormat="1" ht="60" hidden="1" customHeight="1">
      <c r="A196" s="149">
        <v>17110</v>
      </c>
      <c r="B196" s="208" t="s">
        <v>218</v>
      </c>
      <c r="C196" s="106"/>
      <c r="D196" s="107">
        <v>0</v>
      </c>
      <c r="E196" s="233"/>
      <c r="F196" s="233"/>
      <c r="G196" s="233"/>
      <c r="H196" s="232">
        <f t="shared" si="14"/>
        <v>0</v>
      </c>
      <c r="I196" s="233">
        <v>0</v>
      </c>
      <c r="J196" s="233"/>
      <c r="K196" s="233"/>
      <c r="L196" s="233"/>
      <c r="M196" s="232">
        <f t="shared" si="15"/>
        <v>0</v>
      </c>
      <c r="N196" s="233">
        <v>0</v>
      </c>
      <c r="O196" s="233"/>
      <c r="P196" s="233"/>
      <c r="Q196" s="233"/>
      <c r="R196" s="232">
        <f t="shared" si="16"/>
        <v>0</v>
      </c>
    </row>
    <row r="197" spans="1:18" s="6" customFormat="1" ht="60" hidden="1" customHeight="1">
      <c r="A197" s="149">
        <v>17120</v>
      </c>
      <c r="B197" s="208" t="s">
        <v>219</v>
      </c>
      <c r="C197" s="106"/>
      <c r="D197" s="107">
        <v>0</v>
      </c>
      <c r="E197" s="233"/>
      <c r="F197" s="233"/>
      <c r="G197" s="233"/>
      <c r="H197" s="232">
        <f t="shared" si="14"/>
        <v>0</v>
      </c>
      <c r="I197" s="233">
        <v>0</v>
      </c>
      <c r="J197" s="233"/>
      <c r="K197" s="233"/>
      <c r="L197" s="233"/>
      <c r="M197" s="232">
        <f t="shared" si="15"/>
        <v>0</v>
      </c>
      <c r="N197" s="233">
        <v>0</v>
      </c>
      <c r="O197" s="233"/>
      <c r="P197" s="233"/>
      <c r="Q197" s="233"/>
      <c r="R197" s="232">
        <f t="shared" si="16"/>
        <v>0</v>
      </c>
    </row>
    <row r="198" spans="1:18" s="6" customFormat="1" ht="108" hidden="1" customHeight="1">
      <c r="A198" s="149">
        <v>17130</v>
      </c>
      <c r="B198" s="208" t="s">
        <v>220</v>
      </c>
      <c r="C198" s="106"/>
      <c r="D198" s="107">
        <v>0</v>
      </c>
      <c r="E198" s="233"/>
      <c r="F198" s="233"/>
      <c r="G198" s="233"/>
      <c r="H198" s="232">
        <f t="shared" si="14"/>
        <v>0</v>
      </c>
      <c r="I198" s="233">
        <v>0</v>
      </c>
      <c r="J198" s="233"/>
      <c r="K198" s="233"/>
      <c r="L198" s="233"/>
      <c r="M198" s="232">
        <f t="shared" si="15"/>
        <v>0</v>
      </c>
      <c r="N198" s="233">
        <v>0</v>
      </c>
      <c r="O198" s="233"/>
      <c r="P198" s="233"/>
      <c r="Q198" s="233"/>
      <c r="R198" s="232">
        <f t="shared" si="16"/>
        <v>0</v>
      </c>
    </row>
    <row r="199" spans="1:18" s="6" customFormat="1" ht="108" hidden="1" customHeight="1">
      <c r="A199" s="149">
        <v>17140</v>
      </c>
      <c r="B199" s="208" t="s">
        <v>221</v>
      </c>
      <c r="C199" s="106"/>
      <c r="D199" s="107">
        <v>0</v>
      </c>
      <c r="E199" s="233"/>
      <c r="F199" s="233"/>
      <c r="G199" s="233"/>
      <c r="H199" s="232">
        <f t="shared" si="14"/>
        <v>0</v>
      </c>
      <c r="I199" s="233">
        <v>0</v>
      </c>
      <c r="J199" s="233"/>
      <c r="K199" s="233"/>
      <c r="L199" s="233"/>
      <c r="M199" s="232">
        <f t="shared" si="15"/>
        <v>0</v>
      </c>
      <c r="N199" s="233">
        <v>0</v>
      </c>
      <c r="O199" s="233"/>
      <c r="P199" s="233"/>
      <c r="Q199" s="233"/>
      <c r="R199" s="232">
        <f t="shared" si="16"/>
        <v>0</v>
      </c>
    </row>
    <row r="200" spans="1:18" s="89" customFormat="1" ht="12">
      <c r="A200" s="137">
        <v>21700</v>
      </c>
      <c r="B200" s="124" t="s">
        <v>97</v>
      </c>
      <c r="C200" s="162">
        <v>2914371</v>
      </c>
      <c r="D200" s="114">
        <v>1160596</v>
      </c>
      <c r="E200" s="233">
        <f>E201+E202</f>
        <v>0</v>
      </c>
      <c r="F200" s="233">
        <f>F201+F202</f>
        <v>0</v>
      </c>
      <c r="G200" s="233">
        <f>G201+G202</f>
        <v>0</v>
      </c>
      <c r="H200" s="232">
        <f t="shared" si="14"/>
        <v>1160596</v>
      </c>
      <c r="I200" s="233">
        <v>458680</v>
      </c>
      <c r="J200" s="233">
        <f>J201+J202</f>
        <v>0</v>
      </c>
      <c r="K200" s="233">
        <f>K201+K202</f>
        <v>0</v>
      </c>
      <c r="L200" s="233">
        <f>L201+L202</f>
        <v>0</v>
      </c>
      <c r="M200" s="232">
        <f t="shared" si="15"/>
        <v>458680</v>
      </c>
      <c r="N200" s="233">
        <v>0</v>
      </c>
      <c r="O200" s="233">
        <f>O201+O202</f>
        <v>0</v>
      </c>
      <c r="P200" s="233">
        <f>P201+P202</f>
        <v>0</v>
      </c>
      <c r="Q200" s="233">
        <f>Q201+Q202</f>
        <v>0</v>
      </c>
      <c r="R200" s="232">
        <f t="shared" si="16"/>
        <v>0</v>
      </c>
    </row>
    <row r="201" spans="1:18" s="89" customFormat="1" ht="24">
      <c r="A201" s="138">
        <v>21710</v>
      </c>
      <c r="B201" s="125" t="s">
        <v>98</v>
      </c>
      <c r="C201" s="170">
        <v>2314960</v>
      </c>
      <c r="D201" s="171">
        <v>626111</v>
      </c>
      <c r="E201" s="233"/>
      <c r="F201" s="233"/>
      <c r="G201" s="233"/>
      <c r="H201" s="232">
        <f t="shared" si="14"/>
        <v>626111</v>
      </c>
      <c r="I201" s="233">
        <v>458680</v>
      </c>
      <c r="J201" s="233"/>
      <c r="K201" s="233"/>
      <c r="L201" s="233"/>
      <c r="M201" s="232">
        <f t="shared" si="15"/>
        <v>458680</v>
      </c>
      <c r="N201" s="233">
        <v>0</v>
      </c>
      <c r="O201" s="233"/>
      <c r="P201" s="233"/>
      <c r="Q201" s="233"/>
      <c r="R201" s="232">
        <f t="shared" si="16"/>
        <v>0</v>
      </c>
    </row>
    <row r="202" spans="1:18" s="29" customFormat="1" ht="24">
      <c r="A202" s="138">
        <v>21720</v>
      </c>
      <c r="B202" s="125" t="s">
        <v>99</v>
      </c>
      <c r="C202" s="170">
        <v>599411</v>
      </c>
      <c r="D202" s="171">
        <v>534485</v>
      </c>
      <c r="E202" s="233"/>
      <c r="F202" s="233"/>
      <c r="G202" s="233"/>
      <c r="H202" s="232">
        <f t="shared" ref="H202:H260" si="21">SUM(D202:G202)</f>
        <v>534485</v>
      </c>
      <c r="I202" s="233">
        <v>0</v>
      </c>
      <c r="J202" s="233"/>
      <c r="K202" s="233"/>
      <c r="L202" s="233"/>
      <c r="M202" s="232">
        <f t="shared" ref="M202:M260" si="22">SUM(I202:L202)</f>
        <v>0</v>
      </c>
      <c r="N202" s="233">
        <v>0</v>
      </c>
      <c r="O202" s="233"/>
      <c r="P202" s="233"/>
      <c r="Q202" s="233"/>
      <c r="R202" s="232">
        <f t="shared" ref="R202:R260" si="23">SUM(N202:Q202)</f>
        <v>0</v>
      </c>
    </row>
    <row r="203" spans="1:18" s="29" customFormat="1" ht="11.4">
      <c r="A203" s="597" t="s">
        <v>100</v>
      </c>
      <c r="B203" s="598" t="s">
        <v>101</v>
      </c>
      <c r="C203" s="602">
        <v>2914371</v>
      </c>
      <c r="D203" s="618">
        <v>1160596</v>
      </c>
      <c r="E203" s="603">
        <f>E204+E231</f>
        <v>0</v>
      </c>
      <c r="F203" s="603">
        <f>F204+F231</f>
        <v>0</v>
      </c>
      <c r="G203" s="603">
        <f>G204+G231</f>
        <v>0</v>
      </c>
      <c r="H203" s="614">
        <f t="shared" si="21"/>
        <v>1160596</v>
      </c>
      <c r="I203" s="603">
        <v>458680</v>
      </c>
      <c r="J203" s="603">
        <f>J204+J231</f>
        <v>0</v>
      </c>
      <c r="K203" s="603">
        <f>K204+K231</f>
        <v>0</v>
      </c>
      <c r="L203" s="603">
        <f>L204+L231</f>
        <v>0</v>
      </c>
      <c r="M203" s="614">
        <f t="shared" si="22"/>
        <v>458680</v>
      </c>
      <c r="N203" s="603">
        <v>0</v>
      </c>
      <c r="O203" s="603">
        <f>O204+O231</f>
        <v>0</v>
      </c>
      <c r="P203" s="603">
        <f>P204+P231</f>
        <v>0</v>
      </c>
      <c r="Q203" s="603">
        <f>Q204+Q231</f>
        <v>0</v>
      </c>
      <c r="R203" s="614">
        <f t="shared" si="23"/>
        <v>0</v>
      </c>
    </row>
    <row r="204" spans="1:18" s="29" customFormat="1" ht="20.399999999999999">
      <c r="A204" s="130" t="s">
        <v>102</v>
      </c>
      <c r="B204" s="124" t="s">
        <v>103</v>
      </c>
      <c r="C204" s="162">
        <v>2914371</v>
      </c>
      <c r="D204" s="114">
        <v>1160596</v>
      </c>
      <c r="E204" s="233">
        <f>E205+E209+E210+E213+E216</f>
        <v>0</v>
      </c>
      <c r="F204" s="233">
        <f>F205+F209+F210+F213+F216</f>
        <v>0</v>
      </c>
      <c r="G204" s="233">
        <f>G205+G209+G210+G213+G216</f>
        <v>0</v>
      </c>
      <c r="H204" s="232">
        <f t="shared" si="21"/>
        <v>1160596</v>
      </c>
      <c r="I204" s="233">
        <v>458680</v>
      </c>
      <c r="J204" s="233">
        <f>J205+J209+J210+J213+J216</f>
        <v>0</v>
      </c>
      <c r="K204" s="233">
        <f>K205+K209+K210+K213+K216</f>
        <v>0</v>
      </c>
      <c r="L204" s="233">
        <f>L205+L209+L210+L213+L216</f>
        <v>0</v>
      </c>
      <c r="M204" s="232">
        <f t="shared" si="22"/>
        <v>458680</v>
      </c>
      <c r="N204" s="233">
        <v>0</v>
      </c>
      <c r="O204" s="233">
        <f>O205+O209+O210+O213+O216</f>
        <v>0</v>
      </c>
      <c r="P204" s="233">
        <f>P205+P209+P210+P213+P216</f>
        <v>0</v>
      </c>
      <c r="Q204" s="233">
        <f>Q205+Q209+Q210+Q213+Q216</f>
        <v>0</v>
      </c>
      <c r="R204" s="232">
        <f t="shared" si="23"/>
        <v>0</v>
      </c>
    </row>
    <row r="205" spans="1:18" s="29" customFormat="1" ht="12">
      <c r="A205" s="130" t="s">
        <v>104</v>
      </c>
      <c r="B205" s="124" t="s">
        <v>105</v>
      </c>
      <c r="C205" s="162">
        <v>443164</v>
      </c>
      <c r="D205" s="114">
        <v>202399</v>
      </c>
      <c r="E205" s="233">
        <f>E206+E208</f>
        <v>0</v>
      </c>
      <c r="F205" s="233">
        <f>F206+F208</f>
        <v>0</v>
      </c>
      <c r="G205" s="233">
        <f>G206+G208</f>
        <v>0</v>
      </c>
      <c r="H205" s="232">
        <f t="shared" si="21"/>
        <v>202399</v>
      </c>
      <c r="I205" s="233">
        <v>82593</v>
      </c>
      <c r="J205" s="233">
        <f>J206+J208</f>
        <v>0</v>
      </c>
      <c r="K205" s="233">
        <f>K206+K208</f>
        <v>0</v>
      </c>
      <c r="L205" s="233">
        <f>L206+L208</f>
        <v>0</v>
      </c>
      <c r="M205" s="232">
        <f t="shared" si="22"/>
        <v>82593</v>
      </c>
      <c r="N205" s="233">
        <v>0</v>
      </c>
      <c r="O205" s="233">
        <f>O206+O208</f>
        <v>0</v>
      </c>
      <c r="P205" s="233">
        <f>P206+P208</f>
        <v>0</v>
      </c>
      <c r="Q205" s="233">
        <f>Q206+Q208</f>
        <v>0</v>
      </c>
      <c r="R205" s="232">
        <f t="shared" si="23"/>
        <v>0</v>
      </c>
    </row>
    <row r="206" spans="1:18" s="29" customFormat="1" ht="12">
      <c r="A206" s="132">
        <v>1000</v>
      </c>
      <c r="B206" s="125" t="s">
        <v>106</v>
      </c>
      <c r="C206" s="170">
        <v>336845</v>
      </c>
      <c r="D206" s="171">
        <v>147318</v>
      </c>
      <c r="E206" s="244"/>
      <c r="F206" s="244"/>
      <c r="G206" s="244"/>
      <c r="H206" s="232">
        <f t="shared" si="21"/>
        <v>147318</v>
      </c>
      <c r="I206" s="233">
        <v>68721</v>
      </c>
      <c r="J206" s="244"/>
      <c r="K206" s="244"/>
      <c r="L206" s="244"/>
      <c r="M206" s="232">
        <f t="shared" si="22"/>
        <v>68721</v>
      </c>
      <c r="N206" s="233">
        <v>0</v>
      </c>
      <c r="O206" s="244"/>
      <c r="P206" s="244"/>
      <c r="Q206" s="244"/>
      <c r="R206" s="232">
        <f t="shared" si="23"/>
        <v>0</v>
      </c>
    </row>
    <row r="207" spans="1:18" s="29" customFormat="1" ht="12">
      <c r="A207" s="139">
        <v>1100</v>
      </c>
      <c r="B207" s="125" t="s">
        <v>107</v>
      </c>
      <c r="C207" s="170">
        <v>271453</v>
      </c>
      <c r="D207" s="171">
        <v>118719</v>
      </c>
      <c r="E207" s="244"/>
      <c r="F207" s="244"/>
      <c r="G207" s="244"/>
      <c r="H207" s="232">
        <f t="shared" si="21"/>
        <v>118719</v>
      </c>
      <c r="I207" s="233">
        <v>55380</v>
      </c>
      <c r="J207" s="244"/>
      <c r="K207" s="244"/>
      <c r="L207" s="244"/>
      <c r="M207" s="232">
        <f t="shared" si="22"/>
        <v>55380</v>
      </c>
      <c r="N207" s="233">
        <v>0</v>
      </c>
      <c r="O207" s="244"/>
      <c r="P207" s="244"/>
      <c r="Q207" s="244"/>
      <c r="R207" s="232">
        <f t="shared" si="23"/>
        <v>0</v>
      </c>
    </row>
    <row r="208" spans="1:18" s="29" customFormat="1" ht="12">
      <c r="A208" s="132">
        <v>2000</v>
      </c>
      <c r="B208" s="125" t="s">
        <v>108</v>
      </c>
      <c r="C208" s="170">
        <v>106319</v>
      </c>
      <c r="D208" s="171">
        <v>55081</v>
      </c>
      <c r="E208" s="244"/>
      <c r="F208" s="244"/>
      <c r="G208" s="244"/>
      <c r="H208" s="232">
        <f t="shared" si="21"/>
        <v>55081</v>
      </c>
      <c r="I208" s="233">
        <v>13872</v>
      </c>
      <c r="J208" s="244"/>
      <c r="K208" s="244"/>
      <c r="L208" s="244"/>
      <c r="M208" s="232">
        <f t="shared" si="22"/>
        <v>13872</v>
      </c>
      <c r="N208" s="233">
        <v>0</v>
      </c>
      <c r="O208" s="244"/>
      <c r="P208" s="244"/>
      <c r="Q208" s="244"/>
      <c r="R208" s="232">
        <f t="shared" si="23"/>
        <v>0</v>
      </c>
    </row>
    <row r="209" spans="1:18" s="29" customFormat="1" ht="12" hidden="1" customHeight="1">
      <c r="A209" s="140">
        <v>4000</v>
      </c>
      <c r="B209" s="124" t="s">
        <v>132</v>
      </c>
      <c r="C209" s="170"/>
      <c r="D209" s="176">
        <v>0</v>
      </c>
      <c r="E209" s="244"/>
      <c r="F209" s="244"/>
      <c r="G209" s="244"/>
      <c r="H209" s="232">
        <f t="shared" si="21"/>
        <v>0</v>
      </c>
      <c r="I209" s="233">
        <v>0</v>
      </c>
      <c r="J209" s="244"/>
      <c r="K209" s="244"/>
      <c r="L209" s="244"/>
      <c r="M209" s="232">
        <f t="shared" si="22"/>
        <v>0</v>
      </c>
      <c r="N209" s="233">
        <v>0</v>
      </c>
      <c r="O209" s="244"/>
      <c r="P209" s="244"/>
      <c r="Q209" s="244"/>
      <c r="R209" s="232">
        <f t="shared" si="23"/>
        <v>0</v>
      </c>
    </row>
    <row r="210" spans="1:18" s="29" customFormat="1" ht="12">
      <c r="A210" s="140" t="s">
        <v>109</v>
      </c>
      <c r="B210" s="124" t="s">
        <v>110</v>
      </c>
      <c r="C210" s="162">
        <v>1519901</v>
      </c>
      <c r="D210" s="114">
        <v>364453</v>
      </c>
      <c r="E210" s="233">
        <f>E211+E212</f>
        <v>0</v>
      </c>
      <c r="F210" s="233">
        <f>F211+F212</f>
        <v>0</v>
      </c>
      <c r="G210" s="233">
        <f>G211+G212</f>
        <v>0</v>
      </c>
      <c r="H210" s="232">
        <f t="shared" si="21"/>
        <v>364453</v>
      </c>
      <c r="I210" s="233">
        <v>376087</v>
      </c>
      <c r="J210" s="233">
        <f>J211+J212</f>
        <v>0</v>
      </c>
      <c r="K210" s="233">
        <f>K211+K212</f>
        <v>0</v>
      </c>
      <c r="L210" s="233">
        <f>L211+L212</f>
        <v>0</v>
      </c>
      <c r="M210" s="232">
        <f t="shared" si="22"/>
        <v>376087</v>
      </c>
      <c r="N210" s="233">
        <v>0</v>
      </c>
      <c r="O210" s="233">
        <f>O211+O212</f>
        <v>0</v>
      </c>
      <c r="P210" s="233">
        <f>P211+P212</f>
        <v>0</v>
      </c>
      <c r="Q210" s="233">
        <f>Q211+Q212</f>
        <v>0</v>
      </c>
      <c r="R210" s="232">
        <f t="shared" si="23"/>
        <v>0</v>
      </c>
    </row>
    <row r="211" spans="1:18" s="29" customFormat="1" ht="12">
      <c r="A211" s="132">
        <v>3000</v>
      </c>
      <c r="B211" s="125" t="s">
        <v>111</v>
      </c>
      <c r="C211" s="202">
        <v>1519901</v>
      </c>
      <c r="D211" s="213">
        <v>364453</v>
      </c>
      <c r="E211" s="246"/>
      <c r="F211" s="246"/>
      <c r="G211" s="246"/>
      <c r="H211" s="232">
        <f t="shared" si="21"/>
        <v>364453</v>
      </c>
      <c r="I211" s="345">
        <v>376087</v>
      </c>
      <c r="J211" s="246"/>
      <c r="K211" s="246"/>
      <c r="L211" s="246"/>
      <c r="M211" s="232">
        <f t="shared" si="22"/>
        <v>376087</v>
      </c>
      <c r="N211" s="345">
        <v>0</v>
      </c>
      <c r="O211" s="246"/>
      <c r="P211" s="246"/>
      <c r="Q211" s="246"/>
      <c r="R211" s="232">
        <f t="shared" si="23"/>
        <v>0</v>
      </c>
    </row>
    <row r="212" spans="1:18" s="29" customFormat="1" ht="12" hidden="1" customHeight="1">
      <c r="A212" s="132">
        <v>6000</v>
      </c>
      <c r="B212" s="125" t="s">
        <v>112</v>
      </c>
      <c r="C212" s="203"/>
      <c r="D212" s="178">
        <v>0</v>
      </c>
      <c r="E212" s="248"/>
      <c r="F212" s="248"/>
      <c r="G212" s="248"/>
      <c r="H212" s="232">
        <f t="shared" si="21"/>
        <v>0</v>
      </c>
      <c r="I212" s="346">
        <v>0</v>
      </c>
      <c r="J212" s="248"/>
      <c r="K212" s="248"/>
      <c r="L212" s="248"/>
      <c r="M212" s="232">
        <f t="shared" si="22"/>
        <v>0</v>
      </c>
      <c r="N212" s="346">
        <v>0</v>
      </c>
      <c r="O212" s="248"/>
      <c r="P212" s="248"/>
      <c r="Q212" s="248"/>
      <c r="R212" s="232">
        <f t="shared" si="23"/>
        <v>0</v>
      </c>
    </row>
    <row r="213" spans="1:18" s="29" customFormat="1" ht="24" hidden="1" customHeight="1">
      <c r="A213" s="140" t="s">
        <v>113</v>
      </c>
      <c r="B213" s="124" t="s">
        <v>183</v>
      </c>
      <c r="C213" s="170">
        <v>0</v>
      </c>
      <c r="D213" s="171">
        <v>0</v>
      </c>
      <c r="E213" s="233">
        <f>E214+E215</f>
        <v>0</v>
      </c>
      <c r="F213" s="233">
        <f>F214+F215</f>
        <v>0</v>
      </c>
      <c r="G213" s="233">
        <f>G214+G215</f>
        <v>0</v>
      </c>
      <c r="H213" s="232">
        <f t="shared" si="21"/>
        <v>0</v>
      </c>
      <c r="I213" s="233">
        <v>0</v>
      </c>
      <c r="J213" s="233">
        <f>J214+J215</f>
        <v>0</v>
      </c>
      <c r="K213" s="233">
        <f>K214+K215</f>
        <v>0</v>
      </c>
      <c r="L213" s="233">
        <f>L214+L215</f>
        <v>0</v>
      </c>
      <c r="M213" s="232">
        <f t="shared" si="22"/>
        <v>0</v>
      </c>
      <c r="N213" s="233">
        <v>0</v>
      </c>
      <c r="O213" s="233">
        <f>O214+O215</f>
        <v>0</v>
      </c>
      <c r="P213" s="233">
        <f>P214+P215</f>
        <v>0</v>
      </c>
      <c r="Q213" s="233">
        <f>Q214+Q215</f>
        <v>0</v>
      </c>
      <c r="R213" s="232">
        <f t="shared" si="23"/>
        <v>0</v>
      </c>
    </row>
    <row r="214" spans="1:18" s="29" customFormat="1" ht="12" hidden="1" customHeight="1">
      <c r="A214" s="132">
        <v>7600</v>
      </c>
      <c r="B214" s="179" t="s">
        <v>184</v>
      </c>
      <c r="C214" s="170"/>
      <c r="D214" s="176">
        <v>0</v>
      </c>
      <c r="E214" s="244"/>
      <c r="F214" s="244"/>
      <c r="G214" s="244"/>
      <c r="H214" s="232">
        <f t="shared" si="21"/>
        <v>0</v>
      </c>
      <c r="I214" s="233">
        <v>0</v>
      </c>
      <c r="J214" s="244"/>
      <c r="K214" s="244"/>
      <c r="L214" s="244"/>
      <c r="M214" s="232">
        <f t="shared" si="22"/>
        <v>0</v>
      </c>
      <c r="N214" s="233">
        <v>0</v>
      </c>
      <c r="O214" s="244"/>
      <c r="P214" s="244"/>
      <c r="Q214" s="244"/>
      <c r="R214" s="232">
        <f t="shared" si="23"/>
        <v>0</v>
      </c>
    </row>
    <row r="215" spans="1:18" s="29" customFormat="1" ht="12" hidden="1" customHeight="1">
      <c r="A215" s="132">
        <v>7700</v>
      </c>
      <c r="B215" s="126" t="s">
        <v>114</v>
      </c>
      <c r="C215" s="170"/>
      <c r="D215" s="176">
        <v>0</v>
      </c>
      <c r="E215" s="244"/>
      <c r="F215" s="244"/>
      <c r="G215" s="244"/>
      <c r="H215" s="232">
        <f t="shared" si="21"/>
        <v>0</v>
      </c>
      <c r="I215" s="233">
        <v>0</v>
      </c>
      <c r="J215" s="244"/>
      <c r="K215" s="244"/>
      <c r="L215" s="244"/>
      <c r="M215" s="232">
        <f t="shared" si="22"/>
        <v>0</v>
      </c>
      <c r="N215" s="233">
        <v>0</v>
      </c>
      <c r="O215" s="244"/>
      <c r="P215" s="244"/>
      <c r="Q215" s="244"/>
      <c r="R215" s="232">
        <f t="shared" si="23"/>
        <v>0</v>
      </c>
    </row>
    <row r="216" spans="1:18" s="29" customFormat="1" ht="20.399999999999999">
      <c r="A216" s="140" t="s">
        <v>185</v>
      </c>
      <c r="B216" s="124" t="s">
        <v>115</v>
      </c>
      <c r="C216" s="162">
        <v>951306</v>
      </c>
      <c r="D216" s="114">
        <v>593744</v>
      </c>
      <c r="E216" s="233">
        <f>E217+E223+E227+E230</f>
        <v>0</v>
      </c>
      <c r="F216" s="233">
        <f>F217+F223+F227+F230</f>
        <v>0</v>
      </c>
      <c r="G216" s="233">
        <f>G217+G223+G227+G230</f>
        <v>0</v>
      </c>
      <c r="H216" s="232">
        <f t="shared" si="21"/>
        <v>593744</v>
      </c>
      <c r="I216" s="233">
        <v>0</v>
      </c>
      <c r="J216" s="233">
        <f>J217+J223+J227+J230</f>
        <v>0</v>
      </c>
      <c r="K216" s="233">
        <f>K217+K223+K227+K230</f>
        <v>0</v>
      </c>
      <c r="L216" s="233">
        <f>L217+L223+L227+L230</f>
        <v>0</v>
      </c>
      <c r="M216" s="232">
        <f t="shared" si="22"/>
        <v>0</v>
      </c>
      <c r="N216" s="233">
        <v>0</v>
      </c>
      <c r="O216" s="233">
        <f>O217+O223+O227+O230</f>
        <v>0</v>
      </c>
      <c r="P216" s="233">
        <f>P217+P223+P227+P230</f>
        <v>0</v>
      </c>
      <c r="Q216" s="233">
        <f>Q217+Q223+Q227+Q230</f>
        <v>0</v>
      </c>
      <c r="R216" s="232">
        <f t="shared" si="23"/>
        <v>0</v>
      </c>
    </row>
    <row r="217" spans="1:18" s="29" customFormat="1" ht="12" hidden="1" customHeight="1">
      <c r="A217" s="132">
        <v>7100</v>
      </c>
      <c r="B217" s="179" t="s">
        <v>116</v>
      </c>
      <c r="C217" s="170">
        <v>0</v>
      </c>
      <c r="D217" s="171">
        <v>0</v>
      </c>
      <c r="E217" s="233">
        <f>E218+E219</f>
        <v>0</v>
      </c>
      <c r="F217" s="233">
        <f>F218+F219</f>
        <v>0</v>
      </c>
      <c r="G217" s="233">
        <f>G218+G219</f>
        <v>0</v>
      </c>
      <c r="H217" s="232">
        <f t="shared" si="21"/>
        <v>0</v>
      </c>
      <c r="I217" s="233">
        <v>0</v>
      </c>
      <c r="J217" s="233">
        <f>J218+J219</f>
        <v>0</v>
      </c>
      <c r="K217" s="233">
        <f>K218+K219</f>
        <v>0</v>
      </c>
      <c r="L217" s="233">
        <f>L218+L219</f>
        <v>0</v>
      </c>
      <c r="M217" s="232">
        <f t="shared" si="22"/>
        <v>0</v>
      </c>
      <c r="N217" s="233">
        <v>0</v>
      </c>
      <c r="O217" s="233">
        <f>O218+O219</f>
        <v>0</v>
      </c>
      <c r="P217" s="233">
        <f>P218+P219</f>
        <v>0</v>
      </c>
      <c r="Q217" s="233">
        <f>Q218+Q219</f>
        <v>0</v>
      </c>
      <c r="R217" s="232">
        <f t="shared" si="23"/>
        <v>0</v>
      </c>
    </row>
    <row r="218" spans="1:18" s="29" customFormat="1" ht="24" hidden="1" customHeight="1">
      <c r="A218" s="133" t="s">
        <v>117</v>
      </c>
      <c r="B218" s="179" t="s">
        <v>118</v>
      </c>
      <c r="C218" s="170"/>
      <c r="D218" s="171">
        <v>0</v>
      </c>
      <c r="E218" s="233"/>
      <c r="F218" s="233"/>
      <c r="G218" s="233"/>
      <c r="H218" s="232">
        <f t="shared" si="21"/>
        <v>0</v>
      </c>
      <c r="I218" s="233">
        <v>0</v>
      </c>
      <c r="J218" s="233"/>
      <c r="K218" s="233"/>
      <c r="L218" s="233"/>
      <c r="M218" s="232">
        <f t="shared" si="22"/>
        <v>0</v>
      </c>
      <c r="N218" s="233">
        <v>0</v>
      </c>
      <c r="O218" s="233"/>
      <c r="P218" s="233"/>
      <c r="Q218" s="233"/>
      <c r="R218" s="232">
        <f t="shared" si="23"/>
        <v>0</v>
      </c>
    </row>
    <row r="219" spans="1:18" s="29" customFormat="1" ht="24" hidden="1" customHeight="1">
      <c r="A219" s="133">
        <v>7130</v>
      </c>
      <c r="B219" s="179" t="s">
        <v>119</v>
      </c>
      <c r="C219" s="170">
        <v>0</v>
      </c>
      <c r="D219" s="171">
        <v>0</v>
      </c>
      <c r="E219" s="233">
        <f>SUM(E220:E222)</f>
        <v>0</v>
      </c>
      <c r="F219" s="233">
        <f>SUM(F220:F222)</f>
        <v>0</v>
      </c>
      <c r="G219" s="233">
        <f>SUM(G220:G222)</f>
        <v>0</v>
      </c>
      <c r="H219" s="232">
        <f t="shared" si="21"/>
        <v>0</v>
      </c>
      <c r="I219" s="233">
        <v>0</v>
      </c>
      <c r="J219" s="233">
        <f>SUM(J220:J222)</f>
        <v>0</v>
      </c>
      <c r="K219" s="233">
        <f>SUM(K220:K222)</f>
        <v>0</v>
      </c>
      <c r="L219" s="233">
        <f>SUM(L220:L222)</f>
        <v>0</v>
      </c>
      <c r="M219" s="232">
        <f t="shared" si="22"/>
        <v>0</v>
      </c>
      <c r="N219" s="233">
        <v>0</v>
      </c>
      <c r="O219" s="233">
        <f>SUM(O220:O222)</f>
        <v>0</v>
      </c>
      <c r="P219" s="233">
        <f>SUM(P220:P222)</f>
        <v>0</v>
      </c>
      <c r="Q219" s="233">
        <f>SUM(Q220:Q222)</f>
        <v>0</v>
      </c>
      <c r="R219" s="232">
        <f t="shared" si="23"/>
        <v>0</v>
      </c>
    </row>
    <row r="220" spans="1:18" s="29" customFormat="1" ht="36" hidden="1" customHeight="1">
      <c r="A220" s="134">
        <v>7131</v>
      </c>
      <c r="B220" s="179" t="s">
        <v>120</v>
      </c>
      <c r="C220" s="170"/>
      <c r="D220" s="171">
        <v>0</v>
      </c>
      <c r="E220" s="233"/>
      <c r="F220" s="233"/>
      <c r="G220" s="233"/>
      <c r="H220" s="232">
        <f t="shared" si="21"/>
        <v>0</v>
      </c>
      <c r="I220" s="233">
        <v>0</v>
      </c>
      <c r="J220" s="233"/>
      <c r="K220" s="233"/>
      <c r="L220" s="233"/>
      <c r="M220" s="232">
        <f t="shared" si="22"/>
        <v>0</v>
      </c>
      <c r="N220" s="233">
        <v>0</v>
      </c>
      <c r="O220" s="233"/>
      <c r="P220" s="233"/>
      <c r="Q220" s="233"/>
      <c r="R220" s="232">
        <f t="shared" si="23"/>
        <v>0</v>
      </c>
    </row>
    <row r="221" spans="1:18" s="29" customFormat="1" ht="36" hidden="1" customHeight="1">
      <c r="A221" s="134">
        <v>7132</v>
      </c>
      <c r="B221" s="179" t="s">
        <v>121</v>
      </c>
      <c r="C221" s="170"/>
      <c r="D221" s="171">
        <v>0</v>
      </c>
      <c r="E221" s="233"/>
      <c r="F221" s="233"/>
      <c r="G221" s="233"/>
      <c r="H221" s="232">
        <f t="shared" si="21"/>
        <v>0</v>
      </c>
      <c r="I221" s="233">
        <v>0</v>
      </c>
      <c r="J221" s="233"/>
      <c r="K221" s="233"/>
      <c r="L221" s="233"/>
      <c r="M221" s="232">
        <f t="shared" si="22"/>
        <v>0</v>
      </c>
      <c r="N221" s="233">
        <v>0</v>
      </c>
      <c r="O221" s="233"/>
      <c r="P221" s="233"/>
      <c r="Q221" s="233"/>
      <c r="R221" s="232">
        <f t="shared" si="23"/>
        <v>0</v>
      </c>
    </row>
    <row r="222" spans="1:18" s="29" customFormat="1" ht="36" hidden="1" customHeight="1">
      <c r="A222" s="134" t="s">
        <v>186</v>
      </c>
      <c r="B222" s="179" t="s">
        <v>187</v>
      </c>
      <c r="C222" s="170"/>
      <c r="D222" s="171">
        <v>0</v>
      </c>
      <c r="E222" s="233"/>
      <c r="F222" s="233"/>
      <c r="G222" s="233"/>
      <c r="H222" s="232">
        <f t="shared" si="21"/>
        <v>0</v>
      </c>
      <c r="I222" s="233">
        <v>0</v>
      </c>
      <c r="J222" s="233"/>
      <c r="K222" s="233"/>
      <c r="L222" s="233"/>
      <c r="M222" s="232">
        <f t="shared" si="22"/>
        <v>0</v>
      </c>
      <c r="N222" s="233">
        <v>0</v>
      </c>
      <c r="O222" s="233"/>
      <c r="P222" s="233"/>
      <c r="Q222" s="233"/>
      <c r="R222" s="232">
        <f t="shared" si="23"/>
        <v>0</v>
      </c>
    </row>
    <row r="223" spans="1:18" s="29" customFormat="1" ht="24">
      <c r="A223" s="132">
        <v>7300</v>
      </c>
      <c r="B223" s="172" t="s">
        <v>155</v>
      </c>
      <c r="C223" s="170">
        <v>351895</v>
      </c>
      <c r="D223" s="171">
        <v>59259</v>
      </c>
      <c r="E223" s="233">
        <f>SUM(E224:E226)</f>
        <v>0</v>
      </c>
      <c r="F223" s="233">
        <f>SUM(F224:F226)</f>
        <v>0</v>
      </c>
      <c r="G223" s="233">
        <f>SUM(G224:G226)</f>
        <v>0</v>
      </c>
      <c r="H223" s="232">
        <f t="shared" si="21"/>
        <v>59259</v>
      </c>
      <c r="I223" s="233">
        <v>0</v>
      </c>
      <c r="J223" s="233">
        <f>SUM(J224:J226)</f>
        <v>0</v>
      </c>
      <c r="K223" s="233">
        <f>SUM(K224:K226)</f>
        <v>0</v>
      </c>
      <c r="L223" s="233">
        <f>SUM(L224:L226)</f>
        <v>0</v>
      </c>
      <c r="M223" s="232">
        <f t="shared" si="22"/>
        <v>0</v>
      </c>
      <c r="N223" s="233">
        <v>0</v>
      </c>
      <c r="O223" s="233">
        <f>SUM(O224:O226)</f>
        <v>0</v>
      </c>
      <c r="P223" s="233">
        <f>SUM(P224:P226)</f>
        <v>0</v>
      </c>
      <c r="Q223" s="233">
        <f>SUM(Q224:Q226)</f>
        <v>0</v>
      </c>
      <c r="R223" s="232">
        <f t="shared" si="23"/>
        <v>0</v>
      </c>
    </row>
    <row r="224" spans="1:18" s="29" customFormat="1" ht="24" hidden="1" customHeight="1">
      <c r="A224" s="133" t="s">
        <v>188</v>
      </c>
      <c r="B224" s="179" t="s">
        <v>170</v>
      </c>
      <c r="C224" s="604"/>
      <c r="D224" s="619">
        <v>0</v>
      </c>
      <c r="E224" s="605"/>
      <c r="F224" s="605"/>
      <c r="G224" s="605"/>
      <c r="H224" s="232">
        <f t="shared" si="21"/>
        <v>0</v>
      </c>
      <c r="I224" s="605">
        <v>0</v>
      </c>
      <c r="J224" s="605"/>
      <c r="K224" s="605"/>
      <c r="L224" s="605"/>
      <c r="M224" s="232">
        <f t="shared" si="22"/>
        <v>0</v>
      </c>
      <c r="N224" s="605">
        <v>0</v>
      </c>
      <c r="O224" s="605"/>
      <c r="P224" s="605"/>
      <c r="Q224" s="605"/>
      <c r="R224" s="232">
        <f t="shared" si="23"/>
        <v>0</v>
      </c>
    </row>
    <row r="225" spans="1:18" s="29" customFormat="1" ht="48">
      <c r="A225" s="133" t="s">
        <v>189</v>
      </c>
      <c r="B225" s="179" t="s">
        <v>156</v>
      </c>
      <c r="C225" s="604">
        <v>351895</v>
      </c>
      <c r="D225" s="619">
        <v>59259</v>
      </c>
      <c r="E225" s="605"/>
      <c r="F225" s="605"/>
      <c r="G225" s="605"/>
      <c r="H225" s="232">
        <f t="shared" si="21"/>
        <v>59259</v>
      </c>
      <c r="I225" s="605">
        <v>0</v>
      </c>
      <c r="J225" s="605"/>
      <c r="K225" s="605"/>
      <c r="L225" s="605"/>
      <c r="M225" s="232">
        <f t="shared" si="22"/>
        <v>0</v>
      </c>
      <c r="N225" s="605">
        <v>0</v>
      </c>
      <c r="O225" s="605"/>
      <c r="P225" s="605"/>
      <c r="Q225" s="605"/>
      <c r="R225" s="232">
        <f t="shared" si="23"/>
        <v>0</v>
      </c>
    </row>
    <row r="226" spans="1:18" s="29" customFormat="1" ht="36" hidden="1" customHeight="1">
      <c r="A226" s="133">
        <v>7350</v>
      </c>
      <c r="B226" s="179" t="s">
        <v>163</v>
      </c>
      <c r="C226" s="604"/>
      <c r="D226" s="619">
        <v>0</v>
      </c>
      <c r="E226" s="605"/>
      <c r="F226" s="605"/>
      <c r="G226" s="605"/>
      <c r="H226" s="232">
        <f t="shared" si="21"/>
        <v>0</v>
      </c>
      <c r="I226" s="605">
        <v>0</v>
      </c>
      <c r="J226" s="605"/>
      <c r="K226" s="605"/>
      <c r="L226" s="605"/>
      <c r="M226" s="232">
        <f t="shared" si="22"/>
        <v>0</v>
      </c>
      <c r="N226" s="605">
        <v>0</v>
      </c>
      <c r="O226" s="605"/>
      <c r="P226" s="605"/>
      <c r="Q226" s="605"/>
      <c r="R226" s="232">
        <f t="shared" si="23"/>
        <v>0</v>
      </c>
    </row>
    <row r="227" spans="1:18" s="29" customFormat="1" ht="24" hidden="1" customHeight="1">
      <c r="A227" s="132">
        <v>7400</v>
      </c>
      <c r="B227" s="172" t="s">
        <v>161</v>
      </c>
      <c r="C227" s="170">
        <v>0</v>
      </c>
      <c r="D227" s="171">
        <v>0</v>
      </c>
      <c r="E227" s="233">
        <f>SUM(E228:E229)</f>
        <v>0</v>
      </c>
      <c r="F227" s="233">
        <f>SUM(F228:F229)</f>
        <v>0</v>
      </c>
      <c r="G227" s="233">
        <f>SUM(G228:G229)</f>
        <v>0</v>
      </c>
      <c r="H227" s="232">
        <f t="shared" si="21"/>
        <v>0</v>
      </c>
      <c r="I227" s="233">
        <v>0</v>
      </c>
      <c r="J227" s="233">
        <f>SUM(J228:J229)</f>
        <v>0</v>
      </c>
      <c r="K227" s="233">
        <f>SUM(K228:K229)</f>
        <v>0</v>
      </c>
      <c r="L227" s="233">
        <f>SUM(L228:L229)</f>
        <v>0</v>
      </c>
      <c r="M227" s="232">
        <f t="shared" si="22"/>
        <v>0</v>
      </c>
      <c r="N227" s="233">
        <v>0</v>
      </c>
      <c r="O227" s="233">
        <f>SUM(O228:O229)</f>
        <v>0</v>
      </c>
      <c r="P227" s="233">
        <f>SUM(P228:P229)</f>
        <v>0</v>
      </c>
      <c r="Q227" s="233">
        <f>SUM(Q228:Q229)</f>
        <v>0</v>
      </c>
      <c r="R227" s="232">
        <f t="shared" si="23"/>
        <v>0</v>
      </c>
    </row>
    <row r="228" spans="1:18" s="29" customFormat="1" ht="24" hidden="1" customHeight="1">
      <c r="A228" s="133">
        <v>7460</v>
      </c>
      <c r="B228" s="172" t="s">
        <v>162</v>
      </c>
      <c r="C228" s="604"/>
      <c r="D228" s="619">
        <v>0</v>
      </c>
      <c r="E228" s="605"/>
      <c r="F228" s="605"/>
      <c r="G228" s="605"/>
      <c r="H228" s="232">
        <f t="shared" si="21"/>
        <v>0</v>
      </c>
      <c r="I228" s="605">
        <v>0</v>
      </c>
      <c r="J228" s="605"/>
      <c r="K228" s="605"/>
      <c r="L228" s="605"/>
      <c r="M228" s="232">
        <f t="shared" si="22"/>
        <v>0</v>
      </c>
      <c r="N228" s="605">
        <v>0</v>
      </c>
      <c r="O228" s="605"/>
      <c r="P228" s="605"/>
      <c r="Q228" s="605"/>
      <c r="R228" s="232">
        <f t="shared" si="23"/>
        <v>0</v>
      </c>
    </row>
    <row r="229" spans="1:18" s="29" customFormat="1" ht="48" hidden="1" customHeight="1">
      <c r="A229" s="133">
        <v>7470</v>
      </c>
      <c r="B229" s="179" t="s">
        <v>167</v>
      </c>
      <c r="C229" s="604"/>
      <c r="D229" s="619">
        <v>0</v>
      </c>
      <c r="E229" s="605"/>
      <c r="F229" s="605"/>
      <c r="G229" s="605"/>
      <c r="H229" s="232">
        <f t="shared" si="21"/>
        <v>0</v>
      </c>
      <c r="I229" s="605">
        <v>0</v>
      </c>
      <c r="J229" s="605"/>
      <c r="K229" s="605"/>
      <c r="L229" s="605"/>
      <c r="M229" s="232">
        <f t="shared" si="22"/>
        <v>0</v>
      </c>
      <c r="N229" s="605">
        <v>0</v>
      </c>
      <c r="O229" s="605"/>
      <c r="P229" s="605"/>
      <c r="Q229" s="605"/>
      <c r="R229" s="232">
        <f t="shared" si="23"/>
        <v>0</v>
      </c>
    </row>
    <row r="230" spans="1:18" s="29" customFormat="1" ht="24">
      <c r="A230" s="132">
        <v>7500</v>
      </c>
      <c r="B230" s="179" t="s">
        <v>157</v>
      </c>
      <c r="C230" s="170">
        <v>599411</v>
      </c>
      <c r="D230" s="171">
        <v>534485</v>
      </c>
      <c r="E230" s="233"/>
      <c r="F230" s="233"/>
      <c r="G230" s="233"/>
      <c r="H230" s="232">
        <f t="shared" si="21"/>
        <v>534485</v>
      </c>
      <c r="I230" s="233">
        <v>0</v>
      </c>
      <c r="J230" s="233"/>
      <c r="K230" s="233"/>
      <c r="L230" s="233"/>
      <c r="M230" s="232">
        <f t="shared" si="22"/>
        <v>0</v>
      </c>
      <c r="N230" s="233">
        <v>0</v>
      </c>
      <c r="O230" s="233"/>
      <c r="P230" s="233"/>
      <c r="Q230" s="233"/>
      <c r="R230" s="232">
        <f t="shared" si="23"/>
        <v>0</v>
      </c>
    </row>
    <row r="231" spans="1:18" s="29" customFormat="1" ht="12" hidden="1" customHeight="1">
      <c r="A231" s="140" t="s">
        <v>133</v>
      </c>
      <c r="B231" s="124" t="s">
        <v>122</v>
      </c>
      <c r="C231" s="205">
        <v>0</v>
      </c>
      <c r="D231" s="181">
        <v>0</v>
      </c>
      <c r="E231" s="254">
        <f>E232+E233</f>
        <v>0</v>
      </c>
      <c r="F231" s="254">
        <f>F232+F233</f>
        <v>0</v>
      </c>
      <c r="G231" s="254">
        <f>G232+G233</f>
        <v>0</v>
      </c>
      <c r="H231" s="232">
        <f t="shared" si="21"/>
        <v>0</v>
      </c>
      <c r="I231" s="254">
        <v>0</v>
      </c>
      <c r="J231" s="254">
        <f>J232+J233</f>
        <v>0</v>
      </c>
      <c r="K231" s="254">
        <f>K232+K233</f>
        <v>0</v>
      </c>
      <c r="L231" s="254">
        <f>L232+L233</f>
        <v>0</v>
      </c>
      <c r="M231" s="232">
        <f t="shared" si="22"/>
        <v>0</v>
      </c>
      <c r="N231" s="254">
        <v>0</v>
      </c>
      <c r="O231" s="254">
        <f>O232+O233</f>
        <v>0</v>
      </c>
      <c r="P231" s="254">
        <f>P232+P233</f>
        <v>0</v>
      </c>
      <c r="Q231" s="254">
        <f>Q232+Q233</f>
        <v>0</v>
      </c>
      <c r="R231" s="232">
        <f t="shared" si="23"/>
        <v>0</v>
      </c>
    </row>
    <row r="232" spans="1:18" s="29" customFormat="1" ht="12" hidden="1" customHeight="1">
      <c r="A232" s="140">
        <v>5000</v>
      </c>
      <c r="B232" s="124" t="s">
        <v>123</v>
      </c>
      <c r="C232" s="170"/>
      <c r="D232" s="176">
        <v>0</v>
      </c>
      <c r="E232" s="244"/>
      <c r="F232" s="244"/>
      <c r="G232" s="244"/>
      <c r="H232" s="232">
        <f t="shared" si="21"/>
        <v>0</v>
      </c>
      <c r="I232" s="233">
        <v>0</v>
      </c>
      <c r="J232" s="244"/>
      <c r="K232" s="244"/>
      <c r="L232" s="244"/>
      <c r="M232" s="232">
        <f t="shared" si="22"/>
        <v>0</v>
      </c>
      <c r="N232" s="233">
        <v>0</v>
      </c>
      <c r="O232" s="244"/>
      <c r="P232" s="244"/>
      <c r="Q232" s="244"/>
      <c r="R232" s="232">
        <f t="shared" si="23"/>
        <v>0</v>
      </c>
    </row>
    <row r="233" spans="1:18" s="29" customFormat="1" ht="12" hidden="1" customHeight="1">
      <c r="A233" s="140">
        <v>9000</v>
      </c>
      <c r="B233" s="182" t="s">
        <v>164</v>
      </c>
      <c r="C233" s="170">
        <v>0</v>
      </c>
      <c r="D233" s="171">
        <v>0</v>
      </c>
      <c r="E233" s="233">
        <f>E234+E240+E244+E247</f>
        <v>0</v>
      </c>
      <c r="F233" s="233">
        <f>F234+F240+F244+F247</f>
        <v>0</v>
      </c>
      <c r="G233" s="233">
        <f>G234+G240+G244+G247</f>
        <v>0</v>
      </c>
      <c r="H233" s="232">
        <f t="shared" si="21"/>
        <v>0</v>
      </c>
      <c r="I233" s="233">
        <v>0</v>
      </c>
      <c r="J233" s="233">
        <f>J234+J240+J244+J247</f>
        <v>0</v>
      </c>
      <c r="K233" s="233">
        <f>K234+K240+K244+K247</f>
        <v>0</v>
      </c>
      <c r="L233" s="233">
        <f>L234+L240+L244+L247</f>
        <v>0</v>
      </c>
      <c r="M233" s="232">
        <f t="shared" si="22"/>
        <v>0</v>
      </c>
      <c r="N233" s="233">
        <v>0</v>
      </c>
      <c r="O233" s="233">
        <f>O234+O240+O244+O247</f>
        <v>0</v>
      </c>
      <c r="P233" s="233">
        <f>P234+P240+P244+P247</f>
        <v>0</v>
      </c>
      <c r="Q233" s="233">
        <f>Q234+Q240+Q244+Q247</f>
        <v>0</v>
      </c>
      <c r="R233" s="232">
        <f t="shared" si="23"/>
        <v>0</v>
      </c>
    </row>
    <row r="234" spans="1:18" s="29" customFormat="1" ht="12" hidden="1" customHeight="1">
      <c r="A234" s="141">
        <v>9100</v>
      </c>
      <c r="B234" s="179" t="s">
        <v>124</v>
      </c>
      <c r="C234" s="170">
        <v>0</v>
      </c>
      <c r="D234" s="171">
        <v>0</v>
      </c>
      <c r="E234" s="233">
        <f>SUM(E235:E236)</f>
        <v>0</v>
      </c>
      <c r="F234" s="233">
        <f>SUM(F235:F236)</f>
        <v>0</v>
      </c>
      <c r="G234" s="233">
        <f>SUM(G235:G236)</f>
        <v>0</v>
      </c>
      <c r="H234" s="232">
        <f t="shared" si="21"/>
        <v>0</v>
      </c>
      <c r="I234" s="233">
        <v>0</v>
      </c>
      <c r="J234" s="233">
        <f>SUM(J235:J236)</f>
        <v>0</v>
      </c>
      <c r="K234" s="233">
        <f>SUM(K235:K236)</f>
        <v>0</v>
      </c>
      <c r="L234" s="233">
        <f>SUM(L235:L236)</f>
        <v>0</v>
      </c>
      <c r="M234" s="232">
        <f t="shared" si="22"/>
        <v>0</v>
      </c>
      <c r="N234" s="233">
        <v>0</v>
      </c>
      <c r="O234" s="233">
        <f>SUM(O235:O236)</f>
        <v>0</v>
      </c>
      <c r="P234" s="233">
        <f>SUM(P235:P236)</f>
        <v>0</v>
      </c>
      <c r="Q234" s="233">
        <f>SUM(Q235:Q236)</f>
        <v>0</v>
      </c>
      <c r="R234" s="232">
        <f t="shared" si="23"/>
        <v>0</v>
      </c>
    </row>
    <row r="235" spans="1:18" s="29" customFormat="1" ht="24" hidden="1" customHeight="1">
      <c r="A235" s="133" t="s">
        <v>125</v>
      </c>
      <c r="B235" s="179" t="s">
        <v>214</v>
      </c>
      <c r="C235" s="170"/>
      <c r="D235" s="171">
        <v>0</v>
      </c>
      <c r="E235" s="233"/>
      <c r="F235" s="233"/>
      <c r="G235" s="233"/>
      <c r="H235" s="232">
        <f t="shared" si="21"/>
        <v>0</v>
      </c>
      <c r="I235" s="233">
        <v>0</v>
      </c>
      <c r="J235" s="233"/>
      <c r="K235" s="233"/>
      <c r="L235" s="233"/>
      <c r="M235" s="232">
        <f t="shared" si="22"/>
        <v>0</v>
      </c>
      <c r="N235" s="233">
        <v>0</v>
      </c>
      <c r="O235" s="233"/>
      <c r="P235" s="233"/>
      <c r="Q235" s="233"/>
      <c r="R235" s="232">
        <f t="shared" si="23"/>
        <v>0</v>
      </c>
    </row>
    <row r="236" spans="1:18" s="29" customFormat="1" ht="24" hidden="1" customHeight="1">
      <c r="A236" s="133">
        <v>9140</v>
      </c>
      <c r="B236" s="179" t="s">
        <v>215</v>
      </c>
      <c r="C236" s="170">
        <v>0</v>
      </c>
      <c r="D236" s="171">
        <v>0</v>
      </c>
      <c r="E236" s="233">
        <f>SUM(E237:E239)</f>
        <v>0</v>
      </c>
      <c r="F236" s="233">
        <f>SUM(F237:F239)</f>
        <v>0</v>
      </c>
      <c r="G236" s="233">
        <f>SUM(G237:G239)</f>
        <v>0</v>
      </c>
      <c r="H236" s="232">
        <f t="shared" si="21"/>
        <v>0</v>
      </c>
      <c r="I236" s="233">
        <v>0</v>
      </c>
      <c r="J236" s="233">
        <f>SUM(J237:J239)</f>
        <v>0</v>
      </c>
      <c r="K236" s="233">
        <f>SUM(K237:K239)</f>
        <v>0</v>
      </c>
      <c r="L236" s="233">
        <f>SUM(L237:L239)</f>
        <v>0</v>
      </c>
      <c r="M236" s="232">
        <f t="shared" si="22"/>
        <v>0</v>
      </c>
      <c r="N236" s="233">
        <v>0</v>
      </c>
      <c r="O236" s="233">
        <f>SUM(O237:O239)</f>
        <v>0</v>
      </c>
      <c r="P236" s="233">
        <f>SUM(P237:P239)</f>
        <v>0</v>
      </c>
      <c r="Q236" s="233">
        <f>SUM(Q237:Q239)</f>
        <v>0</v>
      </c>
      <c r="R236" s="232">
        <f t="shared" si="23"/>
        <v>0</v>
      </c>
    </row>
    <row r="237" spans="1:18" s="29" customFormat="1" ht="36" hidden="1" customHeight="1">
      <c r="A237" s="134">
        <v>9141</v>
      </c>
      <c r="B237" s="172" t="s">
        <v>190</v>
      </c>
      <c r="C237" s="604"/>
      <c r="D237" s="619">
        <v>0</v>
      </c>
      <c r="E237" s="605"/>
      <c r="F237" s="605"/>
      <c r="G237" s="605"/>
      <c r="H237" s="232">
        <f t="shared" si="21"/>
        <v>0</v>
      </c>
      <c r="I237" s="605">
        <v>0</v>
      </c>
      <c r="J237" s="605"/>
      <c r="K237" s="605"/>
      <c r="L237" s="605"/>
      <c r="M237" s="232">
        <f t="shared" si="22"/>
        <v>0</v>
      </c>
      <c r="N237" s="605">
        <v>0</v>
      </c>
      <c r="O237" s="605"/>
      <c r="P237" s="605"/>
      <c r="Q237" s="605"/>
      <c r="R237" s="232">
        <f t="shared" si="23"/>
        <v>0</v>
      </c>
    </row>
    <row r="238" spans="1:18" s="29" customFormat="1" ht="36" hidden="1" customHeight="1">
      <c r="A238" s="134">
        <v>9142</v>
      </c>
      <c r="B238" s="172" t="s">
        <v>191</v>
      </c>
      <c r="C238" s="604"/>
      <c r="D238" s="619">
        <v>0</v>
      </c>
      <c r="E238" s="605"/>
      <c r="F238" s="605"/>
      <c r="G238" s="605"/>
      <c r="H238" s="232">
        <f t="shared" si="21"/>
        <v>0</v>
      </c>
      <c r="I238" s="605">
        <v>0</v>
      </c>
      <c r="J238" s="605"/>
      <c r="K238" s="605"/>
      <c r="L238" s="605"/>
      <c r="M238" s="232">
        <f t="shared" si="22"/>
        <v>0</v>
      </c>
      <c r="N238" s="605">
        <v>0</v>
      </c>
      <c r="O238" s="605"/>
      <c r="P238" s="605"/>
      <c r="Q238" s="605"/>
      <c r="R238" s="232">
        <f t="shared" si="23"/>
        <v>0</v>
      </c>
    </row>
    <row r="239" spans="1:18" s="29" customFormat="1" ht="24" hidden="1" customHeight="1">
      <c r="A239" s="134">
        <v>9149</v>
      </c>
      <c r="B239" s="172" t="s">
        <v>192</v>
      </c>
      <c r="C239" s="604"/>
      <c r="D239" s="619">
        <v>0</v>
      </c>
      <c r="E239" s="605"/>
      <c r="F239" s="605"/>
      <c r="G239" s="605"/>
      <c r="H239" s="232">
        <f t="shared" si="21"/>
        <v>0</v>
      </c>
      <c r="I239" s="605">
        <v>0</v>
      </c>
      <c r="J239" s="605"/>
      <c r="K239" s="605"/>
      <c r="L239" s="605"/>
      <c r="M239" s="232">
        <f t="shared" si="22"/>
        <v>0</v>
      </c>
      <c r="N239" s="605">
        <v>0</v>
      </c>
      <c r="O239" s="605"/>
      <c r="P239" s="605"/>
      <c r="Q239" s="605"/>
      <c r="R239" s="232">
        <f t="shared" si="23"/>
        <v>0</v>
      </c>
    </row>
    <row r="240" spans="1:18" s="29" customFormat="1" ht="24" hidden="1" customHeight="1">
      <c r="A240" s="141">
        <v>9500</v>
      </c>
      <c r="B240" s="172" t="s">
        <v>165</v>
      </c>
      <c r="C240" s="170">
        <v>0</v>
      </c>
      <c r="D240" s="171">
        <v>0</v>
      </c>
      <c r="E240" s="233">
        <f>SUM(E241:E243)</f>
        <v>0</v>
      </c>
      <c r="F240" s="233">
        <f>SUM(F241:F243)</f>
        <v>0</v>
      </c>
      <c r="G240" s="233">
        <f>SUM(G241:G243)</f>
        <v>0</v>
      </c>
      <c r="H240" s="232">
        <f t="shared" si="21"/>
        <v>0</v>
      </c>
      <c r="I240" s="233">
        <v>0</v>
      </c>
      <c r="J240" s="233">
        <f>SUM(J241:J243)</f>
        <v>0</v>
      </c>
      <c r="K240" s="233">
        <f>SUM(K241:K243)</f>
        <v>0</v>
      </c>
      <c r="L240" s="233">
        <f>SUM(L241:L243)</f>
        <v>0</v>
      </c>
      <c r="M240" s="232">
        <f t="shared" si="22"/>
        <v>0</v>
      </c>
      <c r="N240" s="233">
        <v>0</v>
      </c>
      <c r="O240" s="233">
        <f>SUM(O241:O243)</f>
        <v>0</v>
      </c>
      <c r="P240" s="233">
        <f>SUM(P241:P243)</f>
        <v>0</v>
      </c>
      <c r="Q240" s="233">
        <f>SUM(Q241:Q243)</f>
        <v>0</v>
      </c>
      <c r="R240" s="232">
        <f t="shared" si="23"/>
        <v>0</v>
      </c>
    </row>
    <row r="241" spans="1:18" s="29" customFormat="1" ht="24" hidden="1" customHeight="1">
      <c r="A241" s="133" t="s">
        <v>193</v>
      </c>
      <c r="B241" s="172" t="s">
        <v>171</v>
      </c>
      <c r="C241" s="170"/>
      <c r="D241" s="171">
        <v>0</v>
      </c>
      <c r="E241" s="233"/>
      <c r="F241" s="233"/>
      <c r="G241" s="233"/>
      <c r="H241" s="232">
        <f t="shared" si="21"/>
        <v>0</v>
      </c>
      <c r="I241" s="233">
        <v>0</v>
      </c>
      <c r="J241" s="233"/>
      <c r="K241" s="233"/>
      <c r="L241" s="233"/>
      <c r="M241" s="232">
        <f t="shared" si="22"/>
        <v>0</v>
      </c>
      <c r="N241" s="233">
        <v>0</v>
      </c>
      <c r="O241" s="233"/>
      <c r="P241" s="233"/>
      <c r="Q241" s="233"/>
      <c r="R241" s="232">
        <f t="shared" si="23"/>
        <v>0</v>
      </c>
    </row>
    <row r="242" spans="1:18" s="29" customFormat="1" ht="48" hidden="1" customHeight="1">
      <c r="A242" s="133">
        <v>9580</v>
      </c>
      <c r="B242" s="172" t="s">
        <v>166</v>
      </c>
      <c r="C242" s="604"/>
      <c r="D242" s="619">
        <v>0</v>
      </c>
      <c r="E242" s="605"/>
      <c r="F242" s="605"/>
      <c r="G242" s="605"/>
      <c r="H242" s="232">
        <f t="shared" si="21"/>
        <v>0</v>
      </c>
      <c r="I242" s="605">
        <v>0</v>
      </c>
      <c r="J242" s="605"/>
      <c r="K242" s="605"/>
      <c r="L242" s="605"/>
      <c r="M242" s="232">
        <f t="shared" si="22"/>
        <v>0</v>
      </c>
      <c r="N242" s="605">
        <v>0</v>
      </c>
      <c r="O242" s="605"/>
      <c r="P242" s="605"/>
      <c r="Q242" s="605"/>
      <c r="R242" s="232">
        <f t="shared" si="23"/>
        <v>0</v>
      </c>
    </row>
    <row r="243" spans="1:18" s="29" customFormat="1" ht="48" hidden="1" customHeight="1">
      <c r="A243" s="133">
        <v>9590</v>
      </c>
      <c r="B243" s="179" t="s">
        <v>172</v>
      </c>
      <c r="C243" s="604"/>
      <c r="D243" s="619">
        <v>0</v>
      </c>
      <c r="E243" s="605"/>
      <c r="F243" s="605"/>
      <c r="G243" s="605"/>
      <c r="H243" s="232">
        <f t="shared" si="21"/>
        <v>0</v>
      </c>
      <c r="I243" s="605">
        <v>0</v>
      </c>
      <c r="J243" s="605"/>
      <c r="K243" s="605"/>
      <c r="L243" s="605"/>
      <c r="M243" s="232">
        <f t="shared" si="22"/>
        <v>0</v>
      </c>
      <c r="N243" s="605">
        <v>0</v>
      </c>
      <c r="O243" s="605"/>
      <c r="P243" s="605"/>
      <c r="Q243" s="605"/>
      <c r="R243" s="232">
        <f t="shared" si="23"/>
        <v>0</v>
      </c>
    </row>
    <row r="244" spans="1:18" s="29" customFormat="1" ht="24" hidden="1" customHeight="1">
      <c r="A244" s="141">
        <v>9700</v>
      </c>
      <c r="B244" s="183" t="s">
        <v>194</v>
      </c>
      <c r="C244" s="170">
        <v>0</v>
      </c>
      <c r="D244" s="171">
        <v>0</v>
      </c>
      <c r="E244" s="233">
        <f>SUM(E245:E246)</f>
        <v>0</v>
      </c>
      <c r="F244" s="233">
        <f>SUM(F245:F246)</f>
        <v>0</v>
      </c>
      <c r="G244" s="233">
        <f>SUM(G245:G246)</f>
        <v>0</v>
      </c>
      <c r="H244" s="232">
        <f t="shared" si="21"/>
        <v>0</v>
      </c>
      <c r="I244" s="233">
        <v>0</v>
      </c>
      <c r="J244" s="233">
        <f>SUM(J245:J246)</f>
        <v>0</v>
      </c>
      <c r="K244" s="233">
        <f>SUM(K245:K246)</f>
        <v>0</v>
      </c>
      <c r="L244" s="233">
        <f>SUM(L245:L246)</f>
        <v>0</v>
      </c>
      <c r="M244" s="232">
        <f t="shared" si="22"/>
        <v>0</v>
      </c>
      <c r="N244" s="233">
        <v>0</v>
      </c>
      <c r="O244" s="233">
        <f>SUM(O245:O246)</f>
        <v>0</v>
      </c>
      <c r="P244" s="233">
        <f>SUM(P245:P246)</f>
        <v>0</v>
      </c>
      <c r="Q244" s="233">
        <f>SUM(Q245:Q246)</f>
        <v>0</v>
      </c>
      <c r="R244" s="232">
        <f t="shared" si="23"/>
        <v>0</v>
      </c>
    </row>
    <row r="245" spans="1:18" s="29" customFormat="1" ht="24" hidden="1" customHeight="1">
      <c r="A245" s="133">
        <v>9710</v>
      </c>
      <c r="B245" s="184" t="s">
        <v>195</v>
      </c>
      <c r="C245" s="604"/>
      <c r="D245" s="619">
        <v>0</v>
      </c>
      <c r="E245" s="605"/>
      <c r="F245" s="605"/>
      <c r="G245" s="605"/>
      <c r="H245" s="232">
        <f t="shared" si="21"/>
        <v>0</v>
      </c>
      <c r="I245" s="605">
        <v>0</v>
      </c>
      <c r="J245" s="605"/>
      <c r="K245" s="605"/>
      <c r="L245" s="605"/>
      <c r="M245" s="232">
        <f t="shared" si="22"/>
        <v>0</v>
      </c>
      <c r="N245" s="605">
        <v>0</v>
      </c>
      <c r="O245" s="605"/>
      <c r="P245" s="605"/>
      <c r="Q245" s="605"/>
      <c r="R245" s="232">
        <f t="shared" si="23"/>
        <v>0</v>
      </c>
    </row>
    <row r="246" spans="1:18" s="29" customFormat="1" ht="48" hidden="1" customHeight="1">
      <c r="A246" s="142">
        <v>9720</v>
      </c>
      <c r="B246" s="183" t="s">
        <v>196</v>
      </c>
      <c r="C246" s="604"/>
      <c r="D246" s="619">
        <v>0</v>
      </c>
      <c r="E246" s="605"/>
      <c r="F246" s="605"/>
      <c r="G246" s="605"/>
      <c r="H246" s="232">
        <f t="shared" si="21"/>
        <v>0</v>
      </c>
      <c r="I246" s="605">
        <v>0</v>
      </c>
      <c r="J246" s="605"/>
      <c r="K246" s="605"/>
      <c r="L246" s="605"/>
      <c r="M246" s="232">
        <f t="shared" si="22"/>
        <v>0</v>
      </c>
      <c r="N246" s="605">
        <v>0</v>
      </c>
      <c r="O246" s="605"/>
      <c r="P246" s="605"/>
      <c r="Q246" s="605"/>
      <c r="R246" s="232">
        <f t="shared" si="23"/>
        <v>0</v>
      </c>
    </row>
    <row r="247" spans="1:18" s="29" customFormat="1" ht="24" hidden="1" customHeight="1">
      <c r="A247" s="141">
        <v>9600</v>
      </c>
      <c r="B247" s="179" t="s">
        <v>134</v>
      </c>
      <c r="C247" s="604"/>
      <c r="D247" s="619">
        <v>0</v>
      </c>
      <c r="E247" s="605"/>
      <c r="F247" s="605"/>
      <c r="G247" s="605"/>
      <c r="H247" s="232">
        <f t="shared" si="21"/>
        <v>0</v>
      </c>
      <c r="I247" s="605">
        <v>0</v>
      </c>
      <c r="J247" s="605"/>
      <c r="K247" s="605"/>
      <c r="L247" s="605"/>
      <c r="M247" s="232">
        <f t="shared" si="22"/>
        <v>0</v>
      </c>
      <c r="N247" s="605">
        <v>0</v>
      </c>
      <c r="O247" s="605"/>
      <c r="P247" s="605"/>
      <c r="Q247" s="605"/>
      <c r="R247" s="232">
        <f t="shared" si="23"/>
        <v>0</v>
      </c>
    </row>
    <row r="248" spans="1:18" s="29" customFormat="1" ht="52.5" hidden="1" customHeight="1">
      <c r="A248" s="130" t="s">
        <v>197</v>
      </c>
      <c r="B248" s="185" t="s">
        <v>47</v>
      </c>
      <c r="C248" s="206"/>
      <c r="D248" s="186">
        <v>0</v>
      </c>
      <c r="E248" s="262">
        <f>E178-E203</f>
        <v>0</v>
      </c>
      <c r="F248" s="262">
        <f>F178-F203</f>
        <v>0</v>
      </c>
      <c r="G248" s="262">
        <f>G178-G203</f>
        <v>0</v>
      </c>
      <c r="H248" s="232">
        <f t="shared" si="21"/>
        <v>0</v>
      </c>
      <c r="I248" s="262">
        <v>0</v>
      </c>
      <c r="J248" s="262">
        <f>J178-J203</f>
        <v>0</v>
      </c>
      <c r="K248" s="262">
        <f>K178-K203</f>
        <v>0</v>
      </c>
      <c r="L248" s="262">
        <f>L178-L203</f>
        <v>0</v>
      </c>
      <c r="M248" s="232">
        <f t="shared" si="22"/>
        <v>0</v>
      </c>
      <c r="N248" s="262">
        <v>0</v>
      </c>
      <c r="O248" s="262">
        <f>O178-O203</f>
        <v>0</v>
      </c>
      <c r="P248" s="262">
        <f>P178-P203</f>
        <v>0</v>
      </c>
      <c r="Q248" s="262">
        <f>Q178-Q203</f>
        <v>0</v>
      </c>
      <c r="R248" s="232">
        <f t="shared" si="23"/>
        <v>0</v>
      </c>
    </row>
    <row r="249" spans="1:18" s="29" customFormat="1" ht="12" hidden="1" customHeight="1">
      <c r="A249" s="143" t="s">
        <v>48</v>
      </c>
      <c r="B249" s="185" t="s">
        <v>49</v>
      </c>
      <c r="C249" s="206">
        <v>0</v>
      </c>
      <c r="D249" s="186">
        <v>0</v>
      </c>
      <c r="E249" s="262">
        <f>E250+E253+E257+E256</f>
        <v>0</v>
      </c>
      <c r="F249" s="262">
        <f>F250+F253+F257+F256</f>
        <v>0</v>
      </c>
      <c r="G249" s="262">
        <f>G250+G253+G257+G256</f>
        <v>0</v>
      </c>
      <c r="H249" s="232">
        <f t="shared" si="21"/>
        <v>0</v>
      </c>
      <c r="I249" s="262">
        <v>0</v>
      </c>
      <c r="J249" s="262">
        <f>J250+J253+J257+J256</f>
        <v>0</v>
      </c>
      <c r="K249" s="262">
        <f>K250+K253+K257+K256</f>
        <v>0</v>
      </c>
      <c r="L249" s="262">
        <f>L250+L253+L257+L256</f>
        <v>0</v>
      </c>
      <c r="M249" s="232">
        <f t="shared" si="22"/>
        <v>0</v>
      </c>
      <c r="N249" s="262">
        <v>0</v>
      </c>
      <c r="O249" s="262">
        <f>O250+O253+O257+O256</f>
        <v>0</v>
      </c>
      <c r="P249" s="262">
        <f>P250+P253+P257+P256</f>
        <v>0</v>
      </c>
      <c r="Q249" s="262">
        <f>Q250+Q253+Q257+Q256</f>
        <v>0</v>
      </c>
      <c r="R249" s="232">
        <f t="shared" si="23"/>
        <v>0</v>
      </c>
    </row>
    <row r="250" spans="1:18" s="29" customFormat="1" ht="12" hidden="1" customHeight="1">
      <c r="A250" s="141" t="s">
        <v>50</v>
      </c>
      <c r="B250" s="179" t="s">
        <v>51</v>
      </c>
      <c r="C250" s="98">
        <v>0</v>
      </c>
      <c r="D250" s="169">
        <v>0</v>
      </c>
      <c r="E250" s="231">
        <f>E251+E252</f>
        <v>0</v>
      </c>
      <c r="F250" s="231">
        <f>F251+F252</f>
        <v>0</v>
      </c>
      <c r="G250" s="231">
        <f>G251+G252</f>
        <v>0</v>
      </c>
      <c r="H250" s="232">
        <f t="shared" si="21"/>
        <v>0</v>
      </c>
      <c r="I250" s="231">
        <v>0</v>
      </c>
      <c r="J250" s="231">
        <f>J251+J252</f>
        <v>0</v>
      </c>
      <c r="K250" s="231">
        <f>K251+K252</f>
        <v>0</v>
      </c>
      <c r="L250" s="231">
        <f>L251+L252</f>
        <v>0</v>
      </c>
      <c r="M250" s="232">
        <f t="shared" si="22"/>
        <v>0</v>
      </c>
      <c r="N250" s="231">
        <v>0</v>
      </c>
      <c r="O250" s="231">
        <f>O251+O252</f>
        <v>0</v>
      </c>
      <c r="P250" s="231">
        <f>P251+P252</f>
        <v>0</v>
      </c>
      <c r="Q250" s="231">
        <f>Q251+Q252</f>
        <v>0</v>
      </c>
      <c r="R250" s="232">
        <f t="shared" si="23"/>
        <v>0</v>
      </c>
    </row>
    <row r="251" spans="1:18" s="29" customFormat="1" ht="12" hidden="1" customHeight="1">
      <c r="A251" s="141" t="s">
        <v>52</v>
      </c>
      <c r="B251" s="179" t="s">
        <v>53</v>
      </c>
      <c r="C251" s="98"/>
      <c r="D251" s="169">
        <v>0</v>
      </c>
      <c r="E251" s="231"/>
      <c r="F251" s="231"/>
      <c r="G251" s="231"/>
      <c r="H251" s="232">
        <f t="shared" si="21"/>
        <v>0</v>
      </c>
      <c r="I251" s="231">
        <v>0</v>
      </c>
      <c r="J251" s="231"/>
      <c r="K251" s="231"/>
      <c r="L251" s="231"/>
      <c r="M251" s="232">
        <f t="shared" si="22"/>
        <v>0</v>
      </c>
      <c r="N251" s="231">
        <v>0</v>
      </c>
      <c r="O251" s="231"/>
      <c r="P251" s="231"/>
      <c r="Q251" s="231"/>
      <c r="R251" s="232">
        <f t="shared" si="23"/>
        <v>0</v>
      </c>
    </row>
    <row r="252" spans="1:18" s="29" customFormat="1" ht="12" hidden="1" customHeight="1">
      <c r="A252" s="141" t="s">
        <v>54</v>
      </c>
      <c r="B252" s="179" t="s">
        <v>55</v>
      </c>
      <c r="C252" s="98"/>
      <c r="D252" s="169">
        <v>0</v>
      </c>
      <c r="E252" s="231"/>
      <c r="F252" s="231"/>
      <c r="G252" s="231"/>
      <c r="H252" s="232">
        <f t="shared" si="21"/>
        <v>0</v>
      </c>
      <c r="I252" s="231">
        <v>0</v>
      </c>
      <c r="J252" s="231"/>
      <c r="K252" s="231"/>
      <c r="L252" s="231"/>
      <c r="M252" s="232">
        <f t="shared" si="22"/>
        <v>0</v>
      </c>
      <c r="N252" s="231">
        <v>0</v>
      </c>
      <c r="O252" s="231"/>
      <c r="P252" s="231"/>
      <c r="Q252" s="231"/>
      <c r="R252" s="232">
        <f t="shared" si="23"/>
        <v>0</v>
      </c>
    </row>
    <row r="253" spans="1:18" s="29" customFormat="1" ht="12" hidden="1" customHeight="1">
      <c r="A253" s="141" t="s">
        <v>56</v>
      </c>
      <c r="B253" s="179" t="s">
        <v>57</v>
      </c>
      <c r="C253" s="98">
        <v>0</v>
      </c>
      <c r="D253" s="169">
        <v>0</v>
      </c>
      <c r="E253" s="231">
        <f>E254+E255</f>
        <v>0</v>
      </c>
      <c r="F253" s="231">
        <f>F254+F255</f>
        <v>0</v>
      </c>
      <c r="G253" s="231">
        <f>G254+G255</f>
        <v>0</v>
      </c>
      <c r="H253" s="232">
        <f t="shared" si="21"/>
        <v>0</v>
      </c>
      <c r="I253" s="231">
        <v>0</v>
      </c>
      <c r="J253" s="231">
        <f>J254+J255</f>
        <v>0</v>
      </c>
      <c r="K253" s="231">
        <f>K254+K255</f>
        <v>0</v>
      </c>
      <c r="L253" s="231">
        <f>L254+L255</f>
        <v>0</v>
      </c>
      <c r="M253" s="232">
        <f t="shared" si="22"/>
        <v>0</v>
      </c>
      <c r="N253" s="231">
        <v>0</v>
      </c>
      <c r="O253" s="231">
        <f>O254+O255</f>
        <v>0</v>
      </c>
      <c r="P253" s="231">
        <f>P254+P255</f>
        <v>0</v>
      </c>
      <c r="Q253" s="231">
        <f>Q254+Q255</f>
        <v>0</v>
      </c>
      <c r="R253" s="232">
        <f t="shared" si="23"/>
        <v>0</v>
      </c>
    </row>
    <row r="254" spans="1:18" s="29" customFormat="1" ht="12" hidden="1" customHeight="1">
      <c r="A254" s="141" t="s">
        <v>58</v>
      </c>
      <c r="B254" s="179" t="s">
        <v>59</v>
      </c>
      <c r="C254" s="98"/>
      <c r="D254" s="169">
        <v>0</v>
      </c>
      <c r="E254" s="231"/>
      <c r="F254" s="231"/>
      <c r="G254" s="231"/>
      <c r="H254" s="232">
        <f t="shared" si="21"/>
        <v>0</v>
      </c>
      <c r="I254" s="231">
        <v>0</v>
      </c>
      <c r="J254" s="231"/>
      <c r="K254" s="231"/>
      <c r="L254" s="231"/>
      <c r="M254" s="232">
        <f t="shared" si="22"/>
        <v>0</v>
      </c>
      <c r="N254" s="231">
        <v>0</v>
      </c>
      <c r="O254" s="231"/>
      <c r="P254" s="231"/>
      <c r="Q254" s="231"/>
      <c r="R254" s="232">
        <f t="shared" si="23"/>
        <v>0</v>
      </c>
    </row>
    <row r="255" spans="1:18" s="29" customFormat="1" ht="12" hidden="1" customHeight="1">
      <c r="A255" s="141" t="s">
        <v>60</v>
      </c>
      <c r="B255" s="179" t="s">
        <v>61</v>
      </c>
      <c r="C255" s="98"/>
      <c r="D255" s="169">
        <v>0</v>
      </c>
      <c r="E255" s="231"/>
      <c r="F255" s="231"/>
      <c r="G255" s="231"/>
      <c r="H255" s="232">
        <f t="shared" si="21"/>
        <v>0</v>
      </c>
      <c r="I255" s="231">
        <v>0</v>
      </c>
      <c r="J255" s="231"/>
      <c r="K255" s="231"/>
      <c r="L255" s="231"/>
      <c r="M255" s="232">
        <f t="shared" si="22"/>
        <v>0</v>
      </c>
      <c r="N255" s="231">
        <v>0</v>
      </c>
      <c r="O255" s="231"/>
      <c r="P255" s="231"/>
      <c r="Q255" s="231"/>
      <c r="R255" s="232">
        <f t="shared" si="23"/>
        <v>0</v>
      </c>
    </row>
    <row r="256" spans="1:18" s="29" customFormat="1" ht="12" hidden="1" customHeight="1">
      <c r="A256" s="141" t="s">
        <v>198</v>
      </c>
      <c r="B256" s="187" t="s">
        <v>168</v>
      </c>
      <c r="C256" s="98"/>
      <c r="D256" s="169">
        <v>0</v>
      </c>
      <c r="E256" s="231"/>
      <c r="F256" s="231"/>
      <c r="G256" s="231"/>
      <c r="H256" s="232">
        <f t="shared" si="21"/>
        <v>0</v>
      </c>
      <c r="I256" s="231">
        <v>0</v>
      </c>
      <c r="J256" s="231"/>
      <c r="K256" s="231"/>
      <c r="L256" s="231"/>
      <c r="M256" s="232">
        <f t="shared" si="22"/>
        <v>0</v>
      </c>
      <c r="N256" s="231">
        <v>0</v>
      </c>
      <c r="O256" s="231"/>
      <c r="P256" s="231"/>
      <c r="Q256" s="231"/>
      <c r="R256" s="232">
        <f t="shared" si="23"/>
        <v>0</v>
      </c>
    </row>
    <row r="257" spans="1:18" s="29" customFormat="1" ht="12" hidden="1" customHeight="1">
      <c r="A257" s="144" t="s">
        <v>62</v>
      </c>
      <c r="B257" s="125" t="s">
        <v>63</v>
      </c>
      <c r="C257" s="170">
        <v>0</v>
      </c>
      <c r="D257" s="171">
        <v>0</v>
      </c>
      <c r="E257" s="233">
        <f>E258+E259+E260</f>
        <v>0</v>
      </c>
      <c r="F257" s="233">
        <f>F258+F259+F260</f>
        <v>0</v>
      </c>
      <c r="G257" s="233">
        <f>G258+G259+G260</f>
        <v>0</v>
      </c>
      <c r="H257" s="232">
        <f t="shared" si="21"/>
        <v>0</v>
      </c>
      <c r="I257" s="233">
        <v>0</v>
      </c>
      <c r="J257" s="233">
        <f>J258+J259+J260</f>
        <v>0</v>
      </c>
      <c r="K257" s="233">
        <f>K258+K259+K260</f>
        <v>0</v>
      </c>
      <c r="L257" s="233">
        <f>L258+L259+L260</f>
        <v>0</v>
      </c>
      <c r="M257" s="232">
        <f t="shared" si="22"/>
        <v>0</v>
      </c>
      <c r="N257" s="233">
        <v>0</v>
      </c>
      <c r="O257" s="233">
        <f>O258+O259+O260</f>
        <v>0</v>
      </c>
      <c r="P257" s="233">
        <f>P258+P259+P260</f>
        <v>0</v>
      </c>
      <c r="Q257" s="233">
        <f>Q258+Q259+Q260</f>
        <v>0</v>
      </c>
      <c r="R257" s="232">
        <f t="shared" si="23"/>
        <v>0</v>
      </c>
    </row>
    <row r="258" spans="1:18" s="29" customFormat="1" ht="36" hidden="1" customHeight="1">
      <c r="A258" s="144" t="s">
        <v>64</v>
      </c>
      <c r="B258" s="179" t="s">
        <v>65</v>
      </c>
      <c r="C258" s="98"/>
      <c r="D258" s="169">
        <v>0</v>
      </c>
      <c r="E258" s="231"/>
      <c r="F258" s="231"/>
      <c r="G258" s="231"/>
      <c r="H258" s="232">
        <f t="shared" si="21"/>
        <v>0</v>
      </c>
      <c r="I258" s="231">
        <v>0</v>
      </c>
      <c r="J258" s="231"/>
      <c r="K258" s="231"/>
      <c r="L258" s="231"/>
      <c r="M258" s="232">
        <f t="shared" si="22"/>
        <v>0</v>
      </c>
      <c r="N258" s="231">
        <v>0</v>
      </c>
      <c r="O258" s="231"/>
      <c r="P258" s="231"/>
      <c r="Q258" s="231"/>
      <c r="R258" s="232">
        <f t="shared" si="23"/>
        <v>0</v>
      </c>
    </row>
    <row r="259" spans="1:18" s="29" customFormat="1" ht="24" hidden="1" customHeight="1">
      <c r="A259" s="144" t="s">
        <v>66</v>
      </c>
      <c r="B259" s="179" t="s">
        <v>67</v>
      </c>
      <c r="C259" s="98"/>
      <c r="D259" s="169">
        <v>0</v>
      </c>
      <c r="E259" s="231"/>
      <c r="F259" s="231"/>
      <c r="G259" s="231"/>
      <c r="H259" s="232">
        <f t="shared" si="21"/>
        <v>0</v>
      </c>
      <c r="I259" s="231">
        <v>0</v>
      </c>
      <c r="J259" s="231"/>
      <c r="K259" s="231"/>
      <c r="L259" s="231"/>
      <c r="M259" s="232">
        <f t="shared" si="22"/>
        <v>0</v>
      </c>
      <c r="N259" s="231">
        <v>0</v>
      </c>
      <c r="O259" s="231"/>
      <c r="P259" s="231"/>
      <c r="Q259" s="231"/>
      <c r="R259" s="232">
        <f t="shared" si="23"/>
        <v>0</v>
      </c>
    </row>
    <row r="260" spans="1:18" s="29" customFormat="1" ht="24" hidden="1" customHeight="1">
      <c r="A260" s="144" t="s">
        <v>68</v>
      </c>
      <c r="B260" s="125" t="s">
        <v>69</v>
      </c>
      <c r="C260" s="98"/>
      <c r="D260" s="169">
        <v>0</v>
      </c>
      <c r="E260" s="231"/>
      <c r="F260" s="231"/>
      <c r="G260" s="231"/>
      <c r="H260" s="232">
        <f t="shared" si="21"/>
        <v>0</v>
      </c>
      <c r="I260" s="231">
        <v>0</v>
      </c>
      <c r="J260" s="231"/>
      <c r="K260" s="231"/>
      <c r="L260" s="231"/>
      <c r="M260" s="232">
        <f t="shared" si="22"/>
        <v>0</v>
      </c>
      <c r="N260" s="231">
        <v>0</v>
      </c>
      <c r="O260" s="231"/>
      <c r="P260" s="231"/>
      <c r="Q260" s="231"/>
      <c r="R260" s="232">
        <f t="shared" si="23"/>
        <v>0</v>
      </c>
    </row>
    <row r="261" spans="1:18" s="29" customFormat="1" ht="12">
      <c r="A261" s="271"/>
      <c r="B261" s="272"/>
      <c r="C261" s="253"/>
      <c r="D261" s="254"/>
      <c r="E261" s="253"/>
      <c r="F261" s="253"/>
      <c r="G261" s="253"/>
      <c r="H261" s="232"/>
      <c r="I261" s="254"/>
      <c r="J261" s="253"/>
      <c r="K261" s="253"/>
      <c r="L261" s="253"/>
      <c r="M261" s="232"/>
      <c r="N261" s="254"/>
      <c r="O261" s="253"/>
      <c r="P261" s="253"/>
      <c r="Q261" s="253"/>
      <c r="R261" s="232"/>
    </row>
    <row r="262" spans="1:18" ht="12">
      <c r="A262" s="33"/>
      <c r="B262" s="164"/>
      <c r="C262" s="165"/>
      <c r="D262" s="163"/>
      <c r="E262" s="165"/>
      <c r="F262" s="163"/>
      <c r="G262" s="163"/>
      <c r="H262" s="163"/>
      <c r="I262" s="163"/>
      <c r="J262" s="165"/>
      <c r="K262" s="163"/>
      <c r="L262" s="163"/>
      <c r="M262" s="163"/>
      <c r="N262" s="163"/>
      <c r="O262" s="165"/>
      <c r="P262" s="163"/>
      <c r="Q262" s="163"/>
      <c r="R262" s="163"/>
    </row>
    <row r="263" spans="1:18" ht="12">
      <c r="A263" s="33"/>
      <c r="B263" s="164"/>
      <c r="C263" s="165"/>
      <c r="D263" s="163"/>
      <c r="E263" s="165"/>
      <c r="F263" s="163"/>
      <c r="G263" s="163"/>
      <c r="H263" s="163"/>
      <c r="I263" s="163"/>
      <c r="J263" s="165"/>
      <c r="K263" s="163"/>
      <c r="L263" s="163"/>
      <c r="M263" s="163"/>
      <c r="N263" s="163"/>
      <c r="O263" s="165"/>
      <c r="P263" s="163"/>
      <c r="Q263" s="163"/>
      <c r="R263" s="163"/>
    </row>
    <row r="264" spans="1:18" ht="13.2">
      <c r="A264" s="615" t="s">
        <v>236</v>
      </c>
      <c r="B264" s="616" t="s">
        <v>237</v>
      </c>
      <c r="C264" s="165"/>
      <c r="D264" s="163"/>
      <c r="E264" s="165"/>
      <c r="F264" s="163"/>
      <c r="G264" s="163"/>
      <c r="H264" s="163"/>
      <c r="I264" s="163"/>
      <c r="J264" s="165"/>
      <c r="K264" s="163"/>
      <c r="L264" s="163"/>
      <c r="M264" s="163"/>
      <c r="N264" s="163"/>
      <c r="O264" s="165"/>
      <c r="P264" s="163"/>
      <c r="Q264" s="163"/>
      <c r="R264" s="163"/>
    </row>
    <row r="265" spans="1:18" ht="13.2">
      <c r="A265" s="371"/>
      <c r="B265" s="372" t="s">
        <v>238</v>
      </c>
      <c r="C265" s="165"/>
      <c r="D265" s="163"/>
      <c r="E265" s="165"/>
      <c r="F265" s="163"/>
      <c r="G265" s="163"/>
      <c r="H265" s="163"/>
      <c r="I265" s="163"/>
      <c r="J265" s="165"/>
      <c r="K265" s="163"/>
      <c r="L265" s="163"/>
      <c r="M265" s="163"/>
      <c r="N265" s="163"/>
      <c r="O265" s="165"/>
      <c r="P265" s="163"/>
      <c r="Q265" s="163"/>
      <c r="R265" s="163"/>
    </row>
    <row r="266" spans="1:18" ht="13.2">
      <c r="A266" s="373" t="s">
        <v>223</v>
      </c>
      <c r="B266" s="374" t="s">
        <v>434</v>
      </c>
      <c r="C266" s="165"/>
      <c r="D266" s="163"/>
      <c r="E266" s="165"/>
      <c r="F266" s="163"/>
      <c r="G266" s="163"/>
      <c r="H266" s="163"/>
      <c r="I266" s="163"/>
      <c r="J266" s="165"/>
      <c r="K266" s="163"/>
      <c r="L266" s="163"/>
      <c r="M266" s="163"/>
      <c r="N266" s="163"/>
      <c r="O266" s="165"/>
      <c r="P266" s="163"/>
      <c r="Q266" s="163"/>
      <c r="R266" s="163"/>
    </row>
    <row r="267" spans="1:18" ht="13.2">
      <c r="A267" s="375" t="s">
        <v>240</v>
      </c>
      <c r="B267" s="376" t="s">
        <v>241</v>
      </c>
      <c r="C267" s="165"/>
      <c r="D267" s="163"/>
      <c r="E267" s="165"/>
      <c r="F267" s="163"/>
      <c r="G267" s="163"/>
      <c r="H267" s="163"/>
      <c r="I267" s="163"/>
      <c r="J267" s="165"/>
      <c r="K267" s="163"/>
      <c r="L267" s="163"/>
      <c r="M267" s="163"/>
      <c r="N267" s="163"/>
      <c r="O267" s="165"/>
      <c r="P267" s="163"/>
      <c r="Q267" s="163"/>
      <c r="R267" s="163"/>
    </row>
    <row r="268" spans="1:18" ht="13.2">
      <c r="A268" s="377"/>
      <c r="B268" s="376"/>
      <c r="C268" s="165"/>
      <c r="D268" s="163"/>
      <c r="E268" s="165"/>
      <c r="F268" s="163"/>
      <c r="G268" s="163"/>
      <c r="H268" s="163"/>
      <c r="I268" s="163"/>
      <c r="J268" s="165"/>
      <c r="K268" s="163"/>
      <c r="L268" s="163"/>
      <c r="M268" s="163"/>
      <c r="N268" s="163"/>
      <c r="O268" s="165"/>
      <c r="P268" s="163"/>
      <c r="Q268" s="165"/>
      <c r="R268" s="163"/>
    </row>
    <row r="269" spans="1:18" ht="13.2">
      <c r="A269" s="378" t="s">
        <v>224</v>
      </c>
      <c r="B269" s="374" t="s">
        <v>242</v>
      </c>
      <c r="C269" s="165"/>
      <c r="D269" s="163"/>
      <c r="E269" s="165"/>
      <c r="F269" s="163"/>
      <c r="G269" s="165"/>
      <c r="H269" s="163"/>
      <c r="I269" s="163"/>
      <c r="J269" s="165"/>
      <c r="K269" s="163"/>
      <c r="L269" s="165"/>
      <c r="M269" s="163"/>
      <c r="N269" s="163"/>
      <c r="O269" s="165"/>
      <c r="P269" s="163"/>
      <c r="Q269" s="163"/>
      <c r="R269" s="163"/>
    </row>
    <row r="270" spans="1:18" ht="26.4">
      <c r="A270" s="375" t="s">
        <v>243</v>
      </c>
      <c r="B270" s="376" t="s">
        <v>571</v>
      </c>
      <c r="C270" s="165"/>
      <c r="D270" s="163"/>
      <c r="E270" s="165"/>
      <c r="F270" s="163"/>
      <c r="G270" s="165">
        <v>100000</v>
      </c>
      <c r="H270" s="163"/>
      <c r="I270" s="163"/>
      <c r="J270" s="165"/>
      <c r="K270" s="163"/>
      <c r="L270" s="165">
        <v>100000</v>
      </c>
      <c r="M270" s="163"/>
      <c r="N270" s="163"/>
      <c r="O270" s="165"/>
      <c r="P270" s="163"/>
      <c r="Q270" s="165">
        <v>100000</v>
      </c>
      <c r="R270" s="163"/>
    </row>
    <row r="271" spans="1:18" ht="13.2">
      <c r="A271" s="377"/>
      <c r="B271" s="376"/>
      <c r="C271" s="165"/>
      <c r="D271" s="163"/>
      <c r="E271" s="165"/>
      <c r="F271" s="163"/>
      <c r="G271" s="163"/>
      <c r="H271" s="163"/>
      <c r="I271" s="163"/>
      <c r="J271" s="165"/>
      <c r="K271" s="163"/>
      <c r="L271" s="163"/>
      <c r="M271" s="163"/>
      <c r="N271" s="163"/>
      <c r="O271" s="165"/>
      <c r="P271" s="163"/>
      <c r="Q271" s="163"/>
      <c r="R271" s="163"/>
    </row>
    <row r="272" spans="1:18" ht="13.2">
      <c r="A272" s="615" t="s">
        <v>245</v>
      </c>
      <c r="B272" s="616" t="s">
        <v>140</v>
      </c>
      <c r="C272" s="165"/>
      <c r="D272" s="163"/>
      <c r="E272" s="165"/>
      <c r="F272" s="163"/>
      <c r="G272" s="163"/>
      <c r="H272" s="163"/>
      <c r="I272" s="163"/>
      <c r="J272" s="165"/>
      <c r="K272" s="163"/>
      <c r="L272" s="163"/>
      <c r="M272" s="163"/>
      <c r="N272" s="163"/>
      <c r="O272" s="165"/>
      <c r="P272" s="163"/>
      <c r="Q272" s="163"/>
      <c r="R272" s="163"/>
    </row>
    <row r="273" spans="1:18" ht="13.2">
      <c r="A273" s="371"/>
      <c r="B273" s="372" t="s">
        <v>238</v>
      </c>
      <c r="C273" s="165"/>
      <c r="D273" s="163"/>
      <c r="E273" s="165"/>
      <c r="F273" s="163"/>
      <c r="G273" s="163"/>
      <c r="H273" s="163"/>
      <c r="I273" s="163"/>
      <c r="J273" s="165"/>
      <c r="K273" s="163"/>
      <c r="L273" s="163"/>
      <c r="M273" s="163"/>
      <c r="N273" s="163"/>
      <c r="O273" s="165"/>
      <c r="P273" s="163"/>
      <c r="Q273" s="163"/>
      <c r="R273" s="163"/>
    </row>
    <row r="274" spans="1:18" ht="13.2">
      <c r="A274" s="373" t="s">
        <v>223</v>
      </c>
      <c r="B274" s="374" t="s">
        <v>434</v>
      </c>
      <c r="C274" s="165"/>
      <c r="D274" s="163"/>
      <c r="E274" s="165"/>
      <c r="F274" s="163"/>
      <c r="G274" s="163"/>
      <c r="H274" s="163"/>
      <c r="I274" s="163"/>
      <c r="J274" s="165"/>
      <c r="K274" s="163"/>
      <c r="L274" s="163"/>
      <c r="M274" s="163"/>
      <c r="N274" s="163"/>
      <c r="O274" s="165"/>
      <c r="P274" s="163"/>
      <c r="Q274" s="163"/>
      <c r="R274" s="163"/>
    </row>
    <row r="275" spans="1:18" ht="13.2">
      <c r="A275" s="375" t="s">
        <v>240</v>
      </c>
      <c r="B275" s="376" t="s">
        <v>241</v>
      </c>
      <c r="C275" s="165"/>
      <c r="D275" s="163"/>
      <c r="E275" s="165"/>
      <c r="F275" s="163"/>
      <c r="G275" s="163"/>
      <c r="H275" s="163"/>
      <c r="I275" s="163"/>
      <c r="J275" s="165"/>
      <c r="K275" s="163"/>
      <c r="L275" s="163"/>
      <c r="M275" s="163"/>
      <c r="N275" s="163"/>
      <c r="O275" s="165"/>
      <c r="P275" s="163"/>
      <c r="Q275" s="163"/>
      <c r="R275" s="163"/>
    </row>
    <row r="276" spans="1:18" ht="13.2">
      <c r="A276" s="377"/>
      <c r="B276" s="376"/>
      <c r="C276" s="165"/>
      <c r="D276" s="163"/>
      <c r="E276" s="165"/>
      <c r="F276" s="163"/>
      <c r="G276" s="163"/>
      <c r="H276" s="163"/>
      <c r="I276" s="163"/>
      <c r="J276" s="165"/>
      <c r="K276" s="163"/>
      <c r="L276" s="163"/>
      <c r="M276" s="163"/>
      <c r="N276" s="163"/>
      <c r="O276" s="165"/>
      <c r="P276" s="163"/>
      <c r="Q276" s="163"/>
      <c r="R276" s="163"/>
    </row>
    <row r="277" spans="1:18" ht="13.2">
      <c r="A277" s="378" t="s">
        <v>224</v>
      </c>
      <c r="B277" s="374" t="s">
        <v>242</v>
      </c>
      <c r="C277" s="165"/>
      <c r="D277" s="163"/>
      <c r="E277" s="165"/>
      <c r="F277" s="163"/>
      <c r="G277" s="163"/>
      <c r="H277" s="163"/>
      <c r="I277" s="163"/>
      <c r="J277" s="165"/>
      <c r="K277" s="163"/>
      <c r="L277" s="163"/>
      <c r="M277" s="163"/>
      <c r="N277" s="163"/>
      <c r="O277" s="165"/>
      <c r="P277" s="163"/>
      <c r="Q277" s="163"/>
      <c r="R277" s="163"/>
    </row>
    <row r="278" spans="1:18" ht="13.2">
      <c r="A278" s="375" t="s">
        <v>243</v>
      </c>
      <c r="B278" s="376" t="s">
        <v>244</v>
      </c>
      <c r="C278" s="165"/>
      <c r="D278" s="163"/>
      <c r="E278" s="165"/>
      <c r="F278" s="163"/>
      <c r="G278" s="163"/>
      <c r="H278" s="163"/>
      <c r="I278" s="163"/>
      <c r="J278" s="165"/>
      <c r="K278" s="163"/>
      <c r="L278" s="163"/>
      <c r="M278" s="163"/>
      <c r="N278" s="163"/>
      <c r="O278" s="165"/>
      <c r="P278" s="163"/>
      <c r="Q278" s="163"/>
      <c r="R278" s="163"/>
    </row>
    <row r="279" spans="1:18" ht="12">
      <c r="A279" s="33"/>
      <c r="B279" s="34"/>
      <c r="C279" s="165"/>
      <c r="D279" s="163"/>
      <c r="E279" s="165"/>
      <c r="F279" s="163"/>
      <c r="G279" s="163"/>
      <c r="H279" s="163"/>
      <c r="I279" s="163"/>
      <c r="J279" s="165"/>
      <c r="K279" s="163"/>
      <c r="L279" s="163"/>
      <c r="M279" s="163"/>
      <c r="N279" s="163"/>
      <c r="O279" s="165"/>
      <c r="P279" s="163"/>
      <c r="Q279" s="163"/>
      <c r="R279" s="163"/>
    </row>
    <row r="280" spans="1:18" ht="12">
      <c r="A280" s="33"/>
      <c r="B280" s="34" t="s">
        <v>572</v>
      </c>
      <c r="C280" s="165"/>
      <c r="D280" s="163"/>
      <c r="E280" s="165" t="s">
        <v>573</v>
      </c>
      <c r="F280" s="163"/>
      <c r="G280" s="163"/>
      <c r="H280" s="163"/>
      <c r="I280" s="163"/>
      <c r="J280" s="165"/>
      <c r="K280" s="163"/>
      <c r="L280" s="163"/>
      <c r="M280" s="163"/>
      <c r="N280" s="163"/>
      <c r="O280" s="165"/>
      <c r="P280" s="163"/>
      <c r="Q280" s="163"/>
      <c r="R280" s="163"/>
    </row>
    <row r="281" spans="1:18" ht="12">
      <c r="A281" s="33"/>
      <c r="B281" s="31"/>
      <c r="C281" s="165"/>
      <c r="D281" s="163"/>
      <c r="E281" s="165"/>
      <c r="F281" s="163"/>
      <c r="G281" s="163"/>
      <c r="H281" s="163"/>
      <c r="I281" s="163"/>
      <c r="J281" s="165"/>
      <c r="K281" s="163"/>
      <c r="L281" s="163"/>
      <c r="M281" s="163"/>
      <c r="N281" s="163"/>
      <c r="O281" s="165"/>
      <c r="P281" s="163"/>
      <c r="Q281" s="163"/>
      <c r="R281" s="163"/>
    </row>
    <row r="282" spans="1:18" ht="12">
      <c r="B282" s="1" t="s">
        <v>574</v>
      </c>
      <c r="E282" s="165" t="s">
        <v>575</v>
      </c>
      <c r="F282" s="163"/>
      <c r="G282" s="163"/>
      <c r="H282" s="163"/>
      <c r="I282" s="163"/>
      <c r="J282" s="165"/>
      <c r="K282" s="163"/>
      <c r="L282" s="163"/>
      <c r="M282" s="163"/>
      <c r="N282" s="163"/>
      <c r="O282" s="165"/>
      <c r="P282" s="163"/>
      <c r="Q282" s="163"/>
      <c r="R282" s="163"/>
    </row>
    <row r="283" spans="1:18" ht="12">
      <c r="B283" s="1" t="s">
        <v>576</v>
      </c>
      <c r="E283" s="165"/>
      <c r="F283" s="163"/>
      <c r="G283" s="163"/>
      <c r="H283" s="163"/>
      <c r="I283" s="163"/>
      <c r="J283" s="165"/>
      <c r="K283" s="163"/>
      <c r="L283" s="163"/>
      <c r="M283" s="163"/>
      <c r="N283" s="163"/>
      <c r="O283" s="165"/>
      <c r="P283" s="163"/>
      <c r="Q283" s="163"/>
      <c r="R283" s="163"/>
    </row>
    <row r="284" spans="1:18" ht="12">
      <c r="B284" s="1" t="s">
        <v>577</v>
      </c>
      <c r="E284" s="165"/>
      <c r="F284" s="163"/>
      <c r="G284" s="163"/>
      <c r="H284" s="163"/>
      <c r="I284" s="163"/>
      <c r="J284" s="165"/>
      <c r="K284" s="163"/>
      <c r="L284" s="163"/>
      <c r="M284" s="163"/>
      <c r="N284" s="163"/>
      <c r="O284" s="165"/>
      <c r="P284" s="163"/>
      <c r="Q284" s="163"/>
      <c r="R284" s="163"/>
    </row>
    <row r="285" spans="1:18" ht="12">
      <c r="B285" s="1" t="s">
        <v>578</v>
      </c>
      <c r="E285" s="165"/>
      <c r="F285" s="163"/>
      <c r="G285" s="163"/>
      <c r="H285" s="163"/>
      <c r="I285" s="163"/>
      <c r="J285" s="165"/>
      <c r="K285" s="163"/>
      <c r="L285" s="163"/>
      <c r="M285" s="163"/>
      <c r="N285" s="163"/>
      <c r="O285" s="165"/>
      <c r="P285" s="163"/>
      <c r="Q285" s="163"/>
      <c r="R285" s="163"/>
    </row>
    <row r="286" spans="1:18" ht="12">
      <c r="E286" s="165"/>
      <c r="F286" s="163"/>
      <c r="G286" s="163"/>
      <c r="H286" s="163"/>
      <c r="I286" s="163"/>
      <c r="J286" s="165"/>
      <c r="K286" s="163"/>
      <c r="L286" s="163"/>
      <c r="M286" s="163"/>
      <c r="N286" s="163"/>
      <c r="O286" s="165"/>
      <c r="P286" s="163"/>
      <c r="Q286" s="163"/>
      <c r="R286" s="163"/>
    </row>
    <row r="287" spans="1:18" ht="12">
      <c r="E287" s="165"/>
      <c r="F287" s="163"/>
      <c r="G287" s="163"/>
      <c r="H287" s="163"/>
      <c r="I287" s="163"/>
      <c r="J287" s="165"/>
      <c r="K287" s="163"/>
      <c r="L287" s="163"/>
      <c r="M287" s="163"/>
      <c r="N287" s="163"/>
      <c r="O287" s="165"/>
      <c r="P287" s="163"/>
      <c r="Q287" s="163"/>
      <c r="R287" s="163"/>
    </row>
    <row r="288" spans="1:18" ht="12">
      <c r="E288" s="165"/>
      <c r="F288" s="163"/>
      <c r="G288" s="163"/>
      <c r="H288" s="163"/>
      <c r="I288" s="163"/>
      <c r="J288" s="165"/>
      <c r="K288" s="163"/>
      <c r="L288" s="163"/>
      <c r="M288" s="163"/>
      <c r="N288" s="163"/>
      <c r="O288" s="165"/>
      <c r="P288" s="163"/>
      <c r="Q288" s="163"/>
      <c r="R288" s="163"/>
    </row>
    <row r="289" spans="5:18" ht="12">
      <c r="E289" s="165"/>
      <c r="F289" s="163"/>
      <c r="G289" s="163"/>
      <c r="H289" s="163"/>
      <c r="I289" s="163"/>
      <c r="J289" s="165"/>
      <c r="K289" s="163"/>
      <c r="L289" s="163"/>
      <c r="M289" s="163"/>
      <c r="N289" s="163"/>
      <c r="O289" s="165"/>
      <c r="P289" s="163"/>
      <c r="Q289" s="163"/>
      <c r="R289" s="163"/>
    </row>
    <row r="290" spans="5:18" ht="12">
      <c r="E290" s="165"/>
      <c r="F290" s="163"/>
      <c r="G290" s="163"/>
      <c r="H290" s="163"/>
      <c r="I290" s="163"/>
      <c r="J290" s="165"/>
      <c r="K290" s="163"/>
      <c r="L290" s="163"/>
      <c r="M290" s="163"/>
      <c r="N290" s="163"/>
      <c r="O290" s="165"/>
      <c r="P290" s="163"/>
      <c r="Q290" s="163"/>
      <c r="R290" s="163"/>
    </row>
    <row r="291" spans="5:18" ht="12">
      <c r="E291" s="165"/>
      <c r="F291" s="163"/>
      <c r="G291" s="163"/>
      <c r="H291" s="163"/>
      <c r="I291" s="163"/>
      <c r="J291" s="165"/>
      <c r="K291" s="163"/>
      <c r="L291" s="163"/>
      <c r="M291" s="163"/>
      <c r="N291" s="163"/>
      <c r="O291" s="165"/>
      <c r="P291" s="163"/>
      <c r="Q291" s="163"/>
      <c r="R291" s="163"/>
    </row>
    <row r="292" spans="5:18" ht="12">
      <c r="E292" s="165"/>
      <c r="F292" s="163"/>
      <c r="G292" s="163"/>
      <c r="H292" s="163"/>
      <c r="I292" s="163"/>
      <c r="J292" s="165"/>
      <c r="K292" s="163"/>
      <c r="L292" s="163"/>
      <c r="M292" s="163"/>
      <c r="N292" s="163"/>
      <c r="O292" s="165"/>
      <c r="P292" s="163"/>
      <c r="Q292" s="163"/>
      <c r="R292" s="163"/>
    </row>
    <row r="293" spans="5:18" ht="12">
      <c r="E293" s="165"/>
      <c r="F293" s="163"/>
      <c r="G293" s="163"/>
      <c r="H293" s="163"/>
      <c r="I293" s="163"/>
      <c r="J293" s="165"/>
      <c r="K293" s="163"/>
      <c r="L293" s="163"/>
      <c r="M293" s="163"/>
      <c r="N293" s="163"/>
      <c r="O293" s="165"/>
      <c r="P293" s="163"/>
      <c r="Q293" s="163"/>
      <c r="R293" s="163"/>
    </row>
    <row r="294" spans="5:18" ht="12">
      <c r="E294" s="165"/>
      <c r="F294" s="163"/>
      <c r="G294" s="163"/>
      <c r="H294" s="163"/>
      <c r="I294" s="163"/>
      <c r="J294" s="165"/>
      <c r="K294" s="163"/>
      <c r="L294" s="163"/>
      <c r="M294" s="163"/>
      <c r="N294" s="163"/>
      <c r="O294" s="165"/>
      <c r="P294" s="163"/>
      <c r="Q294" s="163"/>
      <c r="R294" s="163"/>
    </row>
    <row r="295" spans="5:18" ht="12">
      <c r="E295" s="165"/>
      <c r="F295" s="163"/>
      <c r="G295" s="163"/>
      <c r="H295" s="163"/>
      <c r="I295" s="163"/>
      <c r="J295" s="165"/>
      <c r="K295" s="163"/>
      <c r="L295" s="163"/>
      <c r="M295" s="163"/>
      <c r="N295" s="163"/>
      <c r="O295" s="165"/>
      <c r="P295" s="163"/>
      <c r="Q295" s="163"/>
      <c r="R295" s="163"/>
    </row>
    <row r="296" spans="5:18" ht="12">
      <c r="E296" s="165"/>
      <c r="F296" s="163"/>
      <c r="G296" s="163"/>
      <c r="H296" s="163"/>
      <c r="I296" s="163"/>
      <c r="J296" s="165"/>
      <c r="K296" s="163"/>
      <c r="L296" s="163"/>
      <c r="M296" s="163"/>
      <c r="N296" s="163"/>
      <c r="O296" s="165"/>
      <c r="P296" s="163"/>
      <c r="Q296" s="163"/>
      <c r="R296" s="163"/>
    </row>
    <row r="297" spans="5:18" ht="12">
      <c r="E297" s="165"/>
      <c r="F297" s="163"/>
      <c r="G297" s="163"/>
      <c r="H297" s="163"/>
      <c r="I297" s="163"/>
      <c r="J297" s="165"/>
      <c r="K297" s="163"/>
      <c r="L297" s="163"/>
      <c r="M297" s="163"/>
      <c r="N297" s="163"/>
      <c r="O297" s="165"/>
      <c r="P297" s="163"/>
      <c r="Q297" s="163"/>
      <c r="R297" s="163"/>
    </row>
    <row r="298" spans="5:18" ht="12">
      <c r="E298" s="165"/>
      <c r="F298" s="163"/>
      <c r="G298" s="163"/>
      <c r="H298" s="163"/>
      <c r="I298" s="163"/>
      <c r="J298" s="165"/>
      <c r="K298" s="163"/>
      <c r="L298" s="163"/>
      <c r="M298" s="163"/>
      <c r="N298" s="163"/>
      <c r="O298" s="165"/>
      <c r="P298" s="163"/>
      <c r="Q298" s="163"/>
      <c r="R298" s="163"/>
    </row>
    <row r="299" spans="5:18" ht="12">
      <c r="E299" s="165"/>
      <c r="F299" s="163"/>
      <c r="G299" s="163"/>
      <c r="H299" s="163"/>
      <c r="I299" s="163"/>
      <c r="J299" s="165"/>
      <c r="K299" s="163"/>
      <c r="L299" s="163"/>
      <c r="M299" s="163"/>
      <c r="N299" s="163"/>
      <c r="O299" s="165"/>
      <c r="P299" s="163"/>
      <c r="Q299" s="163"/>
      <c r="R299" s="163"/>
    </row>
    <row r="300" spans="5:18" ht="12">
      <c r="E300" s="165"/>
      <c r="F300" s="163"/>
      <c r="G300" s="163"/>
      <c r="H300" s="163"/>
      <c r="I300" s="163"/>
      <c r="J300" s="165"/>
      <c r="K300" s="163"/>
      <c r="L300" s="163"/>
      <c r="M300" s="163"/>
      <c r="N300" s="163"/>
      <c r="O300" s="165"/>
      <c r="P300" s="163"/>
      <c r="Q300" s="163"/>
      <c r="R300" s="163"/>
    </row>
    <row r="301" spans="5:18" ht="12">
      <c r="E301" s="165"/>
      <c r="F301" s="163"/>
      <c r="G301" s="163"/>
      <c r="H301" s="163"/>
      <c r="I301" s="163"/>
      <c r="J301" s="165"/>
      <c r="K301" s="163"/>
      <c r="L301" s="163"/>
      <c r="M301" s="163"/>
      <c r="N301" s="163"/>
      <c r="O301" s="165"/>
      <c r="P301" s="163"/>
      <c r="Q301" s="163"/>
      <c r="R301" s="163"/>
    </row>
    <row r="302" spans="5:18" ht="12">
      <c r="E302" s="165"/>
      <c r="F302" s="163"/>
      <c r="G302" s="163"/>
      <c r="H302" s="163"/>
      <c r="I302" s="163"/>
      <c r="J302" s="165"/>
      <c r="K302" s="163"/>
      <c r="L302" s="163"/>
      <c r="M302" s="163"/>
      <c r="N302" s="163"/>
      <c r="O302" s="165"/>
      <c r="P302" s="163"/>
      <c r="Q302" s="163"/>
      <c r="R302" s="163"/>
    </row>
    <row r="303" spans="5:18" ht="12">
      <c r="E303" s="165"/>
      <c r="F303" s="163"/>
      <c r="G303" s="163"/>
      <c r="H303" s="163"/>
      <c r="I303" s="163"/>
      <c r="J303" s="165"/>
      <c r="K303" s="163"/>
      <c r="L303" s="163"/>
      <c r="M303" s="163"/>
      <c r="N303" s="163"/>
      <c r="O303" s="165"/>
      <c r="P303" s="163"/>
      <c r="Q303" s="163"/>
      <c r="R303" s="163"/>
    </row>
    <row r="304" spans="5:18" ht="12">
      <c r="E304" s="165"/>
      <c r="F304" s="163"/>
      <c r="G304" s="163"/>
      <c r="H304" s="163"/>
      <c r="I304" s="163"/>
      <c r="J304" s="165"/>
      <c r="K304" s="163"/>
      <c r="L304" s="163"/>
      <c r="M304" s="163"/>
      <c r="N304" s="163"/>
      <c r="O304" s="165"/>
      <c r="P304" s="163"/>
      <c r="Q304" s="163"/>
      <c r="R304" s="163"/>
    </row>
    <row r="305" spans="5:18" ht="12">
      <c r="E305" s="165"/>
      <c r="F305" s="163"/>
      <c r="G305" s="163"/>
      <c r="H305" s="163"/>
      <c r="I305" s="163"/>
      <c r="J305" s="165"/>
      <c r="K305" s="163"/>
      <c r="L305" s="163"/>
      <c r="M305" s="163"/>
      <c r="N305" s="163"/>
      <c r="O305" s="165"/>
      <c r="P305" s="163"/>
      <c r="Q305" s="163"/>
      <c r="R305" s="163"/>
    </row>
    <row r="306" spans="5:18" ht="12">
      <c r="E306" s="165"/>
      <c r="F306" s="163"/>
      <c r="G306" s="163"/>
      <c r="H306" s="163"/>
      <c r="I306" s="163"/>
      <c r="J306" s="165"/>
      <c r="K306" s="163"/>
      <c r="L306" s="163"/>
      <c r="M306" s="163"/>
      <c r="N306" s="163"/>
      <c r="O306" s="165"/>
      <c r="P306" s="163"/>
      <c r="Q306" s="163"/>
      <c r="R306" s="163"/>
    </row>
    <row r="307" spans="5:18" ht="12">
      <c r="E307" s="165"/>
      <c r="F307" s="163"/>
      <c r="G307" s="163"/>
      <c r="H307" s="163"/>
      <c r="I307" s="163"/>
      <c r="J307" s="165"/>
      <c r="K307" s="163"/>
      <c r="L307" s="163"/>
      <c r="M307" s="163"/>
      <c r="N307" s="163"/>
      <c r="O307" s="165"/>
      <c r="P307" s="163"/>
      <c r="Q307" s="163"/>
      <c r="R307" s="163"/>
    </row>
    <row r="308" spans="5:18" ht="12">
      <c r="E308" s="165"/>
      <c r="F308" s="163"/>
      <c r="G308" s="163"/>
      <c r="H308" s="163"/>
      <c r="I308" s="163"/>
      <c r="J308" s="165"/>
      <c r="K308" s="163"/>
      <c r="L308" s="163"/>
      <c r="M308" s="163"/>
      <c r="N308" s="163"/>
      <c r="O308" s="165"/>
      <c r="P308" s="163"/>
      <c r="Q308" s="163"/>
      <c r="R308" s="163"/>
    </row>
    <row r="309" spans="5:18" ht="12">
      <c r="E309" s="165"/>
      <c r="F309" s="163"/>
      <c r="G309" s="163"/>
      <c r="H309" s="163"/>
      <c r="I309" s="163"/>
      <c r="J309" s="165"/>
      <c r="K309" s="163"/>
      <c r="L309" s="163"/>
      <c r="M309" s="163"/>
      <c r="N309" s="163"/>
      <c r="O309" s="165"/>
      <c r="P309" s="163"/>
      <c r="Q309" s="163"/>
      <c r="R309" s="163"/>
    </row>
    <row r="310" spans="5:18" ht="12">
      <c r="E310" s="165"/>
      <c r="F310" s="163"/>
      <c r="G310" s="163"/>
      <c r="H310" s="163"/>
      <c r="I310" s="163"/>
      <c r="J310" s="165"/>
      <c r="K310" s="163"/>
      <c r="L310" s="163"/>
      <c r="M310" s="163"/>
      <c r="N310" s="163"/>
      <c r="O310" s="165"/>
      <c r="P310" s="163"/>
      <c r="Q310" s="163"/>
      <c r="R310" s="163"/>
    </row>
    <row r="311" spans="5:18" ht="12">
      <c r="E311" s="165"/>
      <c r="F311" s="163"/>
      <c r="G311" s="163"/>
      <c r="H311" s="163"/>
      <c r="I311" s="163"/>
      <c r="J311" s="165"/>
      <c r="K311" s="163"/>
      <c r="L311" s="163"/>
      <c r="M311" s="163"/>
      <c r="N311" s="163"/>
      <c r="O311" s="165"/>
      <c r="P311" s="163"/>
      <c r="Q311" s="163"/>
      <c r="R311" s="163"/>
    </row>
    <row r="312" spans="5:18" ht="12">
      <c r="E312" s="165"/>
      <c r="F312" s="163"/>
      <c r="G312" s="163"/>
      <c r="H312" s="163"/>
      <c r="I312" s="163"/>
      <c r="J312" s="165"/>
      <c r="K312" s="163"/>
      <c r="L312" s="163"/>
      <c r="M312" s="163"/>
      <c r="N312" s="163"/>
      <c r="O312" s="165"/>
      <c r="P312" s="163"/>
      <c r="Q312" s="163"/>
      <c r="R312" s="163"/>
    </row>
    <row r="313" spans="5:18" ht="12">
      <c r="E313" s="165"/>
      <c r="F313" s="163"/>
      <c r="G313" s="163"/>
      <c r="H313" s="163"/>
      <c r="I313" s="163"/>
      <c r="J313" s="165"/>
      <c r="K313" s="163"/>
      <c r="L313" s="163"/>
      <c r="M313" s="163"/>
      <c r="N313" s="163"/>
      <c r="O313" s="165"/>
      <c r="P313" s="163"/>
      <c r="Q313" s="163"/>
      <c r="R313" s="163"/>
    </row>
    <row r="314" spans="5:18" ht="12">
      <c r="E314" s="165"/>
      <c r="F314" s="163"/>
      <c r="G314" s="163"/>
      <c r="H314" s="163"/>
      <c r="I314" s="163"/>
      <c r="J314" s="165"/>
      <c r="K314" s="163"/>
      <c r="L314" s="163"/>
      <c r="M314" s="163"/>
      <c r="N314" s="163"/>
      <c r="O314" s="165"/>
      <c r="P314" s="163"/>
      <c r="Q314" s="163"/>
      <c r="R314" s="163"/>
    </row>
    <row r="315" spans="5:18" ht="12">
      <c r="E315" s="165"/>
      <c r="F315" s="163"/>
      <c r="G315" s="163"/>
      <c r="H315" s="163"/>
      <c r="I315" s="163"/>
      <c r="J315" s="165"/>
      <c r="K315" s="163"/>
      <c r="L315" s="163"/>
      <c r="M315" s="163"/>
      <c r="N315" s="163"/>
      <c r="O315" s="165"/>
      <c r="P315" s="163"/>
      <c r="Q315" s="163"/>
      <c r="R315" s="163"/>
    </row>
    <row r="316" spans="5:18" ht="12">
      <c r="E316" s="165"/>
      <c r="F316" s="163"/>
      <c r="G316" s="163"/>
      <c r="H316" s="163"/>
      <c r="I316" s="163"/>
      <c r="J316" s="165"/>
      <c r="K316" s="163"/>
      <c r="L316" s="163"/>
      <c r="M316" s="163"/>
      <c r="N316" s="163"/>
      <c r="O316" s="165"/>
      <c r="P316" s="163"/>
      <c r="Q316" s="163"/>
      <c r="R316" s="163"/>
    </row>
    <row r="317" spans="5:18" ht="12">
      <c r="E317" s="165"/>
      <c r="F317" s="163"/>
      <c r="G317" s="163"/>
      <c r="H317" s="163"/>
      <c r="I317" s="163"/>
      <c r="J317" s="165"/>
      <c r="K317" s="163"/>
      <c r="L317" s="163"/>
      <c r="M317" s="163"/>
      <c r="N317" s="163"/>
      <c r="O317" s="165"/>
      <c r="P317" s="163"/>
      <c r="Q317" s="163"/>
      <c r="R317" s="163"/>
    </row>
    <row r="318" spans="5:18" ht="12">
      <c r="E318" s="165"/>
      <c r="F318" s="163"/>
      <c r="G318" s="163"/>
      <c r="H318" s="163"/>
      <c r="I318" s="163"/>
      <c r="J318" s="165"/>
      <c r="K318" s="163"/>
      <c r="L318" s="163"/>
      <c r="M318" s="163"/>
      <c r="N318" s="163"/>
      <c r="O318" s="165"/>
      <c r="P318" s="163"/>
      <c r="Q318" s="163"/>
      <c r="R318" s="163"/>
    </row>
    <row r="319" spans="5:18" ht="12">
      <c r="E319" s="165"/>
      <c r="F319" s="163"/>
      <c r="G319" s="163"/>
      <c r="H319" s="163"/>
      <c r="I319" s="163"/>
      <c r="J319" s="165"/>
      <c r="K319" s="163"/>
      <c r="L319" s="163"/>
      <c r="M319" s="163"/>
      <c r="N319" s="163"/>
      <c r="O319" s="165"/>
      <c r="P319" s="163"/>
      <c r="Q319" s="163"/>
      <c r="R319" s="163"/>
    </row>
    <row r="320" spans="5:18" ht="12">
      <c r="E320" s="165"/>
      <c r="F320" s="163"/>
      <c r="G320" s="163"/>
      <c r="H320" s="163"/>
      <c r="I320" s="163"/>
      <c r="J320" s="165"/>
      <c r="K320" s="163"/>
      <c r="L320" s="163"/>
      <c r="M320" s="163"/>
      <c r="N320" s="163"/>
      <c r="O320" s="165"/>
      <c r="P320" s="163"/>
      <c r="Q320" s="163"/>
      <c r="R320" s="163"/>
    </row>
    <row r="321" spans="5:18" ht="12">
      <c r="E321" s="165"/>
      <c r="F321" s="163"/>
      <c r="G321" s="163"/>
      <c r="H321" s="163"/>
      <c r="I321" s="163"/>
      <c r="J321" s="165"/>
      <c r="K321" s="163"/>
      <c r="L321" s="163"/>
      <c r="M321" s="163"/>
      <c r="N321" s="163"/>
      <c r="O321" s="165"/>
      <c r="P321" s="163"/>
      <c r="Q321" s="163"/>
      <c r="R321" s="163"/>
    </row>
    <row r="322" spans="5:18" ht="12">
      <c r="E322" s="165"/>
      <c r="F322" s="163"/>
      <c r="G322" s="163"/>
      <c r="H322" s="163"/>
      <c r="I322" s="163"/>
      <c r="J322" s="165"/>
      <c r="K322" s="163"/>
      <c r="L322" s="163"/>
      <c r="M322" s="163"/>
      <c r="N322" s="163"/>
      <c r="O322" s="165"/>
      <c r="P322" s="163"/>
      <c r="Q322" s="163"/>
      <c r="R322" s="163"/>
    </row>
    <row r="323" spans="5:18" ht="12">
      <c r="E323" s="165"/>
      <c r="F323" s="163"/>
      <c r="G323" s="163"/>
      <c r="H323" s="163"/>
      <c r="I323" s="163"/>
      <c r="J323" s="165"/>
      <c r="K323" s="163"/>
      <c r="L323" s="163"/>
      <c r="M323" s="163"/>
      <c r="N323" s="163"/>
      <c r="O323" s="165"/>
      <c r="P323" s="163"/>
      <c r="Q323" s="163"/>
      <c r="R323" s="163"/>
    </row>
    <row r="324" spans="5:18" ht="12">
      <c r="E324" s="165"/>
      <c r="F324" s="163"/>
      <c r="G324" s="163"/>
      <c r="H324" s="163"/>
      <c r="I324" s="163"/>
      <c r="J324" s="165"/>
      <c r="K324" s="163"/>
      <c r="L324" s="163"/>
      <c r="M324" s="163"/>
      <c r="N324" s="163"/>
      <c r="O324" s="165"/>
      <c r="P324" s="163"/>
      <c r="Q324" s="163"/>
      <c r="R324" s="163"/>
    </row>
    <row r="325" spans="5:18" ht="12">
      <c r="E325" s="165"/>
      <c r="F325" s="163"/>
      <c r="G325" s="163"/>
      <c r="H325" s="163"/>
      <c r="I325" s="163"/>
      <c r="J325" s="165"/>
      <c r="K325" s="163"/>
      <c r="L325" s="163"/>
      <c r="M325" s="163"/>
      <c r="N325" s="163"/>
      <c r="O325" s="165"/>
      <c r="P325" s="163"/>
      <c r="Q325" s="163"/>
      <c r="R325" s="163"/>
    </row>
    <row r="326" spans="5:18" ht="12">
      <c r="E326" s="165"/>
      <c r="F326" s="163"/>
      <c r="G326" s="163"/>
      <c r="H326" s="163"/>
      <c r="I326" s="163"/>
      <c r="J326" s="165"/>
      <c r="K326" s="163"/>
      <c r="L326" s="163"/>
      <c r="M326" s="163"/>
      <c r="N326" s="163"/>
      <c r="O326" s="165"/>
      <c r="P326" s="163"/>
      <c r="Q326" s="163"/>
      <c r="R326" s="163"/>
    </row>
    <row r="327" spans="5:18" ht="12">
      <c r="E327" s="165"/>
      <c r="F327" s="163"/>
      <c r="G327" s="163"/>
      <c r="H327" s="163"/>
      <c r="I327" s="163"/>
      <c r="J327" s="165"/>
      <c r="K327" s="163"/>
      <c r="L327" s="163"/>
      <c r="M327" s="163"/>
      <c r="N327" s="163"/>
      <c r="O327" s="165"/>
      <c r="P327" s="163"/>
      <c r="Q327" s="163"/>
      <c r="R327" s="163"/>
    </row>
    <row r="328" spans="5:18" ht="12">
      <c r="E328" s="165"/>
      <c r="F328" s="163"/>
      <c r="G328" s="163"/>
      <c r="H328" s="163"/>
      <c r="I328" s="163"/>
      <c r="J328" s="165"/>
      <c r="K328" s="163"/>
      <c r="L328" s="163"/>
      <c r="M328" s="163"/>
      <c r="N328" s="163"/>
      <c r="O328" s="165"/>
      <c r="P328" s="163"/>
      <c r="Q328" s="163"/>
      <c r="R328" s="163"/>
    </row>
    <row r="329" spans="5:18" ht="12">
      <c r="E329" s="165"/>
      <c r="F329" s="163"/>
      <c r="G329" s="163"/>
      <c r="H329" s="163"/>
      <c r="I329" s="163"/>
      <c r="J329" s="165"/>
      <c r="K329" s="163"/>
      <c r="L329" s="163"/>
      <c r="M329" s="163"/>
      <c r="N329" s="163"/>
      <c r="O329" s="165"/>
      <c r="P329" s="163"/>
      <c r="Q329" s="163"/>
      <c r="R329" s="163"/>
    </row>
    <row r="330" spans="5:18" ht="12">
      <c r="E330" s="165"/>
      <c r="F330" s="163"/>
      <c r="G330" s="163"/>
      <c r="H330" s="163"/>
      <c r="I330" s="163"/>
      <c r="J330" s="165"/>
      <c r="K330" s="163"/>
      <c r="L330" s="163"/>
      <c r="M330" s="163"/>
      <c r="N330" s="163"/>
      <c r="O330" s="165"/>
      <c r="P330" s="163"/>
      <c r="Q330" s="163"/>
      <c r="R330" s="163"/>
    </row>
    <row r="331" spans="5:18" ht="12">
      <c r="E331" s="165"/>
      <c r="F331" s="163"/>
      <c r="G331" s="163"/>
      <c r="H331" s="163"/>
      <c r="I331" s="163"/>
      <c r="J331" s="165"/>
      <c r="K331" s="163"/>
      <c r="L331" s="163"/>
      <c r="M331" s="163"/>
      <c r="N331" s="163"/>
      <c r="O331" s="165"/>
      <c r="P331" s="163"/>
      <c r="Q331" s="163"/>
      <c r="R331" s="163"/>
    </row>
    <row r="332" spans="5:18" ht="12">
      <c r="E332" s="165"/>
      <c r="F332" s="163"/>
      <c r="G332" s="163"/>
      <c r="H332" s="163"/>
      <c r="I332" s="163"/>
      <c r="J332" s="165"/>
      <c r="K332" s="163"/>
      <c r="L332" s="163"/>
      <c r="M332" s="163"/>
      <c r="N332" s="163"/>
      <c r="O332" s="165"/>
      <c r="P332" s="163"/>
      <c r="Q332" s="163"/>
      <c r="R332" s="163"/>
    </row>
    <row r="333" spans="5:18" ht="12">
      <c r="E333" s="165"/>
      <c r="F333" s="163"/>
      <c r="G333" s="163"/>
      <c r="H333" s="163"/>
      <c r="I333" s="163"/>
      <c r="J333" s="165"/>
      <c r="K333" s="163"/>
      <c r="L333" s="163"/>
      <c r="M333" s="163"/>
      <c r="N333" s="163"/>
      <c r="O333" s="165"/>
      <c r="P333" s="163"/>
      <c r="Q333" s="163"/>
      <c r="R333" s="163"/>
    </row>
    <row r="334" spans="5:18" ht="12">
      <c r="E334" s="165"/>
      <c r="F334" s="163"/>
      <c r="G334" s="163"/>
      <c r="H334" s="163"/>
      <c r="I334" s="163"/>
      <c r="J334" s="165"/>
      <c r="K334" s="163"/>
      <c r="L334" s="163"/>
      <c r="M334" s="163"/>
      <c r="N334" s="163"/>
      <c r="O334" s="165"/>
      <c r="P334" s="163"/>
      <c r="Q334" s="163"/>
      <c r="R334" s="163"/>
    </row>
    <row r="335" spans="5:18" ht="12">
      <c r="E335" s="165"/>
      <c r="F335" s="163"/>
      <c r="G335" s="163"/>
      <c r="H335" s="163"/>
      <c r="I335" s="163"/>
      <c r="J335" s="165"/>
      <c r="K335" s="163"/>
      <c r="L335" s="163"/>
      <c r="M335" s="163"/>
      <c r="N335" s="163"/>
      <c r="O335" s="165"/>
      <c r="P335" s="163"/>
      <c r="Q335" s="163"/>
      <c r="R335" s="163"/>
    </row>
    <row r="336" spans="5:18" ht="12">
      <c r="E336" s="165"/>
      <c r="F336" s="163"/>
      <c r="G336" s="163"/>
      <c r="H336" s="163"/>
      <c r="I336" s="163"/>
      <c r="J336" s="165"/>
      <c r="K336" s="163"/>
      <c r="L336" s="163"/>
      <c r="M336" s="163"/>
      <c r="N336" s="163"/>
      <c r="O336" s="165"/>
      <c r="P336" s="163"/>
      <c r="Q336" s="163"/>
      <c r="R336" s="163"/>
    </row>
    <row r="337" spans="5:18" ht="12">
      <c r="E337" s="165"/>
      <c r="F337" s="163"/>
      <c r="G337" s="163"/>
      <c r="H337" s="163"/>
      <c r="I337" s="163"/>
      <c r="J337" s="165"/>
      <c r="K337" s="163"/>
      <c r="L337" s="163"/>
      <c r="M337" s="163"/>
      <c r="N337" s="163"/>
      <c r="O337" s="165"/>
      <c r="P337" s="163"/>
      <c r="Q337" s="163"/>
      <c r="R337" s="163"/>
    </row>
    <row r="338" spans="5:18" ht="12">
      <c r="E338" s="165"/>
      <c r="F338" s="163"/>
      <c r="G338" s="163"/>
      <c r="H338" s="163"/>
      <c r="I338" s="163"/>
      <c r="J338" s="165"/>
      <c r="K338" s="163"/>
      <c r="L338" s="163"/>
      <c r="M338" s="163"/>
      <c r="N338" s="163"/>
      <c r="O338" s="165"/>
      <c r="P338" s="163"/>
      <c r="Q338" s="163"/>
      <c r="R338" s="163"/>
    </row>
    <row r="339" spans="5:18" ht="12">
      <c r="E339" s="165"/>
      <c r="F339" s="163"/>
      <c r="G339" s="163"/>
      <c r="H339" s="163"/>
      <c r="I339" s="163"/>
      <c r="J339" s="165"/>
      <c r="K339" s="163"/>
      <c r="L339" s="163"/>
      <c r="M339" s="163"/>
      <c r="N339" s="163"/>
      <c r="O339" s="165"/>
      <c r="P339" s="163"/>
      <c r="Q339" s="163"/>
      <c r="R339" s="163"/>
    </row>
    <row r="340" spans="5:18" ht="12">
      <c r="E340" s="165"/>
      <c r="F340" s="163"/>
      <c r="G340" s="163"/>
      <c r="H340" s="163"/>
      <c r="I340" s="163"/>
      <c r="J340" s="165"/>
      <c r="K340" s="163"/>
      <c r="L340" s="163"/>
      <c r="M340" s="163"/>
      <c r="N340" s="163"/>
      <c r="O340" s="165"/>
      <c r="P340" s="163"/>
      <c r="Q340" s="163"/>
      <c r="R340" s="163"/>
    </row>
    <row r="341" spans="5:18" ht="12">
      <c r="E341" s="165"/>
      <c r="F341" s="163"/>
      <c r="G341" s="163"/>
      <c r="H341" s="163"/>
      <c r="I341" s="163"/>
      <c r="J341" s="165"/>
      <c r="K341" s="163"/>
      <c r="L341" s="163"/>
      <c r="M341" s="163"/>
      <c r="N341" s="163"/>
      <c r="O341" s="165"/>
      <c r="P341" s="163"/>
      <c r="Q341" s="163"/>
      <c r="R341" s="163"/>
    </row>
    <row r="342" spans="5:18" ht="12">
      <c r="E342" s="165"/>
      <c r="F342" s="163"/>
      <c r="G342" s="163"/>
      <c r="H342" s="163"/>
      <c r="I342" s="163"/>
      <c r="J342" s="165"/>
      <c r="K342" s="163"/>
      <c r="L342" s="163"/>
      <c r="M342" s="163"/>
      <c r="N342" s="163"/>
      <c r="O342" s="165"/>
      <c r="P342" s="163"/>
      <c r="Q342" s="163"/>
      <c r="R342" s="163"/>
    </row>
    <row r="343" spans="5:18" ht="12">
      <c r="E343" s="165"/>
      <c r="F343" s="163"/>
      <c r="G343" s="163"/>
      <c r="H343" s="163"/>
      <c r="I343" s="163"/>
      <c r="J343" s="165"/>
      <c r="K343" s="163"/>
      <c r="L343" s="163"/>
      <c r="M343" s="163"/>
      <c r="N343" s="163"/>
      <c r="O343" s="165"/>
      <c r="P343" s="163"/>
      <c r="Q343" s="163"/>
      <c r="R343" s="163"/>
    </row>
    <row r="344" spans="5:18" ht="12">
      <c r="E344" s="165"/>
      <c r="F344" s="163"/>
      <c r="G344" s="163"/>
      <c r="H344" s="163"/>
      <c r="I344" s="163"/>
      <c r="J344" s="165"/>
      <c r="K344" s="163"/>
      <c r="L344" s="163"/>
      <c r="M344" s="163"/>
      <c r="N344" s="163"/>
      <c r="O344" s="165"/>
      <c r="P344" s="163"/>
      <c r="Q344" s="163"/>
      <c r="R344" s="163"/>
    </row>
    <row r="345" spans="5:18" ht="12">
      <c r="E345" s="165"/>
      <c r="F345" s="163"/>
      <c r="G345" s="163"/>
      <c r="H345" s="163"/>
      <c r="I345" s="163"/>
      <c r="J345" s="165"/>
      <c r="K345" s="163"/>
      <c r="L345" s="163"/>
      <c r="M345" s="163"/>
      <c r="N345" s="163"/>
      <c r="O345" s="165"/>
      <c r="P345" s="163"/>
      <c r="Q345" s="163"/>
      <c r="R345" s="163"/>
    </row>
    <row r="346" spans="5:18" ht="12">
      <c r="E346" s="165"/>
      <c r="F346" s="163"/>
      <c r="G346" s="163"/>
      <c r="H346" s="163"/>
      <c r="I346" s="163"/>
      <c r="J346" s="165"/>
      <c r="K346" s="163"/>
      <c r="L346" s="163"/>
      <c r="M346" s="163"/>
      <c r="N346" s="163"/>
      <c r="O346" s="165"/>
      <c r="P346" s="163"/>
      <c r="Q346" s="163"/>
      <c r="R346" s="163"/>
    </row>
    <row r="347" spans="5:18" ht="12">
      <c r="E347" s="165"/>
      <c r="F347" s="163"/>
      <c r="G347" s="163"/>
      <c r="H347" s="163"/>
      <c r="I347" s="163"/>
      <c r="J347" s="165"/>
      <c r="K347" s="163"/>
      <c r="L347" s="163"/>
      <c r="M347" s="163"/>
      <c r="N347" s="163"/>
      <c r="O347" s="165"/>
      <c r="P347" s="163"/>
      <c r="Q347" s="163"/>
      <c r="R347" s="163"/>
    </row>
    <row r="348" spans="5:18" ht="12">
      <c r="E348" s="165"/>
      <c r="F348" s="163"/>
      <c r="G348" s="163"/>
      <c r="H348" s="163"/>
      <c r="I348" s="163"/>
      <c r="J348" s="165"/>
      <c r="K348" s="163"/>
      <c r="L348" s="163"/>
      <c r="M348" s="163"/>
      <c r="N348" s="163"/>
      <c r="O348" s="165"/>
      <c r="P348" s="163"/>
      <c r="Q348" s="163"/>
      <c r="R348" s="163"/>
    </row>
    <row r="349" spans="5:18" ht="12">
      <c r="E349" s="165"/>
      <c r="F349" s="163"/>
      <c r="G349" s="163"/>
      <c r="H349" s="163"/>
      <c r="I349" s="163"/>
      <c r="J349" s="165"/>
      <c r="K349" s="163"/>
      <c r="L349" s="163"/>
      <c r="M349" s="163"/>
      <c r="N349" s="163"/>
      <c r="O349" s="165"/>
      <c r="P349" s="163"/>
      <c r="Q349" s="163"/>
      <c r="R349" s="163"/>
    </row>
    <row r="350" spans="5:18" ht="12">
      <c r="E350" s="165"/>
      <c r="F350" s="163"/>
      <c r="G350" s="163"/>
      <c r="H350" s="163"/>
      <c r="I350" s="163"/>
      <c r="J350" s="165"/>
      <c r="K350" s="163"/>
      <c r="L350" s="163"/>
      <c r="M350" s="163"/>
      <c r="N350" s="163"/>
      <c r="O350" s="165"/>
      <c r="P350" s="163"/>
      <c r="Q350" s="163"/>
      <c r="R350" s="163"/>
    </row>
    <row r="351" spans="5:18" ht="12">
      <c r="E351" s="165"/>
      <c r="F351" s="163"/>
      <c r="G351" s="163"/>
      <c r="H351" s="163"/>
      <c r="I351" s="163"/>
      <c r="J351" s="165"/>
      <c r="K351" s="163"/>
      <c r="L351" s="163"/>
      <c r="M351" s="163"/>
      <c r="N351" s="163"/>
      <c r="O351" s="165"/>
      <c r="P351" s="163"/>
      <c r="Q351" s="163"/>
      <c r="R351" s="163"/>
    </row>
    <row r="352" spans="5:18" ht="12">
      <c r="E352" s="165"/>
      <c r="F352" s="163"/>
      <c r="G352" s="163"/>
      <c r="H352" s="163"/>
      <c r="I352" s="163"/>
      <c r="J352" s="165"/>
      <c r="K352" s="163"/>
      <c r="L352" s="163"/>
      <c r="M352" s="163"/>
      <c r="N352" s="163"/>
      <c r="O352" s="165"/>
      <c r="P352" s="163"/>
      <c r="Q352" s="163"/>
      <c r="R352" s="163"/>
    </row>
    <row r="353" spans="5:18" ht="12">
      <c r="E353" s="165"/>
      <c r="F353" s="163"/>
      <c r="G353" s="163"/>
      <c r="H353" s="163"/>
      <c r="I353" s="163"/>
      <c r="J353" s="165"/>
      <c r="K353" s="163"/>
      <c r="L353" s="163"/>
      <c r="M353" s="163"/>
      <c r="N353" s="163"/>
      <c r="O353" s="165"/>
      <c r="P353" s="163"/>
      <c r="Q353" s="163"/>
      <c r="R353" s="163"/>
    </row>
    <row r="354" spans="5:18" ht="12">
      <c r="E354" s="165"/>
      <c r="F354" s="163"/>
      <c r="G354" s="163"/>
      <c r="H354" s="163"/>
      <c r="I354" s="163"/>
      <c r="J354" s="165"/>
      <c r="K354" s="163"/>
      <c r="L354" s="163"/>
      <c r="M354" s="163"/>
      <c r="N354" s="163"/>
      <c r="O354" s="165"/>
      <c r="P354" s="163"/>
      <c r="Q354" s="163"/>
      <c r="R354" s="163"/>
    </row>
    <row r="355" spans="5:18" ht="12">
      <c r="E355" s="165"/>
      <c r="F355" s="163"/>
      <c r="G355" s="163"/>
      <c r="H355" s="163"/>
      <c r="I355" s="163"/>
      <c r="J355" s="165"/>
      <c r="K355" s="163"/>
      <c r="L355" s="163"/>
      <c r="M355" s="163"/>
      <c r="N355" s="163"/>
      <c r="O355" s="165"/>
      <c r="P355" s="163"/>
      <c r="Q355" s="163"/>
      <c r="R355" s="163"/>
    </row>
    <row r="356" spans="5:18">
      <c r="E356" s="35"/>
      <c r="F356" s="33"/>
      <c r="G356" s="33"/>
      <c r="H356" s="36"/>
      <c r="I356" s="33"/>
      <c r="J356" s="35"/>
      <c r="K356" s="33"/>
      <c r="L356" s="33"/>
      <c r="M356" s="36"/>
      <c r="N356" s="33"/>
      <c r="O356" s="35"/>
      <c r="P356" s="33"/>
      <c r="Q356" s="33"/>
      <c r="R356" s="36"/>
    </row>
    <row r="357" spans="5:18">
      <c r="E357" s="35"/>
      <c r="F357" s="33"/>
      <c r="G357" s="33"/>
      <c r="H357" s="36"/>
      <c r="I357" s="33"/>
      <c r="J357" s="35"/>
      <c r="K357" s="33"/>
      <c r="L357" s="33"/>
      <c r="M357" s="36"/>
      <c r="N357" s="33"/>
      <c r="O357" s="35"/>
      <c r="P357" s="33"/>
      <c r="Q357" s="33"/>
      <c r="R357" s="36"/>
    </row>
    <row r="358" spans="5:18">
      <c r="E358" s="35"/>
      <c r="F358" s="33"/>
      <c r="G358" s="33"/>
      <c r="H358" s="36"/>
      <c r="I358" s="33"/>
      <c r="J358" s="35"/>
      <c r="K358" s="33"/>
      <c r="L358" s="33"/>
      <c r="M358" s="36"/>
      <c r="N358" s="33"/>
      <c r="O358" s="35"/>
      <c r="P358" s="33"/>
      <c r="Q358" s="33"/>
      <c r="R358" s="36"/>
    </row>
    <row r="359" spans="5:18">
      <c r="E359" s="35"/>
      <c r="F359" s="33"/>
      <c r="G359" s="33"/>
      <c r="H359" s="36"/>
      <c r="I359" s="33"/>
      <c r="J359" s="35"/>
      <c r="K359" s="33"/>
      <c r="L359" s="33"/>
      <c r="M359" s="36"/>
      <c r="N359" s="33"/>
      <c r="O359" s="35"/>
      <c r="P359" s="33"/>
      <c r="Q359" s="33"/>
      <c r="R359" s="36"/>
    </row>
    <row r="360" spans="5:18">
      <c r="E360" s="35"/>
      <c r="F360" s="33"/>
      <c r="G360" s="33"/>
      <c r="H360" s="36"/>
      <c r="I360" s="33"/>
      <c r="J360" s="35"/>
      <c r="K360" s="33"/>
      <c r="L360" s="33"/>
      <c r="M360" s="36"/>
      <c r="N360" s="33"/>
      <c r="O360" s="35"/>
      <c r="P360" s="33"/>
      <c r="Q360" s="33"/>
      <c r="R360" s="36"/>
    </row>
    <row r="361" spans="5:18">
      <c r="E361" s="35"/>
      <c r="F361" s="33"/>
      <c r="G361" s="33"/>
      <c r="H361" s="36"/>
      <c r="I361" s="33"/>
      <c r="J361" s="35"/>
      <c r="K361" s="33"/>
      <c r="L361" s="33"/>
      <c r="M361" s="36"/>
      <c r="N361" s="33"/>
      <c r="O361" s="35"/>
      <c r="P361" s="33"/>
      <c r="Q361" s="33"/>
      <c r="R361" s="36"/>
    </row>
    <row r="362" spans="5:18">
      <c r="E362" s="35"/>
      <c r="F362" s="33"/>
      <c r="G362" s="33"/>
      <c r="H362" s="36"/>
      <c r="I362" s="33"/>
      <c r="J362" s="35"/>
      <c r="K362" s="33"/>
      <c r="L362" s="33"/>
      <c r="M362" s="36"/>
      <c r="N362" s="33"/>
      <c r="O362" s="35"/>
      <c r="P362" s="33"/>
      <c r="Q362" s="33"/>
      <c r="R362" s="36"/>
    </row>
    <row r="363" spans="5:18">
      <c r="E363" s="35"/>
      <c r="F363" s="33"/>
      <c r="G363" s="33"/>
      <c r="H363" s="36"/>
      <c r="I363" s="33"/>
      <c r="J363" s="35"/>
      <c r="K363" s="33"/>
      <c r="L363" s="33"/>
      <c r="M363" s="36"/>
      <c r="N363" s="33"/>
      <c r="O363" s="35"/>
      <c r="P363" s="33"/>
      <c r="Q363" s="33"/>
      <c r="R363" s="36"/>
    </row>
    <row r="364" spans="5:18">
      <c r="E364" s="35"/>
      <c r="F364" s="33"/>
      <c r="G364" s="33"/>
      <c r="H364" s="36"/>
      <c r="I364" s="33"/>
      <c r="J364" s="35"/>
      <c r="K364" s="33"/>
      <c r="L364" s="33"/>
      <c r="M364" s="36"/>
      <c r="N364" s="33"/>
      <c r="O364" s="35"/>
      <c r="P364" s="33"/>
      <c r="Q364" s="33"/>
      <c r="R364" s="36"/>
    </row>
    <row r="365" spans="5:18">
      <c r="E365" s="35"/>
      <c r="F365" s="33"/>
      <c r="G365" s="33"/>
      <c r="H365" s="36"/>
      <c r="I365" s="33"/>
      <c r="J365" s="35"/>
      <c r="K365" s="33"/>
      <c r="L365" s="33"/>
      <c r="M365" s="36"/>
      <c r="N365" s="33"/>
      <c r="O365" s="35"/>
      <c r="P365" s="33"/>
      <c r="Q365" s="33"/>
      <c r="R365" s="36"/>
    </row>
    <row r="366" spans="5:18">
      <c r="E366" s="35"/>
      <c r="F366" s="33"/>
      <c r="G366" s="33"/>
      <c r="H366" s="36"/>
      <c r="I366" s="33"/>
      <c r="J366" s="35"/>
      <c r="K366" s="33"/>
      <c r="L366" s="33"/>
      <c r="M366" s="36"/>
      <c r="N366" s="33"/>
      <c r="O366" s="35"/>
      <c r="P366" s="33"/>
      <c r="Q366" s="33"/>
      <c r="R366" s="36"/>
    </row>
    <row r="367" spans="5:18">
      <c r="E367" s="35"/>
      <c r="F367" s="33"/>
      <c r="G367" s="33"/>
      <c r="H367" s="36"/>
      <c r="I367" s="33"/>
      <c r="J367" s="35"/>
      <c r="K367" s="33"/>
      <c r="L367" s="33"/>
      <c r="M367" s="36"/>
      <c r="N367" s="33"/>
      <c r="O367" s="35"/>
      <c r="P367" s="33"/>
      <c r="Q367" s="33"/>
      <c r="R367" s="36"/>
    </row>
    <row r="368" spans="5:18">
      <c r="E368" s="35"/>
      <c r="F368" s="33"/>
      <c r="G368" s="33"/>
      <c r="H368" s="36"/>
      <c r="I368" s="33"/>
      <c r="J368" s="35"/>
      <c r="K368" s="33"/>
      <c r="L368" s="33"/>
      <c r="M368" s="36"/>
      <c r="N368" s="33"/>
      <c r="O368" s="35"/>
      <c r="P368" s="33"/>
      <c r="Q368" s="33"/>
      <c r="R368" s="36"/>
    </row>
    <row r="369" spans="5:18">
      <c r="E369" s="35"/>
      <c r="F369" s="33"/>
      <c r="G369" s="33"/>
      <c r="H369" s="36"/>
      <c r="I369" s="33"/>
      <c r="J369" s="35"/>
      <c r="K369" s="33"/>
      <c r="L369" s="33"/>
      <c r="M369" s="36"/>
      <c r="N369" s="33"/>
      <c r="O369" s="35"/>
      <c r="P369" s="33"/>
      <c r="Q369" s="33"/>
      <c r="R369" s="36"/>
    </row>
    <row r="370" spans="5:18">
      <c r="E370" s="35"/>
      <c r="F370" s="33"/>
      <c r="G370" s="33"/>
      <c r="H370" s="36"/>
      <c r="I370" s="33"/>
      <c r="J370" s="35"/>
      <c r="K370" s="33"/>
      <c r="L370" s="33"/>
      <c r="M370" s="36"/>
      <c r="N370" s="33"/>
      <c r="O370" s="35"/>
      <c r="P370" s="33"/>
      <c r="Q370" s="33"/>
      <c r="R370" s="36"/>
    </row>
    <row r="371" spans="5:18">
      <c r="E371" s="35"/>
      <c r="F371" s="33"/>
      <c r="G371" s="33"/>
      <c r="H371" s="36"/>
      <c r="I371" s="33"/>
      <c r="J371" s="35"/>
      <c r="K371" s="33"/>
      <c r="L371" s="33"/>
      <c r="M371" s="36"/>
      <c r="N371" s="33"/>
      <c r="O371" s="35"/>
      <c r="P371" s="33"/>
      <c r="Q371" s="33"/>
      <c r="R371" s="36"/>
    </row>
    <row r="372" spans="5:18">
      <c r="E372" s="35"/>
      <c r="F372" s="33"/>
      <c r="G372" s="33"/>
      <c r="H372" s="36"/>
      <c r="I372" s="33"/>
      <c r="J372" s="35"/>
      <c r="K372" s="33"/>
      <c r="L372" s="33"/>
      <c r="M372" s="36"/>
      <c r="N372" s="33"/>
      <c r="O372" s="35"/>
      <c r="P372" s="33"/>
      <c r="Q372" s="33"/>
      <c r="R372" s="36"/>
    </row>
    <row r="373" spans="5:18">
      <c r="E373" s="35"/>
      <c r="F373" s="33"/>
      <c r="G373" s="33"/>
      <c r="H373" s="36"/>
      <c r="I373" s="33"/>
      <c r="J373" s="35"/>
      <c r="K373" s="33"/>
      <c r="L373" s="33"/>
      <c r="M373" s="36"/>
      <c r="N373" s="33"/>
      <c r="O373" s="35"/>
      <c r="P373" s="33"/>
      <c r="Q373" s="33"/>
      <c r="R373" s="36"/>
    </row>
    <row r="374" spans="5:18">
      <c r="E374" s="35"/>
      <c r="F374" s="33"/>
      <c r="G374" s="33"/>
      <c r="H374" s="36"/>
      <c r="I374" s="33"/>
      <c r="J374" s="35"/>
      <c r="K374" s="33"/>
      <c r="L374" s="33"/>
      <c r="M374" s="36"/>
      <c r="N374" s="33"/>
      <c r="O374" s="35"/>
      <c r="P374" s="33"/>
      <c r="Q374" s="33"/>
      <c r="R374" s="36"/>
    </row>
    <row r="375" spans="5:18">
      <c r="E375" s="35"/>
      <c r="F375" s="33"/>
      <c r="G375" s="33"/>
      <c r="H375" s="36"/>
      <c r="I375" s="33"/>
      <c r="J375" s="35"/>
      <c r="K375" s="33"/>
      <c r="L375" s="33"/>
      <c r="M375" s="36"/>
      <c r="N375" s="33"/>
      <c r="O375" s="35"/>
      <c r="P375" s="33"/>
      <c r="Q375" s="33"/>
      <c r="R375" s="36"/>
    </row>
    <row r="376" spans="5:18">
      <c r="E376" s="35"/>
      <c r="F376" s="33"/>
      <c r="G376" s="33"/>
      <c r="H376" s="36"/>
      <c r="I376" s="33"/>
      <c r="J376" s="35"/>
      <c r="K376" s="33"/>
      <c r="L376" s="33"/>
      <c r="M376" s="36"/>
      <c r="N376" s="33"/>
      <c r="O376" s="35"/>
      <c r="P376" s="33"/>
      <c r="Q376" s="33"/>
      <c r="R376" s="36"/>
    </row>
    <row r="377" spans="5:18">
      <c r="E377" s="35"/>
      <c r="F377" s="33"/>
      <c r="G377" s="33"/>
      <c r="H377" s="36"/>
      <c r="I377" s="33"/>
      <c r="J377" s="35"/>
      <c r="K377" s="33"/>
      <c r="L377" s="33"/>
      <c r="M377" s="36"/>
      <c r="N377" s="33"/>
      <c r="O377" s="35"/>
      <c r="P377" s="33"/>
      <c r="Q377" s="33"/>
      <c r="R377" s="36"/>
    </row>
    <row r="378" spans="5:18">
      <c r="E378" s="35"/>
      <c r="F378" s="33"/>
      <c r="G378" s="33"/>
      <c r="H378" s="36"/>
      <c r="I378" s="33"/>
      <c r="J378" s="35"/>
      <c r="K378" s="33"/>
      <c r="L378" s="33"/>
      <c r="M378" s="36"/>
      <c r="N378" s="33"/>
      <c r="O378" s="35"/>
      <c r="P378" s="33"/>
      <c r="Q378" s="33"/>
      <c r="R378" s="36"/>
    </row>
    <row r="379" spans="5:18">
      <c r="E379" s="35"/>
      <c r="F379" s="33"/>
      <c r="G379" s="33"/>
      <c r="H379" s="36"/>
      <c r="I379" s="33"/>
      <c r="J379" s="35"/>
      <c r="K379" s="33"/>
      <c r="L379" s="33"/>
      <c r="M379" s="36"/>
      <c r="N379" s="33"/>
      <c r="O379" s="35"/>
      <c r="P379" s="33"/>
      <c r="Q379" s="33"/>
      <c r="R379" s="36"/>
    </row>
    <row r="380" spans="5:18">
      <c r="E380" s="35"/>
      <c r="F380" s="33"/>
      <c r="G380" s="33"/>
      <c r="H380" s="36"/>
      <c r="I380" s="33"/>
      <c r="J380" s="35"/>
      <c r="K380" s="33"/>
      <c r="L380" s="33"/>
      <c r="M380" s="36"/>
      <c r="N380" s="33"/>
      <c r="O380" s="35"/>
      <c r="P380" s="33"/>
      <c r="Q380" s="33"/>
      <c r="R380" s="36"/>
    </row>
    <row r="381" spans="5:18">
      <c r="E381" s="35"/>
      <c r="F381" s="33"/>
      <c r="G381" s="33"/>
      <c r="H381" s="36"/>
      <c r="I381" s="33"/>
      <c r="J381" s="35"/>
      <c r="K381" s="33"/>
      <c r="L381" s="33"/>
      <c r="M381" s="36"/>
      <c r="N381" s="33"/>
      <c r="O381" s="35"/>
      <c r="P381" s="33"/>
      <c r="Q381" s="33"/>
      <c r="R381" s="36"/>
    </row>
    <row r="382" spans="5:18">
      <c r="E382" s="35"/>
      <c r="F382" s="33"/>
      <c r="G382" s="33"/>
      <c r="H382" s="36"/>
      <c r="I382" s="33"/>
      <c r="J382" s="35"/>
      <c r="K382" s="33"/>
      <c r="L382" s="33"/>
      <c r="M382" s="36"/>
      <c r="N382" s="33"/>
      <c r="O382" s="35"/>
      <c r="P382" s="33"/>
      <c r="Q382" s="33"/>
      <c r="R382" s="36"/>
    </row>
    <row r="383" spans="5:18">
      <c r="E383" s="35"/>
      <c r="F383" s="33"/>
      <c r="G383" s="33"/>
      <c r="H383" s="36"/>
      <c r="I383" s="33"/>
      <c r="J383" s="35"/>
      <c r="K383" s="33"/>
      <c r="L383" s="33"/>
      <c r="M383" s="36"/>
      <c r="N383" s="33"/>
      <c r="O383" s="35"/>
      <c r="P383" s="33"/>
      <c r="Q383" s="33"/>
      <c r="R383" s="36"/>
    </row>
    <row r="384" spans="5:18">
      <c r="E384" s="35"/>
      <c r="F384" s="33"/>
      <c r="G384" s="33"/>
      <c r="H384" s="36"/>
      <c r="I384" s="33"/>
      <c r="J384" s="35"/>
      <c r="K384" s="33"/>
      <c r="L384" s="33"/>
      <c r="M384" s="36"/>
      <c r="N384" s="33"/>
      <c r="O384" s="35"/>
      <c r="P384" s="33"/>
      <c r="Q384" s="33"/>
      <c r="R384" s="36"/>
    </row>
    <row r="385" spans="5:18">
      <c r="E385" s="35"/>
      <c r="F385" s="33"/>
      <c r="G385" s="33"/>
      <c r="H385" s="36"/>
      <c r="I385" s="33"/>
      <c r="J385" s="35"/>
      <c r="K385" s="33"/>
      <c r="L385" s="33"/>
      <c r="M385" s="36"/>
      <c r="N385" s="33"/>
      <c r="O385" s="35"/>
      <c r="P385" s="33"/>
      <c r="Q385" s="33"/>
      <c r="R385" s="36"/>
    </row>
    <row r="386" spans="5:18">
      <c r="E386" s="35"/>
      <c r="F386" s="33"/>
      <c r="G386" s="33"/>
      <c r="H386" s="36"/>
      <c r="I386" s="33"/>
      <c r="J386" s="35"/>
      <c r="K386" s="33"/>
      <c r="L386" s="33"/>
      <c r="M386" s="36"/>
      <c r="N386" s="33"/>
      <c r="O386" s="35"/>
      <c r="P386" s="33"/>
      <c r="Q386" s="33"/>
      <c r="R386" s="36"/>
    </row>
    <row r="387" spans="5:18">
      <c r="E387" s="35"/>
      <c r="F387" s="33"/>
      <c r="G387" s="33"/>
      <c r="H387" s="36"/>
      <c r="I387" s="33"/>
      <c r="J387" s="35"/>
      <c r="K387" s="33"/>
      <c r="L387" s="33"/>
      <c r="M387" s="36"/>
      <c r="N387" s="33"/>
      <c r="O387" s="35"/>
      <c r="P387" s="33"/>
      <c r="Q387" s="33"/>
      <c r="R387" s="36"/>
    </row>
    <row r="388" spans="5:18">
      <c r="E388" s="35"/>
      <c r="F388" s="33"/>
      <c r="G388" s="33"/>
      <c r="H388" s="36"/>
      <c r="I388" s="33"/>
      <c r="J388" s="35"/>
      <c r="K388" s="33"/>
      <c r="L388" s="33"/>
      <c r="M388" s="36"/>
      <c r="N388" s="33"/>
      <c r="O388" s="35"/>
      <c r="P388" s="33"/>
      <c r="Q388" s="33"/>
      <c r="R388" s="36"/>
    </row>
    <row r="389" spans="5:18">
      <c r="E389" s="35"/>
      <c r="F389" s="33"/>
      <c r="G389" s="33"/>
      <c r="H389" s="36"/>
      <c r="I389" s="33"/>
      <c r="J389" s="35"/>
      <c r="K389" s="33"/>
      <c r="L389" s="33"/>
      <c r="M389" s="36"/>
      <c r="N389" s="33"/>
      <c r="O389" s="35"/>
      <c r="P389" s="33"/>
      <c r="Q389" s="33"/>
      <c r="R389" s="36"/>
    </row>
    <row r="390" spans="5:18">
      <c r="E390" s="35"/>
      <c r="F390" s="33"/>
      <c r="G390" s="33"/>
      <c r="H390" s="36"/>
      <c r="I390" s="33"/>
      <c r="J390" s="35"/>
      <c r="K390" s="33"/>
      <c r="L390" s="33"/>
      <c r="M390" s="36"/>
      <c r="N390" s="33"/>
      <c r="O390" s="35"/>
      <c r="P390" s="33"/>
      <c r="Q390" s="33"/>
      <c r="R390" s="36"/>
    </row>
    <row r="391" spans="5:18">
      <c r="E391" s="35"/>
      <c r="F391" s="33"/>
      <c r="G391" s="33"/>
      <c r="H391" s="36"/>
      <c r="I391" s="33"/>
      <c r="J391" s="35"/>
      <c r="K391" s="33"/>
      <c r="L391" s="33"/>
      <c r="M391" s="36"/>
      <c r="N391" s="33"/>
      <c r="O391" s="35"/>
      <c r="P391" s="33"/>
      <c r="Q391" s="33"/>
      <c r="R391" s="36"/>
    </row>
    <row r="392" spans="5:18">
      <c r="E392" s="35"/>
      <c r="F392" s="33"/>
      <c r="G392" s="33"/>
      <c r="H392" s="36"/>
      <c r="I392" s="33"/>
      <c r="J392" s="35"/>
      <c r="K392" s="33"/>
      <c r="L392" s="33"/>
      <c r="M392" s="36"/>
      <c r="N392" s="33"/>
      <c r="O392" s="35"/>
      <c r="P392" s="33"/>
      <c r="Q392" s="33"/>
      <c r="R392" s="36"/>
    </row>
    <row r="393" spans="5:18">
      <c r="E393" s="35"/>
      <c r="F393" s="33"/>
      <c r="G393" s="33"/>
      <c r="H393" s="36"/>
      <c r="I393" s="33"/>
      <c r="J393" s="35"/>
      <c r="K393" s="33"/>
      <c r="L393" s="33"/>
      <c r="M393" s="36"/>
      <c r="N393" s="33"/>
      <c r="O393" s="35"/>
      <c r="P393" s="33"/>
      <c r="Q393" s="33"/>
      <c r="R393" s="36"/>
    </row>
    <row r="394" spans="5:18">
      <c r="E394" s="35"/>
      <c r="F394" s="33"/>
      <c r="G394" s="33"/>
      <c r="H394" s="36"/>
      <c r="I394" s="33"/>
      <c r="J394" s="35"/>
      <c r="K394" s="33"/>
      <c r="L394" s="33"/>
      <c r="M394" s="36"/>
      <c r="N394" s="33"/>
      <c r="O394" s="35"/>
      <c r="P394" s="33"/>
      <c r="Q394" s="33"/>
      <c r="R394" s="36"/>
    </row>
    <row r="395" spans="5:18">
      <c r="E395" s="35"/>
      <c r="F395" s="33"/>
      <c r="G395" s="33"/>
      <c r="H395" s="36"/>
      <c r="I395" s="33"/>
      <c r="J395" s="35"/>
      <c r="K395" s="33"/>
      <c r="L395" s="33"/>
      <c r="M395" s="36"/>
      <c r="N395" s="33"/>
      <c r="O395" s="35"/>
      <c r="P395" s="33"/>
      <c r="Q395" s="33"/>
      <c r="R395" s="36"/>
    </row>
    <row r="396" spans="5:18">
      <c r="E396" s="35"/>
      <c r="F396" s="33"/>
      <c r="G396" s="33"/>
      <c r="H396" s="36"/>
      <c r="I396" s="33"/>
      <c r="J396" s="35"/>
      <c r="K396" s="33"/>
      <c r="L396" s="33"/>
      <c r="M396" s="36"/>
      <c r="N396" s="33"/>
      <c r="O396" s="35"/>
      <c r="P396" s="33"/>
      <c r="Q396" s="33"/>
      <c r="R396" s="36"/>
    </row>
    <row r="397" spans="5:18">
      <c r="E397" s="35"/>
      <c r="F397" s="33"/>
      <c r="G397" s="33"/>
      <c r="H397" s="36"/>
      <c r="I397" s="33"/>
      <c r="J397" s="35"/>
      <c r="K397" s="33"/>
      <c r="L397" s="33"/>
      <c r="M397" s="36"/>
      <c r="N397" s="33"/>
      <c r="O397" s="35"/>
      <c r="P397" s="33"/>
      <c r="Q397" s="33"/>
      <c r="R397" s="36"/>
    </row>
    <row r="398" spans="5:18">
      <c r="E398" s="35"/>
      <c r="F398" s="33"/>
      <c r="G398" s="33"/>
      <c r="H398" s="36"/>
      <c r="I398" s="33"/>
      <c r="J398" s="35"/>
      <c r="K398" s="33"/>
      <c r="L398" s="33"/>
      <c r="M398" s="36"/>
      <c r="N398" s="33"/>
      <c r="O398" s="35"/>
      <c r="P398" s="33"/>
      <c r="Q398" s="33"/>
      <c r="R398" s="36"/>
    </row>
    <row r="399" spans="5:18">
      <c r="E399" s="35"/>
      <c r="F399" s="33"/>
      <c r="G399" s="33"/>
      <c r="H399" s="36"/>
      <c r="I399" s="33"/>
      <c r="J399" s="35"/>
      <c r="K399" s="33"/>
      <c r="L399" s="33"/>
      <c r="M399" s="36"/>
      <c r="N399" s="33"/>
      <c r="O399" s="35"/>
      <c r="P399" s="33"/>
      <c r="Q399" s="33"/>
      <c r="R399" s="36"/>
    </row>
    <row r="400" spans="5:18">
      <c r="E400" s="35"/>
      <c r="F400" s="33"/>
      <c r="G400" s="33"/>
      <c r="H400" s="36"/>
      <c r="I400" s="33"/>
      <c r="J400" s="35"/>
      <c r="K400" s="33"/>
      <c r="L400" s="33"/>
      <c r="M400" s="36"/>
      <c r="N400" s="33"/>
      <c r="O400" s="35"/>
      <c r="P400" s="33"/>
      <c r="Q400" s="33"/>
      <c r="R400" s="36"/>
    </row>
    <row r="401" spans="5:18">
      <c r="E401" s="35"/>
      <c r="F401" s="33"/>
      <c r="G401" s="33"/>
      <c r="H401" s="36"/>
      <c r="I401" s="33"/>
      <c r="J401" s="35"/>
      <c r="K401" s="33"/>
      <c r="L401" s="33"/>
      <c r="M401" s="36"/>
      <c r="N401" s="33"/>
      <c r="O401" s="35"/>
      <c r="P401" s="33"/>
      <c r="Q401" s="33"/>
      <c r="R401" s="36"/>
    </row>
    <row r="402" spans="5:18">
      <c r="E402" s="35"/>
      <c r="F402" s="33"/>
      <c r="G402" s="33"/>
      <c r="H402" s="36"/>
      <c r="I402" s="33"/>
      <c r="J402" s="35"/>
      <c r="K402" s="33"/>
      <c r="L402" s="33"/>
      <c r="M402" s="36"/>
      <c r="N402" s="33"/>
      <c r="O402" s="35"/>
      <c r="P402" s="33"/>
      <c r="Q402" s="33"/>
      <c r="R402" s="36"/>
    </row>
    <row r="403" spans="5:18">
      <c r="E403" s="35"/>
      <c r="F403" s="33"/>
      <c r="G403" s="33"/>
      <c r="H403" s="36"/>
      <c r="I403" s="33"/>
      <c r="J403" s="35"/>
      <c r="K403" s="33"/>
      <c r="L403" s="33"/>
      <c r="M403" s="36"/>
      <c r="N403" s="33"/>
      <c r="O403" s="35"/>
      <c r="P403" s="33"/>
      <c r="Q403" s="33"/>
      <c r="R403" s="36"/>
    </row>
    <row r="404" spans="5:18">
      <c r="E404" s="35"/>
      <c r="F404" s="33"/>
      <c r="G404" s="33"/>
      <c r="H404" s="36"/>
      <c r="I404" s="33"/>
      <c r="J404" s="35"/>
      <c r="K404" s="33"/>
      <c r="L404" s="33"/>
      <c r="M404" s="36"/>
      <c r="N404" s="33"/>
      <c r="O404" s="35"/>
      <c r="P404" s="33"/>
      <c r="Q404" s="33"/>
      <c r="R404" s="36"/>
    </row>
    <row r="405" spans="5:18">
      <c r="E405" s="35"/>
      <c r="F405" s="33"/>
      <c r="G405" s="33"/>
      <c r="H405" s="36"/>
      <c r="I405" s="33"/>
      <c r="J405" s="35"/>
      <c r="K405" s="33"/>
      <c r="L405" s="33"/>
      <c r="M405" s="36"/>
      <c r="N405" s="33"/>
      <c r="O405" s="35"/>
      <c r="P405" s="33"/>
      <c r="Q405" s="33"/>
      <c r="R405" s="36"/>
    </row>
    <row r="406" spans="5:18">
      <c r="E406" s="35"/>
      <c r="F406" s="33"/>
      <c r="G406" s="33"/>
      <c r="H406" s="36"/>
      <c r="I406" s="33"/>
      <c r="J406" s="35"/>
      <c r="K406" s="33"/>
      <c r="L406" s="33"/>
      <c r="M406" s="36"/>
      <c r="N406" s="33"/>
      <c r="O406" s="35"/>
      <c r="P406" s="33"/>
      <c r="Q406" s="33"/>
      <c r="R406" s="36"/>
    </row>
    <row r="407" spans="5:18">
      <c r="E407" s="35"/>
      <c r="F407" s="33"/>
      <c r="G407" s="33"/>
      <c r="H407" s="36"/>
      <c r="I407" s="33"/>
      <c r="J407" s="35"/>
      <c r="K407" s="33"/>
      <c r="L407" s="33"/>
      <c r="M407" s="36"/>
      <c r="N407" s="33"/>
      <c r="O407" s="35"/>
      <c r="P407" s="33"/>
      <c r="Q407" s="33"/>
      <c r="R407" s="36"/>
    </row>
    <row r="408" spans="5:18">
      <c r="E408" s="35"/>
      <c r="F408" s="33"/>
      <c r="G408" s="33"/>
      <c r="H408" s="36"/>
      <c r="I408" s="33"/>
      <c r="J408" s="35"/>
      <c r="K408" s="33"/>
      <c r="L408" s="33"/>
      <c r="M408" s="36"/>
      <c r="N408" s="33"/>
      <c r="O408" s="35"/>
      <c r="P408" s="33"/>
      <c r="Q408" s="33"/>
      <c r="R408" s="36"/>
    </row>
    <row r="409" spans="5:18">
      <c r="E409" s="35"/>
      <c r="F409" s="33"/>
      <c r="G409" s="33"/>
      <c r="H409" s="36"/>
      <c r="I409" s="33"/>
      <c r="J409" s="35"/>
      <c r="K409" s="33"/>
      <c r="L409" s="33"/>
      <c r="M409" s="36"/>
      <c r="N409" s="33"/>
      <c r="O409" s="35"/>
      <c r="P409" s="33"/>
      <c r="Q409" s="33"/>
      <c r="R409" s="36"/>
    </row>
  </sheetData>
  <mergeCells count="23">
    <mergeCell ref="A5:A7"/>
    <mergeCell ref="B5:B7"/>
    <mergeCell ref="C5:C7"/>
    <mergeCell ref="I5:I7"/>
    <mergeCell ref="R5:R7"/>
    <mergeCell ref="L6:L7"/>
    <mergeCell ref="O6:O7"/>
    <mergeCell ref="Q6:Q7"/>
    <mergeCell ref="J6:J7"/>
    <mergeCell ref="J5:L5"/>
    <mergeCell ref="M5:M7"/>
    <mergeCell ref="N5:N7"/>
    <mergeCell ref="O5:Q5"/>
    <mergeCell ref="P6:P7"/>
    <mergeCell ref="K6:K7"/>
    <mergeCell ref="F6:F7"/>
    <mergeCell ref="B2:H2"/>
    <mergeCell ref="B3:H3"/>
    <mergeCell ref="D5:D7"/>
    <mergeCell ref="E5:G5"/>
    <mergeCell ref="H5:H7"/>
    <mergeCell ref="E6:E7"/>
    <mergeCell ref="G6:G7"/>
  </mergeCells>
  <pageMargins left="0.27559055118110237" right="0.19685039370078741" top="0.39370078740157483" bottom="0.35433070866141736" header="0.23622047244094491" footer="0.19685039370078741"/>
  <pageSetup paperSize="9" scale="60" orientation="landscape" r:id="rId1"/>
  <headerFooter alignWithMargins="0">
    <oddFooter>&amp;L&amp;F&amp;C&amp;P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R414"/>
  <sheetViews>
    <sheetView zoomScale="70" zoomScaleNormal="70" workbookViewId="0">
      <pane xSplit="2" ySplit="8" topLeftCell="C9" activePane="bottomRight" state="frozen"/>
      <selection activeCell="A177" activeCellId="2" sqref="A8:A9 A93 A177"/>
      <selection pane="topRight" activeCell="A177" activeCellId="2" sqref="A8:A9 A93 A177"/>
      <selection pane="bottomLeft" activeCell="A177" activeCellId="2" sqref="A8:A9 A93 A177"/>
      <selection pane="bottomRight" activeCell="B63" sqref="B63"/>
    </sheetView>
  </sheetViews>
  <sheetFormatPr defaultColWidth="9.109375" defaultRowHeight="10.199999999999999"/>
  <cols>
    <col min="1" max="1" width="11.44140625" style="21" bestFit="1" customWidth="1"/>
    <col min="2" max="2" width="39.109375" style="1" customWidth="1"/>
    <col min="3" max="3" width="13" style="22" customWidth="1"/>
    <col min="4" max="4" width="12" style="21" customWidth="1"/>
    <col min="5" max="5" width="12" style="274" customWidth="1"/>
    <col min="6" max="7" width="11.44140625" style="273" customWidth="1"/>
    <col min="8" max="8" width="11.6640625" style="275" customWidth="1"/>
    <col min="9" max="9" width="11.44140625" style="273" customWidth="1"/>
    <col min="10" max="10" width="12" style="274" customWidth="1"/>
    <col min="11" max="12" width="11.44140625" style="273" customWidth="1"/>
    <col min="13" max="13" width="11.6640625" style="275" customWidth="1"/>
    <col min="14" max="14" width="11.44140625" style="273" customWidth="1"/>
    <col min="15" max="15" width="12" style="274" customWidth="1"/>
    <col min="16" max="17" width="11.44140625" style="273" customWidth="1"/>
    <col min="18" max="18" width="11.6640625" style="275" customWidth="1"/>
    <col min="19" max="16384" width="9.109375" style="3"/>
  </cols>
  <sheetData>
    <row r="1" spans="1:18" ht="13.2">
      <c r="A1" s="216"/>
      <c r="B1" s="216"/>
      <c r="C1" s="216"/>
      <c r="D1" s="216"/>
      <c r="E1" s="216"/>
      <c r="F1" s="216"/>
      <c r="G1" s="216"/>
      <c r="H1" s="217"/>
      <c r="I1" s="216"/>
      <c r="J1" s="216"/>
      <c r="K1" s="216"/>
      <c r="L1" s="216"/>
      <c r="M1" s="217"/>
      <c r="N1" s="216"/>
      <c r="O1" s="216"/>
      <c r="P1" s="216"/>
      <c r="Q1" s="216"/>
      <c r="R1" s="217"/>
    </row>
    <row r="2" spans="1:18" ht="13.2">
      <c r="A2" s="219"/>
      <c r="B2" s="1399"/>
      <c r="C2" s="1399"/>
      <c r="D2" s="1399"/>
      <c r="E2" s="1399"/>
      <c r="F2" s="1399"/>
      <c r="G2" s="1399"/>
      <c r="H2" s="1399"/>
      <c r="I2" s="577"/>
      <c r="J2" s="577"/>
      <c r="K2" s="577"/>
      <c r="L2" s="577"/>
      <c r="M2" s="220"/>
      <c r="N2" s="577"/>
      <c r="O2" s="577"/>
      <c r="P2" s="577"/>
      <c r="Q2" s="577"/>
      <c r="R2" s="220"/>
    </row>
    <row r="3" spans="1:18" s="1" customFormat="1" ht="12.75" customHeight="1">
      <c r="A3" s="221"/>
      <c r="B3" s="1400" t="s">
        <v>489</v>
      </c>
      <c r="C3" s="1400"/>
      <c r="D3" s="1400"/>
      <c r="E3" s="1400"/>
      <c r="F3" s="1400"/>
      <c r="G3" s="1400"/>
      <c r="H3" s="1400"/>
      <c r="I3" s="578"/>
      <c r="J3" s="578"/>
      <c r="K3" s="578"/>
      <c r="L3" s="578"/>
      <c r="M3" s="220"/>
      <c r="N3" s="578"/>
      <c r="O3" s="578"/>
      <c r="P3" s="578"/>
      <c r="Q3" s="578"/>
      <c r="R3" s="220"/>
    </row>
    <row r="4" spans="1:18" s="1" customFormat="1" ht="13.2">
      <c r="A4" s="221"/>
      <c r="B4" s="578"/>
      <c r="C4" s="222"/>
      <c r="D4" s="578"/>
      <c r="E4" s="578"/>
      <c r="F4" s="578"/>
      <c r="G4" s="578"/>
      <c r="H4" s="578"/>
      <c r="I4" s="578"/>
      <c r="J4" s="578"/>
      <c r="K4" s="578"/>
      <c r="L4" s="578"/>
      <c r="M4" s="578"/>
      <c r="N4" s="578"/>
      <c r="O4" s="578"/>
      <c r="P4" s="578"/>
      <c r="Q4" s="578"/>
      <c r="R4" s="578"/>
    </row>
    <row r="5" spans="1:18" s="1" customFormat="1" ht="14.25" customHeight="1">
      <c r="A5" s="1396" t="s">
        <v>213</v>
      </c>
      <c r="B5" s="1357"/>
      <c r="C5" s="1412" t="s">
        <v>202</v>
      </c>
      <c r="D5" s="1401" t="s">
        <v>231</v>
      </c>
      <c r="E5" s="1404" t="s">
        <v>232</v>
      </c>
      <c r="F5" s="1405"/>
      <c r="G5" s="1406"/>
      <c r="H5" s="1407" t="s">
        <v>486</v>
      </c>
      <c r="I5" s="1415" t="s">
        <v>234</v>
      </c>
      <c r="J5" s="1425" t="s">
        <v>232</v>
      </c>
      <c r="K5" s="1426"/>
      <c r="L5" s="1427"/>
      <c r="M5" s="1428" t="s">
        <v>487</v>
      </c>
      <c r="N5" s="1431" t="s">
        <v>235</v>
      </c>
      <c r="O5" s="1434" t="s">
        <v>232</v>
      </c>
      <c r="P5" s="1435"/>
      <c r="Q5" s="1436"/>
      <c r="R5" s="1418" t="s">
        <v>488</v>
      </c>
    </row>
    <row r="6" spans="1:18" s="1" customFormat="1" ht="18" customHeight="1">
      <c r="A6" s="1396"/>
      <c r="B6" s="1358"/>
      <c r="C6" s="1413"/>
      <c r="D6" s="1402"/>
      <c r="E6" s="1410" t="s">
        <v>233</v>
      </c>
      <c r="F6" s="1410" t="s">
        <v>496</v>
      </c>
      <c r="G6" s="1410" t="s">
        <v>485</v>
      </c>
      <c r="H6" s="1408"/>
      <c r="I6" s="1416"/>
      <c r="J6" s="1421" t="s">
        <v>233</v>
      </c>
      <c r="K6" s="1421" t="s">
        <v>496</v>
      </c>
      <c r="L6" s="1421" t="s">
        <v>485</v>
      </c>
      <c r="M6" s="1429"/>
      <c r="N6" s="1432"/>
      <c r="O6" s="1423" t="s">
        <v>233</v>
      </c>
      <c r="P6" s="1423" t="s">
        <v>496</v>
      </c>
      <c r="Q6" s="1423" t="s">
        <v>485</v>
      </c>
      <c r="R6" s="1419"/>
    </row>
    <row r="7" spans="1:18" s="1" customFormat="1" ht="28.8" customHeight="1">
      <c r="A7" s="1396"/>
      <c r="B7" s="1359"/>
      <c r="C7" s="1414"/>
      <c r="D7" s="1403"/>
      <c r="E7" s="1411"/>
      <c r="F7" s="1411"/>
      <c r="G7" s="1411"/>
      <c r="H7" s="1409"/>
      <c r="I7" s="1417"/>
      <c r="J7" s="1422"/>
      <c r="K7" s="1422"/>
      <c r="L7" s="1422"/>
      <c r="M7" s="1430"/>
      <c r="N7" s="1433"/>
      <c r="O7" s="1424"/>
      <c r="P7" s="1424"/>
      <c r="Q7" s="1424"/>
      <c r="R7" s="1420"/>
    </row>
    <row r="8" spans="1:18" s="25" customFormat="1">
      <c r="A8" s="95">
        <v>1</v>
      </c>
      <c r="B8" s="95">
        <v>2</v>
      </c>
      <c r="C8" s="95">
        <v>3</v>
      </c>
      <c r="D8" s="95">
        <v>4</v>
      </c>
      <c r="E8" s="95">
        <v>5</v>
      </c>
      <c r="F8" s="95">
        <v>6</v>
      </c>
      <c r="G8" s="95">
        <v>7</v>
      </c>
      <c r="H8" s="96" t="s">
        <v>482</v>
      </c>
      <c r="I8" s="95">
        <v>9</v>
      </c>
      <c r="J8" s="95">
        <v>10</v>
      </c>
      <c r="K8" s="95">
        <v>11</v>
      </c>
      <c r="L8" s="95">
        <v>12</v>
      </c>
      <c r="M8" s="96" t="s">
        <v>483</v>
      </c>
      <c r="N8" s="95">
        <v>14</v>
      </c>
      <c r="O8" s="95">
        <v>15</v>
      </c>
      <c r="P8" s="95">
        <v>16</v>
      </c>
      <c r="Q8" s="95">
        <v>17</v>
      </c>
      <c r="R8" s="96" t="s">
        <v>484</v>
      </c>
    </row>
    <row r="9" spans="1:18" ht="26.4">
      <c r="A9" s="388"/>
      <c r="B9" s="392" t="s">
        <v>158</v>
      </c>
      <c r="C9" s="387"/>
      <c r="D9" s="387"/>
      <c r="E9" s="226"/>
      <c r="F9" s="226"/>
      <c r="G9" s="226"/>
      <c r="H9" s="226"/>
      <c r="I9" s="365"/>
      <c r="J9" s="226"/>
      <c r="K9" s="226"/>
      <c r="L9" s="226"/>
      <c r="M9" s="226"/>
      <c r="N9" s="365"/>
      <c r="O9" s="226"/>
      <c r="P9" s="226"/>
      <c r="Q9" s="226"/>
      <c r="R9" s="226"/>
    </row>
    <row r="10" spans="1:18" s="4" customFormat="1" ht="20.399999999999999">
      <c r="A10" s="597" t="s">
        <v>201</v>
      </c>
      <c r="B10" s="598" t="s">
        <v>88</v>
      </c>
      <c r="C10" s="599">
        <v>2098700</v>
      </c>
      <c r="D10" s="599">
        <v>3452700</v>
      </c>
      <c r="E10" s="600">
        <f>E11+E12+E14+E32</f>
        <v>65170</v>
      </c>
      <c r="F10" s="600">
        <f>F11+F12+F14+F32</f>
        <v>0</v>
      </c>
      <c r="G10" s="600">
        <f>G11+G12+G14+G32</f>
        <v>0</v>
      </c>
      <c r="H10" s="601">
        <f t="shared" ref="H10:H73" si="0">SUM(D10:G10)</f>
        <v>3517870</v>
      </c>
      <c r="I10" s="600">
        <v>3452700</v>
      </c>
      <c r="J10" s="600">
        <f>J11+J12+J14+J32</f>
        <v>0</v>
      </c>
      <c r="K10" s="600">
        <f>K11+K12+K14+K32</f>
        <v>0</v>
      </c>
      <c r="L10" s="600">
        <f>L11+L12+L14+L32</f>
        <v>0</v>
      </c>
      <c r="M10" s="601">
        <f t="shared" ref="M10:M73" si="1">SUM(I10:L10)</f>
        <v>3452700</v>
      </c>
      <c r="N10" s="600">
        <v>3452700</v>
      </c>
      <c r="O10" s="600">
        <f>O11+O12+O14+O32</f>
        <v>0</v>
      </c>
      <c r="P10" s="600">
        <f>P11+P12+P14+P32</f>
        <v>0</v>
      </c>
      <c r="Q10" s="600">
        <f>Q11+Q12+Q14+Q32</f>
        <v>0</v>
      </c>
      <c r="R10" s="601">
        <f t="shared" ref="R10:R73" si="2">SUM(N10:Q10)</f>
        <v>3452700</v>
      </c>
    </row>
    <row r="11" spans="1:18" ht="22.8">
      <c r="A11" s="130" t="s">
        <v>177</v>
      </c>
      <c r="B11" s="124" t="s">
        <v>90</v>
      </c>
      <c r="C11" s="98">
        <v>2098700</v>
      </c>
      <c r="D11" s="98">
        <v>3452700</v>
      </c>
      <c r="E11" s="231">
        <v>65170</v>
      </c>
      <c r="F11" s="231"/>
      <c r="G11" s="231"/>
      <c r="H11" s="232">
        <f t="shared" si="0"/>
        <v>3517870</v>
      </c>
      <c r="I11" s="231">
        <v>3452700</v>
      </c>
      <c r="J11" s="231"/>
      <c r="K11" s="231"/>
      <c r="L11" s="231"/>
      <c r="M11" s="232">
        <f t="shared" si="1"/>
        <v>3452700</v>
      </c>
      <c r="N11" s="231">
        <v>3452700</v>
      </c>
      <c r="O11" s="231"/>
      <c r="P11" s="231"/>
      <c r="Q11" s="231"/>
      <c r="R11" s="232">
        <f t="shared" si="2"/>
        <v>3452700</v>
      </c>
    </row>
    <row r="12" spans="1:18" ht="12" hidden="1" customHeight="1">
      <c r="A12" s="130" t="s">
        <v>91</v>
      </c>
      <c r="B12" s="124" t="s">
        <v>92</v>
      </c>
      <c r="C12" s="98"/>
      <c r="D12" s="98">
        <v>0</v>
      </c>
      <c r="E12" s="231"/>
      <c r="F12" s="231"/>
      <c r="G12" s="231"/>
      <c r="H12" s="232">
        <f t="shared" si="0"/>
        <v>0</v>
      </c>
      <c r="I12" s="231">
        <v>0</v>
      </c>
      <c r="J12" s="231"/>
      <c r="K12" s="231"/>
      <c r="L12" s="231"/>
      <c r="M12" s="232">
        <f t="shared" si="1"/>
        <v>0</v>
      </c>
      <c r="N12" s="231">
        <v>0</v>
      </c>
      <c r="O12" s="231"/>
      <c r="P12" s="231"/>
      <c r="Q12" s="231"/>
      <c r="R12" s="232">
        <f t="shared" si="2"/>
        <v>0</v>
      </c>
    </row>
    <row r="13" spans="1:18" ht="24" hidden="1" customHeight="1">
      <c r="A13" s="131">
        <v>21210</v>
      </c>
      <c r="B13" s="125" t="s">
        <v>93</v>
      </c>
      <c r="C13" s="98"/>
      <c r="D13" s="98">
        <v>0</v>
      </c>
      <c r="E13" s="231"/>
      <c r="F13" s="231"/>
      <c r="G13" s="231"/>
      <c r="H13" s="232">
        <f t="shared" si="0"/>
        <v>0</v>
      </c>
      <c r="I13" s="231">
        <v>0</v>
      </c>
      <c r="J13" s="231"/>
      <c r="K13" s="231"/>
      <c r="L13" s="231"/>
      <c r="M13" s="232">
        <f t="shared" si="1"/>
        <v>0</v>
      </c>
      <c r="N13" s="231">
        <v>0</v>
      </c>
      <c r="O13" s="231"/>
      <c r="P13" s="231"/>
      <c r="Q13" s="231"/>
      <c r="R13" s="232">
        <f t="shared" si="2"/>
        <v>0</v>
      </c>
    </row>
    <row r="14" spans="1:18" ht="21" hidden="1" customHeight="1">
      <c r="A14" s="130" t="s">
        <v>178</v>
      </c>
      <c r="B14" s="124" t="s">
        <v>94</v>
      </c>
      <c r="C14" s="170">
        <v>0</v>
      </c>
      <c r="D14" s="170">
        <v>0</v>
      </c>
      <c r="E14" s="233">
        <f>E15+E21</f>
        <v>0</v>
      </c>
      <c r="F14" s="233">
        <f>F15+F21</f>
        <v>0</v>
      </c>
      <c r="G14" s="233">
        <f>G15+G21</f>
        <v>0</v>
      </c>
      <c r="H14" s="232">
        <f t="shared" si="0"/>
        <v>0</v>
      </c>
      <c r="I14" s="233">
        <v>0</v>
      </c>
      <c r="J14" s="233">
        <f>J15+J21</f>
        <v>0</v>
      </c>
      <c r="K14" s="233">
        <f>K15+K21</f>
        <v>0</v>
      </c>
      <c r="L14" s="233">
        <f>L15+L21</f>
        <v>0</v>
      </c>
      <c r="M14" s="232">
        <f t="shared" si="1"/>
        <v>0</v>
      </c>
      <c r="N14" s="233">
        <v>0</v>
      </c>
      <c r="O14" s="233">
        <f>O15+O21</f>
        <v>0</v>
      </c>
      <c r="P14" s="233">
        <f>P15+P21</f>
        <v>0</v>
      </c>
      <c r="Q14" s="233">
        <f>Q15+Q21</f>
        <v>0</v>
      </c>
      <c r="R14" s="232">
        <f t="shared" si="2"/>
        <v>0</v>
      </c>
    </row>
    <row r="15" spans="1:18" ht="12" hidden="1" customHeight="1">
      <c r="A15" s="132">
        <v>18000</v>
      </c>
      <c r="B15" s="125" t="s">
        <v>95</v>
      </c>
      <c r="C15" s="170">
        <v>0</v>
      </c>
      <c r="D15" s="170">
        <v>0</v>
      </c>
      <c r="E15" s="233">
        <f t="shared" ref="E15:G16" si="3">E16</f>
        <v>0</v>
      </c>
      <c r="F15" s="233">
        <f t="shared" si="3"/>
        <v>0</v>
      </c>
      <c r="G15" s="233">
        <f t="shared" si="3"/>
        <v>0</v>
      </c>
      <c r="H15" s="232">
        <f t="shared" si="0"/>
        <v>0</v>
      </c>
      <c r="I15" s="233">
        <v>0</v>
      </c>
      <c r="J15" s="233">
        <f t="shared" ref="J15:L16" si="4">J16</f>
        <v>0</v>
      </c>
      <c r="K15" s="233">
        <f t="shared" si="4"/>
        <v>0</v>
      </c>
      <c r="L15" s="233">
        <f t="shared" si="4"/>
        <v>0</v>
      </c>
      <c r="M15" s="232">
        <f t="shared" si="1"/>
        <v>0</v>
      </c>
      <c r="N15" s="233">
        <v>0</v>
      </c>
      <c r="O15" s="233">
        <f t="shared" ref="O15:Q16" si="5">O16</f>
        <v>0</v>
      </c>
      <c r="P15" s="233">
        <f t="shared" si="5"/>
        <v>0</v>
      </c>
      <c r="Q15" s="233">
        <f t="shared" si="5"/>
        <v>0</v>
      </c>
      <c r="R15" s="232">
        <f t="shared" si="2"/>
        <v>0</v>
      </c>
    </row>
    <row r="16" spans="1:18" ht="12" hidden="1" customHeight="1">
      <c r="A16" s="132">
        <v>18100</v>
      </c>
      <c r="B16" s="125" t="s">
        <v>96</v>
      </c>
      <c r="C16" s="170">
        <v>0</v>
      </c>
      <c r="D16" s="170">
        <v>0</v>
      </c>
      <c r="E16" s="233">
        <f t="shared" si="3"/>
        <v>0</v>
      </c>
      <c r="F16" s="233">
        <f t="shared" si="3"/>
        <v>0</v>
      </c>
      <c r="G16" s="233">
        <f t="shared" si="3"/>
        <v>0</v>
      </c>
      <c r="H16" s="232">
        <f t="shared" si="0"/>
        <v>0</v>
      </c>
      <c r="I16" s="233">
        <v>0</v>
      </c>
      <c r="J16" s="233">
        <f t="shared" si="4"/>
        <v>0</v>
      </c>
      <c r="K16" s="233">
        <f t="shared" si="4"/>
        <v>0</v>
      </c>
      <c r="L16" s="233">
        <f t="shared" si="4"/>
        <v>0</v>
      </c>
      <c r="M16" s="232">
        <f t="shared" si="1"/>
        <v>0</v>
      </c>
      <c r="N16" s="233">
        <v>0</v>
      </c>
      <c r="O16" s="233">
        <f t="shared" si="5"/>
        <v>0</v>
      </c>
      <c r="P16" s="233">
        <f t="shared" si="5"/>
        <v>0</v>
      </c>
      <c r="Q16" s="233">
        <f t="shared" si="5"/>
        <v>0</v>
      </c>
      <c r="R16" s="232">
        <f t="shared" si="2"/>
        <v>0</v>
      </c>
    </row>
    <row r="17" spans="1:18" s="4" customFormat="1" ht="24" hidden="1" customHeight="1">
      <c r="A17" s="133">
        <v>18130</v>
      </c>
      <c r="B17" s="172" t="s">
        <v>159</v>
      </c>
      <c r="C17" s="170">
        <v>0</v>
      </c>
      <c r="D17" s="170">
        <v>0</v>
      </c>
      <c r="E17" s="233">
        <f>SUM(E18:E20)</f>
        <v>0</v>
      </c>
      <c r="F17" s="233">
        <f>SUM(F18:F20)</f>
        <v>0</v>
      </c>
      <c r="G17" s="233">
        <f>SUM(G18:G20)</f>
        <v>0</v>
      </c>
      <c r="H17" s="232">
        <f t="shared" si="0"/>
        <v>0</v>
      </c>
      <c r="I17" s="233">
        <v>0</v>
      </c>
      <c r="J17" s="233">
        <f>SUM(J18:J20)</f>
        <v>0</v>
      </c>
      <c r="K17" s="233">
        <f>SUM(K18:K20)</f>
        <v>0</v>
      </c>
      <c r="L17" s="233">
        <f>SUM(L18:L20)</f>
        <v>0</v>
      </c>
      <c r="M17" s="232">
        <f t="shared" si="1"/>
        <v>0</v>
      </c>
      <c r="N17" s="233">
        <v>0</v>
      </c>
      <c r="O17" s="233">
        <f>SUM(O18:O20)</f>
        <v>0</v>
      </c>
      <c r="P17" s="233">
        <f>SUM(P18:P20)</f>
        <v>0</v>
      </c>
      <c r="Q17" s="233">
        <f>SUM(Q18:Q20)</f>
        <v>0</v>
      </c>
      <c r="R17" s="232">
        <f t="shared" si="2"/>
        <v>0</v>
      </c>
    </row>
    <row r="18" spans="1:18" s="6" customFormat="1" ht="36" hidden="1" customHeight="1">
      <c r="A18" s="134">
        <v>18131</v>
      </c>
      <c r="B18" s="172" t="s">
        <v>160</v>
      </c>
      <c r="C18" s="170"/>
      <c r="D18" s="170">
        <v>0</v>
      </c>
      <c r="E18" s="233"/>
      <c r="F18" s="233"/>
      <c r="G18" s="233"/>
      <c r="H18" s="232">
        <f t="shared" si="0"/>
        <v>0</v>
      </c>
      <c r="I18" s="233">
        <v>0</v>
      </c>
      <c r="J18" s="233"/>
      <c r="K18" s="233"/>
      <c r="L18" s="233"/>
      <c r="M18" s="232">
        <f t="shared" si="1"/>
        <v>0</v>
      </c>
      <c r="N18" s="233">
        <v>0</v>
      </c>
      <c r="O18" s="233"/>
      <c r="P18" s="233"/>
      <c r="Q18" s="233"/>
      <c r="R18" s="232">
        <f t="shared" si="2"/>
        <v>0</v>
      </c>
    </row>
    <row r="19" spans="1:18" s="6" customFormat="1" ht="24" hidden="1" customHeight="1">
      <c r="A19" s="134">
        <v>18132</v>
      </c>
      <c r="B19" s="172" t="s">
        <v>169</v>
      </c>
      <c r="C19" s="170"/>
      <c r="D19" s="170">
        <v>0</v>
      </c>
      <c r="E19" s="233"/>
      <c r="F19" s="233"/>
      <c r="G19" s="233"/>
      <c r="H19" s="232">
        <f t="shared" si="0"/>
        <v>0</v>
      </c>
      <c r="I19" s="233">
        <v>0</v>
      </c>
      <c r="J19" s="233"/>
      <c r="K19" s="233"/>
      <c r="L19" s="233"/>
      <c r="M19" s="232">
        <f t="shared" si="1"/>
        <v>0</v>
      </c>
      <c r="N19" s="233">
        <v>0</v>
      </c>
      <c r="O19" s="233"/>
      <c r="P19" s="233"/>
      <c r="Q19" s="233"/>
      <c r="R19" s="232">
        <f t="shared" si="2"/>
        <v>0</v>
      </c>
    </row>
    <row r="20" spans="1:18" s="6" customFormat="1" ht="24" hidden="1" customHeight="1">
      <c r="A20" s="134">
        <v>18139</v>
      </c>
      <c r="B20" s="172" t="s">
        <v>179</v>
      </c>
      <c r="C20" s="170"/>
      <c r="D20" s="170">
        <v>0</v>
      </c>
      <c r="E20" s="233"/>
      <c r="F20" s="233"/>
      <c r="G20" s="233"/>
      <c r="H20" s="232">
        <f t="shared" si="0"/>
        <v>0</v>
      </c>
      <c r="I20" s="233">
        <v>0</v>
      </c>
      <c r="J20" s="233"/>
      <c r="K20" s="233"/>
      <c r="L20" s="233"/>
      <c r="M20" s="232">
        <f t="shared" si="1"/>
        <v>0</v>
      </c>
      <c r="N20" s="233">
        <v>0</v>
      </c>
      <c r="O20" s="233"/>
      <c r="P20" s="233"/>
      <c r="Q20" s="233"/>
      <c r="R20" s="232">
        <f t="shared" si="2"/>
        <v>0</v>
      </c>
    </row>
    <row r="21" spans="1:18" s="6" customFormat="1" ht="12" hidden="1" customHeight="1">
      <c r="A21" s="135" t="s">
        <v>180</v>
      </c>
      <c r="B21" s="173" t="s">
        <v>173</v>
      </c>
      <c r="C21" s="201">
        <v>0</v>
      </c>
      <c r="D21" s="201">
        <v>0</v>
      </c>
      <c r="E21" s="238">
        <f>E22</f>
        <v>0</v>
      </c>
      <c r="F21" s="238">
        <f>F22</f>
        <v>0</v>
      </c>
      <c r="G21" s="238">
        <f>G22</f>
        <v>0</v>
      </c>
      <c r="H21" s="232">
        <f t="shared" si="0"/>
        <v>0</v>
      </c>
      <c r="I21" s="238">
        <v>0</v>
      </c>
      <c r="J21" s="238">
        <f>J22</f>
        <v>0</v>
      </c>
      <c r="K21" s="238">
        <f>K22</f>
        <v>0</v>
      </c>
      <c r="L21" s="238">
        <f>L22</f>
        <v>0</v>
      </c>
      <c r="M21" s="232">
        <f t="shared" si="1"/>
        <v>0</v>
      </c>
      <c r="N21" s="238">
        <v>0</v>
      </c>
      <c r="O21" s="238">
        <f>O22</f>
        <v>0</v>
      </c>
      <c r="P21" s="238">
        <f>P22</f>
        <v>0</v>
      </c>
      <c r="Q21" s="238">
        <f>Q22</f>
        <v>0</v>
      </c>
      <c r="R21" s="232">
        <f t="shared" si="2"/>
        <v>0</v>
      </c>
    </row>
    <row r="22" spans="1:18" s="6" customFormat="1" ht="24" hidden="1" customHeight="1">
      <c r="A22" s="135">
        <v>19500</v>
      </c>
      <c r="B22" s="172" t="s">
        <v>174</v>
      </c>
      <c r="C22" s="170">
        <v>0</v>
      </c>
      <c r="D22" s="170">
        <v>0</v>
      </c>
      <c r="E22" s="233">
        <f>SUM(E23:E25)</f>
        <v>0</v>
      </c>
      <c r="F22" s="233">
        <f>SUM(F23:F25)</f>
        <v>0</v>
      </c>
      <c r="G22" s="233">
        <f>SUM(G23:G25)</f>
        <v>0</v>
      </c>
      <c r="H22" s="232">
        <f t="shared" si="0"/>
        <v>0</v>
      </c>
      <c r="I22" s="233">
        <v>0</v>
      </c>
      <c r="J22" s="233">
        <f>SUM(J23:J25)</f>
        <v>0</v>
      </c>
      <c r="K22" s="233">
        <f>SUM(K23:K25)</f>
        <v>0</v>
      </c>
      <c r="L22" s="233">
        <f>SUM(L23:L25)</f>
        <v>0</v>
      </c>
      <c r="M22" s="232">
        <f t="shared" si="1"/>
        <v>0</v>
      </c>
      <c r="N22" s="233">
        <v>0</v>
      </c>
      <c r="O22" s="233">
        <f>SUM(O23:O25)</f>
        <v>0</v>
      </c>
      <c r="P22" s="233">
        <f>SUM(P23:P25)</f>
        <v>0</v>
      </c>
      <c r="Q22" s="233">
        <f>SUM(Q23:Q25)</f>
        <v>0</v>
      </c>
      <c r="R22" s="232">
        <f t="shared" si="2"/>
        <v>0</v>
      </c>
    </row>
    <row r="23" spans="1:18" s="6" customFormat="1" ht="24" hidden="1" customHeight="1">
      <c r="A23" s="136">
        <v>19550</v>
      </c>
      <c r="B23" s="172" t="s">
        <v>175</v>
      </c>
      <c r="C23" s="170"/>
      <c r="D23" s="170">
        <v>0</v>
      </c>
      <c r="E23" s="233"/>
      <c r="F23" s="233"/>
      <c r="G23" s="233"/>
      <c r="H23" s="232">
        <f t="shared" si="0"/>
        <v>0</v>
      </c>
      <c r="I23" s="233">
        <v>0</v>
      </c>
      <c r="J23" s="233"/>
      <c r="K23" s="233"/>
      <c r="L23" s="233"/>
      <c r="M23" s="232">
        <f t="shared" si="1"/>
        <v>0</v>
      </c>
      <c r="N23" s="233">
        <v>0</v>
      </c>
      <c r="O23" s="233"/>
      <c r="P23" s="233"/>
      <c r="Q23" s="233"/>
      <c r="R23" s="232">
        <f t="shared" si="2"/>
        <v>0</v>
      </c>
    </row>
    <row r="24" spans="1:18" s="6" customFormat="1" ht="36" hidden="1" customHeight="1">
      <c r="A24" s="136">
        <v>19560</v>
      </c>
      <c r="B24" s="172" t="s">
        <v>181</v>
      </c>
      <c r="C24" s="170"/>
      <c r="D24" s="170">
        <v>0</v>
      </c>
      <c r="E24" s="233"/>
      <c r="F24" s="233"/>
      <c r="G24" s="233"/>
      <c r="H24" s="232">
        <f t="shared" si="0"/>
        <v>0</v>
      </c>
      <c r="I24" s="233">
        <v>0</v>
      </c>
      <c r="J24" s="233"/>
      <c r="K24" s="233"/>
      <c r="L24" s="233"/>
      <c r="M24" s="232">
        <f t="shared" si="1"/>
        <v>0</v>
      </c>
      <c r="N24" s="233">
        <v>0</v>
      </c>
      <c r="O24" s="233"/>
      <c r="P24" s="233"/>
      <c r="Q24" s="233"/>
      <c r="R24" s="232">
        <f t="shared" si="2"/>
        <v>0</v>
      </c>
    </row>
    <row r="25" spans="1:18" s="6" customFormat="1" ht="72" hidden="1" customHeight="1">
      <c r="A25" s="136">
        <v>19570</v>
      </c>
      <c r="B25" s="172" t="s">
        <v>182</v>
      </c>
      <c r="C25" s="170"/>
      <c r="D25" s="170">
        <v>0</v>
      </c>
      <c r="E25" s="233"/>
      <c r="F25" s="233"/>
      <c r="G25" s="233"/>
      <c r="H25" s="232">
        <f t="shared" si="0"/>
        <v>0</v>
      </c>
      <c r="I25" s="233">
        <v>0</v>
      </c>
      <c r="J25" s="233"/>
      <c r="K25" s="233"/>
      <c r="L25" s="233"/>
      <c r="M25" s="232">
        <f t="shared" si="1"/>
        <v>0</v>
      </c>
      <c r="N25" s="233">
        <v>0</v>
      </c>
      <c r="O25" s="233"/>
      <c r="P25" s="233"/>
      <c r="Q25" s="233"/>
      <c r="R25" s="232">
        <f t="shared" si="2"/>
        <v>0</v>
      </c>
    </row>
    <row r="26" spans="1:18" s="6" customFormat="1" ht="24" hidden="1" customHeight="1">
      <c r="A26" s="209" t="s">
        <v>222</v>
      </c>
      <c r="B26" s="208" t="s">
        <v>216</v>
      </c>
      <c r="C26" s="106">
        <f>C27</f>
        <v>0</v>
      </c>
      <c r="D26" s="106">
        <v>0</v>
      </c>
      <c r="E26" s="232">
        <f>E27</f>
        <v>0</v>
      </c>
      <c r="F26" s="232">
        <f>F27</f>
        <v>0</v>
      </c>
      <c r="G26" s="232">
        <f>G27</f>
        <v>0</v>
      </c>
      <c r="H26" s="232">
        <f t="shared" si="0"/>
        <v>0</v>
      </c>
      <c r="I26" s="233">
        <v>0</v>
      </c>
      <c r="J26" s="232">
        <f>J27</f>
        <v>0</v>
      </c>
      <c r="K26" s="232">
        <f>K27</f>
        <v>0</v>
      </c>
      <c r="L26" s="232">
        <f>L27</f>
        <v>0</v>
      </c>
      <c r="M26" s="232">
        <f t="shared" si="1"/>
        <v>0</v>
      </c>
      <c r="N26" s="233">
        <v>0</v>
      </c>
      <c r="O26" s="232">
        <f>O27</f>
        <v>0</v>
      </c>
      <c r="P26" s="232">
        <f>P27</f>
        <v>0</v>
      </c>
      <c r="Q26" s="232">
        <f>Q27</f>
        <v>0</v>
      </c>
      <c r="R26" s="232">
        <f t="shared" si="2"/>
        <v>0</v>
      </c>
    </row>
    <row r="27" spans="1:18" s="6" customFormat="1" ht="36" hidden="1" customHeight="1">
      <c r="A27" s="209">
        <v>17100</v>
      </c>
      <c r="B27" s="208" t="s">
        <v>217</v>
      </c>
      <c r="C27" s="106">
        <f>SUM(C28:C31)</f>
        <v>0</v>
      </c>
      <c r="D27" s="106">
        <v>0</v>
      </c>
      <c r="E27" s="232">
        <f>SUM(E28:E31)</f>
        <v>0</v>
      </c>
      <c r="F27" s="232">
        <f>SUM(F28:F31)</f>
        <v>0</v>
      </c>
      <c r="G27" s="232">
        <f>SUM(G28:G31)</f>
        <v>0</v>
      </c>
      <c r="H27" s="232">
        <f t="shared" si="0"/>
        <v>0</v>
      </c>
      <c r="I27" s="233">
        <v>0</v>
      </c>
      <c r="J27" s="232">
        <f>SUM(J28:J31)</f>
        <v>0</v>
      </c>
      <c r="K27" s="232">
        <f>SUM(K28:K31)</f>
        <v>0</v>
      </c>
      <c r="L27" s="232">
        <f>SUM(L28:L31)</f>
        <v>0</v>
      </c>
      <c r="M27" s="232">
        <f t="shared" si="1"/>
        <v>0</v>
      </c>
      <c r="N27" s="233">
        <v>0</v>
      </c>
      <c r="O27" s="232">
        <f>SUM(O28:O31)</f>
        <v>0</v>
      </c>
      <c r="P27" s="232">
        <f>SUM(P28:P31)</f>
        <v>0</v>
      </c>
      <c r="Q27" s="232">
        <f>SUM(Q28:Q31)</f>
        <v>0</v>
      </c>
      <c r="R27" s="232">
        <f t="shared" si="2"/>
        <v>0</v>
      </c>
    </row>
    <row r="28" spans="1:18" s="6" customFormat="1" ht="60" hidden="1" customHeight="1">
      <c r="A28" s="149">
        <v>17110</v>
      </c>
      <c r="B28" s="208" t="s">
        <v>218</v>
      </c>
      <c r="C28" s="106"/>
      <c r="D28" s="106">
        <v>0</v>
      </c>
      <c r="E28" s="233"/>
      <c r="F28" s="233"/>
      <c r="G28" s="233"/>
      <c r="H28" s="232">
        <f t="shared" si="0"/>
        <v>0</v>
      </c>
      <c r="I28" s="233">
        <v>0</v>
      </c>
      <c r="J28" s="233"/>
      <c r="K28" s="233"/>
      <c r="L28" s="233"/>
      <c r="M28" s="232">
        <f t="shared" si="1"/>
        <v>0</v>
      </c>
      <c r="N28" s="233">
        <v>0</v>
      </c>
      <c r="O28" s="233"/>
      <c r="P28" s="233"/>
      <c r="Q28" s="233"/>
      <c r="R28" s="232">
        <f t="shared" si="2"/>
        <v>0</v>
      </c>
    </row>
    <row r="29" spans="1:18" s="6" customFormat="1" ht="60" hidden="1" customHeight="1">
      <c r="A29" s="149">
        <v>17120</v>
      </c>
      <c r="B29" s="208" t="s">
        <v>219</v>
      </c>
      <c r="C29" s="106"/>
      <c r="D29" s="106">
        <v>0</v>
      </c>
      <c r="E29" s="233"/>
      <c r="F29" s="233"/>
      <c r="G29" s="233"/>
      <c r="H29" s="232">
        <f t="shared" si="0"/>
        <v>0</v>
      </c>
      <c r="I29" s="233">
        <v>0</v>
      </c>
      <c r="J29" s="233"/>
      <c r="K29" s="233"/>
      <c r="L29" s="233"/>
      <c r="M29" s="232">
        <f t="shared" si="1"/>
        <v>0</v>
      </c>
      <c r="N29" s="233">
        <v>0</v>
      </c>
      <c r="O29" s="233"/>
      <c r="P29" s="233"/>
      <c r="Q29" s="233"/>
      <c r="R29" s="232">
        <f t="shared" si="2"/>
        <v>0</v>
      </c>
    </row>
    <row r="30" spans="1:18" s="6" customFormat="1" ht="108" hidden="1" customHeight="1">
      <c r="A30" s="149">
        <v>17130</v>
      </c>
      <c r="B30" s="208" t="s">
        <v>560</v>
      </c>
      <c r="C30" s="106"/>
      <c r="D30" s="106">
        <v>0</v>
      </c>
      <c r="E30" s="233"/>
      <c r="F30" s="233"/>
      <c r="G30" s="233"/>
      <c r="H30" s="232">
        <f t="shared" si="0"/>
        <v>0</v>
      </c>
      <c r="I30" s="233">
        <v>0</v>
      </c>
      <c r="J30" s="233"/>
      <c r="K30" s="233"/>
      <c r="L30" s="233"/>
      <c r="M30" s="232">
        <f t="shared" si="1"/>
        <v>0</v>
      </c>
      <c r="N30" s="233">
        <v>0</v>
      </c>
      <c r="O30" s="233"/>
      <c r="P30" s="233"/>
      <c r="Q30" s="233"/>
      <c r="R30" s="232">
        <f t="shared" si="2"/>
        <v>0</v>
      </c>
    </row>
    <row r="31" spans="1:18" s="6" customFormat="1" ht="108" hidden="1" customHeight="1">
      <c r="A31" s="149">
        <v>17140</v>
      </c>
      <c r="B31" s="208" t="s">
        <v>561</v>
      </c>
      <c r="C31" s="106"/>
      <c r="D31" s="106">
        <v>0</v>
      </c>
      <c r="E31" s="233"/>
      <c r="F31" s="233"/>
      <c r="G31" s="233"/>
      <c r="H31" s="232">
        <f t="shared" si="0"/>
        <v>0</v>
      </c>
      <c r="I31" s="233">
        <v>0</v>
      </c>
      <c r="J31" s="233"/>
      <c r="K31" s="233"/>
      <c r="L31" s="233"/>
      <c r="M31" s="232">
        <f t="shared" si="1"/>
        <v>0</v>
      </c>
      <c r="N31" s="233">
        <v>0</v>
      </c>
      <c r="O31" s="233"/>
      <c r="P31" s="233"/>
      <c r="Q31" s="233"/>
      <c r="R31" s="232">
        <f t="shared" si="2"/>
        <v>0</v>
      </c>
    </row>
    <row r="32" spans="1:18" s="6" customFormat="1" ht="12" hidden="1" customHeight="1">
      <c r="A32" s="137">
        <v>21700</v>
      </c>
      <c r="B32" s="124" t="s">
        <v>97</v>
      </c>
      <c r="C32" s="170">
        <v>0</v>
      </c>
      <c r="D32" s="170">
        <v>0</v>
      </c>
      <c r="E32" s="233">
        <f>E33+E34</f>
        <v>0</v>
      </c>
      <c r="F32" s="233">
        <f>F33+F34</f>
        <v>0</v>
      </c>
      <c r="G32" s="233">
        <f>G33+G34</f>
        <v>0</v>
      </c>
      <c r="H32" s="232">
        <f t="shared" si="0"/>
        <v>0</v>
      </c>
      <c r="I32" s="233">
        <v>0</v>
      </c>
      <c r="J32" s="233">
        <f>J33+J34</f>
        <v>0</v>
      </c>
      <c r="K32" s="233">
        <f>K33+K34</f>
        <v>0</v>
      </c>
      <c r="L32" s="233">
        <f>L33+L34</f>
        <v>0</v>
      </c>
      <c r="M32" s="232">
        <f t="shared" si="1"/>
        <v>0</v>
      </c>
      <c r="N32" s="233">
        <v>0</v>
      </c>
      <c r="O32" s="233">
        <f>O33+O34</f>
        <v>0</v>
      </c>
      <c r="P32" s="233">
        <f>P33+P34</f>
        <v>0</v>
      </c>
      <c r="Q32" s="233">
        <f>Q33+Q34</f>
        <v>0</v>
      </c>
      <c r="R32" s="232">
        <f t="shared" si="2"/>
        <v>0</v>
      </c>
    </row>
    <row r="33" spans="1:18" s="6" customFormat="1" ht="24" hidden="1" customHeight="1">
      <c r="A33" s="138">
        <v>21710</v>
      </c>
      <c r="B33" s="125" t="s">
        <v>98</v>
      </c>
      <c r="C33" s="170"/>
      <c r="D33" s="170">
        <v>0</v>
      </c>
      <c r="E33" s="233"/>
      <c r="F33" s="233"/>
      <c r="G33" s="233"/>
      <c r="H33" s="232">
        <f t="shared" si="0"/>
        <v>0</v>
      </c>
      <c r="I33" s="233">
        <v>0</v>
      </c>
      <c r="J33" s="233"/>
      <c r="K33" s="233"/>
      <c r="L33" s="233"/>
      <c r="M33" s="232">
        <f t="shared" si="1"/>
        <v>0</v>
      </c>
      <c r="N33" s="233">
        <v>0</v>
      </c>
      <c r="O33" s="233"/>
      <c r="P33" s="233"/>
      <c r="Q33" s="233"/>
      <c r="R33" s="232">
        <f t="shared" si="2"/>
        <v>0</v>
      </c>
    </row>
    <row r="34" spans="1:18" s="6" customFormat="1" ht="24" hidden="1" customHeight="1">
      <c r="A34" s="138">
        <v>21720</v>
      </c>
      <c r="B34" s="125" t="s">
        <v>99</v>
      </c>
      <c r="C34" s="170"/>
      <c r="D34" s="170">
        <v>0</v>
      </c>
      <c r="E34" s="233"/>
      <c r="F34" s="233"/>
      <c r="G34" s="233"/>
      <c r="H34" s="232">
        <f t="shared" si="0"/>
        <v>0</v>
      </c>
      <c r="I34" s="233">
        <v>0</v>
      </c>
      <c r="J34" s="233"/>
      <c r="K34" s="233"/>
      <c r="L34" s="233"/>
      <c r="M34" s="232">
        <f t="shared" si="1"/>
        <v>0</v>
      </c>
      <c r="N34" s="233">
        <v>0</v>
      </c>
      <c r="O34" s="233"/>
      <c r="P34" s="233"/>
      <c r="Q34" s="233"/>
      <c r="R34" s="232">
        <f t="shared" si="2"/>
        <v>0</v>
      </c>
    </row>
    <row r="35" spans="1:18" s="6" customFormat="1" ht="11.4">
      <c r="A35" s="597" t="s">
        <v>100</v>
      </c>
      <c r="B35" s="598" t="s">
        <v>101</v>
      </c>
      <c r="C35" s="602">
        <v>3452700</v>
      </c>
      <c r="D35" s="602">
        <v>3452700</v>
      </c>
      <c r="E35" s="603">
        <f>E36+E63</f>
        <v>65170</v>
      </c>
      <c r="F35" s="603">
        <f>F36+F63</f>
        <v>0</v>
      </c>
      <c r="G35" s="603">
        <f>G36+G63</f>
        <v>0</v>
      </c>
      <c r="H35" s="601">
        <f t="shared" si="0"/>
        <v>3517870</v>
      </c>
      <c r="I35" s="603">
        <v>3452700</v>
      </c>
      <c r="J35" s="603">
        <f>J36+J63</f>
        <v>0</v>
      </c>
      <c r="K35" s="603">
        <f>K36+K63</f>
        <v>0</v>
      </c>
      <c r="L35" s="603">
        <f>L36+L63</f>
        <v>0</v>
      </c>
      <c r="M35" s="601">
        <f t="shared" si="1"/>
        <v>3452700</v>
      </c>
      <c r="N35" s="603">
        <v>3452700</v>
      </c>
      <c r="O35" s="603">
        <f>O36+O63</f>
        <v>0</v>
      </c>
      <c r="P35" s="603">
        <f>P36+P63</f>
        <v>0</v>
      </c>
      <c r="Q35" s="603">
        <f>Q36+Q63</f>
        <v>0</v>
      </c>
      <c r="R35" s="601">
        <f t="shared" si="2"/>
        <v>3452700</v>
      </c>
    </row>
    <row r="36" spans="1:18" s="6" customFormat="1" ht="20.399999999999999">
      <c r="A36" s="130" t="s">
        <v>102</v>
      </c>
      <c r="B36" s="124" t="s">
        <v>103</v>
      </c>
      <c r="C36" s="170">
        <v>3252676</v>
      </c>
      <c r="D36" s="170">
        <v>3252676</v>
      </c>
      <c r="E36" s="233">
        <f>E37+E41+E42+E45+E48</f>
        <v>131792</v>
      </c>
      <c r="F36" s="233">
        <f>F37+F41+F42+F45+F48</f>
        <v>0</v>
      </c>
      <c r="G36" s="233">
        <f>G37+G41+G42+G45+G48</f>
        <v>0</v>
      </c>
      <c r="H36" s="232">
        <f t="shared" si="0"/>
        <v>3384468</v>
      </c>
      <c r="I36" s="233">
        <v>3252676</v>
      </c>
      <c r="J36" s="232">
        <f>J37+J41+J42+J45+J48</f>
        <v>66622</v>
      </c>
      <c r="K36" s="233">
        <f>K37+K41+K42+K45+K48</f>
        <v>0</v>
      </c>
      <c r="L36" s="233">
        <f>L37+L41+L42+L45+L48</f>
        <v>0</v>
      </c>
      <c r="M36" s="232">
        <f t="shared" si="1"/>
        <v>3319298</v>
      </c>
      <c r="N36" s="233">
        <v>3252676</v>
      </c>
      <c r="O36" s="232">
        <f>O37+O41+O42+O45+O48</f>
        <v>66622</v>
      </c>
      <c r="P36" s="233">
        <f>P37+P41+P42+P45+P48</f>
        <v>0</v>
      </c>
      <c r="Q36" s="233">
        <f>Q37+Q41+Q42+Q45+Q48</f>
        <v>0</v>
      </c>
      <c r="R36" s="232">
        <f t="shared" si="2"/>
        <v>3319298</v>
      </c>
    </row>
    <row r="37" spans="1:18" s="6" customFormat="1" ht="12">
      <c r="A37" s="130" t="s">
        <v>104</v>
      </c>
      <c r="B37" s="124" t="s">
        <v>105</v>
      </c>
      <c r="C37" s="170">
        <v>3227568</v>
      </c>
      <c r="D37" s="170">
        <v>3227568</v>
      </c>
      <c r="E37" s="233">
        <f>E38+E40</f>
        <v>131792</v>
      </c>
      <c r="F37" s="233">
        <f>F38+F40</f>
        <v>0</v>
      </c>
      <c r="G37" s="233">
        <f>G38+G40</f>
        <v>0</v>
      </c>
      <c r="H37" s="232">
        <f t="shared" si="0"/>
        <v>3359360</v>
      </c>
      <c r="I37" s="233">
        <v>3227568</v>
      </c>
      <c r="J37" s="232">
        <f>J38+J40</f>
        <v>66622</v>
      </c>
      <c r="K37" s="233">
        <f>K38+K40</f>
        <v>0</v>
      </c>
      <c r="L37" s="233">
        <f>L38+L40</f>
        <v>0</v>
      </c>
      <c r="M37" s="232">
        <f t="shared" si="1"/>
        <v>3294190</v>
      </c>
      <c r="N37" s="233">
        <v>3227568</v>
      </c>
      <c r="O37" s="232">
        <f>O38+O40</f>
        <v>66622</v>
      </c>
      <c r="P37" s="233">
        <f>P38+P40</f>
        <v>0</v>
      </c>
      <c r="Q37" s="233">
        <f>Q38+Q40</f>
        <v>0</v>
      </c>
      <c r="R37" s="232">
        <f t="shared" si="2"/>
        <v>3294190</v>
      </c>
    </row>
    <row r="38" spans="1:18" s="6" customFormat="1" ht="12">
      <c r="A38" s="132">
        <v>1000</v>
      </c>
      <c r="B38" s="125" t="s">
        <v>106</v>
      </c>
      <c r="C38" s="170">
        <v>2053469</v>
      </c>
      <c r="D38" s="170">
        <v>2053469</v>
      </c>
      <c r="E38" s="233">
        <f>116201+39220</f>
        <v>155421</v>
      </c>
      <c r="F38" s="244"/>
      <c r="G38" s="244"/>
      <c r="H38" s="232">
        <f t="shared" si="0"/>
        <v>2208890</v>
      </c>
      <c r="I38" s="233">
        <v>2053469</v>
      </c>
      <c r="J38" s="232">
        <v>116201</v>
      </c>
      <c r="K38" s="244"/>
      <c r="L38" s="244"/>
      <c r="M38" s="232">
        <f t="shared" si="1"/>
        <v>2169670</v>
      </c>
      <c r="N38" s="233">
        <v>2053469</v>
      </c>
      <c r="O38" s="232">
        <v>116201</v>
      </c>
      <c r="P38" s="244"/>
      <c r="Q38" s="244"/>
      <c r="R38" s="232">
        <f t="shared" si="2"/>
        <v>2169670</v>
      </c>
    </row>
    <row r="39" spans="1:18" s="6" customFormat="1" ht="12">
      <c r="A39" s="139">
        <v>1100</v>
      </c>
      <c r="B39" s="125" t="s">
        <v>107</v>
      </c>
      <c r="C39" s="170">
        <v>1563148</v>
      </c>
      <c r="D39" s="170">
        <v>1563148</v>
      </c>
      <c r="E39" s="233">
        <f>21800+31630</f>
        <v>53430</v>
      </c>
      <c r="F39" s="244"/>
      <c r="G39" s="244"/>
      <c r="H39" s="232">
        <f t="shared" si="0"/>
        <v>1616578</v>
      </c>
      <c r="I39" s="233">
        <v>1563148</v>
      </c>
      <c r="J39" s="232">
        <v>21800</v>
      </c>
      <c r="K39" s="244"/>
      <c r="L39" s="244"/>
      <c r="M39" s="232">
        <f t="shared" si="1"/>
        <v>1584948</v>
      </c>
      <c r="N39" s="233">
        <v>1563148</v>
      </c>
      <c r="O39" s="232">
        <v>21800</v>
      </c>
      <c r="P39" s="244"/>
      <c r="Q39" s="244"/>
      <c r="R39" s="232">
        <f t="shared" si="2"/>
        <v>1584948</v>
      </c>
    </row>
    <row r="40" spans="1:18" s="6" customFormat="1" ht="12">
      <c r="A40" s="132">
        <v>2000</v>
      </c>
      <c r="B40" s="125" t="s">
        <v>108</v>
      </c>
      <c r="C40" s="170">
        <v>1174099</v>
      </c>
      <c r="D40" s="170">
        <v>1174099</v>
      </c>
      <c r="E40" s="233">
        <f>-49579+25950</f>
        <v>-23629</v>
      </c>
      <c r="F40" s="244"/>
      <c r="G40" s="244"/>
      <c r="H40" s="232">
        <f t="shared" si="0"/>
        <v>1150470</v>
      </c>
      <c r="I40" s="233">
        <v>1174099</v>
      </c>
      <c r="J40" s="232">
        <v>-49579</v>
      </c>
      <c r="K40" s="244"/>
      <c r="L40" s="244"/>
      <c r="M40" s="232">
        <f t="shared" si="1"/>
        <v>1124520</v>
      </c>
      <c r="N40" s="233">
        <v>1174099</v>
      </c>
      <c r="O40" s="232">
        <v>-49579</v>
      </c>
      <c r="P40" s="244"/>
      <c r="Q40" s="244"/>
      <c r="R40" s="232">
        <f t="shared" si="2"/>
        <v>1124520</v>
      </c>
    </row>
    <row r="41" spans="1:18" s="6" customFormat="1" ht="12" hidden="1" customHeight="1">
      <c r="A41" s="140">
        <v>4000</v>
      </c>
      <c r="B41" s="124" t="s">
        <v>132</v>
      </c>
      <c r="C41" s="170"/>
      <c r="D41" s="170">
        <v>0</v>
      </c>
      <c r="E41" s="233"/>
      <c r="F41" s="244"/>
      <c r="G41" s="244"/>
      <c r="H41" s="232">
        <f t="shared" si="0"/>
        <v>0</v>
      </c>
      <c r="I41" s="233">
        <v>0</v>
      </c>
      <c r="J41" s="232"/>
      <c r="K41" s="244"/>
      <c r="L41" s="244"/>
      <c r="M41" s="232">
        <f t="shared" si="1"/>
        <v>0</v>
      </c>
      <c r="N41" s="233">
        <v>0</v>
      </c>
      <c r="O41" s="232"/>
      <c r="P41" s="244"/>
      <c r="Q41" s="244"/>
      <c r="R41" s="232">
        <f t="shared" si="2"/>
        <v>0</v>
      </c>
    </row>
    <row r="42" spans="1:18" s="6" customFormat="1" ht="12" hidden="1" customHeight="1">
      <c r="A42" s="140" t="s">
        <v>109</v>
      </c>
      <c r="B42" s="124" t="s">
        <v>110</v>
      </c>
      <c r="C42" s="170">
        <v>0</v>
      </c>
      <c r="D42" s="170">
        <v>0</v>
      </c>
      <c r="E42" s="233">
        <f>E43+E44</f>
        <v>0</v>
      </c>
      <c r="F42" s="233">
        <f>F43+F44</f>
        <v>0</v>
      </c>
      <c r="G42" s="233">
        <f>G43+G44</f>
        <v>0</v>
      </c>
      <c r="H42" s="232">
        <f t="shared" si="0"/>
        <v>0</v>
      </c>
      <c r="I42" s="233">
        <v>0</v>
      </c>
      <c r="J42" s="232">
        <f>J43+J44</f>
        <v>0</v>
      </c>
      <c r="K42" s="233">
        <f>K43+K44</f>
        <v>0</v>
      </c>
      <c r="L42" s="233">
        <f>L43+L44</f>
        <v>0</v>
      </c>
      <c r="M42" s="232">
        <f t="shared" si="1"/>
        <v>0</v>
      </c>
      <c r="N42" s="233">
        <v>0</v>
      </c>
      <c r="O42" s="232">
        <f>O43+O44</f>
        <v>0</v>
      </c>
      <c r="P42" s="233">
        <f>P43+P44</f>
        <v>0</v>
      </c>
      <c r="Q42" s="233">
        <f>Q43+Q44</f>
        <v>0</v>
      </c>
      <c r="R42" s="232">
        <f t="shared" si="2"/>
        <v>0</v>
      </c>
    </row>
    <row r="43" spans="1:18" s="6" customFormat="1" ht="12" hidden="1" customHeight="1">
      <c r="A43" s="132">
        <v>3000</v>
      </c>
      <c r="B43" s="125" t="s">
        <v>111</v>
      </c>
      <c r="C43" s="202"/>
      <c r="D43" s="202">
        <v>0</v>
      </c>
      <c r="E43" s="345"/>
      <c r="F43" s="246"/>
      <c r="G43" s="246"/>
      <c r="H43" s="232">
        <f t="shared" si="0"/>
        <v>0</v>
      </c>
      <c r="I43" s="345">
        <v>0</v>
      </c>
      <c r="J43" s="245"/>
      <c r="K43" s="246"/>
      <c r="L43" s="246"/>
      <c r="M43" s="232">
        <f t="shared" si="1"/>
        <v>0</v>
      </c>
      <c r="N43" s="345">
        <v>0</v>
      </c>
      <c r="O43" s="245"/>
      <c r="P43" s="246"/>
      <c r="Q43" s="246"/>
      <c r="R43" s="232">
        <f t="shared" si="2"/>
        <v>0</v>
      </c>
    </row>
    <row r="44" spans="1:18" s="6" customFormat="1" ht="12" hidden="1" customHeight="1">
      <c r="A44" s="132">
        <v>6000</v>
      </c>
      <c r="B44" s="125" t="s">
        <v>112</v>
      </c>
      <c r="C44" s="203"/>
      <c r="D44" s="203">
        <v>0</v>
      </c>
      <c r="E44" s="346"/>
      <c r="F44" s="248"/>
      <c r="G44" s="248"/>
      <c r="H44" s="232">
        <f t="shared" si="0"/>
        <v>0</v>
      </c>
      <c r="I44" s="346">
        <v>0</v>
      </c>
      <c r="J44" s="247"/>
      <c r="K44" s="248"/>
      <c r="L44" s="248"/>
      <c r="M44" s="232">
        <f t="shared" si="1"/>
        <v>0</v>
      </c>
      <c r="N44" s="346">
        <v>0</v>
      </c>
      <c r="O44" s="247"/>
      <c r="P44" s="248"/>
      <c r="Q44" s="248"/>
      <c r="R44" s="232">
        <f t="shared" si="2"/>
        <v>0</v>
      </c>
    </row>
    <row r="45" spans="1:18" s="6" customFormat="1" ht="22.8">
      <c r="A45" s="140" t="s">
        <v>113</v>
      </c>
      <c r="B45" s="124" t="s">
        <v>183</v>
      </c>
      <c r="C45" s="170">
        <v>25108</v>
      </c>
      <c r="D45" s="170">
        <v>25108</v>
      </c>
      <c r="E45" s="233">
        <f>E46+E47</f>
        <v>0</v>
      </c>
      <c r="F45" s="233">
        <f>F46+F47</f>
        <v>0</v>
      </c>
      <c r="G45" s="233">
        <f>G46+G47</f>
        <v>0</v>
      </c>
      <c r="H45" s="232">
        <f t="shared" si="0"/>
        <v>25108</v>
      </c>
      <c r="I45" s="233">
        <v>25108</v>
      </c>
      <c r="J45" s="232">
        <f>J46+J47</f>
        <v>0</v>
      </c>
      <c r="K45" s="233">
        <f>K46+K47</f>
        <v>0</v>
      </c>
      <c r="L45" s="233">
        <f>L46+L47</f>
        <v>0</v>
      </c>
      <c r="M45" s="232">
        <f t="shared" si="1"/>
        <v>25108</v>
      </c>
      <c r="N45" s="233">
        <v>25108</v>
      </c>
      <c r="O45" s="232">
        <f>O46+O47</f>
        <v>0</v>
      </c>
      <c r="P45" s="233">
        <f>P46+P47</f>
        <v>0</v>
      </c>
      <c r="Q45" s="233">
        <f>Q46+Q47</f>
        <v>0</v>
      </c>
      <c r="R45" s="232">
        <f t="shared" si="2"/>
        <v>25108</v>
      </c>
    </row>
    <row r="46" spans="1:18" s="6" customFormat="1" ht="12" hidden="1" customHeight="1">
      <c r="A46" s="132">
        <v>7600</v>
      </c>
      <c r="B46" s="179" t="s">
        <v>184</v>
      </c>
      <c r="C46" s="170"/>
      <c r="D46" s="170">
        <v>0</v>
      </c>
      <c r="E46" s="233"/>
      <c r="F46" s="244"/>
      <c r="G46" s="244"/>
      <c r="H46" s="232">
        <f t="shared" si="0"/>
        <v>0</v>
      </c>
      <c r="I46" s="233">
        <v>0</v>
      </c>
      <c r="J46" s="232"/>
      <c r="K46" s="244"/>
      <c r="L46" s="244"/>
      <c r="M46" s="232">
        <f t="shared" si="1"/>
        <v>0</v>
      </c>
      <c r="N46" s="233">
        <v>0</v>
      </c>
      <c r="O46" s="232"/>
      <c r="P46" s="244"/>
      <c r="Q46" s="244"/>
      <c r="R46" s="232">
        <f t="shared" si="2"/>
        <v>0</v>
      </c>
    </row>
    <row r="47" spans="1:18" s="6" customFormat="1" ht="12">
      <c r="A47" s="132">
        <v>7700</v>
      </c>
      <c r="B47" s="126" t="s">
        <v>114</v>
      </c>
      <c r="C47" s="170">
        <v>25108</v>
      </c>
      <c r="D47" s="170">
        <v>25108</v>
      </c>
      <c r="E47" s="233"/>
      <c r="F47" s="244"/>
      <c r="G47" s="244"/>
      <c r="H47" s="232">
        <f t="shared" si="0"/>
        <v>25108</v>
      </c>
      <c r="I47" s="233">
        <v>25108</v>
      </c>
      <c r="J47" s="232"/>
      <c r="K47" s="244"/>
      <c r="L47" s="244"/>
      <c r="M47" s="232">
        <f t="shared" si="1"/>
        <v>25108</v>
      </c>
      <c r="N47" s="233">
        <v>25108</v>
      </c>
      <c r="O47" s="232"/>
      <c r="P47" s="244"/>
      <c r="Q47" s="244"/>
      <c r="R47" s="232">
        <f t="shared" si="2"/>
        <v>25108</v>
      </c>
    </row>
    <row r="48" spans="1:18" s="6" customFormat="1" ht="21" hidden="1" customHeight="1">
      <c r="A48" s="140" t="s">
        <v>185</v>
      </c>
      <c r="B48" s="124" t="s">
        <v>115</v>
      </c>
      <c r="C48" s="170">
        <v>0</v>
      </c>
      <c r="D48" s="170">
        <v>0</v>
      </c>
      <c r="E48" s="233">
        <f>E49+E55+E59+E62</f>
        <v>0</v>
      </c>
      <c r="F48" s="233">
        <f>F49+F55+F59+F62</f>
        <v>0</v>
      </c>
      <c r="G48" s="233">
        <f>G49+G55+G59+G62</f>
        <v>0</v>
      </c>
      <c r="H48" s="232">
        <f t="shared" si="0"/>
        <v>0</v>
      </c>
      <c r="I48" s="233">
        <v>0</v>
      </c>
      <c r="J48" s="232">
        <f>J49+J55+J59+J62</f>
        <v>0</v>
      </c>
      <c r="K48" s="233">
        <f>K49+K55+K59+K62</f>
        <v>0</v>
      </c>
      <c r="L48" s="233">
        <f>L49+L55+L59+L62</f>
        <v>0</v>
      </c>
      <c r="M48" s="232">
        <f t="shared" si="1"/>
        <v>0</v>
      </c>
      <c r="N48" s="233">
        <v>0</v>
      </c>
      <c r="O48" s="232">
        <f>O49+O55+O59+O62</f>
        <v>0</v>
      </c>
      <c r="P48" s="233">
        <f>P49+P55+P59+P62</f>
        <v>0</v>
      </c>
      <c r="Q48" s="233">
        <f>Q49+Q55+Q59+Q62</f>
        <v>0</v>
      </c>
      <c r="R48" s="232">
        <f t="shared" si="2"/>
        <v>0</v>
      </c>
    </row>
    <row r="49" spans="1:18" s="6" customFormat="1" ht="12" hidden="1" customHeight="1">
      <c r="A49" s="132">
        <v>7100</v>
      </c>
      <c r="B49" s="179" t="s">
        <v>116</v>
      </c>
      <c r="C49" s="170">
        <v>0</v>
      </c>
      <c r="D49" s="170">
        <v>0</v>
      </c>
      <c r="E49" s="233">
        <f>E50+E51</f>
        <v>0</v>
      </c>
      <c r="F49" s="233">
        <f>F50+F51</f>
        <v>0</v>
      </c>
      <c r="G49" s="233">
        <f>G50+G51</f>
        <v>0</v>
      </c>
      <c r="H49" s="232">
        <f t="shared" si="0"/>
        <v>0</v>
      </c>
      <c r="I49" s="233">
        <v>0</v>
      </c>
      <c r="J49" s="232">
        <f>J50+J51</f>
        <v>0</v>
      </c>
      <c r="K49" s="233">
        <f>K50+K51</f>
        <v>0</v>
      </c>
      <c r="L49" s="233">
        <f>L50+L51</f>
        <v>0</v>
      </c>
      <c r="M49" s="232">
        <f t="shared" si="1"/>
        <v>0</v>
      </c>
      <c r="N49" s="233">
        <v>0</v>
      </c>
      <c r="O49" s="232">
        <f>O50+O51</f>
        <v>0</v>
      </c>
      <c r="P49" s="233">
        <f>P50+P51</f>
        <v>0</v>
      </c>
      <c r="Q49" s="233">
        <f>Q50+Q51</f>
        <v>0</v>
      </c>
      <c r="R49" s="232">
        <f t="shared" si="2"/>
        <v>0</v>
      </c>
    </row>
    <row r="50" spans="1:18" s="6" customFormat="1" ht="24" hidden="1" customHeight="1">
      <c r="A50" s="133" t="s">
        <v>117</v>
      </c>
      <c r="B50" s="179" t="s">
        <v>118</v>
      </c>
      <c r="C50" s="170"/>
      <c r="D50" s="170">
        <v>0</v>
      </c>
      <c r="E50" s="233"/>
      <c r="F50" s="233"/>
      <c r="G50" s="233"/>
      <c r="H50" s="232">
        <f t="shared" si="0"/>
        <v>0</v>
      </c>
      <c r="I50" s="233">
        <v>0</v>
      </c>
      <c r="J50" s="232"/>
      <c r="K50" s="233"/>
      <c r="L50" s="233"/>
      <c r="M50" s="232">
        <f t="shared" si="1"/>
        <v>0</v>
      </c>
      <c r="N50" s="233">
        <v>0</v>
      </c>
      <c r="O50" s="232"/>
      <c r="P50" s="233"/>
      <c r="Q50" s="233"/>
      <c r="R50" s="232">
        <f t="shared" si="2"/>
        <v>0</v>
      </c>
    </row>
    <row r="51" spans="1:18" s="6" customFormat="1" ht="24" hidden="1" customHeight="1">
      <c r="A51" s="133">
        <v>7130</v>
      </c>
      <c r="B51" s="179" t="s">
        <v>119</v>
      </c>
      <c r="C51" s="170">
        <v>0</v>
      </c>
      <c r="D51" s="170">
        <v>0</v>
      </c>
      <c r="E51" s="233">
        <f>SUM(E52:E54)</f>
        <v>0</v>
      </c>
      <c r="F51" s="233">
        <f>SUM(F52:F54)</f>
        <v>0</v>
      </c>
      <c r="G51" s="233">
        <f>SUM(G52:G54)</f>
        <v>0</v>
      </c>
      <c r="H51" s="232">
        <f t="shared" si="0"/>
        <v>0</v>
      </c>
      <c r="I51" s="233">
        <v>0</v>
      </c>
      <c r="J51" s="232">
        <f>SUM(J52:J54)</f>
        <v>0</v>
      </c>
      <c r="K51" s="233">
        <f>SUM(K52:K54)</f>
        <v>0</v>
      </c>
      <c r="L51" s="233">
        <f>SUM(L52:L54)</f>
        <v>0</v>
      </c>
      <c r="M51" s="232">
        <f t="shared" si="1"/>
        <v>0</v>
      </c>
      <c r="N51" s="233">
        <v>0</v>
      </c>
      <c r="O51" s="232">
        <f>SUM(O52:O54)</f>
        <v>0</v>
      </c>
      <c r="P51" s="233">
        <f>SUM(P52:P54)</f>
        <v>0</v>
      </c>
      <c r="Q51" s="233">
        <f>SUM(Q52:Q54)</f>
        <v>0</v>
      </c>
      <c r="R51" s="232">
        <f t="shared" si="2"/>
        <v>0</v>
      </c>
    </row>
    <row r="52" spans="1:18" s="6" customFormat="1" ht="36" hidden="1" customHeight="1">
      <c r="A52" s="134">
        <v>7131</v>
      </c>
      <c r="B52" s="179" t="s">
        <v>120</v>
      </c>
      <c r="C52" s="170"/>
      <c r="D52" s="170">
        <v>0</v>
      </c>
      <c r="E52" s="233"/>
      <c r="F52" s="233"/>
      <c r="G52" s="233"/>
      <c r="H52" s="232">
        <f t="shared" si="0"/>
        <v>0</v>
      </c>
      <c r="I52" s="233">
        <v>0</v>
      </c>
      <c r="J52" s="232"/>
      <c r="K52" s="233"/>
      <c r="L52" s="233"/>
      <c r="M52" s="232">
        <f t="shared" si="1"/>
        <v>0</v>
      </c>
      <c r="N52" s="233">
        <v>0</v>
      </c>
      <c r="O52" s="232"/>
      <c r="P52" s="233"/>
      <c r="Q52" s="233"/>
      <c r="R52" s="232">
        <f t="shared" si="2"/>
        <v>0</v>
      </c>
    </row>
    <row r="53" spans="1:18" s="6" customFormat="1" ht="36" hidden="1" customHeight="1">
      <c r="A53" s="134">
        <v>7132</v>
      </c>
      <c r="B53" s="179" t="s">
        <v>121</v>
      </c>
      <c r="C53" s="170"/>
      <c r="D53" s="170">
        <v>0</v>
      </c>
      <c r="E53" s="233"/>
      <c r="F53" s="233"/>
      <c r="G53" s="233"/>
      <c r="H53" s="232">
        <f t="shared" si="0"/>
        <v>0</v>
      </c>
      <c r="I53" s="233">
        <v>0</v>
      </c>
      <c r="J53" s="232"/>
      <c r="K53" s="233"/>
      <c r="L53" s="233"/>
      <c r="M53" s="232">
        <f t="shared" si="1"/>
        <v>0</v>
      </c>
      <c r="N53" s="233">
        <v>0</v>
      </c>
      <c r="O53" s="232"/>
      <c r="P53" s="233"/>
      <c r="Q53" s="233"/>
      <c r="R53" s="232">
        <f t="shared" si="2"/>
        <v>0</v>
      </c>
    </row>
    <row r="54" spans="1:18" s="6" customFormat="1" ht="36" hidden="1" customHeight="1">
      <c r="A54" s="134" t="s">
        <v>186</v>
      </c>
      <c r="B54" s="179" t="s">
        <v>187</v>
      </c>
      <c r="C54" s="170"/>
      <c r="D54" s="170">
        <v>0</v>
      </c>
      <c r="E54" s="233"/>
      <c r="F54" s="233"/>
      <c r="G54" s="233"/>
      <c r="H54" s="232">
        <f t="shared" si="0"/>
        <v>0</v>
      </c>
      <c r="I54" s="233">
        <v>0</v>
      </c>
      <c r="J54" s="232"/>
      <c r="K54" s="233"/>
      <c r="L54" s="233"/>
      <c r="M54" s="232">
        <f t="shared" si="1"/>
        <v>0</v>
      </c>
      <c r="N54" s="233">
        <v>0</v>
      </c>
      <c r="O54" s="232"/>
      <c r="P54" s="233"/>
      <c r="Q54" s="233"/>
      <c r="R54" s="232">
        <f t="shared" si="2"/>
        <v>0</v>
      </c>
    </row>
    <row r="55" spans="1:18" s="6" customFormat="1" ht="24" hidden="1" customHeight="1">
      <c r="A55" s="132">
        <v>7300</v>
      </c>
      <c r="B55" s="172" t="s">
        <v>155</v>
      </c>
      <c r="C55" s="170">
        <v>0</v>
      </c>
      <c r="D55" s="170">
        <v>0</v>
      </c>
      <c r="E55" s="233">
        <f>SUM(E56:E58)</f>
        <v>0</v>
      </c>
      <c r="F55" s="233">
        <f>SUM(F56:F58)</f>
        <v>0</v>
      </c>
      <c r="G55" s="233">
        <f>SUM(G56:G58)</f>
        <v>0</v>
      </c>
      <c r="H55" s="232">
        <f t="shared" si="0"/>
        <v>0</v>
      </c>
      <c r="I55" s="233">
        <v>0</v>
      </c>
      <c r="J55" s="232">
        <f>SUM(J56:J58)</f>
        <v>0</v>
      </c>
      <c r="K55" s="233">
        <f>SUM(K56:K58)</f>
        <v>0</v>
      </c>
      <c r="L55" s="233">
        <f>SUM(L56:L58)</f>
        <v>0</v>
      </c>
      <c r="M55" s="232">
        <f t="shared" si="1"/>
        <v>0</v>
      </c>
      <c r="N55" s="233">
        <v>0</v>
      </c>
      <c r="O55" s="232">
        <f>SUM(O56:O58)</f>
        <v>0</v>
      </c>
      <c r="P55" s="233">
        <f>SUM(P56:P58)</f>
        <v>0</v>
      </c>
      <c r="Q55" s="233">
        <f>SUM(Q56:Q58)</f>
        <v>0</v>
      </c>
      <c r="R55" s="232">
        <f t="shared" si="2"/>
        <v>0</v>
      </c>
    </row>
    <row r="56" spans="1:18" s="6" customFormat="1" ht="24" hidden="1" customHeight="1">
      <c r="A56" s="133" t="s">
        <v>188</v>
      </c>
      <c r="B56" s="179" t="s">
        <v>170</v>
      </c>
      <c r="C56" s="604"/>
      <c r="D56" s="604">
        <v>0</v>
      </c>
      <c r="E56" s="605"/>
      <c r="F56" s="605"/>
      <c r="G56" s="605"/>
      <c r="H56" s="232">
        <f t="shared" si="0"/>
        <v>0</v>
      </c>
      <c r="I56" s="605">
        <v>0</v>
      </c>
      <c r="J56" s="606"/>
      <c r="K56" s="605"/>
      <c r="L56" s="605"/>
      <c r="M56" s="232">
        <f t="shared" si="1"/>
        <v>0</v>
      </c>
      <c r="N56" s="605">
        <v>0</v>
      </c>
      <c r="O56" s="606"/>
      <c r="P56" s="605"/>
      <c r="Q56" s="605"/>
      <c r="R56" s="232">
        <f t="shared" si="2"/>
        <v>0</v>
      </c>
    </row>
    <row r="57" spans="1:18" s="29" customFormat="1" ht="48" hidden="1" customHeight="1">
      <c r="A57" s="133" t="s">
        <v>189</v>
      </c>
      <c r="B57" s="179" t="s">
        <v>156</v>
      </c>
      <c r="C57" s="604"/>
      <c r="D57" s="604">
        <v>0</v>
      </c>
      <c r="E57" s="605"/>
      <c r="F57" s="605"/>
      <c r="G57" s="605"/>
      <c r="H57" s="232">
        <f t="shared" si="0"/>
        <v>0</v>
      </c>
      <c r="I57" s="605">
        <v>0</v>
      </c>
      <c r="J57" s="606"/>
      <c r="K57" s="605"/>
      <c r="L57" s="605"/>
      <c r="M57" s="232">
        <f t="shared" si="1"/>
        <v>0</v>
      </c>
      <c r="N57" s="605">
        <v>0</v>
      </c>
      <c r="O57" s="606"/>
      <c r="P57" s="605"/>
      <c r="Q57" s="605"/>
      <c r="R57" s="232">
        <f t="shared" si="2"/>
        <v>0</v>
      </c>
    </row>
    <row r="58" spans="1:18" s="89" customFormat="1" ht="36" hidden="1" customHeight="1">
      <c r="A58" s="133">
        <v>7350</v>
      </c>
      <c r="B58" s="179" t="s">
        <v>163</v>
      </c>
      <c r="C58" s="604"/>
      <c r="D58" s="604">
        <v>0</v>
      </c>
      <c r="E58" s="605"/>
      <c r="F58" s="605"/>
      <c r="G58" s="605"/>
      <c r="H58" s="232">
        <f t="shared" si="0"/>
        <v>0</v>
      </c>
      <c r="I58" s="605">
        <v>0</v>
      </c>
      <c r="J58" s="606"/>
      <c r="K58" s="605"/>
      <c r="L58" s="605"/>
      <c r="M58" s="232">
        <f t="shared" si="1"/>
        <v>0</v>
      </c>
      <c r="N58" s="605">
        <v>0</v>
      </c>
      <c r="O58" s="606"/>
      <c r="P58" s="605"/>
      <c r="Q58" s="605"/>
      <c r="R58" s="232">
        <f t="shared" si="2"/>
        <v>0</v>
      </c>
    </row>
    <row r="59" spans="1:18" s="89" customFormat="1" ht="24" hidden="1" customHeight="1">
      <c r="A59" s="132">
        <v>7400</v>
      </c>
      <c r="B59" s="172" t="s">
        <v>161</v>
      </c>
      <c r="C59" s="170">
        <v>0</v>
      </c>
      <c r="D59" s="170">
        <v>0</v>
      </c>
      <c r="E59" s="233">
        <f>SUM(E60:E61)</f>
        <v>0</v>
      </c>
      <c r="F59" s="233">
        <f>SUM(F60:F61)</f>
        <v>0</v>
      </c>
      <c r="G59" s="233">
        <f>SUM(G60:G61)</f>
        <v>0</v>
      </c>
      <c r="H59" s="232">
        <f t="shared" si="0"/>
        <v>0</v>
      </c>
      <c r="I59" s="233">
        <v>0</v>
      </c>
      <c r="J59" s="232">
        <f>SUM(J60:J61)</f>
        <v>0</v>
      </c>
      <c r="K59" s="233">
        <f>SUM(K60:K61)</f>
        <v>0</v>
      </c>
      <c r="L59" s="233">
        <f>SUM(L60:L61)</f>
        <v>0</v>
      </c>
      <c r="M59" s="232">
        <f t="shared" si="1"/>
        <v>0</v>
      </c>
      <c r="N59" s="233">
        <v>0</v>
      </c>
      <c r="O59" s="232">
        <f>SUM(O60:O61)</f>
        <v>0</v>
      </c>
      <c r="P59" s="233">
        <f>SUM(P60:P61)</f>
        <v>0</v>
      </c>
      <c r="Q59" s="233">
        <f>SUM(Q60:Q61)</f>
        <v>0</v>
      </c>
      <c r="R59" s="232">
        <f t="shared" si="2"/>
        <v>0</v>
      </c>
    </row>
    <row r="60" spans="1:18" s="89" customFormat="1" ht="24" hidden="1" customHeight="1">
      <c r="A60" s="133">
        <v>7460</v>
      </c>
      <c r="B60" s="172" t="s">
        <v>162</v>
      </c>
      <c r="C60" s="604"/>
      <c r="D60" s="604">
        <v>0</v>
      </c>
      <c r="E60" s="605"/>
      <c r="F60" s="605"/>
      <c r="G60" s="605"/>
      <c r="H60" s="232">
        <f t="shared" si="0"/>
        <v>0</v>
      </c>
      <c r="I60" s="605">
        <v>0</v>
      </c>
      <c r="J60" s="606"/>
      <c r="K60" s="605"/>
      <c r="L60" s="605"/>
      <c r="M60" s="232">
        <f t="shared" si="1"/>
        <v>0</v>
      </c>
      <c r="N60" s="605">
        <v>0</v>
      </c>
      <c r="O60" s="606"/>
      <c r="P60" s="605"/>
      <c r="Q60" s="605"/>
      <c r="R60" s="232">
        <f t="shared" si="2"/>
        <v>0</v>
      </c>
    </row>
    <row r="61" spans="1:18" s="89" customFormat="1" ht="48" hidden="1" customHeight="1">
      <c r="A61" s="133">
        <v>7470</v>
      </c>
      <c r="B61" s="179" t="s">
        <v>167</v>
      </c>
      <c r="C61" s="604"/>
      <c r="D61" s="604">
        <v>0</v>
      </c>
      <c r="E61" s="605"/>
      <c r="F61" s="605"/>
      <c r="G61" s="605"/>
      <c r="H61" s="232">
        <f t="shared" si="0"/>
        <v>0</v>
      </c>
      <c r="I61" s="605">
        <v>0</v>
      </c>
      <c r="J61" s="606"/>
      <c r="K61" s="605"/>
      <c r="L61" s="605"/>
      <c r="M61" s="232">
        <f t="shared" si="1"/>
        <v>0</v>
      </c>
      <c r="N61" s="605">
        <v>0</v>
      </c>
      <c r="O61" s="606"/>
      <c r="P61" s="605"/>
      <c r="Q61" s="605"/>
      <c r="R61" s="232">
        <f t="shared" si="2"/>
        <v>0</v>
      </c>
    </row>
    <row r="62" spans="1:18" s="89" customFormat="1" ht="24" hidden="1" customHeight="1">
      <c r="A62" s="132">
        <v>7500</v>
      </c>
      <c r="B62" s="179" t="s">
        <v>157</v>
      </c>
      <c r="C62" s="170"/>
      <c r="D62" s="170">
        <v>0</v>
      </c>
      <c r="E62" s="233"/>
      <c r="F62" s="233"/>
      <c r="G62" s="233"/>
      <c r="H62" s="232">
        <f t="shared" si="0"/>
        <v>0</v>
      </c>
      <c r="I62" s="233">
        <v>0</v>
      </c>
      <c r="J62" s="232"/>
      <c r="K62" s="233"/>
      <c r="L62" s="233"/>
      <c r="M62" s="232">
        <f t="shared" si="1"/>
        <v>0</v>
      </c>
      <c r="N62" s="233">
        <v>0</v>
      </c>
      <c r="O62" s="232"/>
      <c r="P62" s="233"/>
      <c r="Q62" s="233"/>
      <c r="R62" s="232">
        <f t="shared" si="2"/>
        <v>0</v>
      </c>
    </row>
    <row r="63" spans="1:18" s="89" customFormat="1" ht="12">
      <c r="A63" s="140" t="s">
        <v>133</v>
      </c>
      <c r="B63" s="124" t="s">
        <v>122</v>
      </c>
      <c r="C63" s="205">
        <v>200024</v>
      </c>
      <c r="D63" s="205">
        <v>200024</v>
      </c>
      <c r="E63" s="254">
        <f>E64+E65</f>
        <v>-66622</v>
      </c>
      <c r="F63" s="254">
        <f>F64+F65</f>
        <v>0</v>
      </c>
      <c r="G63" s="254">
        <f>G64+G65</f>
        <v>0</v>
      </c>
      <c r="H63" s="232">
        <f t="shared" si="0"/>
        <v>133402</v>
      </c>
      <c r="I63" s="254">
        <v>200024</v>
      </c>
      <c r="J63" s="253">
        <f>J64+J65</f>
        <v>-66622</v>
      </c>
      <c r="K63" s="254">
        <f>K64+K65</f>
        <v>0</v>
      </c>
      <c r="L63" s="254">
        <f>L64+L65</f>
        <v>0</v>
      </c>
      <c r="M63" s="232">
        <f t="shared" si="1"/>
        <v>133402</v>
      </c>
      <c r="N63" s="254">
        <v>200024</v>
      </c>
      <c r="O63" s="253">
        <f>O64+O65</f>
        <v>-66622</v>
      </c>
      <c r="P63" s="254">
        <f>P64+P65</f>
        <v>0</v>
      </c>
      <c r="Q63" s="254">
        <f>Q64+Q65</f>
        <v>0</v>
      </c>
      <c r="R63" s="232">
        <f t="shared" si="2"/>
        <v>133402</v>
      </c>
    </row>
    <row r="64" spans="1:18" s="89" customFormat="1" ht="12">
      <c r="A64" s="140">
        <v>5000</v>
      </c>
      <c r="B64" s="124" t="s">
        <v>123</v>
      </c>
      <c r="C64" s="170">
        <v>200024</v>
      </c>
      <c r="D64" s="170">
        <v>200024</v>
      </c>
      <c r="E64" s="233">
        <v>-66622</v>
      </c>
      <c r="F64" s="244"/>
      <c r="G64" s="244"/>
      <c r="H64" s="232">
        <f t="shared" si="0"/>
        <v>133402</v>
      </c>
      <c r="I64" s="233">
        <v>200024</v>
      </c>
      <c r="J64" s="232">
        <v>-66622</v>
      </c>
      <c r="K64" s="244"/>
      <c r="L64" s="244"/>
      <c r="M64" s="232">
        <f t="shared" si="1"/>
        <v>133402</v>
      </c>
      <c r="N64" s="233">
        <v>200024</v>
      </c>
      <c r="O64" s="232">
        <v>-66622</v>
      </c>
      <c r="P64" s="244"/>
      <c r="Q64" s="244"/>
      <c r="R64" s="232">
        <f t="shared" si="2"/>
        <v>133402</v>
      </c>
    </row>
    <row r="65" spans="1:18" s="89" customFormat="1" ht="12" hidden="1" customHeight="1">
      <c r="A65" s="140">
        <v>9000</v>
      </c>
      <c r="B65" s="182" t="s">
        <v>164</v>
      </c>
      <c r="C65" s="170">
        <v>0</v>
      </c>
      <c r="D65" s="170">
        <v>0</v>
      </c>
      <c r="E65" s="233">
        <f>E66+E72+E76+E79</f>
        <v>0</v>
      </c>
      <c r="F65" s="233">
        <f>F66+F72+F76+F79</f>
        <v>0</v>
      </c>
      <c r="G65" s="233">
        <f>G66+G72+G76+G79</f>
        <v>0</v>
      </c>
      <c r="H65" s="232">
        <f t="shared" si="0"/>
        <v>0</v>
      </c>
      <c r="I65" s="233">
        <v>0</v>
      </c>
      <c r="J65" s="232">
        <f>J66+J72+J76+J79</f>
        <v>0</v>
      </c>
      <c r="K65" s="233">
        <f>K66+K72+K76+K79</f>
        <v>0</v>
      </c>
      <c r="L65" s="233">
        <f>L66+L72+L76+L79</f>
        <v>0</v>
      </c>
      <c r="M65" s="232">
        <f t="shared" si="1"/>
        <v>0</v>
      </c>
      <c r="N65" s="233">
        <v>0</v>
      </c>
      <c r="O65" s="232">
        <f>O66+O72+O76+O79</f>
        <v>0</v>
      </c>
      <c r="P65" s="233">
        <f>P66+P72+P76+P79</f>
        <v>0</v>
      </c>
      <c r="Q65" s="233">
        <f>Q66+Q72+Q76+Q79</f>
        <v>0</v>
      </c>
      <c r="R65" s="232">
        <f t="shared" si="2"/>
        <v>0</v>
      </c>
    </row>
    <row r="66" spans="1:18" s="89" customFormat="1" ht="12" hidden="1" customHeight="1">
      <c r="A66" s="141">
        <v>9100</v>
      </c>
      <c r="B66" s="179" t="s">
        <v>124</v>
      </c>
      <c r="C66" s="170">
        <v>0</v>
      </c>
      <c r="D66" s="170">
        <v>0</v>
      </c>
      <c r="E66" s="233">
        <f>SUM(E67:E68)</f>
        <v>0</v>
      </c>
      <c r="F66" s="233">
        <f>SUM(F67:F68)</f>
        <v>0</v>
      </c>
      <c r="G66" s="233">
        <f>SUM(G67:G68)</f>
        <v>0</v>
      </c>
      <c r="H66" s="232">
        <f t="shared" si="0"/>
        <v>0</v>
      </c>
      <c r="I66" s="233">
        <v>0</v>
      </c>
      <c r="J66" s="232">
        <f>SUM(J67:J68)</f>
        <v>0</v>
      </c>
      <c r="K66" s="233">
        <f>SUM(K67:K68)</f>
        <v>0</v>
      </c>
      <c r="L66" s="233">
        <f>SUM(L67:L68)</f>
        <v>0</v>
      </c>
      <c r="M66" s="232">
        <f t="shared" si="1"/>
        <v>0</v>
      </c>
      <c r="N66" s="233">
        <v>0</v>
      </c>
      <c r="O66" s="232">
        <f>SUM(O67:O68)</f>
        <v>0</v>
      </c>
      <c r="P66" s="233">
        <f>SUM(P67:P68)</f>
        <v>0</v>
      </c>
      <c r="Q66" s="233">
        <f>SUM(Q67:Q68)</f>
        <v>0</v>
      </c>
      <c r="R66" s="232">
        <f t="shared" si="2"/>
        <v>0</v>
      </c>
    </row>
    <row r="67" spans="1:18" s="89" customFormat="1" ht="24" hidden="1" customHeight="1">
      <c r="A67" s="133" t="s">
        <v>125</v>
      </c>
      <c r="B67" s="179" t="s">
        <v>214</v>
      </c>
      <c r="C67" s="170"/>
      <c r="D67" s="170">
        <v>0</v>
      </c>
      <c r="E67" s="233"/>
      <c r="F67" s="233"/>
      <c r="G67" s="233"/>
      <c r="H67" s="232">
        <f t="shared" si="0"/>
        <v>0</v>
      </c>
      <c r="I67" s="233">
        <v>0</v>
      </c>
      <c r="J67" s="232"/>
      <c r="K67" s="233"/>
      <c r="L67" s="233"/>
      <c r="M67" s="232">
        <f t="shared" si="1"/>
        <v>0</v>
      </c>
      <c r="N67" s="233">
        <v>0</v>
      </c>
      <c r="O67" s="232"/>
      <c r="P67" s="233"/>
      <c r="Q67" s="233"/>
      <c r="R67" s="232">
        <f t="shared" si="2"/>
        <v>0</v>
      </c>
    </row>
    <row r="68" spans="1:18" s="89" customFormat="1" ht="24" hidden="1" customHeight="1">
      <c r="A68" s="133">
        <v>9140</v>
      </c>
      <c r="B68" s="179" t="s">
        <v>215</v>
      </c>
      <c r="C68" s="170">
        <v>0</v>
      </c>
      <c r="D68" s="170">
        <v>0</v>
      </c>
      <c r="E68" s="233">
        <f>SUM(E69:E71)</f>
        <v>0</v>
      </c>
      <c r="F68" s="233">
        <f>SUM(F69:F71)</f>
        <v>0</v>
      </c>
      <c r="G68" s="233">
        <f>SUM(G69:G71)</f>
        <v>0</v>
      </c>
      <c r="H68" s="232">
        <f t="shared" si="0"/>
        <v>0</v>
      </c>
      <c r="I68" s="233">
        <v>0</v>
      </c>
      <c r="J68" s="232">
        <f>SUM(J69:J71)</f>
        <v>0</v>
      </c>
      <c r="K68" s="233">
        <f>SUM(K69:K71)</f>
        <v>0</v>
      </c>
      <c r="L68" s="233">
        <f>SUM(L69:L71)</f>
        <v>0</v>
      </c>
      <c r="M68" s="232">
        <f t="shared" si="1"/>
        <v>0</v>
      </c>
      <c r="N68" s="233">
        <v>0</v>
      </c>
      <c r="O68" s="232">
        <f>SUM(O69:O71)</f>
        <v>0</v>
      </c>
      <c r="P68" s="233">
        <f>SUM(P69:P71)</f>
        <v>0</v>
      </c>
      <c r="Q68" s="233">
        <f>SUM(Q69:Q71)</f>
        <v>0</v>
      </c>
      <c r="R68" s="232">
        <f t="shared" si="2"/>
        <v>0</v>
      </c>
    </row>
    <row r="69" spans="1:18" s="89" customFormat="1" ht="36" hidden="1" customHeight="1">
      <c r="A69" s="134">
        <v>9141</v>
      </c>
      <c r="B69" s="172" t="s">
        <v>190</v>
      </c>
      <c r="C69" s="604"/>
      <c r="D69" s="604">
        <v>0</v>
      </c>
      <c r="E69" s="605"/>
      <c r="F69" s="605"/>
      <c r="G69" s="605"/>
      <c r="H69" s="232">
        <f t="shared" si="0"/>
        <v>0</v>
      </c>
      <c r="I69" s="605">
        <v>0</v>
      </c>
      <c r="J69" s="606"/>
      <c r="K69" s="605"/>
      <c r="L69" s="605"/>
      <c r="M69" s="232">
        <f t="shared" si="1"/>
        <v>0</v>
      </c>
      <c r="N69" s="605">
        <v>0</v>
      </c>
      <c r="O69" s="606"/>
      <c r="P69" s="605"/>
      <c r="Q69" s="605"/>
      <c r="R69" s="232">
        <f t="shared" si="2"/>
        <v>0</v>
      </c>
    </row>
    <row r="70" spans="1:18" s="89" customFormat="1" ht="36" hidden="1" customHeight="1">
      <c r="A70" s="134">
        <v>9142</v>
      </c>
      <c r="B70" s="172" t="s">
        <v>191</v>
      </c>
      <c r="C70" s="604"/>
      <c r="D70" s="604">
        <v>0</v>
      </c>
      <c r="E70" s="605"/>
      <c r="F70" s="605"/>
      <c r="G70" s="605"/>
      <c r="H70" s="232">
        <f t="shared" si="0"/>
        <v>0</v>
      </c>
      <c r="I70" s="605">
        <v>0</v>
      </c>
      <c r="J70" s="606"/>
      <c r="K70" s="605"/>
      <c r="L70" s="605"/>
      <c r="M70" s="232">
        <f t="shared" si="1"/>
        <v>0</v>
      </c>
      <c r="N70" s="605">
        <v>0</v>
      </c>
      <c r="O70" s="606"/>
      <c r="P70" s="605"/>
      <c r="Q70" s="605"/>
      <c r="R70" s="232">
        <f t="shared" si="2"/>
        <v>0</v>
      </c>
    </row>
    <row r="71" spans="1:18" s="89" customFormat="1" ht="24" hidden="1" customHeight="1">
      <c r="A71" s="134">
        <v>9149</v>
      </c>
      <c r="B71" s="172" t="s">
        <v>192</v>
      </c>
      <c r="C71" s="604"/>
      <c r="D71" s="604">
        <v>0</v>
      </c>
      <c r="E71" s="605"/>
      <c r="F71" s="605"/>
      <c r="G71" s="605"/>
      <c r="H71" s="232">
        <f t="shared" si="0"/>
        <v>0</v>
      </c>
      <c r="I71" s="605">
        <v>0</v>
      </c>
      <c r="J71" s="606"/>
      <c r="K71" s="605"/>
      <c r="L71" s="605"/>
      <c r="M71" s="232">
        <f t="shared" si="1"/>
        <v>0</v>
      </c>
      <c r="N71" s="605">
        <v>0</v>
      </c>
      <c r="O71" s="606"/>
      <c r="P71" s="605"/>
      <c r="Q71" s="605"/>
      <c r="R71" s="232">
        <f t="shared" si="2"/>
        <v>0</v>
      </c>
    </row>
    <row r="72" spans="1:18" s="29" customFormat="1" ht="24" hidden="1" customHeight="1">
      <c r="A72" s="141">
        <v>9500</v>
      </c>
      <c r="B72" s="172" t="s">
        <v>165</v>
      </c>
      <c r="C72" s="170">
        <v>0</v>
      </c>
      <c r="D72" s="170">
        <v>0</v>
      </c>
      <c r="E72" s="233">
        <f>SUM(E73:E75)</f>
        <v>0</v>
      </c>
      <c r="F72" s="233">
        <f>SUM(F73:F75)</f>
        <v>0</v>
      </c>
      <c r="G72" s="233">
        <f>SUM(G73:G75)</f>
        <v>0</v>
      </c>
      <c r="H72" s="232">
        <f t="shared" si="0"/>
        <v>0</v>
      </c>
      <c r="I72" s="233">
        <v>0</v>
      </c>
      <c r="J72" s="232">
        <f>SUM(J73:J75)</f>
        <v>0</v>
      </c>
      <c r="K72" s="233">
        <f>SUM(K73:K75)</f>
        <v>0</v>
      </c>
      <c r="L72" s="233">
        <f>SUM(L73:L75)</f>
        <v>0</v>
      </c>
      <c r="M72" s="232">
        <f t="shared" si="1"/>
        <v>0</v>
      </c>
      <c r="N72" s="233">
        <v>0</v>
      </c>
      <c r="O72" s="232">
        <f>SUM(O73:O75)</f>
        <v>0</v>
      </c>
      <c r="P72" s="233">
        <f>SUM(P73:P75)</f>
        <v>0</v>
      </c>
      <c r="Q72" s="233">
        <f>SUM(Q73:Q75)</f>
        <v>0</v>
      </c>
      <c r="R72" s="232">
        <f t="shared" si="2"/>
        <v>0</v>
      </c>
    </row>
    <row r="73" spans="1:18" s="29" customFormat="1" ht="24" hidden="1" customHeight="1">
      <c r="A73" s="133" t="s">
        <v>193</v>
      </c>
      <c r="B73" s="172" t="s">
        <v>171</v>
      </c>
      <c r="C73" s="170"/>
      <c r="D73" s="170">
        <v>0</v>
      </c>
      <c r="E73" s="233"/>
      <c r="F73" s="233"/>
      <c r="G73" s="233"/>
      <c r="H73" s="232">
        <f t="shared" si="0"/>
        <v>0</v>
      </c>
      <c r="I73" s="233">
        <v>0</v>
      </c>
      <c r="J73" s="232"/>
      <c r="K73" s="233"/>
      <c r="L73" s="233"/>
      <c r="M73" s="232">
        <f t="shared" si="1"/>
        <v>0</v>
      </c>
      <c r="N73" s="233">
        <v>0</v>
      </c>
      <c r="O73" s="232"/>
      <c r="P73" s="233"/>
      <c r="Q73" s="233"/>
      <c r="R73" s="232">
        <f t="shared" si="2"/>
        <v>0</v>
      </c>
    </row>
    <row r="74" spans="1:18" s="28" customFormat="1" ht="48" hidden="1" customHeight="1">
      <c r="A74" s="133">
        <v>9580</v>
      </c>
      <c r="B74" s="172" t="s">
        <v>166</v>
      </c>
      <c r="C74" s="604"/>
      <c r="D74" s="604">
        <v>0</v>
      </c>
      <c r="E74" s="605"/>
      <c r="F74" s="605"/>
      <c r="G74" s="605"/>
      <c r="H74" s="232">
        <f t="shared" ref="H74:H137" si="6">SUM(D74:G74)</f>
        <v>0</v>
      </c>
      <c r="I74" s="605">
        <v>0</v>
      </c>
      <c r="J74" s="606"/>
      <c r="K74" s="605"/>
      <c r="L74" s="605"/>
      <c r="M74" s="232">
        <f t="shared" ref="M74:M137" si="7">SUM(I74:L74)</f>
        <v>0</v>
      </c>
      <c r="N74" s="605">
        <v>0</v>
      </c>
      <c r="O74" s="606"/>
      <c r="P74" s="605"/>
      <c r="Q74" s="605"/>
      <c r="R74" s="232">
        <f t="shared" ref="R74:R137" si="8">SUM(N74:Q74)</f>
        <v>0</v>
      </c>
    </row>
    <row r="75" spans="1:18" s="4" customFormat="1" ht="48" hidden="1" customHeight="1">
      <c r="A75" s="133">
        <v>9590</v>
      </c>
      <c r="B75" s="179" t="s">
        <v>172</v>
      </c>
      <c r="C75" s="604"/>
      <c r="D75" s="604">
        <v>0</v>
      </c>
      <c r="E75" s="605"/>
      <c r="F75" s="605"/>
      <c r="G75" s="605"/>
      <c r="H75" s="232">
        <f t="shared" si="6"/>
        <v>0</v>
      </c>
      <c r="I75" s="605">
        <v>0</v>
      </c>
      <c r="J75" s="606"/>
      <c r="K75" s="605"/>
      <c r="L75" s="605"/>
      <c r="M75" s="232">
        <f t="shared" si="7"/>
        <v>0</v>
      </c>
      <c r="N75" s="605">
        <v>0</v>
      </c>
      <c r="O75" s="606"/>
      <c r="P75" s="605"/>
      <c r="Q75" s="605"/>
      <c r="R75" s="232">
        <f t="shared" si="8"/>
        <v>0</v>
      </c>
    </row>
    <row r="76" spans="1:18" ht="24" hidden="1" customHeight="1">
      <c r="A76" s="141">
        <v>9700</v>
      </c>
      <c r="B76" s="183" t="s">
        <v>194</v>
      </c>
      <c r="C76" s="170">
        <v>0</v>
      </c>
      <c r="D76" s="170">
        <v>0</v>
      </c>
      <c r="E76" s="233">
        <f>SUM(E77:E78)</f>
        <v>0</v>
      </c>
      <c r="F76" s="233">
        <f>SUM(F77:F78)</f>
        <v>0</v>
      </c>
      <c r="G76" s="233">
        <f>SUM(G77:G78)</f>
        <v>0</v>
      </c>
      <c r="H76" s="232">
        <f t="shared" si="6"/>
        <v>0</v>
      </c>
      <c r="I76" s="233">
        <v>0</v>
      </c>
      <c r="J76" s="232">
        <f>SUM(J77:J78)</f>
        <v>0</v>
      </c>
      <c r="K76" s="233">
        <f>SUM(K77:K78)</f>
        <v>0</v>
      </c>
      <c r="L76" s="233">
        <f>SUM(L77:L78)</f>
        <v>0</v>
      </c>
      <c r="M76" s="232">
        <f t="shared" si="7"/>
        <v>0</v>
      </c>
      <c r="N76" s="233">
        <v>0</v>
      </c>
      <c r="O76" s="232">
        <f>SUM(O77:O78)</f>
        <v>0</v>
      </c>
      <c r="P76" s="233">
        <f>SUM(P77:P78)</f>
        <v>0</v>
      </c>
      <c r="Q76" s="233">
        <f>SUM(Q77:Q78)</f>
        <v>0</v>
      </c>
      <c r="R76" s="232">
        <f t="shared" si="8"/>
        <v>0</v>
      </c>
    </row>
    <row r="77" spans="1:18" ht="24" hidden="1" customHeight="1">
      <c r="A77" s="133">
        <v>9710</v>
      </c>
      <c r="B77" s="184" t="s">
        <v>195</v>
      </c>
      <c r="C77" s="604"/>
      <c r="D77" s="604">
        <v>0</v>
      </c>
      <c r="E77" s="605"/>
      <c r="F77" s="605"/>
      <c r="G77" s="605"/>
      <c r="H77" s="232">
        <f t="shared" si="6"/>
        <v>0</v>
      </c>
      <c r="I77" s="605">
        <v>0</v>
      </c>
      <c r="J77" s="606"/>
      <c r="K77" s="605"/>
      <c r="L77" s="605"/>
      <c r="M77" s="232">
        <f t="shared" si="7"/>
        <v>0</v>
      </c>
      <c r="N77" s="605">
        <v>0</v>
      </c>
      <c r="O77" s="606"/>
      <c r="P77" s="605"/>
      <c r="Q77" s="605"/>
      <c r="R77" s="232">
        <f t="shared" si="8"/>
        <v>0</v>
      </c>
    </row>
    <row r="78" spans="1:18" ht="48" hidden="1" customHeight="1">
      <c r="A78" s="142">
        <v>9720</v>
      </c>
      <c r="B78" s="183" t="s">
        <v>196</v>
      </c>
      <c r="C78" s="604"/>
      <c r="D78" s="604">
        <v>0</v>
      </c>
      <c r="E78" s="605"/>
      <c r="F78" s="605"/>
      <c r="G78" s="605"/>
      <c r="H78" s="232">
        <f t="shared" si="6"/>
        <v>0</v>
      </c>
      <c r="I78" s="605">
        <v>0</v>
      </c>
      <c r="J78" s="606"/>
      <c r="K78" s="605"/>
      <c r="L78" s="605"/>
      <c r="M78" s="232">
        <f t="shared" si="7"/>
        <v>0</v>
      </c>
      <c r="N78" s="605">
        <v>0</v>
      </c>
      <c r="O78" s="606"/>
      <c r="P78" s="605"/>
      <c r="Q78" s="605"/>
      <c r="R78" s="232">
        <f t="shared" si="8"/>
        <v>0</v>
      </c>
    </row>
    <row r="79" spans="1:18" ht="24" hidden="1" customHeight="1">
      <c r="A79" s="141">
        <v>9600</v>
      </c>
      <c r="B79" s="179" t="s">
        <v>134</v>
      </c>
      <c r="C79" s="604"/>
      <c r="D79" s="604">
        <v>0</v>
      </c>
      <c r="E79" s="605"/>
      <c r="F79" s="605"/>
      <c r="G79" s="605"/>
      <c r="H79" s="232">
        <f t="shared" si="6"/>
        <v>0</v>
      </c>
      <c r="I79" s="605">
        <v>0</v>
      </c>
      <c r="J79" s="606"/>
      <c r="K79" s="605"/>
      <c r="L79" s="605"/>
      <c r="M79" s="232">
        <f t="shared" si="7"/>
        <v>0</v>
      </c>
      <c r="N79" s="605">
        <v>0</v>
      </c>
      <c r="O79" s="606"/>
      <c r="P79" s="605"/>
      <c r="Q79" s="605"/>
      <c r="R79" s="232">
        <f t="shared" si="8"/>
        <v>0</v>
      </c>
    </row>
    <row r="80" spans="1:18" ht="30.6">
      <c r="A80" s="130" t="s">
        <v>197</v>
      </c>
      <c r="B80" s="185" t="s">
        <v>47</v>
      </c>
      <c r="C80" s="206">
        <v>-1354000</v>
      </c>
      <c r="D80" s="206">
        <v>0</v>
      </c>
      <c r="E80" s="262">
        <f>E10-E35</f>
        <v>0</v>
      </c>
      <c r="F80" s="262">
        <f>F10-F35</f>
        <v>0</v>
      </c>
      <c r="G80" s="262">
        <f>G10-G35</f>
        <v>0</v>
      </c>
      <c r="H80" s="232">
        <f t="shared" si="6"/>
        <v>0</v>
      </c>
      <c r="I80" s="262">
        <v>0</v>
      </c>
      <c r="J80" s="261">
        <f>J10-J35</f>
        <v>0</v>
      </c>
      <c r="K80" s="262">
        <f>K10-K35</f>
        <v>0</v>
      </c>
      <c r="L80" s="262">
        <f>L10-L35</f>
        <v>0</v>
      </c>
      <c r="M80" s="232">
        <f t="shared" si="7"/>
        <v>0</v>
      </c>
      <c r="N80" s="262">
        <v>0</v>
      </c>
      <c r="O80" s="261">
        <f>O10-O35</f>
        <v>0</v>
      </c>
      <c r="P80" s="262">
        <f>P10-P35</f>
        <v>0</v>
      </c>
      <c r="Q80" s="262">
        <f>Q10-Q35</f>
        <v>0</v>
      </c>
      <c r="R80" s="232">
        <f t="shared" si="8"/>
        <v>0</v>
      </c>
    </row>
    <row r="81" spans="1:18" ht="12">
      <c r="A81" s="143" t="s">
        <v>48</v>
      </c>
      <c r="B81" s="185" t="s">
        <v>49</v>
      </c>
      <c r="C81" s="206">
        <v>1354000</v>
      </c>
      <c r="D81" s="206">
        <v>0</v>
      </c>
      <c r="E81" s="262">
        <f>E82+E85+E89+E88</f>
        <v>0</v>
      </c>
      <c r="F81" s="262">
        <f>F82+F85+F89+F88</f>
        <v>0</v>
      </c>
      <c r="G81" s="262">
        <f>G82+G85+G89+G88</f>
        <v>0</v>
      </c>
      <c r="H81" s="232">
        <f t="shared" si="6"/>
        <v>0</v>
      </c>
      <c r="I81" s="262">
        <v>0</v>
      </c>
      <c r="J81" s="261">
        <f>J82+J85+J89+J88</f>
        <v>0</v>
      </c>
      <c r="K81" s="262">
        <f>K82+K85+K89+K88</f>
        <v>0</v>
      </c>
      <c r="L81" s="262">
        <f>L82+L85+L89+L88</f>
        <v>0</v>
      </c>
      <c r="M81" s="232">
        <f t="shared" si="7"/>
        <v>0</v>
      </c>
      <c r="N81" s="262">
        <v>0</v>
      </c>
      <c r="O81" s="261">
        <f>O82+O85+O89+O88</f>
        <v>0</v>
      </c>
      <c r="P81" s="262">
        <f>P82+P85+P89+P88</f>
        <v>0</v>
      </c>
      <c r="Q81" s="262">
        <f>Q82+Q85+Q89+Q88</f>
        <v>0</v>
      </c>
      <c r="R81" s="232">
        <f t="shared" si="8"/>
        <v>0</v>
      </c>
    </row>
    <row r="82" spans="1:18" s="4" customFormat="1" ht="12" hidden="1" customHeight="1">
      <c r="A82" s="141" t="s">
        <v>50</v>
      </c>
      <c r="B82" s="179" t="s">
        <v>51</v>
      </c>
      <c r="C82" s="98">
        <v>0</v>
      </c>
      <c r="D82" s="98">
        <v>0</v>
      </c>
      <c r="E82" s="231">
        <f>E83+E84</f>
        <v>0</v>
      </c>
      <c r="F82" s="231">
        <f>F83+F84</f>
        <v>0</v>
      </c>
      <c r="G82" s="231">
        <f>G83+G84</f>
        <v>0</v>
      </c>
      <c r="H82" s="232">
        <f t="shared" si="6"/>
        <v>0</v>
      </c>
      <c r="I82" s="231">
        <v>0</v>
      </c>
      <c r="J82" s="230">
        <f>J83+J84</f>
        <v>0</v>
      </c>
      <c r="K82" s="231">
        <f>K83+K84</f>
        <v>0</v>
      </c>
      <c r="L82" s="231">
        <f>L83+L84</f>
        <v>0</v>
      </c>
      <c r="M82" s="232">
        <f t="shared" si="7"/>
        <v>0</v>
      </c>
      <c r="N82" s="231">
        <v>0</v>
      </c>
      <c r="O82" s="230">
        <f>O83+O84</f>
        <v>0</v>
      </c>
      <c r="P82" s="231">
        <f>P83+P84</f>
        <v>0</v>
      </c>
      <c r="Q82" s="231">
        <f>Q83+Q84</f>
        <v>0</v>
      </c>
      <c r="R82" s="232">
        <f t="shared" si="8"/>
        <v>0</v>
      </c>
    </row>
    <row r="83" spans="1:18" s="6" customFormat="1" ht="12" hidden="1" customHeight="1">
      <c r="A83" s="141" t="s">
        <v>52</v>
      </c>
      <c r="B83" s="179" t="s">
        <v>53</v>
      </c>
      <c r="C83" s="98"/>
      <c r="D83" s="98">
        <v>0</v>
      </c>
      <c r="E83" s="231"/>
      <c r="F83" s="231"/>
      <c r="G83" s="231"/>
      <c r="H83" s="232">
        <f t="shared" si="6"/>
        <v>0</v>
      </c>
      <c r="I83" s="231">
        <v>0</v>
      </c>
      <c r="J83" s="230"/>
      <c r="K83" s="231"/>
      <c r="L83" s="231"/>
      <c r="M83" s="232">
        <f t="shared" si="7"/>
        <v>0</v>
      </c>
      <c r="N83" s="231">
        <v>0</v>
      </c>
      <c r="O83" s="230"/>
      <c r="P83" s="231"/>
      <c r="Q83" s="231"/>
      <c r="R83" s="232">
        <f t="shared" si="8"/>
        <v>0</v>
      </c>
    </row>
    <row r="84" spans="1:18" s="6" customFormat="1" ht="12" hidden="1" customHeight="1">
      <c r="A84" s="141" t="s">
        <v>54</v>
      </c>
      <c r="B84" s="179" t="s">
        <v>55</v>
      </c>
      <c r="C84" s="98"/>
      <c r="D84" s="98">
        <v>0</v>
      </c>
      <c r="E84" s="231"/>
      <c r="F84" s="231"/>
      <c r="G84" s="231"/>
      <c r="H84" s="232">
        <f t="shared" si="6"/>
        <v>0</v>
      </c>
      <c r="I84" s="231">
        <v>0</v>
      </c>
      <c r="J84" s="230"/>
      <c r="K84" s="231"/>
      <c r="L84" s="231"/>
      <c r="M84" s="232">
        <f t="shared" si="7"/>
        <v>0</v>
      </c>
      <c r="N84" s="231">
        <v>0</v>
      </c>
      <c r="O84" s="230"/>
      <c r="P84" s="231"/>
      <c r="Q84" s="231"/>
      <c r="R84" s="232">
        <f t="shared" si="8"/>
        <v>0</v>
      </c>
    </row>
    <row r="85" spans="1:18" s="6" customFormat="1" ht="12" hidden="1" customHeight="1">
      <c r="A85" s="141" t="s">
        <v>56</v>
      </c>
      <c r="B85" s="179" t="s">
        <v>57</v>
      </c>
      <c r="C85" s="98">
        <v>0</v>
      </c>
      <c r="D85" s="98">
        <v>0</v>
      </c>
      <c r="E85" s="231">
        <f>E86+E87</f>
        <v>0</v>
      </c>
      <c r="F85" s="231">
        <f>F86+F87</f>
        <v>0</v>
      </c>
      <c r="G85" s="231">
        <f>G86+G87</f>
        <v>0</v>
      </c>
      <c r="H85" s="232">
        <f t="shared" si="6"/>
        <v>0</v>
      </c>
      <c r="I85" s="231">
        <v>0</v>
      </c>
      <c r="J85" s="230">
        <f>J86+J87</f>
        <v>0</v>
      </c>
      <c r="K85" s="231">
        <f>K86+K87</f>
        <v>0</v>
      </c>
      <c r="L85" s="231">
        <f>L86+L87</f>
        <v>0</v>
      </c>
      <c r="M85" s="232">
        <f t="shared" si="7"/>
        <v>0</v>
      </c>
      <c r="N85" s="231">
        <v>0</v>
      </c>
      <c r="O85" s="230">
        <f>O86+O87</f>
        <v>0</v>
      </c>
      <c r="P85" s="231">
        <f>P86+P87</f>
        <v>0</v>
      </c>
      <c r="Q85" s="231">
        <f>Q86+Q87</f>
        <v>0</v>
      </c>
      <c r="R85" s="232">
        <f t="shared" si="8"/>
        <v>0</v>
      </c>
    </row>
    <row r="86" spans="1:18" s="6" customFormat="1" ht="12" hidden="1" customHeight="1">
      <c r="A86" s="141" t="s">
        <v>58</v>
      </c>
      <c r="B86" s="179" t="s">
        <v>59</v>
      </c>
      <c r="C86" s="98"/>
      <c r="D86" s="98">
        <v>0</v>
      </c>
      <c r="E86" s="231"/>
      <c r="F86" s="231"/>
      <c r="G86" s="231"/>
      <c r="H86" s="232">
        <f t="shared" si="6"/>
        <v>0</v>
      </c>
      <c r="I86" s="231">
        <v>0</v>
      </c>
      <c r="J86" s="230"/>
      <c r="K86" s="231"/>
      <c r="L86" s="231"/>
      <c r="M86" s="232">
        <f t="shared" si="7"/>
        <v>0</v>
      </c>
      <c r="N86" s="231">
        <v>0</v>
      </c>
      <c r="O86" s="230"/>
      <c r="P86" s="231"/>
      <c r="Q86" s="231"/>
      <c r="R86" s="232">
        <f t="shared" si="8"/>
        <v>0</v>
      </c>
    </row>
    <row r="87" spans="1:18" s="6" customFormat="1" ht="12" hidden="1" customHeight="1">
      <c r="A87" s="141" t="s">
        <v>60</v>
      </c>
      <c r="B87" s="179" t="s">
        <v>61</v>
      </c>
      <c r="C87" s="98"/>
      <c r="D87" s="98">
        <v>0</v>
      </c>
      <c r="E87" s="231"/>
      <c r="F87" s="231"/>
      <c r="G87" s="231"/>
      <c r="H87" s="232">
        <f t="shared" si="6"/>
        <v>0</v>
      </c>
      <c r="I87" s="231">
        <v>0</v>
      </c>
      <c r="J87" s="230"/>
      <c r="K87" s="231"/>
      <c r="L87" s="231"/>
      <c r="M87" s="232">
        <f t="shared" si="7"/>
        <v>0</v>
      </c>
      <c r="N87" s="231">
        <v>0</v>
      </c>
      <c r="O87" s="230"/>
      <c r="P87" s="231"/>
      <c r="Q87" s="231"/>
      <c r="R87" s="232">
        <f t="shared" si="8"/>
        <v>0</v>
      </c>
    </row>
    <row r="88" spans="1:18" s="6" customFormat="1" ht="12" hidden="1" customHeight="1">
      <c r="A88" s="141" t="s">
        <v>198</v>
      </c>
      <c r="B88" s="187" t="s">
        <v>168</v>
      </c>
      <c r="C88" s="98"/>
      <c r="D88" s="98">
        <v>0</v>
      </c>
      <c r="E88" s="231"/>
      <c r="F88" s="231"/>
      <c r="G88" s="231"/>
      <c r="H88" s="232">
        <f t="shared" si="6"/>
        <v>0</v>
      </c>
      <c r="I88" s="231">
        <v>0</v>
      </c>
      <c r="J88" s="230"/>
      <c r="K88" s="231"/>
      <c r="L88" s="231"/>
      <c r="M88" s="232">
        <f t="shared" si="7"/>
        <v>0</v>
      </c>
      <c r="N88" s="231">
        <v>0</v>
      </c>
      <c r="O88" s="230"/>
      <c r="P88" s="231"/>
      <c r="Q88" s="231"/>
      <c r="R88" s="232">
        <f t="shared" si="8"/>
        <v>0</v>
      </c>
    </row>
    <row r="89" spans="1:18" s="6" customFormat="1" ht="12">
      <c r="A89" s="144" t="s">
        <v>62</v>
      </c>
      <c r="B89" s="125" t="s">
        <v>63</v>
      </c>
      <c r="C89" s="170">
        <v>1354000</v>
      </c>
      <c r="D89" s="170">
        <v>0</v>
      </c>
      <c r="E89" s="233">
        <f>E90+E91+E92</f>
        <v>0</v>
      </c>
      <c r="F89" s="233">
        <f>F90+F91+F92</f>
        <v>0</v>
      </c>
      <c r="G89" s="233">
        <f>G90+G91+G92</f>
        <v>0</v>
      </c>
      <c r="H89" s="232">
        <f t="shared" si="6"/>
        <v>0</v>
      </c>
      <c r="I89" s="233">
        <v>0</v>
      </c>
      <c r="J89" s="232">
        <f>J90+J91+J92</f>
        <v>0</v>
      </c>
      <c r="K89" s="233">
        <f>K90+K91+K92</f>
        <v>0</v>
      </c>
      <c r="L89" s="233">
        <f>L90+L91+L92</f>
        <v>0</v>
      </c>
      <c r="M89" s="232">
        <f t="shared" si="7"/>
        <v>0</v>
      </c>
      <c r="N89" s="233">
        <v>0</v>
      </c>
      <c r="O89" s="232">
        <f>O90+O91+O92</f>
        <v>0</v>
      </c>
      <c r="P89" s="233">
        <f>P90+P91+P92</f>
        <v>0</v>
      </c>
      <c r="Q89" s="233">
        <f>Q90+Q91+Q92</f>
        <v>0</v>
      </c>
      <c r="R89" s="232">
        <f t="shared" si="8"/>
        <v>0</v>
      </c>
    </row>
    <row r="90" spans="1:18" s="6" customFormat="1" ht="36">
      <c r="A90" s="144" t="s">
        <v>64</v>
      </c>
      <c r="B90" s="179" t="s">
        <v>65</v>
      </c>
      <c r="C90" s="98">
        <v>1354000</v>
      </c>
      <c r="D90" s="98">
        <v>0</v>
      </c>
      <c r="E90" s="231"/>
      <c r="F90" s="231"/>
      <c r="G90" s="231"/>
      <c r="H90" s="232">
        <f t="shared" si="6"/>
        <v>0</v>
      </c>
      <c r="I90" s="231">
        <v>0</v>
      </c>
      <c r="J90" s="230"/>
      <c r="K90" s="231"/>
      <c r="L90" s="231"/>
      <c r="M90" s="232">
        <f t="shared" si="7"/>
        <v>0</v>
      </c>
      <c r="N90" s="231">
        <v>0</v>
      </c>
      <c r="O90" s="230"/>
      <c r="P90" s="231"/>
      <c r="Q90" s="231"/>
      <c r="R90" s="232">
        <f t="shared" si="8"/>
        <v>0</v>
      </c>
    </row>
    <row r="91" spans="1:18" s="6" customFormat="1" ht="24" hidden="1" customHeight="1">
      <c r="A91" s="144" t="s">
        <v>66</v>
      </c>
      <c r="B91" s="179" t="s">
        <v>67</v>
      </c>
      <c r="C91" s="98"/>
      <c r="D91" s="98">
        <v>0</v>
      </c>
      <c r="E91" s="231"/>
      <c r="F91" s="231"/>
      <c r="G91" s="231"/>
      <c r="H91" s="232">
        <f t="shared" si="6"/>
        <v>0</v>
      </c>
      <c r="I91" s="231">
        <v>0</v>
      </c>
      <c r="J91" s="231"/>
      <c r="K91" s="231"/>
      <c r="L91" s="231"/>
      <c r="M91" s="232">
        <f t="shared" si="7"/>
        <v>0</v>
      </c>
      <c r="N91" s="231">
        <v>0</v>
      </c>
      <c r="O91" s="231"/>
      <c r="P91" s="231"/>
      <c r="Q91" s="231"/>
      <c r="R91" s="232">
        <f t="shared" si="8"/>
        <v>0</v>
      </c>
    </row>
    <row r="92" spans="1:18" s="6" customFormat="1" ht="24" hidden="1" customHeight="1">
      <c r="A92" s="144" t="s">
        <v>68</v>
      </c>
      <c r="B92" s="125" t="s">
        <v>69</v>
      </c>
      <c r="C92" s="98"/>
      <c r="D92" s="98">
        <v>0</v>
      </c>
      <c r="E92" s="231"/>
      <c r="F92" s="231"/>
      <c r="G92" s="231"/>
      <c r="H92" s="232">
        <f t="shared" si="6"/>
        <v>0</v>
      </c>
      <c r="I92" s="231">
        <v>0</v>
      </c>
      <c r="J92" s="231"/>
      <c r="K92" s="231"/>
      <c r="L92" s="231"/>
      <c r="M92" s="232">
        <f t="shared" si="7"/>
        <v>0</v>
      </c>
      <c r="N92" s="231">
        <v>0</v>
      </c>
      <c r="O92" s="231"/>
      <c r="P92" s="231"/>
      <c r="Q92" s="231"/>
      <c r="R92" s="232">
        <f t="shared" si="8"/>
        <v>0</v>
      </c>
    </row>
    <row r="93" spans="1:18" s="6" customFormat="1" ht="12">
      <c r="A93" s="607"/>
      <c r="B93" s="608" t="s">
        <v>199</v>
      </c>
      <c r="C93" s="609"/>
      <c r="D93" s="610">
        <v>0</v>
      </c>
      <c r="E93" s="611"/>
      <c r="F93" s="612"/>
      <c r="G93" s="612"/>
      <c r="H93" s="613">
        <f t="shared" si="6"/>
        <v>0</v>
      </c>
      <c r="I93" s="611">
        <v>0</v>
      </c>
      <c r="J93" s="612"/>
      <c r="K93" s="612"/>
      <c r="L93" s="612"/>
      <c r="M93" s="613">
        <f t="shared" si="7"/>
        <v>0</v>
      </c>
      <c r="N93" s="611">
        <v>0</v>
      </c>
      <c r="O93" s="612"/>
      <c r="P93" s="612"/>
      <c r="Q93" s="612"/>
      <c r="R93" s="613">
        <f t="shared" si="8"/>
        <v>0</v>
      </c>
    </row>
    <row r="94" spans="1:18" s="6" customFormat="1" ht="20.399999999999999">
      <c r="A94" s="597" t="s">
        <v>201</v>
      </c>
      <c r="B94" s="598" t="s">
        <v>88</v>
      </c>
      <c r="C94" s="599">
        <v>2098700</v>
      </c>
      <c r="D94" s="599">
        <v>3452700</v>
      </c>
      <c r="E94" s="600">
        <f>E95+E96+E98+E116</f>
        <v>65170</v>
      </c>
      <c r="F94" s="600">
        <f>F95+F96+F98+F116</f>
        <v>0</v>
      </c>
      <c r="G94" s="600">
        <f>G95+G96+G98+G116</f>
        <v>0</v>
      </c>
      <c r="H94" s="601">
        <f t="shared" si="6"/>
        <v>3517870</v>
      </c>
      <c r="I94" s="600">
        <v>3452700</v>
      </c>
      <c r="J94" s="600">
        <f>J95+J96+J98+J116</f>
        <v>0</v>
      </c>
      <c r="K94" s="600">
        <f>K95+K96+K98+K116</f>
        <v>0</v>
      </c>
      <c r="L94" s="600">
        <f>L95+L96+L98+L116</f>
        <v>0</v>
      </c>
      <c r="M94" s="601">
        <f t="shared" si="7"/>
        <v>3452700</v>
      </c>
      <c r="N94" s="600">
        <v>3452700</v>
      </c>
      <c r="O94" s="600">
        <f>O95+O96+O98+O116</f>
        <v>0</v>
      </c>
      <c r="P94" s="600">
        <f>P95+P96+P98+P116</f>
        <v>0</v>
      </c>
      <c r="Q94" s="600">
        <f>Q95+Q96+Q98+Q116</f>
        <v>0</v>
      </c>
      <c r="R94" s="601">
        <f t="shared" si="8"/>
        <v>3452700</v>
      </c>
    </row>
    <row r="95" spans="1:18" s="6" customFormat="1" ht="22.8">
      <c r="A95" s="130" t="s">
        <v>177</v>
      </c>
      <c r="B95" s="124" t="s">
        <v>90</v>
      </c>
      <c r="C95" s="98">
        <v>2098700</v>
      </c>
      <c r="D95" s="98">
        <v>3452700</v>
      </c>
      <c r="E95" s="231">
        <v>65170</v>
      </c>
      <c r="F95" s="231"/>
      <c r="G95" s="231"/>
      <c r="H95" s="232">
        <f t="shared" si="6"/>
        <v>3517870</v>
      </c>
      <c r="I95" s="231">
        <v>3452700</v>
      </c>
      <c r="J95" s="231"/>
      <c r="K95" s="231"/>
      <c r="L95" s="231"/>
      <c r="M95" s="232">
        <f t="shared" si="7"/>
        <v>3452700</v>
      </c>
      <c r="N95" s="231">
        <v>3452700</v>
      </c>
      <c r="O95" s="231"/>
      <c r="P95" s="231"/>
      <c r="Q95" s="231"/>
      <c r="R95" s="232">
        <f t="shared" si="8"/>
        <v>3452700</v>
      </c>
    </row>
    <row r="96" spans="1:18" s="6" customFormat="1" ht="12" hidden="1" customHeight="1">
      <c r="A96" s="130" t="s">
        <v>91</v>
      </c>
      <c r="B96" s="124" t="s">
        <v>92</v>
      </c>
      <c r="C96" s="98"/>
      <c r="D96" s="98">
        <v>0</v>
      </c>
      <c r="E96" s="231"/>
      <c r="F96" s="231"/>
      <c r="G96" s="231"/>
      <c r="H96" s="232">
        <f t="shared" si="6"/>
        <v>0</v>
      </c>
      <c r="I96" s="231">
        <v>0</v>
      </c>
      <c r="J96" s="231"/>
      <c r="K96" s="231"/>
      <c r="L96" s="231"/>
      <c r="M96" s="232">
        <f t="shared" si="7"/>
        <v>0</v>
      </c>
      <c r="N96" s="231">
        <v>0</v>
      </c>
      <c r="O96" s="231"/>
      <c r="P96" s="231"/>
      <c r="Q96" s="231"/>
      <c r="R96" s="232">
        <f t="shared" si="8"/>
        <v>0</v>
      </c>
    </row>
    <row r="97" spans="1:18" s="6" customFormat="1" ht="24" hidden="1" customHeight="1">
      <c r="A97" s="131">
        <v>21210</v>
      </c>
      <c r="B97" s="125" t="s">
        <v>93</v>
      </c>
      <c r="C97" s="98"/>
      <c r="D97" s="98">
        <v>0</v>
      </c>
      <c r="E97" s="231"/>
      <c r="F97" s="231"/>
      <c r="G97" s="231"/>
      <c r="H97" s="232">
        <f t="shared" si="6"/>
        <v>0</v>
      </c>
      <c r="I97" s="231">
        <v>0</v>
      </c>
      <c r="J97" s="231"/>
      <c r="K97" s="231"/>
      <c r="L97" s="231"/>
      <c r="M97" s="232">
        <f t="shared" si="7"/>
        <v>0</v>
      </c>
      <c r="N97" s="231">
        <v>0</v>
      </c>
      <c r="O97" s="231"/>
      <c r="P97" s="231"/>
      <c r="Q97" s="231"/>
      <c r="R97" s="232">
        <f t="shared" si="8"/>
        <v>0</v>
      </c>
    </row>
    <row r="98" spans="1:18" s="6" customFormat="1" ht="21" hidden="1" customHeight="1">
      <c r="A98" s="130" t="s">
        <v>178</v>
      </c>
      <c r="B98" s="124" t="s">
        <v>94</v>
      </c>
      <c r="C98" s="170">
        <v>0</v>
      </c>
      <c r="D98" s="170">
        <v>0</v>
      </c>
      <c r="E98" s="233">
        <f>E99+E105</f>
        <v>0</v>
      </c>
      <c r="F98" s="233">
        <f>F99+F105</f>
        <v>0</v>
      </c>
      <c r="G98" s="233">
        <f>G99+G105</f>
        <v>0</v>
      </c>
      <c r="H98" s="232">
        <f t="shared" si="6"/>
        <v>0</v>
      </c>
      <c r="I98" s="233">
        <v>0</v>
      </c>
      <c r="J98" s="233">
        <f>J99+J105</f>
        <v>0</v>
      </c>
      <c r="K98" s="233">
        <f>K99+K105</f>
        <v>0</v>
      </c>
      <c r="L98" s="233">
        <f>L99+L105</f>
        <v>0</v>
      </c>
      <c r="M98" s="232">
        <f t="shared" si="7"/>
        <v>0</v>
      </c>
      <c r="N98" s="233">
        <v>0</v>
      </c>
      <c r="O98" s="233">
        <f>O99+O105</f>
        <v>0</v>
      </c>
      <c r="P98" s="233">
        <f>P99+P105</f>
        <v>0</v>
      </c>
      <c r="Q98" s="233">
        <f>Q99+Q105</f>
        <v>0</v>
      </c>
      <c r="R98" s="232">
        <f t="shared" si="8"/>
        <v>0</v>
      </c>
    </row>
    <row r="99" spans="1:18" s="6" customFormat="1" ht="12" hidden="1" customHeight="1">
      <c r="A99" s="132">
        <v>18000</v>
      </c>
      <c r="B99" s="125" t="s">
        <v>95</v>
      </c>
      <c r="C99" s="170">
        <v>0</v>
      </c>
      <c r="D99" s="170">
        <v>0</v>
      </c>
      <c r="E99" s="233">
        <f t="shared" ref="E99:G100" si="9">E100</f>
        <v>0</v>
      </c>
      <c r="F99" s="233">
        <f t="shared" si="9"/>
        <v>0</v>
      </c>
      <c r="G99" s="233">
        <f t="shared" si="9"/>
        <v>0</v>
      </c>
      <c r="H99" s="232">
        <f t="shared" si="6"/>
        <v>0</v>
      </c>
      <c r="I99" s="233">
        <v>0</v>
      </c>
      <c r="J99" s="233">
        <f t="shared" ref="J99:L100" si="10">J100</f>
        <v>0</v>
      </c>
      <c r="K99" s="233">
        <f t="shared" si="10"/>
        <v>0</v>
      </c>
      <c r="L99" s="233">
        <f t="shared" si="10"/>
        <v>0</v>
      </c>
      <c r="M99" s="232">
        <f t="shared" si="7"/>
        <v>0</v>
      </c>
      <c r="N99" s="233">
        <v>0</v>
      </c>
      <c r="O99" s="233">
        <f t="shared" ref="O99:Q100" si="11">O100</f>
        <v>0</v>
      </c>
      <c r="P99" s="233">
        <f t="shared" si="11"/>
        <v>0</v>
      </c>
      <c r="Q99" s="233">
        <f t="shared" si="11"/>
        <v>0</v>
      </c>
      <c r="R99" s="232">
        <f t="shared" si="8"/>
        <v>0</v>
      </c>
    </row>
    <row r="100" spans="1:18" s="6" customFormat="1" ht="12" hidden="1" customHeight="1">
      <c r="A100" s="132">
        <v>18100</v>
      </c>
      <c r="B100" s="125" t="s">
        <v>96</v>
      </c>
      <c r="C100" s="170">
        <v>0</v>
      </c>
      <c r="D100" s="170">
        <v>0</v>
      </c>
      <c r="E100" s="233">
        <f t="shared" si="9"/>
        <v>0</v>
      </c>
      <c r="F100" s="233">
        <f t="shared" si="9"/>
        <v>0</v>
      </c>
      <c r="G100" s="233">
        <f t="shared" si="9"/>
        <v>0</v>
      </c>
      <c r="H100" s="232">
        <f t="shared" si="6"/>
        <v>0</v>
      </c>
      <c r="I100" s="233">
        <v>0</v>
      </c>
      <c r="J100" s="233">
        <f t="shared" si="10"/>
        <v>0</v>
      </c>
      <c r="K100" s="233">
        <f t="shared" si="10"/>
        <v>0</v>
      </c>
      <c r="L100" s="233">
        <f t="shared" si="10"/>
        <v>0</v>
      </c>
      <c r="M100" s="232">
        <f t="shared" si="7"/>
        <v>0</v>
      </c>
      <c r="N100" s="233">
        <v>0</v>
      </c>
      <c r="O100" s="233">
        <f t="shared" si="11"/>
        <v>0</v>
      </c>
      <c r="P100" s="233">
        <f t="shared" si="11"/>
        <v>0</v>
      </c>
      <c r="Q100" s="233">
        <f t="shared" si="11"/>
        <v>0</v>
      </c>
      <c r="R100" s="232">
        <f t="shared" si="8"/>
        <v>0</v>
      </c>
    </row>
    <row r="101" spans="1:18" s="6" customFormat="1" ht="24" hidden="1" customHeight="1">
      <c r="A101" s="133">
        <v>18130</v>
      </c>
      <c r="B101" s="172" t="s">
        <v>159</v>
      </c>
      <c r="C101" s="170">
        <v>0</v>
      </c>
      <c r="D101" s="170">
        <v>0</v>
      </c>
      <c r="E101" s="233">
        <f>SUM(E102:E104)</f>
        <v>0</v>
      </c>
      <c r="F101" s="233">
        <f>SUM(F102:F104)</f>
        <v>0</v>
      </c>
      <c r="G101" s="233">
        <f>SUM(G102:G104)</f>
        <v>0</v>
      </c>
      <c r="H101" s="232">
        <f t="shared" si="6"/>
        <v>0</v>
      </c>
      <c r="I101" s="233">
        <v>0</v>
      </c>
      <c r="J101" s="233">
        <f>SUM(J102:J104)</f>
        <v>0</v>
      </c>
      <c r="K101" s="233">
        <f>SUM(K102:K104)</f>
        <v>0</v>
      </c>
      <c r="L101" s="233">
        <f>SUM(L102:L104)</f>
        <v>0</v>
      </c>
      <c r="M101" s="232">
        <f t="shared" si="7"/>
        <v>0</v>
      </c>
      <c r="N101" s="233">
        <v>0</v>
      </c>
      <c r="O101" s="233">
        <f>SUM(O102:O104)</f>
        <v>0</v>
      </c>
      <c r="P101" s="233">
        <f>SUM(P102:P104)</f>
        <v>0</v>
      </c>
      <c r="Q101" s="233">
        <f>SUM(Q102:Q104)</f>
        <v>0</v>
      </c>
      <c r="R101" s="232">
        <f t="shared" si="8"/>
        <v>0</v>
      </c>
    </row>
    <row r="102" spans="1:18" s="6" customFormat="1" ht="36" hidden="1" customHeight="1">
      <c r="A102" s="134">
        <v>18131</v>
      </c>
      <c r="B102" s="172" t="s">
        <v>160</v>
      </c>
      <c r="C102" s="170"/>
      <c r="D102" s="170">
        <v>0</v>
      </c>
      <c r="E102" s="233"/>
      <c r="F102" s="233"/>
      <c r="G102" s="233"/>
      <c r="H102" s="232">
        <f t="shared" si="6"/>
        <v>0</v>
      </c>
      <c r="I102" s="233">
        <v>0</v>
      </c>
      <c r="J102" s="233"/>
      <c r="K102" s="233"/>
      <c r="L102" s="233"/>
      <c r="M102" s="232">
        <f t="shared" si="7"/>
        <v>0</v>
      </c>
      <c r="N102" s="233">
        <v>0</v>
      </c>
      <c r="O102" s="233"/>
      <c r="P102" s="233"/>
      <c r="Q102" s="233"/>
      <c r="R102" s="232">
        <f t="shared" si="8"/>
        <v>0</v>
      </c>
    </row>
    <row r="103" spans="1:18" s="6" customFormat="1" ht="24" hidden="1" customHeight="1">
      <c r="A103" s="134">
        <v>18132</v>
      </c>
      <c r="B103" s="172" t="s">
        <v>169</v>
      </c>
      <c r="C103" s="170"/>
      <c r="D103" s="170">
        <v>0</v>
      </c>
      <c r="E103" s="233"/>
      <c r="F103" s="233"/>
      <c r="G103" s="233"/>
      <c r="H103" s="232">
        <f t="shared" si="6"/>
        <v>0</v>
      </c>
      <c r="I103" s="233">
        <v>0</v>
      </c>
      <c r="J103" s="233"/>
      <c r="K103" s="233"/>
      <c r="L103" s="233"/>
      <c r="M103" s="232">
        <f t="shared" si="7"/>
        <v>0</v>
      </c>
      <c r="N103" s="233">
        <v>0</v>
      </c>
      <c r="O103" s="233"/>
      <c r="P103" s="233"/>
      <c r="Q103" s="233"/>
      <c r="R103" s="232">
        <f t="shared" si="8"/>
        <v>0</v>
      </c>
    </row>
    <row r="104" spans="1:18" s="6" customFormat="1" ht="24" hidden="1" customHeight="1">
      <c r="A104" s="134">
        <v>18139</v>
      </c>
      <c r="B104" s="172" t="s">
        <v>179</v>
      </c>
      <c r="C104" s="170"/>
      <c r="D104" s="170">
        <v>0</v>
      </c>
      <c r="E104" s="233"/>
      <c r="F104" s="233"/>
      <c r="G104" s="233"/>
      <c r="H104" s="232">
        <f t="shared" si="6"/>
        <v>0</v>
      </c>
      <c r="I104" s="233">
        <v>0</v>
      </c>
      <c r="J104" s="233"/>
      <c r="K104" s="233"/>
      <c r="L104" s="233"/>
      <c r="M104" s="232">
        <f t="shared" si="7"/>
        <v>0</v>
      </c>
      <c r="N104" s="233">
        <v>0</v>
      </c>
      <c r="O104" s="233"/>
      <c r="P104" s="233"/>
      <c r="Q104" s="233"/>
      <c r="R104" s="232">
        <f t="shared" si="8"/>
        <v>0</v>
      </c>
    </row>
    <row r="105" spans="1:18" s="6" customFormat="1" ht="12" hidden="1" customHeight="1">
      <c r="A105" s="135" t="s">
        <v>180</v>
      </c>
      <c r="B105" s="173" t="s">
        <v>173</v>
      </c>
      <c r="C105" s="201">
        <v>0</v>
      </c>
      <c r="D105" s="201">
        <v>0</v>
      </c>
      <c r="E105" s="238">
        <f>E106</f>
        <v>0</v>
      </c>
      <c r="F105" s="238">
        <f>F106</f>
        <v>0</v>
      </c>
      <c r="G105" s="238">
        <f>G106</f>
        <v>0</v>
      </c>
      <c r="H105" s="232">
        <f t="shared" si="6"/>
        <v>0</v>
      </c>
      <c r="I105" s="238">
        <v>0</v>
      </c>
      <c r="J105" s="238">
        <f>J106</f>
        <v>0</v>
      </c>
      <c r="K105" s="238">
        <f>K106</f>
        <v>0</v>
      </c>
      <c r="L105" s="238">
        <f>L106</f>
        <v>0</v>
      </c>
      <c r="M105" s="232">
        <f t="shared" si="7"/>
        <v>0</v>
      </c>
      <c r="N105" s="238">
        <v>0</v>
      </c>
      <c r="O105" s="238">
        <f>O106</f>
        <v>0</v>
      </c>
      <c r="P105" s="238">
        <f>P106</f>
        <v>0</v>
      </c>
      <c r="Q105" s="238">
        <f>Q106</f>
        <v>0</v>
      </c>
      <c r="R105" s="232">
        <f t="shared" si="8"/>
        <v>0</v>
      </c>
    </row>
    <row r="106" spans="1:18" s="6" customFormat="1" ht="24" hidden="1" customHeight="1">
      <c r="A106" s="135">
        <v>19500</v>
      </c>
      <c r="B106" s="172" t="s">
        <v>174</v>
      </c>
      <c r="C106" s="170">
        <v>0</v>
      </c>
      <c r="D106" s="170">
        <v>0</v>
      </c>
      <c r="E106" s="233">
        <f>SUM(E107:E109)</f>
        <v>0</v>
      </c>
      <c r="F106" s="233">
        <f>SUM(F107:F109)</f>
        <v>0</v>
      </c>
      <c r="G106" s="233">
        <f>SUM(G107:G109)</f>
        <v>0</v>
      </c>
      <c r="H106" s="232">
        <f t="shared" si="6"/>
        <v>0</v>
      </c>
      <c r="I106" s="233">
        <v>0</v>
      </c>
      <c r="J106" s="233">
        <f>SUM(J107:J109)</f>
        <v>0</v>
      </c>
      <c r="K106" s="233">
        <f>SUM(K107:K109)</f>
        <v>0</v>
      </c>
      <c r="L106" s="233">
        <f>SUM(L107:L109)</f>
        <v>0</v>
      </c>
      <c r="M106" s="232">
        <f t="shared" si="7"/>
        <v>0</v>
      </c>
      <c r="N106" s="233">
        <v>0</v>
      </c>
      <c r="O106" s="233">
        <f>SUM(O107:O109)</f>
        <v>0</v>
      </c>
      <c r="P106" s="233">
        <f>SUM(P107:P109)</f>
        <v>0</v>
      </c>
      <c r="Q106" s="233">
        <f>SUM(Q107:Q109)</f>
        <v>0</v>
      </c>
      <c r="R106" s="232">
        <f t="shared" si="8"/>
        <v>0</v>
      </c>
    </row>
    <row r="107" spans="1:18" s="6" customFormat="1" ht="24" hidden="1" customHeight="1">
      <c r="A107" s="136">
        <v>19550</v>
      </c>
      <c r="B107" s="172" t="s">
        <v>175</v>
      </c>
      <c r="C107" s="170"/>
      <c r="D107" s="170">
        <v>0</v>
      </c>
      <c r="E107" s="233"/>
      <c r="F107" s="233"/>
      <c r="G107" s="233"/>
      <c r="H107" s="232">
        <f t="shared" si="6"/>
        <v>0</v>
      </c>
      <c r="I107" s="233">
        <v>0</v>
      </c>
      <c r="J107" s="233"/>
      <c r="K107" s="233"/>
      <c r="L107" s="233"/>
      <c r="M107" s="232">
        <f t="shared" si="7"/>
        <v>0</v>
      </c>
      <c r="N107" s="233">
        <v>0</v>
      </c>
      <c r="O107" s="233"/>
      <c r="P107" s="233"/>
      <c r="Q107" s="233"/>
      <c r="R107" s="232">
        <f t="shared" si="8"/>
        <v>0</v>
      </c>
    </row>
    <row r="108" spans="1:18" s="6" customFormat="1" ht="36" hidden="1" customHeight="1">
      <c r="A108" s="136">
        <v>19560</v>
      </c>
      <c r="B108" s="172" t="s">
        <v>181</v>
      </c>
      <c r="C108" s="170"/>
      <c r="D108" s="170">
        <v>0</v>
      </c>
      <c r="E108" s="233"/>
      <c r="F108" s="233"/>
      <c r="G108" s="233"/>
      <c r="H108" s="232">
        <f t="shared" si="6"/>
        <v>0</v>
      </c>
      <c r="I108" s="233">
        <v>0</v>
      </c>
      <c r="J108" s="233"/>
      <c r="K108" s="233"/>
      <c r="L108" s="233"/>
      <c r="M108" s="232">
        <f t="shared" si="7"/>
        <v>0</v>
      </c>
      <c r="N108" s="233">
        <v>0</v>
      </c>
      <c r="O108" s="233"/>
      <c r="P108" s="233"/>
      <c r="Q108" s="233"/>
      <c r="R108" s="232">
        <f t="shared" si="8"/>
        <v>0</v>
      </c>
    </row>
    <row r="109" spans="1:18" s="6" customFormat="1" ht="72" hidden="1" customHeight="1">
      <c r="A109" s="136">
        <v>19570</v>
      </c>
      <c r="B109" s="172" t="s">
        <v>182</v>
      </c>
      <c r="C109" s="170"/>
      <c r="D109" s="170">
        <v>0</v>
      </c>
      <c r="E109" s="233"/>
      <c r="F109" s="233"/>
      <c r="G109" s="233"/>
      <c r="H109" s="232">
        <f t="shared" si="6"/>
        <v>0</v>
      </c>
      <c r="I109" s="233">
        <v>0</v>
      </c>
      <c r="J109" s="233"/>
      <c r="K109" s="233"/>
      <c r="L109" s="233"/>
      <c r="M109" s="232">
        <f t="shared" si="7"/>
        <v>0</v>
      </c>
      <c r="N109" s="233">
        <v>0</v>
      </c>
      <c r="O109" s="233"/>
      <c r="P109" s="233"/>
      <c r="Q109" s="233"/>
      <c r="R109" s="232">
        <f t="shared" si="8"/>
        <v>0</v>
      </c>
    </row>
    <row r="110" spans="1:18" s="6" customFormat="1" ht="24" hidden="1" customHeight="1">
      <c r="A110" s="209" t="s">
        <v>222</v>
      </c>
      <c r="B110" s="208" t="s">
        <v>216</v>
      </c>
      <c r="C110" s="106">
        <f>C111</f>
        <v>0</v>
      </c>
      <c r="D110" s="106">
        <v>0</v>
      </c>
      <c r="E110" s="233">
        <f>E111</f>
        <v>0</v>
      </c>
      <c r="F110" s="232">
        <f>F111</f>
        <v>0</v>
      </c>
      <c r="G110" s="232">
        <f>G111</f>
        <v>0</v>
      </c>
      <c r="H110" s="232">
        <f t="shared" si="6"/>
        <v>0</v>
      </c>
      <c r="I110" s="233">
        <v>0</v>
      </c>
      <c r="J110" s="232">
        <f>J111</f>
        <v>0</v>
      </c>
      <c r="K110" s="232">
        <f>K111</f>
        <v>0</v>
      </c>
      <c r="L110" s="232">
        <f>L111</f>
        <v>0</v>
      </c>
      <c r="M110" s="232">
        <f t="shared" si="7"/>
        <v>0</v>
      </c>
      <c r="N110" s="233">
        <v>0</v>
      </c>
      <c r="O110" s="232">
        <f>O111</f>
        <v>0</v>
      </c>
      <c r="P110" s="232">
        <f>P111</f>
        <v>0</v>
      </c>
      <c r="Q110" s="232">
        <f>Q111</f>
        <v>0</v>
      </c>
      <c r="R110" s="232">
        <f t="shared" si="8"/>
        <v>0</v>
      </c>
    </row>
    <row r="111" spans="1:18" s="6" customFormat="1" ht="36" hidden="1" customHeight="1">
      <c r="A111" s="209">
        <v>17100</v>
      </c>
      <c r="B111" s="208" t="s">
        <v>217</v>
      </c>
      <c r="C111" s="106">
        <f>SUM(C112:C115)</f>
        <v>0</v>
      </c>
      <c r="D111" s="106">
        <v>0</v>
      </c>
      <c r="E111" s="233">
        <f>SUM(E112:E115)</f>
        <v>0</v>
      </c>
      <c r="F111" s="232">
        <f>SUM(F112:F115)</f>
        <v>0</v>
      </c>
      <c r="G111" s="232">
        <f>SUM(G112:G115)</f>
        <v>0</v>
      </c>
      <c r="H111" s="232">
        <f t="shared" si="6"/>
        <v>0</v>
      </c>
      <c r="I111" s="233">
        <v>0</v>
      </c>
      <c r="J111" s="232">
        <f>SUM(J112:J115)</f>
        <v>0</v>
      </c>
      <c r="K111" s="232">
        <f>SUM(K112:K115)</f>
        <v>0</v>
      </c>
      <c r="L111" s="232">
        <f>SUM(L112:L115)</f>
        <v>0</v>
      </c>
      <c r="M111" s="232">
        <f t="shared" si="7"/>
        <v>0</v>
      </c>
      <c r="N111" s="233">
        <v>0</v>
      </c>
      <c r="O111" s="232">
        <f>SUM(O112:O115)</f>
        <v>0</v>
      </c>
      <c r="P111" s="232">
        <f>SUM(P112:P115)</f>
        <v>0</v>
      </c>
      <c r="Q111" s="232">
        <f>SUM(Q112:Q115)</f>
        <v>0</v>
      </c>
      <c r="R111" s="232">
        <f t="shared" si="8"/>
        <v>0</v>
      </c>
    </row>
    <row r="112" spans="1:18" s="6" customFormat="1" ht="60" hidden="1" customHeight="1">
      <c r="A112" s="149">
        <v>17110</v>
      </c>
      <c r="B112" s="208" t="s">
        <v>218</v>
      </c>
      <c r="C112" s="106"/>
      <c r="D112" s="106">
        <v>0</v>
      </c>
      <c r="E112" s="233"/>
      <c r="F112" s="233"/>
      <c r="G112" s="233"/>
      <c r="H112" s="232">
        <f t="shared" si="6"/>
        <v>0</v>
      </c>
      <c r="I112" s="233">
        <v>0</v>
      </c>
      <c r="J112" s="233"/>
      <c r="K112" s="233"/>
      <c r="L112" s="233"/>
      <c r="M112" s="232">
        <f t="shared" si="7"/>
        <v>0</v>
      </c>
      <c r="N112" s="233">
        <v>0</v>
      </c>
      <c r="O112" s="233"/>
      <c r="P112" s="233"/>
      <c r="Q112" s="233"/>
      <c r="R112" s="232">
        <f t="shared" si="8"/>
        <v>0</v>
      </c>
    </row>
    <row r="113" spans="1:18" s="6" customFormat="1" ht="60" hidden="1" customHeight="1">
      <c r="A113" s="149">
        <v>17120</v>
      </c>
      <c r="B113" s="208" t="s">
        <v>219</v>
      </c>
      <c r="C113" s="106"/>
      <c r="D113" s="106">
        <v>0</v>
      </c>
      <c r="E113" s="233"/>
      <c r="F113" s="233"/>
      <c r="G113" s="233"/>
      <c r="H113" s="232">
        <f t="shared" si="6"/>
        <v>0</v>
      </c>
      <c r="I113" s="233">
        <v>0</v>
      </c>
      <c r="J113" s="233"/>
      <c r="K113" s="233"/>
      <c r="L113" s="233"/>
      <c r="M113" s="232">
        <f t="shared" si="7"/>
        <v>0</v>
      </c>
      <c r="N113" s="233">
        <v>0</v>
      </c>
      <c r="O113" s="233"/>
      <c r="P113" s="233"/>
      <c r="Q113" s="233"/>
      <c r="R113" s="232">
        <f t="shared" si="8"/>
        <v>0</v>
      </c>
    </row>
    <row r="114" spans="1:18" s="6" customFormat="1" ht="108" hidden="1" customHeight="1">
      <c r="A114" s="149">
        <v>17130</v>
      </c>
      <c r="B114" s="208" t="s">
        <v>560</v>
      </c>
      <c r="C114" s="106"/>
      <c r="D114" s="106">
        <v>0</v>
      </c>
      <c r="E114" s="233"/>
      <c r="F114" s="233"/>
      <c r="G114" s="233"/>
      <c r="H114" s="232">
        <f t="shared" si="6"/>
        <v>0</v>
      </c>
      <c r="I114" s="233">
        <v>0</v>
      </c>
      <c r="J114" s="233"/>
      <c r="K114" s="233"/>
      <c r="L114" s="233"/>
      <c r="M114" s="232">
        <f t="shared" si="7"/>
        <v>0</v>
      </c>
      <c r="N114" s="233">
        <v>0</v>
      </c>
      <c r="O114" s="233"/>
      <c r="P114" s="233"/>
      <c r="Q114" s="233"/>
      <c r="R114" s="232">
        <f t="shared" si="8"/>
        <v>0</v>
      </c>
    </row>
    <row r="115" spans="1:18" s="6" customFormat="1" ht="108" hidden="1" customHeight="1">
      <c r="A115" s="149">
        <v>17140</v>
      </c>
      <c r="B115" s="208" t="s">
        <v>561</v>
      </c>
      <c r="C115" s="106"/>
      <c r="D115" s="106">
        <v>0</v>
      </c>
      <c r="E115" s="233"/>
      <c r="F115" s="233"/>
      <c r="G115" s="233"/>
      <c r="H115" s="232">
        <f t="shared" si="6"/>
        <v>0</v>
      </c>
      <c r="I115" s="233">
        <v>0</v>
      </c>
      <c r="J115" s="233"/>
      <c r="K115" s="233"/>
      <c r="L115" s="233"/>
      <c r="M115" s="232">
        <f t="shared" si="7"/>
        <v>0</v>
      </c>
      <c r="N115" s="233">
        <v>0</v>
      </c>
      <c r="O115" s="233"/>
      <c r="P115" s="233"/>
      <c r="Q115" s="233"/>
      <c r="R115" s="232">
        <f t="shared" si="8"/>
        <v>0</v>
      </c>
    </row>
    <row r="116" spans="1:18" s="6" customFormat="1" ht="12" hidden="1" customHeight="1">
      <c r="A116" s="137">
        <v>21700</v>
      </c>
      <c r="B116" s="124" t="s">
        <v>97</v>
      </c>
      <c r="C116" s="170">
        <v>0</v>
      </c>
      <c r="D116" s="170">
        <v>0</v>
      </c>
      <c r="E116" s="233">
        <f>E117+E118</f>
        <v>0</v>
      </c>
      <c r="F116" s="233">
        <f>F117+F118</f>
        <v>0</v>
      </c>
      <c r="G116" s="233">
        <f>G117+G118</f>
        <v>0</v>
      </c>
      <c r="H116" s="232">
        <f t="shared" si="6"/>
        <v>0</v>
      </c>
      <c r="I116" s="233">
        <v>0</v>
      </c>
      <c r="J116" s="233">
        <f>J117+J118</f>
        <v>0</v>
      </c>
      <c r="K116" s="233">
        <f>K117+K118</f>
        <v>0</v>
      </c>
      <c r="L116" s="233">
        <f>L117+L118</f>
        <v>0</v>
      </c>
      <c r="M116" s="232">
        <f t="shared" si="7"/>
        <v>0</v>
      </c>
      <c r="N116" s="233">
        <v>0</v>
      </c>
      <c r="O116" s="233">
        <f>O117+O118</f>
        <v>0</v>
      </c>
      <c r="P116" s="233">
        <f>P117+P118</f>
        <v>0</v>
      </c>
      <c r="Q116" s="233">
        <f>Q117+Q118</f>
        <v>0</v>
      </c>
      <c r="R116" s="232">
        <f t="shared" si="8"/>
        <v>0</v>
      </c>
    </row>
    <row r="117" spans="1:18" s="6" customFormat="1" ht="24" hidden="1" customHeight="1">
      <c r="A117" s="138">
        <v>21710</v>
      </c>
      <c r="B117" s="125" t="s">
        <v>98</v>
      </c>
      <c r="C117" s="170"/>
      <c r="D117" s="170">
        <v>0</v>
      </c>
      <c r="E117" s="233"/>
      <c r="F117" s="233"/>
      <c r="G117" s="233"/>
      <c r="H117" s="232">
        <f t="shared" si="6"/>
        <v>0</v>
      </c>
      <c r="I117" s="233">
        <v>0</v>
      </c>
      <c r="J117" s="233"/>
      <c r="K117" s="233"/>
      <c r="L117" s="233"/>
      <c r="M117" s="232">
        <f t="shared" si="7"/>
        <v>0</v>
      </c>
      <c r="N117" s="233">
        <v>0</v>
      </c>
      <c r="O117" s="233"/>
      <c r="P117" s="233"/>
      <c r="Q117" s="233"/>
      <c r="R117" s="232">
        <f t="shared" si="8"/>
        <v>0</v>
      </c>
    </row>
    <row r="118" spans="1:18" s="6" customFormat="1" ht="24" hidden="1" customHeight="1">
      <c r="A118" s="138">
        <v>21720</v>
      </c>
      <c r="B118" s="125" t="s">
        <v>99</v>
      </c>
      <c r="C118" s="170"/>
      <c r="D118" s="170">
        <v>0</v>
      </c>
      <c r="E118" s="233"/>
      <c r="F118" s="233"/>
      <c r="G118" s="233"/>
      <c r="H118" s="232">
        <f t="shared" si="6"/>
        <v>0</v>
      </c>
      <c r="I118" s="233">
        <v>0</v>
      </c>
      <c r="J118" s="233"/>
      <c r="K118" s="233"/>
      <c r="L118" s="233"/>
      <c r="M118" s="232">
        <f t="shared" si="7"/>
        <v>0</v>
      </c>
      <c r="N118" s="233">
        <v>0</v>
      </c>
      <c r="O118" s="233"/>
      <c r="P118" s="233"/>
      <c r="Q118" s="233"/>
      <c r="R118" s="232">
        <f t="shared" si="8"/>
        <v>0</v>
      </c>
    </row>
    <row r="119" spans="1:18" s="6" customFormat="1" ht="11.4">
      <c r="A119" s="597" t="s">
        <v>100</v>
      </c>
      <c r="B119" s="598" t="s">
        <v>101</v>
      </c>
      <c r="C119" s="602">
        <v>3452700</v>
      </c>
      <c r="D119" s="602">
        <v>3452700</v>
      </c>
      <c r="E119" s="603">
        <f>E120+E147</f>
        <v>65170</v>
      </c>
      <c r="F119" s="603">
        <f>F120+F147</f>
        <v>0</v>
      </c>
      <c r="G119" s="603">
        <f>G120+G147</f>
        <v>0</v>
      </c>
      <c r="H119" s="601">
        <f t="shared" si="6"/>
        <v>3517870</v>
      </c>
      <c r="I119" s="603">
        <v>3452700</v>
      </c>
      <c r="J119" s="603">
        <f>J120+J147</f>
        <v>0</v>
      </c>
      <c r="K119" s="603">
        <f>K120+K147</f>
        <v>0</v>
      </c>
      <c r="L119" s="603">
        <f>L120+L147</f>
        <v>0</v>
      </c>
      <c r="M119" s="601">
        <f t="shared" si="7"/>
        <v>3452700</v>
      </c>
      <c r="N119" s="603">
        <v>3452700</v>
      </c>
      <c r="O119" s="603">
        <f>O120+O147</f>
        <v>0</v>
      </c>
      <c r="P119" s="603">
        <f>P120+P147</f>
        <v>0</v>
      </c>
      <c r="Q119" s="603">
        <f>Q120+Q147</f>
        <v>0</v>
      </c>
      <c r="R119" s="601">
        <f t="shared" si="8"/>
        <v>3452700</v>
      </c>
    </row>
    <row r="120" spans="1:18" s="6" customFormat="1" ht="20.399999999999999">
      <c r="A120" s="130" t="s">
        <v>102</v>
      </c>
      <c r="B120" s="124" t="s">
        <v>103</v>
      </c>
      <c r="C120" s="170">
        <v>3252676</v>
      </c>
      <c r="D120" s="170">
        <v>3252676</v>
      </c>
      <c r="E120" s="233">
        <f>E121+E125+E126+E129+E132</f>
        <v>131792</v>
      </c>
      <c r="F120" s="233">
        <f>F121+F125+F126+F129+F132</f>
        <v>0</v>
      </c>
      <c r="G120" s="233">
        <f>G121+G125+G126+G129+G132</f>
        <v>0</v>
      </c>
      <c r="H120" s="232">
        <f t="shared" si="6"/>
        <v>3384468</v>
      </c>
      <c r="I120" s="233">
        <v>3252676</v>
      </c>
      <c r="J120" s="232">
        <f>J121+J125+J126+J129+J132</f>
        <v>66622</v>
      </c>
      <c r="K120" s="233">
        <f>K121+K125+K126+K129+K132</f>
        <v>0</v>
      </c>
      <c r="L120" s="233">
        <f>L121+L125+L126+L129+L132</f>
        <v>0</v>
      </c>
      <c r="M120" s="232">
        <f t="shared" si="7"/>
        <v>3319298</v>
      </c>
      <c r="N120" s="233">
        <v>3252676</v>
      </c>
      <c r="O120" s="232">
        <f>O121+O125+O126+O129+O132</f>
        <v>66622</v>
      </c>
      <c r="P120" s="233">
        <f>P121+P125+P126+P129+P132</f>
        <v>0</v>
      </c>
      <c r="Q120" s="233">
        <f>Q121+Q125+Q126+Q129+Q132</f>
        <v>0</v>
      </c>
      <c r="R120" s="232">
        <f t="shared" si="8"/>
        <v>3319298</v>
      </c>
    </row>
    <row r="121" spans="1:18" s="6" customFormat="1" ht="12">
      <c r="A121" s="130" t="s">
        <v>104</v>
      </c>
      <c r="B121" s="124" t="s">
        <v>105</v>
      </c>
      <c r="C121" s="170">
        <v>3227568</v>
      </c>
      <c r="D121" s="170">
        <v>3227568</v>
      </c>
      <c r="E121" s="233">
        <f>E122+E124</f>
        <v>131792</v>
      </c>
      <c r="F121" s="233">
        <f>F122+F124</f>
        <v>0</v>
      </c>
      <c r="G121" s="233">
        <f>G122+G124</f>
        <v>0</v>
      </c>
      <c r="H121" s="232">
        <f t="shared" si="6"/>
        <v>3359360</v>
      </c>
      <c r="I121" s="233">
        <v>3227568</v>
      </c>
      <c r="J121" s="232">
        <f>J122+J124</f>
        <v>66622</v>
      </c>
      <c r="K121" s="233">
        <f>K122+K124</f>
        <v>0</v>
      </c>
      <c r="L121" s="233">
        <f>L122+L124</f>
        <v>0</v>
      </c>
      <c r="M121" s="232">
        <f t="shared" si="7"/>
        <v>3294190</v>
      </c>
      <c r="N121" s="233">
        <v>3227568</v>
      </c>
      <c r="O121" s="232">
        <f>O122+O124</f>
        <v>66622</v>
      </c>
      <c r="P121" s="233">
        <f>P122+P124</f>
        <v>0</v>
      </c>
      <c r="Q121" s="233">
        <f>Q122+Q124</f>
        <v>0</v>
      </c>
      <c r="R121" s="232">
        <f t="shared" si="8"/>
        <v>3294190</v>
      </c>
    </row>
    <row r="122" spans="1:18" s="29" customFormat="1" ht="12">
      <c r="A122" s="132">
        <v>1000</v>
      </c>
      <c r="B122" s="125" t="s">
        <v>106</v>
      </c>
      <c r="C122" s="170">
        <v>2053469</v>
      </c>
      <c r="D122" s="170">
        <v>2053469</v>
      </c>
      <c r="E122" s="233">
        <f>116201+39220</f>
        <v>155421</v>
      </c>
      <c r="F122" s="244"/>
      <c r="G122" s="244"/>
      <c r="H122" s="232">
        <f t="shared" si="6"/>
        <v>2208890</v>
      </c>
      <c r="I122" s="233">
        <v>2053469</v>
      </c>
      <c r="J122" s="232">
        <v>116201</v>
      </c>
      <c r="K122" s="244"/>
      <c r="L122" s="244"/>
      <c r="M122" s="232">
        <f t="shared" si="7"/>
        <v>2169670</v>
      </c>
      <c r="N122" s="233">
        <v>2053469</v>
      </c>
      <c r="O122" s="232">
        <v>116201</v>
      </c>
      <c r="P122" s="244"/>
      <c r="Q122" s="244"/>
      <c r="R122" s="232">
        <f t="shared" si="8"/>
        <v>2169670</v>
      </c>
    </row>
    <row r="123" spans="1:18" s="89" customFormat="1" ht="12">
      <c r="A123" s="139">
        <v>1100</v>
      </c>
      <c r="B123" s="125" t="s">
        <v>107</v>
      </c>
      <c r="C123" s="170">
        <v>1563148</v>
      </c>
      <c r="D123" s="170">
        <v>1563148</v>
      </c>
      <c r="E123" s="233">
        <f>21800+31630</f>
        <v>53430</v>
      </c>
      <c r="F123" s="244"/>
      <c r="G123" s="244"/>
      <c r="H123" s="232">
        <f t="shared" si="6"/>
        <v>1616578</v>
      </c>
      <c r="I123" s="233">
        <v>1563148</v>
      </c>
      <c r="J123" s="232">
        <v>21800</v>
      </c>
      <c r="K123" s="244"/>
      <c r="L123" s="244"/>
      <c r="M123" s="232">
        <f t="shared" si="7"/>
        <v>1584948</v>
      </c>
      <c r="N123" s="233">
        <v>1563148</v>
      </c>
      <c r="O123" s="232">
        <v>21800</v>
      </c>
      <c r="P123" s="244"/>
      <c r="Q123" s="244"/>
      <c r="R123" s="232">
        <f t="shared" si="8"/>
        <v>1584948</v>
      </c>
    </row>
    <row r="124" spans="1:18" s="89" customFormat="1" ht="12">
      <c r="A124" s="132">
        <v>2000</v>
      </c>
      <c r="B124" s="125" t="s">
        <v>108</v>
      </c>
      <c r="C124" s="170">
        <v>1174099</v>
      </c>
      <c r="D124" s="170">
        <v>1174099</v>
      </c>
      <c r="E124" s="233">
        <f>-49579+25950</f>
        <v>-23629</v>
      </c>
      <c r="F124" s="244"/>
      <c r="G124" s="244"/>
      <c r="H124" s="232">
        <f t="shared" si="6"/>
        <v>1150470</v>
      </c>
      <c r="I124" s="233">
        <v>1174099</v>
      </c>
      <c r="J124" s="232">
        <v>-49579</v>
      </c>
      <c r="K124" s="244"/>
      <c r="L124" s="244"/>
      <c r="M124" s="232">
        <f t="shared" si="7"/>
        <v>1124520</v>
      </c>
      <c r="N124" s="233">
        <v>1174099</v>
      </c>
      <c r="O124" s="232">
        <v>-49579</v>
      </c>
      <c r="P124" s="244"/>
      <c r="Q124" s="244"/>
      <c r="R124" s="232">
        <f t="shared" si="8"/>
        <v>1124520</v>
      </c>
    </row>
    <row r="125" spans="1:18" s="89" customFormat="1" ht="12" hidden="1" customHeight="1">
      <c r="A125" s="140">
        <v>4000</v>
      </c>
      <c r="B125" s="124" t="s">
        <v>132</v>
      </c>
      <c r="C125" s="170"/>
      <c r="D125" s="170">
        <v>0</v>
      </c>
      <c r="E125" s="233"/>
      <c r="F125" s="244"/>
      <c r="G125" s="244"/>
      <c r="H125" s="232">
        <f t="shared" si="6"/>
        <v>0</v>
      </c>
      <c r="I125" s="233">
        <v>0</v>
      </c>
      <c r="J125" s="232"/>
      <c r="K125" s="244"/>
      <c r="L125" s="244"/>
      <c r="M125" s="232">
        <f t="shared" si="7"/>
        <v>0</v>
      </c>
      <c r="N125" s="233">
        <v>0</v>
      </c>
      <c r="O125" s="232"/>
      <c r="P125" s="244"/>
      <c r="Q125" s="244"/>
      <c r="R125" s="232">
        <f t="shared" si="8"/>
        <v>0</v>
      </c>
    </row>
    <row r="126" spans="1:18" s="89" customFormat="1" ht="12" hidden="1" customHeight="1">
      <c r="A126" s="140" t="s">
        <v>109</v>
      </c>
      <c r="B126" s="124" t="s">
        <v>110</v>
      </c>
      <c r="C126" s="170">
        <v>0</v>
      </c>
      <c r="D126" s="170">
        <v>0</v>
      </c>
      <c r="E126" s="233">
        <f>E127+E128</f>
        <v>0</v>
      </c>
      <c r="F126" s="233">
        <f>F127+F128</f>
        <v>0</v>
      </c>
      <c r="G126" s="233">
        <f>G127+G128</f>
        <v>0</v>
      </c>
      <c r="H126" s="232">
        <f t="shared" si="6"/>
        <v>0</v>
      </c>
      <c r="I126" s="233">
        <v>0</v>
      </c>
      <c r="J126" s="232">
        <f>J127+J128</f>
        <v>0</v>
      </c>
      <c r="K126" s="233">
        <f>K127+K128</f>
        <v>0</v>
      </c>
      <c r="L126" s="233">
        <f>L127+L128</f>
        <v>0</v>
      </c>
      <c r="M126" s="232">
        <f t="shared" si="7"/>
        <v>0</v>
      </c>
      <c r="N126" s="233">
        <v>0</v>
      </c>
      <c r="O126" s="232">
        <f>O127+O128</f>
        <v>0</v>
      </c>
      <c r="P126" s="233">
        <f>P127+P128</f>
        <v>0</v>
      </c>
      <c r="Q126" s="233">
        <f>Q127+Q128</f>
        <v>0</v>
      </c>
      <c r="R126" s="232">
        <f t="shared" si="8"/>
        <v>0</v>
      </c>
    </row>
    <row r="127" spans="1:18" s="89" customFormat="1" ht="12" hidden="1" customHeight="1">
      <c r="A127" s="132">
        <v>3000</v>
      </c>
      <c r="B127" s="125" t="s">
        <v>111</v>
      </c>
      <c r="C127" s="202"/>
      <c r="D127" s="202">
        <v>0</v>
      </c>
      <c r="E127" s="345"/>
      <c r="F127" s="246"/>
      <c r="G127" s="246"/>
      <c r="H127" s="232">
        <f t="shared" si="6"/>
        <v>0</v>
      </c>
      <c r="I127" s="345">
        <v>0</v>
      </c>
      <c r="J127" s="245"/>
      <c r="K127" s="246"/>
      <c r="L127" s="246"/>
      <c r="M127" s="232">
        <f t="shared" si="7"/>
        <v>0</v>
      </c>
      <c r="N127" s="345">
        <v>0</v>
      </c>
      <c r="O127" s="245"/>
      <c r="P127" s="246"/>
      <c r="Q127" s="246"/>
      <c r="R127" s="232">
        <f t="shared" si="8"/>
        <v>0</v>
      </c>
    </row>
    <row r="128" spans="1:18" s="89" customFormat="1" ht="12" hidden="1" customHeight="1">
      <c r="A128" s="132">
        <v>6000</v>
      </c>
      <c r="B128" s="125" t="s">
        <v>112</v>
      </c>
      <c r="C128" s="203"/>
      <c r="D128" s="203">
        <v>0</v>
      </c>
      <c r="E128" s="346"/>
      <c r="F128" s="248"/>
      <c r="G128" s="248"/>
      <c r="H128" s="232">
        <f t="shared" si="6"/>
        <v>0</v>
      </c>
      <c r="I128" s="346">
        <v>0</v>
      </c>
      <c r="J128" s="247"/>
      <c r="K128" s="248"/>
      <c r="L128" s="248"/>
      <c r="M128" s="232">
        <f t="shared" si="7"/>
        <v>0</v>
      </c>
      <c r="N128" s="346">
        <v>0</v>
      </c>
      <c r="O128" s="247"/>
      <c r="P128" s="248"/>
      <c r="Q128" s="248"/>
      <c r="R128" s="232">
        <f t="shared" si="8"/>
        <v>0</v>
      </c>
    </row>
    <row r="129" spans="1:18" s="89" customFormat="1" ht="22.8">
      <c r="A129" s="140" t="s">
        <v>113</v>
      </c>
      <c r="B129" s="124" t="s">
        <v>183</v>
      </c>
      <c r="C129" s="170">
        <v>25108</v>
      </c>
      <c r="D129" s="170">
        <v>25108</v>
      </c>
      <c r="E129" s="233">
        <f>E130+E131</f>
        <v>0</v>
      </c>
      <c r="F129" s="233">
        <f>F130+F131</f>
        <v>0</v>
      </c>
      <c r="G129" s="233">
        <f>G130+G131</f>
        <v>0</v>
      </c>
      <c r="H129" s="232">
        <f t="shared" si="6"/>
        <v>25108</v>
      </c>
      <c r="I129" s="233">
        <v>25108</v>
      </c>
      <c r="J129" s="232">
        <f>J130+J131</f>
        <v>0</v>
      </c>
      <c r="K129" s="233">
        <f>K130+K131</f>
        <v>0</v>
      </c>
      <c r="L129" s="233">
        <f>L130+L131</f>
        <v>0</v>
      </c>
      <c r="M129" s="232">
        <f t="shared" si="7"/>
        <v>25108</v>
      </c>
      <c r="N129" s="233">
        <v>25108</v>
      </c>
      <c r="O129" s="232">
        <f>O130+O131</f>
        <v>0</v>
      </c>
      <c r="P129" s="233">
        <f>P130+P131</f>
        <v>0</v>
      </c>
      <c r="Q129" s="233">
        <f>Q130+Q131</f>
        <v>0</v>
      </c>
      <c r="R129" s="232">
        <f t="shared" si="8"/>
        <v>25108</v>
      </c>
    </row>
    <row r="130" spans="1:18" s="89" customFormat="1" ht="12" hidden="1" customHeight="1">
      <c r="A130" s="132">
        <v>7600</v>
      </c>
      <c r="B130" s="179" t="s">
        <v>184</v>
      </c>
      <c r="C130" s="170"/>
      <c r="D130" s="170">
        <v>0</v>
      </c>
      <c r="E130" s="233"/>
      <c r="F130" s="244"/>
      <c r="G130" s="244"/>
      <c r="H130" s="232">
        <f t="shared" si="6"/>
        <v>0</v>
      </c>
      <c r="I130" s="233">
        <v>0</v>
      </c>
      <c r="J130" s="232"/>
      <c r="K130" s="244"/>
      <c r="L130" s="244"/>
      <c r="M130" s="232">
        <f t="shared" si="7"/>
        <v>0</v>
      </c>
      <c r="N130" s="233">
        <v>0</v>
      </c>
      <c r="O130" s="232"/>
      <c r="P130" s="244"/>
      <c r="Q130" s="244"/>
      <c r="R130" s="232">
        <f t="shared" si="8"/>
        <v>0</v>
      </c>
    </row>
    <row r="131" spans="1:18" s="89" customFormat="1" ht="12">
      <c r="A131" s="132">
        <v>7700</v>
      </c>
      <c r="B131" s="126" t="s">
        <v>114</v>
      </c>
      <c r="C131" s="170">
        <v>25108</v>
      </c>
      <c r="D131" s="170">
        <v>25108</v>
      </c>
      <c r="E131" s="233"/>
      <c r="F131" s="244"/>
      <c r="G131" s="244"/>
      <c r="H131" s="232">
        <f t="shared" si="6"/>
        <v>25108</v>
      </c>
      <c r="I131" s="233">
        <v>25108</v>
      </c>
      <c r="J131" s="232"/>
      <c r="K131" s="244"/>
      <c r="L131" s="244"/>
      <c r="M131" s="232">
        <f t="shared" si="7"/>
        <v>25108</v>
      </c>
      <c r="N131" s="233">
        <v>25108</v>
      </c>
      <c r="O131" s="232"/>
      <c r="P131" s="244"/>
      <c r="Q131" s="244"/>
      <c r="R131" s="232">
        <f t="shared" si="8"/>
        <v>25108</v>
      </c>
    </row>
    <row r="132" spans="1:18" s="89" customFormat="1" ht="21" hidden="1" customHeight="1">
      <c r="A132" s="140" t="s">
        <v>185</v>
      </c>
      <c r="B132" s="124" t="s">
        <v>115</v>
      </c>
      <c r="C132" s="170">
        <v>0</v>
      </c>
      <c r="D132" s="170">
        <v>0</v>
      </c>
      <c r="E132" s="233">
        <f>E133+E139+E143+E146</f>
        <v>0</v>
      </c>
      <c r="F132" s="233">
        <f>F133+F139+F143+F146</f>
        <v>0</v>
      </c>
      <c r="G132" s="233">
        <f>G133+G139+G143+G146</f>
        <v>0</v>
      </c>
      <c r="H132" s="232">
        <f t="shared" si="6"/>
        <v>0</v>
      </c>
      <c r="I132" s="233">
        <v>0</v>
      </c>
      <c r="J132" s="232">
        <f>J133+J139+J143+J146</f>
        <v>0</v>
      </c>
      <c r="K132" s="233">
        <f>K133+K139+K143+K146</f>
        <v>0</v>
      </c>
      <c r="L132" s="233">
        <f>L133+L139+L143+L146</f>
        <v>0</v>
      </c>
      <c r="M132" s="232">
        <f t="shared" si="7"/>
        <v>0</v>
      </c>
      <c r="N132" s="233">
        <v>0</v>
      </c>
      <c r="O132" s="232">
        <f>O133+O139+O143+O146</f>
        <v>0</v>
      </c>
      <c r="P132" s="233">
        <f>P133+P139+P143+P146</f>
        <v>0</v>
      </c>
      <c r="Q132" s="233">
        <f>Q133+Q139+Q143+Q146</f>
        <v>0</v>
      </c>
      <c r="R132" s="232">
        <f t="shared" si="8"/>
        <v>0</v>
      </c>
    </row>
    <row r="133" spans="1:18" s="89" customFormat="1" ht="12" hidden="1" customHeight="1">
      <c r="A133" s="132">
        <v>7100</v>
      </c>
      <c r="B133" s="179" t="s">
        <v>116</v>
      </c>
      <c r="C133" s="170">
        <v>0</v>
      </c>
      <c r="D133" s="170">
        <v>0</v>
      </c>
      <c r="E133" s="233">
        <f>E134+E135</f>
        <v>0</v>
      </c>
      <c r="F133" s="233">
        <f>F134+F135</f>
        <v>0</v>
      </c>
      <c r="G133" s="233">
        <f>G134+G135</f>
        <v>0</v>
      </c>
      <c r="H133" s="232">
        <f t="shared" si="6"/>
        <v>0</v>
      </c>
      <c r="I133" s="233">
        <v>0</v>
      </c>
      <c r="J133" s="232">
        <f>J134+J135</f>
        <v>0</v>
      </c>
      <c r="K133" s="233">
        <f>K134+K135</f>
        <v>0</v>
      </c>
      <c r="L133" s="233">
        <f>L134+L135</f>
        <v>0</v>
      </c>
      <c r="M133" s="232">
        <f t="shared" si="7"/>
        <v>0</v>
      </c>
      <c r="N133" s="233">
        <v>0</v>
      </c>
      <c r="O133" s="232">
        <f>O134+O135</f>
        <v>0</v>
      </c>
      <c r="P133" s="233">
        <f>P134+P135</f>
        <v>0</v>
      </c>
      <c r="Q133" s="233">
        <f>Q134+Q135</f>
        <v>0</v>
      </c>
      <c r="R133" s="232">
        <f t="shared" si="8"/>
        <v>0</v>
      </c>
    </row>
    <row r="134" spans="1:18" s="89" customFormat="1" ht="24" hidden="1" customHeight="1">
      <c r="A134" s="133" t="s">
        <v>117</v>
      </c>
      <c r="B134" s="179" t="s">
        <v>118</v>
      </c>
      <c r="C134" s="170"/>
      <c r="D134" s="170">
        <v>0</v>
      </c>
      <c r="E134" s="233"/>
      <c r="F134" s="233"/>
      <c r="G134" s="233"/>
      <c r="H134" s="232">
        <f t="shared" si="6"/>
        <v>0</v>
      </c>
      <c r="I134" s="233">
        <v>0</v>
      </c>
      <c r="J134" s="232"/>
      <c r="K134" s="233"/>
      <c r="L134" s="233"/>
      <c r="M134" s="232">
        <f t="shared" si="7"/>
        <v>0</v>
      </c>
      <c r="N134" s="233">
        <v>0</v>
      </c>
      <c r="O134" s="232"/>
      <c r="P134" s="233"/>
      <c r="Q134" s="233"/>
      <c r="R134" s="232">
        <f t="shared" si="8"/>
        <v>0</v>
      </c>
    </row>
    <row r="135" spans="1:18" s="89" customFormat="1" ht="24" hidden="1" customHeight="1">
      <c r="A135" s="133">
        <v>7130</v>
      </c>
      <c r="B135" s="179" t="s">
        <v>119</v>
      </c>
      <c r="C135" s="170">
        <v>0</v>
      </c>
      <c r="D135" s="170">
        <v>0</v>
      </c>
      <c r="E135" s="233">
        <f>SUM(E136:E138)</f>
        <v>0</v>
      </c>
      <c r="F135" s="233">
        <f>SUM(F136:F138)</f>
        <v>0</v>
      </c>
      <c r="G135" s="233">
        <f>SUM(G136:G138)</f>
        <v>0</v>
      </c>
      <c r="H135" s="232">
        <f t="shared" si="6"/>
        <v>0</v>
      </c>
      <c r="I135" s="233">
        <v>0</v>
      </c>
      <c r="J135" s="232">
        <f>SUM(J136:J138)</f>
        <v>0</v>
      </c>
      <c r="K135" s="233">
        <f>SUM(K136:K138)</f>
        <v>0</v>
      </c>
      <c r="L135" s="233">
        <f>SUM(L136:L138)</f>
        <v>0</v>
      </c>
      <c r="M135" s="232">
        <f t="shared" si="7"/>
        <v>0</v>
      </c>
      <c r="N135" s="233">
        <v>0</v>
      </c>
      <c r="O135" s="232">
        <f>SUM(O136:O138)</f>
        <v>0</v>
      </c>
      <c r="P135" s="233">
        <f>SUM(P136:P138)</f>
        <v>0</v>
      </c>
      <c r="Q135" s="233">
        <f>SUM(Q136:Q138)</f>
        <v>0</v>
      </c>
      <c r="R135" s="232">
        <f t="shared" si="8"/>
        <v>0</v>
      </c>
    </row>
    <row r="136" spans="1:18" s="89" customFormat="1" ht="36" hidden="1" customHeight="1">
      <c r="A136" s="134">
        <v>7131</v>
      </c>
      <c r="B136" s="179" t="s">
        <v>120</v>
      </c>
      <c r="C136" s="170"/>
      <c r="D136" s="170">
        <v>0</v>
      </c>
      <c r="E136" s="233"/>
      <c r="F136" s="233"/>
      <c r="G136" s="233"/>
      <c r="H136" s="232">
        <f t="shared" si="6"/>
        <v>0</v>
      </c>
      <c r="I136" s="233">
        <v>0</v>
      </c>
      <c r="J136" s="232"/>
      <c r="K136" s="233"/>
      <c r="L136" s="233"/>
      <c r="M136" s="232">
        <f t="shared" si="7"/>
        <v>0</v>
      </c>
      <c r="N136" s="233">
        <v>0</v>
      </c>
      <c r="O136" s="232"/>
      <c r="P136" s="233"/>
      <c r="Q136" s="233"/>
      <c r="R136" s="232">
        <f t="shared" si="8"/>
        <v>0</v>
      </c>
    </row>
    <row r="137" spans="1:18" s="29" customFormat="1" ht="36" hidden="1" customHeight="1">
      <c r="A137" s="134">
        <v>7132</v>
      </c>
      <c r="B137" s="179" t="s">
        <v>121</v>
      </c>
      <c r="C137" s="170"/>
      <c r="D137" s="170">
        <v>0</v>
      </c>
      <c r="E137" s="233"/>
      <c r="F137" s="233"/>
      <c r="G137" s="233"/>
      <c r="H137" s="232">
        <f t="shared" si="6"/>
        <v>0</v>
      </c>
      <c r="I137" s="233">
        <v>0</v>
      </c>
      <c r="J137" s="232"/>
      <c r="K137" s="233"/>
      <c r="L137" s="233"/>
      <c r="M137" s="232">
        <f t="shared" si="7"/>
        <v>0</v>
      </c>
      <c r="N137" s="233">
        <v>0</v>
      </c>
      <c r="O137" s="232"/>
      <c r="P137" s="233"/>
      <c r="Q137" s="233"/>
      <c r="R137" s="232">
        <f t="shared" si="8"/>
        <v>0</v>
      </c>
    </row>
    <row r="138" spans="1:18" s="29" customFormat="1" ht="36" hidden="1" customHeight="1">
      <c r="A138" s="134" t="s">
        <v>186</v>
      </c>
      <c r="B138" s="179" t="s">
        <v>187</v>
      </c>
      <c r="C138" s="170"/>
      <c r="D138" s="170">
        <v>0</v>
      </c>
      <c r="E138" s="233"/>
      <c r="F138" s="233"/>
      <c r="G138" s="233"/>
      <c r="H138" s="232">
        <f t="shared" ref="H138:H201" si="12">SUM(D138:G138)</f>
        <v>0</v>
      </c>
      <c r="I138" s="233">
        <v>0</v>
      </c>
      <c r="J138" s="232"/>
      <c r="K138" s="233"/>
      <c r="L138" s="233"/>
      <c r="M138" s="232">
        <f t="shared" ref="M138:M201" si="13">SUM(I138:L138)</f>
        <v>0</v>
      </c>
      <c r="N138" s="233">
        <v>0</v>
      </c>
      <c r="O138" s="232"/>
      <c r="P138" s="233"/>
      <c r="Q138" s="233"/>
      <c r="R138" s="232">
        <f t="shared" ref="R138:R201" si="14">SUM(N138:Q138)</f>
        <v>0</v>
      </c>
    </row>
    <row r="139" spans="1:18" s="29" customFormat="1" ht="24" hidden="1" customHeight="1">
      <c r="A139" s="132">
        <v>7300</v>
      </c>
      <c r="B139" s="172" t="s">
        <v>155</v>
      </c>
      <c r="C139" s="170">
        <v>0</v>
      </c>
      <c r="D139" s="170">
        <v>0</v>
      </c>
      <c r="E139" s="233">
        <f>SUM(E140:E142)</f>
        <v>0</v>
      </c>
      <c r="F139" s="233">
        <f>SUM(F140:F142)</f>
        <v>0</v>
      </c>
      <c r="G139" s="233">
        <f>SUM(G140:G142)</f>
        <v>0</v>
      </c>
      <c r="H139" s="232">
        <f t="shared" si="12"/>
        <v>0</v>
      </c>
      <c r="I139" s="233">
        <v>0</v>
      </c>
      <c r="J139" s="232">
        <f>SUM(J140:J142)</f>
        <v>0</v>
      </c>
      <c r="K139" s="233">
        <f>SUM(K140:K142)</f>
        <v>0</v>
      </c>
      <c r="L139" s="233">
        <f>SUM(L140:L142)</f>
        <v>0</v>
      </c>
      <c r="M139" s="232">
        <f t="shared" si="13"/>
        <v>0</v>
      </c>
      <c r="N139" s="233">
        <v>0</v>
      </c>
      <c r="O139" s="232">
        <f>SUM(O140:O142)</f>
        <v>0</v>
      </c>
      <c r="P139" s="233">
        <f>SUM(P140:P142)</f>
        <v>0</v>
      </c>
      <c r="Q139" s="233">
        <f>SUM(Q140:Q142)</f>
        <v>0</v>
      </c>
      <c r="R139" s="232">
        <f t="shared" si="14"/>
        <v>0</v>
      </c>
    </row>
    <row r="140" spans="1:18" s="4" customFormat="1" ht="24" hidden="1" customHeight="1">
      <c r="A140" s="133" t="s">
        <v>188</v>
      </c>
      <c r="B140" s="179" t="s">
        <v>170</v>
      </c>
      <c r="C140" s="604"/>
      <c r="D140" s="604">
        <v>0</v>
      </c>
      <c r="E140" s="605"/>
      <c r="F140" s="605"/>
      <c r="G140" s="605"/>
      <c r="H140" s="232">
        <f t="shared" si="12"/>
        <v>0</v>
      </c>
      <c r="I140" s="605">
        <v>0</v>
      </c>
      <c r="J140" s="606"/>
      <c r="K140" s="605"/>
      <c r="L140" s="605"/>
      <c r="M140" s="232">
        <f t="shared" si="13"/>
        <v>0</v>
      </c>
      <c r="N140" s="605">
        <v>0</v>
      </c>
      <c r="O140" s="606"/>
      <c r="P140" s="605"/>
      <c r="Q140" s="605"/>
      <c r="R140" s="232">
        <f t="shared" si="14"/>
        <v>0</v>
      </c>
    </row>
    <row r="141" spans="1:18" ht="48" hidden="1" customHeight="1">
      <c r="A141" s="133" t="s">
        <v>189</v>
      </c>
      <c r="B141" s="179" t="s">
        <v>156</v>
      </c>
      <c r="C141" s="604"/>
      <c r="D141" s="604">
        <v>0</v>
      </c>
      <c r="E141" s="605"/>
      <c r="F141" s="605"/>
      <c r="G141" s="605"/>
      <c r="H141" s="232">
        <f t="shared" si="12"/>
        <v>0</v>
      </c>
      <c r="I141" s="605">
        <v>0</v>
      </c>
      <c r="J141" s="606"/>
      <c r="K141" s="605"/>
      <c r="L141" s="605"/>
      <c r="M141" s="232">
        <f t="shared" si="13"/>
        <v>0</v>
      </c>
      <c r="N141" s="605">
        <v>0</v>
      </c>
      <c r="O141" s="606"/>
      <c r="P141" s="605"/>
      <c r="Q141" s="605"/>
      <c r="R141" s="232">
        <f t="shared" si="14"/>
        <v>0</v>
      </c>
    </row>
    <row r="142" spans="1:18" ht="36" hidden="1" customHeight="1">
      <c r="A142" s="133">
        <v>7350</v>
      </c>
      <c r="B142" s="179" t="s">
        <v>163</v>
      </c>
      <c r="C142" s="604"/>
      <c r="D142" s="604">
        <v>0</v>
      </c>
      <c r="E142" s="605"/>
      <c r="F142" s="605"/>
      <c r="G142" s="605"/>
      <c r="H142" s="232">
        <f t="shared" si="12"/>
        <v>0</v>
      </c>
      <c r="I142" s="605">
        <v>0</v>
      </c>
      <c r="J142" s="606"/>
      <c r="K142" s="605"/>
      <c r="L142" s="605"/>
      <c r="M142" s="232">
        <f t="shared" si="13"/>
        <v>0</v>
      </c>
      <c r="N142" s="605">
        <v>0</v>
      </c>
      <c r="O142" s="606"/>
      <c r="P142" s="605"/>
      <c r="Q142" s="605"/>
      <c r="R142" s="232">
        <f t="shared" si="14"/>
        <v>0</v>
      </c>
    </row>
    <row r="143" spans="1:18" ht="24" hidden="1" customHeight="1">
      <c r="A143" s="132">
        <v>7400</v>
      </c>
      <c r="B143" s="172" t="s">
        <v>161</v>
      </c>
      <c r="C143" s="170">
        <v>0</v>
      </c>
      <c r="D143" s="170">
        <v>0</v>
      </c>
      <c r="E143" s="233">
        <f>SUM(E144:E145)</f>
        <v>0</v>
      </c>
      <c r="F143" s="233">
        <f>SUM(F144:F145)</f>
        <v>0</v>
      </c>
      <c r="G143" s="233">
        <f>SUM(G144:G145)</f>
        <v>0</v>
      </c>
      <c r="H143" s="232">
        <f t="shared" si="12"/>
        <v>0</v>
      </c>
      <c r="I143" s="233">
        <v>0</v>
      </c>
      <c r="J143" s="232">
        <f>SUM(J144:J145)</f>
        <v>0</v>
      </c>
      <c r="K143" s="233">
        <f>SUM(K144:K145)</f>
        <v>0</v>
      </c>
      <c r="L143" s="233">
        <f>SUM(L144:L145)</f>
        <v>0</v>
      </c>
      <c r="M143" s="232">
        <f t="shared" si="13"/>
        <v>0</v>
      </c>
      <c r="N143" s="233">
        <v>0</v>
      </c>
      <c r="O143" s="232">
        <f>SUM(O144:O145)</f>
        <v>0</v>
      </c>
      <c r="P143" s="233">
        <f>SUM(P144:P145)</f>
        <v>0</v>
      </c>
      <c r="Q143" s="233">
        <f>SUM(Q144:Q145)</f>
        <v>0</v>
      </c>
      <c r="R143" s="232">
        <f t="shared" si="14"/>
        <v>0</v>
      </c>
    </row>
    <row r="144" spans="1:18" ht="24" hidden="1" customHeight="1">
      <c r="A144" s="133">
        <v>7460</v>
      </c>
      <c r="B144" s="172" t="s">
        <v>162</v>
      </c>
      <c r="C144" s="604"/>
      <c r="D144" s="604">
        <v>0</v>
      </c>
      <c r="E144" s="605"/>
      <c r="F144" s="605"/>
      <c r="G144" s="605"/>
      <c r="H144" s="232">
        <f t="shared" si="12"/>
        <v>0</v>
      </c>
      <c r="I144" s="605">
        <v>0</v>
      </c>
      <c r="J144" s="606"/>
      <c r="K144" s="605"/>
      <c r="L144" s="605"/>
      <c r="M144" s="232">
        <f t="shared" si="13"/>
        <v>0</v>
      </c>
      <c r="N144" s="605">
        <v>0</v>
      </c>
      <c r="O144" s="606"/>
      <c r="P144" s="605"/>
      <c r="Q144" s="605"/>
      <c r="R144" s="232">
        <f t="shared" si="14"/>
        <v>0</v>
      </c>
    </row>
    <row r="145" spans="1:18" ht="48" hidden="1" customHeight="1">
      <c r="A145" s="133">
        <v>7470</v>
      </c>
      <c r="B145" s="179" t="s">
        <v>167</v>
      </c>
      <c r="C145" s="604"/>
      <c r="D145" s="604">
        <v>0</v>
      </c>
      <c r="E145" s="605"/>
      <c r="F145" s="605"/>
      <c r="G145" s="605"/>
      <c r="H145" s="232">
        <f t="shared" si="12"/>
        <v>0</v>
      </c>
      <c r="I145" s="605">
        <v>0</v>
      </c>
      <c r="J145" s="606"/>
      <c r="K145" s="605"/>
      <c r="L145" s="605"/>
      <c r="M145" s="232">
        <f t="shared" si="13"/>
        <v>0</v>
      </c>
      <c r="N145" s="605">
        <v>0</v>
      </c>
      <c r="O145" s="606"/>
      <c r="P145" s="605"/>
      <c r="Q145" s="605"/>
      <c r="R145" s="232">
        <f t="shared" si="14"/>
        <v>0</v>
      </c>
    </row>
    <row r="146" spans="1:18" ht="24" hidden="1" customHeight="1">
      <c r="A146" s="132">
        <v>7500</v>
      </c>
      <c r="B146" s="179" t="s">
        <v>157</v>
      </c>
      <c r="C146" s="170"/>
      <c r="D146" s="170">
        <v>0</v>
      </c>
      <c r="E146" s="233"/>
      <c r="F146" s="233"/>
      <c r="G146" s="233"/>
      <c r="H146" s="232">
        <f t="shared" si="12"/>
        <v>0</v>
      </c>
      <c r="I146" s="233">
        <v>0</v>
      </c>
      <c r="J146" s="232"/>
      <c r="K146" s="233"/>
      <c r="L146" s="233"/>
      <c r="M146" s="232">
        <f t="shared" si="13"/>
        <v>0</v>
      </c>
      <c r="N146" s="233">
        <v>0</v>
      </c>
      <c r="O146" s="232"/>
      <c r="P146" s="233"/>
      <c r="Q146" s="233"/>
      <c r="R146" s="232">
        <f t="shared" si="14"/>
        <v>0</v>
      </c>
    </row>
    <row r="147" spans="1:18" s="4" customFormat="1" ht="12">
      <c r="A147" s="140" t="s">
        <v>133</v>
      </c>
      <c r="B147" s="124" t="s">
        <v>122</v>
      </c>
      <c r="C147" s="205">
        <v>200024</v>
      </c>
      <c r="D147" s="205">
        <v>200024</v>
      </c>
      <c r="E147" s="254">
        <f>E148+E149</f>
        <v>-66622</v>
      </c>
      <c r="F147" s="254">
        <f>F148+F149</f>
        <v>0</v>
      </c>
      <c r="G147" s="254">
        <f>G148+G149</f>
        <v>0</v>
      </c>
      <c r="H147" s="232">
        <f t="shared" si="12"/>
        <v>133402</v>
      </c>
      <c r="I147" s="254">
        <v>200024</v>
      </c>
      <c r="J147" s="253">
        <f>J148+J149</f>
        <v>-66622</v>
      </c>
      <c r="K147" s="254">
        <f>K148+K149</f>
        <v>0</v>
      </c>
      <c r="L147" s="254">
        <f>L148+L149</f>
        <v>0</v>
      </c>
      <c r="M147" s="232">
        <f t="shared" si="13"/>
        <v>133402</v>
      </c>
      <c r="N147" s="254">
        <v>200024</v>
      </c>
      <c r="O147" s="253">
        <f>O148+O149</f>
        <v>-66622</v>
      </c>
      <c r="P147" s="254">
        <f>P148+P149</f>
        <v>0</v>
      </c>
      <c r="Q147" s="254">
        <f>Q148+Q149</f>
        <v>0</v>
      </c>
      <c r="R147" s="232">
        <f t="shared" si="14"/>
        <v>133402</v>
      </c>
    </row>
    <row r="148" spans="1:18" s="6" customFormat="1" ht="12">
      <c r="A148" s="140">
        <v>5000</v>
      </c>
      <c r="B148" s="124" t="s">
        <v>123</v>
      </c>
      <c r="C148" s="170">
        <v>200024</v>
      </c>
      <c r="D148" s="170">
        <v>200024</v>
      </c>
      <c r="E148" s="233">
        <v>-66622</v>
      </c>
      <c r="F148" s="244"/>
      <c r="G148" s="244"/>
      <c r="H148" s="232">
        <f t="shared" si="12"/>
        <v>133402</v>
      </c>
      <c r="I148" s="233">
        <v>200024</v>
      </c>
      <c r="J148" s="232">
        <v>-66622</v>
      </c>
      <c r="K148" s="244"/>
      <c r="L148" s="244"/>
      <c r="M148" s="232">
        <f t="shared" si="13"/>
        <v>133402</v>
      </c>
      <c r="N148" s="233">
        <v>200024</v>
      </c>
      <c r="O148" s="232">
        <v>-66622</v>
      </c>
      <c r="P148" s="244"/>
      <c r="Q148" s="244"/>
      <c r="R148" s="232">
        <f t="shared" si="14"/>
        <v>133402</v>
      </c>
    </row>
    <row r="149" spans="1:18" s="6" customFormat="1" ht="12" hidden="1" customHeight="1">
      <c r="A149" s="140">
        <v>9000</v>
      </c>
      <c r="B149" s="182" t="s">
        <v>164</v>
      </c>
      <c r="C149" s="170">
        <v>0</v>
      </c>
      <c r="D149" s="170">
        <v>0</v>
      </c>
      <c r="E149" s="233">
        <f>E150+E156+E160+E163</f>
        <v>0</v>
      </c>
      <c r="F149" s="233">
        <f>F150+F156+F160+F163</f>
        <v>0</v>
      </c>
      <c r="G149" s="233">
        <f>G150+G156+G160+G163</f>
        <v>0</v>
      </c>
      <c r="H149" s="232">
        <f t="shared" si="12"/>
        <v>0</v>
      </c>
      <c r="I149" s="233">
        <v>0</v>
      </c>
      <c r="J149" s="232">
        <f>J150+J156+J160+J163</f>
        <v>0</v>
      </c>
      <c r="K149" s="233">
        <f>K150+K156+K160+K163</f>
        <v>0</v>
      </c>
      <c r="L149" s="233">
        <f>L150+L156+L160+L163</f>
        <v>0</v>
      </c>
      <c r="M149" s="232">
        <f t="shared" si="13"/>
        <v>0</v>
      </c>
      <c r="N149" s="233">
        <v>0</v>
      </c>
      <c r="O149" s="232">
        <f>O150+O156+O160+O163</f>
        <v>0</v>
      </c>
      <c r="P149" s="233">
        <f>P150+P156+P160+P163</f>
        <v>0</v>
      </c>
      <c r="Q149" s="233">
        <f>Q150+Q156+Q160+Q163</f>
        <v>0</v>
      </c>
      <c r="R149" s="232">
        <f t="shared" si="14"/>
        <v>0</v>
      </c>
    </row>
    <row r="150" spans="1:18" s="6" customFormat="1" ht="12" hidden="1" customHeight="1">
      <c r="A150" s="141">
        <v>9100</v>
      </c>
      <c r="B150" s="179" t="s">
        <v>124</v>
      </c>
      <c r="C150" s="170">
        <v>0</v>
      </c>
      <c r="D150" s="170">
        <v>0</v>
      </c>
      <c r="E150" s="233">
        <f>SUM(E151:E152)</f>
        <v>0</v>
      </c>
      <c r="F150" s="233">
        <f>SUM(F151:F152)</f>
        <v>0</v>
      </c>
      <c r="G150" s="233">
        <f>SUM(G151:G152)</f>
        <v>0</v>
      </c>
      <c r="H150" s="232">
        <f t="shared" si="12"/>
        <v>0</v>
      </c>
      <c r="I150" s="233">
        <v>0</v>
      </c>
      <c r="J150" s="232">
        <f>SUM(J151:J152)</f>
        <v>0</v>
      </c>
      <c r="K150" s="233">
        <f>SUM(K151:K152)</f>
        <v>0</v>
      </c>
      <c r="L150" s="233">
        <f>SUM(L151:L152)</f>
        <v>0</v>
      </c>
      <c r="M150" s="232">
        <f t="shared" si="13"/>
        <v>0</v>
      </c>
      <c r="N150" s="233">
        <v>0</v>
      </c>
      <c r="O150" s="232">
        <f>SUM(O151:O152)</f>
        <v>0</v>
      </c>
      <c r="P150" s="233">
        <f>SUM(P151:P152)</f>
        <v>0</v>
      </c>
      <c r="Q150" s="233">
        <f>SUM(Q151:Q152)</f>
        <v>0</v>
      </c>
      <c r="R150" s="232">
        <f t="shared" si="14"/>
        <v>0</v>
      </c>
    </row>
    <row r="151" spans="1:18" s="6" customFormat="1" ht="24" hidden="1" customHeight="1">
      <c r="A151" s="133" t="s">
        <v>125</v>
      </c>
      <c r="B151" s="179" t="s">
        <v>214</v>
      </c>
      <c r="C151" s="170"/>
      <c r="D151" s="170">
        <v>0</v>
      </c>
      <c r="E151" s="233"/>
      <c r="F151" s="233"/>
      <c r="G151" s="233"/>
      <c r="H151" s="232">
        <f t="shared" si="12"/>
        <v>0</v>
      </c>
      <c r="I151" s="233">
        <v>0</v>
      </c>
      <c r="J151" s="232"/>
      <c r="K151" s="233"/>
      <c r="L151" s="233"/>
      <c r="M151" s="232">
        <f t="shared" si="13"/>
        <v>0</v>
      </c>
      <c r="N151" s="233">
        <v>0</v>
      </c>
      <c r="O151" s="232"/>
      <c r="P151" s="233"/>
      <c r="Q151" s="233"/>
      <c r="R151" s="232">
        <f t="shared" si="14"/>
        <v>0</v>
      </c>
    </row>
    <row r="152" spans="1:18" s="6" customFormat="1" ht="24" hidden="1" customHeight="1">
      <c r="A152" s="133">
        <v>9140</v>
      </c>
      <c r="B152" s="179" t="s">
        <v>215</v>
      </c>
      <c r="C152" s="170">
        <v>0</v>
      </c>
      <c r="D152" s="170">
        <v>0</v>
      </c>
      <c r="E152" s="233">
        <f>SUM(E153:E155)</f>
        <v>0</v>
      </c>
      <c r="F152" s="233">
        <f>SUM(F153:F155)</f>
        <v>0</v>
      </c>
      <c r="G152" s="233">
        <f>SUM(G153:G155)</f>
        <v>0</v>
      </c>
      <c r="H152" s="232">
        <f t="shared" si="12"/>
        <v>0</v>
      </c>
      <c r="I152" s="233">
        <v>0</v>
      </c>
      <c r="J152" s="232">
        <f>SUM(J153:J155)</f>
        <v>0</v>
      </c>
      <c r="K152" s="233">
        <f>SUM(K153:K155)</f>
        <v>0</v>
      </c>
      <c r="L152" s="233">
        <f>SUM(L153:L155)</f>
        <v>0</v>
      </c>
      <c r="M152" s="232">
        <f t="shared" si="13"/>
        <v>0</v>
      </c>
      <c r="N152" s="233">
        <v>0</v>
      </c>
      <c r="O152" s="232">
        <f>SUM(O153:O155)</f>
        <v>0</v>
      </c>
      <c r="P152" s="233">
        <f>SUM(P153:P155)</f>
        <v>0</v>
      </c>
      <c r="Q152" s="233">
        <f>SUM(Q153:Q155)</f>
        <v>0</v>
      </c>
      <c r="R152" s="232">
        <f t="shared" si="14"/>
        <v>0</v>
      </c>
    </row>
    <row r="153" spans="1:18" s="6" customFormat="1" ht="36" hidden="1" customHeight="1">
      <c r="A153" s="134">
        <v>9141</v>
      </c>
      <c r="B153" s="172" t="s">
        <v>190</v>
      </c>
      <c r="C153" s="604"/>
      <c r="D153" s="604">
        <v>0</v>
      </c>
      <c r="E153" s="605"/>
      <c r="F153" s="605"/>
      <c r="G153" s="605"/>
      <c r="H153" s="232">
        <f t="shared" si="12"/>
        <v>0</v>
      </c>
      <c r="I153" s="605">
        <v>0</v>
      </c>
      <c r="J153" s="606"/>
      <c r="K153" s="605"/>
      <c r="L153" s="605"/>
      <c r="M153" s="232">
        <f t="shared" si="13"/>
        <v>0</v>
      </c>
      <c r="N153" s="605">
        <v>0</v>
      </c>
      <c r="O153" s="606"/>
      <c r="P153" s="605"/>
      <c r="Q153" s="605"/>
      <c r="R153" s="232">
        <f t="shared" si="14"/>
        <v>0</v>
      </c>
    </row>
    <row r="154" spans="1:18" s="6" customFormat="1" ht="36" hidden="1" customHeight="1">
      <c r="A154" s="134">
        <v>9142</v>
      </c>
      <c r="B154" s="172" t="s">
        <v>191</v>
      </c>
      <c r="C154" s="604"/>
      <c r="D154" s="604">
        <v>0</v>
      </c>
      <c r="E154" s="605"/>
      <c r="F154" s="605"/>
      <c r="G154" s="605"/>
      <c r="H154" s="232">
        <f t="shared" si="12"/>
        <v>0</v>
      </c>
      <c r="I154" s="605">
        <v>0</v>
      </c>
      <c r="J154" s="606"/>
      <c r="K154" s="605"/>
      <c r="L154" s="605"/>
      <c r="M154" s="232">
        <f t="shared" si="13"/>
        <v>0</v>
      </c>
      <c r="N154" s="605">
        <v>0</v>
      </c>
      <c r="O154" s="606"/>
      <c r="P154" s="605"/>
      <c r="Q154" s="605"/>
      <c r="R154" s="232">
        <f t="shared" si="14"/>
        <v>0</v>
      </c>
    </row>
    <row r="155" spans="1:18" s="6" customFormat="1" ht="24" hidden="1" customHeight="1">
      <c r="A155" s="134">
        <v>9149</v>
      </c>
      <c r="B155" s="172" t="s">
        <v>192</v>
      </c>
      <c r="C155" s="604"/>
      <c r="D155" s="604">
        <v>0</v>
      </c>
      <c r="E155" s="605"/>
      <c r="F155" s="605"/>
      <c r="G155" s="605"/>
      <c r="H155" s="232">
        <f t="shared" si="12"/>
        <v>0</v>
      </c>
      <c r="I155" s="605">
        <v>0</v>
      </c>
      <c r="J155" s="606"/>
      <c r="K155" s="605"/>
      <c r="L155" s="605"/>
      <c r="M155" s="232">
        <f t="shared" si="13"/>
        <v>0</v>
      </c>
      <c r="N155" s="605">
        <v>0</v>
      </c>
      <c r="O155" s="606"/>
      <c r="P155" s="605"/>
      <c r="Q155" s="605"/>
      <c r="R155" s="232">
        <f t="shared" si="14"/>
        <v>0</v>
      </c>
    </row>
    <row r="156" spans="1:18" s="6" customFormat="1" ht="24" hidden="1" customHeight="1">
      <c r="A156" s="141">
        <v>9500</v>
      </c>
      <c r="B156" s="172" t="s">
        <v>165</v>
      </c>
      <c r="C156" s="170">
        <v>0</v>
      </c>
      <c r="D156" s="170">
        <v>0</v>
      </c>
      <c r="E156" s="233">
        <f>SUM(E157:E159)</f>
        <v>0</v>
      </c>
      <c r="F156" s="233">
        <f>SUM(F157:F159)</f>
        <v>0</v>
      </c>
      <c r="G156" s="233">
        <f>SUM(G157:G159)</f>
        <v>0</v>
      </c>
      <c r="H156" s="232">
        <f t="shared" si="12"/>
        <v>0</v>
      </c>
      <c r="I156" s="233">
        <v>0</v>
      </c>
      <c r="J156" s="232">
        <f>SUM(J157:J159)</f>
        <v>0</v>
      </c>
      <c r="K156" s="233">
        <f>SUM(K157:K159)</f>
        <v>0</v>
      </c>
      <c r="L156" s="233">
        <f>SUM(L157:L159)</f>
        <v>0</v>
      </c>
      <c r="M156" s="232">
        <f t="shared" si="13"/>
        <v>0</v>
      </c>
      <c r="N156" s="233">
        <v>0</v>
      </c>
      <c r="O156" s="232">
        <f>SUM(O157:O159)</f>
        <v>0</v>
      </c>
      <c r="P156" s="233">
        <f>SUM(P157:P159)</f>
        <v>0</v>
      </c>
      <c r="Q156" s="233">
        <f>SUM(Q157:Q159)</f>
        <v>0</v>
      </c>
      <c r="R156" s="232">
        <f t="shared" si="14"/>
        <v>0</v>
      </c>
    </row>
    <row r="157" spans="1:18" s="6" customFormat="1" ht="24" hidden="1" customHeight="1">
      <c r="A157" s="133" t="s">
        <v>193</v>
      </c>
      <c r="B157" s="172" t="s">
        <v>171</v>
      </c>
      <c r="C157" s="170"/>
      <c r="D157" s="170">
        <v>0</v>
      </c>
      <c r="E157" s="233"/>
      <c r="F157" s="233"/>
      <c r="G157" s="233"/>
      <c r="H157" s="232">
        <f t="shared" si="12"/>
        <v>0</v>
      </c>
      <c r="I157" s="233">
        <v>0</v>
      </c>
      <c r="J157" s="232"/>
      <c r="K157" s="233"/>
      <c r="L157" s="233"/>
      <c r="M157" s="232">
        <f t="shared" si="13"/>
        <v>0</v>
      </c>
      <c r="N157" s="233">
        <v>0</v>
      </c>
      <c r="O157" s="232"/>
      <c r="P157" s="233"/>
      <c r="Q157" s="233"/>
      <c r="R157" s="232">
        <f t="shared" si="14"/>
        <v>0</v>
      </c>
    </row>
    <row r="158" spans="1:18" s="6" customFormat="1" ht="48" hidden="1" customHeight="1">
      <c r="A158" s="133">
        <v>9580</v>
      </c>
      <c r="B158" s="172" t="s">
        <v>166</v>
      </c>
      <c r="C158" s="604"/>
      <c r="D158" s="604">
        <v>0</v>
      </c>
      <c r="E158" s="605"/>
      <c r="F158" s="605"/>
      <c r="G158" s="605"/>
      <c r="H158" s="232">
        <f t="shared" si="12"/>
        <v>0</v>
      </c>
      <c r="I158" s="605">
        <v>0</v>
      </c>
      <c r="J158" s="606"/>
      <c r="K158" s="605"/>
      <c r="L158" s="605"/>
      <c r="M158" s="232">
        <f t="shared" si="13"/>
        <v>0</v>
      </c>
      <c r="N158" s="605">
        <v>0</v>
      </c>
      <c r="O158" s="606"/>
      <c r="P158" s="605"/>
      <c r="Q158" s="605"/>
      <c r="R158" s="232">
        <f t="shared" si="14"/>
        <v>0</v>
      </c>
    </row>
    <row r="159" spans="1:18" s="6" customFormat="1" ht="48" hidden="1" customHeight="1">
      <c r="A159" s="133">
        <v>9590</v>
      </c>
      <c r="B159" s="179" t="s">
        <v>172</v>
      </c>
      <c r="C159" s="604"/>
      <c r="D159" s="604">
        <v>0</v>
      </c>
      <c r="E159" s="605"/>
      <c r="F159" s="605"/>
      <c r="G159" s="605"/>
      <c r="H159" s="232">
        <f t="shared" si="12"/>
        <v>0</v>
      </c>
      <c r="I159" s="605">
        <v>0</v>
      </c>
      <c r="J159" s="606"/>
      <c r="K159" s="605"/>
      <c r="L159" s="605"/>
      <c r="M159" s="232">
        <f t="shared" si="13"/>
        <v>0</v>
      </c>
      <c r="N159" s="605">
        <v>0</v>
      </c>
      <c r="O159" s="606"/>
      <c r="P159" s="605"/>
      <c r="Q159" s="605"/>
      <c r="R159" s="232">
        <f t="shared" si="14"/>
        <v>0</v>
      </c>
    </row>
    <row r="160" spans="1:18" s="6" customFormat="1" ht="24" hidden="1" customHeight="1">
      <c r="A160" s="141">
        <v>9700</v>
      </c>
      <c r="B160" s="183" t="s">
        <v>194</v>
      </c>
      <c r="C160" s="170">
        <v>0</v>
      </c>
      <c r="D160" s="170">
        <v>0</v>
      </c>
      <c r="E160" s="233">
        <f>SUM(E161:E162)</f>
        <v>0</v>
      </c>
      <c r="F160" s="233">
        <f>SUM(F161:F162)</f>
        <v>0</v>
      </c>
      <c r="G160" s="233">
        <f>SUM(G161:G162)</f>
        <v>0</v>
      </c>
      <c r="H160" s="232">
        <f t="shared" si="12"/>
        <v>0</v>
      </c>
      <c r="I160" s="233">
        <v>0</v>
      </c>
      <c r="J160" s="232">
        <f>SUM(J161:J162)</f>
        <v>0</v>
      </c>
      <c r="K160" s="233">
        <f>SUM(K161:K162)</f>
        <v>0</v>
      </c>
      <c r="L160" s="233">
        <f>SUM(L161:L162)</f>
        <v>0</v>
      </c>
      <c r="M160" s="232">
        <f t="shared" si="13"/>
        <v>0</v>
      </c>
      <c r="N160" s="233">
        <v>0</v>
      </c>
      <c r="O160" s="232">
        <f>SUM(O161:O162)</f>
        <v>0</v>
      </c>
      <c r="P160" s="233">
        <f>SUM(P161:P162)</f>
        <v>0</v>
      </c>
      <c r="Q160" s="233">
        <f>SUM(Q161:Q162)</f>
        <v>0</v>
      </c>
      <c r="R160" s="232">
        <f t="shared" si="14"/>
        <v>0</v>
      </c>
    </row>
    <row r="161" spans="1:18" s="6" customFormat="1" ht="24" hidden="1" customHeight="1">
      <c r="A161" s="133">
        <v>9710</v>
      </c>
      <c r="B161" s="184" t="s">
        <v>195</v>
      </c>
      <c r="C161" s="604"/>
      <c r="D161" s="604">
        <v>0</v>
      </c>
      <c r="E161" s="605"/>
      <c r="F161" s="605"/>
      <c r="G161" s="605"/>
      <c r="H161" s="232">
        <f t="shared" si="12"/>
        <v>0</v>
      </c>
      <c r="I161" s="605">
        <v>0</v>
      </c>
      <c r="J161" s="606"/>
      <c r="K161" s="605"/>
      <c r="L161" s="605"/>
      <c r="M161" s="232">
        <f t="shared" si="13"/>
        <v>0</v>
      </c>
      <c r="N161" s="605">
        <v>0</v>
      </c>
      <c r="O161" s="606"/>
      <c r="P161" s="605"/>
      <c r="Q161" s="605"/>
      <c r="R161" s="232">
        <f t="shared" si="14"/>
        <v>0</v>
      </c>
    </row>
    <row r="162" spans="1:18" s="6" customFormat="1" ht="48" hidden="1" customHeight="1">
      <c r="A162" s="142">
        <v>9720</v>
      </c>
      <c r="B162" s="183" t="s">
        <v>196</v>
      </c>
      <c r="C162" s="604"/>
      <c r="D162" s="604">
        <v>0</v>
      </c>
      <c r="E162" s="605"/>
      <c r="F162" s="605"/>
      <c r="G162" s="605"/>
      <c r="H162" s="232">
        <f t="shared" si="12"/>
        <v>0</v>
      </c>
      <c r="I162" s="605">
        <v>0</v>
      </c>
      <c r="J162" s="606"/>
      <c r="K162" s="605"/>
      <c r="L162" s="605"/>
      <c r="M162" s="232">
        <f t="shared" si="13"/>
        <v>0</v>
      </c>
      <c r="N162" s="605">
        <v>0</v>
      </c>
      <c r="O162" s="606"/>
      <c r="P162" s="605"/>
      <c r="Q162" s="605"/>
      <c r="R162" s="232">
        <f t="shared" si="14"/>
        <v>0</v>
      </c>
    </row>
    <row r="163" spans="1:18" s="6" customFormat="1" ht="24" hidden="1" customHeight="1">
      <c r="A163" s="141">
        <v>9600</v>
      </c>
      <c r="B163" s="179" t="s">
        <v>134</v>
      </c>
      <c r="C163" s="604"/>
      <c r="D163" s="604">
        <v>0</v>
      </c>
      <c r="E163" s="605"/>
      <c r="F163" s="605"/>
      <c r="G163" s="605"/>
      <c r="H163" s="232">
        <f t="shared" si="12"/>
        <v>0</v>
      </c>
      <c r="I163" s="605">
        <v>0</v>
      </c>
      <c r="J163" s="606"/>
      <c r="K163" s="605"/>
      <c r="L163" s="605"/>
      <c r="M163" s="232">
        <f t="shared" si="13"/>
        <v>0</v>
      </c>
      <c r="N163" s="605">
        <v>0</v>
      </c>
      <c r="O163" s="606"/>
      <c r="P163" s="605"/>
      <c r="Q163" s="605"/>
      <c r="R163" s="232">
        <f t="shared" si="14"/>
        <v>0</v>
      </c>
    </row>
    <row r="164" spans="1:18" s="6" customFormat="1" ht="30.6">
      <c r="A164" s="130" t="s">
        <v>197</v>
      </c>
      <c r="B164" s="185" t="s">
        <v>47</v>
      </c>
      <c r="C164" s="206">
        <v>-1354000</v>
      </c>
      <c r="D164" s="206">
        <v>0</v>
      </c>
      <c r="E164" s="262">
        <f>E94-E119</f>
        <v>0</v>
      </c>
      <c r="F164" s="262">
        <f>F94-F119</f>
        <v>0</v>
      </c>
      <c r="G164" s="262">
        <f>G94-G119</f>
        <v>0</v>
      </c>
      <c r="H164" s="232">
        <f t="shared" si="12"/>
        <v>0</v>
      </c>
      <c r="I164" s="262">
        <v>0</v>
      </c>
      <c r="J164" s="261">
        <f>J94-J119</f>
        <v>0</v>
      </c>
      <c r="K164" s="262">
        <f>K94-K119</f>
        <v>0</v>
      </c>
      <c r="L164" s="262">
        <f>L94-L119</f>
        <v>0</v>
      </c>
      <c r="M164" s="232">
        <f t="shared" si="13"/>
        <v>0</v>
      </c>
      <c r="N164" s="262">
        <v>0</v>
      </c>
      <c r="O164" s="261">
        <f>O94-O119</f>
        <v>0</v>
      </c>
      <c r="P164" s="262">
        <f>P94-P119</f>
        <v>0</v>
      </c>
      <c r="Q164" s="262">
        <f>Q94-Q119</f>
        <v>0</v>
      </c>
      <c r="R164" s="232">
        <f t="shared" si="14"/>
        <v>0</v>
      </c>
    </row>
    <row r="165" spans="1:18" s="6" customFormat="1" ht="12">
      <c r="A165" s="143" t="s">
        <v>48</v>
      </c>
      <c r="B165" s="185" t="s">
        <v>49</v>
      </c>
      <c r="C165" s="206">
        <v>1354000</v>
      </c>
      <c r="D165" s="206">
        <v>0</v>
      </c>
      <c r="E165" s="262">
        <f>E166+E169+E173+E172</f>
        <v>0</v>
      </c>
      <c r="F165" s="262">
        <f>F166+F169+F173+F172</f>
        <v>0</v>
      </c>
      <c r="G165" s="262">
        <f>G166+G169+G173+G172</f>
        <v>0</v>
      </c>
      <c r="H165" s="232">
        <f t="shared" si="12"/>
        <v>0</v>
      </c>
      <c r="I165" s="262">
        <v>0</v>
      </c>
      <c r="J165" s="261">
        <f>J166+J169+J173+J172</f>
        <v>0</v>
      </c>
      <c r="K165" s="262">
        <f>K166+K169+K173+K172</f>
        <v>0</v>
      </c>
      <c r="L165" s="262">
        <f>L166+L169+L173+L172</f>
        <v>0</v>
      </c>
      <c r="M165" s="232">
        <f t="shared" si="13"/>
        <v>0</v>
      </c>
      <c r="N165" s="262">
        <v>0</v>
      </c>
      <c r="O165" s="261">
        <f>O166+O169+O173+O172</f>
        <v>0</v>
      </c>
      <c r="P165" s="262">
        <f>P166+P169+P173+P172</f>
        <v>0</v>
      </c>
      <c r="Q165" s="262">
        <f>Q166+Q169+Q173+Q172</f>
        <v>0</v>
      </c>
      <c r="R165" s="232">
        <f t="shared" si="14"/>
        <v>0</v>
      </c>
    </row>
    <row r="166" spans="1:18" s="6" customFormat="1" ht="12" hidden="1" customHeight="1">
      <c r="A166" s="141" t="s">
        <v>50</v>
      </c>
      <c r="B166" s="179" t="s">
        <v>51</v>
      </c>
      <c r="C166" s="98">
        <v>0</v>
      </c>
      <c r="D166" s="98">
        <v>0</v>
      </c>
      <c r="E166" s="231">
        <f>E167+E168</f>
        <v>0</v>
      </c>
      <c r="F166" s="231">
        <f>F167+F168</f>
        <v>0</v>
      </c>
      <c r="G166" s="231">
        <f>G167+G168</f>
        <v>0</v>
      </c>
      <c r="H166" s="232">
        <f t="shared" si="12"/>
        <v>0</v>
      </c>
      <c r="I166" s="231">
        <v>0</v>
      </c>
      <c r="J166" s="230">
        <f>J167+J168</f>
        <v>0</v>
      </c>
      <c r="K166" s="231">
        <f>K167+K168</f>
        <v>0</v>
      </c>
      <c r="L166" s="231">
        <f>L167+L168</f>
        <v>0</v>
      </c>
      <c r="M166" s="232">
        <f t="shared" si="13"/>
        <v>0</v>
      </c>
      <c r="N166" s="231">
        <v>0</v>
      </c>
      <c r="O166" s="230">
        <f>O167+O168</f>
        <v>0</v>
      </c>
      <c r="P166" s="231">
        <f>P167+P168</f>
        <v>0</v>
      </c>
      <c r="Q166" s="231">
        <f>Q167+Q168</f>
        <v>0</v>
      </c>
      <c r="R166" s="232">
        <f t="shared" si="14"/>
        <v>0</v>
      </c>
    </row>
    <row r="167" spans="1:18" s="6" customFormat="1" ht="12" hidden="1" customHeight="1">
      <c r="A167" s="141" t="s">
        <v>52</v>
      </c>
      <c r="B167" s="179" t="s">
        <v>53</v>
      </c>
      <c r="C167" s="98"/>
      <c r="D167" s="98">
        <v>0</v>
      </c>
      <c r="E167" s="231"/>
      <c r="F167" s="231"/>
      <c r="G167" s="231"/>
      <c r="H167" s="232">
        <f t="shared" si="12"/>
        <v>0</v>
      </c>
      <c r="I167" s="231">
        <v>0</v>
      </c>
      <c r="J167" s="230"/>
      <c r="K167" s="231"/>
      <c r="L167" s="231"/>
      <c r="M167" s="232">
        <f t="shared" si="13"/>
        <v>0</v>
      </c>
      <c r="N167" s="231">
        <v>0</v>
      </c>
      <c r="O167" s="230"/>
      <c r="P167" s="231"/>
      <c r="Q167" s="231"/>
      <c r="R167" s="232">
        <f t="shared" si="14"/>
        <v>0</v>
      </c>
    </row>
    <row r="168" spans="1:18" s="6" customFormat="1" ht="12" hidden="1" customHeight="1">
      <c r="A168" s="141" t="s">
        <v>54</v>
      </c>
      <c r="B168" s="179" t="s">
        <v>55</v>
      </c>
      <c r="C168" s="98"/>
      <c r="D168" s="98">
        <v>0</v>
      </c>
      <c r="E168" s="231"/>
      <c r="F168" s="231"/>
      <c r="G168" s="231"/>
      <c r="H168" s="232">
        <f t="shared" si="12"/>
        <v>0</v>
      </c>
      <c r="I168" s="231">
        <v>0</v>
      </c>
      <c r="J168" s="230"/>
      <c r="K168" s="231"/>
      <c r="L168" s="231"/>
      <c r="M168" s="232">
        <f t="shared" si="13"/>
        <v>0</v>
      </c>
      <c r="N168" s="231">
        <v>0</v>
      </c>
      <c r="O168" s="230"/>
      <c r="P168" s="231"/>
      <c r="Q168" s="231"/>
      <c r="R168" s="232">
        <f t="shared" si="14"/>
        <v>0</v>
      </c>
    </row>
    <row r="169" spans="1:18" s="6" customFormat="1" ht="12" hidden="1" customHeight="1">
      <c r="A169" s="141" t="s">
        <v>56</v>
      </c>
      <c r="B169" s="179" t="s">
        <v>57</v>
      </c>
      <c r="C169" s="98">
        <v>0</v>
      </c>
      <c r="D169" s="98">
        <v>0</v>
      </c>
      <c r="E169" s="231">
        <f>E170+E171</f>
        <v>0</v>
      </c>
      <c r="F169" s="231">
        <f>F170+F171</f>
        <v>0</v>
      </c>
      <c r="G169" s="231">
        <f>G170+G171</f>
        <v>0</v>
      </c>
      <c r="H169" s="232">
        <f t="shared" si="12"/>
        <v>0</v>
      </c>
      <c r="I169" s="231">
        <v>0</v>
      </c>
      <c r="J169" s="230">
        <f>J170+J171</f>
        <v>0</v>
      </c>
      <c r="K169" s="231">
        <f>K170+K171</f>
        <v>0</v>
      </c>
      <c r="L169" s="231">
        <f>L170+L171</f>
        <v>0</v>
      </c>
      <c r="M169" s="232">
        <f t="shared" si="13"/>
        <v>0</v>
      </c>
      <c r="N169" s="231">
        <v>0</v>
      </c>
      <c r="O169" s="230">
        <f>O170+O171</f>
        <v>0</v>
      </c>
      <c r="P169" s="231">
        <f>P170+P171</f>
        <v>0</v>
      </c>
      <c r="Q169" s="231">
        <f>Q170+Q171</f>
        <v>0</v>
      </c>
      <c r="R169" s="232">
        <f t="shared" si="14"/>
        <v>0</v>
      </c>
    </row>
    <row r="170" spans="1:18" s="6" customFormat="1" ht="12" hidden="1" customHeight="1">
      <c r="A170" s="141" t="s">
        <v>58</v>
      </c>
      <c r="B170" s="179" t="s">
        <v>59</v>
      </c>
      <c r="C170" s="98"/>
      <c r="D170" s="98">
        <v>0</v>
      </c>
      <c r="E170" s="231"/>
      <c r="F170" s="231"/>
      <c r="G170" s="231"/>
      <c r="H170" s="232">
        <f t="shared" si="12"/>
        <v>0</v>
      </c>
      <c r="I170" s="231">
        <v>0</v>
      </c>
      <c r="J170" s="230"/>
      <c r="K170" s="231"/>
      <c r="L170" s="231"/>
      <c r="M170" s="232">
        <f t="shared" si="13"/>
        <v>0</v>
      </c>
      <c r="N170" s="231">
        <v>0</v>
      </c>
      <c r="O170" s="230"/>
      <c r="P170" s="231"/>
      <c r="Q170" s="231"/>
      <c r="R170" s="232">
        <f t="shared" si="14"/>
        <v>0</v>
      </c>
    </row>
    <row r="171" spans="1:18" s="6" customFormat="1" ht="12" hidden="1" customHeight="1">
      <c r="A171" s="141" t="s">
        <v>60</v>
      </c>
      <c r="B171" s="179" t="s">
        <v>61</v>
      </c>
      <c r="C171" s="98"/>
      <c r="D171" s="98">
        <v>0</v>
      </c>
      <c r="E171" s="231"/>
      <c r="F171" s="231"/>
      <c r="G171" s="231"/>
      <c r="H171" s="232">
        <f t="shared" si="12"/>
        <v>0</v>
      </c>
      <c r="I171" s="231">
        <v>0</v>
      </c>
      <c r="J171" s="230"/>
      <c r="K171" s="231"/>
      <c r="L171" s="231"/>
      <c r="M171" s="232">
        <f t="shared" si="13"/>
        <v>0</v>
      </c>
      <c r="N171" s="231">
        <v>0</v>
      </c>
      <c r="O171" s="230"/>
      <c r="P171" s="231"/>
      <c r="Q171" s="231"/>
      <c r="R171" s="232">
        <f t="shared" si="14"/>
        <v>0</v>
      </c>
    </row>
    <row r="172" spans="1:18" s="6" customFormat="1" ht="12" hidden="1" customHeight="1">
      <c r="A172" s="141" t="s">
        <v>198</v>
      </c>
      <c r="B172" s="187" t="s">
        <v>168</v>
      </c>
      <c r="C172" s="98"/>
      <c r="D172" s="98">
        <v>0</v>
      </c>
      <c r="E172" s="231"/>
      <c r="F172" s="231"/>
      <c r="G172" s="231"/>
      <c r="H172" s="232">
        <f t="shared" si="12"/>
        <v>0</v>
      </c>
      <c r="I172" s="231">
        <v>0</v>
      </c>
      <c r="J172" s="230"/>
      <c r="K172" s="231"/>
      <c r="L172" s="231"/>
      <c r="M172" s="232">
        <f t="shared" si="13"/>
        <v>0</v>
      </c>
      <c r="N172" s="231">
        <v>0</v>
      </c>
      <c r="O172" s="230"/>
      <c r="P172" s="231"/>
      <c r="Q172" s="231"/>
      <c r="R172" s="232">
        <f t="shared" si="14"/>
        <v>0</v>
      </c>
    </row>
    <row r="173" spans="1:18" s="6" customFormat="1" ht="12">
      <c r="A173" s="144" t="s">
        <v>62</v>
      </c>
      <c r="B173" s="125" t="s">
        <v>63</v>
      </c>
      <c r="C173" s="170">
        <v>1354000</v>
      </c>
      <c r="D173" s="170">
        <v>0</v>
      </c>
      <c r="E173" s="233">
        <f>E174+E175+E176</f>
        <v>0</v>
      </c>
      <c r="F173" s="233">
        <f>F174+F175+F176</f>
        <v>0</v>
      </c>
      <c r="G173" s="233">
        <f>G174+G175+G176</f>
        <v>0</v>
      </c>
      <c r="H173" s="232">
        <f t="shared" si="12"/>
        <v>0</v>
      </c>
      <c r="I173" s="233">
        <v>0</v>
      </c>
      <c r="J173" s="232">
        <f>J174+J175+J176</f>
        <v>0</v>
      </c>
      <c r="K173" s="233">
        <f>K174+K175+K176</f>
        <v>0</v>
      </c>
      <c r="L173" s="233">
        <f>L174+L175+L176</f>
        <v>0</v>
      </c>
      <c r="M173" s="232">
        <f t="shared" si="13"/>
        <v>0</v>
      </c>
      <c r="N173" s="233">
        <v>0</v>
      </c>
      <c r="O173" s="232">
        <f>O174+O175+O176</f>
        <v>0</v>
      </c>
      <c r="P173" s="233">
        <f>P174+P175+P176</f>
        <v>0</v>
      </c>
      <c r="Q173" s="233">
        <f>Q174+Q175+Q176</f>
        <v>0</v>
      </c>
      <c r="R173" s="232">
        <f t="shared" si="14"/>
        <v>0</v>
      </c>
    </row>
    <row r="174" spans="1:18" s="6" customFormat="1" ht="36">
      <c r="A174" s="144" t="s">
        <v>64</v>
      </c>
      <c r="B174" s="179" t="s">
        <v>65</v>
      </c>
      <c r="C174" s="98">
        <v>1354000</v>
      </c>
      <c r="D174" s="98">
        <v>0</v>
      </c>
      <c r="E174" s="231"/>
      <c r="F174" s="231"/>
      <c r="G174" s="231"/>
      <c r="H174" s="232">
        <f t="shared" si="12"/>
        <v>0</v>
      </c>
      <c r="I174" s="231">
        <v>0</v>
      </c>
      <c r="J174" s="231"/>
      <c r="K174" s="231"/>
      <c r="L174" s="231"/>
      <c r="M174" s="232">
        <f t="shared" si="13"/>
        <v>0</v>
      </c>
      <c r="N174" s="231">
        <v>0</v>
      </c>
      <c r="O174" s="231"/>
      <c r="P174" s="231"/>
      <c r="Q174" s="231"/>
      <c r="R174" s="232">
        <f t="shared" si="14"/>
        <v>0</v>
      </c>
    </row>
    <row r="175" spans="1:18" s="6" customFormat="1" ht="24" hidden="1" customHeight="1">
      <c r="A175" s="144" t="s">
        <v>66</v>
      </c>
      <c r="B175" s="179" t="s">
        <v>67</v>
      </c>
      <c r="C175" s="98"/>
      <c r="D175" s="98">
        <v>0</v>
      </c>
      <c r="E175" s="231"/>
      <c r="F175" s="231"/>
      <c r="G175" s="231"/>
      <c r="H175" s="232">
        <f t="shared" si="12"/>
        <v>0</v>
      </c>
      <c r="I175" s="231">
        <v>0</v>
      </c>
      <c r="J175" s="231"/>
      <c r="K175" s="231"/>
      <c r="L175" s="231"/>
      <c r="M175" s="232">
        <f t="shared" si="13"/>
        <v>0</v>
      </c>
      <c r="N175" s="231">
        <v>0</v>
      </c>
      <c r="O175" s="231"/>
      <c r="P175" s="231"/>
      <c r="Q175" s="231"/>
      <c r="R175" s="232">
        <f t="shared" si="14"/>
        <v>0</v>
      </c>
    </row>
    <row r="176" spans="1:18" s="6" customFormat="1" ht="24" hidden="1" customHeight="1">
      <c r="A176" s="144" t="s">
        <v>68</v>
      </c>
      <c r="B176" s="125" t="s">
        <v>69</v>
      </c>
      <c r="C176" s="98"/>
      <c r="D176" s="98">
        <v>0</v>
      </c>
      <c r="E176" s="231"/>
      <c r="F176" s="231"/>
      <c r="G176" s="231"/>
      <c r="H176" s="232">
        <f t="shared" si="12"/>
        <v>0</v>
      </c>
      <c r="I176" s="231">
        <v>0</v>
      </c>
      <c r="J176" s="231"/>
      <c r="K176" s="231"/>
      <c r="L176" s="231"/>
      <c r="M176" s="232">
        <f t="shared" si="13"/>
        <v>0</v>
      </c>
      <c r="N176" s="231">
        <v>0</v>
      </c>
      <c r="O176" s="231"/>
      <c r="P176" s="231"/>
      <c r="Q176" s="231"/>
      <c r="R176" s="232">
        <f t="shared" si="14"/>
        <v>0</v>
      </c>
    </row>
    <row r="177" spans="1:18" s="6" customFormat="1" ht="34.200000000000003">
      <c r="A177" s="607"/>
      <c r="B177" s="608" t="s">
        <v>200</v>
      </c>
      <c r="C177" s="609"/>
      <c r="D177" s="610">
        <v>0</v>
      </c>
      <c r="E177" s="612"/>
      <c r="F177" s="612"/>
      <c r="G177" s="612"/>
      <c r="H177" s="613">
        <f t="shared" si="12"/>
        <v>0</v>
      </c>
      <c r="I177" s="611">
        <v>0</v>
      </c>
      <c r="J177" s="612"/>
      <c r="K177" s="612"/>
      <c r="L177" s="612"/>
      <c r="M177" s="613">
        <f t="shared" si="13"/>
        <v>0</v>
      </c>
      <c r="N177" s="611">
        <v>0</v>
      </c>
      <c r="O177" s="612"/>
      <c r="P177" s="612"/>
      <c r="Q177" s="612"/>
      <c r="R177" s="613">
        <f t="shared" si="14"/>
        <v>0</v>
      </c>
    </row>
    <row r="178" spans="1:18" s="6" customFormat="1" ht="21" hidden="1" customHeight="1">
      <c r="A178" s="597" t="s">
        <v>201</v>
      </c>
      <c r="B178" s="598" t="s">
        <v>88</v>
      </c>
      <c r="C178" s="599">
        <v>0</v>
      </c>
      <c r="D178" s="599">
        <v>0</v>
      </c>
      <c r="E178" s="600">
        <f>E179+E180+E182+E200</f>
        <v>0</v>
      </c>
      <c r="F178" s="600">
        <f>F179+F180+F182+F200</f>
        <v>0</v>
      </c>
      <c r="G178" s="600">
        <f>G179+G180+G182+G200</f>
        <v>0</v>
      </c>
      <c r="H178" s="601">
        <f t="shared" si="12"/>
        <v>0</v>
      </c>
      <c r="I178" s="600">
        <v>0</v>
      </c>
      <c r="J178" s="600">
        <f>J179+J180+J182+J200</f>
        <v>0</v>
      </c>
      <c r="K178" s="600">
        <f>K179+K180+K182+K200</f>
        <v>0</v>
      </c>
      <c r="L178" s="600">
        <f>L179+L180+L182+L200</f>
        <v>0</v>
      </c>
      <c r="M178" s="601">
        <f t="shared" si="13"/>
        <v>0</v>
      </c>
      <c r="N178" s="600">
        <v>0</v>
      </c>
      <c r="O178" s="600">
        <f>O179+O180+O182+O200</f>
        <v>0</v>
      </c>
      <c r="P178" s="600">
        <f>P179+P180+P182+P200</f>
        <v>0</v>
      </c>
      <c r="Q178" s="600">
        <f>Q179+Q180+Q182+Q200</f>
        <v>0</v>
      </c>
      <c r="R178" s="601">
        <f t="shared" si="14"/>
        <v>0</v>
      </c>
    </row>
    <row r="179" spans="1:18" s="6" customFormat="1" ht="24" hidden="1" customHeight="1">
      <c r="A179" s="130" t="s">
        <v>177</v>
      </c>
      <c r="B179" s="124" t="s">
        <v>90</v>
      </c>
      <c r="C179" s="98"/>
      <c r="D179" s="98">
        <v>0</v>
      </c>
      <c r="E179" s="231"/>
      <c r="F179" s="231"/>
      <c r="G179" s="231"/>
      <c r="H179" s="232">
        <f t="shared" si="12"/>
        <v>0</v>
      </c>
      <c r="I179" s="231">
        <v>0</v>
      </c>
      <c r="J179" s="231"/>
      <c r="K179" s="231"/>
      <c r="L179" s="231"/>
      <c r="M179" s="232">
        <f t="shared" si="13"/>
        <v>0</v>
      </c>
      <c r="N179" s="231">
        <v>0</v>
      </c>
      <c r="O179" s="231"/>
      <c r="P179" s="231"/>
      <c r="Q179" s="231"/>
      <c r="R179" s="232">
        <f t="shared" si="14"/>
        <v>0</v>
      </c>
    </row>
    <row r="180" spans="1:18" s="6" customFormat="1" ht="12" hidden="1" customHeight="1">
      <c r="A180" s="130" t="s">
        <v>91</v>
      </c>
      <c r="B180" s="124" t="s">
        <v>92</v>
      </c>
      <c r="C180" s="98"/>
      <c r="D180" s="98">
        <v>0</v>
      </c>
      <c r="E180" s="231"/>
      <c r="F180" s="231"/>
      <c r="G180" s="231"/>
      <c r="H180" s="232">
        <f t="shared" si="12"/>
        <v>0</v>
      </c>
      <c r="I180" s="231">
        <v>0</v>
      </c>
      <c r="J180" s="231"/>
      <c r="K180" s="231"/>
      <c r="L180" s="231"/>
      <c r="M180" s="232">
        <f t="shared" si="13"/>
        <v>0</v>
      </c>
      <c r="N180" s="231">
        <v>0</v>
      </c>
      <c r="O180" s="231"/>
      <c r="P180" s="231"/>
      <c r="Q180" s="231"/>
      <c r="R180" s="232">
        <f t="shared" si="14"/>
        <v>0</v>
      </c>
    </row>
    <row r="181" spans="1:18" s="29" customFormat="1" ht="24" hidden="1" customHeight="1">
      <c r="A181" s="131">
        <v>21210</v>
      </c>
      <c r="B181" s="125" t="s">
        <v>93</v>
      </c>
      <c r="C181" s="98"/>
      <c r="D181" s="98">
        <v>0</v>
      </c>
      <c r="E181" s="231"/>
      <c r="F181" s="231"/>
      <c r="G181" s="231"/>
      <c r="H181" s="232">
        <f t="shared" si="12"/>
        <v>0</v>
      </c>
      <c r="I181" s="231">
        <v>0</v>
      </c>
      <c r="J181" s="231"/>
      <c r="K181" s="231"/>
      <c r="L181" s="231"/>
      <c r="M181" s="232">
        <f t="shared" si="13"/>
        <v>0</v>
      </c>
      <c r="N181" s="231">
        <v>0</v>
      </c>
      <c r="O181" s="231"/>
      <c r="P181" s="231"/>
      <c r="Q181" s="231"/>
      <c r="R181" s="232">
        <f t="shared" si="14"/>
        <v>0</v>
      </c>
    </row>
    <row r="182" spans="1:18" s="89" customFormat="1" ht="21" hidden="1" customHeight="1">
      <c r="A182" s="130" t="s">
        <v>178</v>
      </c>
      <c r="B182" s="124" t="s">
        <v>94</v>
      </c>
      <c r="C182" s="170">
        <v>0</v>
      </c>
      <c r="D182" s="170">
        <v>0</v>
      </c>
      <c r="E182" s="233">
        <f>E183+E189</f>
        <v>0</v>
      </c>
      <c r="F182" s="233">
        <f>F183+F189</f>
        <v>0</v>
      </c>
      <c r="G182" s="233">
        <f>G183+G189</f>
        <v>0</v>
      </c>
      <c r="H182" s="232">
        <f t="shared" si="12"/>
        <v>0</v>
      </c>
      <c r="I182" s="233">
        <v>0</v>
      </c>
      <c r="J182" s="233">
        <f>J183+J189</f>
        <v>0</v>
      </c>
      <c r="K182" s="233">
        <f>K183+K189</f>
        <v>0</v>
      </c>
      <c r="L182" s="233">
        <f>L183+L189</f>
        <v>0</v>
      </c>
      <c r="M182" s="232">
        <f t="shared" si="13"/>
        <v>0</v>
      </c>
      <c r="N182" s="233">
        <v>0</v>
      </c>
      <c r="O182" s="233">
        <f>O183+O189</f>
        <v>0</v>
      </c>
      <c r="P182" s="233">
        <f>P183+P189</f>
        <v>0</v>
      </c>
      <c r="Q182" s="233">
        <f>Q183+Q189</f>
        <v>0</v>
      </c>
      <c r="R182" s="232">
        <f t="shared" si="14"/>
        <v>0</v>
      </c>
    </row>
    <row r="183" spans="1:18" s="89" customFormat="1" ht="12" hidden="1" customHeight="1">
      <c r="A183" s="132">
        <v>18000</v>
      </c>
      <c r="B183" s="125" t="s">
        <v>95</v>
      </c>
      <c r="C183" s="170">
        <v>0</v>
      </c>
      <c r="D183" s="170">
        <v>0</v>
      </c>
      <c r="E183" s="233">
        <f t="shared" ref="E183:G184" si="15">E184</f>
        <v>0</v>
      </c>
      <c r="F183" s="233">
        <f t="shared" si="15"/>
        <v>0</v>
      </c>
      <c r="G183" s="233">
        <f t="shared" si="15"/>
        <v>0</v>
      </c>
      <c r="H183" s="232">
        <f t="shared" si="12"/>
        <v>0</v>
      </c>
      <c r="I183" s="233">
        <v>0</v>
      </c>
      <c r="J183" s="233">
        <f t="shared" ref="J183:L184" si="16">J184</f>
        <v>0</v>
      </c>
      <c r="K183" s="233">
        <f t="shared" si="16"/>
        <v>0</v>
      </c>
      <c r="L183" s="233">
        <f t="shared" si="16"/>
        <v>0</v>
      </c>
      <c r="M183" s="232">
        <f t="shared" si="13"/>
        <v>0</v>
      </c>
      <c r="N183" s="233">
        <v>0</v>
      </c>
      <c r="O183" s="233">
        <f t="shared" ref="O183:Q184" si="17">O184</f>
        <v>0</v>
      </c>
      <c r="P183" s="233">
        <f t="shared" si="17"/>
        <v>0</v>
      </c>
      <c r="Q183" s="233">
        <f t="shared" si="17"/>
        <v>0</v>
      </c>
      <c r="R183" s="232">
        <f t="shared" si="14"/>
        <v>0</v>
      </c>
    </row>
    <row r="184" spans="1:18" s="89" customFormat="1" ht="12" hidden="1" customHeight="1">
      <c r="A184" s="132">
        <v>18100</v>
      </c>
      <c r="B184" s="125" t="s">
        <v>96</v>
      </c>
      <c r="C184" s="170">
        <v>0</v>
      </c>
      <c r="D184" s="170">
        <v>0</v>
      </c>
      <c r="E184" s="233">
        <f t="shared" si="15"/>
        <v>0</v>
      </c>
      <c r="F184" s="233">
        <f t="shared" si="15"/>
        <v>0</v>
      </c>
      <c r="G184" s="233">
        <f t="shared" si="15"/>
        <v>0</v>
      </c>
      <c r="H184" s="232">
        <f t="shared" si="12"/>
        <v>0</v>
      </c>
      <c r="I184" s="233">
        <v>0</v>
      </c>
      <c r="J184" s="233">
        <f t="shared" si="16"/>
        <v>0</v>
      </c>
      <c r="K184" s="233">
        <f t="shared" si="16"/>
        <v>0</v>
      </c>
      <c r="L184" s="233">
        <f t="shared" si="16"/>
        <v>0</v>
      </c>
      <c r="M184" s="232">
        <f t="shared" si="13"/>
        <v>0</v>
      </c>
      <c r="N184" s="233">
        <v>0</v>
      </c>
      <c r="O184" s="233">
        <f t="shared" si="17"/>
        <v>0</v>
      </c>
      <c r="P184" s="233">
        <f t="shared" si="17"/>
        <v>0</v>
      </c>
      <c r="Q184" s="233">
        <f t="shared" si="17"/>
        <v>0</v>
      </c>
      <c r="R184" s="232">
        <f t="shared" si="14"/>
        <v>0</v>
      </c>
    </row>
    <row r="185" spans="1:18" s="89" customFormat="1" ht="24" hidden="1" customHeight="1">
      <c r="A185" s="133">
        <v>18130</v>
      </c>
      <c r="B185" s="172" t="s">
        <v>159</v>
      </c>
      <c r="C185" s="170">
        <v>0</v>
      </c>
      <c r="D185" s="170">
        <v>0</v>
      </c>
      <c r="E185" s="233">
        <f>SUM(E186:E188)</f>
        <v>0</v>
      </c>
      <c r="F185" s="233">
        <f>SUM(F186:F188)</f>
        <v>0</v>
      </c>
      <c r="G185" s="233">
        <f>SUM(G186:G188)</f>
        <v>0</v>
      </c>
      <c r="H185" s="232">
        <f t="shared" si="12"/>
        <v>0</v>
      </c>
      <c r="I185" s="233">
        <v>0</v>
      </c>
      <c r="J185" s="233">
        <f>SUM(J186:J188)</f>
        <v>0</v>
      </c>
      <c r="K185" s="233">
        <f>SUM(K186:K188)</f>
        <v>0</v>
      </c>
      <c r="L185" s="233">
        <f>SUM(L186:L188)</f>
        <v>0</v>
      </c>
      <c r="M185" s="232">
        <f t="shared" si="13"/>
        <v>0</v>
      </c>
      <c r="N185" s="233">
        <v>0</v>
      </c>
      <c r="O185" s="233">
        <f>SUM(O186:O188)</f>
        <v>0</v>
      </c>
      <c r="P185" s="233">
        <f>SUM(P186:P188)</f>
        <v>0</v>
      </c>
      <c r="Q185" s="233">
        <f>SUM(Q186:Q188)</f>
        <v>0</v>
      </c>
      <c r="R185" s="232">
        <f t="shared" si="14"/>
        <v>0</v>
      </c>
    </row>
    <row r="186" spans="1:18" s="89" customFormat="1" ht="36" hidden="1" customHeight="1">
      <c r="A186" s="134">
        <v>18131</v>
      </c>
      <c r="B186" s="172" t="s">
        <v>160</v>
      </c>
      <c r="C186" s="170"/>
      <c r="D186" s="170">
        <v>0</v>
      </c>
      <c r="E186" s="233"/>
      <c r="F186" s="233"/>
      <c r="G186" s="233"/>
      <c r="H186" s="232">
        <f t="shared" si="12"/>
        <v>0</v>
      </c>
      <c r="I186" s="233">
        <v>0</v>
      </c>
      <c r="J186" s="233"/>
      <c r="K186" s="233"/>
      <c r="L186" s="233"/>
      <c r="M186" s="232">
        <f t="shared" si="13"/>
        <v>0</v>
      </c>
      <c r="N186" s="233">
        <v>0</v>
      </c>
      <c r="O186" s="233"/>
      <c r="P186" s="233"/>
      <c r="Q186" s="233"/>
      <c r="R186" s="232">
        <f t="shared" si="14"/>
        <v>0</v>
      </c>
    </row>
    <row r="187" spans="1:18" s="89" customFormat="1" ht="24" hidden="1" customHeight="1">
      <c r="A187" s="134">
        <v>18132</v>
      </c>
      <c r="B187" s="172" t="s">
        <v>169</v>
      </c>
      <c r="C187" s="170"/>
      <c r="D187" s="170">
        <v>0</v>
      </c>
      <c r="E187" s="233"/>
      <c r="F187" s="233"/>
      <c r="G187" s="233"/>
      <c r="H187" s="232">
        <f t="shared" si="12"/>
        <v>0</v>
      </c>
      <c r="I187" s="233">
        <v>0</v>
      </c>
      <c r="J187" s="233"/>
      <c r="K187" s="233"/>
      <c r="L187" s="233"/>
      <c r="M187" s="232">
        <f t="shared" si="13"/>
        <v>0</v>
      </c>
      <c r="N187" s="233">
        <v>0</v>
      </c>
      <c r="O187" s="233"/>
      <c r="P187" s="233"/>
      <c r="Q187" s="233"/>
      <c r="R187" s="232">
        <f t="shared" si="14"/>
        <v>0</v>
      </c>
    </row>
    <row r="188" spans="1:18" s="89" customFormat="1" ht="24" hidden="1" customHeight="1">
      <c r="A188" s="134">
        <v>18139</v>
      </c>
      <c r="B188" s="172" t="s">
        <v>179</v>
      </c>
      <c r="C188" s="170"/>
      <c r="D188" s="170">
        <v>0</v>
      </c>
      <c r="E188" s="233"/>
      <c r="F188" s="233"/>
      <c r="G188" s="233"/>
      <c r="H188" s="232">
        <f t="shared" si="12"/>
        <v>0</v>
      </c>
      <c r="I188" s="233">
        <v>0</v>
      </c>
      <c r="J188" s="233"/>
      <c r="K188" s="233"/>
      <c r="L188" s="233"/>
      <c r="M188" s="232">
        <f t="shared" si="13"/>
        <v>0</v>
      </c>
      <c r="N188" s="233">
        <v>0</v>
      </c>
      <c r="O188" s="233"/>
      <c r="P188" s="233"/>
      <c r="Q188" s="233"/>
      <c r="R188" s="232">
        <f t="shared" si="14"/>
        <v>0</v>
      </c>
    </row>
    <row r="189" spans="1:18" s="89" customFormat="1" ht="12" hidden="1" customHeight="1">
      <c r="A189" s="135" t="s">
        <v>180</v>
      </c>
      <c r="B189" s="173" t="s">
        <v>173</v>
      </c>
      <c r="C189" s="201">
        <v>0</v>
      </c>
      <c r="D189" s="201">
        <v>0</v>
      </c>
      <c r="E189" s="238">
        <f>E190</f>
        <v>0</v>
      </c>
      <c r="F189" s="238">
        <f>F190</f>
        <v>0</v>
      </c>
      <c r="G189" s="238">
        <f>G190</f>
        <v>0</v>
      </c>
      <c r="H189" s="232">
        <f t="shared" si="12"/>
        <v>0</v>
      </c>
      <c r="I189" s="238">
        <v>0</v>
      </c>
      <c r="J189" s="238">
        <f>J190</f>
        <v>0</v>
      </c>
      <c r="K189" s="238">
        <f>K190</f>
        <v>0</v>
      </c>
      <c r="L189" s="238">
        <f>L190</f>
        <v>0</v>
      </c>
      <c r="M189" s="232">
        <f t="shared" si="13"/>
        <v>0</v>
      </c>
      <c r="N189" s="238">
        <v>0</v>
      </c>
      <c r="O189" s="238">
        <f>O190</f>
        <v>0</v>
      </c>
      <c r="P189" s="238">
        <f>P190</f>
        <v>0</v>
      </c>
      <c r="Q189" s="238">
        <f>Q190</f>
        <v>0</v>
      </c>
      <c r="R189" s="232">
        <f t="shared" si="14"/>
        <v>0</v>
      </c>
    </row>
    <row r="190" spans="1:18" s="89" customFormat="1" ht="24" hidden="1" customHeight="1">
      <c r="A190" s="135">
        <v>19500</v>
      </c>
      <c r="B190" s="172" t="s">
        <v>174</v>
      </c>
      <c r="C190" s="170">
        <v>0</v>
      </c>
      <c r="D190" s="170">
        <v>0</v>
      </c>
      <c r="E190" s="233">
        <f>SUM(E191:E193)</f>
        <v>0</v>
      </c>
      <c r="F190" s="233">
        <f>SUM(F191:F193)</f>
        <v>0</v>
      </c>
      <c r="G190" s="233">
        <f>SUM(G191:G193)</f>
        <v>0</v>
      </c>
      <c r="H190" s="232">
        <f t="shared" si="12"/>
        <v>0</v>
      </c>
      <c r="I190" s="233">
        <v>0</v>
      </c>
      <c r="J190" s="233">
        <f>SUM(J191:J193)</f>
        <v>0</v>
      </c>
      <c r="K190" s="233">
        <f>SUM(K191:K193)</f>
        <v>0</v>
      </c>
      <c r="L190" s="233">
        <f>SUM(L191:L193)</f>
        <v>0</v>
      </c>
      <c r="M190" s="232">
        <f t="shared" si="13"/>
        <v>0</v>
      </c>
      <c r="N190" s="233">
        <v>0</v>
      </c>
      <c r="O190" s="233">
        <f>SUM(O191:O193)</f>
        <v>0</v>
      </c>
      <c r="P190" s="233">
        <f>SUM(P191:P193)</f>
        <v>0</v>
      </c>
      <c r="Q190" s="233">
        <f>SUM(Q191:Q193)</f>
        <v>0</v>
      </c>
      <c r="R190" s="232">
        <f t="shared" si="14"/>
        <v>0</v>
      </c>
    </row>
    <row r="191" spans="1:18" s="89" customFormat="1" ht="24" hidden="1" customHeight="1">
      <c r="A191" s="136">
        <v>19550</v>
      </c>
      <c r="B191" s="172" t="s">
        <v>175</v>
      </c>
      <c r="C191" s="170"/>
      <c r="D191" s="170">
        <v>0</v>
      </c>
      <c r="E191" s="233"/>
      <c r="F191" s="233"/>
      <c r="G191" s="233"/>
      <c r="H191" s="232">
        <f t="shared" si="12"/>
        <v>0</v>
      </c>
      <c r="I191" s="233">
        <v>0</v>
      </c>
      <c r="J191" s="233"/>
      <c r="K191" s="233"/>
      <c r="L191" s="233"/>
      <c r="M191" s="232">
        <f t="shared" si="13"/>
        <v>0</v>
      </c>
      <c r="N191" s="233">
        <v>0</v>
      </c>
      <c r="O191" s="233"/>
      <c r="P191" s="233"/>
      <c r="Q191" s="233"/>
      <c r="R191" s="232">
        <f t="shared" si="14"/>
        <v>0</v>
      </c>
    </row>
    <row r="192" spans="1:18" s="89" customFormat="1" ht="36" hidden="1" customHeight="1">
      <c r="A192" s="136">
        <v>19560</v>
      </c>
      <c r="B192" s="172" t="s">
        <v>181</v>
      </c>
      <c r="C192" s="170"/>
      <c r="D192" s="170">
        <v>0</v>
      </c>
      <c r="E192" s="233"/>
      <c r="F192" s="233"/>
      <c r="G192" s="233"/>
      <c r="H192" s="232">
        <f t="shared" si="12"/>
        <v>0</v>
      </c>
      <c r="I192" s="233">
        <v>0</v>
      </c>
      <c r="J192" s="233"/>
      <c r="K192" s="233"/>
      <c r="L192" s="233"/>
      <c r="M192" s="232">
        <f t="shared" si="13"/>
        <v>0</v>
      </c>
      <c r="N192" s="233">
        <v>0</v>
      </c>
      <c r="O192" s="233"/>
      <c r="P192" s="233"/>
      <c r="Q192" s="233"/>
      <c r="R192" s="232">
        <f t="shared" si="14"/>
        <v>0</v>
      </c>
    </row>
    <row r="193" spans="1:18" s="89" customFormat="1" ht="72" hidden="1" customHeight="1">
      <c r="A193" s="136">
        <v>19570</v>
      </c>
      <c r="B193" s="172" t="s">
        <v>182</v>
      </c>
      <c r="C193" s="170"/>
      <c r="D193" s="170">
        <v>0</v>
      </c>
      <c r="E193" s="233"/>
      <c r="F193" s="233"/>
      <c r="G193" s="233"/>
      <c r="H193" s="232">
        <f t="shared" si="12"/>
        <v>0</v>
      </c>
      <c r="I193" s="233">
        <v>0</v>
      </c>
      <c r="J193" s="233"/>
      <c r="K193" s="233"/>
      <c r="L193" s="233"/>
      <c r="M193" s="232">
        <f t="shared" si="13"/>
        <v>0</v>
      </c>
      <c r="N193" s="233">
        <v>0</v>
      </c>
      <c r="O193" s="233"/>
      <c r="P193" s="233"/>
      <c r="Q193" s="233"/>
      <c r="R193" s="232">
        <f t="shared" si="14"/>
        <v>0</v>
      </c>
    </row>
    <row r="194" spans="1:18" s="6" customFormat="1" ht="24" hidden="1" customHeight="1">
      <c r="A194" s="209" t="s">
        <v>222</v>
      </c>
      <c r="B194" s="208" t="s">
        <v>216</v>
      </c>
      <c r="C194" s="106">
        <f>C195</f>
        <v>0</v>
      </c>
      <c r="D194" s="106">
        <v>0</v>
      </c>
      <c r="E194" s="232">
        <f>E195</f>
        <v>0</v>
      </c>
      <c r="F194" s="232">
        <f>F195</f>
        <v>0</v>
      </c>
      <c r="G194" s="232">
        <f>G195</f>
        <v>0</v>
      </c>
      <c r="H194" s="232">
        <f t="shared" si="12"/>
        <v>0</v>
      </c>
      <c r="I194" s="233">
        <v>0</v>
      </c>
      <c r="J194" s="232">
        <f>J195</f>
        <v>0</v>
      </c>
      <c r="K194" s="232">
        <f>K195</f>
        <v>0</v>
      </c>
      <c r="L194" s="232">
        <f>L195</f>
        <v>0</v>
      </c>
      <c r="M194" s="232">
        <f t="shared" si="13"/>
        <v>0</v>
      </c>
      <c r="N194" s="233">
        <v>0</v>
      </c>
      <c r="O194" s="232">
        <f>O195</f>
        <v>0</v>
      </c>
      <c r="P194" s="232">
        <f>P195</f>
        <v>0</v>
      </c>
      <c r="Q194" s="232">
        <f>Q195</f>
        <v>0</v>
      </c>
      <c r="R194" s="232">
        <f t="shared" si="14"/>
        <v>0</v>
      </c>
    </row>
    <row r="195" spans="1:18" s="6" customFormat="1" ht="36" hidden="1" customHeight="1">
      <c r="A195" s="209">
        <v>17100</v>
      </c>
      <c r="B195" s="208" t="s">
        <v>217</v>
      </c>
      <c r="C195" s="106">
        <f>SUM(C196:C199)</f>
        <v>0</v>
      </c>
      <c r="D195" s="106">
        <v>0</v>
      </c>
      <c r="E195" s="232">
        <f>SUM(E196:E199)</f>
        <v>0</v>
      </c>
      <c r="F195" s="232">
        <f>SUM(F196:F199)</f>
        <v>0</v>
      </c>
      <c r="G195" s="232">
        <f>SUM(G196:G199)</f>
        <v>0</v>
      </c>
      <c r="H195" s="232">
        <f t="shared" si="12"/>
        <v>0</v>
      </c>
      <c r="I195" s="233">
        <v>0</v>
      </c>
      <c r="J195" s="232">
        <f>SUM(J196:J199)</f>
        <v>0</v>
      </c>
      <c r="K195" s="232">
        <f>SUM(K196:K199)</f>
        <v>0</v>
      </c>
      <c r="L195" s="232">
        <f>SUM(L196:L199)</f>
        <v>0</v>
      </c>
      <c r="M195" s="232">
        <f t="shared" si="13"/>
        <v>0</v>
      </c>
      <c r="N195" s="233">
        <v>0</v>
      </c>
      <c r="O195" s="232">
        <f>SUM(O196:O199)</f>
        <v>0</v>
      </c>
      <c r="P195" s="232">
        <f>SUM(P196:P199)</f>
        <v>0</v>
      </c>
      <c r="Q195" s="232">
        <f>SUM(Q196:Q199)</f>
        <v>0</v>
      </c>
      <c r="R195" s="232">
        <f t="shared" si="14"/>
        <v>0</v>
      </c>
    </row>
    <row r="196" spans="1:18" s="6" customFormat="1" ht="60" hidden="1" customHeight="1">
      <c r="A196" s="149">
        <v>17110</v>
      </c>
      <c r="B196" s="208" t="s">
        <v>218</v>
      </c>
      <c r="C196" s="106"/>
      <c r="D196" s="106">
        <v>0</v>
      </c>
      <c r="E196" s="233"/>
      <c r="F196" s="233"/>
      <c r="G196" s="233"/>
      <c r="H196" s="232">
        <f t="shared" si="12"/>
        <v>0</v>
      </c>
      <c r="I196" s="233">
        <v>0</v>
      </c>
      <c r="J196" s="233"/>
      <c r="K196" s="233"/>
      <c r="L196" s="233"/>
      <c r="M196" s="232">
        <f t="shared" si="13"/>
        <v>0</v>
      </c>
      <c r="N196" s="233">
        <v>0</v>
      </c>
      <c r="O196" s="233"/>
      <c r="P196" s="233"/>
      <c r="Q196" s="233"/>
      <c r="R196" s="232">
        <f t="shared" si="14"/>
        <v>0</v>
      </c>
    </row>
    <row r="197" spans="1:18" s="6" customFormat="1" ht="60" hidden="1" customHeight="1">
      <c r="A197" s="149">
        <v>17120</v>
      </c>
      <c r="B197" s="208" t="s">
        <v>219</v>
      </c>
      <c r="C197" s="106"/>
      <c r="D197" s="106">
        <v>0</v>
      </c>
      <c r="E197" s="233"/>
      <c r="F197" s="233"/>
      <c r="G197" s="233"/>
      <c r="H197" s="232">
        <f t="shared" si="12"/>
        <v>0</v>
      </c>
      <c r="I197" s="233">
        <v>0</v>
      </c>
      <c r="J197" s="233"/>
      <c r="K197" s="233"/>
      <c r="L197" s="233"/>
      <c r="M197" s="232">
        <f t="shared" si="13"/>
        <v>0</v>
      </c>
      <c r="N197" s="233">
        <v>0</v>
      </c>
      <c r="O197" s="233"/>
      <c r="P197" s="233"/>
      <c r="Q197" s="233"/>
      <c r="R197" s="232">
        <f t="shared" si="14"/>
        <v>0</v>
      </c>
    </row>
    <row r="198" spans="1:18" s="6" customFormat="1" ht="108" hidden="1" customHeight="1">
      <c r="A198" s="149">
        <v>17130</v>
      </c>
      <c r="B198" s="208" t="s">
        <v>560</v>
      </c>
      <c r="C198" s="106"/>
      <c r="D198" s="106">
        <v>0</v>
      </c>
      <c r="E198" s="233"/>
      <c r="F198" s="233"/>
      <c r="G198" s="233"/>
      <c r="H198" s="232">
        <f t="shared" si="12"/>
        <v>0</v>
      </c>
      <c r="I198" s="233">
        <v>0</v>
      </c>
      <c r="J198" s="233"/>
      <c r="K198" s="233"/>
      <c r="L198" s="233"/>
      <c r="M198" s="232">
        <f t="shared" si="13"/>
        <v>0</v>
      </c>
      <c r="N198" s="233">
        <v>0</v>
      </c>
      <c r="O198" s="233"/>
      <c r="P198" s="233"/>
      <c r="Q198" s="233"/>
      <c r="R198" s="232">
        <f t="shared" si="14"/>
        <v>0</v>
      </c>
    </row>
    <row r="199" spans="1:18" s="6" customFormat="1" ht="108" hidden="1" customHeight="1">
      <c r="A199" s="149">
        <v>17140</v>
      </c>
      <c r="B199" s="208" t="s">
        <v>561</v>
      </c>
      <c r="C199" s="106"/>
      <c r="D199" s="106">
        <v>0</v>
      </c>
      <c r="E199" s="233"/>
      <c r="F199" s="233"/>
      <c r="G199" s="233"/>
      <c r="H199" s="232">
        <f t="shared" si="12"/>
        <v>0</v>
      </c>
      <c r="I199" s="233">
        <v>0</v>
      </c>
      <c r="J199" s="233"/>
      <c r="K199" s="233"/>
      <c r="L199" s="233"/>
      <c r="M199" s="232">
        <f t="shared" si="13"/>
        <v>0</v>
      </c>
      <c r="N199" s="233">
        <v>0</v>
      </c>
      <c r="O199" s="233"/>
      <c r="P199" s="233"/>
      <c r="Q199" s="233"/>
      <c r="R199" s="232">
        <f t="shared" si="14"/>
        <v>0</v>
      </c>
    </row>
    <row r="200" spans="1:18" s="89" customFormat="1" ht="12" hidden="1" customHeight="1">
      <c r="A200" s="137">
        <v>21700</v>
      </c>
      <c r="B200" s="124" t="s">
        <v>97</v>
      </c>
      <c r="C200" s="170">
        <v>0</v>
      </c>
      <c r="D200" s="170">
        <v>0</v>
      </c>
      <c r="E200" s="233">
        <f>E201+E202</f>
        <v>0</v>
      </c>
      <c r="F200" s="233">
        <f>F201+F202</f>
        <v>0</v>
      </c>
      <c r="G200" s="233">
        <f>G201+G202</f>
        <v>0</v>
      </c>
      <c r="H200" s="232">
        <f t="shared" si="12"/>
        <v>0</v>
      </c>
      <c r="I200" s="233">
        <v>0</v>
      </c>
      <c r="J200" s="233">
        <f>J201+J202</f>
        <v>0</v>
      </c>
      <c r="K200" s="233">
        <f>K201+K202</f>
        <v>0</v>
      </c>
      <c r="L200" s="233">
        <f>L201+L202</f>
        <v>0</v>
      </c>
      <c r="M200" s="232">
        <f t="shared" si="13"/>
        <v>0</v>
      </c>
      <c r="N200" s="233">
        <v>0</v>
      </c>
      <c r="O200" s="233">
        <f>O201+O202</f>
        <v>0</v>
      </c>
      <c r="P200" s="233">
        <f>P201+P202</f>
        <v>0</v>
      </c>
      <c r="Q200" s="233">
        <f>Q201+Q202</f>
        <v>0</v>
      </c>
      <c r="R200" s="232">
        <f t="shared" si="14"/>
        <v>0</v>
      </c>
    </row>
    <row r="201" spans="1:18" s="89" customFormat="1" ht="24" hidden="1" customHeight="1">
      <c r="A201" s="138">
        <v>21710</v>
      </c>
      <c r="B201" s="125" t="s">
        <v>98</v>
      </c>
      <c r="C201" s="170"/>
      <c r="D201" s="170">
        <v>0</v>
      </c>
      <c r="E201" s="233"/>
      <c r="F201" s="233"/>
      <c r="G201" s="233"/>
      <c r="H201" s="232">
        <f t="shared" si="12"/>
        <v>0</v>
      </c>
      <c r="I201" s="233">
        <v>0</v>
      </c>
      <c r="J201" s="233"/>
      <c r="K201" s="233"/>
      <c r="L201" s="233"/>
      <c r="M201" s="232">
        <f t="shared" si="13"/>
        <v>0</v>
      </c>
      <c r="N201" s="233">
        <v>0</v>
      </c>
      <c r="O201" s="233"/>
      <c r="P201" s="233"/>
      <c r="Q201" s="233"/>
      <c r="R201" s="232">
        <f t="shared" si="14"/>
        <v>0</v>
      </c>
    </row>
    <row r="202" spans="1:18" s="29" customFormat="1" ht="24" hidden="1" customHeight="1">
      <c r="A202" s="138">
        <v>21720</v>
      </c>
      <c r="B202" s="125" t="s">
        <v>99</v>
      </c>
      <c r="C202" s="170"/>
      <c r="D202" s="170">
        <v>0</v>
      </c>
      <c r="E202" s="233"/>
      <c r="F202" s="233"/>
      <c r="G202" s="233"/>
      <c r="H202" s="232">
        <f t="shared" ref="H202:H260" si="18">SUM(D202:G202)</f>
        <v>0</v>
      </c>
      <c r="I202" s="233">
        <v>0</v>
      </c>
      <c r="J202" s="233"/>
      <c r="K202" s="233"/>
      <c r="L202" s="233"/>
      <c r="M202" s="232">
        <f t="shared" ref="M202:M260" si="19">SUM(I202:L202)</f>
        <v>0</v>
      </c>
      <c r="N202" s="233">
        <v>0</v>
      </c>
      <c r="O202" s="233"/>
      <c r="P202" s="233"/>
      <c r="Q202" s="233"/>
      <c r="R202" s="232">
        <f t="shared" ref="R202:R260" si="20">SUM(N202:Q202)</f>
        <v>0</v>
      </c>
    </row>
    <row r="203" spans="1:18" s="29" customFormat="1" ht="12" hidden="1" customHeight="1">
      <c r="A203" s="597" t="s">
        <v>100</v>
      </c>
      <c r="B203" s="598" t="s">
        <v>101</v>
      </c>
      <c r="C203" s="602">
        <v>0</v>
      </c>
      <c r="D203" s="602">
        <v>0</v>
      </c>
      <c r="E203" s="603">
        <f>E204+E231</f>
        <v>0</v>
      </c>
      <c r="F203" s="603">
        <f>F204+F231</f>
        <v>0</v>
      </c>
      <c r="G203" s="603">
        <f>G204+G231</f>
        <v>0</v>
      </c>
      <c r="H203" s="614">
        <f t="shared" si="18"/>
        <v>0</v>
      </c>
      <c r="I203" s="603">
        <v>0</v>
      </c>
      <c r="J203" s="603">
        <f>J204+J231</f>
        <v>0</v>
      </c>
      <c r="K203" s="603">
        <f>K204+K231</f>
        <v>0</v>
      </c>
      <c r="L203" s="603">
        <f>L204+L231</f>
        <v>0</v>
      </c>
      <c r="M203" s="614">
        <f t="shared" si="19"/>
        <v>0</v>
      </c>
      <c r="N203" s="603">
        <v>0</v>
      </c>
      <c r="O203" s="603">
        <f>O204+O231</f>
        <v>0</v>
      </c>
      <c r="P203" s="603">
        <f>P204+P231</f>
        <v>0</v>
      </c>
      <c r="Q203" s="603">
        <f>Q204+Q231</f>
        <v>0</v>
      </c>
      <c r="R203" s="614">
        <f t="shared" si="20"/>
        <v>0</v>
      </c>
    </row>
    <row r="204" spans="1:18" s="29" customFormat="1" ht="21" hidden="1" customHeight="1">
      <c r="A204" s="130" t="s">
        <v>102</v>
      </c>
      <c r="B204" s="124" t="s">
        <v>103</v>
      </c>
      <c r="C204" s="170">
        <v>0</v>
      </c>
      <c r="D204" s="170">
        <v>0</v>
      </c>
      <c r="E204" s="233">
        <f>E205+E209+E210+E213+E216</f>
        <v>0</v>
      </c>
      <c r="F204" s="233">
        <f>F205+F209+F210+F213+F216</f>
        <v>0</v>
      </c>
      <c r="G204" s="233">
        <f>G205+G209+G210+G213+G216</f>
        <v>0</v>
      </c>
      <c r="H204" s="232">
        <f t="shared" si="18"/>
        <v>0</v>
      </c>
      <c r="I204" s="233">
        <v>0</v>
      </c>
      <c r="J204" s="233">
        <f>J205+J209+J210+J213+J216</f>
        <v>0</v>
      </c>
      <c r="K204" s="233">
        <f>K205+K209+K210+K213+K216</f>
        <v>0</v>
      </c>
      <c r="L204" s="233">
        <f>L205+L209+L210+L213+L216</f>
        <v>0</v>
      </c>
      <c r="M204" s="232">
        <f t="shared" si="19"/>
        <v>0</v>
      </c>
      <c r="N204" s="233">
        <v>0</v>
      </c>
      <c r="O204" s="233">
        <f>O205+O209+O210+O213+O216</f>
        <v>0</v>
      </c>
      <c r="P204" s="233">
        <f>P205+P209+P210+P213+P216</f>
        <v>0</v>
      </c>
      <c r="Q204" s="233">
        <f>Q205+Q209+Q210+Q213+Q216</f>
        <v>0</v>
      </c>
      <c r="R204" s="232">
        <f t="shared" si="20"/>
        <v>0</v>
      </c>
    </row>
    <row r="205" spans="1:18" s="29" customFormat="1" ht="12" hidden="1" customHeight="1">
      <c r="A205" s="130" t="s">
        <v>104</v>
      </c>
      <c r="B205" s="124" t="s">
        <v>105</v>
      </c>
      <c r="C205" s="170">
        <v>0</v>
      </c>
      <c r="D205" s="170">
        <v>0</v>
      </c>
      <c r="E205" s="233">
        <f>E206+E208</f>
        <v>0</v>
      </c>
      <c r="F205" s="233">
        <f>F206+F208</f>
        <v>0</v>
      </c>
      <c r="G205" s="233">
        <f>G206+G208</f>
        <v>0</v>
      </c>
      <c r="H205" s="232">
        <f t="shared" si="18"/>
        <v>0</v>
      </c>
      <c r="I205" s="233">
        <v>0</v>
      </c>
      <c r="J205" s="233">
        <f>J206+J208</f>
        <v>0</v>
      </c>
      <c r="K205" s="233">
        <f>K206+K208</f>
        <v>0</v>
      </c>
      <c r="L205" s="233">
        <f>L206+L208</f>
        <v>0</v>
      </c>
      <c r="M205" s="232">
        <f t="shared" si="19"/>
        <v>0</v>
      </c>
      <c r="N205" s="233">
        <v>0</v>
      </c>
      <c r="O205" s="233">
        <f>O206+O208</f>
        <v>0</v>
      </c>
      <c r="P205" s="233">
        <f>P206+P208</f>
        <v>0</v>
      </c>
      <c r="Q205" s="233">
        <f>Q206+Q208</f>
        <v>0</v>
      </c>
      <c r="R205" s="232">
        <f t="shared" si="20"/>
        <v>0</v>
      </c>
    </row>
    <row r="206" spans="1:18" s="29" customFormat="1" ht="12" hidden="1" customHeight="1">
      <c r="A206" s="132">
        <v>1000</v>
      </c>
      <c r="B206" s="125" t="s">
        <v>106</v>
      </c>
      <c r="C206" s="170"/>
      <c r="D206" s="170">
        <v>0</v>
      </c>
      <c r="E206" s="244"/>
      <c r="F206" s="244"/>
      <c r="G206" s="244"/>
      <c r="H206" s="232">
        <f t="shared" si="18"/>
        <v>0</v>
      </c>
      <c r="I206" s="233">
        <v>0</v>
      </c>
      <c r="J206" s="244"/>
      <c r="K206" s="244"/>
      <c r="L206" s="244"/>
      <c r="M206" s="232">
        <f t="shared" si="19"/>
        <v>0</v>
      </c>
      <c r="N206" s="233">
        <v>0</v>
      </c>
      <c r="O206" s="244"/>
      <c r="P206" s="244"/>
      <c r="Q206" s="244"/>
      <c r="R206" s="232">
        <f t="shared" si="20"/>
        <v>0</v>
      </c>
    </row>
    <row r="207" spans="1:18" s="29" customFormat="1" ht="12" hidden="1" customHeight="1">
      <c r="A207" s="139">
        <v>1100</v>
      </c>
      <c r="B207" s="125" t="s">
        <v>107</v>
      </c>
      <c r="C207" s="170"/>
      <c r="D207" s="170">
        <v>0</v>
      </c>
      <c r="E207" s="244"/>
      <c r="F207" s="244"/>
      <c r="G207" s="244"/>
      <c r="H207" s="232">
        <f t="shared" si="18"/>
        <v>0</v>
      </c>
      <c r="I207" s="233">
        <v>0</v>
      </c>
      <c r="J207" s="244"/>
      <c r="K207" s="244"/>
      <c r="L207" s="244"/>
      <c r="M207" s="232">
        <f t="shared" si="19"/>
        <v>0</v>
      </c>
      <c r="N207" s="233">
        <v>0</v>
      </c>
      <c r="O207" s="244"/>
      <c r="P207" s="244"/>
      <c r="Q207" s="244"/>
      <c r="R207" s="232">
        <f t="shared" si="20"/>
        <v>0</v>
      </c>
    </row>
    <row r="208" spans="1:18" s="29" customFormat="1" ht="12" hidden="1" customHeight="1">
      <c r="A208" s="132">
        <v>2000</v>
      </c>
      <c r="B208" s="125" t="s">
        <v>108</v>
      </c>
      <c r="C208" s="170"/>
      <c r="D208" s="170">
        <v>0</v>
      </c>
      <c r="E208" s="244"/>
      <c r="F208" s="244"/>
      <c r="G208" s="244"/>
      <c r="H208" s="232">
        <f t="shared" si="18"/>
        <v>0</v>
      </c>
      <c r="I208" s="233">
        <v>0</v>
      </c>
      <c r="J208" s="244"/>
      <c r="K208" s="244"/>
      <c r="L208" s="244"/>
      <c r="M208" s="232">
        <f t="shared" si="19"/>
        <v>0</v>
      </c>
      <c r="N208" s="233">
        <v>0</v>
      </c>
      <c r="O208" s="244"/>
      <c r="P208" s="244"/>
      <c r="Q208" s="244"/>
      <c r="R208" s="232">
        <f t="shared" si="20"/>
        <v>0</v>
      </c>
    </row>
    <row r="209" spans="1:18" s="29" customFormat="1" ht="12" hidden="1" customHeight="1">
      <c r="A209" s="140">
        <v>4000</v>
      </c>
      <c r="B209" s="124" t="s">
        <v>132</v>
      </c>
      <c r="C209" s="170"/>
      <c r="D209" s="170">
        <v>0</v>
      </c>
      <c r="E209" s="244"/>
      <c r="F209" s="244"/>
      <c r="G209" s="244"/>
      <c r="H209" s="232">
        <f t="shared" si="18"/>
        <v>0</v>
      </c>
      <c r="I209" s="233">
        <v>0</v>
      </c>
      <c r="J209" s="244"/>
      <c r="K209" s="244"/>
      <c r="L209" s="244"/>
      <c r="M209" s="232">
        <f t="shared" si="19"/>
        <v>0</v>
      </c>
      <c r="N209" s="233">
        <v>0</v>
      </c>
      <c r="O209" s="244"/>
      <c r="P209" s="244"/>
      <c r="Q209" s="244"/>
      <c r="R209" s="232">
        <f t="shared" si="20"/>
        <v>0</v>
      </c>
    </row>
    <row r="210" spans="1:18" s="29" customFormat="1" ht="12" hidden="1" customHeight="1">
      <c r="A210" s="140" t="s">
        <v>109</v>
      </c>
      <c r="B210" s="124" t="s">
        <v>110</v>
      </c>
      <c r="C210" s="170">
        <v>0</v>
      </c>
      <c r="D210" s="170">
        <v>0</v>
      </c>
      <c r="E210" s="233">
        <f>E211+E212</f>
        <v>0</v>
      </c>
      <c r="F210" s="233">
        <f>F211+F212</f>
        <v>0</v>
      </c>
      <c r="G210" s="233">
        <f>G211+G212</f>
        <v>0</v>
      </c>
      <c r="H210" s="232">
        <f t="shared" si="18"/>
        <v>0</v>
      </c>
      <c r="I210" s="233">
        <v>0</v>
      </c>
      <c r="J210" s="233">
        <f>J211+J212</f>
        <v>0</v>
      </c>
      <c r="K210" s="233">
        <f>K211+K212</f>
        <v>0</v>
      </c>
      <c r="L210" s="233">
        <f>L211+L212</f>
        <v>0</v>
      </c>
      <c r="M210" s="232">
        <f t="shared" si="19"/>
        <v>0</v>
      </c>
      <c r="N210" s="233">
        <v>0</v>
      </c>
      <c r="O210" s="233">
        <f>O211+O212</f>
        <v>0</v>
      </c>
      <c r="P210" s="233">
        <f>P211+P212</f>
        <v>0</v>
      </c>
      <c r="Q210" s="233">
        <f>Q211+Q212</f>
        <v>0</v>
      </c>
      <c r="R210" s="232">
        <f t="shared" si="20"/>
        <v>0</v>
      </c>
    </row>
    <row r="211" spans="1:18" s="29" customFormat="1" ht="12" hidden="1" customHeight="1">
      <c r="A211" s="132">
        <v>3000</v>
      </c>
      <c r="B211" s="125" t="s">
        <v>111</v>
      </c>
      <c r="C211" s="202"/>
      <c r="D211" s="202">
        <v>0</v>
      </c>
      <c r="E211" s="246"/>
      <c r="F211" s="246"/>
      <c r="G211" s="246"/>
      <c r="H211" s="232">
        <f t="shared" si="18"/>
        <v>0</v>
      </c>
      <c r="I211" s="345">
        <v>0</v>
      </c>
      <c r="J211" s="246"/>
      <c r="K211" s="246"/>
      <c r="L211" s="246"/>
      <c r="M211" s="232">
        <f t="shared" si="19"/>
        <v>0</v>
      </c>
      <c r="N211" s="345">
        <v>0</v>
      </c>
      <c r="O211" s="246"/>
      <c r="P211" s="246"/>
      <c r="Q211" s="246"/>
      <c r="R211" s="232">
        <f t="shared" si="20"/>
        <v>0</v>
      </c>
    </row>
    <row r="212" spans="1:18" s="29" customFormat="1" ht="12" hidden="1" customHeight="1">
      <c r="A212" s="132">
        <v>6000</v>
      </c>
      <c r="B212" s="125" t="s">
        <v>112</v>
      </c>
      <c r="C212" s="203"/>
      <c r="D212" s="203">
        <v>0</v>
      </c>
      <c r="E212" s="248"/>
      <c r="F212" s="248"/>
      <c r="G212" s="248"/>
      <c r="H212" s="232">
        <f t="shared" si="18"/>
        <v>0</v>
      </c>
      <c r="I212" s="346">
        <v>0</v>
      </c>
      <c r="J212" s="248"/>
      <c r="K212" s="248"/>
      <c r="L212" s="248"/>
      <c r="M212" s="232">
        <f t="shared" si="19"/>
        <v>0</v>
      </c>
      <c r="N212" s="346">
        <v>0</v>
      </c>
      <c r="O212" s="248"/>
      <c r="P212" s="248"/>
      <c r="Q212" s="248"/>
      <c r="R212" s="232">
        <f t="shared" si="20"/>
        <v>0</v>
      </c>
    </row>
    <row r="213" spans="1:18" s="29" customFormat="1" ht="24" hidden="1" customHeight="1">
      <c r="A213" s="140" t="s">
        <v>113</v>
      </c>
      <c r="B213" s="124" t="s">
        <v>183</v>
      </c>
      <c r="C213" s="170">
        <v>0</v>
      </c>
      <c r="D213" s="170">
        <v>0</v>
      </c>
      <c r="E213" s="233">
        <f>E214+E215</f>
        <v>0</v>
      </c>
      <c r="F213" s="233">
        <f>F214+F215</f>
        <v>0</v>
      </c>
      <c r="G213" s="233">
        <f>G214+G215</f>
        <v>0</v>
      </c>
      <c r="H213" s="232">
        <f t="shared" si="18"/>
        <v>0</v>
      </c>
      <c r="I213" s="233">
        <v>0</v>
      </c>
      <c r="J213" s="233">
        <f>J214+J215</f>
        <v>0</v>
      </c>
      <c r="K213" s="233">
        <f>K214+K215</f>
        <v>0</v>
      </c>
      <c r="L213" s="233">
        <f>L214+L215</f>
        <v>0</v>
      </c>
      <c r="M213" s="232">
        <f t="shared" si="19"/>
        <v>0</v>
      </c>
      <c r="N213" s="233">
        <v>0</v>
      </c>
      <c r="O213" s="233">
        <f>O214+O215</f>
        <v>0</v>
      </c>
      <c r="P213" s="233">
        <f>P214+P215</f>
        <v>0</v>
      </c>
      <c r="Q213" s="233">
        <f>Q214+Q215</f>
        <v>0</v>
      </c>
      <c r="R213" s="232">
        <f t="shared" si="20"/>
        <v>0</v>
      </c>
    </row>
    <row r="214" spans="1:18" s="29" customFormat="1" ht="12" hidden="1" customHeight="1">
      <c r="A214" s="132">
        <v>7600</v>
      </c>
      <c r="B214" s="179" t="s">
        <v>184</v>
      </c>
      <c r="C214" s="170"/>
      <c r="D214" s="170">
        <v>0</v>
      </c>
      <c r="E214" s="244"/>
      <c r="F214" s="244"/>
      <c r="G214" s="244"/>
      <c r="H214" s="232">
        <f t="shared" si="18"/>
        <v>0</v>
      </c>
      <c r="I214" s="233">
        <v>0</v>
      </c>
      <c r="J214" s="244"/>
      <c r="K214" s="244"/>
      <c r="L214" s="244"/>
      <c r="M214" s="232">
        <f t="shared" si="19"/>
        <v>0</v>
      </c>
      <c r="N214" s="233">
        <v>0</v>
      </c>
      <c r="O214" s="244"/>
      <c r="P214" s="244"/>
      <c r="Q214" s="244"/>
      <c r="R214" s="232">
        <f t="shared" si="20"/>
        <v>0</v>
      </c>
    </row>
    <row r="215" spans="1:18" s="29" customFormat="1" ht="12" hidden="1" customHeight="1">
      <c r="A215" s="132">
        <v>7700</v>
      </c>
      <c r="B215" s="126" t="s">
        <v>114</v>
      </c>
      <c r="C215" s="170"/>
      <c r="D215" s="170">
        <v>0</v>
      </c>
      <c r="E215" s="244"/>
      <c r="F215" s="244"/>
      <c r="G215" s="244"/>
      <c r="H215" s="232">
        <f t="shared" si="18"/>
        <v>0</v>
      </c>
      <c r="I215" s="233">
        <v>0</v>
      </c>
      <c r="J215" s="244"/>
      <c r="K215" s="244"/>
      <c r="L215" s="244"/>
      <c r="M215" s="232">
        <f t="shared" si="19"/>
        <v>0</v>
      </c>
      <c r="N215" s="233">
        <v>0</v>
      </c>
      <c r="O215" s="244"/>
      <c r="P215" s="244"/>
      <c r="Q215" s="244"/>
      <c r="R215" s="232">
        <f t="shared" si="20"/>
        <v>0</v>
      </c>
    </row>
    <row r="216" spans="1:18" s="29" customFormat="1" ht="21" hidden="1" customHeight="1">
      <c r="A216" s="140" t="s">
        <v>185</v>
      </c>
      <c r="B216" s="124" t="s">
        <v>115</v>
      </c>
      <c r="C216" s="170">
        <v>0</v>
      </c>
      <c r="D216" s="170">
        <v>0</v>
      </c>
      <c r="E216" s="233">
        <f>E217+E223+E227+E230</f>
        <v>0</v>
      </c>
      <c r="F216" s="233">
        <f>F217+F223+F227+F230</f>
        <v>0</v>
      </c>
      <c r="G216" s="233">
        <f>G217+G223+G227+G230</f>
        <v>0</v>
      </c>
      <c r="H216" s="232">
        <f t="shared" si="18"/>
        <v>0</v>
      </c>
      <c r="I216" s="233">
        <v>0</v>
      </c>
      <c r="J216" s="233">
        <f>J217+J223+J227+J230</f>
        <v>0</v>
      </c>
      <c r="K216" s="233">
        <f>K217+K223+K227+K230</f>
        <v>0</v>
      </c>
      <c r="L216" s="233">
        <f>L217+L223+L227+L230</f>
        <v>0</v>
      </c>
      <c r="M216" s="232">
        <f t="shared" si="19"/>
        <v>0</v>
      </c>
      <c r="N216" s="233">
        <v>0</v>
      </c>
      <c r="O216" s="233">
        <f>O217+O223+O227+O230</f>
        <v>0</v>
      </c>
      <c r="P216" s="233">
        <f>P217+P223+P227+P230</f>
        <v>0</v>
      </c>
      <c r="Q216" s="233">
        <f>Q217+Q223+Q227+Q230</f>
        <v>0</v>
      </c>
      <c r="R216" s="232">
        <f t="shared" si="20"/>
        <v>0</v>
      </c>
    </row>
    <row r="217" spans="1:18" s="29" customFormat="1" ht="12" hidden="1" customHeight="1">
      <c r="A217" s="132">
        <v>7100</v>
      </c>
      <c r="B217" s="179" t="s">
        <v>116</v>
      </c>
      <c r="C217" s="170">
        <v>0</v>
      </c>
      <c r="D217" s="170">
        <v>0</v>
      </c>
      <c r="E217" s="233">
        <f>E218+E219</f>
        <v>0</v>
      </c>
      <c r="F217" s="233">
        <f>F218+F219</f>
        <v>0</v>
      </c>
      <c r="G217" s="233">
        <f>G218+G219</f>
        <v>0</v>
      </c>
      <c r="H217" s="232">
        <f t="shared" si="18"/>
        <v>0</v>
      </c>
      <c r="I217" s="233">
        <v>0</v>
      </c>
      <c r="J217" s="233">
        <f>J218+J219</f>
        <v>0</v>
      </c>
      <c r="K217" s="233">
        <f>K218+K219</f>
        <v>0</v>
      </c>
      <c r="L217" s="233">
        <f>L218+L219</f>
        <v>0</v>
      </c>
      <c r="M217" s="232">
        <f t="shared" si="19"/>
        <v>0</v>
      </c>
      <c r="N217" s="233">
        <v>0</v>
      </c>
      <c r="O217" s="233">
        <f>O218+O219</f>
        <v>0</v>
      </c>
      <c r="P217" s="233">
        <f>P218+P219</f>
        <v>0</v>
      </c>
      <c r="Q217" s="233">
        <f>Q218+Q219</f>
        <v>0</v>
      </c>
      <c r="R217" s="232">
        <f t="shared" si="20"/>
        <v>0</v>
      </c>
    </row>
    <row r="218" spans="1:18" s="29" customFormat="1" ht="24" hidden="1" customHeight="1">
      <c r="A218" s="133" t="s">
        <v>117</v>
      </c>
      <c r="B218" s="179" t="s">
        <v>118</v>
      </c>
      <c r="C218" s="170"/>
      <c r="D218" s="170">
        <v>0</v>
      </c>
      <c r="E218" s="233"/>
      <c r="F218" s="233"/>
      <c r="G218" s="233"/>
      <c r="H218" s="232">
        <f t="shared" si="18"/>
        <v>0</v>
      </c>
      <c r="I218" s="233">
        <v>0</v>
      </c>
      <c r="J218" s="233"/>
      <c r="K218" s="233"/>
      <c r="L218" s="233"/>
      <c r="M218" s="232">
        <f t="shared" si="19"/>
        <v>0</v>
      </c>
      <c r="N218" s="233">
        <v>0</v>
      </c>
      <c r="O218" s="233"/>
      <c r="P218" s="233"/>
      <c r="Q218" s="233"/>
      <c r="R218" s="232">
        <f t="shared" si="20"/>
        <v>0</v>
      </c>
    </row>
    <row r="219" spans="1:18" s="29" customFormat="1" ht="24" hidden="1" customHeight="1">
      <c r="A219" s="133">
        <v>7130</v>
      </c>
      <c r="B219" s="179" t="s">
        <v>119</v>
      </c>
      <c r="C219" s="170">
        <v>0</v>
      </c>
      <c r="D219" s="170">
        <v>0</v>
      </c>
      <c r="E219" s="233">
        <f>SUM(E220:E222)</f>
        <v>0</v>
      </c>
      <c r="F219" s="233">
        <f>SUM(F220:F222)</f>
        <v>0</v>
      </c>
      <c r="G219" s="233">
        <f>SUM(G220:G222)</f>
        <v>0</v>
      </c>
      <c r="H219" s="232">
        <f t="shared" si="18"/>
        <v>0</v>
      </c>
      <c r="I219" s="233">
        <v>0</v>
      </c>
      <c r="J219" s="233">
        <f>SUM(J220:J222)</f>
        <v>0</v>
      </c>
      <c r="K219" s="233">
        <f>SUM(K220:K222)</f>
        <v>0</v>
      </c>
      <c r="L219" s="233">
        <f>SUM(L220:L222)</f>
        <v>0</v>
      </c>
      <c r="M219" s="232">
        <f t="shared" si="19"/>
        <v>0</v>
      </c>
      <c r="N219" s="233">
        <v>0</v>
      </c>
      <c r="O219" s="233">
        <f>SUM(O220:O222)</f>
        <v>0</v>
      </c>
      <c r="P219" s="233">
        <f>SUM(P220:P222)</f>
        <v>0</v>
      </c>
      <c r="Q219" s="233">
        <f>SUM(Q220:Q222)</f>
        <v>0</v>
      </c>
      <c r="R219" s="232">
        <f t="shared" si="20"/>
        <v>0</v>
      </c>
    </row>
    <row r="220" spans="1:18" s="29" customFormat="1" ht="36" hidden="1" customHeight="1">
      <c r="A220" s="134">
        <v>7131</v>
      </c>
      <c r="B220" s="179" t="s">
        <v>120</v>
      </c>
      <c r="C220" s="170"/>
      <c r="D220" s="170">
        <v>0</v>
      </c>
      <c r="E220" s="233"/>
      <c r="F220" s="233"/>
      <c r="G220" s="233"/>
      <c r="H220" s="232">
        <f t="shared" si="18"/>
        <v>0</v>
      </c>
      <c r="I220" s="233">
        <v>0</v>
      </c>
      <c r="J220" s="233"/>
      <c r="K220" s="233"/>
      <c r="L220" s="233"/>
      <c r="M220" s="232">
        <f t="shared" si="19"/>
        <v>0</v>
      </c>
      <c r="N220" s="233">
        <v>0</v>
      </c>
      <c r="O220" s="233"/>
      <c r="P220" s="233"/>
      <c r="Q220" s="233"/>
      <c r="R220" s="232">
        <f t="shared" si="20"/>
        <v>0</v>
      </c>
    </row>
    <row r="221" spans="1:18" s="29" customFormat="1" ht="36" hidden="1" customHeight="1">
      <c r="A221" s="134">
        <v>7132</v>
      </c>
      <c r="B221" s="179" t="s">
        <v>121</v>
      </c>
      <c r="C221" s="170"/>
      <c r="D221" s="170">
        <v>0</v>
      </c>
      <c r="E221" s="233"/>
      <c r="F221" s="233"/>
      <c r="G221" s="233"/>
      <c r="H221" s="232">
        <f t="shared" si="18"/>
        <v>0</v>
      </c>
      <c r="I221" s="233">
        <v>0</v>
      </c>
      <c r="J221" s="233"/>
      <c r="K221" s="233"/>
      <c r="L221" s="233"/>
      <c r="M221" s="232">
        <f t="shared" si="19"/>
        <v>0</v>
      </c>
      <c r="N221" s="233">
        <v>0</v>
      </c>
      <c r="O221" s="233"/>
      <c r="P221" s="233"/>
      <c r="Q221" s="233"/>
      <c r="R221" s="232">
        <f t="shared" si="20"/>
        <v>0</v>
      </c>
    </row>
    <row r="222" spans="1:18" s="29" customFormat="1" ht="36" hidden="1" customHeight="1">
      <c r="A222" s="134" t="s">
        <v>186</v>
      </c>
      <c r="B222" s="179" t="s">
        <v>187</v>
      </c>
      <c r="C222" s="170"/>
      <c r="D222" s="170">
        <v>0</v>
      </c>
      <c r="E222" s="233"/>
      <c r="F222" s="233"/>
      <c r="G222" s="233"/>
      <c r="H222" s="232">
        <f t="shared" si="18"/>
        <v>0</v>
      </c>
      <c r="I222" s="233">
        <v>0</v>
      </c>
      <c r="J222" s="233"/>
      <c r="K222" s="233"/>
      <c r="L222" s="233"/>
      <c r="M222" s="232">
        <f t="shared" si="19"/>
        <v>0</v>
      </c>
      <c r="N222" s="233">
        <v>0</v>
      </c>
      <c r="O222" s="233"/>
      <c r="P222" s="233"/>
      <c r="Q222" s="233"/>
      <c r="R222" s="232">
        <f t="shared" si="20"/>
        <v>0</v>
      </c>
    </row>
    <row r="223" spans="1:18" s="29" customFormat="1" ht="24" hidden="1" customHeight="1">
      <c r="A223" s="132">
        <v>7300</v>
      </c>
      <c r="B223" s="172" t="s">
        <v>155</v>
      </c>
      <c r="C223" s="170">
        <v>0</v>
      </c>
      <c r="D223" s="170">
        <v>0</v>
      </c>
      <c r="E223" s="233">
        <f>SUM(E224:E226)</f>
        <v>0</v>
      </c>
      <c r="F223" s="233">
        <f>SUM(F224:F226)</f>
        <v>0</v>
      </c>
      <c r="G223" s="233">
        <f>SUM(G224:G226)</f>
        <v>0</v>
      </c>
      <c r="H223" s="232">
        <f t="shared" si="18"/>
        <v>0</v>
      </c>
      <c r="I223" s="233">
        <v>0</v>
      </c>
      <c r="J223" s="233">
        <f>SUM(J224:J226)</f>
        <v>0</v>
      </c>
      <c r="K223" s="233">
        <f>SUM(K224:K226)</f>
        <v>0</v>
      </c>
      <c r="L223" s="233">
        <f>SUM(L224:L226)</f>
        <v>0</v>
      </c>
      <c r="M223" s="232">
        <f t="shared" si="19"/>
        <v>0</v>
      </c>
      <c r="N223" s="233">
        <v>0</v>
      </c>
      <c r="O223" s="233">
        <f>SUM(O224:O226)</f>
        <v>0</v>
      </c>
      <c r="P223" s="233">
        <f>SUM(P224:P226)</f>
        <v>0</v>
      </c>
      <c r="Q223" s="233">
        <f>SUM(Q224:Q226)</f>
        <v>0</v>
      </c>
      <c r="R223" s="232">
        <f t="shared" si="20"/>
        <v>0</v>
      </c>
    </row>
    <row r="224" spans="1:18" s="29" customFormat="1" ht="24" hidden="1" customHeight="1">
      <c r="A224" s="133" t="s">
        <v>188</v>
      </c>
      <c r="B224" s="179" t="s">
        <v>170</v>
      </c>
      <c r="C224" s="604"/>
      <c r="D224" s="604">
        <v>0</v>
      </c>
      <c r="E224" s="605"/>
      <c r="F224" s="605"/>
      <c r="G224" s="605"/>
      <c r="H224" s="232">
        <f t="shared" si="18"/>
        <v>0</v>
      </c>
      <c r="I224" s="605">
        <v>0</v>
      </c>
      <c r="J224" s="605"/>
      <c r="K224" s="605"/>
      <c r="L224" s="605"/>
      <c r="M224" s="232">
        <f t="shared" si="19"/>
        <v>0</v>
      </c>
      <c r="N224" s="605">
        <v>0</v>
      </c>
      <c r="O224" s="605"/>
      <c r="P224" s="605"/>
      <c r="Q224" s="605"/>
      <c r="R224" s="232">
        <f t="shared" si="20"/>
        <v>0</v>
      </c>
    </row>
    <row r="225" spans="1:18" s="29" customFormat="1" ht="48" hidden="1" customHeight="1">
      <c r="A225" s="133" t="s">
        <v>189</v>
      </c>
      <c r="B225" s="179" t="s">
        <v>156</v>
      </c>
      <c r="C225" s="604"/>
      <c r="D225" s="604">
        <v>0</v>
      </c>
      <c r="E225" s="605"/>
      <c r="F225" s="605"/>
      <c r="G225" s="605"/>
      <c r="H225" s="232">
        <f t="shared" si="18"/>
        <v>0</v>
      </c>
      <c r="I225" s="605">
        <v>0</v>
      </c>
      <c r="J225" s="605"/>
      <c r="K225" s="605"/>
      <c r="L225" s="605"/>
      <c r="M225" s="232">
        <f t="shared" si="19"/>
        <v>0</v>
      </c>
      <c r="N225" s="605">
        <v>0</v>
      </c>
      <c r="O225" s="605"/>
      <c r="P225" s="605"/>
      <c r="Q225" s="605"/>
      <c r="R225" s="232">
        <f t="shared" si="20"/>
        <v>0</v>
      </c>
    </row>
    <row r="226" spans="1:18" s="29" customFormat="1" ht="36" hidden="1" customHeight="1">
      <c r="A226" s="133">
        <v>7350</v>
      </c>
      <c r="B226" s="179" t="s">
        <v>163</v>
      </c>
      <c r="C226" s="604"/>
      <c r="D226" s="604">
        <v>0</v>
      </c>
      <c r="E226" s="605"/>
      <c r="F226" s="605"/>
      <c r="G226" s="605"/>
      <c r="H226" s="232">
        <f t="shared" si="18"/>
        <v>0</v>
      </c>
      <c r="I226" s="605">
        <v>0</v>
      </c>
      <c r="J226" s="605"/>
      <c r="K226" s="605"/>
      <c r="L226" s="605"/>
      <c r="M226" s="232">
        <f t="shared" si="19"/>
        <v>0</v>
      </c>
      <c r="N226" s="605">
        <v>0</v>
      </c>
      <c r="O226" s="605"/>
      <c r="P226" s="605"/>
      <c r="Q226" s="605"/>
      <c r="R226" s="232">
        <f t="shared" si="20"/>
        <v>0</v>
      </c>
    </row>
    <row r="227" spans="1:18" s="29" customFormat="1" ht="24" hidden="1" customHeight="1">
      <c r="A227" s="132">
        <v>7400</v>
      </c>
      <c r="B227" s="172" t="s">
        <v>161</v>
      </c>
      <c r="C227" s="170">
        <v>0</v>
      </c>
      <c r="D227" s="170">
        <v>0</v>
      </c>
      <c r="E227" s="233">
        <f>SUM(E228:E229)</f>
        <v>0</v>
      </c>
      <c r="F227" s="233">
        <f>SUM(F228:F229)</f>
        <v>0</v>
      </c>
      <c r="G227" s="233">
        <f>SUM(G228:G229)</f>
        <v>0</v>
      </c>
      <c r="H227" s="232">
        <f t="shared" si="18"/>
        <v>0</v>
      </c>
      <c r="I227" s="233">
        <v>0</v>
      </c>
      <c r="J227" s="233">
        <f>SUM(J228:J229)</f>
        <v>0</v>
      </c>
      <c r="K227" s="233">
        <f>SUM(K228:K229)</f>
        <v>0</v>
      </c>
      <c r="L227" s="233">
        <f>SUM(L228:L229)</f>
        <v>0</v>
      </c>
      <c r="M227" s="232">
        <f t="shared" si="19"/>
        <v>0</v>
      </c>
      <c r="N227" s="233">
        <v>0</v>
      </c>
      <c r="O227" s="233">
        <f>SUM(O228:O229)</f>
        <v>0</v>
      </c>
      <c r="P227" s="233">
        <f>SUM(P228:P229)</f>
        <v>0</v>
      </c>
      <c r="Q227" s="233">
        <f>SUM(Q228:Q229)</f>
        <v>0</v>
      </c>
      <c r="R227" s="232">
        <f t="shared" si="20"/>
        <v>0</v>
      </c>
    </row>
    <row r="228" spans="1:18" s="29" customFormat="1" ht="24" hidden="1" customHeight="1">
      <c r="A228" s="133">
        <v>7460</v>
      </c>
      <c r="B228" s="172" t="s">
        <v>162</v>
      </c>
      <c r="C228" s="604"/>
      <c r="D228" s="604">
        <v>0</v>
      </c>
      <c r="E228" s="605"/>
      <c r="F228" s="605"/>
      <c r="G228" s="605"/>
      <c r="H228" s="232">
        <f t="shared" si="18"/>
        <v>0</v>
      </c>
      <c r="I228" s="605">
        <v>0</v>
      </c>
      <c r="J228" s="605"/>
      <c r="K228" s="605"/>
      <c r="L228" s="605"/>
      <c r="M228" s="232">
        <f t="shared" si="19"/>
        <v>0</v>
      </c>
      <c r="N228" s="605">
        <v>0</v>
      </c>
      <c r="O228" s="605"/>
      <c r="P228" s="605"/>
      <c r="Q228" s="605"/>
      <c r="R228" s="232">
        <f t="shared" si="20"/>
        <v>0</v>
      </c>
    </row>
    <row r="229" spans="1:18" s="29" customFormat="1" ht="48" hidden="1" customHeight="1">
      <c r="A229" s="133">
        <v>7470</v>
      </c>
      <c r="B229" s="179" t="s">
        <v>167</v>
      </c>
      <c r="C229" s="604"/>
      <c r="D229" s="604">
        <v>0</v>
      </c>
      <c r="E229" s="605"/>
      <c r="F229" s="605"/>
      <c r="G229" s="605"/>
      <c r="H229" s="232">
        <f t="shared" si="18"/>
        <v>0</v>
      </c>
      <c r="I229" s="605">
        <v>0</v>
      </c>
      <c r="J229" s="605"/>
      <c r="K229" s="605"/>
      <c r="L229" s="605"/>
      <c r="M229" s="232">
        <f t="shared" si="19"/>
        <v>0</v>
      </c>
      <c r="N229" s="605">
        <v>0</v>
      </c>
      <c r="O229" s="605"/>
      <c r="P229" s="605"/>
      <c r="Q229" s="605"/>
      <c r="R229" s="232">
        <f t="shared" si="20"/>
        <v>0</v>
      </c>
    </row>
    <row r="230" spans="1:18" s="29" customFormat="1" ht="24" hidden="1" customHeight="1">
      <c r="A230" s="132">
        <v>7500</v>
      </c>
      <c r="B230" s="179" t="s">
        <v>157</v>
      </c>
      <c r="C230" s="170"/>
      <c r="D230" s="170">
        <v>0</v>
      </c>
      <c r="E230" s="233"/>
      <c r="F230" s="233"/>
      <c r="G230" s="233"/>
      <c r="H230" s="232">
        <f t="shared" si="18"/>
        <v>0</v>
      </c>
      <c r="I230" s="233">
        <v>0</v>
      </c>
      <c r="J230" s="233"/>
      <c r="K230" s="233"/>
      <c r="L230" s="233"/>
      <c r="M230" s="232">
        <f t="shared" si="19"/>
        <v>0</v>
      </c>
      <c r="N230" s="233">
        <v>0</v>
      </c>
      <c r="O230" s="233"/>
      <c r="P230" s="233"/>
      <c r="Q230" s="233"/>
      <c r="R230" s="232">
        <f t="shared" si="20"/>
        <v>0</v>
      </c>
    </row>
    <row r="231" spans="1:18" s="29" customFormat="1" ht="12" hidden="1" customHeight="1">
      <c r="A231" s="140" t="s">
        <v>133</v>
      </c>
      <c r="B231" s="124" t="s">
        <v>122</v>
      </c>
      <c r="C231" s="205">
        <v>0</v>
      </c>
      <c r="D231" s="205">
        <v>0</v>
      </c>
      <c r="E231" s="254">
        <f>E232+E233</f>
        <v>0</v>
      </c>
      <c r="F231" s="254">
        <f>F232+F233</f>
        <v>0</v>
      </c>
      <c r="G231" s="254">
        <f>G232+G233</f>
        <v>0</v>
      </c>
      <c r="H231" s="232">
        <f t="shared" si="18"/>
        <v>0</v>
      </c>
      <c r="I231" s="254">
        <v>0</v>
      </c>
      <c r="J231" s="254">
        <f>J232+J233</f>
        <v>0</v>
      </c>
      <c r="K231" s="254">
        <f>K232+K233</f>
        <v>0</v>
      </c>
      <c r="L231" s="254">
        <f>L232+L233</f>
        <v>0</v>
      </c>
      <c r="M231" s="232">
        <f t="shared" si="19"/>
        <v>0</v>
      </c>
      <c r="N231" s="254">
        <v>0</v>
      </c>
      <c r="O231" s="254">
        <f>O232+O233</f>
        <v>0</v>
      </c>
      <c r="P231" s="254">
        <f>P232+P233</f>
        <v>0</v>
      </c>
      <c r="Q231" s="254">
        <f>Q232+Q233</f>
        <v>0</v>
      </c>
      <c r="R231" s="232">
        <f t="shared" si="20"/>
        <v>0</v>
      </c>
    </row>
    <row r="232" spans="1:18" s="29" customFormat="1" ht="12" hidden="1" customHeight="1">
      <c r="A232" s="140">
        <v>5000</v>
      </c>
      <c r="B232" s="124" t="s">
        <v>123</v>
      </c>
      <c r="C232" s="170"/>
      <c r="D232" s="170">
        <v>0</v>
      </c>
      <c r="E232" s="244"/>
      <c r="F232" s="244"/>
      <c r="G232" s="244"/>
      <c r="H232" s="232">
        <f t="shared" si="18"/>
        <v>0</v>
      </c>
      <c r="I232" s="233">
        <v>0</v>
      </c>
      <c r="J232" s="244"/>
      <c r="K232" s="244"/>
      <c r="L232" s="244"/>
      <c r="M232" s="232">
        <f t="shared" si="19"/>
        <v>0</v>
      </c>
      <c r="N232" s="233">
        <v>0</v>
      </c>
      <c r="O232" s="244"/>
      <c r="P232" s="244"/>
      <c r="Q232" s="244"/>
      <c r="R232" s="232">
        <f t="shared" si="20"/>
        <v>0</v>
      </c>
    </row>
    <row r="233" spans="1:18" s="29" customFormat="1" ht="12" hidden="1" customHeight="1">
      <c r="A233" s="140">
        <v>9000</v>
      </c>
      <c r="B233" s="182" t="s">
        <v>164</v>
      </c>
      <c r="C233" s="170">
        <v>0</v>
      </c>
      <c r="D233" s="170">
        <v>0</v>
      </c>
      <c r="E233" s="233">
        <f>E234+E240+E244+E247</f>
        <v>0</v>
      </c>
      <c r="F233" s="233">
        <f>F234+F240+F244+F247</f>
        <v>0</v>
      </c>
      <c r="G233" s="233">
        <f>G234+G240+G244+G247</f>
        <v>0</v>
      </c>
      <c r="H233" s="232">
        <f t="shared" si="18"/>
        <v>0</v>
      </c>
      <c r="I233" s="233">
        <v>0</v>
      </c>
      <c r="J233" s="233">
        <f>J234+J240+J244+J247</f>
        <v>0</v>
      </c>
      <c r="K233" s="233">
        <f>K234+K240+K244+K247</f>
        <v>0</v>
      </c>
      <c r="L233" s="233">
        <f>L234+L240+L244+L247</f>
        <v>0</v>
      </c>
      <c r="M233" s="232">
        <f t="shared" si="19"/>
        <v>0</v>
      </c>
      <c r="N233" s="233">
        <v>0</v>
      </c>
      <c r="O233" s="233">
        <f>O234+O240+O244+O247</f>
        <v>0</v>
      </c>
      <c r="P233" s="233">
        <f>P234+P240+P244+P247</f>
        <v>0</v>
      </c>
      <c r="Q233" s="233">
        <f>Q234+Q240+Q244+Q247</f>
        <v>0</v>
      </c>
      <c r="R233" s="232">
        <f t="shared" si="20"/>
        <v>0</v>
      </c>
    </row>
    <row r="234" spans="1:18" s="29" customFormat="1" ht="12" hidden="1" customHeight="1">
      <c r="A234" s="141">
        <v>9100</v>
      </c>
      <c r="B234" s="179" t="s">
        <v>124</v>
      </c>
      <c r="C234" s="170">
        <v>0</v>
      </c>
      <c r="D234" s="170">
        <v>0</v>
      </c>
      <c r="E234" s="233">
        <f>SUM(E235:E236)</f>
        <v>0</v>
      </c>
      <c r="F234" s="233">
        <f>SUM(F235:F236)</f>
        <v>0</v>
      </c>
      <c r="G234" s="233">
        <f>SUM(G235:G236)</f>
        <v>0</v>
      </c>
      <c r="H234" s="232">
        <f t="shared" si="18"/>
        <v>0</v>
      </c>
      <c r="I234" s="233">
        <v>0</v>
      </c>
      <c r="J234" s="233">
        <f>SUM(J235:J236)</f>
        <v>0</v>
      </c>
      <c r="K234" s="233">
        <f>SUM(K235:K236)</f>
        <v>0</v>
      </c>
      <c r="L234" s="233">
        <f>SUM(L235:L236)</f>
        <v>0</v>
      </c>
      <c r="M234" s="232">
        <f t="shared" si="19"/>
        <v>0</v>
      </c>
      <c r="N234" s="233">
        <v>0</v>
      </c>
      <c r="O234" s="233">
        <f>SUM(O235:O236)</f>
        <v>0</v>
      </c>
      <c r="P234" s="233">
        <f>SUM(P235:P236)</f>
        <v>0</v>
      </c>
      <c r="Q234" s="233">
        <f>SUM(Q235:Q236)</f>
        <v>0</v>
      </c>
      <c r="R234" s="232">
        <f t="shared" si="20"/>
        <v>0</v>
      </c>
    </row>
    <row r="235" spans="1:18" s="29" customFormat="1" ht="24" hidden="1" customHeight="1">
      <c r="A235" s="133" t="s">
        <v>125</v>
      </c>
      <c r="B235" s="179" t="s">
        <v>214</v>
      </c>
      <c r="C235" s="170"/>
      <c r="D235" s="170">
        <v>0</v>
      </c>
      <c r="E235" s="233"/>
      <c r="F235" s="233"/>
      <c r="G235" s="233"/>
      <c r="H235" s="232">
        <f t="shared" si="18"/>
        <v>0</v>
      </c>
      <c r="I235" s="233">
        <v>0</v>
      </c>
      <c r="J235" s="233"/>
      <c r="K235" s="233"/>
      <c r="L235" s="233"/>
      <c r="M235" s="232">
        <f t="shared" si="19"/>
        <v>0</v>
      </c>
      <c r="N235" s="233">
        <v>0</v>
      </c>
      <c r="O235" s="233"/>
      <c r="P235" s="233"/>
      <c r="Q235" s="233"/>
      <c r="R235" s="232">
        <f t="shared" si="20"/>
        <v>0</v>
      </c>
    </row>
    <row r="236" spans="1:18" s="29" customFormat="1" ht="24" hidden="1" customHeight="1">
      <c r="A236" s="133">
        <v>9140</v>
      </c>
      <c r="B236" s="179" t="s">
        <v>215</v>
      </c>
      <c r="C236" s="170">
        <v>0</v>
      </c>
      <c r="D236" s="170">
        <v>0</v>
      </c>
      <c r="E236" s="233">
        <f>SUM(E237:E239)</f>
        <v>0</v>
      </c>
      <c r="F236" s="233">
        <f>SUM(F237:F239)</f>
        <v>0</v>
      </c>
      <c r="G236" s="233">
        <f>SUM(G237:G239)</f>
        <v>0</v>
      </c>
      <c r="H236" s="232">
        <f t="shared" si="18"/>
        <v>0</v>
      </c>
      <c r="I236" s="233">
        <v>0</v>
      </c>
      <c r="J236" s="233">
        <f>SUM(J237:J239)</f>
        <v>0</v>
      </c>
      <c r="K236" s="233">
        <f>SUM(K237:K239)</f>
        <v>0</v>
      </c>
      <c r="L236" s="233">
        <f>SUM(L237:L239)</f>
        <v>0</v>
      </c>
      <c r="M236" s="232">
        <f t="shared" si="19"/>
        <v>0</v>
      </c>
      <c r="N236" s="233">
        <v>0</v>
      </c>
      <c r="O236" s="233">
        <f>SUM(O237:O239)</f>
        <v>0</v>
      </c>
      <c r="P236" s="233">
        <f>SUM(P237:P239)</f>
        <v>0</v>
      </c>
      <c r="Q236" s="233">
        <f>SUM(Q237:Q239)</f>
        <v>0</v>
      </c>
      <c r="R236" s="232">
        <f t="shared" si="20"/>
        <v>0</v>
      </c>
    </row>
    <row r="237" spans="1:18" s="29" customFormat="1" ht="36" hidden="1" customHeight="1">
      <c r="A237" s="134">
        <v>9141</v>
      </c>
      <c r="B237" s="172" t="s">
        <v>190</v>
      </c>
      <c r="C237" s="604"/>
      <c r="D237" s="604">
        <v>0</v>
      </c>
      <c r="E237" s="605"/>
      <c r="F237" s="605"/>
      <c r="G237" s="605"/>
      <c r="H237" s="232">
        <f t="shared" si="18"/>
        <v>0</v>
      </c>
      <c r="I237" s="605">
        <v>0</v>
      </c>
      <c r="J237" s="605"/>
      <c r="K237" s="605"/>
      <c r="L237" s="605"/>
      <c r="M237" s="232">
        <f t="shared" si="19"/>
        <v>0</v>
      </c>
      <c r="N237" s="605">
        <v>0</v>
      </c>
      <c r="O237" s="605"/>
      <c r="P237" s="605"/>
      <c r="Q237" s="605"/>
      <c r="R237" s="232">
        <f t="shared" si="20"/>
        <v>0</v>
      </c>
    </row>
    <row r="238" spans="1:18" s="29" customFormat="1" ht="36" hidden="1" customHeight="1">
      <c r="A238" s="134">
        <v>9142</v>
      </c>
      <c r="B238" s="172" t="s">
        <v>191</v>
      </c>
      <c r="C238" s="604"/>
      <c r="D238" s="604">
        <v>0</v>
      </c>
      <c r="E238" s="605"/>
      <c r="F238" s="605"/>
      <c r="G238" s="605"/>
      <c r="H238" s="232">
        <f t="shared" si="18"/>
        <v>0</v>
      </c>
      <c r="I238" s="605">
        <v>0</v>
      </c>
      <c r="J238" s="605"/>
      <c r="K238" s="605"/>
      <c r="L238" s="605"/>
      <c r="M238" s="232">
        <f t="shared" si="19"/>
        <v>0</v>
      </c>
      <c r="N238" s="605">
        <v>0</v>
      </c>
      <c r="O238" s="605"/>
      <c r="P238" s="605"/>
      <c r="Q238" s="605"/>
      <c r="R238" s="232">
        <f t="shared" si="20"/>
        <v>0</v>
      </c>
    </row>
    <row r="239" spans="1:18" s="29" customFormat="1" ht="24" hidden="1" customHeight="1">
      <c r="A239" s="134">
        <v>9149</v>
      </c>
      <c r="B239" s="172" t="s">
        <v>192</v>
      </c>
      <c r="C239" s="604"/>
      <c r="D239" s="604">
        <v>0</v>
      </c>
      <c r="E239" s="605"/>
      <c r="F239" s="605"/>
      <c r="G239" s="605"/>
      <c r="H239" s="232">
        <f t="shared" si="18"/>
        <v>0</v>
      </c>
      <c r="I239" s="605">
        <v>0</v>
      </c>
      <c r="J239" s="605"/>
      <c r="K239" s="605"/>
      <c r="L239" s="605"/>
      <c r="M239" s="232">
        <f t="shared" si="19"/>
        <v>0</v>
      </c>
      <c r="N239" s="605">
        <v>0</v>
      </c>
      <c r="O239" s="605"/>
      <c r="P239" s="605"/>
      <c r="Q239" s="605"/>
      <c r="R239" s="232">
        <f t="shared" si="20"/>
        <v>0</v>
      </c>
    </row>
    <row r="240" spans="1:18" s="29" customFormat="1" ht="24" hidden="1" customHeight="1">
      <c r="A240" s="141">
        <v>9500</v>
      </c>
      <c r="B240" s="172" t="s">
        <v>165</v>
      </c>
      <c r="C240" s="170">
        <v>0</v>
      </c>
      <c r="D240" s="170">
        <v>0</v>
      </c>
      <c r="E240" s="233">
        <f>SUM(E241:E243)</f>
        <v>0</v>
      </c>
      <c r="F240" s="233">
        <f>SUM(F241:F243)</f>
        <v>0</v>
      </c>
      <c r="G240" s="233">
        <f>SUM(G241:G243)</f>
        <v>0</v>
      </c>
      <c r="H240" s="232">
        <f t="shared" si="18"/>
        <v>0</v>
      </c>
      <c r="I240" s="233">
        <v>0</v>
      </c>
      <c r="J240" s="233">
        <f>SUM(J241:J243)</f>
        <v>0</v>
      </c>
      <c r="K240" s="233">
        <f>SUM(K241:K243)</f>
        <v>0</v>
      </c>
      <c r="L240" s="233">
        <f>SUM(L241:L243)</f>
        <v>0</v>
      </c>
      <c r="M240" s="232">
        <f t="shared" si="19"/>
        <v>0</v>
      </c>
      <c r="N240" s="233">
        <v>0</v>
      </c>
      <c r="O240" s="233">
        <f>SUM(O241:O243)</f>
        <v>0</v>
      </c>
      <c r="P240" s="233">
        <f>SUM(P241:P243)</f>
        <v>0</v>
      </c>
      <c r="Q240" s="233">
        <f>SUM(Q241:Q243)</f>
        <v>0</v>
      </c>
      <c r="R240" s="232">
        <f t="shared" si="20"/>
        <v>0</v>
      </c>
    </row>
    <row r="241" spans="1:18" s="29" customFormat="1" ht="24" hidden="1" customHeight="1">
      <c r="A241" s="133" t="s">
        <v>193</v>
      </c>
      <c r="B241" s="172" t="s">
        <v>171</v>
      </c>
      <c r="C241" s="170"/>
      <c r="D241" s="170">
        <v>0</v>
      </c>
      <c r="E241" s="233"/>
      <c r="F241" s="233"/>
      <c r="G241" s="233"/>
      <c r="H241" s="232">
        <f t="shared" si="18"/>
        <v>0</v>
      </c>
      <c r="I241" s="233">
        <v>0</v>
      </c>
      <c r="J241" s="233"/>
      <c r="K241" s="233"/>
      <c r="L241" s="233"/>
      <c r="M241" s="232">
        <f t="shared" si="19"/>
        <v>0</v>
      </c>
      <c r="N241" s="233">
        <v>0</v>
      </c>
      <c r="O241" s="233"/>
      <c r="P241" s="233"/>
      <c r="Q241" s="233"/>
      <c r="R241" s="232">
        <f t="shared" si="20"/>
        <v>0</v>
      </c>
    </row>
    <row r="242" spans="1:18" s="29" customFormat="1" ht="48" hidden="1" customHeight="1">
      <c r="A242" s="133">
        <v>9580</v>
      </c>
      <c r="B242" s="172" t="s">
        <v>166</v>
      </c>
      <c r="C242" s="604"/>
      <c r="D242" s="604">
        <v>0</v>
      </c>
      <c r="E242" s="605"/>
      <c r="F242" s="605"/>
      <c r="G242" s="605"/>
      <c r="H242" s="232">
        <f t="shared" si="18"/>
        <v>0</v>
      </c>
      <c r="I242" s="605">
        <v>0</v>
      </c>
      <c r="J242" s="605"/>
      <c r="K242" s="605"/>
      <c r="L242" s="605"/>
      <c r="M242" s="232">
        <f t="shared" si="19"/>
        <v>0</v>
      </c>
      <c r="N242" s="605">
        <v>0</v>
      </c>
      <c r="O242" s="605"/>
      <c r="P242" s="605"/>
      <c r="Q242" s="605"/>
      <c r="R242" s="232">
        <f t="shared" si="20"/>
        <v>0</v>
      </c>
    </row>
    <row r="243" spans="1:18" s="29" customFormat="1" ht="48" hidden="1" customHeight="1">
      <c r="A243" s="133">
        <v>9590</v>
      </c>
      <c r="B243" s="179" t="s">
        <v>172</v>
      </c>
      <c r="C243" s="604"/>
      <c r="D243" s="604">
        <v>0</v>
      </c>
      <c r="E243" s="605"/>
      <c r="F243" s="605"/>
      <c r="G243" s="605"/>
      <c r="H243" s="232">
        <f t="shared" si="18"/>
        <v>0</v>
      </c>
      <c r="I243" s="605">
        <v>0</v>
      </c>
      <c r="J243" s="605"/>
      <c r="K243" s="605"/>
      <c r="L243" s="605"/>
      <c r="M243" s="232">
        <f t="shared" si="19"/>
        <v>0</v>
      </c>
      <c r="N243" s="605">
        <v>0</v>
      </c>
      <c r="O243" s="605"/>
      <c r="P243" s="605"/>
      <c r="Q243" s="605"/>
      <c r="R243" s="232">
        <f t="shared" si="20"/>
        <v>0</v>
      </c>
    </row>
    <row r="244" spans="1:18" s="29" customFormat="1" ht="24" hidden="1" customHeight="1">
      <c r="A244" s="141">
        <v>9700</v>
      </c>
      <c r="B244" s="183" t="s">
        <v>194</v>
      </c>
      <c r="C244" s="170">
        <v>0</v>
      </c>
      <c r="D244" s="170">
        <v>0</v>
      </c>
      <c r="E244" s="233">
        <f>SUM(E245:E246)</f>
        <v>0</v>
      </c>
      <c r="F244" s="233">
        <f>SUM(F245:F246)</f>
        <v>0</v>
      </c>
      <c r="G244" s="233">
        <f>SUM(G245:G246)</f>
        <v>0</v>
      </c>
      <c r="H244" s="232">
        <f t="shared" si="18"/>
        <v>0</v>
      </c>
      <c r="I244" s="233">
        <v>0</v>
      </c>
      <c r="J244" s="233">
        <f>SUM(J245:J246)</f>
        <v>0</v>
      </c>
      <c r="K244" s="233">
        <f>SUM(K245:K246)</f>
        <v>0</v>
      </c>
      <c r="L244" s="233">
        <f>SUM(L245:L246)</f>
        <v>0</v>
      </c>
      <c r="M244" s="232">
        <f t="shared" si="19"/>
        <v>0</v>
      </c>
      <c r="N244" s="233">
        <v>0</v>
      </c>
      <c r="O244" s="233">
        <f>SUM(O245:O246)</f>
        <v>0</v>
      </c>
      <c r="P244" s="233">
        <f>SUM(P245:P246)</f>
        <v>0</v>
      </c>
      <c r="Q244" s="233">
        <f>SUM(Q245:Q246)</f>
        <v>0</v>
      </c>
      <c r="R244" s="232">
        <f t="shared" si="20"/>
        <v>0</v>
      </c>
    </row>
    <row r="245" spans="1:18" s="29" customFormat="1" ht="24" hidden="1" customHeight="1">
      <c r="A245" s="133">
        <v>9710</v>
      </c>
      <c r="B245" s="184" t="s">
        <v>195</v>
      </c>
      <c r="C245" s="604"/>
      <c r="D245" s="604">
        <v>0</v>
      </c>
      <c r="E245" s="605"/>
      <c r="F245" s="605"/>
      <c r="G245" s="605"/>
      <c r="H245" s="232">
        <f t="shared" si="18"/>
        <v>0</v>
      </c>
      <c r="I245" s="605">
        <v>0</v>
      </c>
      <c r="J245" s="605"/>
      <c r="K245" s="605"/>
      <c r="L245" s="605"/>
      <c r="M245" s="232">
        <f t="shared" si="19"/>
        <v>0</v>
      </c>
      <c r="N245" s="605">
        <v>0</v>
      </c>
      <c r="O245" s="605"/>
      <c r="P245" s="605"/>
      <c r="Q245" s="605"/>
      <c r="R245" s="232">
        <f t="shared" si="20"/>
        <v>0</v>
      </c>
    </row>
    <row r="246" spans="1:18" s="29" customFormat="1" ht="48" hidden="1" customHeight="1">
      <c r="A246" s="142">
        <v>9720</v>
      </c>
      <c r="B246" s="183" t="s">
        <v>196</v>
      </c>
      <c r="C246" s="604"/>
      <c r="D246" s="604">
        <v>0</v>
      </c>
      <c r="E246" s="605"/>
      <c r="F246" s="605"/>
      <c r="G246" s="605"/>
      <c r="H246" s="232">
        <f t="shared" si="18"/>
        <v>0</v>
      </c>
      <c r="I246" s="605">
        <v>0</v>
      </c>
      <c r="J246" s="605"/>
      <c r="K246" s="605"/>
      <c r="L246" s="605"/>
      <c r="M246" s="232">
        <f t="shared" si="19"/>
        <v>0</v>
      </c>
      <c r="N246" s="605">
        <v>0</v>
      </c>
      <c r="O246" s="605"/>
      <c r="P246" s="605"/>
      <c r="Q246" s="605"/>
      <c r="R246" s="232">
        <f t="shared" si="20"/>
        <v>0</v>
      </c>
    </row>
    <row r="247" spans="1:18" s="29" customFormat="1" ht="24" hidden="1" customHeight="1">
      <c r="A247" s="141">
        <v>9600</v>
      </c>
      <c r="B247" s="179" t="s">
        <v>134</v>
      </c>
      <c r="C247" s="604"/>
      <c r="D247" s="604">
        <v>0</v>
      </c>
      <c r="E247" s="605"/>
      <c r="F247" s="605"/>
      <c r="G247" s="605"/>
      <c r="H247" s="232">
        <f t="shared" si="18"/>
        <v>0</v>
      </c>
      <c r="I247" s="605">
        <v>0</v>
      </c>
      <c r="J247" s="605"/>
      <c r="K247" s="605"/>
      <c r="L247" s="605"/>
      <c r="M247" s="232">
        <f t="shared" si="19"/>
        <v>0</v>
      </c>
      <c r="N247" s="605">
        <v>0</v>
      </c>
      <c r="O247" s="605"/>
      <c r="P247" s="605"/>
      <c r="Q247" s="605"/>
      <c r="R247" s="232">
        <f t="shared" si="20"/>
        <v>0</v>
      </c>
    </row>
    <row r="248" spans="1:18" s="29" customFormat="1" ht="52.5" hidden="1" customHeight="1">
      <c r="A248" s="130" t="s">
        <v>197</v>
      </c>
      <c r="B248" s="185" t="s">
        <v>47</v>
      </c>
      <c r="C248" s="206"/>
      <c r="D248" s="206">
        <v>0</v>
      </c>
      <c r="E248" s="262">
        <f>E178-E203</f>
        <v>0</v>
      </c>
      <c r="F248" s="262">
        <f>F178-F203</f>
        <v>0</v>
      </c>
      <c r="G248" s="262">
        <f>G178-G203</f>
        <v>0</v>
      </c>
      <c r="H248" s="232">
        <f t="shared" si="18"/>
        <v>0</v>
      </c>
      <c r="I248" s="262">
        <v>0</v>
      </c>
      <c r="J248" s="262">
        <f>J178-J203</f>
        <v>0</v>
      </c>
      <c r="K248" s="262">
        <f>K178-K203</f>
        <v>0</v>
      </c>
      <c r="L248" s="262">
        <f>L178-L203</f>
        <v>0</v>
      </c>
      <c r="M248" s="232">
        <f t="shared" si="19"/>
        <v>0</v>
      </c>
      <c r="N248" s="262">
        <v>0</v>
      </c>
      <c r="O248" s="262">
        <f>O178-O203</f>
        <v>0</v>
      </c>
      <c r="P248" s="262">
        <f>P178-P203</f>
        <v>0</v>
      </c>
      <c r="Q248" s="262">
        <f>Q178-Q203</f>
        <v>0</v>
      </c>
      <c r="R248" s="232">
        <f t="shared" si="20"/>
        <v>0</v>
      </c>
    </row>
    <row r="249" spans="1:18" s="29" customFormat="1" ht="12" hidden="1" customHeight="1">
      <c r="A249" s="143" t="s">
        <v>48</v>
      </c>
      <c r="B249" s="185" t="s">
        <v>49</v>
      </c>
      <c r="C249" s="206">
        <v>0</v>
      </c>
      <c r="D249" s="206">
        <v>0</v>
      </c>
      <c r="E249" s="262">
        <f>E250+E253+E257+E256</f>
        <v>0</v>
      </c>
      <c r="F249" s="262">
        <f>F250+F253+F257+F256</f>
        <v>0</v>
      </c>
      <c r="G249" s="262">
        <f>G250+G253+G257+G256</f>
        <v>0</v>
      </c>
      <c r="H249" s="232">
        <f t="shared" si="18"/>
        <v>0</v>
      </c>
      <c r="I249" s="262">
        <v>0</v>
      </c>
      <c r="J249" s="262">
        <f>J250+J253+J257+J256</f>
        <v>0</v>
      </c>
      <c r="K249" s="262">
        <f>K250+K253+K257+K256</f>
        <v>0</v>
      </c>
      <c r="L249" s="262">
        <f>L250+L253+L257+L256</f>
        <v>0</v>
      </c>
      <c r="M249" s="232">
        <f t="shared" si="19"/>
        <v>0</v>
      </c>
      <c r="N249" s="262">
        <v>0</v>
      </c>
      <c r="O249" s="262">
        <f>O250+O253+O257+O256</f>
        <v>0</v>
      </c>
      <c r="P249" s="262">
        <f>P250+P253+P257+P256</f>
        <v>0</v>
      </c>
      <c r="Q249" s="262">
        <f>Q250+Q253+Q257+Q256</f>
        <v>0</v>
      </c>
      <c r="R249" s="232">
        <f t="shared" si="20"/>
        <v>0</v>
      </c>
    </row>
    <row r="250" spans="1:18" s="29" customFormat="1" ht="12" hidden="1" customHeight="1">
      <c r="A250" s="141" t="s">
        <v>50</v>
      </c>
      <c r="B250" s="179" t="s">
        <v>51</v>
      </c>
      <c r="C250" s="98">
        <v>0</v>
      </c>
      <c r="D250" s="98">
        <v>0</v>
      </c>
      <c r="E250" s="231">
        <f>E251+E252</f>
        <v>0</v>
      </c>
      <c r="F250" s="231">
        <f>F251+F252</f>
        <v>0</v>
      </c>
      <c r="G250" s="231">
        <f>G251+G252</f>
        <v>0</v>
      </c>
      <c r="H250" s="232">
        <f t="shared" si="18"/>
        <v>0</v>
      </c>
      <c r="I250" s="231">
        <v>0</v>
      </c>
      <c r="J250" s="231">
        <f>J251+J252</f>
        <v>0</v>
      </c>
      <c r="K250" s="231">
        <f>K251+K252</f>
        <v>0</v>
      </c>
      <c r="L250" s="231">
        <f>L251+L252</f>
        <v>0</v>
      </c>
      <c r="M250" s="232">
        <f t="shared" si="19"/>
        <v>0</v>
      </c>
      <c r="N250" s="231">
        <v>0</v>
      </c>
      <c r="O250" s="231">
        <f>O251+O252</f>
        <v>0</v>
      </c>
      <c r="P250" s="231">
        <f>P251+P252</f>
        <v>0</v>
      </c>
      <c r="Q250" s="231">
        <f>Q251+Q252</f>
        <v>0</v>
      </c>
      <c r="R250" s="232">
        <f t="shared" si="20"/>
        <v>0</v>
      </c>
    </row>
    <row r="251" spans="1:18" s="29" customFormat="1" ht="12" hidden="1" customHeight="1">
      <c r="A251" s="141" t="s">
        <v>52</v>
      </c>
      <c r="B251" s="179" t="s">
        <v>53</v>
      </c>
      <c r="C251" s="98"/>
      <c r="D251" s="98">
        <v>0</v>
      </c>
      <c r="E251" s="231"/>
      <c r="F251" s="231"/>
      <c r="G251" s="231"/>
      <c r="H251" s="232">
        <f t="shared" si="18"/>
        <v>0</v>
      </c>
      <c r="I251" s="231">
        <v>0</v>
      </c>
      <c r="J251" s="231"/>
      <c r="K251" s="231"/>
      <c r="L251" s="231"/>
      <c r="M251" s="232">
        <f t="shared" si="19"/>
        <v>0</v>
      </c>
      <c r="N251" s="231">
        <v>0</v>
      </c>
      <c r="O251" s="231"/>
      <c r="P251" s="231"/>
      <c r="Q251" s="231"/>
      <c r="R251" s="232">
        <f t="shared" si="20"/>
        <v>0</v>
      </c>
    </row>
    <row r="252" spans="1:18" s="29" customFormat="1" ht="12" hidden="1" customHeight="1">
      <c r="A252" s="141" t="s">
        <v>54</v>
      </c>
      <c r="B252" s="179" t="s">
        <v>55</v>
      </c>
      <c r="C252" s="98"/>
      <c r="D252" s="98">
        <v>0</v>
      </c>
      <c r="E252" s="231"/>
      <c r="F252" s="231"/>
      <c r="G252" s="231"/>
      <c r="H252" s="232">
        <f t="shared" si="18"/>
        <v>0</v>
      </c>
      <c r="I252" s="231">
        <v>0</v>
      </c>
      <c r="J252" s="231"/>
      <c r="K252" s="231"/>
      <c r="L252" s="231"/>
      <c r="M252" s="232">
        <f t="shared" si="19"/>
        <v>0</v>
      </c>
      <c r="N252" s="231">
        <v>0</v>
      </c>
      <c r="O252" s="231"/>
      <c r="P252" s="231"/>
      <c r="Q252" s="231"/>
      <c r="R252" s="232">
        <f t="shared" si="20"/>
        <v>0</v>
      </c>
    </row>
    <row r="253" spans="1:18" s="29" customFormat="1" ht="12" hidden="1" customHeight="1">
      <c r="A253" s="141" t="s">
        <v>56</v>
      </c>
      <c r="B253" s="179" t="s">
        <v>57</v>
      </c>
      <c r="C253" s="98">
        <v>0</v>
      </c>
      <c r="D253" s="98">
        <v>0</v>
      </c>
      <c r="E253" s="231">
        <f>E254+E255</f>
        <v>0</v>
      </c>
      <c r="F253" s="231">
        <f>F254+F255</f>
        <v>0</v>
      </c>
      <c r="G253" s="231">
        <f>G254+G255</f>
        <v>0</v>
      </c>
      <c r="H253" s="232">
        <f t="shared" si="18"/>
        <v>0</v>
      </c>
      <c r="I253" s="231">
        <v>0</v>
      </c>
      <c r="J253" s="231">
        <f>J254+J255</f>
        <v>0</v>
      </c>
      <c r="K253" s="231">
        <f>K254+K255</f>
        <v>0</v>
      </c>
      <c r="L253" s="231">
        <f>L254+L255</f>
        <v>0</v>
      </c>
      <c r="M253" s="232">
        <f t="shared" si="19"/>
        <v>0</v>
      </c>
      <c r="N253" s="231">
        <v>0</v>
      </c>
      <c r="O253" s="231">
        <f>O254+O255</f>
        <v>0</v>
      </c>
      <c r="P253" s="231">
        <f>P254+P255</f>
        <v>0</v>
      </c>
      <c r="Q253" s="231">
        <f>Q254+Q255</f>
        <v>0</v>
      </c>
      <c r="R253" s="232">
        <f t="shared" si="20"/>
        <v>0</v>
      </c>
    </row>
    <row r="254" spans="1:18" s="29" customFormat="1" ht="12" hidden="1" customHeight="1">
      <c r="A254" s="141" t="s">
        <v>58</v>
      </c>
      <c r="B254" s="179" t="s">
        <v>59</v>
      </c>
      <c r="C254" s="98"/>
      <c r="D254" s="98">
        <v>0</v>
      </c>
      <c r="E254" s="231"/>
      <c r="F254" s="231"/>
      <c r="G254" s="231"/>
      <c r="H254" s="232">
        <f t="shared" si="18"/>
        <v>0</v>
      </c>
      <c r="I254" s="231">
        <v>0</v>
      </c>
      <c r="J254" s="231"/>
      <c r="K254" s="231"/>
      <c r="L254" s="231"/>
      <c r="M254" s="232">
        <f t="shared" si="19"/>
        <v>0</v>
      </c>
      <c r="N254" s="231">
        <v>0</v>
      </c>
      <c r="O254" s="231"/>
      <c r="P254" s="231"/>
      <c r="Q254" s="231"/>
      <c r="R254" s="232">
        <f t="shared" si="20"/>
        <v>0</v>
      </c>
    </row>
    <row r="255" spans="1:18" s="29" customFormat="1" ht="12" hidden="1" customHeight="1">
      <c r="A255" s="141" t="s">
        <v>60</v>
      </c>
      <c r="B255" s="179" t="s">
        <v>61</v>
      </c>
      <c r="C255" s="98"/>
      <c r="D255" s="98">
        <v>0</v>
      </c>
      <c r="E255" s="231"/>
      <c r="F255" s="231"/>
      <c r="G255" s="231"/>
      <c r="H255" s="232">
        <f t="shared" si="18"/>
        <v>0</v>
      </c>
      <c r="I255" s="231">
        <v>0</v>
      </c>
      <c r="J255" s="231"/>
      <c r="K255" s="231"/>
      <c r="L255" s="231"/>
      <c r="M255" s="232">
        <f t="shared" si="19"/>
        <v>0</v>
      </c>
      <c r="N255" s="231">
        <v>0</v>
      </c>
      <c r="O255" s="231"/>
      <c r="P255" s="231"/>
      <c r="Q255" s="231"/>
      <c r="R255" s="232">
        <f t="shared" si="20"/>
        <v>0</v>
      </c>
    </row>
    <row r="256" spans="1:18" s="29" customFormat="1" ht="12" hidden="1" customHeight="1">
      <c r="A256" s="141" t="s">
        <v>198</v>
      </c>
      <c r="B256" s="187" t="s">
        <v>168</v>
      </c>
      <c r="C256" s="98"/>
      <c r="D256" s="98">
        <v>0</v>
      </c>
      <c r="E256" s="231"/>
      <c r="F256" s="231"/>
      <c r="G256" s="231"/>
      <c r="H256" s="232">
        <f t="shared" si="18"/>
        <v>0</v>
      </c>
      <c r="I256" s="231">
        <v>0</v>
      </c>
      <c r="J256" s="231"/>
      <c r="K256" s="231"/>
      <c r="L256" s="231"/>
      <c r="M256" s="232">
        <f t="shared" si="19"/>
        <v>0</v>
      </c>
      <c r="N256" s="231">
        <v>0</v>
      </c>
      <c r="O256" s="231"/>
      <c r="P256" s="231"/>
      <c r="Q256" s="231"/>
      <c r="R256" s="232">
        <f t="shared" si="20"/>
        <v>0</v>
      </c>
    </row>
    <row r="257" spans="1:18" s="29" customFormat="1" ht="12" hidden="1" customHeight="1">
      <c r="A257" s="144" t="s">
        <v>62</v>
      </c>
      <c r="B257" s="125" t="s">
        <v>63</v>
      </c>
      <c r="C257" s="170">
        <v>0</v>
      </c>
      <c r="D257" s="170">
        <v>0</v>
      </c>
      <c r="E257" s="233">
        <f>E258+E259+E260</f>
        <v>0</v>
      </c>
      <c r="F257" s="233">
        <f>F258+F259+F260</f>
        <v>0</v>
      </c>
      <c r="G257" s="233">
        <f>G258+G259+G260</f>
        <v>0</v>
      </c>
      <c r="H257" s="232">
        <f t="shared" si="18"/>
        <v>0</v>
      </c>
      <c r="I257" s="233">
        <v>0</v>
      </c>
      <c r="J257" s="233">
        <f>J258+J259+J260</f>
        <v>0</v>
      </c>
      <c r="K257" s="233">
        <f>K258+K259+K260</f>
        <v>0</v>
      </c>
      <c r="L257" s="233">
        <f>L258+L259+L260</f>
        <v>0</v>
      </c>
      <c r="M257" s="232">
        <f t="shared" si="19"/>
        <v>0</v>
      </c>
      <c r="N257" s="233">
        <v>0</v>
      </c>
      <c r="O257" s="233">
        <f>O258+O259+O260</f>
        <v>0</v>
      </c>
      <c r="P257" s="233">
        <f>P258+P259+P260</f>
        <v>0</v>
      </c>
      <c r="Q257" s="233">
        <f>Q258+Q259+Q260</f>
        <v>0</v>
      </c>
      <c r="R257" s="232">
        <f t="shared" si="20"/>
        <v>0</v>
      </c>
    </row>
    <row r="258" spans="1:18" s="29" customFormat="1" ht="36" hidden="1" customHeight="1">
      <c r="A258" s="144" t="s">
        <v>64</v>
      </c>
      <c r="B258" s="179" t="s">
        <v>65</v>
      </c>
      <c r="C258" s="98"/>
      <c r="D258" s="98">
        <v>0</v>
      </c>
      <c r="E258" s="231"/>
      <c r="F258" s="231"/>
      <c r="G258" s="231"/>
      <c r="H258" s="232">
        <f t="shared" si="18"/>
        <v>0</v>
      </c>
      <c r="I258" s="231">
        <v>0</v>
      </c>
      <c r="J258" s="231"/>
      <c r="K258" s="231"/>
      <c r="L258" s="231"/>
      <c r="M258" s="232">
        <f t="shared" si="19"/>
        <v>0</v>
      </c>
      <c r="N258" s="231">
        <v>0</v>
      </c>
      <c r="O258" s="231"/>
      <c r="P258" s="231"/>
      <c r="Q258" s="231"/>
      <c r="R258" s="232">
        <f t="shared" si="20"/>
        <v>0</v>
      </c>
    </row>
    <row r="259" spans="1:18" s="29" customFormat="1" ht="24" hidden="1" customHeight="1">
      <c r="A259" s="144" t="s">
        <v>66</v>
      </c>
      <c r="B259" s="179" t="s">
        <v>67</v>
      </c>
      <c r="C259" s="98"/>
      <c r="D259" s="98">
        <v>0</v>
      </c>
      <c r="E259" s="231"/>
      <c r="F259" s="231"/>
      <c r="G259" s="231"/>
      <c r="H259" s="232">
        <f t="shared" si="18"/>
        <v>0</v>
      </c>
      <c r="I259" s="231">
        <v>0</v>
      </c>
      <c r="J259" s="231"/>
      <c r="K259" s="231"/>
      <c r="L259" s="231"/>
      <c r="M259" s="232">
        <f t="shared" si="19"/>
        <v>0</v>
      </c>
      <c r="N259" s="231">
        <v>0</v>
      </c>
      <c r="O259" s="231"/>
      <c r="P259" s="231"/>
      <c r="Q259" s="231"/>
      <c r="R259" s="232">
        <f t="shared" si="20"/>
        <v>0</v>
      </c>
    </row>
    <row r="260" spans="1:18" s="29" customFormat="1" ht="24" hidden="1" customHeight="1">
      <c r="A260" s="144" t="s">
        <v>68</v>
      </c>
      <c r="B260" s="125" t="s">
        <v>69</v>
      </c>
      <c r="C260" s="98"/>
      <c r="D260" s="98">
        <v>0</v>
      </c>
      <c r="E260" s="231"/>
      <c r="F260" s="231"/>
      <c r="G260" s="231"/>
      <c r="H260" s="232">
        <f t="shared" si="18"/>
        <v>0</v>
      </c>
      <c r="I260" s="231">
        <v>0</v>
      </c>
      <c r="J260" s="231"/>
      <c r="K260" s="231"/>
      <c r="L260" s="231"/>
      <c r="M260" s="232">
        <f t="shared" si="19"/>
        <v>0</v>
      </c>
      <c r="N260" s="231">
        <v>0</v>
      </c>
      <c r="O260" s="231"/>
      <c r="P260" s="231"/>
      <c r="Q260" s="231"/>
      <c r="R260" s="232">
        <f t="shared" si="20"/>
        <v>0</v>
      </c>
    </row>
    <row r="261" spans="1:18" s="29" customFormat="1" ht="12">
      <c r="A261" s="271"/>
      <c r="B261" s="272"/>
      <c r="C261" s="253"/>
      <c r="D261" s="254"/>
      <c r="E261" s="253"/>
      <c r="F261" s="253"/>
      <c r="G261" s="253"/>
      <c r="H261" s="232"/>
      <c r="I261" s="254"/>
      <c r="J261" s="253"/>
      <c r="K261" s="253"/>
      <c r="L261" s="253"/>
      <c r="M261" s="232"/>
      <c r="N261" s="254"/>
      <c r="O261" s="253"/>
      <c r="P261" s="253"/>
      <c r="Q261" s="253"/>
      <c r="R261" s="232"/>
    </row>
    <row r="262" spans="1:18" ht="12">
      <c r="A262" s="33"/>
      <c r="B262" s="164"/>
      <c r="C262" s="165"/>
      <c r="D262" s="163"/>
      <c r="E262" s="165"/>
      <c r="F262" s="163"/>
      <c r="G262" s="163"/>
      <c r="H262" s="163"/>
      <c r="I262" s="163"/>
      <c r="J262" s="165"/>
      <c r="K262" s="163"/>
      <c r="L262" s="163"/>
      <c r="M262" s="163"/>
      <c r="N262" s="163"/>
      <c r="O262" s="165"/>
      <c r="P262" s="163"/>
      <c r="Q262" s="163"/>
      <c r="R262" s="163"/>
    </row>
    <row r="263" spans="1:18" ht="12">
      <c r="A263" s="33"/>
      <c r="B263" s="164"/>
      <c r="C263" s="165"/>
      <c r="D263" s="163"/>
      <c r="E263" s="165"/>
      <c r="F263" s="163"/>
      <c r="G263" s="163"/>
      <c r="H263" s="163"/>
      <c r="I263" s="163"/>
      <c r="J263" s="165"/>
      <c r="K263" s="163"/>
      <c r="L263" s="163"/>
      <c r="M263" s="163"/>
      <c r="N263" s="163"/>
      <c r="O263" s="165"/>
      <c r="P263" s="163"/>
      <c r="Q263" s="163"/>
      <c r="R263" s="163"/>
    </row>
    <row r="264" spans="1:18" ht="13.2">
      <c r="A264" s="615" t="s">
        <v>236</v>
      </c>
      <c r="B264" s="616" t="s">
        <v>237</v>
      </c>
      <c r="C264" s="165"/>
      <c r="D264" s="163"/>
      <c r="E264" s="165"/>
      <c r="F264" s="163"/>
      <c r="G264" s="163"/>
      <c r="H264" s="163"/>
      <c r="I264" s="163"/>
      <c r="J264" s="165"/>
      <c r="K264" s="163"/>
      <c r="L264" s="163"/>
      <c r="M264" s="163"/>
      <c r="N264" s="163"/>
      <c r="O264" s="165"/>
      <c r="P264" s="163"/>
      <c r="Q264" s="163"/>
      <c r="R264" s="163"/>
    </row>
    <row r="265" spans="1:18" ht="13.2">
      <c r="A265" s="371"/>
      <c r="B265" s="372" t="s">
        <v>238</v>
      </c>
      <c r="C265" s="165"/>
      <c r="D265" s="163"/>
      <c r="E265" s="165"/>
      <c r="F265" s="163"/>
      <c r="G265" s="163"/>
      <c r="H265" s="163"/>
      <c r="I265" s="163"/>
      <c r="J265" s="165"/>
      <c r="K265" s="163"/>
      <c r="L265" s="163"/>
      <c r="M265" s="163"/>
      <c r="N265" s="163"/>
      <c r="O265" s="165"/>
      <c r="P265" s="163"/>
      <c r="Q265" s="163"/>
      <c r="R265" s="163"/>
    </row>
    <row r="266" spans="1:18" ht="13.2">
      <c r="A266" s="373" t="s">
        <v>223</v>
      </c>
      <c r="B266" s="374" t="s">
        <v>434</v>
      </c>
      <c r="C266" s="165"/>
      <c r="D266" s="163"/>
      <c r="E266" s="165"/>
      <c r="F266" s="163"/>
      <c r="G266" s="163"/>
      <c r="H266" s="163"/>
      <c r="I266" s="163"/>
      <c r="J266" s="165"/>
      <c r="K266" s="163"/>
      <c r="L266" s="163"/>
      <c r="M266" s="163"/>
      <c r="N266" s="163"/>
      <c r="O266" s="165"/>
      <c r="P266" s="163"/>
      <c r="Q266" s="163"/>
      <c r="R266" s="163"/>
    </row>
    <row r="267" spans="1:18" ht="52.8">
      <c r="A267" s="375" t="s">
        <v>240</v>
      </c>
      <c r="B267" s="594" t="s">
        <v>562</v>
      </c>
      <c r="C267" s="165"/>
      <c r="D267" s="163"/>
      <c r="E267" s="165"/>
      <c r="F267" s="163"/>
      <c r="G267" s="163"/>
      <c r="H267" s="163"/>
      <c r="I267" s="163"/>
      <c r="J267" s="165"/>
      <c r="K267" s="163"/>
      <c r="L267" s="163"/>
      <c r="M267" s="163"/>
      <c r="N267" s="163"/>
      <c r="O267" s="165"/>
      <c r="P267" s="163"/>
      <c r="Q267" s="163"/>
      <c r="R267" s="163"/>
    </row>
    <row r="268" spans="1:18" ht="66">
      <c r="A268" s="375" t="s">
        <v>253</v>
      </c>
      <c r="B268" s="594" t="s">
        <v>563</v>
      </c>
      <c r="C268" s="165"/>
      <c r="D268" s="163"/>
      <c r="E268" s="165"/>
      <c r="F268" s="163"/>
      <c r="G268" s="163"/>
      <c r="H268" s="163"/>
      <c r="I268" s="163"/>
      <c r="J268" s="165"/>
      <c r="K268" s="163"/>
      <c r="L268" s="163"/>
      <c r="M268" s="163"/>
      <c r="N268" s="163"/>
      <c r="O268" s="165"/>
      <c r="P268" s="163"/>
      <c r="Q268" s="163"/>
      <c r="R268" s="163"/>
    </row>
    <row r="269" spans="1:18" ht="92.4">
      <c r="A269" s="375" t="s">
        <v>255</v>
      </c>
      <c r="B269" s="376" t="s">
        <v>564</v>
      </c>
      <c r="C269" s="165"/>
      <c r="D269" s="163"/>
      <c r="E269" s="165"/>
      <c r="F269" s="163"/>
      <c r="G269" s="163"/>
      <c r="H269" s="163"/>
      <c r="I269" s="163"/>
      <c r="J269" s="165"/>
      <c r="K269" s="163"/>
      <c r="L269" s="163"/>
      <c r="M269" s="163"/>
      <c r="N269" s="163"/>
      <c r="O269" s="165"/>
      <c r="P269" s="163"/>
      <c r="Q269" s="163"/>
      <c r="R269" s="163"/>
    </row>
    <row r="270" spans="1:18" ht="92.4">
      <c r="A270" s="375" t="s">
        <v>281</v>
      </c>
      <c r="B270" s="376" t="s">
        <v>565</v>
      </c>
      <c r="C270" s="165"/>
      <c r="D270" s="163"/>
      <c r="E270" s="165"/>
      <c r="F270" s="163"/>
      <c r="G270" s="163"/>
      <c r="H270" s="163"/>
      <c r="I270" s="163"/>
      <c r="J270" s="165"/>
      <c r="K270" s="163"/>
      <c r="L270" s="163"/>
      <c r="M270" s="163"/>
      <c r="N270" s="163"/>
      <c r="O270" s="165"/>
      <c r="P270" s="163"/>
      <c r="Q270" s="163"/>
      <c r="R270" s="163"/>
    </row>
    <row r="271" spans="1:18" ht="92.4">
      <c r="A271" s="375" t="s">
        <v>283</v>
      </c>
      <c r="B271" s="376" t="s">
        <v>566</v>
      </c>
      <c r="C271" s="165"/>
      <c r="D271" s="163"/>
      <c r="E271" s="165"/>
      <c r="F271" s="163"/>
      <c r="G271" s="163"/>
      <c r="H271" s="163"/>
      <c r="I271" s="163"/>
      <c r="J271" s="165"/>
      <c r="K271" s="163"/>
      <c r="L271" s="163"/>
      <c r="M271" s="163"/>
      <c r="N271" s="163"/>
      <c r="O271" s="165"/>
      <c r="P271" s="163"/>
      <c r="Q271" s="163"/>
      <c r="R271" s="163"/>
    </row>
    <row r="272" spans="1:18" ht="52.8">
      <c r="A272" s="375" t="s">
        <v>285</v>
      </c>
      <c r="B272" s="376" t="s">
        <v>567</v>
      </c>
      <c r="C272" s="165"/>
      <c r="D272" s="163"/>
      <c r="E272" s="165"/>
      <c r="F272" s="163"/>
      <c r="G272" s="163"/>
      <c r="H272" s="163"/>
      <c r="I272" s="163"/>
      <c r="J272" s="165"/>
      <c r="K272" s="163"/>
      <c r="L272" s="163"/>
      <c r="M272" s="163"/>
      <c r="N272" s="163"/>
      <c r="O272" s="165"/>
      <c r="P272" s="163"/>
      <c r="Q272" s="163"/>
      <c r="R272" s="163"/>
    </row>
    <row r="273" spans="1:18" ht="13.2">
      <c r="A273" s="377"/>
      <c r="B273" s="376"/>
      <c r="C273" s="165"/>
      <c r="D273" s="163"/>
      <c r="E273" s="165"/>
      <c r="F273" s="163"/>
      <c r="G273" s="163"/>
      <c r="H273" s="163"/>
      <c r="I273" s="163"/>
      <c r="J273" s="165"/>
      <c r="K273" s="163"/>
      <c r="L273" s="163"/>
      <c r="M273" s="163"/>
      <c r="N273" s="163"/>
      <c r="O273" s="165"/>
      <c r="P273" s="163"/>
      <c r="Q273" s="163"/>
      <c r="R273" s="163"/>
    </row>
    <row r="274" spans="1:18" ht="13.2">
      <c r="A274" s="378" t="s">
        <v>224</v>
      </c>
      <c r="B274" s="374" t="s">
        <v>242</v>
      </c>
      <c r="C274" s="165"/>
      <c r="D274" s="163"/>
      <c r="E274" s="165"/>
      <c r="F274" s="163"/>
      <c r="G274" s="163"/>
      <c r="H274" s="163"/>
      <c r="I274" s="163"/>
      <c r="J274" s="165"/>
      <c r="K274" s="163"/>
      <c r="L274" s="163"/>
      <c r="M274" s="163"/>
      <c r="N274" s="163"/>
      <c r="O274" s="165"/>
      <c r="P274" s="163"/>
      <c r="Q274" s="163"/>
      <c r="R274" s="163"/>
    </row>
    <row r="275" spans="1:18" ht="13.2">
      <c r="A275" s="375" t="s">
        <v>243</v>
      </c>
      <c r="B275" s="376" t="s">
        <v>244</v>
      </c>
      <c r="C275" s="165"/>
      <c r="D275" s="163"/>
      <c r="E275" s="165"/>
      <c r="F275" s="163"/>
      <c r="G275" s="163"/>
      <c r="H275" s="163"/>
      <c r="I275" s="163"/>
      <c r="J275" s="165"/>
      <c r="K275" s="163"/>
      <c r="L275" s="163"/>
      <c r="M275" s="163"/>
      <c r="N275" s="163"/>
      <c r="O275" s="165"/>
      <c r="P275" s="163"/>
      <c r="Q275" s="163"/>
      <c r="R275" s="163"/>
    </row>
    <row r="276" spans="1:18" ht="13.2">
      <c r="A276" s="377"/>
      <c r="B276" s="376"/>
      <c r="C276" s="165"/>
      <c r="D276" s="163"/>
      <c r="E276" s="165"/>
      <c r="F276" s="163"/>
      <c r="G276" s="163"/>
      <c r="H276" s="163"/>
      <c r="I276" s="163"/>
      <c r="J276" s="165"/>
      <c r="K276" s="163"/>
      <c r="L276" s="163"/>
      <c r="M276" s="163"/>
      <c r="N276" s="163"/>
      <c r="O276" s="165"/>
      <c r="P276" s="163"/>
      <c r="Q276" s="163"/>
      <c r="R276" s="163"/>
    </row>
    <row r="277" spans="1:18" ht="13.2">
      <c r="A277" s="615" t="s">
        <v>245</v>
      </c>
      <c r="B277" s="616" t="s">
        <v>140</v>
      </c>
      <c r="C277" s="165"/>
      <c r="D277" s="163"/>
      <c r="E277" s="165"/>
      <c r="F277" s="163"/>
      <c r="G277" s="163"/>
      <c r="H277" s="163"/>
      <c r="I277" s="163"/>
      <c r="J277" s="165"/>
      <c r="K277" s="163"/>
      <c r="L277" s="163"/>
      <c r="M277" s="163"/>
      <c r="N277" s="163"/>
      <c r="O277" s="165"/>
      <c r="P277" s="163"/>
      <c r="Q277" s="163"/>
      <c r="R277" s="163"/>
    </row>
    <row r="278" spans="1:18" ht="13.2">
      <c r="A278" s="371"/>
      <c r="B278" s="372" t="s">
        <v>238</v>
      </c>
      <c r="C278" s="165"/>
      <c r="D278" s="163"/>
      <c r="E278" s="165"/>
      <c r="F278" s="163"/>
      <c r="G278" s="163"/>
      <c r="H278" s="163"/>
      <c r="I278" s="163"/>
      <c r="J278" s="165"/>
      <c r="K278" s="163"/>
      <c r="L278" s="163"/>
      <c r="M278" s="163"/>
      <c r="N278" s="163"/>
      <c r="O278" s="165"/>
      <c r="P278" s="163"/>
      <c r="Q278" s="163"/>
      <c r="R278" s="163"/>
    </row>
    <row r="279" spans="1:18" ht="13.2">
      <c r="A279" s="373" t="s">
        <v>223</v>
      </c>
      <c r="B279" s="374" t="s">
        <v>434</v>
      </c>
      <c r="C279" s="165"/>
      <c r="D279" s="163"/>
      <c r="E279" s="165"/>
      <c r="F279" s="163"/>
      <c r="G279" s="163"/>
      <c r="H279" s="163"/>
      <c r="I279" s="163"/>
      <c r="J279" s="165"/>
      <c r="K279" s="163"/>
      <c r="L279" s="163"/>
      <c r="M279" s="163"/>
      <c r="N279" s="163"/>
      <c r="O279" s="165"/>
      <c r="P279" s="163"/>
      <c r="Q279" s="163"/>
      <c r="R279" s="163"/>
    </row>
    <row r="280" spans="1:18" ht="13.2">
      <c r="A280" s="375" t="s">
        <v>240</v>
      </c>
      <c r="B280" s="376" t="s">
        <v>241</v>
      </c>
      <c r="C280" s="165"/>
      <c r="D280" s="163"/>
      <c r="E280" s="165"/>
      <c r="F280" s="163"/>
      <c r="G280" s="163"/>
      <c r="H280" s="163"/>
      <c r="I280" s="163"/>
      <c r="J280" s="165"/>
      <c r="K280" s="163"/>
      <c r="L280" s="163"/>
      <c r="M280" s="163"/>
      <c r="N280" s="163"/>
      <c r="O280" s="165"/>
      <c r="P280" s="163"/>
      <c r="Q280" s="163"/>
      <c r="R280" s="163"/>
    </row>
    <row r="281" spans="1:18" ht="13.2">
      <c r="A281" s="377"/>
      <c r="B281" s="376"/>
      <c r="C281" s="165"/>
      <c r="D281" s="163"/>
      <c r="E281" s="165"/>
      <c r="F281" s="163"/>
      <c r="G281" s="163"/>
      <c r="H281" s="163"/>
      <c r="I281" s="163"/>
      <c r="J281" s="165"/>
      <c r="K281" s="163"/>
      <c r="L281" s="163"/>
      <c r="M281" s="163"/>
      <c r="N281" s="163"/>
      <c r="O281" s="165"/>
      <c r="P281" s="163"/>
      <c r="Q281" s="163"/>
      <c r="R281" s="163"/>
    </row>
    <row r="282" spans="1:18" ht="13.2">
      <c r="A282" s="378" t="s">
        <v>224</v>
      </c>
      <c r="B282" s="374" t="s">
        <v>242</v>
      </c>
      <c r="C282" s="165"/>
      <c r="D282" s="163"/>
      <c r="E282" s="165"/>
      <c r="F282" s="163"/>
      <c r="G282" s="163"/>
      <c r="H282" s="163"/>
      <c r="I282" s="163"/>
      <c r="J282" s="165"/>
      <c r="K282" s="163"/>
      <c r="L282" s="163"/>
      <c r="M282" s="163"/>
      <c r="N282" s="163"/>
      <c r="O282" s="165"/>
      <c r="P282" s="163"/>
      <c r="Q282" s="163"/>
      <c r="R282" s="163"/>
    </row>
    <row r="283" spans="1:18" ht="13.2">
      <c r="A283" s="375" t="s">
        <v>243</v>
      </c>
      <c r="B283" s="376" t="s">
        <v>244</v>
      </c>
      <c r="C283" s="165"/>
      <c r="D283" s="163"/>
      <c r="E283" s="165"/>
      <c r="F283" s="163"/>
      <c r="G283" s="163"/>
      <c r="H283" s="163"/>
      <c r="I283" s="163"/>
      <c r="J283" s="165"/>
      <c r="K283" s="163"/>
      <c r="L283" s="163"/>
      <c r="M283" s="163"/>
      <c r="N283" s="163"/>
      <c r="O283" s="165"/>
      <c r="P283" s="163"/>
      <c r="Q283" s="163"/>
      <c r="R283" s="163"/>
    </row>
    <row r="284" spans="1:18" ht="12">
      <c r="A284" s="33"/>
      <c r="B284" s="34"/>
      <c r="C284" s="165"/>
      <c r="D284" s="163"/>
      <c r="E284" s="165"/>
      <c r="F284" s="163"/>
      <c r="G284" s="163"/>
      <c r="H284" s="163"/>
      <c r="I284" s="163"/>
      <c r="J284" s="165"/>
      <c r="K284" s="163"/>
      <c r="L284" s="163"/>
      <c r="M284" s="163"/>
      <c r="N284" s="163"/>
      <c r="O284" s="165"/>
      <c r="P284" s="163"/>
      <c r="Q284" s="163"/>
      <c r="R284" s="163"/>
    </row>
    <row r="285" spans="1:18" ht="12">
      <c r="A285" s="33"/>
      <c r="B285" s="34"/>
      <c r="C285" s="165"/>
      <c r="D285" s="163"/>
      <c r="E285" s="165"/>
      <c r="F285" s="163"/>
      <c r="G285" s="163"/>
      <c r="H285" s="163"/>
      <c r="I285" s="163"/>
      <c r="J285" s="165"/>
      <c r="K285" s="163"/>
      <c r="L285" s="163"/>
      <c r="M285" s="163"/>
      <c r="N285" s="163"/>
      <c r="O285" s="165"/>
      <c r="P285" s="163"/>
      <c r="Q285" s="163"/>
      <c r="R285" s="163"/>
    </row>
    <row r="286" spans="1:18" ht="12">
      <c r="A286" s="33"/>
      <c r="B286" s="31"/>
      <c r="C286" s="165"/>
      <c r="D286" s="163"/>
      <c r="E286" s="165"/>
      <c r="F286" s="163"/>
      <c r="G286" s="163"/>
      <c r="H286" s="163"/>
      <c r="I286" s="163"/>
      <c r="J286" s="165"/>
      <c r="K286" s="163"/>
      <c r="L286" s="163"/>
      <c r="M286" s="163"/>
      <c r="N286" s="163"/>
      <c r="O286" s="165"/>
      <c r="P286" s="163"/>
      <c r="Q286" s="163"/>
      <c r="R286" s="163"/>
    </row>
    <row r="287" spans="1:18" ht="12">
      <c r="E287" s="165"/>
      <c r="F287" s="163"/>
      <c r="G287" s="163"/>
      <c r="H287" s="163"/>
      <c r="I287" s="163"/>
      <c r="J287" s="165"/>
      <c r="K287" s="163"/>
      <c r="L287" s="163"/>
      <c r="M287" s="163"/>
      <c r="N287" s="163"/>
      <c r="O287" s="165"/>
      <c r="P287" s="163"/>
      <c r="Q287" s="163"/>
      <c r="R287" s="163"/>
    </row>
    <row r="288" spans="1:18" ht="12">
      <c r="E288" s="165"/>
      <c r="F288" s="163"/>
      <c r="G288" s="163"/>
      <c r="H288" s="163"/>
      <c r="I288" s="163"/>
      <c r="J288" s="165"/>
      <c r="K288" s="163"/>
      <c r="L288" s="163"/>
      <c r="M288" s="163"/>
      <c r="N288" s="163"/>
      <c r="O288" s="165"/>
      <c r="P288" s="163"/>
      <c r="Q288" s="163"/>
      <c r="R288" s="163"/>
    </row>
    <row r="289" spans="5:18" ht="12">
      <c r="E289" s="165"/>
      <c r="F289" s="163"/>
      <c r="G289" s="163"/>
      <c r="H289" s="163"/>
      <c r="I289" s="163"/>
      <c r="J289" s="165"/>
      <c r="K289" s="163"/>
      <c r="L289" s="163"/>
      <c r="M289" s="163"/>
      <c r="N289" s="163"/>
      <c r="O289" s="165"/>
      <c r="P289" s="163"/>
      <c r="Q289" s="163"/>
      <c r="R289" s="163"/>
    </row>
    <row r="290" spans="5:18" ht="12">
      <c r="E290" s="165"/>
      <c r="F290" s="163"/>
      <c r="G290" s="163"/>
      <c r="H290" s="163"/>
      <c r="I290" s="163"/>
      <c r="J290" s="165"/>
      <c r="K290" s="163"/>
      <c r="L290" s="163"/>
      <c r="M290" s="163"/>
      <c r="N290" s="163"/>
      <c r="O290" s="165"/>
      <c r="P290" s="163"/>
      <c r="Q290" s="163"/>
      <c r="R290" s="163"/>
    </row>
    <row r="291" spans="5:18" ht="12">
      <c r="E291" s="165"/>
      <c r="F291" s="163"/>
      <c r="G291" s="163"/>
      <c r="H291" s="163"/>
      <c r="I291" s="163"/>
      <c r="J291" s="165"/>
      <c r="K291" s="163"/>
      <c r="L291" s="163"/>
      <c r="M291" s="163"/>
      <c r="N291" s="163"/>
      <c r="O291" s="165"/>
      <c r="P291" s="163"/>
      <c r="Q291" s="163"/>
      <c r="R291" s="163"/>
    </row>
    <row r="292" spans="5:18" ht="12">
      <c r="E292" s="165"/>
      <c r="F292" s="163"/>
      <c r="G292" s="163"/>
      <c r="H292" s="163"/>
      <c r="I292" s="163"/>
      <c r="J292" s="165"/>
      <c r="K292" s="163"/>
      <c r="L292" s="163"/>
      <c r="M292" s="163"/>
      <c r="N292" s="163"/>
      <c r="O292" s="165"/>
      <c r="P292" s="163"/>
      <c r="Q292" s="163"/>
      <c r="R292" s="163"/>
    </row>
    <row r="293" spans="5:18" ht="12">
      <c r="E293" s="165"/>
      <c r="F293" s="163"/>
      <c r="G293" s="163"/>
      <c r="H293" s="163"/>
      <c r="I293" s="163"/>
      <c r="J293" s="165"/>
      <c r="K293" s="163"/>
      <c r="L293" s="163"/>
      <c r="M293" s="163"/>
      <c r="N293" s="163"/>
      <c r="O293" s="165"/>
      <c r="P293" s="163"/>
      <c r="Q293" s="163"/>
      <c r="R293" s="163"/>
    </row>
    <row r="294" spans="5:18" ht="12">
      <c r="E294" s="165"/>
      <c r="F294" s="163"/>
      <c r="G294" s="163"/>
      <c r="H294" s="163"/>
      <c r="I294" s="163"/>
      <c r="J294" s="165"/>
      <c r="K294" s="163"/>
      <c r="L294" s="163"/>
      <c r="M294" s="163"/>
      <c r="N294" s="163"/>
      <c r="O294" s="165"/>
      <c r="P294" s="163"/>
      <c r="Q294" s="163"/>
      <c r="R294" s="163"/>
    </row>
    <row r="295" spans="5:18" ht="12">
      <c r="E295" s="165"/>
      <c r="F295" s="163"/>
      <c r="G295" s="163"/>
      <c r="H295" s="163"/>
      <c r="I295" s="163"/>
      <c r="J295" s="165"/>
      <c r="K295" s="163"/>
      <c r="L295" s="163"/>
      <c r="M295" s="163"/>
      <c r="N295" s="163"/>
      <c r="O295" s="165"/>
      <c r="P295" s="163"/>
      <c r="Q295" s="163"/>
      <c r="R295" s="163"/>
    </row>
    <row r="296" spans="5:18" ht="12">
      <c r="E296" s="165"/>
      <c r="F296" s="163"/>
      <c r="G296" s="163"/>
      <c r="H296" s="163"/>
      <c r="I296" s="163"/>
      <c r="J296" s="165"/>
      <c r="K296" s="163"/>
      <c r="L296" s="163"/>
      <c r="M296" s="163"/>
      <c r="N296" s="163"/>
      <c r="O296" s="165"/>
      <c r="P296" s="163"/>
      <c r="Q296" s="163"/>
      <c r="R296" s="163"/>
    </row>
    <row r="297" spans="5:18" ht="12">
      <c r="E297" s="165"/>
      <c r="F297" s="163"/>
      <c r="G297" s="163"/>
      <c r="H297" s="163"/>
      <c r="I297" s="163"/>
      <c r="J297" s="165"/>
      <c r="K297" s="163"/>
      <c r="L297" s="163"/>
      <c r="M297" s="163"/>
      <c r="N297" s="163"/>
      <c r="O297" s="165"/>
      <c r="P297" s="163"/>
      <c r="Q297" s="163"/>
      <c r="R297" s="163"/>
    </row>
    <row r="298" spans="5:18" ht="12">
      <c r="E298" s="165"/>
      <c r="F298" s="163"/>
      <c r="G298" s="163"/>
      <c r="H298" s="163"/>
      <c r="I298" s="163"/>
      <c r="J298" s="165"/>
      <c r="K298" s="163"/>
      <c r="L298" s="163"/>
      <c r="M298" s="163"/>
      <c r="N298" s="163"/>
      <c r="O298" s="165"/>
      <c r="P298" s="163"/>
      <c r="Q298" s="163"/>
      <c r="R298" s="163"/>
    </row>
    <row r="299" spans="5:18" ht="12">
      <c r="E299" s="165"/>
      <c r="F299" s="163"/>
      <c r="G299" s="163"/>
      <c r="H299" s="163"/>
      <c r="I299" s="163"/>
      <c r="J299" s="165"/>
      <c r="K299" s="163"/>
      <c r="L299" s="163"/>
      <c r="M299" s="163"/>
      <c r="N299" s="163"/>
      <c r="O299" s="165"/>
      <c r="P299" s="163"/>
      <c r="Q299" s="163"/>
      <c r="R299" s="163"/>
    </row>
    <row r="300" spans="5:18" ht="12">
      <c r="E300" s="165"/>
      <c r="F300" s="163"/>
      <c r="G300" s="163"/>
      <c r="H300" s="163"/>
      <c r="I300" s="163"/>
      <c r="J300" s="165"/>
      <c r="K300" s="163"/>
      <c r="L300" s="163"/>
      <c r="M300" s="163"/>
      <c r="N300" s="163"/>
      <c r="O300" s="165"/>
      <c r="P300" s="163"/>
      <c r="Q300" s="163"/>
      <c r="R300" s="163"/>
    </row>
    <row r="301" spans="5:18" ht="12">
      <c r="E301" s="165"/>
      <c r="F301" s="163"/>
      <c r="G301" s="163"/>
      <c r="H301" s="163"/>
      <c r="I301" s="163"/>
      <c r="J301" s="165"/>
      <c r="K301" s="163"/>
      <c r="L301" s="163"/>
      <c r="M301" s="163"/>
      <c r="N301" s="163"/>
      <c r="O301" s="165"/>
      <c r="P301" s="163"/>
      <c r="Q301" s="163"/>
      <c r="R301" s="163"/>
    </row>
    <row r="302" spans="5:18" ht="12">
      <c r="E302" s="165"/>
      <c r="F302" s="163"/>
      <c r="G302" s="163"/>
      <c r="H302" s="163"/>
      <c r="I302" s="163"/>
      <c r="J302" s="165"/>
      <c r="K302" s="163"/>
      <c r="L302" s="163"/>
      <c r="M302" s="163"/>
      <c r="N302" s="163"/>
      <c r="O302" s="165"/>
      <c r="P302" s="163"/>
      <c r="Q302" s="163"/>
      <c r="R302" s="163"/>
    </row>
    <row r="303" spans="5:18" ht="12">
      <c r="E303" s="165"/>
      <c r="F303" s="163"/>
      <c r="G303" s="163"/>
      <c r="H303" s="163"/>
      <c r="I303" s="163"/>
      <c r="J303" s="165"/>
      <c r="K303" s="163"/>
      <c r="L303" s="163"/>
      <c r="M303" s="163"/>
      <c r="N303" s="163"/>
      <c r="O303" s="165"/>
      <c r="P303" s="163"/>
      <c r="Q303" s="163"/>
      <c r="R303" s="163"/>
    </row>
    <row r="304" spans="5:18" ht="12">
      <c r="E304" s="165"/>
      <c r="F304" s="163"/>
      <c r="G304" s="163"/>
      <c r="H304" s="163"/>
      <c r="I304" s="163"/>
      <c r="J304" s="165"/>
      <c r="K304" s="163"/>
      <c r="L304" s="163"/>
      <c r="M304" s="163"/>
      <c r="N304" s="163"/>
      <c r="O304" s="165"/>
      <c r="P304" s="163"/>
      <c r="Q304" s="163"/>
      <c r="R304" s="163"/>
    </row>
    <row r="305" spans="5:18" ht="12">
      <c r="E305" s="165"/>
      <c r="F305" s="163"/>
      <c r="G305" s="163"/>
      <c r="H305" s="163"/>
      <c r="I305" s="163"/>
      <c r="J305" s="165"/>
      <c r="K305" s="163"/>
      <c r="L305" s="163"/>
      <c r="M305" s="163"/>
      <c r="N305" s="163"/>
      <c r="O305" s="165"/>
      <c r="P305" s="163"/>
      <c r="Q305" s="163"/>
      <c r="R305" s="163"/>
    </row>
    <row r="306" spans="5:18" ht="12">
      <c r="E306" s="165"/>
      <c r="F306" s="163"/>
      <c r="G306" s="163"/>
      <c r="H306" s="163"/>
      <c r="I306" s="163"/>
      <c r="J306" s="165"/>
      <c r="K306" s="163"/>
      <c r="L306" s="163"/>
      <c r="M306" s="163"/>
      <c r="N306" s="163"/>
      <c r="O306" s="165"/>
      <c r="P306" s="163"/>
      <c r="Q306" s="163"/>
      <c r="R306" s="163"/>
    </row>
    <row r="307" spans="5:18" ht="12">
      <c r="E307" s="165"/>
      <c r="F307" s="163"/>
      <c r="G307" s="163"/>
      <c r="H307" s="163"/>
      <c r="I307" s="163"/>
      <c r="J307" s="165"/>
      <c r="K307" s="163"/>
      <c r="L307" s="163"/>
      <c r="M307" s="163"/>
      <c r="N307" s="163"/>
      <c r="O307" s="165"/>
      <c r="P307" s="163"/>
      <c r="Q307" s="163"/>
      <c r="R307" s="163"/>
    </row>
    <row r="308" spans="5:18" ht="12">
      <c r="E308" s="165"/>
      <c r="F308" s="163"/>
      <c r="G308" s="163"/>
      <c r="H308" s="163"/>
      <c r="I308" s="163"/>
      <c r="J308" s="165"/>
      <c r="K308" s="163"/>
      <c r="L308" s="163"/>
      <c r="M308" s="163"/>
      <c r="N308" s="163"/>
      <c r="O308" s="165"/>
      <c r="P308" s="163"/>
      <c r="Q308" s="163"/>
      <c r="R308" s="163"/>
    </row>
    <row r="309" spans="5:18" ht="12">
      <c r="E309" s="165"/>
      <c r="F309" s="163"/>
      <c r="G309" s="163"/>
      <c r="H309" s="163"/>
      <c r="I309" s="163"/>
      <c r="J309" s="165"/>
      <c r="K309" s="163"/>
      <c r="L309" s="163"/>
      <c r="M309" s="163"/>
      <c r="N309" s="163"/>
      <c r="O309" s="165"/>
      <c r="P309" s="163"/>
      <c r="Q309" s="163"/>
      <c r="R309" s="163"/>
    </row>
    <row r="310" spans="5:18" ht="12">
      <c r="E310" s="165"/>
      <c r="F310" s="163"/>
      <c r="G310" s="163"/>
      <c r="H310" s="163"/>
      <c r="I310" s="163"/>
      <c r="J310" s="165"/>
      <c r="K310" s="163"/>
      <c r="L310" s="163"/>
      <c r="M310" s="163"/>
      <c r="N310" s="163"/>
      <c r="O310" s="165"/>
      <c r="P310" s="163"/>
      <c r="Q310" s="163"/>
      <c r="R310" s="163"/>
    </row>
    <row r="311" spans="5:18" ht="12">
      <c r="E311" s="165"/>
      <c r="F311" s="163"/>
      <c r="G311" s="163"/>
      <c r="H311" s="163"/>
      <c r="I311" s="163"/>
      <c r="J311" s="165"/>
      <c r="K311" s="163"/>
      <c r="L311" s="163"/>
      <c r="M311" s="163"/>
      <c r="N311" s="163"/>
      <c r="O311" s="165"/>
      <c r="P311" s="163"/>
      <c r="Q311" s="163"/>
      <c r="R311" s="163"/>
    </row>
    <row r="312" spans="5:18" ht="12">
      <c r="E312" s="165"/>
      <c r="F312" s="163"/>
      <c r="G312" s="163"/>
      <c r="H312" s="163"/>
      <c r="I312" s="163"/>
      <c r="J312" s="165"/>
      <c r="K312" s="163"/>
      <c r="L312" s="163"/>
      <c r="M312" s="163"/>
      <c r="N312" s="163"/>
      <c r="O312" s="165"/>
      <c r="P312" s="163"/>
      <c r="Q312" s="163"/>
      <c r="R312" s="163"/>
    </row>
    <row r="313" spans="5:18" ht="12">
      <c r="E313" s="165"/>
      <c r="F313" s="163"/>
      <c r="G313" s="163"/>
      <c r="H313" s="163"/>
      <c r="I313" s="163"/>
      <c r="J313" s="165"/>
      <c r="K313" s="163"/>
      <c r="L313" s="163"/>
      <c r="M313" s="163"/>
      <c r="N313" s="163"/>
      <c r="O313" s="165"/>
      <c r="P313" s="163"/>
      <c r="Q313" s="163"/>
      <c r="R313" s="163"/>
    </row>
    <row r="314" spans="5:18" ht="12">
      <c r="E314" s="165"/>
      <c r="F314" s="163"/>
      <c r="G314" s="163"/>
      <c r="H314" s="163"/>
      <c r="I314" s="163"/>
      <c r="J314" s="165"/>
      <c r="K314" s="163"/>
      <c r="L314" s="163"/>
      <c r="M314" s="163"/>
      <c r="N314" s="163"/>
      <c r="O314" s="165"/>
      <c r="P314" s="163"/>
      <c r="Q314" s="163"/>
      <c r="R314" s="163"/>
    </row>
    <row r="315" spans="5:18" ht="12">
      <c r="E315" s="165"/>
      <c r="F315" s="163"/>
      <c r="G315" s="163"/>
      <c r="H315" s="163"/>
      <c r="I315" s="163"/>
      <c r="J315" s="165"/>
      <c r="K315" s="163"/>
      <c r="L315" s="163"/>
      <c r="M315" s="163"/>
      <c r="N315" s="163"/>
      <c r="O315" s="165"/>
      <c r="P315" s="163"/>
      <c r="Q315" s="163"/>
      <c r="R315" s="163"/>
    </row>
    <row r="316" spans="5:18" ht="12">
      <c r="E316" s="165"/>
      <c r="F316" s="163"/>
      <c r="G316" s="163"/>
      <c r="H316" s="163"/>
      <c r="I316" s="163"/>
      <c r="J316" s="165"/>
      <c r="K316" s="163"/>
      <c r="L316" s="163"/>
      <c r="M316" s="163"/>
      <c r="N316" s="163"/>
      <c r="O316" s="165"/>
      <c r="P316" s="163"/>
      <c r="Q316" s="163"/>
      <c r="R316" s="163"/>
    </row>
    <row r="317" spans="5:18" ht="12">
      <c r="E317" s="165"/>
      <c r="F317" s="163"/>
      <c r="G317" s="163"/>
      <c r="H317" s="163"/>
      <c r="I317" s="163"/>
      <c r="J317" s="165"/>
      <c r="K317" s="163"/>
      <c r="L317" s="163"/>
      <c r="M317" s="163"/>
      <c r="N317" s="163"/>
      <c r="O317" s="165"/>
      <c r="P317" s="163"/>
      <c r="Q317" s="163"/>
      <c r="R317" s="163"/>
    </row>
    <row r="318" spans="5:18" ht="12">
      <c r="E318" s="165"/>
      <c r="F318" s="163"/>
      <c r="G318" s="163"/>
      <c r="H318" s="163"/>
      <c r="I318" s="163"/>
      <c r="J318" s="165"/>
      <c r="K318" s="163"/>
      <c r="L318" s="163"/>
      <c r="M318" s="163"/>
      <c r="N318" s="163"/>
      <c r="O318" s="165"/>
      <c r="P318" s="163"/>
      <c r="Q318" s="163"/>
      <c r="R318" s="163"/>
    </row>
    <row r="319" spans="5:18" ht="12">
      <c r="E319" s="165"/>
      <c r="F319" s="163"/>
      <c r="G319" s="163"/>
      <c r="H319" s="163"/>
      <c r="I319" s="163"/>
      <c r="J319" s="165"/>
      <c r="K319" s="163"/>
      <c r="L319" s="163"/>
      <c r="M319" s="163"/>
      <c r="N319" s="163"/>
      <c r="O319" s="165"/>
      <c r="P319" s="163"/>
      <c r="Q319" s="163"/>
      <c r="R319" s="163"/>
    </row>
    <row r="320" spans="5:18" ht="12">
      <c r="E320" s="165"/>
      <c r="F320" s="163"/>
      <c r="G320" s="163"/>
      <c r="H320" s="163"/>
      <c r="I320" s="163"/>
      <c r="J320" s="165"/>
      <c r="K320" s="163"/>
      <c r="L320" s="163"/>
      <c r="M320" s="163"/>
      <c r="N320" s="163"/>
      <c r="O320" s="165"/>
      <c r="P320" s="163"/>
      <c r="Q320" s="163"/>
      <c r="R320" s="163"/>
    </row>
    <row r="321" spans="5:18" ht="12">
      <c r="E321" s="165"/>
      <c r="F321" s="163"/>
      <c r="G321" s="163"/>
      <c r="H321" s="163"/>
      <c r="I321" s="163"/>
      <c r="J321" s="165"/>
      <c r="K321" s="163"/>
      <c r="L321" s="163"/>
      <c r="M321" s="163"/>
      <c r="N321" s="163"/>
      <c r="O321" s="165"/>
      <c r="P321" s="163"/>
      <c r="Q321" s="163"/>
      <c r="R321" s="163"/>
    </row>
    <row r="322" spans="5:18" ht="12">
      <c r="E322" s="165"/>
      <c r="F322" s="163"/>
      <c r="G322" s="163"/>
      <c r="H322" s="163"/>
      <c r="I322" s="163"/>
      <c r="J322" s="165"/>
      <c r="K322" s="163"/>
      <c r="L322" s="163"/>
      <c r="M322" s="163"/>
      <c r="N322" s="163"/>
      <c r="O322" s="165"/>
      <c r="P322" s="163"/>
      <c r="Q322" s="163"/>
      <c r="R322" s="163"/>
    </row>
    <row r="323" spans="5:18" ht="12">
      <c r="E323" s="165"/>
      <c r="F323" s="163"/>
      <c r="G323" s="163"/>
      <c r="H323" s="163"/>
      <c r="I323" s="163"/>
      <c r="J323" s="165"/>
      <c r="K323" s="163"/>
      <c r="L323" s="163"/>
      <c r="M323" s="163"/>
      <c r="N323" s="163"/>
      <c r="O323" s="165"/>
      <c r="P323" s="163"/>
      <c r="Q323" s="163"/>
      <c r="R323" s="163"/>
    </row>
    <row r="324" spans="5:18" ht="12">
      <c r="E324" s="165"/>
      <c r="F324" s="163"/>
      <c r="G324" s="163"/>
      <c r="H324" s="163"/>
      <c r="I324" s="163"/>
      <c r="J324" s="165"/>
      <c r="K324" s="163"/>
      <c r="L324" s="163"/>
      <c r="M324" s="163"/>
      <c r="N324" s="163"/>
      <c r="O324" s="165"/>
      <c r="P324" s="163"/>
      <c r="Q324" s="163"/>
      <c r="R324" s="163"/>
    </row>
    <row r="325" spans="5:18" ht="12">
      <c r="E325" s="165"/>
      <c r="F325" s="163"/>
      <c r="G325" s="163"/>
      <c r="H325" s="163"/>
      <c r="I325" s="163"/>
      <c r="J325" s="165"/>
      <c r="K325" s="163"/>
      <c r="L325" s="163"/>
      <c r="M325" s="163"/>
      <c r="N325" s="163"/>
      <c r="O325" s="165"/>
      <c r="P325" s="163"/>
      <c r="Q325" s="163"/>
      <c r="R325" s="163"/>
    </row>
    <row r="326" spans="5:18" ht="12">
      <c r="E326" s="165"/>
      <c r="F326" s="163"/>
      <c r="G326" s="163"/>
      <c r="H326" s="163"/>
      <c r="I326" s="163"/>
      <c r="J326" s="165"/>
      <c r="K326" s="163"/>
      <c r="L326" s="163"/>
      <c r="M326" s="163"/>
      <c r="N326" s="163"/>
      <c r="O326" s="165"/>
      <c r="P326" s="163"/>
      <c r="Q326" s="163"/>
      <c r="R326" s="163"/>
    </row>
    <row r="327" spans="5:18" ht="12">
      <c r="E327" s="165"/>
      <c r="F327" s="163"/>
      <c r="G327" s="163"/>
      <c r="H327" s="163"/>
      <c r="I327" s="163"/>
      <c r="J327" s="165"/>
      <c r="K327" s="163"/>
      <c r="L327" s="163"/>
      <c r="M327" s="163"/>
      <c r="N327" s="163"/>
      <c r="O327" s="165"/>
      <c r="P327" s="163"/>
      <c r="Q327" s="163"/>
      <c r="R327" s="163"/>
    </row>
    <row r="328" spans="5:18" ht="12">
      <c r="E328" s="165"/>
      <c r="F328" s="163"/>
      <c r="G328" s="163"/>
      <c r="H328" s="163"/>
      <c r="I328" s="163"/>
      <c r="J328" s="165"/>
      <c r="K328" s="163"/>
      <c r="L328" s="163"/>
      <c r="M328" s="163"/>
      <c r="N328" s="163"/>
      <c r="O328" s="165"/>
      <c r="P328" s="163"/>
      <c r="Q328" s="163"/>
      <c r="R328" s="163"/>
    </row>
    <row r="329" spans="5:18" ht="12">
      <c r="E329" s="165"/>
      <c r="F329" s="163"/>
      <c r="G329" s="163"/>
      <c r="H329" s="163"/>
      <c r="I329" s="163"/>
      <c r="J329" s="165"/>
      <c r="K329" s="163"/>
      <c r="L329" s="163"/>
      <c r="M329" s="163"/>
      <c r="N329" s="163"/>
      <c r="O329" s="165"/>
      <c r="P329" s="163"/>
      <c r="Q329" s="163"/>
      <c r="R329" s="163"/>
    </row>
    <row r="330" spans="5:18" ht="12">
      <c r="E330" s="165"/>
      <c r="F330" s="163"/>
      <c r="G330" s="163"/>
      <c r="H330" s="163"/>
      <c r="I330" s="163"/>
      <c r="J330" s="165"/>
      <c r="K330" s="163"/>
      <c r="L330" s="163"/>
      <c r="M330" s="163"/>
      <c r="N330" s="163"/>
      <c r="O330" s="165"/>
      <c r="P330" s="163"/>
      <c r="Q330" s="163"/>
      <c r="R330" s="163"/>
    </row>
    <row r="331" spans="5:18" ht="12">
      <c r="E331" s="165"/>
      <c r="F331" s="163"/>
      <c r="G331" s="163"/>
      <c r="H331" s="163"/>
      <c r="I331" s="163"/>
      <c r="J331" s="165"/>
      <c r="K331" s="163"/>
      <c r="L331" s="163"/>
      <c r="M331" s="163"/>
      <c r="N331" s="163"/>
      <c r="O331" s="165"/>
      <c r="P331" s="163"/>
      <c r="Q331" s="163"/>
      <c r="R331" s="163"/>
    </row>
    <row r="332" spans="5:18" ht="12">
      <c r="E332" s="165"/>
      <c r="F332" s="163"/>
      <c r="G332" s="163"/>
      <c r="H332" s="163"/>
      <c r="I332" s="163"/>
      <c r="J332" s="165"/>
      <c r="K332" s="163"/>
      <c r="L332" s="163"/>
      <c r="M332" s="163"/>
      <c r="N332" s="163"/>
      <c r="O332" s="165"/>
      <c r="P332" s="163"/>
      <c r="Q332" s="163"/>
      <c r="R332" s="163"/>
    </row>
    <row r="333" spans="5:18" ht="12">
      <c r="E333" s="165"/>
      <c r="F333" s="163"/>
      <c r="G333" s="163"/>
      <c r="H333" s="163"/>
      <c r="I333" s="163"/>
      <c r="J333" s="165"/>
      <c r="K333" s="163"/>
      <c r="L333" s="163"/>
      <c r="M333" s="163"/>
      <c r="N333" s="163"/>
      <c r="O333" s="165"/>
      <c r="P333" s="163"/>
      <c r="Q333" s="163"/>
      <c r="R333" s="163"/>
    </row>
    <row r="334" spans="5:18" ht="12">
      <c r="E334" s="165"/>
      <c r="F334" s="163"/>
      <c r="G334" s="163"/>
      <c r="H334" s="163"/>
      <c r="I334" s="163"/>
      <c r="J334" s="165"/>
      <c r="K334" s="163"/>
      <c r="L334" s="163"/>
      <c r="M334" s="163"/>
      <c r="N334" s="163"/>
      <c r="O334" s="165"/>
      <c r="P334" s="163"/>
      <c r="Q334" s="163"/>
      <c r="R334" s="163"/>
    </row>
    <row r="335" spans="5:18" ht="12">
      <c r="E335" s="165"/>
      <c r="F335" s="163"/>
      <c r="G335" s="163"/>
      <c r="H335" s="163"/>
      <c r="I335" s="163"/>
      <c r="J335" s="165"/>
      <c r="K335" s="163"/>
      <c r="L335" s="163"/>
      <c r="M335" s="163"/>
      <c r="N335" s="163"/>
      <c r="O335" s="165"/>
      <c r="P335" s="163"/>
      <c r="Q335" s="163"/>
      <c r="R335" s="163"/>
    </row>
    <row r="336" spans="5:18" ht="12">
      <c r="E336" s="165"/>
      <c r="F336" s="163"/>
      <c r="G336" s="163"/>
      <c r="H336" s="163"/>
      <c r="I336" s="163"/>
      <c r="J336" s="165"/>
      <c r="K336" s="163"/>
      <c r="L336" s="163"/>
      <c r="M336" s="163"/>
      <c r="N336" s="163"/>
      <c r="O336" s="165"/>
      <c r="P336" s="163"/>
      <c r="Q336" s="163"/>
      <c r="R336" s="163"/>
    </row>
    <row r="337" spans="5:18" ht="12">
      <c r="E337" s="165"/>
      <c r="F337" s="163"/>
      <c r="G337" s="163"/>
      <c r="H337" s="163"/>
      <c r="I337" s="163"/>
      <c r="J337" s="165"/>
      <c r="K337" s="163"/>
      <c r="L337" s="163"/>
      <c r="M337" s="163"/>
      <c r="N337" s="163"/>
      <c r="O337" s="165"/>
      <c r="P337" s="163"/>
      <c r="Q337" s="163"/>
      <c r="R337" s="163"/>
    </row>
    <row r="338" spans="5:18" ht="12">
      <c r="E338" s="165"/>
      <c r="F338" s="163"/>
      <c r="G338" s="163"/>
      <c r="H338" s="163"/>
      <c r="I338" s="163"/>
      <c r="J338" s="165"/>
      <c r="K338" s="163"/>
      <c r="L338" s="163"/>
      <c r="M338" s="163"/>
      <c r="N338" s="163"/>
      <c r="O338" s="165"/>
      <c r="P338" s="163"/>
      <c r="Q338" s="163"/>
      <c r="R338" s="163"/>
    </row>
    <row r="339" spans="5:18" ht="12">
      <c r="E339" s="165"/>
      <c r="F339" s="163"/>
      <c r="G339" s="163"/>
      <c r="H339" s="163"/>
      <c r="I339" s="163"/>
      <c r="J339" s="165"/>
      <c r="K339" s="163"/>
      <c r="L339" s="163"/>
      <c r="M339" s="163"/>
      <c r="N339" s="163"/>
      <c r="O339" s="165"/>
      <c r="P339" s="163"/>
      <c r="Q339" s="163"/>
      <c r="R339" s="163"/>
    </row>
    <row r="340" spans="5:18" ht="12">
      <c r="E340" s="165"/>
      <c r="F340" s="163"/>
      <c r="G340" s="163"/>
      <c r="H340" s="163"/>
      <c r="I340" s="163"/>
      <c r="J340" s="165"/>
      <c r="K340" s="163"/>
      <c r="L340" s="163"/>
      <c r="M340" s="163"/>
      <c r="N340" s="163"/>
      <c r="O340" s="165"/>
      <c r="P340" s="163"/>
      <c r="Q340" s="163"/>
      <c r="R340" s="163"/>
    </row>
    <row r="341" spans="5:18" ht="12">
      <c r="E341" s="165"/>
      <c r="F341" s="163"/>
      <c r="G341" s="163"/>
      <c r="H341" s="163"/>
      <c r="I341" s="163"/>
      <c r="J341" s="165"/>
      <c r="K341" s="163"/>
      <c r="L341" s="163"/>
      <c r="M341" s="163"/>
      <c r="N341" s="163"/>
      <c r="O341" s="165"/>
      <c r="P341" s="163"/>
      <c r="Q341" s="163"/>
      <c r="R341" s="163"/>
    </row>
    <row r="342" spans="5:18" ht="12">
      <c r="E342" s="165"/>
      <c r="F342" s="163"/>
      <c r="G342" s="163"/>
      <c r="H342" s="163"/>
      <c r="I342" s="163"/>
      <c r="J342" s="165"/>
      <c r="K342" s="163"/>
      <c r="L342" s="163"/>
      <c r="M342" s="163"/>
      <c r="N342" s="163"/>
      <c r="O342" s="165"/>
      <c r="P342" s="163"/>
      <c r="Q342" s="163"/>
      <c r="R342" s="163"/>
    </row>
    <row r="343" spans="5:18" ht="12">
      <c r="E343" s="165"/>
      <c r="F343" s="163"/>
      <c r="G343" s="163"/>
      <c r="H343" s="163"/>
      <c r="I343" s="163"/>
      <c r="J343" s="165"/>
      <c r="K343" s="163"/>
      <c r="L343" s="163"/>
      <c r="M343" s="163"/>
      <c r="N343" s="163"/>
      <c r="O343" s="165"/>
      <c r="P343" s="163"/>
      <c r="Q343" s="163"/>
      <c r="R343" s="163"/>
    </row>
    <row r="344" spans="5:18" ht="12">
      <c r="E344" s="165"/>
      <c r="F344" s="163"/>
      <c r="G344" s="163"/>
      <c r="H344" s="163"/>
      <c r="I344" s="163"/>
      <c r="J344" s="165"/>
      <c r="K344" s="163"/>
      <c r="L344" s="163"/>
      <c r="M344" s="163"/>
      <c r="N344" s="163"/>
      <c r="O344" s="165"/>
      <c r="P344" s="163"/>
      <c r="Q344" s="163"/>
      <c r="R344" s="163"/>
    </row>
    <row r="345" spans="5:18" ht="12">
      <c r="E345" s="165"/>
      <c r="F345" s="163"/>
      <c r="G345" s="163"/>
      <c r="H345" s="163"/>
      <c r="I345" s="163"/>
      <c r="J345" s="165"/>
      <c r="K345" s="163"/>
      <c r="L345" s="163"/>
      <c r="M345" s="163"/>
      <c r="N345" s="163"/>
      <c r="O345" s="165"/>
      <c r="P345" s="163"/>
      <c r="Q345" s="163"/>
      <c r="R345" s="163"/>
    </row>
    <row r="346" spans="5:18" ht="12">
      <c r="E346" s="165"/>
      <c r="F346" s="163"/>
      <c r="G346" s="163"/>
      <c r="H346" s="163"/>
      <c r="I346" s="163"/>
      <c r="J346" s="165"/>
      <c r="K346" s="163"/>
      <c r="L346" s="163"/>
      <c r="M346" s="163"/>
      <c r="N346" s="163"/>
      <c r="O346" s="165"/>
      <c r="P346" s="163"/>
      <c r="Q346" s="163"/>
      <c r="R346" s="163"/>
    </row>
    <row r="347" spans="5:18" ht="12">
      <c r="E347" s="165"/>
      <c r="F347" s="163"/>
      <c r="G347" s="163"/>
      <c r="H347" s="163"/>
      <c r="I347" s="163"/>
      <c r="J347" s="165"/>
      <c r="K347" s="163"/>
      <c r="L347" s="163"/>
      <c r="M347" s="163"/>
      <c r="N347" s="163"/>
      <c r="O347" s="165"/>
      <c r="P347" s="163"/>
      <c r="Q347" s="163"/>
      <c r="R347" s="163"/>
    </row>
    <row r="348" spans="5:18" ht="12">
      <c r="E348" s="165"/>
      <c r="F348" s="163"/>
      <c r="G348" s="163"/>
      <c r="H348" s="163"/>
      <c r="I348" s="163"/>
      <c r="J348" s="165"/>
      <c r="K348" s="163"/>
      <c r="L348" s="163"/>
      <c r="M348" s="163"/>
      <c r="N348" s="163"/>
      <c r="O348" s="165"/>
      <c r="P348" s="163"/>
      <c r="Q348" s="163"/>
      <c r="R348" s="163"/>
    </row>
    <row r="349" spans="5:18" ht="12">
      <c r="E349" s="165"/>
      <c r="F349" s="163"/>
      <c r="G349" s="163"/>
      <c r="H349" s="163"/>
      <c r="I349" s="163"/>
      <c r="J349" s="165"/>
      <c r="K349" s="163"/>
      <c r="L349" s="163"/>
      <c r="M349" s="163"/>
      <c r="N349" s="163"/>
      <c r="O349" s="165"/>
      <c r="P349" s="163"/>
      <c r="Q349" s="163"/>
      <c r="R349" s="163"/>
    </row>
    <row r="350" spans="5:18" ht="12">
      <c r="E350" s="165"/>
      <c r="F350" s="163"/>
      <c r="G350" s="163"/>
      <c r="H350" s="163"/>
      <c r="I350" s="163"/>
      <c r="J350" s="165"/>
      <c r="K350" s="163"/>
      <c r="L350" s="163"/>
      <c r="M350" s="163"/>
      <c r="N350" s="163"/>
      <c r="O350" s="165"/>
      <c r="P350" s="163"/>
      <c r="Q350" s="163"/>
      <c r="R350" s="163"/>
    </row>
    <row r="351" spans="5:18" ht="12">
      <c r="E351" s="165"/>
      <c r="F351" s="163"/>
      <c r="G351" s="163"/>
      <c r="H351" s="163"/>
      <c r="I351" s="163"/>
      <c r="J351" s="165"/>
      <c r="K351" s="163"/>
      <c r="L351" s="163"/>
      <c r="M351" s="163"/>
      <c r="N351" s="163"/>
      <c r="O351" s="165"/>
      <c r="P351" s="163"/>
      <c r="Q351" s="163"/>
      <c r="R351" s="163"/>
    </row>
    <row r="352" spans="5:18" ht="12">
      <c r="E352" s="165"/>
      <c r="F352" s="163"/>
      <c r="G352" s="163"/>
      <c r="H352" s="163"/>
      <c r="I352" s="163"/>
      <c r="J352" s="165"/>
      <c r="K352" s="163"/>
      <c r="L352" s="163"/>
      <c r="M352" s="163"/>
      <c r="N352" s="163"/>
      <c r="O352" s="165"/>
      <c r="P352" s="163"/>
      <c r="Q352" s="163"/>
      <c r="R352" s="163"/>
    </row>
    <row r="353" spans="5:18" ht="12">
      <c r="E353" s="165"/>
      <c r="F353" s="163"/>
      <c r="G353" s="163"/>
      <c r="H353" s="163"/>
      <c r="I353" s="163"/>
      <c r="J353" s="165"/>
      <c r="K353" s="163"/>
      <c r="L353" s="163"/>
      <c r="M353" s="163"/>
      <c r="N353" s="163"/>
      <c r="O353" s="165"/>
      <c r="P353" s="163"/>
      <c r="Q353" s="163"/>
      <c r="R353" s="163"/>
    </row>
    <row r="354" spans="5:18" ht="12">
      <c r="E354" s="165"/>
      <c r="F354" s="163"/>
      <c r="G354" s="163"/>
      <c r="H354" s="163"/>
      <c r="I354" s="163"/>
      <c r="J354" s="165"/>
      <c r="K354" s="163"/>
      <c r="L354" s="163"/>
      <c r="M354" s="163"/>
      <c r="N354" s="163"/>
      <c r="O354" s="165"/>
      <c r="P354" s="163"/>
      <c r="Q354" s="163"/>
      <c r="R354" s="163"/>
    </row>
    <row r="355" spans="5:18" ht="12">
      <c r="E355" s="165"/>
      <c r="F355" s="163"/>
      <c r="G355" s="163"/>
      <c r="H355" s="163"/>
      <c r="I355" s="163"/>
      <c r="J355" s="165"/>
      <c r="K355" s="163"/>
      <c r="L355" s="163"/>
      <c r="M355" s="163"/>
      <c r="N355" s="163"/>
      <c r="O355" s="165"/>
      <c r="P355" s="163"/>
      <c r="Q355" s="163"/>
      <c r="R355" s="163"/>
    </row>
    <row r="356" spans="5:18" ht="12">
      <c r="E356" s="165"/>
      <c r="F356" s="163"/>
      <c r="G356" s="163"/>
      <c r="H356" s="163"/>
      <c r="I356" s="163"/>
      <c r="J356" s="165"/>
      <c r="K356" s="163"/>
      <c r="L356" s="163"/>
      <c r="M356" s="163"/>
      <c r="N356" s="163"/>
      <c r="O356" s="165"/>
      <c r="P356" s="163"/>
      <c r="Q356" s="163"/>
      <c r="R356" s="163"/>
    </row>
    <row r="357" spans="5:18" ht="12">
      <c r="E357" s="165"/>
      <c r="F357" s="163"/>
      <c r="G357" s="163"/>
      <c r="H357" s="163"/>
      <c r="I357" s="163"/>
      <c r="J357" s="165"/>
      <c r="K357" s="163"/>
      <c r="L357" s="163"/>
      <c r="M357" s="163"/>
      <c r="N357" s="163"/>
      <c r="O357" s="165"/>
      <c r="P357" s="163"/>
      <c r="Q357" s="163"/>
      <c r="R357" s="163"/>
    </row>
    <row r="358" spans="5:18" ht="12">
      <c r="E358" s="165"/>
      <c r="F358" s="163"/>
      <c r="G358" s="163"/>
      <c r="H358" s="163"/>
      <c r="I358" s="163"/>
      <c r="J358" s="165"/>
      <c r="K358" s="163"/>
      <c r="L358" s="163"/>
      <c r="M358" s="163"/>
      <c r="N358" s="163"/>
      <c r="O358" s="165"/>
      <c r="P358" s="163"/>
      <c r="Q358" s="163"/>
      <c r="R358" s="163"/>
    </row>
    <row r="359" spans="5:18" ht="12">
      <c r="E359" s="165"/>
      <c r="F359" s="163"/>
      <c r="G359" s="163"/>
      <c r="H359" s="163"/>
      <c r="I359" s="163"/>
      <c r="J359" s="165"/>
      <c r="K359" s="163"/>
      <c r="L359" s="163"/>
      <c r="M359" s="163"/>
      <c r="N359" s="163"/>
      <c r="O359" s="165"/>
      <c r="P359" s="163"/>
      <c r="Q359" s="163"/>
      <c r="R359" s="163"/>
    </row>
    <row r="360" spans="5:18" ht="12">
      <c r="E360" s="165"/>
      <c r="F360" s="163"/>
      <c r="G360" s="163"/>
      <c r="H360" s="163"/>
      <c r="I360" s="163"/>
      <c r="J360" s="165"/>
      <c r="K360" s="163"/>
      <c r="L360" s="163"/>
      <c r="M360" s="163"/>
      <c r="N360" s="163"/>
      <c r="O360" s="165"/>
      <c r="P360" s="163"/>
      <c r="Q360" s="163"/>
      <c r="R360" s="163"/>
    </row>
    <row r="361" spans="5:18">
      <c r="E361" s="35"/>
      <c r="F361" s="33"/>
      <c r="G361" s="33"/>
      <c r="H361" s="36"/>
      <c r="I361" s="33"/>
      <c r="J361" s="35"/>
      <c r="K361" s="33"/>
      <c r="L361" s="33"/>
      <c r="M361" s="36"/>
      <c r="N361" s="33"/>
      <c r="O361" s="35"/>
      <c r="P361" s="33"/>
      <c r="Q361" s="33"/>
      <c r="R361" s="36"/>
    </row>
    <row r="362" spans="5:18">
      <c r="E362" s="35"/>
      <c r="F362" s="33"/>
      <c r="G362" s="33"/>
      <c r="H362" s="36"/>
      <c r="I362" s="33"/>
      <c r="J362" s="35"/>
      <c r="K362" s="33"/>
      <c r="L362" s="33"/>
      <c r="M362" s="36"/>
      <c r="N362" s="33"/>
      <c r="O362" s="35"/>
      <c r="P362" s="33"/>
      <c r="Q362" s="33"/>
      <c r="R362" s="36"/>
    </row>
    <row r="363" spans="5:18">
      <c r="E363" s="35"/>
      <c r="F363" s="33"/>
      <c r="G363" s="33"/>
      <c r="H363" s="36"/>
      <c r="I363" s="33"/>
      <c r="J363" s="35"/>
      <c r="K363" s="33"/>
      <c r="L363" s="33"/>
      <c r="M363" s="36"/>
      <c r="N363" s="33"/>
      <c r="O363" s="35"/>
      <c r="P363" s="33"/>
      <c r="Q363" s="33"/>
      <c r="R363" s="36"/>
    </row>
    <row r="364" spans="5:18">
      <c r="E364" s="35"/>
      <c r="F364" s="33"/>
      <c r="G364" s="33"/>
      <c r="H364" s="36"/>
      <c r="I364" s="33"/>
      <c r="J364" s="35"/>
      <c r="K364" s="33"/>
      <c r="L364" s="33"/>
      <c r="M364" s="36"/>
      <c r="N364" s="33"/>
      <c r="O364" s="35"/>
      <c r="P364" s="33"/>
      <c r="Q364" s="33"/>
      <c r="R364" s="36"/>
    </row>
    <row r="365" spans="5:18">
      <c r="E365" s="35"/>
      <c r="F365" s="33"/>
      <c r="G365" s="33"/>
      <c r="H365" s="36"/>
      <c r="I365" s="33"/>
      <c r="J365" s="35"/>
      <c r="K365" s="33"/>
      <c r="L365" s="33"/>
      <c r="M365" s="36"/>
      <c r="N365" s="33"/>
      <c r="O365" s="35"/>
      <c r="P365" s="33"/>
      <c r="Q365" s="33"/>
      <c r="R365" s="36"/>
    </row>
    <row r="366" spans="5:18">
      <c r="E366" s="35"/>
      <c r="F366" s="33"/>
      <c r="G366" s="33"/>
      <c r="H366" s="36"/>
      <c r="I366" s="33"/>
      <c r="J366" s="35"/>
      <c r="K366" s="33"/>
      <c r="L366" s="33"/>
      <c r="M366" s="36"/>
      <c r="N366" s="33"/>
      <c r="O366" s="35"/>
      <c r="P366" s="33"/>
      <c r="Q366" s="33"/>
      <c r="R366" s="36"/>
    </row>
    <row r="367" spans="5:18">
      <c r="E367" s="35"/>
      <c r="F367" s="33"/>
      <c r="G367" s="33"/>
      <c r="H367" s="36"/>
      <c r="I367" s="33"/>
      <c r="J367" s="35"/>
      <c r="K367" s="33"/>
      <c r="L367" s="33"/>
      <c r="M367" s="36"/>
      <c r="N367" s="33"/>
      <c r="O367" s="35"/>
      <c r="P367" s="33"/>
      <c r="Q367" s="33"/>
      <c r="R367" s="36"/>
    </row>
    <row r="368" spans="5:18">
      <c r="E368" s="35"/>
      <c r="F368" s="33"/>
      <c r="G368" s="33"/>
      <c r="H368" s="36"/>
      <c r="I368" s="33"/>
      <c r="J368" s="35"/>
      <c r="K368" s="33"/>
      <c r="L368" s="33"/>
      <c r="M368" s="36"/>
      <c r="N368" s="33"/>
      <c r="O368" s="35"/>
      <c r="P368" s="33"/>
      <c r="Q368" s="33"/>
      <c r="R368" s="36"/>
    </row>
    <row r="369" spans="5:18">
      <c r="E369" s="35"/>
      <c r="F369" s="33"/>
      <c r="G369" s="33"/>
      <c r="H369" s="36"/>
      <c r="I369" s="33"/>
      <c r="J369" s="35"/>
      <c r="K369" s="33"/>
      <c r="L369" s="33"/>
      <c r="M369" s="36"/>
      <c r="N369" s="33"/>
      <c r="O369" s="35"/>
      <c r="P369" s="33"/>
      <c r="Q369" s="33"/>
      <c r="R369" s="36"/>
    </row>
    <row r="370" spans="5:18">
      <c r="E370" s="35"/>
      <c r="F370" s="33"/>
      <c r="G370" s="33"/>
      <c r="H370" s="36"/>
      <c r="I370" s="33"/>
      <c r="J370" s="35"/>
      <c r="K370" s="33"/>
      <c r="L370" s="33"/>
      <c r="M370" s="36"/>
      <c r="N370" s="33"/>
      <c r="O370" s="35"/>
      <c r="P370" s="33"/>
      <c r="Q370" s="33"/>
      <c r="R370" s="36"/>
    </row>
    <row r="371" spans="5:18">
      <c r="E371" s="35"/>
      <c r="F371" s="33"/>
      <c r="G371" s="33"/>
      <c r="H371" s="36"/>
      <c r="I371" s="33"/>
      <c r="J371" s="35"/>
      <c r="K371" s="33"/>
      <c r="L371" s="33"/>
      <c r="M371" s="36"/>
      <c r="N371" s="33"/>
      <c r="O371" s="35"/>
      <c r="P371" s="33"/>
      <c r="Q371" s="33"/>
      <c r="R371" s="36"/>
    </row>
    <row r="372" spans="5:18">
      <c r="E372" s="35"/>
      <c r="F372" s="33"/>
      <c r="G372" s="33"/>
      <c r="H372" s="36"/>
      <c r="I372" s="33"/>
      <c r="J372" s="35"/>
      <c r="K372" s="33"/>
      <c r="L372" s="33"/>
      <c r="M372" s="36"/>
      <c r="N372" s="33"/>
      <c r="O372" s="35"/>
      <c r="P372" s="33"/>
      <c r="Q372" s="33"/>
      <c r="R372" s="36"/>
    </row>
    <row r="373" spans="5:18">
      <c r="E373" s="35"/>
      <c r="F373" s="33"/>
      <c r="G373" s="33"/>
      <c r="H373" s="36"/>
      <c r="I373" s="33"/>
      <c r="J373" s="35"/>
      <c r="K373" s="33"/>
      <c r="L373" s="33"/>
      <c r="M373" s="36"/>
      <c r="N373" s="33"/>
      <c r="O373" s="35"/>
      <c r="P373" s="33"/>
      <c r="Q373" s="33"/>
      <c r="R373" s="36"/>
    </row>
    <row r="374" spans="5:18">
      <c r="E374" s="35"/>
      <c r="F374" s="33"/>
      <c r="G374" s="33"/>
      <c r="H374" s="36"/>
      <c r="I374" s="33"/>
      <c r="J374" s="35"/>
      <c r="K374" s="33"/>
      <c r="L374" s="33"/>
      <c r="M374" s="36"/>
      <c r="N374" s="33"/>
      <c r="O374" s="35"/>
      <c r="P374" s="33"/>
      <c r="Q374" s="33"/>
      <c r="R374" s="36"/>
    </row>
    <row r="375" spans="5:18">
      <c r="E375" s="35"/>
      <c r="F375" s="33"/>
      <c r="G375" s="33"/>
      <c r="H375" s="36"/>
      <c r="I375" s="33"/>
      <c r="J375" s="35"/>
      <c r="K375" s="33"/>
      <c r="L375" s="33"/>
      <c r="M375" s="36"/>
      <c r="N375" s="33"/>
      <c r="O375" s="35"/>
      <c r="P375" s="33"/>
      <c r="Q375" s="33"/>
      <c r="R375" s="36"/>
    </row>
    <row r="376" spans="5:18">
      <c r="E376" s="35"/>
      <c r="F376" s="33"/>
      <c r="G376" s="33"/>
      <c r="H376" s="36"/>
      <c r="I376" s="33"/>
      <c r="J376" s="35"/>
      <c r="K376" s="33"/>
      <c r="L376" s="33"/>
      <c r="M376" s="36"/>
      <c r="N376" s="33"/>
      <c r="O376" s="35"/>
      <c r="P376" s="33"/>
      <c r="Q376" s="33"/>
      <c r="R376" s="36"/>
    </row>
    <row r="377" spans="5:18">
      <c r="E377" s="35"/>
      <c r="F377" s="33"/>
      <c r="G377" s="33"/>
      <c r="H377" s="36"/>
      <c r="I377" s="33"/>
      <c r="J377" s="35"/>
      <c r="K377" s="33"/>
      <c r="L377" s="33"/>
      <c r="M377" s="36"/>
      <c r="N377" s="33"/>
      <c r="O377" s="35"/>
      <c r="P377" s="33"/>
      <c r="Q377" s="33"/>
      <c r="R377" s="36"/>
    </row>
    <row r="378" spans="5:18">
      <c r="E378" s="35"/>
      <c r="F378" s="33"/>
      <c r="G378" s="33"/>
      <c r="H378" s="36"/>
      <c r="I378" s="33"/>
      <c r="J378" s="35"/>
      <c r="K378" s="33"/>
      <c r="L378" s="33"/>
      <c r="M378" s="36"/>
      <c r="N378" s="33"/>
      <c r="O378" s="35"/>
      <c r="P378" s="33"/>
      <c r="Q378" s="33"/>
      <c r="R378" s="36"/>
    </row>
    <row r="379" spans="5:18">
      <c r="E379" s="35"/>
      <c r="F379" s="33"/>
      <c r="G379" s="33"/>
      <c r="H379" s="36"/>
      <c r="I379" s="33"/>
      <c r="J379" s="35"/>
      <c r="K379" s="33"/>
      <c r="L379" s="33"/>
      <c r="M379" s="36"/>
      <c r="N379" s="33"/>
      <c r="O379" s="35"/>
      <c r="P379" s="33"/>
      <c r="Q379" s="33"/>
      <c r="R379" s="36"/>
    </row>
    <row r="380" spans="5:18">
      <c r="E380" s="35"/>
      <c r="F380" s="33"/>
      <c r="G380" s="33"/>
      <c r="H380" s="36"/>
      <c r="I380" s="33"/>
      <c r="J380" s="35"/>
      <c r="K380" s="33"/>
      <c r="L380" s="33"/>
      <c r="M380" s="36"/>
      <c r="N380" s="33"/>
      <c r="O380" s="35"/>
      <c r="P380" s="33"/>
      <c r="Q380" s="33"/>
      <c r="R380" s="36"/>
    </row>
    <row r="381" spans="5:18">
      <c r="E381" s="35"/>
      <c r="F381" s="33"/>
      <c r="G381" s="33"/>
      <c r="H381" s="36"/>
      <c r="I381" s="33"/>
      <c r="J381" s="35"/>
      <c r="K381" s="33"/>
      <c r="L381" s="33"/>
      <c r="M381" s="36"/>
      <c r="N381" s="33"/>
      <c r="O381" s="35"/>
      <c r="P381" s="33"/>
      <c r="Q381" s="33"/>
      <c r="R381" s="36"/>
    </row>
    <row r="382" spans="5:18">
      <c r="E382" s="35"/>
      <c r="F382" s="33"/>
      <c r="G382" s="33"/>
      <c r="H382" s="36"/>
      <c r="I382" s="33"/>
      <c r="J382" s="35"/>
      <c r="K382" s="33"/>
      <c r="L382" s="33"/>
      <c r="M382" s="36"/>
      <c r="N382" s="33"/>
      <c r="O382" s="35"/>
      <c r="P382" s="33"/>
      <c r="Q382" s="33"/>
      <c r="R382" s="36"/>
    </row>
    <row r="383" spans="5:18">
      <c r="E383" s="35"/>
      <c r="F383" s="33"/>
      <c r="G383" s="33"/>
      <c r="H383" s="36"/>
      <c r="I383" s="33"/>
      <c r="J383" s="35"/>
      <c r="K383" s="33"/>
      <c r="L383" s="33"/>
      <c r="M383" s="36"/>
      <c r="N383" s="33"/>
      <c r="O383" s="35"/>
      <c r="P383" s="33"/>
      <c r="Q383" s="33"/>
      <c r="R383" s="36"/>
    </row>
    <row r="384" spans="5:18">
      <c r="E384" s="35"/>
      <c r="F384" s="33"/>
      <c r="G384" s="33"/>
      <c r="H384" s="36"/>
      <c r="I384" s="33"/>
      <c r="J384" s="35"/>
      <c r="K384" s="33"/>
      <c r="L384" s="33"/>
      <c r="M384" s="36"/>
      <c r="N384" s="33"/>
      <c r="O384" s="35"/>
      <c r="P384" s="33"/>
      <c r="Q384" s="33"/>
      <c r="R384" s="36"/>
    </row>
    <row r="385" spans="5:18">
      <c r="E385" s="35"/>
      <c r="F385" s="33"/>
      <c r="G385" s="33"/>
      <c r="H385" s="36"/>
      <c r="I385" s="33"/>
      <c r="J385" s="35"/>
      <c r="K385" s="33"/>
      <c r="L385" s="33"/>
      <c r="M385" s="36"/>
      <c r="N385" s="33"/>
      <c r="O385" s="35"/>
      <c r="P385" s="33"/>
      <c r="Q385" s="33"/>
      <c r="R385" s="36"/>
    </row>
    <row r="386" spans="5:18">
      <c r="E386" s="35"/>
      <c r="F386" s="33"/>
      <c r="G386" s="33"/>
      <c r="H386" s="36"/>
      <c r="I386" s="33"/>
      <c r="J386" s="35"/>
      <c r="K386" s="33"/>
      <c r="L386" s="33"/>
      <c r="M386" s="36"/>
      <c r="N386" s="33"/>
      <c r="O386" s="35"/>
      <c r="P386" s="33"/>
      <c r="Q386" s="33"/>
      <c r="R386" s="36"/>
    </row>
    <row r="387" spans="5:18">
      <c r="E387" s="35"/>
      <c r="F387" s="33"/>
      <c r="G387" s="33"/>
      <c r="H387" s="36"/>
      <c r="I387" s="33"/>
      <c r="J387" s="35"/>
      <c r="K387" s="33"/>
      <c r="L387" s="33"/>
      <c r="M387" s="36"/>
      <c r="N387" s="33"/>
      <c r="O387" s="35"/>
      <c r="P387" s="33"/>
      <c r="Q387" s="33"/>
      <c r="R387" s="36"/>
    </row>
    <row r="388" spans="5:18">
      <c r="E388" s="35"/>
      <c r="F388" s="33"/>
      <c r="G388" s="33"/>
      <c r="H388" s="36"/>
      <c r="I388" s="33"/>
      <c r="J388" s="35"/>
      <c r="K388" s="33"/>
      <c r="L388" s="33"/>
      <c r="M388" s="36"/>
      <c r="N388" s="33"/>
      <c r="O388" s="35"/>
      <c r="P388" s="33"/>
      <c r="Q388" s="33"/>
      <c r="R388" s="36"/>
    </row>
    <row r="389" spans="5:18">
      <c r="E389" s="35"/>
      <c r="F389" s="33"/>
      <c r="G389" s="33"/>
      <c r="H389" s="36"/>
      <c r="I389" s="33"/>
      <c r="J389" s="35"/>
      <c r="K389" s="33"/>
      <c r="L389" s="33"/>
      <c r="M389" s="36"/>
      <c r="N389" s="33"/>
      <c r="O389" s="35"/>
      <c r="P389" s="33"/>
      <c r="Q389" s="33"/>
      <c r="R389" s="36"/>
    </row>
    <row r="390" spans="5:18">
      <c r="E390" s="35"/>
      <c r="F390" s="33"/>
      <c r="G390" s="33"/>
      <c r="H390" s="36"/>
      <c r="I390" s="33"/>
      <c r="J390" s="35"/>
      <c r="K390" s="33"/>
      <c r="L390" s="33"/>
      <c r="M390" s="36"/>
      <c r="N390" s="33"/>
      <c r="O390" s="35"/>
      <c r="P390" s="33"/>
      <c r="Q390" s="33"/>
      <c r="R390" s="36"/>
    </row>
    <row r="391" spans="5:18">
      <c r="E391" s="35"/>
      <c r="F391" s="33"/>
      <c r="G391" s="33"/>
      <c r="H391" s="36"/>
      <c r="I391" s="33"/>
      <c r="J391" s="35"/>
      <c r="K391" s="33"/>
      <c r="L391" s="33"/>
      <c r="M391" s="36"/>
      <c r="N391" s="33"/>
      <c r="O391" s="35"/>
      <c r="P391" s="33"/>
      <c r="Q391" s="33"/>
      <c r="R391" s="36"/>
    </row>
    <row r="392" spans="5:18">
      <c r="E392" s="35"/>
      <c r="F392" s="33"/>
      <c r="G392" s="33"/>
      <c r="H392" s="36"/>
      <c r="I392" s="33"/>
      <c r="J392" s="35"/>
      <c r="K392" s="33"/>
      <c r="L392" s="33"/>
      <c r="M392" s="36"/>
      <c r="N392" s="33"/>
      <c r="O392" s="35"/>
      <c r="P392" s="33"/>
      <c r="Q392" s="33"/>
      <c r="R392" s="36"/>
    </row>
    <row r="393" spans="5:18">
      <c r="E393" s="35"/>
      <c r="F393" s="33"/>
      <c r="G393" s="33"/>
      <c r="H393" s="36"/>
      <c r="I393" s="33"/>
      <c r="J393" s="35"/>
      <c r="K393" s="33"/>
      <c r="L393" s="33"/>
      <c r="M393" s="36"/>
      <c r="N393" s="33"/>
      <c r="O393" s="35"/>
      <c r="P393" s="33"/>
      <c r="Q393" s="33"/>
      <c r="R393" s="36"/>
    </row>
    <row r="394" spans="5:18">
      <c r="E394" s="35"/>
      <c r="F394" s="33"/>
      <c r="G394" s="33"/>
      <c r="H394" s="36"/>
      <c r="I394" s="33"/>
      <c r="J394" s="35"/>
      <c r="K394" s="33"/>
      <c r="L394" s="33"/>
      <c r="M394" s="36"/>
      <c r="N394" s="33"/>
      <c r="O394" s="35"/>
      <c r="P394" s="33"/>
      <c r="Q394" s="33"/>
      <c r="R394" s="36"/>
    </row>
    <row r="395" spans="5:18">
      <c r="E395" s="35"/>
      <c r="F395" s="33"/>
      <c r="G395" s="33"/>
      <c r="H395" s="36"/>
      <c r="I395" s="33"/>
      <c r="J395" s="35"/>
      <c r="K395" s="33"/>
      <c r="L395" s="33"/>
      <c r="M395" s="36"/>
      <c r="N395" s="33"/>
      <c r="O395" s="35"/>
      <c r="P395" s="33"/>
      <c r="Q395" s="33"/>
      <c r="R395" s="36"/>
    </row>
    <row r="396" spans="5:18">
      <c r="E396" s="35"/>
      <c r="F396" s="33"/>
      <c r="G396" s="33"/>
      <c r="H396" s="36"/>
      <c r="I396" s="33"/>
      <c r="J396" s="35"/>
      <c r="K396" s="33"/>
      <c r="L396" s="33"/>
      <c r="M396" s="36"/>
      <c r="N396" s="33"/>
      <c r="O396" s="35"/>
      <c r="P396" s="33"/>
      <c r="Q396" s="33"/>
      <c r="R396" s="36"/>
    </row>
    <row r="397" spans="5:18">
      <c r="E397" s="35"/>
      <c r="F397" s="33"/>
      <c r="G397" s="33"/>
      <c r="H397" s="36"/>
      <c r="I397" s="33"/>
      <c r="J397" s="35"/>
      <c r="K397" s="33"/>
      <c r="L397" s="33"/>
      <c r="M397" s="36"/>
      <c r="N397" s="33"/>
      <c r="O397" s="35"/>
      <c r="P397" s="33"/>
      <c r="Q397" s="33"/>
      <c r="R397" s="36"/>
    </row>
    <row r="398" spans="5:18">
      <c r="E398" s="35"/>
      <c r="F398" s="33"/>
      <c r="G398" s="33"/>
      <c r="H398" s="36"/>
      <c r="I398" s="33"/>
      <c r="J398" s="35"/>
      <c r="K398" s="33"/>
      <c r="L398" s="33"/>
      <c r="M398" s="36"/>
      <c r="N398" s="33"/>
      <c r="O398" s="35"/>
      <c r="P398" s="33"/>
      <c r="Q398" s="33"/>
      <c r="R398" s="36"/>
    </row>
    <row r="399" spans="5:18">
      <c r="E399" s="35"/>
      <c r="F399" s="33"/>
      <c r="G399" s="33"/>
      <c r="H399" s="36"/>
      <c r="I399" s="33"/>
      <c r="J399" s="35"/>
      <c r="K399" s="33"/>
      <c r="L399" s="33"/>
      <c r="M399" s="36"/>
      <c r="N399" s="33"/>
      <c r="O399" s="35"/>
      <c r="P399" s="33"/>
      <c r="Q399" s="33"/>
      <c r="R399" s="36"/>
    </row>
    <row r="400" spans="5:18">
      <c r="E400" s="35"/>
      <c r="F400" s="33"/>
      <c r="G400" s="33"/>
      <c r="H400" s="36"/>
      <c r="I400" s="33"/>
      <c r="J400" s="35"/>
      <c r="K400" s="33"/>
      <c r="L400" s="33"/>
      <c r="M400" s="36"/>
      <c r="N400" s="33"/>
      <c r="O400" s="35"/>
      <c r="P400" s="33"/>
      <c r="Q400" s="33"/>
      <c r="R400" s="36"/>
    </row>
    <row r="401" spans="5:18">
      <c r="E401" s="35"/>
      <c r="F401" s="33"/>
      <c r="G401" s="33"/>
      <c r="H401" s="36"/>
      <c r="I401" s="33"/>
      <c r="J401" s="35"/>
      <c r="K401" s="33"/>
      <c r="L401" s="33"/>
      <c r="M401" s="36"/>
      <c r="N401" s="33"/>
      <c r="O401" s="35"/>
      <c r="P401" s="33"/>
      <c r="Q401" s="33"/>
      <c r="R401" s="36"/>
    </row>
    <row r="402" spans="5:18">
      <c r="E402" s="35"/>
      <c r="F402" s="33"/>
      <c r="G402" s="33"/>
      <c r="H402" s="36"/>
      <c r="I402" s="33"/>
      <c r="J402" s="35"/>
      <c r="K402" s="33"/>
      <c r="L402" s="33"/>
      <c r="M402" s="36"/>
      <c r="N402" s="33"/>
      <c r="O402" s="35"/>
      <c r="P402" s="33"/>
      <c r="Q402" s="33"/>
      <c r="R402" s="36"/>
    </row>
    <row r="403" spans="5:18">
      <c r="E403" s="35"/>
      <c r="F403" s="33"/>
      <c r="G403" s="33"/>
      <c r="H403" s="36"/>
      <c r="I403" s="33"/>
      <c r="J403" s="35"/>
      <c r="K403" s="33"/>
      <c r="L403" s="33"/>
      <c r="M403" s="36"/>
      <c r="N403" s="33"/>
      <c r="O403" s="35"/>
      <c r="P403" s="33"/>
      <c r="Q403" s="33"/>
      <c r="R403" s="36"/>
    </row>
    <row r="404" spans="5:18">
      <c r="E404" s="35"/>
      <c r="F404" s="33"/>
      <c r="G404" s="33"/>
      <c r="H404" s="36"/>
      <c r="I404" s="33"/>
      <c r="J404" s="35"/>
      <c r="K404" s="33"/>
      <c r="L404" s="33"/>
      <c r="M404" s="36"/>
      <c r="N404" s="33"/>
      <c r="O404" s="35"/>
      <c r="P404" s="33"/>
      <c r="Q404" s="33"/>
      <c r="R404" s="36"/>
    </row>
    <row r="405" spans="5:18">
      <c r="E405" s="35"/>
      <c r="F405" s="33"/>
      <c r="G405" s="33"/>
      <c r="H405" s="36"/>
      <c r="I405" s="33"/>
      <c r="J405" s="35"/>
      <c r="K405" s="33"/>
      <c r="L405" s="33"/>
      <c r="M405" s="36"/>
      <c r="N405" s="33"/>
      <c r="O405" s="35"/>
      <c r="P405" s="33"/>
      <c r="Q405" s="33"/>
      <c r="R405" s="36"/>
    </row>
    <row r="406" spans="5:18">
      <c r="E406" s="35"/>
      <c r="F406" s="33"/>
      <c r="G406" s="33"/>
      <c r="H406" s="36"/>
      <c r="I406" s="33"/>
      <c r="J406" s="35"/>
      <c r="K406" s="33"/>
      <c r="L406" s="33"/>
      <c r="M406" s="36"/>
      <c r="N406" s="33"/>
      <c r="O406" s="35"/>
      <c r="P406" s="33"/>
      <c r="Q406" s="33"/>
      <c r="R406" s="36"/>
    </row>
    <row r="407" spans="5:18">
      <c r="E407" s="35"/>
      <c r="F407" s="33"/>
      <c r="G407" s="33"/>
      <c r="H407" s="36"/>
      <c r="I407" s="33"/>
      <c r="J407" s="35"/>
      <c r="K407" s="33"/>
      <c r="L407" s="33"/>
      <c r="M407" s="36"/>
      <c r="N407" s="33"/>
      <c r="O407" s="35"/>
      <c r="P407" s="33"/>
      <c r="Q407" s="33"/>
      <c r="R407" s="36"/>
    </row>
    <row r="408" spans="5:18">
      <c r="E408" s="35"/>
      <c r="F408" s="33"/>
      <c r="G408" s="33"/>
      <c r="H408" s="36"/>
      <c r="I408" s="33"/>
      <c r="J408" s="35"/>
      <c r="K408" s="33"/>
      <c r="L408" s="33"/>
      <c r="M408" s="36"/>
      <c r="N408" s="33"/>
      <c r="O408" s="35"/>
      <c r="P408" s="33"/>
      <c r="Q408" s="33"/>
      <c r="R408" s="36"/>
    </row>
    <row r="409" spans="5:18">
      <c r="E409" s="35"/>
      <c r="F409" s="33"/>
      <c r="G409" s="33"/>
      <c r="H409" s="36"/>
      <c r="I409" s="33"/>
      <c r="J409" s="35"/>
      <c r="K409" s="33"/>
      <c r="L409" s="33"/>
      <c r="M409" s="36"/>
      <c r="N409" s="33"/>
      <c r="O409" s="35"/>
      <c r="P409" s="33"/>
      <c r="Q409" s="33"/>
      <c r="R409" s="36"/>
    </row>
    <row r="410" spans="5:18">
      <c r="E410" s="35"/>
      <c r="F410" s="33"/>
      <c r="G410" s="33"/>
      <c r="H410" s="36"/>
      <c r="I410" s="33"/>
      <c r="J410" s="35"/>
      <c r="K410" s="33"/>
      <c r="L410" s="33"/>
      <c r="M410" s="36"/>
      <c r="N410" s="33"/>
      <c r="O410" s="35"/>
      <c r="P410" s="33"/>
      <c r="Q410" s="33"/>
      <c r="R410" s="36"/>
    </row>
    <row r="411" spans="5:18">
      <c r="E411" s="35"/>
      <c r="F411" s="33"/>
      <c r="G411" s="33"/>
      <c r="H411" s="36"/>
      <c r="I411" s="33"/>
      <c r="J411" s="35"/>
      <c r="K411" s="33"/>
      <c r="L411" s="33"/>
      <c r="M411" s="36"/>
      <c r="N411" s="33"/>
      <c r="O411" s="35"/>
      <c r="P411" s="33"/>
      <c r="Q411" s="33"/>
      <c r="R411" s="36"/>
    </row>
    <row r="412" spans="5:18">
      <c r="E412" s="35"/>
      <c r="F412" s="33"/>
      <c r="G412" s="33"/>
      <c r="H412" s="36"/>
      <c r="I412" s="33"/>
      <c r="J412" s="35"/>
      <c r="K412" s="33"/>
      <c r="L412" s="33"/>
      <c r="M412" s="36"/>
      <c r="N412" s="33"/>
      <c r="O412" s="35"/>
      <c r="P412" s="33"/>
      <c r="Q412" s="33"/>
      <c r="R412" s="36"/>
    </row>
    <row r="413" spans="5:18">
      <c r="E413" s="35"/>
      <c r="F413" s="33"/>
      <c r="G413" s="33"/>
      <c r="H413" s="36"/>
      <c r="I413" s="33"/>
      <c r="J413" s="35"/>
      <c r="K413" s="33"/>
      <c r="L413" s="33"/>
      <c r="M413" s="36"/>
      <c r="N413" s="33"/>
      <c r="O413" s="35"/>
      <c r="P413" s="33"/>
      <c r="Q413" s="33"/>
      <c r="R413" s="36"/>
    </row>
    <row r="414" spans="5:18">
      <c r="E414" s="35"/>
      <c r="F414" s="33"/>
      <c r="G414" s="33"/>
      <c r="H414" s="36"/>
      <c r="I414" s="33"/>
      <c r="J414" s="35"/>
      <c r="K414" s="33"/>
      <c r="L414" s="33"/>
      <c r="M414" s="36"/>
      <c r="N414" s="33"/>
      <c r="O414" s="35"/>
      <c r="P414" s="33"/>
      <c r="Q414" s="33"/>
      <c r="R414" s="36"/>
    </row>
  </sheetData>
  <mergeCells count="23">
    <mergeCell ref="A5:A7"/>
    <mergeCell ref="B5:B7"/>
    <mergeCell ref="C5:C7"/>
    <mergeCell ref="I5:I7"/>
    <mergeCell ref="R5:R7"/>
    <mergeCell ref="L6:L7"/>
    <mergeCell ref="O6:O7"/>
    <mergeCell ref="Q6:Q7"/>
    <mergeCell ref="J6:J7"/>
    <mergeCell ref="J5:L5"/>
    <mergeCell ref="M5:M7"/>
    <mergeCell ref="N5:N7"/>
    <mergeCell ref="O5:Q5"/>
    <mergeCell ref="P6:P7"/>
    <mergeCell ref="K6:K7"/>
    <mergeCell ref="F6:F7"/>
    <mergeCell ref="B2:H2"/>
    <mergeCell ref="B3:H3"/>
    <mergeCell ref="D5:D7"/>
    <mergeCell ref="E5:G5"/>
    <mergeCell ref="H5:H7"/>
    <mergeCell ref="E6:E7"/>
    <mergeCell ref="G6:G7"/>
  </mergeCells>
  <pageMargins left="0.27559055118110237" right="0.19685039370078741" top="0.39370078740157483" bottom="0.35433070866141736" header="0.23622047244094491" footer="0.19685039370078741"/>
  <pageSetup paperSize="9" scale="60" orientation="landscape" r:id="rId1"/>
  <headerFooter alignWithMargins="0">
    <oddFooter>&amp;L&amp;F&amp;C&amp;P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34</vt:i4>
      </vt:variant>
    </vt:vector>
  </HeadingPairs>
  <TitlesOfParts>
    <vt:vector size="68" baseType="lpstr">
      <vt:lpstr>2013-2015isa</vt:lpstr>
      <vt:lpstr>pb-2013-2015kop</vt:lpstr>
      <vt:lpstr>01-3</vt:lpstr>
      <vt:lpstr>02-3</vt:lpstr>
      <vt:lpstr>03-3</vt:lpstr>
      <vt:lpstr>04-3</vt:lpstr>
      <vt:lpstr>05-3</vt:lpstr>
      <vt:lpstr>08-3</vt:lpstr>
      <vt:lpstr>09-3</vt:lpstr>
      <vt:lpstr>10-3</vt:lpstr>
      <vt:lpstr>11-3</vt:lpstr>
      <vt:lpstr>12-3</vt:lpstr>
      <vt:lpstr>13-3</vt:lpstr>
      <vt:lpstr>14-3</vt:lpstr>
      <vt:lpstr>15-3</vt:lpstr>
      <vt:lpstr>16-3</vt:lpstr>
      <vt:lpstr>17-3</vt:lpstr>
      <vt:lpstr>18-3</vt:lpstr>
      <vt:lpstr>19-3</vt:lpstr>
      <vt:lpstr>21-3</vt:lpstr>
      <vt:lpstr>22-3</vt:lpstr>
      <vt:lpstr>24-3</vt:lpstr>
      <vt:lpstr>25-3</vt:lpstr>
      <vt:lpstr>28-3</vt:lpstr>
      <vt:lpstr>29-3</vt:lpstr>
      <vt:lpstr>30-3</vt:lpstr>
      <vt:lpstr>32-3</vt:lpstr>
      <vt:lpstr>35-3</vt:lpstr>
      <vt:lpstr>37-3</vt:lpstr>
      <vt:lpstr>47-3</vt:lpstr>
      <vt:lpstr>62-3</vt:lpstr>
      <vt:lpstr>64-3</vt:lpstr>
      <vt:lpstr>74-3</vt:lpstr>
      <vt:lpstr>18s-3</vt:lpstr>
      <vt:lpstr>'01-3'!Print_Titles</vt:lpstr>
      <vt:lpstr>'02-3'!Print_Titles</vt:lpstr>
      <vt:lpstr>'03-3'!Print_Titles</vt:lpstr>
      <vt:lpstr>'04-3'!Print_Titles</vt:lpstr>
      <vt:lpstr>'05-3'!Print_Titles</vt:lpstr>
      <vt:lpstr>'08-3'!Print_Titles</vt:lpstr>
      <vt:lpstr>'09-3'!Print_Titles</vt:lpstr>
      <vt:lpstr>'10-3'!Print_Titles</vt:lpstr>
      <vt:lpstr>'11-3'!Print_Titles</vt:lpstr>
      <vt:lpstr>'12-3'!Print_Titles</vt:lpstr>
      <vt:lpstr>'13-3'!Print_Titles</vt:lpstr>
      <vt:lpstr>'14-3'!Print_Titles</vt:lpstr>
      <vt:lpstr>'15-3'!Print_Titles</vt:lpstr>
      <vt:lpstr>'16-3'!Print_Titles</vt:lpstr>
      <vt:lpstr>'17-3'!Print_Titles</vt:lpstr>
      <vt:lpstr>'18-3'!Print_Titles</vt:lpstr>
      <vt:lpstr>'18s-3'!Print_Titles</vt:lpstr>
      <vt:lpstr>'19-3'!Print_Titles</vt:lpstr>
      <vt:lpstr>'2013-2015isa'!Print_Titles</vt:lpstr>
      <vt:lpstr>'21-3'!Print_Titles</vt:lpstr>
      <vt:lpstr>'22-3'!Print_Titles</vt:lpstr>
      <vt:lpstr>'24-3'!Print_Titles</vt:lpstr>
      <vt:lpstr>'25-3'!Print_Titles</vt:lpstr>
      <vt:lpstr>'28-3'!Print_Titles</vt:lpstr>
      <vt:lpstr>'29-3'!Print_Titles</vt:lpstr>
      <vt:lpstr>'30-3'!Print_Titles</vt:lpstr>
      <vt:lpstr>'32-3'!Print_Titles</vt:lpstr>
      <vt:lpstr>'35-3'!Print_Titles</vt:lpstr>
      <vt:lpstr>'37-3'!Print_Titles</vt:lpstr>
      <vt:lpstr>'47-3'!Print_Titles</vt:lpstr>
      <vt:lpstr>'62-3'!Print_Titles</vt:lpstr>
      <vt:lpstr>'64-3'!Print_Titles</vt:lpstr>
      <vt:lpstr>'74-3'!Print_Titles</vt:lpstr>
      <vt:lpstr>'pb-2013-2015kop'!Print_Titles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Pielikums Informatīvajam ziņojumam "Par ministriju un citu centrālo valsts iestāžu maksimāli pieļaujamo valsts budžeta izdevumu kopapjomu 2013. - 2015.gadam"</dc:title>
  <dc:subject>Pielikums</dc:subject>
  <dc:creator>Zane Adijāne</dc:creator>
  <dc:description>Zane.Adijane@fm.gov.lv;
67095437</dc:description>
  <cp:lastModifiedBy>Windows User</cp:lastModifiedBy>
  <cp:lastPrinted>2012-08-21T07:23:45Z</cp:lastPrinted>
  <dcterms:created xsi:type="dcterms:W3CDTF">2007-03-08T14:49:46Z</dcterms:created>
  <dcterms:modified xsi:type="dcterms:W3CDTF">2012-08-21T07:25:32Z</dcterms:modified>
</cp:coreProperties>
</file>